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D:\IVAN\_MY DOCUMENTS\Databases\FSA PROJECT\"/>
    </mc:Choice>
  </mc:AlternateContent>
  <xr:revisionPtr revIDLastSave="0" documentId="13_ncr:1_{2BCBDC89-EB7B-4334-9972-AD22748A11B9}" xr6:coauthVersionLast="47" xr6:coauthVersionMax="47" xr10:uidLastSave="{00000000-0000-0000-0000-000000000000}"/>
  <bookViews>
    <workbookView xWindow="-120" yWindow="-120" windowWidth="29040" windowHeight="15840" xr2:uid="{00000000-000D-0000-FFFF-FFFF00000000}"/>
  </bookViews>
  <sheets>
    <sheet name="Start" sheetId="2" r:id="rId1"/>
    <sheet name="DBMA" sheetId="1" r:id="rId2"/>
    <sheet name="Def" sheetId="3" r:id="rId3"/>
    <sheet name="Sec-Ind" sheetId="4" r:id="rId4"/>
    <sheet name="Comp" sheetId="5" r:id="rId5"/>
  </sheets>
  <definedNames>
    <definedName name="\"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_" hidden="1">#REF!</definedName>
    <definedName name="__________" hidden="1">#REF!</definedName>
    <definedName name="______________________" hidden="1">#REF!</definedName>
    <definedName name="_____________________________________wrn2" hidden="1">{"glc1",#N/A,FALSE,"GLC";"glc2",#N/A,FALSE,"GLC";"glc3",#N/A,FALSE,"GLC";"glc4",#N/A,FALSE,"GLC";"glc5",#N/A,FALSE,"GLC"}</definedName>
    <definedName name="____________________________________wrn2" hidden="1">{"glc1",#N/A,FALSE,"GLC";"glc2",#N/A,FALSE,"GLC";"glc3",#N/A,FALSE,"GLC";"glc4",#N/A,FALSE,"GLC";"glc5",#N/A,FALSE,"GLC"}</definedName>
    <definedName name="__________________________________RAC1" hidden="1">#REF!</definedName>
    <definedName name="__________________________________wrn2" hidden="1">{"glc1",#N/A,FALSE,"GLC";"glc2",#N/A,FALSE,"GLC";"glc3",#N/A,FALSE,"GLC";"glc4",#N/A,FALSE,"GLC";"glc5",#N/A,FALSE,"GLC"}</definedName>
    <definedName name="_________________________________RAC1" hidden="1">#REF!</definedName>
    <definedName name="_________________________________wrn2" hidden="1">{"glc1",#N/A,FALSE,"GLC";"glc2",#N/A,FALSE,"GLC";"glc3",#N/A,FALSE,"GLC";"glc4",#N/A,FALSE,"GLC";"glc5",#N/A,FALSE,"GLC"}</definedName>
    <definedName name="________________________________RAC1" hidden="1">#REF!</definedName>
    <definedName name="________________________________wrn2" hidden="1">{"glc1",#N/A,FALSE,"GLC";"glc2",#N/A,FALSE,"GLC";"glc3",#N/A,FALSE,"GLC";"glc4",#N/A,FALSE,"GLC";"glc5",#N/A,FALSE,"GLC"}</definedName>
    <definedName name="_______________________________RAC1" hidden="1">#REF!</definedName>
    <definedName name="_______________________________wrn1" hidden="1">{"glc1",#N/A,FALSE,"GLC";"glc2",#N/A,FALSE,"GLC";"glc3",#N/A,FALSE,"GLC";"glc4",#N/A,FALSE,"GLC";"glc5",#N/A,FALSE,"GLC"}</definedName>
    <definedName name="_______________________________wrn2" hidden="1">{"glc1",#N/A,FALSE,"GLC";"glc2",#N/A,FALSE,"GLC";"glc3",#N/A,FALSE,"GLC";"glc4",#N/A,FALSE,"GLC";"glc5",#N/A,FALSE,"GLC"}</definedName>
    <definedName name="______________________________c" hidden="1">{"ÜBERSICHT",#N/A,FALSE,"ABW KUM";"Kostenzoom",#N/A,FALSE,"ABW KUM";"ÜBERSICHT",#N/A,FALSE,"ABW HORE";"Kostenzoom",#N/A,FALSE,"ABW HORE"}</definedName>
    <definedName name="______________________________CF2" hidden="1">{"Output%",#N/A,FALSE,"Output"}</definedName>
    <definedName name="______________________________RAC1" hidden="1">#REF!</definedName>
    <definedName name="______________________________wrn1" hidden="1">{"glc1",#N/A,FALSE,"GLC";"glc2",#N/A,FALSE,"GLC";"glc3",#N/A,FALSE,"GLC";"glc4",#N/A,FALSE,"GLC";"glc5",#N/A,FALSE,"GLC"}</definedName>
    <definedName name="______________________________wrn2" hidden="1">{"glc1",#N/A,FALSE,"GLC";"glc2",#N/A,FALSE,"GLC";"glc3",#N/A,FALSE,"GLC";"glc4",#N/A,FALSE,"GLC";"glc5",#N/A,FALSE,"GLC"}</definedName>
    <definedName name="_____________________________c" hidden="1">{"ÜBERSICHT",#N/A,FALSE,"ABW KUM";"Kostenzoom",#N/A,FALSE,"ABW KUM";"ÜBERSICHT",#N/A,FALSE,"ABW HORE";"Kostenzoom",#N/A,FALSE,"ABW HORE"}</definedName>
    <definedName name="_____________________________CF2" hidden="1">{"Output%",#N/A,FALSE,"Output"}</definedName>
    <definedName name="_____________________________RAC1" hidden="1">#REF!</definedName>
    <definedName name="_____________________________wrn1" hidden="1">{"glc1",#N/A,FALSE,"GLC";"glc2",#N/A,FALSE,"GLC";"glc3",#N/A,FALSE,"GLC";"glc4",#N/A,FALSE,"GLC";"glc5",#N/A,FALSE,"GLC"}</definedName>
    <definedName name="_____________________________wrn2" hidden="1">{"glc1",#N/A,FALSE,"GLC";"glc2",#N/A,FALSE,"GLC";"glc3",#N/A,FALSE,"GLC";"glc4",#N/A,FALSE,"GLC";"glc5",#N/A,FALSE,"GLC"}</definedName>
    <definedName name="____________________________c" hidden="1">{"ÜBERSICHT",#N/A,FALSE,"ABW KUM";"Kostenzoom",#N/A,FALSE,"ABW KUM";"ÜBERSICHT",#N/A,FALSE,"ABW HORE";"Kostenzoom",#N/A,FALSE,"ABW HORE"}</definedName>
    <definedName name="____________________________CF2" hidden="1">{"Output%",#N/A,FALSE,"Output"}</definedName>
    <definedName name="____________________________RAC1" hidden="1">#REF!</definedName>
    <definedName name="____________________________rwn10" hidden="1">{#N/A,#N/A,FALSE,"Aging Summary";#N/A,#N/A,FALSE,"Ratio Analysis";#N/A,#N/A,FALSE,"Test 120 Day Accts";#N/A,#N/A,FALSE,"Tickmarks"}</definedName>
    <definedName name="____________________________rwn3" hidden="1">{"assets",#N/A,FALSE,"historicBS";"liab",#N/A,FALSE,"historicBS";"is",#N/A,FALSE,"historicIS";"ratios",#N/A,FALSE,"ratios"}</definedName>
    <definedName name="____________________________rwn4" hidden="1">{"assets",#N/A,FALSE,"historicBS";"liab",#N/A,FALSE,"historicBS";"is",#N/A,FALSE,"historicIS";"ratios",#N/A,FALSE,"ratios"}</definedName>
    <definedName name="____________________________rwn5" hidden="1">{"glcbs",#N/A,FALSE,"GLCBS";"glccsbs",#N/A,FALSE,"GLCCSBS";"glcis",#N/A,FALSE,"GLCIS";"glccsis",#N/A,FALSE,"GLCCSIS";"glcrat1",#N/A,FALSE,"GLC-ratios1"}</definedName>
    <definedName name="____________________________rwn6" hidden="1">{"glc1",#N/A,FALSE,"GLC";"glc2",#N/A,FALSE,"GLC";"glc3",#N/A,FALSE,"GLC";"glc4",#N/A,FALSE,"GLC";"glc5",#N/A,FALSE,"GLC"}</definedName>
    <definedName name="_____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__rwn8" hidden="1">{"glc1",#N/A,FALSE,"GLC";"glc2",#N/A,FALSE,"GLC";"glc3",#N/A,FALSE,"GLC";"glc4",#N/A,FALSE,"GLC";"glc5",#N/A,FALSE,"GLC"}</definedName>
    <definedName name="_____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__wrn2" hidden="1">{"glc1",#N/A,FALSE,"GLC";"glc2",#N/A,FALSE,"GLC";"glc3",#N/A,FALSE,"GLC";"glc4",#N/A,FALSE,"GLC";"glc5",#N/A,FALSE,"GLC"}</definedName>
    <definedName name="___________________________RAC1" hidden="1">#REF!</definedName>
    <definedName name="___________________________rwn1" hidden="1">{#N/A,#N/A,FALSE,"Aging Summary";#N/A,#N/A,FALSE,"Ratio Analysis";#N/A,#N/A,FALSE,"Test 120 Day Accts";#N/A,#N/A,FALSE,"Tickmarks"}</definedName>
    <definedName name="___________________________rwn10" hidden="1">{#N/A,#N/A,FALSE,"Aging Summary";#N/A,#N/A,FALSE,"Ratio Analysis";#N/A,#N/A,FALSE,"Test 120 Day Accts";#N/A,#N/A,FALSE,"Tickmarks"}</definedName>
    <definedName name="___________________________rwn3" hidden="1">{"assets",#N/A,FALSE,"historicBS";"liab",#N/A,FALSE,"historicBS";"is",#N/A,FALSE,"historicIS";"ratios",#N/A,FALSE,"ratios"}</definedName>
    <definedName name="___________________________rwn4" hidden="1">{"assets",#N/A,FALSE,"historicBS";"liab",#N/A,FALSE,"historicBS";"is",#N/A,FALSE,"historicIS";"ratios",#N/A,FALSE,"ratios"}</definedName>
    <definedName name="___________________________rwn5" hidden="1">{"glcbs",#N/A,FALSE,"GLCBS";"glccsbs",#N/A,FALSE,"GLCCSBS";"glcis",#N/A,FALSE,"GLCIS";"glccsis",#N/A,FALSE,"GLCCSIS";"glcrat1",#N/A,FALSE,"GLC-ratios1"}</definedName>
    <definedName name="___________________________rwn6" hidden="1">{"glc1",#N/A,FALSE,"GLC";"glc2",#N/A,FALSE,"GLC";"glc3",#N/A,FALSE,"GLC";"glc4",#N/A,FALSE,"GLC";"glc5",#N/A,FALSE,"GLC"}</definedName>
    <definedName name="____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_rwn8" hidden="1">{"glc1",#N/A,FALSE,"GLC";"glc2",#N/A,FALSE,"GLC";"glc3",#N/A,FALSE,"GLC";"glc4",#N/A,FALSE,"GLC";"glc5",#N/A,FALSE,"GLC"}</definedName>
    <definedName name="____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_wrn1" hidden="1">{"glc1",#N/A,FALSE,"GLC";"glc2",#N/A,FALSE,"GLC";"glc3",#N/A,FALSE,"GLC";"glc4",#N/A,FALSE,"GLC";"glc5",#N/A,FALSE,"GLC"}</definedName>
    <definedName name="___________________________wrn2" hidden="1">{"glc1",#N/A,FALSE,"GLC";"glc2",#N/A,FALSE,"GLC";"glc3",#N/A,FALSE,"GLC";"glc4",#N/A,FALSE,"GLC";"glc5",#N/A,FALSE,"GLC"}</definedName>
    <definedName name="__________________________c" hidden="1">{"ÜBERSICHT",#N/A,FALSE,"ABW KUM";"Kostenzoom",#N/A,FALSE,"ABW KUM";"ÜBERSICHT",#N/A,FALSE,"ABW HORE";"Kostenzoom",#N/A,FALSE,"ABW HORE"}</definedName>
    <definedName name="__________________________CF2" hidden="1">{"Output%",#N/A,FALSE,"Output"}</definedName>
    <definedName name="__________________________RAC1" hidden="1">#REF!</definedName>
    <definedName name="__________________________rwb2" hidden="1">{#N/A,#N/A,FALSE,"Aging Summary";#N/A,#N/A,FALSE,"Ratio Analysis";#N/A,#N/A,FALSE,"Test 120 Day Accts";#N/A,#N/A,FALSE,"Tickmarks"}</definedName>
    <definedName name="__________________________rwn1" hidden="1">{#N/A,#N/A,FALSE,"Aging Summary";#N/A,#N/A,FALSE,"Ratio Analysis";#N/A,#N/A,FALSE,"Test 120 Day Accts";#N/A,#N/A,FALSE,"Tickmarks"}</definedName>
    <definedName name="__________________________rwn10" hidden="1">{#N/A,#N/A,FALSE,"Aging Summary";#N/A,#N/A,FALSE,"Ratio Analysis";#N/A,#N/A,FALSE,"Test 120 Day Accts";#N/A,#N/A,FALSE,"Tickmarks"}</definedName>
    <definedName name="__________________________rwn3" hidden="1">{"assets",#N/A,FALSE,"historicBS";"liab",#N/A,FALSE,"historicBS";"is",#N/A,FALSE,"historicIS";"ratios",#N/A,FALSE,"ratios"}</definedName>
    <definedName name="__________________________rwn4" hidden="1">{"assets",#N/A,FALSE,"historicBS";"liab",#N/A,FALSE,"historicBS";"is",#N/A,FALSE,"historicIS";"ratios",#N/A,FALSE,"ratios"}</definedName>
    <definedName name="__________________________rwn5" hidden="1">{"glcbs",#N/A,FALSE,"GLCBS";"glccsbs",#N/A,FALSE,"GLCCSBS";"glcis",#N/A,FALSE,"GLCIS";"glccsis",#N/A,FALSE,"GLCCSIS";"glcrat1",#N/A,FALSE,"GLC-ratios1"}</definedName>
    <definedName name="__________________________rwn6" hidden="1">{"glc1",#N/A,FALSE,"GLC";"glc2",#N/A,FALSE,"GLC";"glc3",#N/A,FALSE,"GLC";"glc4",#N/A,FALSE,"GLC";"glc5",#N/A,FALSE,"GLC"}</definedName>
    <definedName name="___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rwn8" hidden="1">{"glc1",#N/A,FALSE,"GLC";"glc2",#N/A,FALSE,"GLC";"glc3",#N/A,FALSE,"GLC";"glc4",#N/A,FALSE,"GLC";"glc5",#N/A,FALSE,"GLC"}</definedName>
    <definedName name="___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wrn2" hidden="1">{"glc1",#N/A,FALSE,"GLC";"glc2",#N/A,FALSE,"GLC";"glc3",#N/A,FALSE,"GLC";"glc4",#N/A,FALSE,"GLC";"glc5",#N/A,FALSE,"GLC"}</definedName>
    <definedName name="_________________________RAC1" hidden="1">#REF!</definedName>
    <definedName name="_________________________rwb2" hidden="1">{#N/A,#N/A,FALSE,"Aging Summary";#N/A,#N/A,FALSE,"Ratio Analysis";#N/A,#N/A,FALSE,"Test 120 Day Accts";#N/A,#N/A,FALSE,"Tickmarks"}</definedName>
    <definedName name="_________________________rwn1" hidden="1">{#N/A,#N/A,FALSE,"Aging Summary";#N/A,#N/A,FALSE,"Ratio Analysis";#N/A,#N/A,FALSE,"Test 120 Day Accts";#N/A,#N/A,FALSE,"Tickmarks"}</definedName>
    <definedName name="_________________________rwn10" hidden="1">{#N/A,#N/A,FALSE,"Aging Summary";#N/A,#N/A,FALSE,"Ratio Analysis";#N/A,#N/A,FALSE,"Test 120 Day Accts";#N/A,#N/A,FALSE,"Tickmarks"}</definedName>
    <definedName name="_________________________rwn3" hidden="1">{"assets",#N/A,FALSE,"historicBS";"liab",#N/A,FALSE,"historicBS";"is",#N/A,FALSE,"historicIS";"ratios",#N/A,FALSE,"ratios"}</definedName>
    <definedName name="_________________________rwn4" hidden="1">{"assets",#N/A,FALSE,"historicBS";"liab",#N/A,FALSE,"historicBS";"is",#N/A,FALSE,"historicIS";"ratios",#N/A,FALSE,"ratios"}</definedName>
    <definedName name="_________________________rwn5" hidden="1">{"glcbs",#N/A,FALSE,"GLCBS";"glccsbs",#N/A,FALSE,"GLCCSBS";"glcis",#N/A,FALSE,"GLCIS";"glccsis",#N/A,FALSE,"GLCCSIS";"glcrat1",#N/A,FALSE,"GLC-ratios1"}</definedName>
    <definedName name="_________________________rwn6" hidden="1">{"glc1",#N/A,FALSE,"GLC";"glc2",#N/A,FALSE,"GLC";"glc3",#N/A,FALSE,"GLC";"glc4",#N/A,FALSE,"GLC";"glc5",#N/A,FALSE,"GLC"}</definedName>
    <definedName name="__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rwn8" hidden="1">{"glc1",#N/A,FALSE,"GLC";"glc2",#N/A,FALSE,"GLC";"glc3",#N/A,FALSE,"GLC";"glc4",#N/A,FALSE,"GLC";"glc5",#N/A,FALSE,"GLC"}</definedName>
    <definedName name="__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wrn1" hidden="1">{"glc1",#N/A,FALSE,"GLC";"glc2",#N/A,FALSE,"GLC";"glc3",#N/A,FALSE,"GLC";"glc4",#N/A,FALSE,"GLC";"glc5",#N/A,FALSE,"GLC"}</definedName>
    <definedName name="_________________________wrn2" hidden="1">{"glc1",#N/A,FALSE,"GLC";"glc2",#N/A,FALSE,"GLC";"glc3",#N/A,FALSE,"GLC";"glc4",#N/A,FALSE,"GLC";"glc5",#N/A,FALSE,"GLC"}</definedName>
    <definedName name="________________________c" hidden="1">{"ÜBERSICHT",#N/A,FALSE,"ABW KUM";"Kostenzoom",#N/A,FALSE,"ABW KUM";"ÜBERSICHT",#N/A,FALSE,"ABW HORE";"Kostenzoom",#N/A,FALSE,"ABW HORE"}</definedName>
    <definedName name="________________________CF2" hidden="1">{"Output%",#N/A,FALSE,"Output"}</definedName>
    <definedName name="________________________RAC1" hidden="1">#REF!</definedName>
    <definedName name="________________________rwb2" hidden="1">{#N/A,#N/A,FALSE,"Aging Summary";#N/A,#N/A,FALSE,"Ratio Analysis";#N/A,#N/A,FALSE,"Test 120 Day Accts";#N/A,#N/A,FALSE,"Tickmarks"}</definedName>
    <definedName name="________________________rwn1" hidden="1">{#N/A,#N/A,FALSE,"Aging Summary";#N/A,#N/A,FALSE,"Ratio Analysis";#N/A,#N/A,FALSE,"Test 120 Day Accts";#N/A,#N/A,FALSE,"Tickmarks"}</definedName>
    <definedName name="________________________wrn1" hidden="1">{"glc1",#N/A,FALSE,"GLC";"glc2",#N/A,FALSE,"GLC";"glc3",#N/A,FALSE,"GLC";"glc4",#N/A,FALSE,"GLC";"glc5",#N/A,FALSE,"GLC"}</definedName>
    <definedName name="________________________wrn2" hidden="1">{"glc1",#N/A,FALSE,"GLC";"glc2",#N/A,FALSE,"GLC";"glc3",#N/A,FALSE,"GLC";"glc4",#N/A,FALSE,"GLC";"glc5",#N/A,FALSE,"GLC"}</definedName>
    <definedName name="_______________________c" hidden="1">{"ÜBERSICHT",#N/A,FALSE,"ABW KUM";"Kostenzoom",#N/A,FALSE,"ABW KUM";"ÜBERSICHT",#N/A,FALSE,"ABW HORE";"Kostenzoom",#N/A,FALSE,"ABW HORE"}</definedName>
    <definedName name="_______________________CF2" hidden="1">{"Output%",#N/A,FALSE,"Output"}</definedName>
    <definedName name="_______________________RAC1" hidden="1">#REF!</definedName>
    <definedName name="_______________________rwb2" hidden="1">{#N/A,#N/A,FALSE,"Aging Summary";#N/A,#N/A,FALSE,"Ratio Analysis";#N/A,#N/A,FALSE,"Test 120 Day Accts";#N/A,#N/A,FALSE,"Tickmarks"}</definedName>
    <definedName name="_______________________rwn10" hidden="1">{#N/A,#N/A,FALSE,"Aging Summary";#N/A,#N/A,FALSE,"Ratio Analysis";#N/A,#N/A,FALSE,"Test 120 Day Accts";#N/A,#N/A,FALSE,"Tickmarks"}</definedName>
    <definedName name="_______________________rwn3" hidden="1">{"assets",#N/A,FALSE,"historicBS";"liab",#N/A,FALSE,"historicBS";"is",#N/A,FALSE,"historicIS";"ratios",#N/A,FALSE,"ratios"}</definedName>
    <definedName name="_______________________rwn4" hidden="1">{"assets",#N/A,FALSE,"historicBS";"liab",#N/A,FALSE,"historicBS";"is",#N/A,FALSE,"historicIS";"ratios",#N/A,FALSE,"ratios"}</definedName>
    <definedName name="_______________________rwn5" hidden="1">{"glcbs",#N/A,FALSE,"GLCBS";"glccsbs",#N/A,FALSE,"GLCCSBS";"glcis",#N/A,FALSE,"GLCIS";"glccsis",#N/A,FALSE,"GLCCSIS";"glcrat1",#N/A,FALSE,"GLC-ratios1"}</definedName>
    <definedName name="_______________________rwn6" hidden="1">{"glc1",#N/A,FALSE,"GLC";"glc2",#N/A,FALSE,"GLC";"glc3",#N/A,FALSE,"GLC";"glc4",#N/A,FALSE,"GLC";"glc5",#N/A,FALSE,"GLC"}</definedName>
    <definedName name="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rwn8" hidden="1">{"glc1",#N/A,FALSE,"GLC";"glc2",#N/A,FALSE,"GLC";"glc3",#N/A,FALSE,"GLC";"glc4",#N/A,FALSE,"GLC";"glc5",#N/A,FALSE,"GLC"}</definedName>
    <definedName name="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wrn1" hidden="1">{"glc1",#N/A,FALSE,"GLC";"glc2",#N/A,FALSE,"GLC";"glc3",#N/A,FALSE,"GLC";"glc4",#N/A,FALSE,"GLC";"glc5",#N/A,FALSE,"GLC"}</definedName>
    <definedName name="_______________________wrn2" hidden="1">{"glc1",#N/A,FALSE,"GLC";"glc2",#N/A,FALSE,"GLC";"glc3",#N/A,FALSE,"GLC";"glc4",#N/A,FALSE,"GLC";"glc5",#N/A,FALSE,"GLC"}</definedName>
    <definedName name="______________________c" hidden="1">{"ÜBERSICHT",#N/A,FALSE,"ABW KUM";"Kostenzoom",#N/A,FALSE,"ABW KUM";"ÜBERSICHT",#N/A,FALSE,"ABW HORE";"Kostenzoom",#N/A,FALSE,"ABW HORE"}</definedName>
    <definedName name="______________________CF2" hidden="1">{"Output%",#N/A,FALSE,"Output"}</definedName>
    <definedName name="______________________RAC1" hidden="1">#REF!</definedName>
    <definedName name="______________________rwn1" hidden="1">{#N/A,#N/A,FALSE,"Aging Summary";#N/A,#N/A,FALSE,"Ratio Analysis";#N/A,#N/A,FALSE,"Test 120 Day Accts";#N/A,#N/A,FALSE,"Tickmarks"}</definedName>
    <definedName name="______________________rwn10" hidden="1">{#N/A,#N/A,FALSE,"Aging Summary";#N/A,#N/A,FALSE,"Ratio Analysis";#N/A,#N/A,FALSE,"Test 120 Day Accts";#N/A,#N/A,FALSE,"Tickmarks"}</definedName>
    <definedName name="______________________rwn3" hidden="1">{"assets",#N/A,FALSE,"historicBS";"liab",#N/A,FALSE,"historicBS";"is",#N/A,FALSE,"historicIS";"ratios",#N/A,FALSE,"ratios"}</definedName>
    <definedName name="______________________rwn4" hidden="1">{"assets",#N/A,FALSE,"historicBS";"liab",#N/A,FALSE,"historicBS";"is",#N/A,FALSE,"historicIS";"ratios",#N/A,FALSE,"ratios"}</definedName>
    <definedName name="______________________rwn5" hidden="1">{"glcbs",#N/A,FALSE,"GLCBS";"glccsbs",#N/A,FALSE,"GLCCSBS";"glcis",#N/A,FALSE,"GLCIS";"glccsis",#N/A,FALSE,"GLCCSIS";"glcrat1",#N/A,FALSE,"GLC-ratios1"}</definedName>
    <definedName name="______________________rwn6" hidden="1">{"glc1",#N/A,FALSE,"GLC";"glc2",#N/A,FALSE,"GLC";"glc3",#N/A,FALSE,"GLC";"glc4",#N/A,FALSE,"GLC";"glc5",#N/A,FALSE,"GLC"}</definedName>
    <definedName name="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rwn8" hidden="1">{"glc1",#N/A,FALSE,"GLC";"glc2",#N/A,FALSE,"GLC";"glc3",#N/A,FALSE,"GLC";"glc4",#N/A,FALSE,"GLC";"glc5",#N/A,FALSE,"GLC"}</definedName>
    <definedName name="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wrn1" hidden="1">{"glc1",#N/A,FALSE,"GLC";"glc2",#N/A,FALSE,"GLC";"glc3",#N/A,FALSE,"GLC";"glc4",#N/A,FALSE,"GLC";"glc5",#N/A,FALSE,"GLC"}</definedName>
    <definedName name="______________________wrn2" hidden="1">{"glc1",#N/A,FALSE,"GLC";"glc2",#N/A,FALSE,"GLC";"glc3",#N/A,FALSE,"GLC";"glc4",#N/A,FALSE,"GLC";"glc5",#N/A,FALSE,"GLC"}</definedName>
    <definedName name="_____________________c" hidden="1">{"ÜBERSICHT",#N/A,FALSE,"ABW KUM";"Kostenzoom",#N/A,FALSE,"ABW KUM";"ÜBERSICHT",#N/A,FALSE,"ABW HORE";"Kostenzoom",#N/A,FALSE,"ABW HORE"}</definedName>
    <definedName name="_____________________CF2" hidden="1">{"Output%",#N/A,FALSE,"Output"}</definedName>
    <definedName name="_____________________RAC1" hidden="1">#REF!</definedName>
    <definedName name="_____________________rwb2" hidden="1">{#N/A,#N/A,FALSE,"Aging Summary";#N/A,#N/A,FALSE,"Ratio Analysis";#N/A,#N/A,FALSE,"Test 120 Day Accts";#N/A,#N/A,FALSE,"Tickmarks"}</definedName>
    <definedName name="_____________________rwn1" hidden="1">{#N/A,#N/A,FALSE,"Aging Summary";#N/A,#N/A,FALSE,"Ratio Analysis";#N/A,#N/A,FALSE,"Test 120 Day Accts";#N/A,#N/A,FALSE,"Tickmarks"}</definedName>
    <definedName name="_____________________rwn10" hidden="1">{#N/A,#N/A,FALSE,"Aging Summary";#N/A,#N/A,FALSE,"Ratio Analysis";#N/A,#N/A,FALSE,"Test 120 Day Accts";#N/A,#N/A,FALSE,"Tickmarks"}</definedName>
    <definedName name="_____________________rwn3" hidden="1">{"assets",#N/A,FALSE,"historicBS";"liab",#N/A,FALSE,"historicBS";"is",#N/A,FALSE,"historicIS";"ratios",#N/A,FALSE,"ratios"}</definedName>
    <definedName name="_____________________rwn4" hidden="1">{"assets",#N/A,FALSE,"historicBS";"liab",#N/A,FALSE,"historicBS";"is",#N/A,FALSE,"historicIS";"ratios",#N/A,FALSE,"ratios"}</definedName>
    <definedName name="_____________________rwn5" hidden="1">{"glcbs",#N/A,FALSE,"GLCBS";"glccsbs",#N/A,FALSE,"GLCCSBS";"glcis",#N/A,FALSE,"GLCIS";"glccsis",#N/A,FALSE,"GLCCSIS";"glcrat1",#N/A,FALSE,"GLC-ratios1"}</definedName>
    <definedName name="_____________________rwn6" hidden="1">{"glc1",#N/A,FALSE,"GLC";"glc2",#N/A,FALSE,"GLC";"glc3",#N/A,FALSE,"GLC";"glc4",#N/A,FALSE,"GLC";"glc5",#N/A,FALSE,"GLC"}</definedName>
    <definedName name="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rwn8" hidden="1">{"glc1",#N/A,FALSE,"GLC";"glc2",#N/A,FALSE,"GLC";"glc3",#N/A,FALSE,"GLC";"glc4",#N/A,FALSE,"GLC";"glc5",#N/A,FALSE,"GLC"}</definedName>
    <definedName name="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wrn1" hidden="1">{"glc1",#N/A,FALSE,"GLC";"glc2",#N/A,FALSE,"GLC";"glc3",#N/A,FALSE,"GLC";"glc4",#N/A,FALSE,"GLC";"glc5",#N/A,FALSE,"GLC"}</definedName>
    <definedName name="_____________________wrn2" hidden="1">{"glc1",#N/A,FALSE,"GLC";"glc2",#N/A,FALSE,"GLC";"glc3",#N/A,FALSE,"GLC";"glc4",#N/A,FALSE,"GLC";"glc5",#N/A,FALSE,"GLC"}</definedName>
    <definedName name="____________________c" hidden="1">{"ÜBERSICHT",#N/A,FALSE,"ABW KUM";"Kostenzoom",#N/A,FALSE,"ABW KUM";"ÜBERSICHT",#N/A,FALSE,"ABW HORE";"Kostenzoom",#N/A,FALSE,"ABW HORE"}</definedName>
    <definedName name="____________________CF2" hidden="1">{"Output%",#N/A,FALSE,"Output"}</definedName>
    <definedName name="____________________RAC1" hidden="1">#REF!</definedName>
    <definedName name="____________________rwb2" hidden="1">{#N/A,#N/A,FALSE,"Aging Summary";#N/A,#N/A,FALSE,"Ratio Analysis";#N/A,#N/A,FALSE,"Test 120 Day Accts";#N/A,#N/A,FALSE,"Tickmarks"}</definedName>
    <definedName name="____________________rwn1" hidden="1">{#N/A,#N/A,FALSE,"Aging Summary";#N/A,#N/A,FALSE,"Ratio Analysis";#N/A,#N/A,FALSE,"Test 120 Day Accts";#N/A,#N/A,FALSE,"Tickmarks"}</definedName>
    <definedName name="____________________rwn10" hidden="1">{#N/A,#N/A,FALSE,"Aging Summary";#N/A,#N/A,FALSE,"Ratio Analysis";#N/A,#N/A,FALSE,"Test 120 Day Accts";#N/A,#N/A,FALSE,"Tickmarks"}</definedName>
    <definedName name="____________________rwn3" hidden="1">{"assets",#N/A,FALSE,"historicBS";"liab",#N/A,FALSE,"historicBS";"is",#N/A,FALSE,"historicIS";"ratios",#N/A,FALSE,"ratios"}</definedName>
    <definedName name="____________________rwn4" hidden="1">{"assets",#N/A,FALSE,"historicBS";"liab",#N/A,FALSE,"historicBS";"is",#N/A,FALSE,"historicIS";"ratios",#N/A,FALSE,"ratios"}</definedName>
    <definedName name="____________________rwn5" hidden="1">{"glcbs",#N/A,FALSE,"GLCBS";"glccsbs",#N/A,FALSE,"GLCCSBS";"glcis",#N/A,FALSE,"GLCIS";"glccsis",#N/A,FALSE,"GLCCSIS";"glcrat1",#N/A,FALSE,"GLC-ratios1"}</definedName>
    <definedName name="____________________rwn6" hidden="1">{"glc1",#N/A,FALSE,"GLC";"glc2",#N/A,FALSE,"GLC";"glc3",#N/A,FALSE,"GLC";"glc4",#N/A,FALSE,"GLC";"glc5",#N/A,FALSE,"GLC"}</definedName>
    <definedName name="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rwn8" hidden="1">{"glc1",#N/A,FALSE,"GLC";"glc2",#N/A,FALSE,"GLC";"glc3",#N/A,FALSE,"GLC";"glc4",#N/A,FALSE,"GLC";"glc5",#N/A,FALSE,"GLC"}</definedName>
    <definedName name="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wrn1" hidden="1">{"glc1",#N/A,FALSE,"GLC";"glc2",#N/A,FALSE,"GLC";"glc3",#N/A,FALSE,"GLC";"glc4",#N/A,FALSE,"GLC";"glc5",#N/A,FALSE,"GLC"}</definedName>
    <definedName name="____________________wrn2" hidden="1">{"glc1",#N/A,FALSE,"GLC";"glc2",#N/A,FALSE,"GLC";"glc3",#N/A,FALSE,"GLC";"glc4",#N/A,FALSE,"GLC";"glc5",#N/A,FALSE,"GLC"}</definedName>
    <definedName name="___________________c" hidden="1">{"ÜBERSICHT",#N/A,FALSE,"ABW KUM";"Kostenzoom",#N/A,FALSE,"ABW KUM";"ÜBERSICHT",#N/A,FALSE,"ABW HORE";"Kostenzoom",#N/A,FALSE,"ABW HORE"}</definedName>
    <definedName name="___________________CF2" hidden="1">{"Output%",#N/A,FALSE,"Output"}</definedName>
    <definedName name="___________________RAC1" hidden="1">#REF!</definedName>
    <definedName name="___________________rwb2" hidden="1">{#N/A,#N/A,FALSE,"Aging Summary";#N/A,#N/A,FALSE,"Ratio Analysis";#N/A,#N/A,FALSE,"Test 120 Day Accts";#N/A,#N/A,FALSE,"Tickmarks"}</definedName>
    <definedName name="___________________rwn1" hidden="1">{#N/A,#N/A,FALSE,"Aging Summary";#N/A,#N/A,FALSE,"Ratio Analysis";#N/A,#N/A,FALSE,"Test 120 Day Accts";#N/A,#N/A,FALSE,"Tickmarks"}</definedName>
    <definedName name="___________________rwn10" hidden="1">{#N/A,#N/A,FALSE,"Aging Summary";#N/A,#N/A,FALSE,"Ratio Analysis";#N/A,#N/A,FALSE,"Test 120 Day Accts";#N/A,#N/A,FALSE,"Tickmarks"}</definedName>
    <definedName name="___________________rwn3" hidden="1">{"assets",#N/A,FALSE,"historicBS";"liab",#N/A,FALSE,"historicBS";"is",#N/A,FALSE,"historicIS";"ratios",#N/A,FALSE,"ratios"}</definedName>
    <definedName name="___________________rwn4" hidden="1">{"assets",#N/A,FALSE,"historicBS";"liab",#N/A,FALSE,"historicBS";"is",#N/A,FALSE,"historicIS";"ratios",#N/A,FALSE,"ratios"}</definedName>
    <definedName name="___________________rwn5" hidden="1">{"glcbs",#N/A,FALSE,"GLCBS";"glccsbs",#N/A,FALSE,"GLCCSBS";"glcis",#N/A,FALSE,"GLCIS";"glccsis",#N/A,FALSE,"GLCCSIS";"glcrat1",#N/A,FALSE,"GLC-ratios1"}</definedName>
    <definedName name="___________________rwn6" hidden="1">{"glc1",#N/A,FALSE,"GLC";"glc2",#N/A,FALSE,"GLC";"glc3",#N/A,FALSE,"GLC";"glc4",#N/A,FALSE,"GLC";"glc5",#N/A,FALSE,"GLC"}</definedName>
    <definedName name="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rwn8" hidden="1">{"glc1",#N/A,FALSE,"GLC";"glc2",#N/A,FALSE,"GLC";"glc3",#N/A,FALSE,"GLC";"glc4",#N/A,FALSE,"GLC";"glc5",#N/A,FALSE,"GLC"}</definedName>
    <definedName name="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wrn1" hidden="1">{"glc1",#N/A,FALSE,"GLC";"glc2",#N/A,FALSE,"GLC";"glc3",#N/A,FALSE,"GLC";"glc4",#N/A,FALSE,"GLC";"glc5",#N/A,FALSE,"GLC"}</definedName>
    <definedName name="___________________wrn2" hidden="1">{"glc1",#N/A,FALSE,"GLC";"glc2",#N/A,FALSE,"GLC";"glc3",#N/A,FALSE,"GLC";"glc4",#N/A,FALSE,"GLC";"glc5",#N/A,FALSE,"GLC"}</definedName>
    <definedName name="__________________c" hidden="1">{"ÜBERSICHT",#N/A,FALSE,"ABW KUM";"Kostenzoom",#N/A,FALSE,"ABW KUM";"ÜBERSICHT",#N/A,FALSE,"ABW HORE";"Kostenzoom",#N/A,FALSE,"ABW HORE"}</definedName>
    <definedName name="__________________CF2" hidden="1">{"Output%",#N/A,FALSE,"Output"}</definedName>
    <definedName name="__________________RAC1" hidden="1">#REF!</definedName>
    <definedName name="__________________rwb2" hidden="1">{#N/A,#N/A,FALSE,"Aging Summary";#N/A,#N/A,FALSE,"Ratio Analysis";#N/A,#N/A,FALSE,"Test 120 Day Accts";#N/A,#N/A,FALSE,"Tickmarks"}</definedName>
    <definedName name="__________________rwn1" hidden="1">{#N/A,#N/A,FALSE,"Aging Summary";#N/A,#N/A,FALSE,"Ratio Analysis";#N/A,#N/A,FALSE,"Test 120 Day Accts";#N/A,#N/A,FALSE,"Tickmarks"}</definedName>
    <definedName name="__________________rwn10" hidden="1">{#N/A,#N/A,FALSE,"Aging Summary";#N/A,#N/A,FALSE,"Ratio Analysis";#N/A,#N/A,FALSE,"Test 120 Day Accts";#N/A,#N/A,FALSE,"Tickmarks"}</definedName>
    <definedName name="__________________rwn3" hidden="1">{"assets",#N/A,FALSE,"historicBS";"liab",#N/A,FALSE,"historicBS";"is",#N/A,FALSE,"historicIS";"ratios",#N/A,FALSE,"ratios"}</definedName>
    <definedName name="__________________rwn4" hidden="1">{"assets",#N/A,FALSE,"historicBS";"liab",#N/A,FALSE,"historicBS";"is",#N/A,FALSE,"historicIS";"ratios",#N/A,FALSE,"ratios"}</definedName>
    <definedName name="__________________rwn5" hidden="1">{"glcbs",#N/A,FALSE,"GLCBS";"glccsbs",#N/A,FALSE,"GLCCSBS";"glcis",#N/A,FALSE,"GLCIS";"glccsis",#N/A,FALSE,"GLCCSIS";"glcrat1",#N/A,FALSE,"GLC-ratios1"}</definedName>
    <definedName name="__________________rwn6" hidden="1">{"glc1",#N/A,FALSE,"GLC";"glc2",#N/A,FALSE,"GLC";"glc3",#N/A,FALSE,"GLC";"glc4",#N/A,FALSE,"GLC";"glc5",#N/A,FALSE,"GLC"}</definedName>
    <definedName name="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rwn8" hidden="1">{"glc1",#N/A,FALSE,"GLC";"glc2",#N/A,FALSE,"GLC";"glc3",#N/A,FALSE,"GLC";"glc4",#N/A,FALSE,"GLC";"glc5",#N/A,FALSE,"GLC"}</definedName>
    <definedName name="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wrn1" hidden="1">{"glc1",#N/A,FALSE,"GLC";"glc2",#N/A,FALSE,"GLC";"glc3",#N/A,FALSE,"GLC";"glc4",#N/A,FALSE,"GLC";"glc5",#N/A,FALSE,"GLC"}</definedName>
    <definedName name="__________________wrn2" hidden="1">{"glc1",#N/A,FALSE,"GLC";"glc2",#N/A,FALSE,"GLC";"glc3",#N/A,FALSE,"GLC";"glc4",#N/A,FALSE,"GLC";"glc5",#N/A,FALSE,"GLC"}</definedName>
    <definedName name="_________________c" hidden="1">{"ÜBERSICHT",#N/A,FALSE,"ABW KUM";"Kostenzoom",#N/A,FALSE,"ABW KUM";"ÜBERSICHT",#N/A,FALSE,"ABW HORE";"Kostenzoom",#N/A,FALSE,"ABW HORE"}</definedName>
    <definedName name="_________________CF2" hidden="1">{"Output%",#N/A,FALSE,"Output"}</definedName>
    <definedName name="_________________RAC1" hidden="1">#REF!</definedName>
    <definedName name="_________________rwb2" hidden="1">{#N/A,#N/A,FALSE,"Aging Summary";#N/A,#N/A,FALSE,"Ratio Analysis";#N/A,#N/A,FALSE,"Test 120 Day Accts";#N/A,#N/A,FALSE,"Tickmarks"}</definedName>
    <definedName name="_________________rwn1" hidden="1">{#N/A,#N/A,FALSE,"Aging Summary";#N/A,#N/A,FALSE,"Ratio Analysis";#N/A,#N/A,FALSE,"Test 120 Day Accts";#N/A,#N/A,FALSE,"Tickmarks"}</definedName>
    <definedName name="_________________rwn10" hidden="1">{#N/A,#N/A,FALSE,"Aging Summary";#N/A,#N/A,FALSE,"Ratio Analysis";#N/A,#N/A,FALSE,"Test 120 Day Accts";#N/A,#N/A,FALSE,"Tickmarks"}</definedName>
    <definedName name="_________________rwn3" hidden="1">{"assets",#N/A,FALSE,"historicBS";"liab",#N/A,FALSE,"historicBS";"is",#N/A,FALSE,"historicIS";"ratios",#N/A,FALSE,"ratios"}</definedName>
    <definedName name="_________________rwn4" hidden="1">{"assets",#N/A,FALSE,"historicBS";"liab",#N/A,FALSE,"historicBS";"is",#N/A,FALSE,"historicIS";"ratios",#N/A,FALSE,"ratios"}</definedName>
    <definedName name="_________________rwn5" hidden="1">{"glcbs",#N/A,FALSE,"GLCBS";"glccsbs",#N/A,FALSE,"GLCCSBS";"glcis",#N/A,FALSE,"GLCIS";"glccsis",#N/A,FALSE,"GLCCSIS";"glcrat1",#N/A,FALSE,"GLC-ratios1"}</definedName>
    <definedName name="_________________rwn6" hidden="1">{"glc1",#N/A,FALSE,"GLC";"glc2",#N/A,FALSE,"GLC";"glc3",#N/A,FALSE,"GLC";"glc4",#N/A,FALSE,"GLC";"glc5",#N/A,FALSE,"GLC"}</definedName>
    <definedName name="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rwn8" hidden="1">{"glc1",#N/A,FALSE,"GLC";"glc2",#N/A,FALSE,"GLC";"glc3",#N/A,FALSE,"GLC";"glc4",#N/A,FALSE,"GLC";"glc5",#N/A,FALSE,"GLC"}</definedName>
    <definedName name="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wrn1" hidden="1">{"glc1",#N/A,FALSE,"GLC";"glc2",#N/A,FALSE,"GLC";"glc3",#N/A,FALSE,"GLC";"glc4",#N/A,FALSE,"GLC";"glc5",#N/A,FALSE,"GLC"}</definedName>
    <definedName name="_________________wrn2" hidden="1">{"glc1",#N/A,FALSE,"GLC";"glc2",#N/A,FALSE,"GLC";"glc3",#N/A,FALSE,"GLC";"glc4",#N/A,FALSE,"GLC";"glc5",#N/A,FALSE,"GLC"}</definedName>
    <definedName name="_________________wrn222" hidden="1">{"glc1",#N/A,FALSE,"GLC";"glc2",#N/A,FALSE,"GLC";"glc3",#N/A,FALSE,"GLC";"glc4",#N/A,FALSE,"GLC";"glc5",#N/A,FALSE,"GLC"}</definedName>
    <definedName name="________________c" hidden="1">{"ÜBERSICHT",#N/A,FALSE,"ABW KUM";"Kostenzoom",#N/A,FALSE,"ABW KUM";"ÜBERSICHT",#N/A,FALSE,"ABW HORE";"Kostenzoom",#N/A,FALSE,"ABW HORE"}</definedName>
    <definedName name="________________CF2" hidden="1">{"Output%",#N/A,FALSE,"Output"}</definedName>
    <definedName name="________________RAC1" hidden="1">#REF!</definedName>
    <definedName name="________________rwb2" hidden="1">{#N/A,#N/A,FALSE,"Aging Summary";#N/A,#N/A,FALSE,"Ratio Analysis";#N/A,#N/A,FALSE,"Test 120 Day Accts";#N/A,#N/A,FALSE,"Tickmarks"}</definedName>
    <definedName name="________________rwn1" hidden="1">{#N/A,#N/A,FALSE,"Aging Summary";#N/A,#N/A,FALSE,"Ratio Analysis";#N/A,#N/A,FALSE,"Test 120 Day Accts";#N/A,#N/A,FALSE,"Tickmarks"}</definedName>
    <definedName name="________________rwn10" hidden="1">{#N/A,#N/A,FALSE,"Aging Summary";#N/A,#N/A,FALSE,"Ratio Analysis";#N/A,#N/A,FALSE,"Test 120 Day Accts";#N/A,#N/A,FALSE,"Tickmarks"}</definedName>
    <definedName name="________________rwn3" hidden="1">{"assets",#N/A,FALSE,"historicBS";"liab",#N/A,FALSE,"historicBS";"is",#N/A,FALSE,"historicIS";"ratios",#N/A,FALSE,"ratios"}</definedName>
    <definedName name="________________rwn4" hidden="1">{"assets",#N/A,FALSE,"historicBS";"liab",#N/A,FALSE,"historicBS";"is",#N/A,FALSE,"historicIS";"ratios",#N/A,FALSE,"ratios"}</definedName>
    <definedName name="________________rwn5" hidden="1">{"glcbs",#N/A,FALSE,"GLCBS";"glccsbs",#N/A,FALSE,"GLCCSBS";"glcis",#N/A,FALSE,"GLCIS";"glccsis",#N/A,FALSE,"GLCCSIS";"glcrat1",#N/A,FALSE,"GLC-ratios1"}</definedName>
    <definedName name="________________rwn6" hidden="1">{"glc1",#N/A,FALSE,"GLC";"glc2",#N/A,FALSE,"GLC";"glc3",#N/A,FALSE,"GLC";"glc4",#N/A,FALSE,"GLC";"glc5",#N/A,FALSE,"GLC"}</definedName>
    <definedName name="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rwn8" hidden="1">{"glc1",#N/A,FALSE,"GLC";"glc2",#N/A,FALSE,"GLC";"glc3",#N/A,FALSE,"GLC";"glc4",#N/A,FALSE,"GLC";"glc5",#N/A,FALSE,"GLC"}</definedName>
    <definedName name="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wrn1" hidden="1">{"glc1",#N/A,FALSE,"GLC";"glc2",#N/A,FALSE,"GLC";"glc3",#N/A,FALSE,"GLC";"glc4",#N/A,FALSE,"GLC";"glc5",#N/A,FALSE,"GLC"}</definedName>
    <definedName name="________________wrn2" hidden="1">{"glc1",#N/A,FALSE,"GLC";"glc2",#N/A,FALSE,"GLC";"glc3",#N/A,FALSE,"GLC";"glc4",#N/A,FALSE,"GLC";"glc5",#N/A,FALSE,"GLC"}</definedName>
    <definedName name="________________wrn222" hidden="1">{"glc1",#N/A,FALSE,"GLC";"glc2",#N/A,FALSE,"GLC";"glc3",#N/A,FALSE,"GLC";"glc4",#N/A,FALSE,"GLC";"glc5",#N/A,FALSE,"GLC"}</definedName>
    <definedName name="_______________c" hidden="1">{"ÜBERSICHT",#N/A,FALSE,"ABW KUM";"Kostenzoom",#N/A,FALSE,"ABW KUM";"ÜBERSICHT",#N/A,FALSE,"ABW HORE";"Kostenzoom",#N/A,FALSE,"ABW HORE"}</definedName>
    <definedName name="_______________CF2" hidden="1">{"Output%",#N/A,FALSE,"Output"}</definedName>
    <definedName name="_______________RAC1" hidden="1">#REF!</definedName>
    <definedName name="_______________rwb2" hidden="1">{#N/A,#N/A,FALSE,"Aging Summary";#N/A,#N/A,FALSE,"Ratio Analysis";#N/A,#N/A,FALSE,"Test 120 Day Accts";#N/A,#N/A,FALSE,"Tickmarks"}</definedName>
    <definedName name="_______________rwn1" hidden="1">{#N/A,#N/A,FALSE,"Aging Summary";#N/A,#N/A,FALSE,"Ratio Analysis";#N/A,#N/A,FALSE,"Test 120 Day Accts";#N/A,#N/A,FALSE,"Tickmarks"}</definedName>
    <definedName name="_______________rwn10" hidden="1">{#N/A,#N/A,FALSE,"Aging Summary";#N/A,#N/A,FALSE,"Ratio Analysis";#N/A,#N/A,FALSE,"Test 120 Day Accts";#N/A,#N/A,FALSE,"Tickmarks"}</definedName>
    <definedName name="_______________rwn3" hidden="1">{"assets",#N/A,FALSE,"historicBS";"liab",#N/A,FALSE,"historicBS";"is",#N/A,FALSE,"historicIS";"ratios",#N/A,FALSE,"ratios"}</definedName>
    <definedName name="_______________rwn4" hidden="1">{"assets",#N/A,FALSE,"historicBS";"liab",#N/A,FALSE,"historicBS";"is",#N/A,FALSE,"historicIS";"ratios",#N/A,FALSE,"ratios"}</definedName>
    <definedName name="_______________rwn5" hidden="1">{"glcbs",#N/A,FALSE,"GLCBS";"glccsbs",#N/A,FALSE,"GLCCSBS";"glcis",#N/A,FALSE,"GLCIS";"glccsis",#N/A,FALSE,"GLCCSIS";"glcrat1",#N/A,FALSE,"GLC-ratios1"}</definedName>
    <definedName name="_______________rwn6" hidden="1">{"glc1",#N/A,FALSE,"GLC";"glc2",#N/A,FALSE,"GLC";"glc3",#N/A,FALSE,"GLC";"glc4",#N/A,FALSE,"GLC";"glc5",#N/A,FALSE,"GLC"}</definedName>
    <definedName name="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rwn8" hidden="1">{"glc1",#N/A,FALSE,"GLC";"glc2",#N/A,FALSE,"GLC";"glc3",#N/A,FALSE,"GLC";"glc4",#N/A,FALSE,"GLC";"glc5",#N/A,FALSE,"GLC"}</definedName>
    <definedName name="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wrn1" hidden="1">{"glc1",#N/A,FALSE,"GLC";"glc2",#N/A,FALSE,"GLC";"glc3",#N/A,FALSE,"GLC";"glc4",#N/A,FALSE,"GLC";"glc5",#N/A,FALSE,"GLC"}</definedName>
    <definedName name="_______________wrn2" hidden="1">{"glc1",#N/A,FALSE,"GLC";"glc2",#N/A,FALSE,"GLC";"glc3",#N/A,FALSE,"GLC";"glc4",#N/A,FALSE,"GLC";"glc5",#N/A,FALSE,"GLC"}</definedName>
    <definedName name="_______________wrn222" hidden="1">{"glc1",#N/A,FALSE,"GLC";"glc2",#N/A,FALSE,"GLC";"glc3",#N/A,FALSE,"GLC";"glc4",#N/A,FALSE,"GLC";"glc5",#N/A,FALSE,"GLC"}</definedName>
    <definedName name="______________c" hidden="1">{"ÜBERSICHT",#N/A,FALSE,"ABW KUM";"Kostenzoom",#N/A,FALSE,"ABW KUM";"ÜBERSICHT",#N/A,FALSE,"ABW HORE";"Kostenzoom",#N/A,FALSE,"ABW HORE"}</definedName>
    <definedName name="______________CF2" hidden="1">{"Output%",#N/A,FALSE,"Output"}</definedName>
    <definedName name="______________RAC1" hidden="1">#REF!</definedName>
    <definedName name="______________rwb2" hidden="1">{#N/A,#N/A,FALSE,"Aging Summary";#N/A,#N/A,FALSE,"Ratio Analysis";#N/A,#N/A,FALSE,"Test 120 Day Accts";#N/A,#N/A,FALSE,"Tickmarks"}</definedName>
    <definedName name="______________rwn1" hidden="1">{#N/A,#N/A,FALSE,"Aging Summary";#N/A,#N/A,FALSE,"Ratio Analysis";#N/A,#N/A,FALSE,"Test 120 Day Accts";#N/A,#N/A,FALSE,"Tickmarks"}</definedName>
    <definedName name="______________rwn10" hidden="1">{#N/A,#N/A,FALSE,"Aging Summary";#N/A,#N/A,FALSE,"Ratio Analysis";#N/A,#N/A,FALSE,"Test 120 Day Accts";#N/A,#N/A,FALSE,"Tickmarks"}</definedName>
    <definedName name="______________rwn3" hidden="1">{"assets",#N/A,FALSE,"historicBS";"liab",#N/A,FALSE,"historicBS";"is",#N/A,FALSE,"historicIS";"ratios",#N/A,FALSE,"ratios"}</definedName>
    <definedName name="______________rwn4" hidden="1">{"assets",#N/A,FALSE,"historicBS";"liab",#N/A,FALSE,"historicBS";"is",#N/A,FALSE,"historicIS";"ratios",#N/A,FALSE,"ratios"}</definedName>
    <definedName name="______________rwn5" hidden="1">{"glcbs",#N/A,FALSE,"GLCBS";"glccsbs",#N/A,FALSE,"GLCCSBS";"glcis",#N/A,FALSE,"GLCIS";"glccsis",#N/A,FALSE,"GLCCSIS";"glcrat1",#N/A,FALSE,"GLC-ratios1"}</definedName>
    <definedName name="______________rwn6" hidden="1">{"glc1",#N/A,FALSE,"GLC";"glc2",#N/A,FALSE,"GLC";"glc3",#N/A,FALSE,"GLC";"glc4",#N/A,FALSE,"GLC";"glc5",#N/A,FALSE,"GLC"}</definedName>
    <definedName name="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rwn8" hidden="1">{"glc1",#N/A,FALSE,"GLC";"glc2",#N/A,FALSE,"GLC";"glc3",#N/A,FALSE,"GLC";"glc4",#N/A,FALSE,"GLC";"glc5",#N/A,FALSE,"GLC"}</definedName>
    <definedName name="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wrn1" hidden="1">{"glc1",#N/A,FALSE,"GLC";"glc2",#N/A,FALSE,"GLC";"glc3",#N/A,FALSE,"GLC";"glc4",#N/A,FALSE,"GLC";"glc5",#N/A,FALSE,"GLC"}</definedName>
    <definedName name="______________wrn2" hidden="1">{"glc1",#N/A,FALSE,"GLC";"glc2",#N/A,FALSE,"GLC";"glc3",#N/A,FALSE,"GLC";"glc4",#N/A,FALSE,"GLC";"glc5",#N/A,FALSE,"GLC"}</definedName>
    <definedName name="______________wrn222" hidden="1">{"glc1",#N/A,FALSE,"GLC";"glc2",#N/A,FALSE,"GLC";"glc3",#N/A,FALSE,"GLC";"glc4",#N/A,FALSE,"GLC";"glc5",#N/A,FALSE,"GLC"}</definedName>
    <definedName name="_____________c" hidden="1">{"ÜBERSICHT",#N/A,FALSE,"ABW KUM";"Kostenzoom",#N/A,FALSE,"ABW KUM";"ÜBERSICHT",#N/A,FALSE,"ABW HORE";"Kostenzoom",#N/A,FALSE,"ABW HORE"}</definedName>
    <definedName name="_____________CF2" hidden="1">{"Output%",#N/A,FALSE,"Output"}</definedName>
    <definedName name="_____________RAC1" hidden="1">#REF!</definedName>
    <definedName name="_____________rwb2" hidden="1">{#N/A,#N/A,FALSE,"Aging Summary";#N/A,#N/A,FALSE,"Ratio Analysis";#N/A,#N/A,FALSE,"Test 120 Day Accts";#N/A,#N/A,FALSE,"Tickmarks"}</definedName>
    <definedName name="_____________rwn1" hidden="1">{#N/A,#N/A,FALSE,"Aging Summary";#N/A,#N/A,FALSE,"Ratio Analysis";#N/A,#N/A,FALSE,"Test 120 Day Accts";#N/A,#N/A,FALSE,"Tickmarks"}</definedName>
    <definedName name="_____________rwn10" hidden="1">{#N/A,#N/A,FALSE,"Aging Summary";#N/A,#N/A,FALSE,"Ratio Analysis";#N/A,#N/A,FALSE,"Test 120 Day Accts";#N/A,#N/A,FALSE,"Tickmarks"}</definedName>
    <definedName name="_____________rwn3" hidden="1">{"assets",#N/A,FALSE,"historicBS";"liab",#N/A,FALSE,"historicBS";"is",#N/A,FALSE,"historicIS";"ratios",#N/A,FALSE,"ratios"}</definedName>
    <definedName name="_____________rwn4" hidden="1">{"assets",#N/A,FALSE,"historicBS";"liab",#N/A,FALSE,"historicBS";"is",#N/A,FALSE,"historicIS";"ratios",#N/A,FALSE,"ratios"}</definedName>
    <definedName name="_____________rwn5" hidden="1">{"glcbs",#N/A,FALSE,"GLCBS";"glccsbs",#N/A,FALSE,"GLCCSBS";"glcis",#N/A,FALSE,"GLCIS";"glccsis",#N/A,FALSE,"GLCCSIS";"glcrat1",#N/A,FALSE,"GLC-ratios1"}</definedName>
    <definedName name="_____________rwn6" hidden="1">{"glc1",#N/A,FALSE,"GLC";"glc2",#N/A,FALSE,"GLC";"glc3",#N/A,FALSE,"GLC";"glc4",#N/A,FALSE,"GLC";"glc5",#N/A,FALSE,"GLC"}</definedName>
    <definedName name="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rwn8" hidden="1">{"glc1",#N/A,FALSE,"GLC";"glc2",#N/A,FALSE,"GLC";"glc3",#N/A,FALSE,"GLC";"glc4",#N/A,FALSE,"GLC";"glc5",#N/A,FALSE,"GLC"}</definedName>
    <definedName name="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wrn1" hidden="1">{"glc1",#N/A,FALSE,"GLC";"glc2",#N/A,FALSE,"GLC";"glc3",#N/A,FALSE,"GLC";"glc4",#N/A,FALSE,"GLC";"glc5",#N/A,FALSE,"GLC"}</definedName>
    <definedName name="_____________wrn2" hidden="1">{"glc1",#N/A,FALSE,"GLC";"glc2",#N/A,FALSE,"GLC";"glc3",#N/A,FALSE,"GLC";"glc4",#N/A,FALSE,"GLC";"glc5",#N/A,FALSE,"GLC"}</definedName>
    <definedName name="_____________wrn222" hidden="1">{"glc1",#N/A,FALSE,"GLC";"glc2",#N/A,FALSE,"GLC";"glc3",#N/A,FALSE,"GLC";"glc4",#N/A,FALSE,"GLC";"glc5",#N/A,FALSE,"GLC"}</definedName>
    <definedName name="____________c" hidden="1">{"ÜBERSICHT",#N/A,FALSE,"ABW KUM";"Kostenzoom",#N/A,FALSE,"ABW KUM";"ÜBERSICHT",#N/A,FALSE,"ABW HORE";"Kostenzoom",#N/A,FALSE,"ABW HORE"}</definedName>
    <definedName name="____________CF2" hidden="1">{"Output%",#N/A,FALSE,"Output"}</definedName>
    <definedName name="____________RAC1" hidden="1">#REF!</definedName>
    <definedName name="____________rwb2" hidden="1">{#N/A,#N/A,FALSE,"Aging Summary";#N/A,#N/A,FALSE,"Ratio Analysis";#N/A,#N/A,FALSE,"Test 120 Day Accts";#N/A,#N/A,FALSE,"Tickmarks"}</definedName>
    <definedName name="____________rwn1" hidden="1">{#N/A,#N/A,FALSE,"Aging Summary";#N/A,#N/A,FALSE,"Ratio Analysis";#N/A,#N/A,FALSE,"Test 120 Day Accts";#N/A,#N/A,FALSE,"Tickmarks"}</definedName>
    <definedName name="____________rwn10" hidden="1">{#N/A,#N/A,FALSE,"Aging Summary";#N/A,#N/A,FALSE,"Ratio Analysis";#N/A,#N/A,FALSE,"Test 120 Day Accts";#N/A,#N/A,FALSE,"Tickmarks"}</definedName>
    <definedName name="____________rwn3" hidden="1">{"assets",#N/A,FALSE,"historicBS";"liab",#N/A,FALSE,"historicBS";"is",#N/A,FALSE,"historicIS";"ratios",#N/A,FALSE,"ratios"}</definedName>
    <definedName name="____________rwn4" hidden="1">{"assets",#N/A,FALSE,"historicBS";"liab",#N/A,FALSE,"historicBS";"is",#N/A,FALSE,"historicIS";"ratios",#N/A,FALSE,"ratios"}</definedName>
    <definedName name="____________rwn5" hidden="1">{"glcbs",#N/A,FALSE,"GLCBS";"glccsbs",#N/A,FALSE,"GLCCSBS";"glcis",#N/A,FALSE,"GLCIS";"glccsis",#N/A,FALSE,"GLCCSIS";"glcrat1",#N/A,FALSE,"GLC-ratios1"}</definedName>
    <definedName name="____________rwn6" hidden="1">{"glc1",#N/A,FALSE,"GLC";"glc2",#N/A,FALSE,"GLC";"glc3",#N/A,FALSE,"GLC";"glc4",#N/A,FALSE,"GLC";"glc5",#N/A,FALSE,"GLC"}</definedName>
    <definedName name="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rwn8" hidden="1">{"glc1",#N/A,FALSE,"GLC";"glc2",#N/A,FALSE,"GLC";"glc3",#N/A,FALSE,"GLC";"glc4",#N/A,FALSE,"GLC";"glc5",#N/A,FALSE,"GLC"}</definedName>
    <definedName name="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wrn1" hidden="1">{"glc1",#N/A,FALSE,"GLC";"glc2",#N/A,FALSE,"GLC";"glc3",#N/A,FALSE,"GLC";"glc4",#N/A,FALSE,"GLC";"glc5",#N/A,FALSE,"GLC"}</definedName>
    <definedName name="____________wrn2" hidden="1">{"glc1",#N/A,FALSE,"GLC";"glc2",#N/A,FALSE,"GLC";"glc3",#N/A,FALSE,"GLC";"glc4",#N/A,FALSE,"GLC";"glc5",#N/A,FALSE,"GLC"}</definedName>
    <definedName name="____________wrn222" hidden="1">{"glc1",#N/A,FALSE,"GLC";"glc2",#N/A,FALSE,"GLC";"glc3",#N/A,FALSE,"GLC";"glc4",#N/A,FALSE,"GLC";"glc5",#N/A,FALSE,"GLC"}</definedName>
    <definedName name="___________c" hidden="1">{"ÜBERSICHT",#N/A,FALSE,"ABW KUM";"Kostenzoom",#N/A,FALSE,"ABW KUM";"ÜBERSICHT",#N/A,FALSE,"ABW HORE";"Kostenzoom",#N/A,FALSE,"ABW HORE"}</definedName>
    <definedName name="___________CF2" hidden="1">{"Output%",#N/A,FALSE,"Output"}</definedName>
    <definedName name="___________new1" hidden="1">{#N/A,#N/A,FALSE,"Direct"}</definedName>
    <definedName name="___________RAC1" hidden="1">#REF!</definedName>
    <definedName name="___________rwb2" hidden="1">{#N/A,#N/A,FALSE,"Aging Summary";#N/A,#N/A,FALSE,"Ratio Analysis";#N/A,#N/A,FALSE,"Test 120 Day Accts";#N/A,#N/A,FALSE,"Tickmarks"}</definedName>
    <definedName name="___________rwn1" hidden="1">{#N/A,#N/A,FALSE,"Aging Summary";#N/A,#N/A,FALSE,"Ratio Analysis";#N/A,#N/A,FALSE,"Test 120 Day Accts";#N/A,#N/A,FALSE,"Tickmarks"}</definedName>
    <definedName name="___________rwn10" hidden="1">{#N/A,#N/A,FALSE,"Aging Summary";#N/A,#N/A,FALSE,"Ratio Analysis";#N/A,#N/A,FALSE,"Test 120 Day Accts";#N/A,#N/A,FALSE,"Tickmarks"}</definedName>
    <definedName name="___________rwn3" hidden="1">{"assets",#N/A,FALSE,"historicBS";"liab",#N/A,FALSE,"historicBS";"is",#N/A,FALSE,"historicIS";"ratios",#N/A,FALSE,"ratios"}</definedName>
    <definedName name="___________rwn4" hidden="1">{"assets",#N/A,FALSE,"historicBS";"liab",#N/A,FALSE,"historicBS";"is",#N/A,FALSE,"historicIS";"ratios",#N/A,FALSE,"ratios"}</definedName>
    <definedName name="___________rwn5" hidden="1">{"glcbs",#N/A,FALSE,"GLCBS";"glccsbs",#N/A,FALSE,"GLCCSBS";"glcis",#N/A,FALSE,"GLCIS";"glccsis",#N/A,FALSE,"GLCCSIS";"glcrat1",#N/A,FALSE,"GLC-ratios1"}</definedName>
    <definedName name="___________rwn6" hidden="1">{"glc1",#N/A,FALSE,"GLC";"glc2",#N/A,FALSE,"GLC";"glc3",#N/A,FALSE,"GLC";"glc4",#N/A,FALSE,"GLC";"glc5",#N/A,FALSE,"GLC"}</definedName>
    <definedName name="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rwn8" hidden="1">{"glc1",#N/A,FALSE,"GLC";"glc2",#N/A,FALSE,"GLC";"glc3",#N/A,FALSE,"GLC";"glc4",#N/A,FALSE,"GLC";"glc5",#N/A,FALSE,"GLC"}</definedName>
    <definedName name="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tmp1" hidden="1">{#N/A,#N/A,FALSE,"Direct"}</definedName>
    <definedName name="___________tmp3" hidden="1">{#N/A,#N/A,FALSE,"Direct"}</definedName>
    <definedName name="___________tmp4" hidden="1">{#N/A,#N/A,FALSE,"Direct"}</definedName>
    <definedName name="___________tmp5" hidden="1">{#N/A,#N/A,FALSE,"Direct"}</definedName>
    <definedName name="___________wrn1" hidden="1">{"glc1",#N/A,FALSE,"GLC";"glc2",#N/A,FALSE,"GLC";"glc3",#N/A,FALSE,"GLC";"glc4",#N/A,FALSE,"GLC";"glc5",#N/A,FALSE,"GLC"}</definedName>
    <definedName name="___________wrn2" hidden="1">{"glc1",#N/A,FALSE,"GLC";"glc2",#N/A,FALSE,"GLC";"glc3",#N/A,FALSE,"GLC";"glc4",#N/A,FALSE,"GLC";"glc5",#N/A,FALSE,"GLC"}</definedName>
    <definedName name="___________wrn222" hidden="1">{"glc1",#N/A,FALSE,"GLC";"glc2",#N/A,FALSE,"GLC";"glc3",#N/A,FALSE,"GLC";"glc4",#N/A,FALSE,"GLC";"glc5",#N/A,FALSE,"GLC"}</definedName>
    <definedName name="__________c" hidden="1">{"ÜBERSICHT",#N/A,FALSE,"ABW KUM";"Kostenzoom",#N/A,FALSE,"ABW KUM";"ÜBERSICHT",#N/A,FALSE,"ABW HORE";"Kostenzoom",#N/A,FALSE,"ABW HORE"}</definedName>
    <definedName name="__________CF2" hidden="1">{"Output%",#N/A,FALSE,"Output"}</definedName>
    <definedName name="__________new1" hidden="1">{#N/A,#N/A,FALSE,"Direct"}</definedName>
    <definedName name="__________RAC1" hidden="1">#REF!</definedName>
    <definedName name="__________rwb2" hidden="1">{#N/A,#N/A,FALSE,"Aging Summary";#N/A,#N/A,FALSE,"Ratio Analysis";#N/A,#N/A,FALSE,"Test 120 Day Accts";#N/A,#N/A,FALSE,"Tickmarks"}</definedName>
    <definedName name="__________rwn1" hidden="1">{#N/A,#N/A,FALSE,"Aging Summary";#N/A,#N/A,FALSE,"Ratio Analysis";#N/A,#N/A,FALSE,"Test 120 Day Accts";#N/A,#N/A,FALSE,"Tickmarks"}</definedName>
    <definedName name="__________rwn10" hidden="1">{#N/A,#N/A,FALSE,"Aging Summary";#N/A,#N/A,FALSE,"Ratio Analysis";#N/A,#N/A,FALSE,"Test 120 Day Accts";#N/A,#N/A,FALSE,"Tickmarks"}</definedName>
    <definedName name="__________rwn3" hidden="1">{"assets",#N/A,FALSE,"historicBS";"liab",#N/A,FALSE,"historicBS";"is",#N/A,FALSE,"historicIS";"ratios",#N/A,FALSE,"ratios"}</definedName>
    <definedName name="__________rwn4" hidden="1">{"assets",#N/A,FALSE,"historicBS";"liab",#N/A,FALSE,"historicBS";"is",#N/A,FALSE,"historicIS";"ratios",#N/A,FALSE,"ratios"}</definedName>
    <definedName name="__________rwn5" hidden="1">{"glcbs",#N/A,FALSE,"GLCBS";"glccsbs",#N/A,FALSE,"GLCCSBS";"glcis",#N/A,FALSE,"GLCIS";"glccsis",#N/A,FALSE,"GLCCSIS";"glcrat1",#N/A,FALSE,"GLC-ratios1"}</definedName>
    <definedName name="__________rwn6" hidden="1">{"glc1",#N/A,FALSE,"GLC";"glc2",#N/A,FALSE,"GLC";"glc3",#N/A,FALSE,"GLC";"glc4",#N/A,FALSE,"GLC";"glc5",#N/A,FALSE,"GLC"}</definedName>
    <definedName name="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rwn8" hidden="1">{"glc1",#N/A,FALSE,"GLC";"glc2",#N/A,FALSE,"GLC";"glc3",#N/A,FALSE,"GLC";"glc4",#N/A,FALSE,"GLC";"glc5",#N/A,FALSE,"GLC"}</definedName>
    <definedName name="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tmp1" hidden="1">{#N/A,#N/A,FALSE,"Direct"}</definedName>
    <definedName name="__________tmp3" hidden="1">{#N/A,#N/A,FALSE,"Direct"}</definedName>
    <definedName name="__________tmp4" hidden="1">{#N/A,#N/A,FALSE,"Direct"}</definedName>
    <definedName name="__________tmp5" hidden="1">{#N/A,#N/A,FALSE,"Direct"}</definedName>
    <definedName name="__________wrn1" hidden="1">{"glc1",#N/A,FALSE,"GLC";"glc2",#N/A,FALSE,"GLC";"glc3",#N/A,FALSE,"GLC";"glc4",#N/A,FALSE,"GLC";"glc5",#N/A,FALSE,"GLC"}</definedName>
    <definedName name="__________wrn2" hidden="1">{"glc1",#N/A,FALSE,"GLC";"glc2",#N/A,FALSE,"GLC";"glc3",#N/A,FALSE,"GLC";"glc4",#N/A,FALSE,"GLC";"glc5",#N/A,FALSE,"GLC"}</definedName>
    <definedName name="__________wrn222" hidden="1">{"glc1",#N/A,FALSE,"GLC";"glc2",#N/A,FALSE,"GLC";"glc3",#N/A,FALSE,"GLC";"glc4",#N/A,FALSE,"GLC";"glc5",#N/A,FALSE,"GLC"}</definedName>
    <definedName name="_________c" hidden="1">{"ÜBERSICHT",#N/A,FALSE,"ABW KUM";"Kostenzoom",#N/A,FALSE,"ABW KUM";"ÜBERSICHT",#N/A,FALSE,"ABW HORE";"Kostenzoom",#N/A,FALSE,"ABW HORE"}</definedName>
    <definedName name="_________CF2" hidden="1">{"Output%",#N/A,FALSE,"Output"}</definedName>
    <definedName name="_________new1" hidden="1">{#N/A,#N/A,FALSE,"Direct"}</definedName>
    <definedName name="_________RAC1" hidden="1">#REF!</definedName>
    <definedName name="_________rwb2" hidden="1">{#N/A,#N/A,FALSE,"Aging Summary";#N/A,#N/A,FALSE,"Ratio Analysis";#N/A,#N/A,FALSE,"Test 120 Day Accts";#N/A,#N/A,FALSE,"Tickmarks"}</definedName>
    <definedName name="_________rwn1" hidden="1">{#N/A,#N/A,FALSE,"Aging Summary";#N/A,#N/A,FALSE,"Ratio Analysis";#N/A,#N/A,FALSE,"Test 120 Day Accts";#N/A,#N/A,FALSE,"Tickmarks"}</definedName>
    <definedName name="_________rwn10" hidden="1">{#N/A,#N/A,FALSE,"Aging Summary";#N/A,#N/A,FALSE,"Ratio Analysis";#N/A,#N/A,FALSE,"Test 120 Day Accts";#N/A,#N/A,FALSE,"Tickmarks"}</definedName>
    <definedName name="_________rwn3" hidden="1">{"assets",#N/A,FALSE,"historicBS";"liab",#N/A,FALSE,"historicBS";"is",#N/A,FALSE,"historicIS";"ratios",#N/A,FALSE,"ratios"}</definedName>
    <definedName name="_________rwn4" hidden="1">{"assets",#N/A,FALSE,"historicBS";"liab",#N/A,FALSE,"historicBS";"is",#N/A,FALSE,"historicIS";"ratios",#N/A,FALSE,"ratios"}</definedName>
    <definedName name="_________rwn5" hidden="1">{"glcbs",#N/A,FALSE,"GLCBS";"glccsbs",#N/A,FALSE,"GLCCSBS";"glcis",#N/A,FALSE,"GLCIS";"glccsis",#N/A,FALSE,"GLCCSIS";"glcrat1",#N/A,FALSE,"GLC-ratios1"}</definedName>
    <definedName name="_________rwn6" hidden="1">{"glc1",#N/A,FALSE,"GLC";"glc2",#N/A,FALSE,"GLC";"glc3",#N/A,FALSE,"GLC";"glc4",#N/A,FALSE,"GLC";"glc5",#N/A,FALSE,"GLC"}</definedName>
    <definedName name="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rwn8" hidden="1">{"glc1",#N/A,FALSE,"GLC";"glc2",#N/A,FALSE,"GLC";"glc3",#N/A,FALSE,"GLC";"glc4",#N/A,FALSE,"GLC";"glc5",#N/A,FALSE,"GLC"}</definedName>
    <definedName name="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tmp1" hidden="1">{#N/A,#N/A,FALSE,"Direct"}</definedName>
    <definedName name="_________tmp3" hidden="1">{#N/A,#N/A,FALSE,"Direct"}</definedName>
    <definedName name="_________tmp4" hidden="1">{#N/A,#N/A,FALSE,"Direct"}</definedName>
    <definedName name="_________tmp5" hidden="1">{#N/A,#N/A,FALSE,"Direct"}</definedName>
    <definedName name="_________wrn1" hidden="1">{"glc1",#N/A,FALSE,"GLC";"glc2",#N/A,FALSE,"GLC";"glc3",#N/A,FALSE,"GLC";"glc4",#N/A,FALSE,"GLC";"glc5",#N/A,FALSE,"GLC"}</definedName>
    <definedName name="_________wrn2" hidden="1">{"glc1",#N/A,FALSE,"GLC";"glc2",#N/A,FALSE,"GLC";"glc3",#N/A,FALSE,"GLC";"glc4",#N/A,FALSE,"GLC";"glc5",#N/A,FALSE,"GLC"}</definedName>
    <definedName name="_________wrn222" hidden="1">{"glc1",#N/A,FALSE,"GLC";"glc2",#N/A,FALSE,"GLC";"glc3",#N/A,FALSE,"GLC";"glc4",#N/A,FALSE,"GLC";"glc5",#N/A,FALSE,"GLC"}</definedName>
    <definedName name="________c" hidden="1">{"ÜBERSICHT",#N/A,FALSE,"ABW KUM";"Kostenzoom",#N/A,FALSE,"ABW KUM";"ÜBERSICHT",#N/A,FALSE,"ABW HORE";"Kostenzoom",#N/A,FALSE,"ABW HORE"}</definedName>
    <definedName name="________CF2" hidden="1">{"Output%",#N/A,FALSE,"Output"}</definedName>
    <definedName name="________hkf8" hidden="1">{"glc1",#N/A,FALSE,"GLC";"glc2",#N/A,FALSE,"GLC";"glc3",#N/A,FALSE,"GLC";"glc4",#N/A,FALSE,"GLC";"glc5",#N/A,FALSE,"GLC"}</definedName>
    <definedName name="________new1" hidden="1">{#N/A,#N/A,FALSE,"Direct"}</definedName>
    <definedName name="________RAC1" hidden="1">#REF!</definedName>
    <definedName name="________rwb2" hidden="1">{#N/A,#N/A,FALSE,"Aging Summary";#N/A,#N/A,FALSE,"Ratio Analysis";#N/A,#N/A,FALSE,"Test 120 Day Accts";#N/A,#N/A,FALSE,"Tickmarks"}</definedName>
    <definedName name="________rwn1" hidden="1">{#N/A,#N/A,FALSE,"Aging Summary";#N/A,#N/A,FALSE,"Ratio Analysis";#N/A,#N/A,FALSE,"Test 120 Day Accts";#N/A,#N/A,FALSE,"Tickmarks"}</definedName>
    <definedName name="________rwn10" hidden="1">{#N/A,#N/A,FALSE,"Aging Summary";#N/A,#N/A,FALSE,"Ratio Analysis";#N/A,#N/A,FALSE,"Test 120 Day Accts";#N/A,#N/A,FALSE,"Tickmarks"}</definedName>
    <definedName name="________rwn3" hidden="1">{"assets",#N/A,FALSE,"historicBS";"liab",#N/A,FALSE,"historicBS";"is",#N/A,FALSE,"historicIS";"ratios",#N/A,FALSE,"ratios"}</definedName>
    <definedName name="________rwn4" hidden="1">{"assets",#N/A,FALSE,"historicBS";"liab",#N/A,FALSE,"historicBS";"is",#N/A,FALSE,"historicIS";"ratios",#N/A,FALSE,"ratios"}</definedName>
    <definedName name="________rwn5" hidden="1">{"glcbs",#N/A,FALSE,"GLCBS";"glccsbs",#N/A,FALSE,"GLCCSBS";"glcis",#N/A,FALSE,"GLCIS";"glccsis",#N/A,FALSE,"GLCCSIS";"glcrat1",#N/A,FALSE,"GLC-ratios1"}</definedName>
    <definedName name="________rwn6" hidden="1">{"glc1",#N/A,FALSE,"GLC";"glc2",#N/A,FALSE,"GLC";"glc3",#N/A,FALSE,"GLC";"glc4",#N/A,FALSE,"GLC";"glc5",#N/A,FALSE,"GLC"}</definedName>
    <definedName name="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rwn8" hidden="1">{"glc1",#N/A,FALSE,"GLC";"glc2",#N/A,FALSE,"GLC";"glc3",#N/A,FALSE,"GLC";"glc4",#N/A,FALSE,"GLC";"glc5",#N/A,FALSE,"GLC"}</definedName>
    <definedName name="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tmp1" hidden="1">{#N/A,#N/A,FALSE,"Direct"}</definedName>
    <definedName name="________tmp3" hidden="1">{#N/A,#N/A,FALSE,"Direct"}</definedName>
    <definedName name="________tmp4" hidden="1">{#N/A,#N/A,FALSE,"Direct"}</definedName>
    <definedName name="________tmp5" hidden="1">{#N/A,#N/A,FALSE,"Direct"}</definedName>
    <definedName name="________wrn1" hidden="1">{"glc1",#N/A,FALSE,"GLC";"glc2",#N/A,FALSE,"GLC";"glc3",#N/A,FALSE,"GLC";"glc4",#N/A,FALSE,"GLC";"glc5",#N/A,FALSE,"GLC"}</definedName>
    <definedName name="________wrn2" hidden="1">{"glc1",#N/A,FALSE,"GLC";"glc2",#N/A,FALSE,"GLC";"glc3",#N/A,FALSE,"GLC";"glc4",#N/A,FALSE,"GLC";"glc5",#N/A,FALSE,"GLC"}</definedName>
    <definedName name="________wrn222" hidden="1">{"glc1",#N/A,FALSE,"GLC";"glc2",#N/A,FALSE,"GLC";"glc3",#N/A,FALSE,"GLC";"glc4",#N/A,FALSE,"GLC";"glc5",#N/A,FALSE,"GLC"}</definedName>
    <definedName name="________xlfn.AVERAGEIF" hidden="1">#NAME?</definedName>
    <definedName name="_______c" hidden="1">{"ÜBERSICHT",#N/A,FALSE,"ABW KUM";"Kostenzoom",#N/A,FALSE,"ABW KUM";"ÜBERSICHT",#N/A,FALSE,"ABW HORE";"Kostenzoom",#N/A,FALSE,"ABW HORE"}</definedName>
    <definedName name="_______CF2" hidden="1">{"Output%",#N/A,FALSE,"Output"}</definedName>
    <definedName name="_______hkf8" hidden="1">{"glc1",#N/A,FALSE,"GLC";"glc2",#N/A,FALSE,"GLC";"glc3",#N/A,FALSE,"GLC";"glc4",#N/A,FALSE,"GLC";"glc5",#N/A,FALSE,"GLC"}</definedName>
    <definedName name="_______new1" hidden="1">{#N/A,#N/A,FALSE,"Direct"}</definedName>
    <definedName name="_______RAC1" hidden="1">#REF!</definedName>
    <definedName name="_______rwb2" hidden="1">{#N/A,#N/A,FALSE,"Aging Summary";#N/A,#N/A,FALSE,"Ratio Analysis";#N/A,#N/A,FALSE,"Test 120 Day Accts";#N/A,#N/A,FALSE,"Tickmarks"}</definedName>
    <definedName name="_______rwn1" hidden="1">{#N/A,#N/A,FALSE,"Aging Summary";#N/A,#N/A,FALSE,"Ratio Analysis";#N/A,#N/A,FALSE,"Test 120 Day Accts";#N/A,#N/A,FALSE,"Tickmarks"}</definedName>
    <definedName name="_______rwn10" hidden="1">{#N/A,#N/A,FALSE,"Aging Summary";#N/A,#N/A,FALSE,"Ratio Analysis";#N/A,#N/A,FALSE,"Test 120 Day Accts";#N/A,#N/A,FALSE,"Tickmarks"}</definedName>
    <definedName name="_______rwn3" hidden="1">{"assets",#N/A,FALSE,"historicBS";"liab",#N/A,FALSE,"historicBS";"is",#N/A,FALSE,"historicIS";"ratios",#N/A,FALSE,"ratios"}</definedName>
    <definedName name="_______rwn4" hidden="1">{"assets",#N/A,FALSE,"historicBS";"liab",#N/A,FALSE,"historicBS";"is",#N/A,FALSE,"historicIS";"ratios",#N/A,FALSE,"ratios"}</definedName>
    <definedName name="_______rwn5" hidden="1">{"glcbs",#N/A,FALSE,"GLCBS";"glccsbs",#N/A,FALSE,"GLCCSBS";"glcis",#N/A,FALSE,"GLCIS";"glccsis",#N/A,FALSE,"GLCCSIS";"glcrat1",#N/A,FALSE,"GLC-ratios1"}</definedName>
    <definedName name="_______rwn6" hidden="1">{"glc1",#N/A,FALSE,"GLC";"glc2",#N/A,FALSE,"GLC";"glc3",#N/A,FALSE,"GLC";"glc4",#N/A,FALSE,"GLC";"glc5",#N/A,FALSE,"GLC"}</definedName>
    <definedName name="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rwn8" hidden="1">{"glc1",#N/A,FALSE,"GLC";"glc2",#N/A,FALSE,"GLC";"glc3",#N/A,FALSE,"GLC";"glc4",#N/A,FALSE,"GLC";"glc5",#N/A,FALSE,"GLC"}</definedName>
    <definedName name="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tmp1" hidden="1">{#N/A,#N/A,FALSE,"Direct"}</definedName>
    <definedName name="_______tmp3" hidden="1">{#N/A,#N/A,FALSE,"Direct"}</definedName>
    <definedName name="_______tmp4" hidden="1">{#N/A,#N/A,FALSE,"Direct"}</definedName>
    <definedName name="_______tmp5" hidden="1">{#N/A,#N/A,FALSE,"Direct"}</definedName>
    <definedName name="_______wrn1" hidden="1">{"glc1",#N/A,FALSE,"GLC";"glc2",#N/A,FALSE,"GLC";"glc3",#N/A,FALSE,"GLC";"glc4",#N/A,FALSE,"GLC";"glc5",#N/A,FALSE,"GLC"}</definedName>
    <definedName name="_______wrn2" hidden="1">{"glc1",#N/A,FALSE,"GLC";"glc2",#N/A,FALSE,"GLC";"glc3",#N/A,FALSE,"GLC";"glc4",#N/A,FALSE,"GLC";"glc5",#N/A,FALSE,"GLC"}</definedName>
    <definedName name="_______wrn222" hidden="1">{"glc1",#N/A,FALSE,"GLC";"glc2",#N/A,FALSE,"GLC";"glc3",#N/A,FALSE,"GLC";"glc4",#N/A,FALSE,"GLC";"glc5",#N/A,FALSE,"GLC"}</definedName>
    <definedName name="_______xlfn.AVERAGEIF" hidden="1">#NAME?</definedName>
    <definedName name="_______xlfn.BAHTTEXT" hidden="1">#NAME?</definedName>
    <definedName name="______c" hidden="1">{"ÜBERSICHT",#N/A,FALSE,"ABW KUM";"Kostenzoom",#N/A,FALSE,"ABW KUM";"ÜBERSICHT",#N/A,FALSE,"ABW HORE";"Kostenzoom",#N/A,FALSE,"ABW HORE"}</definedName>
    <definedName name="______CF2" hidden="1">{"Output%",#N/A,FALSE,"Output"}</definedName>
    <definedName name="______new1" hidden="1">{#N/A,#N/A,FALSE,"Direct"}</definedName>
    <definedName name="______RAC1" hidden="1">#REF!</definedName>
    <definedName name="______rwb2" hidden="1">{#N/A,#N/A,FALSE,"Aging Summary";#N/A,#N/A,FALSE,"Ratio Analysis";#N/A,#N/A,FALSE,"Test 120 Day Accts";#N/A,#N/A,FALSE,"Tickmarks"}</definedName>
    <definedName name="______rwn1" hidden="1">{#N/A,#N/A,FALSE,"Aging Summary";#N/A,#N/A,FALSE,"Ratio Analysis";#N/A,#N/A,FALSE,"Test 120 Day Accts";#N/A,#N/A,FALSE,"Tickmarks"}</definedName>
    <definedName name="______rwn10" hidden="1">{#N/A,#N/A,FALSE,"Aging Summary";#N/A,#N/A,FALSE,"Ratio Analysis";#N/A,#N/A,FALSE,"Test 120 Day Accts";#N/A,#N/A,FALSE,"Tickmarks"}</definedName>
    <definedName name="______rwn3" hidden="1">{"assets",#N/A,FALSE,"historicBS";"liab",#N/A,FALSE,"historicBS";"is",#N/A,FALSE,"historicIS";"ratios",#N/A,FALSE,"ratios"}</definedName>
    <definedName name="______rwn4" hidden="1">{"assets",#N/A,FALSE,"historicBS";"liab",#N/A,FALSE,"historicBS";"is",#N/A,FALSE,"historicIS";"ratios",#N/A,FALSE,"ratios"}</definedName>
    <definedName name="______rwn5" hidden="1">{"glcbs",#N/A,FALSE,"GLCBS";"glccsbs",#N/A,FALSE,"GLCCSBS";"glcis",#N/A,FALSE,"GLCIS";"glccsis",#N/A,FALSE,"GLCCSIS";"glcrat1",#N/A,FALSE,"GLC-ratios1"}</definedName>
    <definedName name="______rwn6" hidden="1">{"glc1",#N/A,FALSE,"GLC";"glc2",#N/A,FALSE,"GLC";"glc3",#N/A,FALSE,"GLC";"glc4",#N/A,FALSE,"GLC";"glc5",#N/A,FALSE,"GLC"}</definedName>
    <definedName name="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rwn8" hidden="1">{"glc1",#N/A,FALSE,"GLC";"glc2",#N/A,FALSE,"GLC";"glc3",#N/A,FALSE,"GLC";"glc4",#N/A,FALSE,"GLC";"glc5",#N/A,FALSE,"GLC"}</definedName>
    <definedName name="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tmp1" hidden="1">{#N/A,#N/A,FALSE,"Direct"}</definedName>
    <definedName name="______tmp3" hidden="1">{#N/A,#N/A,FALSE,"Direct"}</definedName>
    <definedName name="______tmp4" hidden="1">{#N/A,#N/A,FALSE,"Direct"}</definedName>
    <definedName name="______tmp5" hidden="1">{#N/A,#N/A,FALSE,"Direct"}</definedName>
    <definedName name="______wrn1" hidden="1">{"glc1",#N/A,FALSE,"GLC";"glc2",#N/A,FALSE,"GLC";"glc3",#N/A,FALSE,"GLC";"glc4",#N/A,FALSE,"GLC";"glc5",#N/A,FALSE,"GLC"}</definedName>
    <definedName name="______wrn2" hidden="1">{"glc1",#N/A,FALSE,"GLC";"glc2",#N/A,FALSE,"GLC";"glc3",#N/A,FALSE,"GLC";"glc4",#N/A,FALSE,"GLC";"glc5",#N/A,FALSE,"GLC"}</definedName>
    <definedName name="______wrn222" hidden="1">{"glc1",#N/A,FALSE,"GLC";"glc2",#N/A,FALSE,"GLC";"glc3",#N/A,FALSE,"GLC";"glc4",#N/A,FALSE,"GLC";"glc5",#N/A,FALSE,"GLC"}</definedName>
    <definedName name="______xlfn.AVERAGEIF" hidden="1">#NAME?</definedName>
    <definedName name="______xlfn.BAHTTEXT" hidden="1">#NAME?</definedName>
    <definedName name="_____c" hidden="1">{"ÜBERSICHT",#N/A,FALSE,"ABW KUM";"Kostenzoom",#N/A,FALSE,"ABW KUM";"ÜBERSICHT",#N/A,FALSE,"ABW HORE";"Kostenzoom",#N/A,FALSE,"ABW HORE"}</definedName>
    <definedName name="_____CF2" hidden="1">{"Output%",#N/A,FALSE,"Output"}</definedName>
    <definedName name="_____hkf8" hidden="1">{"glc1",#N/A,FALSE,"GLC";"glc2",#N/A,FALSE,"GLC";"glc3",#N/A,FALSE,"GLC";"glc4",#N/A,FALSE,"GLC";"glc5",#N/A,FALSE,"GLC"}</definedName>
    <definedName name="_____J26" hidden="1">{"DRUCK",#N/A,FALSE,"HOCHRECHNUNG KORR!!!!";"DRUCK",#N/A,FALSE,"BUDGET 1997_98";"DRUCK",#N/A,FALSE,"PL KUM";"DRUCK",#N/A,FALSE,"VJ KUM";"DRUCK",#N/A,FALSE,"IST KUM KORR!!!"}</definedName>
    <definedName name="_____j66" hidden="1">{"ÜBER mit FW","THU",FALSE,"HORE KORR!";"ÜBERSICHT",#N/A,FALSE,"BUDGET 1997_98";"ÜBER mit FW",#N/A,FALSE,"IST KUM KORR!!";"ÜBERSICHT",#N/A,FALSE,"PLAN KUM"}</definedName>
    <definedName name="_____new1" hidden="1">{#N/A,#N/A,FALSE,"Direct"}</definedName>
    <definedName name="_____RAC1" hidden="1">#REF!</definedName>
    <definedName name="_____rwb2" hidden="1">{#N/A,#N/A,FALSE,"Aging Summary";#N/A,#N/A,FALSE,"Ratio Analysis";#N/A,#N/A,FALSE,"Test 120 Day Accts";#N/A,#N/A,FALSE,"Tickmarks"}</definedName>
    <definedName name="_____rwn1" hidden="1">{#N/A,#N/A,FALSE,"Aging Summary";#N/A,#N/A,FALSE,"Ratio Analysis";#N/A,#N/A,FALSE,"Test 120 Day Accts";#N/A,#N/A,FALSE,"Tickmarks"}</definedName>
    <definedName name="_____rwn10" hidden="1">{#N/A,#N/A,FALSE,"Aging Summary";#N/A,#N/A,FALSE,"Ratio Analysis";#N/A,#N/A,FALSE,"Test 120 Day Accts";#N/A,#N/A,FALSE,"Tickmarks"}</definedName>
    <definedName name="_____rwn3" hidden="1">{"assets",#N/A,FALSE,"historicBS";"liab",#N/A,FALSE,"historicBS";"is",#N/A,FALSE,"historicIS";"ratios",#N/A,FALSE,"ratios"}</definedName>
    <definedName name="_____rwn4" hidden="1">{"assets",#N/A,FALSE,"historicBS";"liab",#N/A,FALSE,"historicBS";"is",#N/A,FALSE,"historicIS";"ratios",#N/A,FALSE,"ratios"}</definedName>
    <definedName name="_____rwn5" hidden="1">{"glcbs",#N/A,FALSE,"GLCBS";"glccsbs",#N/A,FALSE,"GLCCSBS";"glcis",#N/A,FALSE,"GLCIS";"glccsis",#N/A,FALSE,"GLCCSIS";"glcrat1",#N/A,FALSE,"GLC-ratios1"}</definedName>
    <definedName name="_____rwn6" hidden="1">{"glc1",#N/A,FALSE,"GLC";"glc2",#N/A,FALSE,"GLC";"glc3",#N/A,FALSE,"GLC";"glc4",#N/A,FALSE,"GLC";"glc5",#N/A,FALSE,"GLC"}</definedName>
    <definedName name="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rwn8" hidden="1">{"glc1",#N/A,FALSE,"GLC";"glc2",#N/A,FALSE,"GLC";"glc3",#N/A,FALSE,"GLC";"glc4",#N/A,FALSE,"GLC";"glc5",#N/A,FALSE,"GLC"}</definedName>
    <definedName name="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tmp1" hidden="1">{#N/A,#N/A,FALSE,"Direct"}</definedName>
    <definedName name="_____tmp3" hidden="1">{#N/A,#N/A,FALSE,"Direct"}</definedName>
    <definedName name="_____tmp4" hidden="1">{#N/A,#N/A,FALSE,"Direct"}</definedName>
    <definedName name="_____tmp5" hidden="1">{#N/A,#N/A,FALSE,"Direct"}</definedName>
    <definedName name="_____wrn1" hidden="1">{"glc1",#N/A,FALSE,"GLC";"glc2",#N/A,FALSE,"GLC";"glc3",#N/A,FALSE,"GLC";"glc4",#N/A,FALSE,"GLC";"glc5",#N/A,FALSE,"GLC"}</definedName>
    <definedName name="_____wrn2" hidden="1">{"glc1",#N/A,FALSE,"GLC";"glc2",#N/A,FALSE,"GLC";"glc3",#N/A,FALSE,"GLC";"glc4",#N/A,FALSE,"GLC";"glc5",#N/A,FALSE,"GLC"}</definedName>
    <definedName name="_____wrn222" hidden="1">{"glc1",#N/A,FALSE,"GLC";"glc2",#N/A,FALSE,"GLC";"glc3",#N/A,FALSE,"GLC";"glc4",#N/A,FALSE,"GLC";"glc5",#N/A,FALSE,"GLC"}</definedName>
    <definedName name="_____xlfn.AVERAGEIF" hidden="1">#NAME?</definedName>
    <definedName name="_____xlfn.BAHTTEXT" hidden="1">#NAME?</definedName>
    <definedName name="____aje2" hidden="1">5</definedName>
    <definedName name="____c" hidden="1">{"ÜBERSICHT",#N/A,FALSE,"ABW KUM";"Kostenzoom",#N/A,FALSE,"ABW KUM";"ÜBERSICHT",#N/A,FALSE,"ABW HORE";"Kostenzoom",#N/A,FALSE,"ABW HORE"}</definedName>
    <definedName name="____CF2" hidden="1">{"Output%",#N/A,FALSE,"Output"}</definedName>
    <definedName name="____cvb5" hidden="1">{"'Sheet1'!$A$1:$G$96","'Sheet1'!$A$1:$H$96"}</definedName>
    <definedName name="____hkf8" hidden="1">{"glc1",#N/A,FALSE,"GLC";"glc2",#N/A,FALSE,"GLC";"glc3",#N/A,FALSE,"GLC";"glc4",#N/A,FALSE,"GLC";"glc5",#N/A,FALSE,"GLC"}</definedName>
    <definedName name="____J26" hidden="1">{"DRUCK",#N/A,FALSE,"HOCHRECHNUNG KORR!!!!";"DRUCK",#N/A,FALSE,"BUDGET 1997_98";"DRUCK",#N/A,FALSE,"PL KUM";"DRUCK",#N/A,FALSE,"VJ KUM";"DRUCK",#N/A,FALSE,"IST KUM KORR!!!"}</definedName>
    <definedName name="____j66" hidden="1">{"ÜBER mit FW","THU",FALSE,"HORE KORR!";"ÜBERSICHT",#N/A,FALSE,"BUDGET 1997_98";"ÜBER mit FW",#N/A,FALSE,"IST KUM KORR!!";"ÜBERSICHT",#N/A,FALSE,"PLAN KUM"}</definedName>
    <definedName name="____new1" hidden="1">{#N/A,#N/A,FALSE,"Direct"}</definedName>
    <definedName name="____nm7" hidden="1">{"'Sheet1'!$A$1:$G$96","'Sheet1'!$A$1:$H$96"}</definedName>
    <definedName name="____nm8" hidden="1">{"'Sheet1'!$A$1:$G$96","'Sheet1'!$A$1:$H$96"}</definedName>
    <definedName name="____RAC1" hidden="1">#REF!</definedName>
    <definedName name="____rwb2" hidden="1">{#N/A,#N/A,FALSE,"Aging Summary";#N/A,#N/A,FALSE,"Ratio Analysis";#N/A,#N/A,FALSE,"Test 120 Day Accts";#N/A,#N/A,FALSE,"Tickmarks"}</definedName>
    <definedName name="____rwn1" hidden="1">{#N/A,#N/A,FALSE,"Aging Summary";#N/A,#N/A,FALSE,"Ratio Analysis";#N/A,#N/A,FALSE,"Test 120 Day Accts";#N/A,#N/A,FALSE,"Tickmarks"}</definedName>
    <definedName name="____rwn10" hidden="1">{#N/A,#N/A,FALSE,"Aging Summary";#N/A,#N/A,FALSE,"Ratio Analysis";#N/A,#N/A,FALSE,"Test 120 Day Accts";#N/A,#N/A,FALSE,"Tickmarks"}</definedName>
    <definedName name="____rwn3" hidden="1">{"assets",#N/A,FALSE,"historicBS";"liab",#N/A,FALSE,"historicBS";"is",#N/A,FALSE,"historicIS";"ratios",#N/A,FALSE,"ratios"}</definedName>
    <definedName name="____rwn4" hidden="1">{"assets",#N/A,FALSE,"historicBS";"liab",#N/A,FALSE,"historicBS";"is",#N/A,FALSE,"historicIS";"ratios",#N/A,FALSE,"ratios"}</definedName>
    <definedName name="____rwn5" hidden="1">{"glcbs",#N/A,FALSE,"GLCBS";"glccsbs",#N/A,FALSE,"GLCCSBS";"glcis",#N/A,FALSE,"GLCIS";"glccsis",#N/A,FALSE,"GLCCSIS";"glcrat1",#N/A,FALSE,"GLC-ratios1"}</definedName>
    <definedName name="____rwn6" hidden="1">{"glc1",#N/A,FALSE,"GLC";"glc2",#N/A,FALSE,"GLC";"glc3",#N/A,FALSE,"GLC";"glc4",#N/A,FALSE,"GLC";"glc5",#N/A,FALSE,"GLC"}</definedName>
    <definedName name="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rwn8" hidden="1">{"glc1",#N/A,FALSE,"GLC";"glc2",#N/A,FALSE,"GLC";"glc3",#N/A,FALSE,"GLC";"glc4",#N/A,FALSE,"GLC";"glc5",#N/A,FALSE,"GLC"}</definedName>
    <definedName name="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sdf2" hidden="1">{"'Sheet1'!$A$1:$G$96","'Sheet1'!$A$1:$H$96"}</definedName>
    <definedName name="____tmp1" hidden="1">{#N/A,#N/A,FALSE,"Direct"}</definedName>
    <definedName name="____tmp3" hidden="1">{#N/A,#N/A,FALSE,"Direct"}</definedName>
    <definedName name="____tmp4" hidden="1">{#N/A,#N/A,FALSE,"Direct"}</definedName>
    <definedName name="____tmp5" hidden="1">{#N/A,#N/A,FALSE,"Direct"}</definedName>
    <definedName name="____wrn1" hidden="1">{"glc1",#N/A,FALSE,"GLC";"glc2",#N/A,FALSE,"GLC";"glc3",#N/A,FALSE,"GLC";"glc4",#N/A,FALSE,"GLC";"glc5",#N/A,FALSE,"GLC"}</definedName>
    <definedName name="____wrn2" hidden="1">{"glc1",#N/A,FALSE,"GLC";"glc2",#N/A,FALSE,"GLC";"glc3",#N/A,FALSE,"GLC";"glc4",#N/A,FALSE,"GLC";"glc5",#N/A,FALSE,"GLC"}</definedName>
    <definedName name="____wrn222" hidden="1">{"glc1",#N/A,FALSE,"GLC";"glc2",#N/A,FALSE,"GLC";"glc3",#N/A,FALSE,"GLC";"glc4",#N/A,FALSE,"GLC";"glc5",#N/A,FALSE,"GLC"}</definedName>
    <definedName name="____www6" hidden="1">5</definedName>
    <definedName name="____xlfn.AVERAGEIF" hidden="1">#NAME?</definedName>
    <definedName name="____xlfn.BAHTTEXT" hidden="1">#NAME?</definedName>
    <definedName name="___111" hidden="1">#REF!</definedName>
    <definedName name="___123" hidden="1">#REF!</definedName>
    <definedName name="___aje2" hidden="1">5</definedName>
    <definedName name="___c" hidden="1">{"ÜBERSICHT",#N/A,FALSE,"ABW KUM";"Kostenzoom",#N/A,FALSE,"ABW KUM";"ÜBERSICHT",#N/A,FALSE,"ABW HORE";"Kostenzoom",#N/A,FALSE,"ABW HORE"}</definedName>
    <definedName name="___CF2" hidden="1">{"Output%",#N/A,FALSE,"Output"}</definedName>
    <definedName name="___cvb5" hidden="1">{"'Sheet1'!$A$1:$G$96","'Sheet1'!$A$1:$H$96"}</definedName>
    <definedName name="___hkf8" hidden="1">{"glc1",#N/A,FALSE,"GLC";"glc2",#N/A,FALSE,"GLC";"glc3",#N/A,FALSE,"GLC";"glc4",#N/A,FALSE,"GLC";"glc5",#N/A,FALSE,"GLC"}</definedName>
    <definedName name="___J26" hidden="1">{"DRUCK",#N/A,FALSE,"HOCHRECHNUNG KORR!!!!";"DRUCK",#N/A,FALSE,"BUDGET 1997_98";"DRUCK",#N/A,FALSE,"PL KUM";"DRUCK",#N/A,FALSE,"VJ KUM";"DRUCK",#N/A,FALSE,"IST KUM KORR!!!"}</definedName>
    <definedName name="___j66" hidden="1">{"ÜBER mit FW","THU",FALSE,"HORE KORR!";"ÜBERSICHT",#N/A,FALSE,"BUDGET 1997_98";"ÜBER mit FW",#N/A,FALSE,"IST KUM KORR!!";"ÜBERSICHT",#N/A,FALSE,"PLAN KUM"}</definedName>
    <definedName name="___new1" hidden="1">{#N/A,#N/A,FALSE,"Direct"}</definedName>
    <definedName name="___nm7" hidden="1">{"'Sheet1'!$A$1:$G$96","'Sheet1'!$A$1:$H$96"}</definedName>
    <definedName name="___nm8" hidden="1">{"'Sheet1'!$A$1:$G$96","'Sheet1'!$A$1:$H$96"}</definedName>
    <definedName name="___RAC1" hidden="1">#REF!</definedName>
    <definedName name="___rwb2" hidden="1">{#N/A,#N/A,FALSE,"Aging Summary";#N/A,#N/A,FALSE,"Ratio Analysis";#N/A,#N/A,FALSE,"Test 120 Day Accts";#N/A,#N/A,FALSE,"Tickmarks"}</definedName>
    <definedName name="___rwn1" hidden="1">{#N/A,#N/A,FALSE,"Aging Summary";#N/A,#N/A,FALSE,"Ratio Analysis";#N/A,#N/A,FALSE,"Test 120 Day Accts";#N/A,#N/A,FALSE,"Tickmarks"}</definedName>
    <definedName name="___rwn10" hidden="1">{#N/A,#N/A,FALSE,"Aging Summary";#N/A,#N/A,FALSE,"Ratio Analysis";#N/A,#N/A,FALSE,"Test 120 Day Accts";#N/A,#N/A,FALSE,"Tickmarks"}</definedName>
    <definedName name="___rwn3" hidden="1">{"assets",#N/A,FALSE,"historicBS";"liab",#N/A,FALSE,"historicBS";"is",#N/A,FALSE,"historicIS";"ratios",#N/A,FALSE,"ratios"}</definedName>
    <definedName name="___rwn4" hidden="1">{"assets",#N/A,FALSE,"historicBS";"liab",#N/A,FALSE,"historicBS";"is",#N/A,FALSE,"historicIS";"ratios",#N/A,FALSE,"ratios"}</definedName>
    <definedName name="___rwn5" hidden="1">{"glcbs",#N/A,FALSE,"GLCBS";"glccsbs",#N/A,FALSE,"GLCCSBS";"glcis",#N/A,FALSE,"GLCIS";"glccsis",#N/A,FALSE,"GLCCSIS";"glcrat1",#N/A,FALSE,"GLC-ratios1"}</definedName>
    <definedName name="___rwn6" hidden="1">{"glc1",#N/A,FALSE,"GLC";"glc2",#N/A,FALSE,"GLC";"glc3",#N/A,FALSE,"GLC";"glc4",#N/A,FALSE,"GLC";"glc5",#N/A,FALSE,"GLC"}</definedName>
    <definedName name="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rwn8" hidden="1">{"glc1",#N/A,FALSE,"GLC";"glc2",#N/A,FALSE,"GLC";"glc3",#N/A,FALSE,"GLC";"glc4",#N/A,FALSE,"GLC";"glc5",#N/A,FALSE,"GLC"}</definedName>
    <definedName name="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sdf2" hidden="1">{"'Sheet1'!$A$1:$G$96","'Sheet1'!$A$1:$H$96"}</definedName>
    <definedName name="___tmp1" hidden="1">{#N/A,#N/A,FALSE,"Direct"}</definedName>
    <definedName name="___tmp3" hidden="1">{#N/A,#N/A,FALSE,"Direct"}</definedName>
    <definedName name="___tmp4" hidden="1">{#N/A,#N/A,FALSE,"Direct"}</definedName>
    <definedName name="___tmp5" hidden="1">{#N/A,#N/A,FALSE,"Direct"}</definedName>
    <definedName name="___wrn1" hidden="1">{"glc1",#N/A,FALSE,"GLC";"glc2",#N/A,FALSE,"GLC";"glc3",#N/A,FALSE,"GLC";"glc4",#N/A,FALSE,"GLC";"glc5",#N/A,FALSE,"GLC"}</definedName>
    <definedName name="___wrn2" hidden="1">{"glc1",#N/A,FALSE,"GLC";"glc2",#N/A,FALSE,"GLC";"glc3",#N/A,FALSE,"GLC";"glc4",#N/A,FALSE,"GLC";"glc5",#N/A,FALSE,"GLC"}</definedName>
    <definedName name="___wrn222" hidden="1">{"glc1",#N/A,FALSE,"GLC";"glc2",#N/A,FALSE,"GLC";"glc3",#N/A,FALSE,"GLC";"glc4",#N/A,FALSE,"GLC";"glc5",#N/A,FALSE,"GLC"}</definedName>
    <definedName name="___www6" hidden="1">5</definedName>
    <definedName name="___xlfn.AVERAGEIF" hidden="1">#NAME?</definedName>
    <definedName name="___xlfn.BAHTTEXT" hidden="1">#NAME?</definedName>
    <definedName name="__1__123Graph_ACHART_4" hidden="1">#REF!</definedName>
    <definedName name="__10__123Graph_CCHART_7" hidden="1">#REF!</definedName>
    <definedName name="__12__123Graph_CCHART_8" hidden="1">#REF!</definedName>
    <definedName name="__1212" hidden="1">#REF!</definedName>
    <definedName name="__123" hidden="1">#REF!</definedName>
    <definedName name="__123_" hidden="1">#REF!</definedName>
    <definedName name="__123123" hidden="1">#REF!</definedName>
    <definedName name="__123Graph" hidden="1">#REF!</definedName>
    <definedName name="__123Graph_A" hidden="1">#REF!</definedName>
    <definedName name="__123Graph_ACRPIE90" hidden="1">#REF!</definedName>
    <definedName name="__123Graph_ACRPIE91" hidden="1">#REF!</definedName>
    <definedName name="__123Graph_ACRPIE92" hidden="1">#REF!</definedName>
    <definedName name="__123Graph_ACRPIE93" hidden="1">#REF!</definedName>
    <definedName name="__123Graph_AMAIN"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LBL_A" hidden="1">#REF!</definedName>
    <definedName name="__123Graph_LBL_ACRPIE90" hidden="1">#REF!</definedName>
    <definedName name="__123Graph_LBL_ACRPIE91" hidden="1">#REF!</definedName>
    <definedName name="__123Graph_LBL_ACRPIE92" hidden="1">#REF!</definedName>
    <definedName name="__123Graph_LBL_ACRPIE93" hidden="1">#REF!</definedName>
    <definedName name="__123Graph_LBL_AGraph1" hidden="1">#REF!</definedName>
    <definedName name="__123Graph_LBL_B" hidden="1">#REF!</definedName>
    <definedName name="__123Graph_LBL_BGraph1" hidden="1">#REF!</definedName>
    <definedName name="__123Graph_X" hidden="1">#REF!</definedName>
    <definedName name="__123Graph_XDuPont" hidden="1">#REF!</definedName>
    <definedName name="__14__123Graph_DCHART_8" hidden="1">#REF!</definedName>
    <definedName name="__16__123Graph_LBL_ACHART_7" hidden="1">#REF!</definedName>
    <definedName name="__18__123Graph_LBL_ADIAGR_22" hidden="1">#REF!</definedName>
    <definedName name="__2__123Graph_ACHART_7" hidden="1">#REF!</definedName>
    <definedName name="__2__123Graph_XCHART_3" hidden="1">#REF!</definedName>
    <definedName name="__20__123Graph_LBL_BCHART_7" hidden="1">#REF!</definedName>
    <definedName name="__22__123Graph_LBL_BCHART_8" hidden="1">#REF!</definedName>
    <definedName name="__24__123Graph_LBL_CCHART_7" hidden="1">#REF!</definedName>
    <definedName name="__26__123Graph_LBL_CCHART_8" hidden="1">#REF!</definedName>
    <definedName name="__28__123Graph_LBL_DCHART_8" hidden="1">#REF!</definedName>
    <definedName name="__3__123Graph_XCHART_4" hidden="1">#REF!</definedName>
    <definedName name="__30__123Graph_XCHART_8" hidden="1">#REF!</definedName>
    <definedName name="__4__123Graph_ADIAGR_22" hidden="1">#REF!</definedName>
    <definedName name="__4aaa" hidden="1">{#N/A,#N/A,FALSE,"Aging Summary";#N/A,#N/A,FALSE,"Ratio Analysis";#N/A,#N/A,FALSE,"Test 120 Day Accts";#N/A,#N/A,FALSE,"Tickmarks"}</definedName>
    <definedName name="__6__123Graph_BCHART_7" hidden="1">#REF!</definedName>
    <definedName name="__8__123Graph_BCHART_8" hidden="1">#REF!</definedName>
    <definedName name="__aje2" hidden="1">5</definedName>
    <definedName name="__AS22006" hidden="1">"AS2DocumentBrowse"</definedName>
    <definedName name="__c" hidden="1">{"ÜBERSICHT",#N/A,FALSE,"ABW KUM";"Kostenzoom",#N/A,FALSE,"ABW KUM";"ÜBERSICHT",#N/A,FALSE,"ABW HORE";"Kostenzoom",#N/A,FALSE,"ABW HORE"}</definedName>
    <definedName name="__CF2" hidden="1">{"Output%",#N/A,FALSE,"Output"}</definedName>
    <definedName name="__cvb5" hidden="1">{"'Sheet1'!$A$1:$G$96","'Sheet1'!$A$1:$H$96"}</definedName>
    <definedName name="__FDS_HYPERLINK_TOGGLE_STATE__" hidden="1">"ON"</definedName>
    <definedName name="__hkf8" hidden="1">{"glc1",#N/A,FALSE,"GLC";"glc2",#N/A,FALSE,"GLC";"glc3",#N/A,FALSE,"GLC";"glc4",#N/A,FALSE,"GLC";"glc5",#N/A,FALSE,"GLC"}</definedName>
    <definedName name="__IntlFixup" hidden="1">TRUE</definedName>
    <definedName name="__J26" hidden="1">{"DRUCK",#N/A,FALSE,"HOCHRECHNUNG KORR!!!!";"DRUCK",#N/A,FALSE,"BUDGET 1997_98";"DRUCK",#N/A,FALSE,"PL KUM";"DRUCK",#N/A,FALSE,"VJ KUM";"DRUCK",#N/A,FALSE,"IST KUM KORR!!!"}</definedName>
    <definedName name="__j66" hidden="1">{"ÜBER mit FW","THU",FALSE,"HORE KORR!";"ÜBERSICHT",#N/A,FALSE,"BUDGET 1997_98";"ÜBER mit FW",#N/A,FALSE,"IST KUM KORR!!";"ÜBERSICHT",#N/A,FALSE,"PLAN KUM"}</definedName>
    <definedName name="__new1" hidden="1">{#N/A,#N/A,FALSE,"Direct"}</definedName>
    <definedName name="__nm7" hidden="1">{"'Sheet1'!$A$1:$G$96","'Sheet1'!$A$1:$H$96"}</definedName>
    <definedName name="__nm8" hidden="1">{"'Sheet1'!$A$1:$G$96","'Sheet1'!$A$1:$H$96"}</definedName>
    <definedName name="__ot97" hidden="1">#REF!,#REF!,#REF!,#REF!,#REF!,#REF!,#REF!</definedName>
    <definedName name="__RAC1" hidden="1">#REF!</definedName>
    <definedName name="__rwb2" hidden="1">{#N/A,#N/A,FALSE,"Aging Summary";#N/A,#N/A,FALSE,"Ratio Analysis";#N/A,#N/A,FALSE,"Test 120 Day Accts";#N/A,#N/A,FALSE,"Tickmarks"}</definedName>
    <definedName name="__rwn1" hidden="1">{#N/A,#N/A,FALSE,"Aging Summary";#N/A,#N/A,FALSE,"Ratio Analysis";#N/A,#N/A,FALSE,"Test 120 Day Accts";#N/A,#N/A,FALSE,"Tickmarks"}</definedName>
    <definedName name="__rwn10" hidden="1">{#N/A,#N/A,FALSE,"Aging Summary";#N/A,#N/A,FALSE,"Ratio Analysis";#N/A,#N/A,FALSE,"Test 120 Day Accts";#N/A,#N/A,FALSE,"Tickmarks"}</definedName>
    <definedName name="__rwn3" hidden="1">{"assets",#N/A,FALSE,"historicBS";"liab",#N/A,FALSE,"historicBS";"is",#N/A,FALSE,"historicIS";"ratios",#N/A,FALSE,"ratios"}</definedName>
    <definedName name="__rwn4" hidden="1">{"assets",#N/A,FALSE,"historicBS";"liab",#N/A,FALSE,"historicBS";"is",#N/A,FALSE,"historicIS";"ratios",#N/A,FALSE,"ratios"}</definedName>
    <definedName name="__rwn5" hidden="1">{"glcbs",#N/A,FALSE,"GLCBS";"glccsbs",#N/A,FALSE,"GLCCSBS";"glcis",#N/A,FALSE,"GLCIS";"glccsis",#N/A,FALSE,"GLCCSIS";"glcrat1",#N/A,FALSE,"GLC-ratios1"}</definedName>
    <definedName name="__rwn6" hidden="1">{"glc1",#N/A,FALSE,"GLC";"glc2",#N/A,FALSE,"GLC";"glc3",#N/A,FALSE,"GLC";"glc4",#N/A,FALSE,"GLC";"glc5",#N/A,FALSE,"GLC"}</definedName>
    <definedName name="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rwn8" hidden="1">{"glc1",#N/A,FALSE,"GLC";"glc2",#N/A,FALSE,"GLC";"glc3",#N/A,FALSE,"GLC";"glc4",#N/A,FALSE,"GLC";"glc5",#N/A,FALSE,"GLC"}</definedName>
    <definedName name="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sdf2" hidden="1">{"'Sheet1'!$A$1:$G$96","'Sheet1'!$A$1:$H$96"}</definedName>
    <definedName name="__tmp1" hidden="1">{#N/A,#N/A,FALSE,"Direct"}</definedName>
    <definedName name="__tmp3" hidden="1">{#N/A,#N/A,FALSE,"Direct"}</definedName>
    <definedName name="__tmp4" hidden="1">{#N/A,#N/A,FALSE,"Direct"}</definedName>
    <definedName name="__tmp5" hidden="1">{#N/A,#N/A,FALSE,"Direct"}</definedName>
    <definedName name="__uu1" hidden="1">{#N/A,#N/A,TRUE,"Engineering Dept";#N/A,#N/A,TRUE,"Sales Dept";#N/A,#N/A,TRUE,"Marketing Dept";#N/A,#N/A,TRUE,"Admin Dept"}</definedName>
    <definedName name="__wrn1" hidden="1">{"glc1",#N/A,FALSE,"GLC";"glc2",#N/A,FALSE,"GLC";"glc3",#N/A,FALSE,"GLC";"glc4",#N/A,FALSE,"GLC";"glc5",#N/A,FALSE,"GLC"}</definedName>
    <definedName name="__wrn2" hidden="1">{"glc1",#N/A,FALSE,"GLC";"glc2",#N/A,FALSE,"GLC";"glc3",#N/A,FALSE,"GLC";"glc4",#N/A,FALSE,"GLC";"glc5",#N/A,FALSE,"GLC"}</definedName>
    <definedName name="__wrn222" hidden="1">{"glc1",#N/A,FALSE,"GLC";"glc2",#N/A,FALSE,"GLC";"glc3",#N/A,FALSE,"GLC";"glc4",#N/A,FALSE,"GLC";"glc5",#N/A,FALSE,"GLC"}</definedName>
    <definedName name="__www6" hidden="1">5</definedName>
    <definedName name="__xlfn.AVERAGEIF" hidden="1">#NAME?</definedName>
    <definedName name="__xlfn.BAHTTEXT" hidden="1">#NAME?</definedName>
    <definedName name="_1" hidden="1">#REF!</definedName>
    <definedName name="_1_________________________________________________123Graph_XCHART_4" hidden="1">#REF!</definedName>
    <definedName name="_1_________________123Graph_XCHART_4" hidden="1">#REF!</definedName>
    <definedName name="_1____123Graph_ACHART_4" hidden="1">#REF!</definedName>
    <definedName name="_1___123Graph_ACHART_4" hidden="1">#REF!</definedName>
    <definedName name="_1___123Graph_XCHART_4" hidden="1">#REF!</definedName>
    <definedName name="_1__123Graph_AChart_1A" hidden="1">#REF!</definedName>
    <definedName name="_1__123Graph_ACHART_4" hidden="1">#REF!</definedName>
    <definedName name="_1__123Graph_ACHART_7" hidden="1">#REF!</definedName>
    <definedName name="_10__________________________________________123Graph_ACHART_4" hidden="1">#REF!</definedName>
    <definedName name="_10_____________123Graph_XCHART_3" hidden="1">#REF!</definedName>
    <definedName name="_10____123Graph_XђҐ­в_ЎҐ_м­_бвм" hidden="1">#REF!</definedName>
    <definedName name="_10__123Graph_CCHART_7" hidden="1">#REF!</definedName>
    <definedName name="_10__123Graph_LBL_ADIAGR_22" hidden="1">#REF!</definedName>
    <definedName name="_10__123Graph_LBL_BCHART_7" hidden="1">#REF!</definedName>
    <definedName name="_100____________123Graph_ACHART_4" hidden="1">#REF!</definedName>
    <definedName name="_101____________123Graph_XCHART_3" hidden="1">#REF!</definedName>
    <definedName name="_102____________123Graph_XCHART_4" hidden="1">#REF!</definedName>
    <definedName name="_103___________123Graph_ACHART_4" hidden="1">#REF!</definedName>
    <definedName name="_104___________123Graph_XCHART_3" hidden="1">#REF!</definedName>
    <definedName name="_105___________123Graph_XCHART_4" hidden="1">#REF!</definedName>
    <definedName name="_106__________123Graph_ACHART_4" hidden="1">#REF!</definedName>
    <definedName name="_107__________123Graph_XCHART_3" hidden="1">#REF!</definedName>
    <definedName name="_108__________123Graph_XCHART_4" hidden="1">#REF!</definedName>
    <definedName name="_109_________123Graph_ACHART_4" hidden="1">#REF!</definedName>
    <definedName name="_11__________________________________________123Graph_XCHART_3" hidden="1">#REF!</definedName>
    <definedName name="_11_____________123Graph_XCHART_4" hidden="1">#REF!</definedName>
    <definedName name="_11____123Graph_XЋЎ_а_з.__Єв._1" hidden="1">#REF!</definedName>
    <definedName name="_11__123Graph_LBL_BCHART_7" hidden="1">#REF!</definedName>
    <definedName name="_11__123Graph_LBL_BCHART_8" hidden="1">#REF!</definedName>
    <definedName name="_110_________123Graph_XCHART_3" hidden="1">#REF!</definedName>
    <definedName name="_111_________123Graph_XCHART_4" hidden="1">#REF!</definedName>
    <definedName name="_112________123Graph_ACHART_4" hidden="1">#REF!</definedName>
    <definedName name="_113________123Graph_XCHART_3" hidden="1">#REF!</definedName>
    <definedName name="_114________123Graph_XCHART_4" hidden="1">#REF!</definedName>
    <definedName name="_115_______123Graph_ACHART_4" hidden="1">#REF!</definedName>
    <definedName name="_116_______123Graph_XCHART_3" hidden="1">#REF!</definedName>
    <definedName name="_117_______123Graph_XCHART_4" hidden="1">#REF!</definedName>
    <definedName name="_118______123Graph_ACHART_4" hidden="1">#REF!</definedName>
    <definedName name="_119______123Graph_XCHART_3" hidden="1">#REF!</definedName>
    <definedName name="_12__________________________________________123Graph_XCHART_4" hidden="1">#REF!</definedName>
    <definedName name="_12____________123Graph_ACHART_4" hidden="1">#REF!</definedName>
    <definedName name="_12____123Graph_XЋЎ_а_в­л__Є_ЇЁв" hidden="1">#REF!</definedName>
    <definedName name="_12__123Graph_CCHART_8" hidden="1">#REF!</definedName>
    <definedName name="_12__123Graph_LBL_BCHART_8" hidden="1">#REF!</definedName>
    <definedName name="_12__123Graph_LBL_CCHART_7" hidden="1">#REF!</definedName>
    <definedName name="_120______123Graph_XCHART_4" hidden="1">#REF!</definedName>
    <definedName name="_121_____123Graph_ACHART_4" hidden="1">#REF!</definedName>
    <definedName name="_122_____123Graph_XCHART_3" hidden="1">#REF!</definedName>
    <definedName name="_123" hidden="1">#REF!</definedName>
    <definedName name="_123_____123Graph_XCHART_4" hidden="1">#REF!</definedName>
    <definedName name="_1234" hidden="1">#REF!</definedName>
    <definedName name="_12345" hidden="1">#REF!</definedName>
    <definedName name="_124____123Graph_ACHART_4" hidden="1">#REF!</definedName>
    <definedName name="_124GraphA" hidden="1">#REF!</definedName>
    <definedName name="_125____123Graph_XCHART_3" hidden="1">#REF!</definedName>
    <definedName name="_126____123Graph_XCHART_4" hidden="1">#REF!</definedName>
    <definedName name="_127___123Graph_ACHART_4" hidden="1">#REF!</definedName>
    <definedName name="_128___123Graph_XCHART_3" hidden="1">#REF!</definedName>
    <definedName name="_129___123Graph_XCHART_4" hidden="1">#REF!</definedName>
    <definedName name="_13_________________________________________123Graph_ACHART_4" hidden="1">#REF!</definedName>
    <definedName name="_13____________123Graph_XCHART_3" hidden="1">#REF!</definedName>
    <definedName name="_13__123Graph_LBL_CCHART_7" hidden="1">#REF!</definedName>
    <definedName name="_13__123Graph_LBL_CCHART_8" hidden="1">#REF!</definedName>
    <definedName name="_130__123Graph_ACHART_4" hidden="1">#REF!</definedName>
    <definedName name="_131__123Graph_XCHART_3" hidden="1">#REF!</definedName>
    <definedName name="_132__123Graph_XCHART_4" hidden="1">#REF!</definedName>
    <definedName name="_134aaa" hidden="1">{#N/A,#N/A,FALSE,"Aging Summary";#N/A,#N/A,FALSE,"Ratio Analysis";#N/A,#N/A,FALSE,"Test 120 Day Accts";#N/A,#N/A,FALSE,"Tickmarks"}</definedName>
    <definedName name="_14_________________________________________123Graph_XCHART_3" hidden="1">#REF!</definedName>
    <definedName name="_14____________123Graph_XCHART_4" hidden="1">#REF!</definedName>
    <definedName name="_14___123Graph_AЋЎ_а_в­л__Є_ЇЁв" hidden="1">#REF!</definedName>
    <definedName name="_14__123Graph_DCHART_8" hidden="1">#REF!</definedName>
    <definedName name="_14__123Graph_LBL_CCHART_8" hidden="1">#REF!</definedName>
    <definedName name="_14__123Graph_LBL_DCHART_8" hidden="1">#REF!</definedName>
    <definedName name="_15_________________________________________123Graph_XCHART_4" hidden="1">#REF!</definedName>
    <definedName name="_15___________123Graph_ACHART_4" hidden="1">#REF!</definedName>
    <definedName name="_15__123Graph_LBL_DCHART_8" hidden="1">#REF!</definedName>
    <definedName name="_15__123Graph_XCHART_8" hidden="1">#REF!</definedName>
    <definedName name="_16________________________________________123Graph_ACHART_4" hidden="1">#REF!</definedName>
    <definedName name="_16___________123Graph_XCHART_3" hidden="1">#REF!</definedName>
    <definedName name="_16____123Graph_EЋЎ_а_в­л__Є_ЇЁв" hidden="1">#REF!</definedName>
    <definedName name="_16___123Graph_BЋЎ_а_в­л__Є_ЇЁв" hidden="1">#REF!</definedName>
    <definedName name="_16__123Graph_EЋЎ_а_в­л__Є_ЇЁв" hidden="1">#REF!</definedName>
    <definedName name="_16__123Graph_LBL_ACHART_7" hidden="1">#REF!</definedName>
    <definedName name="_16__123Graph_XCHART_8" hidden="1">#REF!</definedName>
    <definedName name="_17________________________________________123Graph_XCHART_3" hidden="1">#REF!</definedName>
    <definedName name="_17___________123Graph_XCHART_4" hidden="1">#REF!</definedName>
    <definedName name="_18________________________________________123Graph_XCHART_4" hidden="1">#REF!</definedName>
    <definedName name="_18__________123Graph_ACHART_4" hidden="1">#REF!</definedName>
    <definedName name="_18__123Graph_LBL_ADIAGR_22" hidden="1">#REF!</definedName>
    <definedName name="_19_______________________________________123Graph_ACHART_4" hidden="1">#REF!</definedName>
    <definedName name="_19__________123Graph_XCHART_3" hidden="1">#REF!</definedName>
    <definedName name="_2________________________________________________123Graph_XCHART_4" hidden="1">#REF!</definedName>
    <definedName name="_2________________123Graph_XCHART_4" hidden="1">#REF!</definedName>
    <definedName name="_2____123Graph_AЋЎ_а_в­л__Є_ЇЁв" hidden="1">#REF!</definedName>
    <definedName name="_2____123Graph_XCHART_3" hidden="1">#REF!</definedName>
    <definedName name="_2___123Graph_XCHART_3" hidden="1">#REF!</definedName>
    <definedName name="_2__123Graph_AChart_1A" hidden="1">#REF!</definedName>
    <definedName name="_2__123Graph_ACHART_4" hidden="1">#REF!</definedName>
    <definedName name="_2__123Graph_ACHART_7" hidden="1">#REF!</definedName>
    <definedName name="_2__123Graph_ADIAGR_22" hidden="1">#REF!</definedName>
    <definedName name="_2__123Graph_BChart_1A" hidden="1">#REF!</definedName>
    <definedName name="_2__123Graph_XCHART_3" hidden="1">#REF!</definedName>
    <definedName name="_20_______________________________________123Graph_XCHART_3" hidden="1">#REF!</definedName>
    <definedName name="_20__________123Graph_XCHART_4" hidden="1">#REF!</definedName>
    <definedName name="_20____123Graph_XђҐ­в_ЎҐ_м­_бвм" hidden="1">#REF!</definedName>
    <definedName name="_20___123Graph_EЋЎ_а_в­л__Є_ЇЁв" hidden="1">#REF!</definedName>
    <definedName name="_20__123Graph_LBL_BCHART_7" hidden="1">#REF!</definedName>
    <definedName name="_20__123Graph_XђҐ­в_ЎҐ_м­_бвм" hidden="1">#REF!</definedName>
    <definedName name="_21_______________________________________123Graph_XCHART_4" hidden="1">#REF!</definedName>
    <definedName name="_21_________123Graph_ACHART_4" hidden="1">#REF!</definedName>
    <definedName name="_22______________________________________123Graph_ACHART_4" hidden="1">#REF!</definedName>
    <definedName name="_22_________123Graph_XCHART_3" hidden="1">#REF!</definedName>
    <definedName name="_22____123Graph_XЋЎ_а_з.__Єв._1" hidden="1">#REF!</definedName>
    <definedName name="_22___123Graph_XђҐ­в_ЎҐ_м­_бвм" hidden="1">#REF!</definedName>
    <definedName name="_22__123Graph_LBL_BCHART_8" hidden="1">#REF!</definedName>
    <definedName name="_22__123Graph_XЋЎ_а_з.__Єв._1" hidden="1">#REF!</definedName>
    <definedName name="_23______________________________________123Graph_XCHART_3" hidden="1">#REF!</definedName>
    <definedName name="_23_________123Graph_XCHART_4" hidden="1">#REF!</definedName>
    <definedName name="_23___123Graph_XЋЎ_а_з.__Єв._1" hidden="1">#REF!</definedName>
    <definedName name="_24______________________________________123Graph_XCHART_4" hidden="1">#REF!</definedName>
    <definedName name="_24________123Graph_ACHART_4" hidden="1">#REF!</definedName>
    <definedName name="_24____123Graph_XЋЎ_а_в­л__Є_ЇЁв" hidden="1">#REF!</definedName>
    <definedName name="_24___123Graph_XЋЎ_а_в­л__Є_ЇЁв" hidden="1">#REF!</definedName>
    <definedName name="_24__123Graph_LBL_CCHART_7" hidden="1">#REF!</definedName>
    <definedName name="_24__123Graph_XЋЎ_а_в­л__Є_ЇЁв" hidden="1">#REF!</definedName>
    <definedName name="_25_____________________________________123Graph_ACHART_4" hidden="1">#REF!</definedName>
    <definedName name="_25________123Graph_XCHART_3" hidden="1">#REF!</definedName>
    <definedName name="_26_____________________________________123Graph_XCHART_3" hidden="1">#REF!</definedName>
    <definedName name="_26________123Graph_XCHART_4" hidden="1">#REF!</definedName>
    <definedName name="_26__123Graph_LBL_CCHART_8" hidden="1">#REF!</definedName>
    <definedName name="_27_____________________________________123Graph_XCHART_4" hidden="1">#REF!</definedName>
    <definedName name="_27_______123Graph_ACHART_4" hidden="1">#REF!</definedName>
    <definedName name="_28____________________________________123Graph_ACHART_4" hidden="1">#REF!</definedName>
    <definedName name="_28_______123Graph_XCHART_3" hidden="1">#REF!</definedName>
    <definedName name="_28___123Graph_AЋЎ_а_в­л__Є_ЇЁв" hidden="1">#REF!</definedName>
    <definedName name="_28__123Graph_LBL_DCHART_8" hidden="1">#REF!</definedName>
    <definedName name="_29____________________________________123Graph_XCHART_3" hidden="1">#REF!</definedName>
    <definedName name="_29_______123Graph_XCHART_4" hidden="1">#REF!</definedName>
    <definedName name="_3_______________________________________________123Graph_XCHART_4" hidden="1">#REF!</definedName>
    <definedName name="_3_______________123Graph_ACHART_4" hidden="1">#REF!</definedName>
    <definedName name="_3____123Graph_XCHART_4" hidden="1">#REF!</definedName>
    <definedName name="_3___123Graph_XCHART_4" hidden="1">#REF!</definedName>
    <definedName name="_3__123Graph_ADIAGR_22" hidden="1">#REF!</definedName>
    <definedName name="_3__123Graph_BChart_1A" hidden="1">#REF!</definedName>
    <definedName name="_3__123Graph_BCHART_7" hidden="1">#REF!</definedName>
    <definedName name="_3__123Graph_XCHART_3" hidden="1">#REF!</definedName>
    <definedName name="_3__123Graph_XCHART_4" hidden="1">#REF!</definedName>
    <definedName name="_30____________________________________123Graph_XCHART_4" hidden="1">#REF!</definedName>
    <definedName name="_30______123Graph_ACHART_4" hidden="1">#REF!</definedName>
    <definedName name="_30__123Graph_XCHART_8" hidden="1">#REF!</definedName>
    <definedName name="_31___________________________________123Graph_ACHART_4" hidden="1">#REF!</definedName>
    <definedName name="_31______123Graph_XCHART_3" hidden="1">#REF!</definedName>
    <definedName name="_32___________________________________123Graph_XCHART_3" hidden="1">#REF!</definedName>
    <definedName name="_32______123Graph_XCHART_4" hidden="1">#REF!</definedName>
    <definedName name="_32___123Graph_BЋЎ_а_в­л__Є_ЇЁв" hidden="1">#REF!</definedName>
    <definedName name="_33___________________________________123Graph_XCHART_4" hidden="1">#REF!</definedName>
    <definedName name="_33_____123Graph_ACHART_4" hidden="1">#REF!</definedName>
    <definedName name="_34__________________________________123Graph_ACHART_4" hidden="1">#REF!</definedName>
    <definedName name="_34_____123Graph_XCHART_3" hidden="1">#REF!</definedName>
    <definedName name="_345345" hidden="1">{"glc1",#N/A,FALSE,"GLC";"glc2",#N/A,FALSE,"GLC";"glc3",#N/A,FALSE,"GLC";"glc4",#N/A,FALSE,"GLC";"glc5",#N/A,FALSE,"GLC"}</definedName>
    <definedName name="_35__________________________________123Graph_XCHART_3" hidden="1">#REF!</definedName>
    <definedName name="_35_____123Graph_XCHART_4" hidden="1">#REF!</definedName>
    <definedName name="_36__________________________________123Graph_XCHART_4" hidden="1">#REF!</definedName>
    <definedName name="_36____123Graph_ACHART_4" hidden="1">#REF!</definedName>
    <definedName name="_37_________________________________123Graph_ACHART_4" hidden="1">#REF!</definedName>
    <definedName name="_37____123Graph_XCHART_3" hidden="1">#REF!</definedName>
    <definedName name="_38_________________________________123Graph_XCHART_3" hidden="1">#REF!</definedName>
    <definedName name="_38____123Graph_XCHART_4" hidden="1">#REF!</definedName>
    <definedName name="_39_________________________________123Graph_XCHART_4" hidden="1">#REF!</definedName>
    <definedName name="_39___123Graph_ACHART_4" hidden="1">#REF!</definedName>
    <definedName name="_4______________________________________________123Graph_XCHART_4" hidden="1">#REF!</definedName>
    <definedName name="_4_______________123Graph_XCHART_3" hidden="1">#REF!</definedName>
    <definedName name="_4____123Graph_AЋЎ_а_в­л__Є_ЇЁв" hidden="1">#REF!</definedName>
    <definedName name="_4____123Graph_BЋЎ_а_в­л__Є_ЇЁв" hidden="1">#REF!</definedName>
    <definedName name="_4___123Graph_ACHART_4" hidden="1">#REF!</definedName>
    <definedName name="_4__123Graph_ACHART_4" hidden="1">#REF!</definedName>
    <definedName name="_4__123Graph_ADIAGR_22" hidden="1">#REF!</definedName>
    <definedName name="_4__123Graph_AЋЎ_а_в­л__Є_ЇЁв" hidden="1">#REF!</definedName>
    <definedName name="_4__123Graph_BChart_1A" hidden="1">#REF!</definedName>
    <definedName name="_4__123Graph_BCHART_7" hidden="1">#REF!</definedName>
    <definedName name="_4__123Graph_BCHART_8" hidden="1">#REF!</definedName>
    <definedName name="_4__123Graph_XCHART_3" hidden="1">#REF!</definedName>
    <definedName name="_4__123Graph_XCHART_4" hidden="1">#REF!</definedName>
    <definedName name="_40________________________________123Graph_ACHART_4" hidden="1">#REF!</definedName>
    <definedName name="_40___123Graph_EЋЎ_а_в­л__Є_ЇЁв" hidden="1">#REF!</definedName>
    <definedName name="_40___123Graph_XCHART_3" hidden="1">#REF!</definedName>
    <definedName name="_41________________________________123Graph_XCHART_3" hidden="1">#REF!</definedName>
    <definedName name="_41___123Graph_XCHART_4" hidden="1">#REF!</definedName>
    <definedName name="_42________________________________123Graph_XCHART_4" hidden="1">#REF!</definedName>
    <definedName name="_42__123Graph_ACHART_4" hidden="1">#REF!</definedName>
    <definedName name="_43_______________________________123Graph_ACHART_4" hidden="1">#REF!</definedName>
    <definedName name="_43__123Graph_XCHART_3" hidden="1">#REF!</definedName>
    <definedName name="_44_______________________________123Graph_XCHART_3" hidden="1">#REF!</definedName>
    <definedName name="_44___123Graph_XђҐ­в_ЎҐ_м­_бвм" hidden="1">#REF!</definedName>
    <definedName name="_44__123Graph_XCHART_4" hidden="1">#REF!</definedName>
    <definedName name="_45_______________________________123Graph_XCHART_4" hidden="1">#REF!</definedName>
    <definedName name="_46______________________________123Graph_ACHART_4" hidden="1">#REF!</definedName>
    <definedName name="_46___123Graph_XЋЎ_а_з.__Єв._1" hidden="1">#REF!</definedName>
    <definedName name="_47______________________________123Graph_XCHART_3" hidden="1">#REF!</definedName>
    <definedName name="_48______________________________123Graph_XCHART_4" hidden="1">#REF!</definedName>
    <definedName name="_48___123Graph_XЋЎ_а_в­л__Є_ЇЁв" hidden="1">#REF!</definedName>
    <definedName name="_49_____________________________123Graph_ACHART_4" hidden="1">#REF!</definedName>
    <definedName name="_4aaa" hidden="1">{#N/A,#N/A,FALSE,"Aging Summary";#N/A,#N/A,FALSE,"Ratio Analysis";#N/A,#N/A,FALSE,"Test 120 Day Accts";#N/A,#N/A,FALSE,"Tickmarks"}</definedName>
    <definedName name="_5_____________________________________________123Graph_XCHART_4" hidden="1">#REF!</definedName>
    <definedName name="_5_______________123Graph_XCHART_4" hidden="1">#REF!</definedName>
    <definedName name="_5___123Graph_XCHART_3" hidden="1">#REF!</definedName>
    <definedName name="_5__123Graph_BCHART_8" hidden="1">#REF!</definedName>
    <definedName name="_5__123Graph_CCHART_7" hidden="1">#REF!</definedName>
    <definedName name="_5__123Graph_XCHART_3" hidden="1">#REF!</definedName>
    <definedName name="_5__123Graph_XCHART_4" hidden="1">#REF!</definedName>
    <definedName name="_50_____________________________123Graph_XCHART_3" hidden="1">#REF!</definedName>
    <definedName name="_51_____________________________123Graph_XCHART_4" hidden="1">#REF!</definedName>
    <definedName name="_52____________________________123Graph_ACHART_4" hidden="1">#REF!</definedName>
    <definedName name="_53____________________________123Graph_XCHART_3" hidden="1">#REF!</definedName>
    <definedName name="_54____________________________123Graph_XCHART_4" hidden="1">#REF!</definedName>
    <definedName name="_54__123Graph_AЋЎ_а_в­л__Є_ЇЁв" hidden="1">#REF!</definedName>
    <definedName name="_55___________________________123Graph_ACHART_4" hidden="1">#REF!</definedName>
    <definedName name="_56___________________________123Graph_XCHART_3" hidden="1">#REF!</definedName>
    <definedName name="_57___________________________123Graph_XCHART_4" hidden="1">#REF!</definedName>
    <definedName name="_58__________________________123Graph_ACHART_4" hidden="1">#REF!</definedName>
    <definedName name="_59__________________________123Graph_XCHART_3" hidden="1">#REF!</definedName>
    <definedName name="_5aaa" hidden="1">{#N/A,#N/A,FALSE,"Aging Summary";#N/A,#N/A,FALSE,"Ratio Analysis";#N/A,#N/A,FALSE,"Test 120 Day Accts";#N/A,#N/A,FALSE,"Tickmarks"}</definedName>
    <definedName name="_6____________________________________________123Graph_XCHART_4" hidden="1">#REF!</definedName>
    <definedName name="_6______________123Graph_ACHART_4" hidden="1">#REF!</definedName>
    <definedName name="_6___123Graph_XCHART_4" hidden="1">#REF!</definedName>
    <definedName name="_6__123Graph_BCHART_7" hidden="1">#REF!</definedName>
    <definedName name="_6__123Graph_CCHART_7" hidden="1">#REF!</definedName>
    <definedName name="_6__123Graph_CCHART_8" hidden="1">#REF!</definedName>
    <definedName name="_6__123Graph_XCHART_4" hidden="1">#REF!</definedName>
    <definedName name="_60__________________________123Graph_XCHART_4" hidden="1">#REF!</definedName>
    <definedName name="_60__123Graph_BЋЎ_а_в­л__Є_ЇЁв" hidden="1">#REF!</definedName>
    <definedName name="_61_________________________123Graph_ACHART_4" hidden="1">#REF!</definedName>
    <definedName name="_62_________________________123Graph_XCHART_3" hidden="1">#REF!</definedName>
    <definedName name="_63_________________________123Graph_XCHART_4" hidden="1">#REF!</definedName>
    <definedName name="_64________________________123Graph_ACHART_4" hidden="1">#REF!</definedName>
    <definedName name="_65________________________123Graph_XCHART_3" hidden="1">#REF!</definedName>
    <definedName name="_66________________________123Graph_XCHART_4" hidden="1">#REF!</definedName>
    <definedName name="_67_______________________123Graph_ACHART_4" hidden="1">#REF!</definedName>
    <definedName name="_68_______________________123Graph_XCHART_3" hidden="1">#REF!</definedName>
    <definedName name="_69_______________________123Graph_XCHART_4" hidden="1">#REF!</definedName>
    <definedName name="_6aaa" hidden="1">{#N/A,#N/A,FALSE,"Aging Summary";#N/A,#N/A,FALSE,"Ratio Analysis";#N/A,#N/A,FALSE,"Test 120 Day Accts";#N/A,#N/A,FALSE,"Tickmarks"}</definedName>
    <definedName name="_7___________________________________________123Graph_ACHART_4" hidden="1">#REF!</definedName>
    <definedName name="_7______________123Graph_XCHART_3" hidden="1">#REF!</definedName>
    <definedName name="_7__123Graph_ACHART_4" hidden="1">#REF!</definedName>
    <definedName name="_7__123Graph_CCHART_8" hidden="1">#REF!</definedName>
    <definedName name="_7__123Graph_DCHART_8" hidden="1">#REF!</definedName>
    <definedName name="_70______________________123Graph_ACHART_4" hidden="1">#REF!</definedName>
    <definedName name="_71______________________123Graph_XCHART_3" hidden="1">#REF!</definedName>
    <definedName name="_72______________________123Graph_XCHART_4" hidden="1">#REF!</definedName>
    <definedName name="_72__123Graph_EЋЎ_а_в­л__Є_ЇЁв" hidden="1">#REF!</definedName>
    <definedName name="_73_____________________123Graph_ACHART_4" hidden="1">#REF!</definedName>
    <definedName name="_74_____________________123Graph_XCHART_3" hidden="1">#REF!</definedName>
    <definedName name="_75_____________________123Graph_XCHART_4" hidden="1">#REF!</definedName>
    <definedName name="_76____________________123Graph_ACHART_4" hidden="1">#REF!</definedName>
    <definedName name="_77____________________123Graph_XCHART_3" hidden="1">#REF!</definedName>
    <definedName name="_78____________________123Graph_XCHART_4" hidden="1">#REF!</definedName>
    <definedName name="_78__123Graph_XђҐ­в_ЎҐ_м­_бвм" hidden="1">#REF!</definedName>
    <definedName name="_79___________________123Graph_ACHART_4" hidden="1">#REF!</definedName>
    <definedName name="_8___________________________________________123Graph_XCHART_3" hidden="1">#REF!</definedName>
    <definedName name="_8______________123Graph_XCHART_4" hidden="1">#REF!</definedName>
    <definedName name="_8____123Graph_BЋЎ_а_в­л__Є_ЇЁв" hidden="1">#REF!</definedName>
    <definedName name="_8____123Graph_EЋЎ_а_в­л__Є_ЇЁв" hidden="1">#REF!</definedName>
    <definedName name="_8__123Graph_BCHART_8" hidden="1">#REF!</definedName>
    <definedName name="_8__123Graph_BЋЎ_а_в­л__Є_ЇЁв" hidden="1">#REF!</definedName>
    <definedName name="_8__123Graph_DCHART_8" hidden="1">#REF!</definedName>
    <definedName name="_8__123Graph_LBL_ACHART_7" hidden="1">#REF!</definedName>
    <definedName name="_8__123Graph_XCHART_3" hidden="1">#REF!</definedName>
    <definedName name="_80___________________123Graph_XCHART_3" hidden="1">#REF!</definedName>
    <definedName name="_81___________________123Graph_XCHART_4" hidden="1">#REF!</definedName>
    <definedName name="_81__123Graph_XЋЎ_а_з.__Єв._1" hidden="1">#REF!</definedName>
    <definedName name="_82__________________123Graph_ACHART_4" hidden="1">#REF!</definedName>
    <definedName name="_83__________________123Graph_XCHART_3" hidden="1">#REF!</definedName>
    <definedName name="_84__________________123Graph_XCHART_4" hidden="1">#REF!</definedName>
    <definedName name="_84__123Graph_XЋЎ_а_в­л__Є_ЇЁв" hidden="1">#REF!</definedName>
    <definedName name="_85_________________123Graph_ACHART_4" hidden="1">#REF!</definedName>
    <definedName name="_86_________________123Graph_XCHART_3" hidden="1">#REF!</definedName>
    <definedName name="_87_________________123Graph_XCHART_4" hidden="1">#REF!</definedName>
    <definedName name="_88________________123Graph_ACHART_4" hidden="1">#REF!</definedName>
    <definedName name="_89________________123Graph_XCHART_3" hidden="1">#REF!</definedName>
    <definedName name="_9___________________________________________123Graph_XCHART_4" hidden="1">#REF!</definedName>
    <definedName name="_9_____________123Graph_ACHART_4" hidden="1">#REF!</definedName>
    <definedName name="_9__123Graph_LBL_ACHART_7" hidden="1">#REF!</definedName>
    <definedName name="_9__123Graph_LBL_ADIAGR_22" hidden="1">#REF!</definedName>
    <definedName name="_9__123Graph_XCHART_4" hidden="1">#REF!</definedName>
    <definedName name="_90________________123Graph_XCHART_4" hidden="1">#REF!</definedName>
    <definedName name="_91_______________123Graph_ACHART_4" hidden="1">#REF!</definedName>
    <definedName name="_92_______________123Graph_XCHART_3" hidden="1">#REF!</definedName>
    <definedName name="_93_______________123Graph_XCHART_4" hidden="1">#REF!</definedName>
    <definedName name="_94______________123Graph_ACHART_4" hidden="1">#REF!</definedName>
    <definedName name="_95______________123Graph_XCHART_3" hidden="1">#REF!</definedName>
    <definedName name="_96______________123Graph_XCHART_4" hidden="1">#REF!</definedName>
    <definedName name="_97_____________123Graph_ACHART_4" hidden="1">#REF!</definedName>
    <definedName name="_98_____________123Graph_XCHART_3" hidden="1">#REF!</definedName>
    <definedName name="_99_____________123Graph_XCHART_4" hidden="1">#REF!</definedName>
    <definedName name="_abc1" hidden="1">#REF!</definedName>
    <definedName name="_aje2" hidden="1">5</definedName>
    <definedName name="_AS22006" hidden="1">"AS2DocumentBrowse"</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hidden="1">{"ÜBERSICHT",#N/A,FALSE,"ABW KUM";"Kostenzoom",#N/A,FALSE,"ABW KUM";"ÜBERSICHT",#N/A,FALSE,"ABW HORE";"Kostenzoom",#N/A,FALSE,"ABW HORE"}</definedName>
    <definedName name="_CF2" hidden="1">{"Output%",#N/A,FALSE,"Output"}</definedName>
    <definedName name="_cvb5" hidden="1">{"'Sheet1'!$A$1:$G$96","'Sheet1'!$A$1:$H$96"}</definedName>
    <definedName name="_dffd" hidden="1">#REF!</definedName>
    <definedName name="_f44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_Fill" hidden="1">#REF!</definedName>
    <definedName name="_GSRATES_1" hidden="1">"CT300001Latest          "</definedName>
    <definedName name="_GSRATES_COUNT" hidden="1">1</definedName>
    <definedName name="_gv_s" hidden="1">#REF!</definedName>
    <definedName name="_H" hidden="1">#REF!</definedName>
    <definedName name="_hkf8" hidden="1">{"glc1",#N/A,FALSE,"GLC";"glc2",#N/A,FALSE,"GLC";"glc3",#N/A,FALSE,"GLC";"glc4",#N/A,FALSE,"GLC";"glc5",#N/A,FALSE,"GLC"}</definedName>
    <definedName name="_J26" hidden="1">{"DRUCK",#N/A,FALSE,"HOCHRECHNUNG KORR!!!!";"DRUCK",#N/A,FALSE,"BUDGET 1997_98";"DRUCK",#N/A,FALSE,"PL KUM";"DRUCK",#N/A,FALSE,"VJ KUM";"DRUCK",#N/A,FALSE,"IST KUM KORR!!!"}</definedName>
    <definedName name="_j66" hidden="1">{"ÜBER mit FW","THU",FALSE,"HORE KORR!";"ÜBERSICHT",#N/A,FALSE,"BUDGET 1997_98";"ÜBER mit FW",#N/A,FALSE,"IST KUM KORR!!";"ÜBERSICHT",#N/A,FALSE,"PLAN KUM"}</definedName>
    <definedName name="_Key1" hidden="1">#REF!</definedName>
    <definedName name="_Key2" hidden="1">#REF!</definedName>
    <definedName name="_new1" hidden="1">{#N/A,#N/A,FALSE,"Direct"}</definedName>
    <definedName name="_nm7" hidden="1">{"'Sheet1'!$A$1:$G$96","'Sheet1'!$A$1:$H$96"}</definedName>
    <definedName name="_nm8" hidden="1">{"'Sheet1'!$A$1:$G$96","'Sheet1'!$A$1:$H$96"}</definedName>
    <definedName name="_Order1" hidden="1">255</definedName>
    <definedName name="_Order2" hidden="1">255</definedName>
    <definedName name="_ot97" hidden="1">#REF!,#REF!,#REF!,#REF!,#REF!,#REF!,#REF!</definedName>
    <definedName name="_Parse_In" hidden="1">#REF!</definedName>
    <definedName name="_pin" hidden="1">#REF!</definedName>
    <definedName name="_RAC1" hidden="1">#REF!</definedName>
    <definedName name="_Regression_Int" hidden="1">1</definedName>
    <definedName name="_Regression_Out" hidden="1">#REF!</definedName>
    <definedName name="_Regression_X" hidden="1">#REF!</definedName>
    <definedName name="_Regression_Y" hidden="1">#REF!</definedName>
    <definedName name="_rwb2" hidden="1">{#N/A,#N/A,FALSE,"Aging Summary";#N/A,#N/A,FALSE,"Ratio Analysis";#N/A,#N/A,FALSE,"Test 120 Day Accts";#N/A,#N/A,FALSE,"Tickmarks"}</definedName>
    <definedName name="_rwn1" hidden="1">{#N/A,#N/A,FALSE,"Aging Summary";#N/A,#N/A,FALSE,"Ratio Analysis";#N/A,#N/A,FALSE,"Test 120 Day Accts";#N/A,#N/A,FALSE,"Tickmarks"}</definedName>
    <definedName name="_rwn10" hidden="1">{#N/A,#N/A,FALSE,"Aging Summary";#N/A,#N/A,FALSE,"Ratio Analysis";#N/A,#N/A,FALSE,"Test 120 Day Accts";#N/A,#N/A,FALSE,"Tickmarks"}</definedName>
    <definedName name="_rwn3" hidden="1">{"assets",#N/A,FALSE,"historicBS";"liab",#N/A,FALSE,"historicBS";"is",#N/A,FALSE,"historicIS";"ratios",#N/A,FALSE,"ratios"}</definedName>
    <definedName name="_rwn4" hidden="1">{"assets",#N/A,FALSE,"historicBS";"liab",#N/A,FALSE,"historicBS";"is",#N/A,FALSE,"historicIS";"ratios",#N/A,FALSE,"ratios"}</definedName>
    <definedName name="_rwn5" hidden="1">{"glcbs",#N/A,FALSE,"GLCBS";"glccsbs",#N/A,FALSE,"GLCCSBS";"glcis",#N/A,FALSE,"GLCIS";"glccsis",#N/A,FALSE,"GLCCSIS";"glcrat1",#N/A,FALSE,"GLC-ratios1"}</definedName>
    <definedName name="_rwn6" hidden="1">{"glc1",#N/A,FALSE,"GLC";"glc2",#N/A,FALSE,"GLC";"glc3",#N/A,FALSE,"GLC";"glc4",#N/A,FALSE,"GLC";"glc5",#N/A,FALSE,"GLC"}</definedName>
    <definedName name="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rwn8" hidden="1">{"glc1",#N/A,FALSE,"GLC";"glc2",#N/A,FALSE,"GLC";"glc3",#N/A,FALSE,"GLC";"glc4",#N/A,FALSE,"GLC";"glc5",#N/A,FALSE,"GLC"}</definedName>
    <definedName name="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sdf2" hidden="1">{"'Sheet1'!$A$1:$G$96","'Sheet1'!$A$1:$H$96"}</definedName>
    <definedName name="_Sort" hidden="1">#REF!</definedName>
    <definedName name="_sort1" hidden="1">#REF!</definedName>
    <definedName name="_sort5"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mp1" hidden="1">{#N/A,#N/A,FALSE,"Direct"}</definedName>
    <definedName name="_tmp3" hidden="1">{#N/A,#N/A,FALSE,"Direct"}</definedName>
    <definedName name="_tmp4" hidden="1">{#N/A,#N/A,FALSE,"Direct"}</definedName>
    <definedName name="_tmp5" hidden="1">{#N/A,#N/A,FALSE,"Direct"}</definedName>
    <definedName name="_UNDO_UPS_" hidden="1">#REF!</definedName>
    <definedName name="_UNDO_UPS_SEL_" hidden="1">#REF!</definedName>
    <definedName name="_UNDO31X31X_" hidden="1">#REF!</definedName>
    <definedName name="_uu1" hidden="1">{#N/A,#N/A,TRUE,"Engineering Dept";#N/A,#N/A,TRUE,"Sales Dept";#N/A,#N/A,TRUE,"Marketing Dept";#N/A,#N/A,TRUE,"Admin Dept"}</definedName>
    <definedName name="_wrn1" hidden="1">{"glc1",#N/A,FALSE,"GLC";"glc2",#N/A,FALSE,"GLC";"glc3",#N/A,FALSE,"GLC";"glc4",#N/A,FALSE,"GLC";"glc5",#N/A,FALSE,"GLC"}</definedName>
    <definedName name="_wrn2" hidden="1">{"glc1",#N/A,FALSE,"GLC";"glc2",#N/A,FALSE,"GLC";"glc3",#N/A,FALSE,"GLC";"glc4",#N/A,FALSE,"GLC";"glc5",#N/A,FALSE,"GLC"}</definedName>
    <definedName name="_wrn222" hidden="1">{"glc1",#N/A,FALSE,"GLC";"glc2",#N/A,FALSE,"GLC";"glc3",#N/A,FALSE,"GLC";"glc4",#N/A,FALSE,"GLC";"glc5",#N/A,FALSE,"GLC"}</definedName>
    <definedName name="_www6" hidden="1">5</definedName>
    <definedName name="_xlnm._FilterDatabase" localSheetId="4" hidden="1">Comp!$A$1:$J$1</definedName>
    <definedName name="_xlnm._FilterDatabase" localSheetId="1" hidden="1">DBMA!$A$1:$AF$3580</definedName>
    <definedName name="_xlnm._FilterDatabase" localSheetId="3" hidden="1">'Sec-Ind'!$A$1:$F$1</definedName>
    <definedName name="_xlnm._FilterDatabase" hidden="1">#REF!</definedName>
    <definedName name="a" hidden="1">{"IASTrail",#N/A,FALSE,"IAS"}</definedName>
    <definedName name="aa" hidden="1">{#N/A,#N/A,FALSE,"Aging Summary";#N/A,#N/A,FALSE,"Ratio Analysis";#N/A,#N/A,FALSE,"Test 120 Day Accts";#N/A,#N/A,FALSE,"Tickmarks"}</definedName>
    <definedName name="aaa" hidden="1">{"AnalRSA",#N/A,TRUE,"PL-Anal";"AnalIAS",#N/A,TRUE,"PL-Anal"}</definedName>
    <definedName name="AAA_DOCTOPS" hidden="1">"AAA_SET"</definedName>
    <definedName name="AAA_duser" hidden="1">"OFF"</definedName>
    <definedName name="aaa0" hidden="1">{#N/A,#N/A,FALSE,"Aging Summary";#N/A,#N/A,FALSE,"Ratio Analysis";#N/A,#N/A,FALSE,"Test 120 Day Accts";#N/A,#N/A,FALSE,"Tickmarks"}</definedName>
    <definedName name="aaaa" hidden="1">{"ÜBER mit FW","THU",FALSE,"HORE KORR!";"ÜBERSICHT",#N/A,FALSE,"BUDGET 1997_98";"ÜBER mit FW",#N/A,FALSE,"IST KUM KORR!!";"ÜBERSICHT",#N/A,FALSE,"PLAN KUM"}</definedName>
    <definedName name="aaaa1" hidden="1">{#VALUE!,#N/A,TRUE,0}</definedName>
    <definedName name="aaaa2" hidden="1">{#N/A,#N/A,TRUE,"Буржуям"}</definedName>
    <definedName name="aaaaa" hidden="1">{"DRUCK",#N/A,FALSE,"HOCHRECHNUNG KORR!!!!";"DRUCK",#N/A,FALSE,"BUDGET 1997_98";"DRUCK",#N/A,FALSE,"PL KUM";"DRUCK",#N/A,FALSE,"VJ KUM";"DRUCK",#N/A,FALSE,"IST KUM KORR!!!"}</definedName>
    <definedName name="aaaaaa" hidden="1">{"DRUCK",#N/A,FALSE,"HOCHRECHNUNG KORR!!!!";"DRUCK",#N/A,FALSE,"BUDGET 1997_98";"DRUCK",#N/A,FALSE,"PL KUM";"DRUCK",#N/A,FALSE,"VJ KUM";"DRUCK",#N/A,FALSE,"IST KUM KORR!!!"}</definedName>
    <definedName name="aaaaaaa" hidden="1">{"ÜBER mit FW","THU",FALSE,"HORE KORR!";"ÜBERSICHT",#N/A,FALSE,"BUDGET 1997_98";"ÜBER mit FW",#N/A,FALSE,"IST KUM KORR!!";"ÜBERSICHT",#N/A,FALSE,"PLAN KUM"}</definedName>
    <definedName name="aaaaaaaa" hidden="1">#REF!</definedName>
    <definedName name="aaaaaaaaa" hidden="1">#REF!</definedName>
    <definedName name="aaaaaaaaaaa" hidden="1">#REF!</definedName>
    <definedName name="aaaaaaaaaaa2" hidden="1">#REF!</definedName>
    <definedName name="aaaaaaaaaaaaa" hidden="1">#REF!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{#N/A,#N/A,FALSE,"Aging Summary";#N/A,#N/A,FALSE,"Ratio Analysis";#N/A,#N/A,FALSE,"Test 120 Day Accts";#N/A,#N/A,FALSE,"Tickmarks"}</definedName>
    <definedName name="abs" hidden="1">{#N/A,#N/A,FALSE,"REC";#N/A,#N/A,FALSE,"ASSETS";#N/A,#N/A,FALSE,"LIABILITIES";#N/A,#N/A,FALSE,"P&amp;L";#N/A,#N/A,FALSE,"FUNDS";#N/A,#N/A,FALSE,"CASH";#N/A,#N/A,FALSE,"1,2";#N/A,#N/A,FALSE,"3";#N/A,#N/A,FALSE,"4";#N/A,#N/A,FALSE,"5,6,7";#N/A,#N/A,FALSE,"8,9"}</definedName>
    <definedName name="abv" hidden="1">{#N/A,#N/A,FALSE,"REC";#N/A,#N/A,FALSE,"ASSETS";#N/A,#N/A,FALSE,"LIABILITIES";#N/A,#N/A,FALSE,"P&amp;L";#N/A,#N/A,FALSE,"FUNDS";#N/A,#N/A,FALSE,"CASH";#N/A,#N/A,FALSE,"1,2";#N/A,#N/A,FALSE,"3";#N/A,#N/A,FALSE,"4";#N/A,#N/A,FALSE,"5,6,7";#N/A,#N/A,FALSE,"8,9"}</definedName>
    <definedName name="abw" hidden="1">{"ÜBERSICHT",#N/A,FALSE,"ABW KUM";"Kostenzoom",#N/A,FALSE,"ABW KUM";"ÜBERSICHT",#N/A,FALSE,"ABW HORE";"Kostenzoom",#N/A,FALSE,"ABW HORE"}</definedName>
    <definedName name="AccessDatabase" hidden="1">"C:\Мои документы\Базовая сводная обязательств1.mdb"</definedName>
    <definedName name="AccessDatabase_1" hidden="1">"C:\Мои документы\financial.mdb"</definedName>
    <definedName name="ACwvu.summary1." hidden="1">#REF!</definedName>
    <definedName name="ACwvu.summary2." hidden="1">#REF!</definedName>
    <definedName name="ACwvu.summary3." hidden="1">#REF!</definedName>
    <definedName name="ad" hidden="1">{"IAS_ShortView_1",#N/A,FALSE,"IAS";"IAS_ShortView_2",#N/A,FALSE,"IAS";"IAS_ShortView_3",#N/A,FALSE,"IAS";"IAS_ShortView_4",#N/A,FALSE,"IAS";"IAS_ShortView_5",#N/A,FALSE,"IAS";"IAS_ShortView_6",#N/A,FALSE,"IAS";"IAS_ShortView_7",#N/A,FALSE,"IAS";"CFDir - Zoomed In",#N/A,FALSE,"CF DIR"}</definedName>
    <definedName name="adf" hidden="1">{"DRUCK",#N/A,FALSE,"HOCHRECHNUNG KORR!!!!";"DRUCK",#N/A,FALSE,"BUDGET 1997_98";"DRUCK",#N/A,FALSE,"PL KUM";"DRUCK",#N/A,FALSE,"VJ KUM";"DRUCK",#N/A,FALSE,"IST KUM KORR!!!"}</definedName>
    <definedName name="ADSQWE" hidden="1">#REF!</definedName>
    <definedName name="AdvertisingCraig"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ag" hidden="1">#REF!</definedName>
    <definedName name="ah" hidden="1">{#N/A,#N/A,FALSE,"page 4";#N/A,#N/A,FALSE,"page 5 (UK)";#N/A,#N/A,FALSE,"page 6 (Intl)";#N/A,#N/A,FALSE,"page 7 (details)"}</definedName>
    <definedName name="ahgfj" hidden="1">8</definedName>
    <definedName name="ajajajj" hidden="1">{"glc1",#N/A,FALSE,"GLC";"glc2",#N/A,FALSE,"GLC";"glc3",#N/A,FALSE,"GLC";"glc4",#N/A,FALSE,"GLC";"glc5",#N/A,FALSE,"GLC"}</definedName>
    <definedName name="aje" hidden="1">"AS2DocumentBrowse"</definedName>
    <definedName name="anscount" hidden="1">1</definedName>
    <definedName name="antonio" hidden="1">{#N/A,"70% Success",FALSE,"Sales Forecast";#N/A,#N/A,FALSE,"Sheet2"}</definedName>
    <definedName name="aqer" hidden="1">{"'Sheet1'!$A$1:$G$85"}</definedName>
    <definedName name="arif" hidden="1">{"ÜBERSICHT",#N/A,FALSE,"ABW KUM";"Kostenzoom",#N/A,FALSE,"ABW KUM";"ÜBERSICHT",#N/A,FALSE,"ABW HORE";"Kostenzoom",#N/A,FALSE,"ABW HORE"}</definedName>
    <definedName name="art" hidden="1">{"COM",#N/A,FALSE,"800 10th"}</definedName>
    <definedName name="as" hidden="1">{#N/A,#N/A,TRUE,"MAP";#N/A,#N/A,TRUE,"STEPS";#N/A,#N/A,TRUE,"RULES"}</definedName>
    <definedName name="AS2DocOpenMode" hidden="1">"AS2DocumentEdit"</definedName>
    <definedName name="AS2HasNoAutoHeaderFooter" hidden="1">" "</definedName>
    <definedName name="AS2NamedRange" hidden="1">9</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#REF!</definedName>
    <definedName name="asdfas" hidden="1">{"Table A,pg 1",#N/A,FALSE,"Table A-Prov GUR";"Table A,pg 2",#N/A,FALSE,"Table A-Prov GUR"}</definedName>
    <definedName name="asdf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asdgasgasdg" hidden="1">{#N/A,#N/A,FALSE,"Summary YTD";#N/A,#N/A,FALSE,"Summary QTR";#N/A,#N/A,FALSE,"QTR end data";#N/A,#N/A,FALSE,"Net Investment";#N/A,#N/A,FALSE,"xr"}</definedName>
    <definedName name="asdsdfsdgfdsg" hidden="1">{#N/A,#N/A,FALSE,"Summary YTD";#N/A,#N/A,FALSE,"Summary QTR";#N/A,#N/A,FALSE,"QTR end data";#N/A,#N/A,FALSE,"Net Investment";#N/A,#N/A,FALSE,"xr"}</definedName>
    <definedName name="asfafq" hidden="1">#REF!</definedName>
    <definedName name="asfd" hidden="1">{"ÜBER mit FW","THU",FALSE,"HORE KORR!";"ÜBERSICHT",#N/A,FALSE,"BUDGET 1997_98";"ÜBER mit FW",#N/A,FALSE,"IST KUM KORR!!";"ÜBERSICHT",#N/A,FALSE,"PLAN KUM"}</definedName>
    <definedName name="asfd4" hidden="1">{"'Sheet1'!$A$1:$G$96","'Sheet1'!$A$1:$H$96"}</definedName>
    <definedName name="asfd41" hidden="1">{"'Sheet1'!$A$1:$G$96","'Sheet1'!$A$1:$H$96"}</definedName>
    <definedName name="ass" hidden="1">{"ÜBERSICHT",#N/A,FALSE,"ABW KUM";"Kostenzoom",#N/A,FALSE,"ABW KUM";"ÜBERSICHT",#N/A,FALSE,"ABW HORE";"Kostenzoom",#N/A,FALSE,"ABW HORE"}</definedName>
    <definedName name="astra"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stravit" hidden="1">#REF!</definedName>
    <definedName name="astravit2" hidden="1">#REF!</definedName>
    <definedName name="atrat" hidden="1">{"'Prices'!$A$4:$J$27"}</definedName>
    <definedName name="avaaaaav" hidden="1">#REF!</definedName>
    <definedName name="AVR" hidden="1">{"'Grafik Kontrol'!$A$1:$J$8"}</definedName>
    <definedName name="awas" hidden="1">{"ÜBER mit FW","THU",FALSE,"HORE KORR!";"ÜBERSICHT",#N/A,FALSE,"BUDGET 1997_98";"ÜBER mit FW",#N/A,FALSE,"IST KUM KORR!!";"ÜBERSICHT",#N/A,FALSE,"PLAN KUM"}</definedName>
    <definedName name="b" hidden="1">{"ÜBERSICHT",#N/A,FALSE,"ABW KUM";"Kostenzoom",#N/A,FALSE,"ABW KUM";"ÜBERSICHT",#N/A,FALSE,"ABW HORE";"Kostenzoom",#N/A,FALSE,"ABW HORE"}</definedName>
    <definedName name="b.ym10" hidden="1">{#N/A,#N/A,TRUE,"Буржуям"}</definedName>
    <definedName name="BA_Alt_Chks" hidden="1">#REF!</definedName>
    <definedName name="BA_Err_Chks" hidden="1">#REF!</definedName>
    <definedName name="BA_LU" hidden="1">#REF!</definedName>
    <definedName name="BA_Sens_Chks" hidden="1">#REF!</definedName>
    <definedName name="BA_TS_Ass" hidden="1">#REF!</definedName>
    <definedName name="BadLink" hidden="1">#REF!</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{"ÜBER mit FW","THU",FALSE,"HORE KORR!";"ÜBERSICHT",#N/A,FALSE,"BUDGET 1997_98";"ÜBER mit FW",#N/A,FALSE,"IST KUM KORR!!";"ÜBERSICHT",#N/A,FALSE,"PLAN KUM"}</definedName>
    <definedName name="bbbbb" hidden="1">{"Valuation",#N/A,TRUE,"Valuation Summary";"Financial Statements",#N/A,TRUE,"Results";"Results",#N/A,TRUE,"Results";"Ratios",#N/A,TRUE,"Results";"P2 Summary",#N/A,TRUE,"Results";"Historical data",#N/A,TRUE,"Historical Data";"P1 Inputs",#N/A,TRUE,"Forecast Drivers";"P2 Inputs",#N/A,TRUE,"Forecast Drivers"}</definedName>
    <definedName name="Bear" hidden="1">{#N/A,#N/A,FALSE,"TS";#N/A,#N/A,FALSE,"Combo";#N/A,#N/A,FALSE,"FAIR";#N/A,#N/A,FALSE,"RBC";#N/A,#N/A,FALSE,"xxxx";#N/A,#N/A,FALSE,"A_D";#N/A,#N/A,FALSE,"WACC";#N/A,#N/A,FALSE,"DCF";#N/A,#N/A,FALSE,"LBO";#N/A,#N/A,FALSE,"AcqMults";#N/A,#N/A,FALSE,"CompMults"}</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19ER9PNWI2O7JRP2I5Y45GUP"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03AOQ2SJJIMI17YOJ56HDD2UN" hidden="1">#REF!</definedName>
    <definedName name="BEx1EQ08E2P2D4OTR04HLWGLD22C"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RZWRZISLXC6I4J7HQ24HBLF" hidden="1">#REF!</definedName>
    <definedName name="BEx1HSLNWIW4S97ZBYY7I7M5YVH4" hidden="1">#REF!</definedName>
    <definedName name="BEx1I38M6XKQCNMJM5X29X6LLYQK" hidden="1">#REF!</definedName>
    <definedName name="BEx1I4QKTILCKZUSOJCVZN7SNHL5" hidden="1">#REF!</definedName>
    <definedName name="BEx1I5XOJYPI6FXXN0XB6U1DT8AL" hidden="1">#REF!</definedName>
    <definedName name="BEx1IE0ZP7RIFM9FI24S9I6AAJ14" hidden="1">#REF!</definedName>
    <definedName name="BEx1IF87CP84RSGX7ZMUPKNN7G5Y"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6WWF0F2A7DGND0UIFX6AQWR" hidden="1">#REF!</definedName>
    <definedName name="BEx1KF01VDWAXFO8ZC73DECQP20I"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D63FP2Z4BR9TKSHOZW9KKZ5" hidden="1">#REF!</definedName>
    <definedName name="BEx1LD63H6V2FIGARI22M5IIFXE4"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8J42Y43N094L5CX4DK6SXVU"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PW7GXZCR4WKH5QXPNH9FZ3PC" hidden="1">#REF!</definedName>
    <definedName name="BEx1QA54J2A4I7IBQR19BTY28ZMR" hidden="1">#REF!</definedName>
    <definedName name="BEx1QMQAHG3KQUK59DVM68SWKZIZ" hidden="1">#REF!</definedName>
    <definedName name="BEx1QOJ0RO1ZWYF0PORGVXG52IV1"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#REF!</definedName>
    <definedName name="BEx1VUC97YQ0VL09BOM2XF5Z6GN1" hidden="1">#REF!</definedName>
    <definedName name="BEx1WA83O04NKC1TS89CH5UD9WA9"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7O0QWH9ZUVENKVH0YWDTTH"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DEYF52GJSSGJ3R42P3U78EE"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8FRE7IUNW2KNJWI42MWHS50" hidden="1">#REF!</definedName>
    <definedName name="BEx3CCS3VNR1KW2R7DKSQFZ17QW0" hidden="1">#REF!</definedName>
    <definedName name="BEx3CKFCCPZZ6ROLAT5C1DZNIC1U" hidden="1">#REF!</definedName>
    <definedName name="BEx3CM2L6UA9RVVNA9QPKKSQ69NF" hidden="1">#REF!</definedName>
    <definedName name="BEx3CO0SVO4WLH0DO43DCHYDTH1P" hidden="1">#REF!</definedName>
    <definedName name="BEx3D9G6QTSPF9UYI4X0XY0VE896" hidden="1">#REF!</definedName>
    <definedName name="BEx3DBZZP4NAS9H8XUX2YJW77LQW" hidden="1">#REF!</definedName>
    <definedName name="BEx3DCQU9PBRXIMLO62KS5RLH447" hidden="1">#REF!</definedName>
    <definedName name="BEx3DUKS7GNYDP8X30TVIUX95DFO" hidden="1">#REF!</definedName>
    <definedName name="BEx3EBYLJ9E2OK057WJMGYIOLF66"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DQ15RB6AQRVBDKL77OF47WP"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85PKRQAHS53K4PCCVYGV8F" hidden="1">#REF!</definedName>
    <definedName name="BEx3GPDH2AH4QKT4OOSN563XUHBD" hidden="1">#REF!</definedName>
    <definedName name="BEx3H5UX2GZFZZT657YR76RHW5I6" hidden="1">#REF!</definedName>
    <definedName name="BEx3HMSEFOP6DBM4R97XA6B7NFG6" hidden="1">#REF!</definedName>
    <definedName name="BEx3HUVREVA7CT2C7DBQEISEC4KC" hidden="1">#REF!</definedName>
    <definedName name="BEx3HWJ5SQSD2CVCQNR183X44FR8" hidden="1">#REF!</definedName>
    <definedName name="BEx3I09YVXO0G4X7KGSA4WGORM35" hidden="1">#REF!</definedName>
    <definedName name="BEx3ICF1GY8HQEBIU9S43PDJ90BX" hidden="1">#REF!</definedName>
    <definedName name="BEx3IGWW0HBZCMFZA1150T8H0ISN"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KBNOJ3U8R9C3X2UDPVSC8YA" hidden="1">#REF!</definedName>
    <definedName name="BEx3JUNSMX2BFPL87JP4FOO0VFHW"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DJJ6AXT6HF8ZI7MK18VMX4Z"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5TUXQ0TJB2TEUNZEL3BPRT7" hidden="1">#REF!</definedName>
    <definedName name="BEx3M9VFX329PZWYC4DMZ6P3W9R2" hidden="1">#REF!</definedName>
    <definedName name="BEx3MCQ0VEBV0CZXDS505L38EQ8N" hidden="1">#REF!</definedName>
    <definedName name="BEx3MEYV5LQY0BAL7V3CFAFVOM3T" hidden="1">#REF!</definedName>
    <definedName name="BEx3MN26U24ELDPERLY4QPCJ38FM"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NX2B5GX1D4OOBNZQHL0C6VI5" hidden="1">#REF!</definedName>
    <definedName name="BEx3O19B8FTTAPVT5DZXQGQXWFR8" hidden="1">#REF!</definedName>
    <definedName name="BEx3O85IKWARA6NCJOLRBRJFMEWW" hidden="1">#REF!</definedName>
    <definedName name="BEx3OFSKGV14F1V0VBC4S672RXJ3"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EK4XQ3OC971YL8CK1S5RW48"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T8V4YT0ZWKXA2G8XGYMBFEQ" hidden="1">#REF!</definedName>
    <definedName name="BEx3PVHUENPODYPFTHDCFG2PSFZU"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QVGGAPLBSOAM643XKCCGPZMO" hidden="1">#REF!</definedName>
    <definedName name="BEx3QVR8SUZ58YKXL25P0N5H9DCK"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VVARASFSE8GROFKJ8O6HPE7" hidden="1">#REF!</definedName>
    <definedName name="BEx3RWGVDXWEUHQ3LS9OE2NMM79V"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2IAEN20V0S7R2YYQDMAVBWV" hidden="1">#REF!</definedName>
    <definedName name="BEx587EYSS57E3PI8DT973HLJM9E" hidden="1">#REF!</definedName>
    <definedName name="BEx587KFQ3VKCOCY1SA5F24PQGUI" hidden="1">#REF!</definedName>
    <definedName name="BEx58O780PQ05NF0Z1SKKRB3N099" hidden="1">#REF!</definedName>
    <definedName name="BEx58R734UU6IK6OC3L7NF39F2RE"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JTLDGOK1PDPK65EMGUJMXVK"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B40KVAWZQ0UA8WRNDCIK6VEL" hidden="1">#REF!</definedName>
    <definedName name="BEx5B4RHHX0J1BF2FZKEA0SPP29O" hidden="1">#REF!</definedName>
    <definedName name="BEx5B5YMSWP0OVI5CIQRP5V18D0C" hidden="1">#REF!</definedName>
    <definedName name="BEx5B825RW35M5H0UB2IZGGRS4ER" hidden="1">#REF!</definedName>
    <definedName name="BEx5B9K41GK0VVETOIVE409PQ04P"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CXY5RAN16IXQDXZRD1PJ9G3G" hidden="1">#REF!</definedName>
    <definedName name="BEx5D8L47OF0WHBPFWXGZINZWUBZ" hidden="1">#REF!</definedName>
    <definedName name="BEx5DAJAHQ2SKUPCKSCR3PYML67L" hidden="1">#REF!</definedName>
    <definedName name="BEx5DBFNG43X9L8BDINOQEVHTLUF"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5YS8I4X79BDDIPT2S50U9R0"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D33W4W9NJMINZPA6YU8QVAA"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FQYWPUJ24QRETNRMEAJ36S6"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4FS5A69PCOO8MJHE14GW1O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5PS8G82X4FOPRU6M65PH52O" hidden="1">#REF!</definedName>
    <definedName name="BEx5MB9BR71LZDG7XXQ2EO58JC5F" hidden="1">#REF!</definedName>
    <definedName name="BEx5MIGB1BGM5OBHRVXYZFZHLCN7"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GIEPA8RG6S527SYC06KUB6Y"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OHU5TGUQQKG4PE5N2DE9TQR"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6ZRF6FI8U1PRGKIO3XZKQ5" hidden="1">#REF!</definedName>
    <definedName name="BEx78HHRIWDLHQX2LG0HWFRYEL1T" hidden="1">#REF!</definedName>
    <definedName name="BEx78IE5TICTOS1B6LHKMLBKLV1B"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N9MAI5U1X9V0NYSILITOGTW"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D9OKXQX8ZS30DSF0L20HFIH" hidden="1">#REF!</definedName>
    <definedName name="BEx7DF2ERJ3BST8DZ7EG9M9A39FD"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J1HTHRQU24P7L38RU8HONWI" hidden="1">#REF!</definedName>
    <definedName name="BEx7FN32ZGWOAA4TTH79KINTDWR9" hidden="1">#REF!</definedName>
    <definedName name="BEx7FNOSRSAJA5AQIQX72WDQGLS8"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HWR6GNDVYBXRDQBJ47P65AWC"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JYS1VHMRAQZ76K058SO9Y0M6" hidden="1">#REF!</definedName>
    <definedName name="BEx7K7GZ607XQOGB81A1HINBTGOZ" hidden="1">#REF!</definedName>
    <definedName name="BEx7KEYPBDXSNROH8M6CDCBN6B50" hidden="1">#REF!</definedName>
    <definedName name="BEx7KSAS8BZT6H8OQCZ5DNSTMO07" hidden="1">#REF!</definedName>
    <definedName name="BEx7KWHTBD21COXVI4HNEQH0Z3L8" hidden="1">#REF!</definedName>
    <definedName name="BEx7KXUGRMRSUXCM97Z7VRZQ9JH2" hidden="1">#REF!</definedName>
    <definedName name="BEx7L08RGDXFOB41U674IG1O9I4W"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SLWKTBJDPUNJPDN4EKRY6I1"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B9OULL2YGC896XXYAAJSTRK" hidden="1">#REF!</definedName>
    <definedName name="BEx93FRKF99NRT3LH99UTIH7AAYF" hidden="1">#REF!</definedName>
    <definedName name="BEx93M7FSHP50OG34A4W8W8DF12U" hidden="1">#REF!</definedName>
    <definedName name="BEx93M7G7FE31BM0FYJEVOOOINPO"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EGHWGIK24Z0V7VBKERHSABM" hidden="1">#REF!</definedName>
    <definedName name="BEx96KR21O7H9R29TN0S45Y3QPUK"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F0SUSOROH0U7J84NAUBSS1Z"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P7U384B0AQFVK9OLCXP1LIQ" hidden="1">#REF!</definedName>
    <definedName name="BEx9BYSYW7QCPXS2NAVLFAU5Y2Z2" hidden="1">#REF!</definedName>
    <definedName name="BEx9C590HJ2O31IWJB73C1HR74AI" hidden="1">#REF!</definedName>
    <definedName name="BEx9CCQRMYYOGIOYTOM73VKDIPS1" hidden="1">#REF!</definedName>
    <definedName name="BEx9CGSC647PM9XCTHWA02DNE5V0" hidden="1">#REF!</definedName>
    <definedName name="BEx9CNZAQF6P5RAI04VPQ2AW9M3T" hidden="1">#REF!</definedName>
    <definedName name="BEx9D1BC9FT19KY0INAABNDBAMR1" hidden="1">#REF!</definedName>
    <definedName name="BEx9DEI8E0AZ3UH45NS8AKOF4U2S"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ERO5A927GCICY9DH8K20960"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4P0S5B2IN066PTNNFAXZBX8"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HZFZ9TDODD71W5MW9WYKGE" hidden="1">#REF!</definedName>
    <definedName name="BEx9GDY4D8ZPQJCYFIMYM0V0C51Y" hidden="1">#REF!</definedName>
    <definedName name="BEx9GEJNJ6SPMSL5X96DYP1N166O"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HUZP85ZM5JCN4U6OO6A245RT" hidden="1">#REF!</definedName>
    <definedName name="BEx9I8XIG7E5NB48QQHXP23FIN60"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Q66P0E2UOEIC2MGC85MKBEI" hidden="1">#REF!</definedName>
    <definedName name="BExAYR2JZCJBUH6F1LZC2A7JIVRJ" hidden="1">#REF!</definedName>
    <definedName name="BExAYTGVRD3DLKO75RFPMBKCIWB8" hidden="1">#REF!</definedName>
    <definedName name="BExAYY9H9COOT46HJLPVDLTO12UL" hidden="1">#REF!</definedName>
    <definedName name="BExAYZ0DMKT8D0JU47ES6GANJ5AI" hidden="1">#REF!</definedName>
    <definedName name="BExAZ8WG0M6ZYE51DITS307LYI1T"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MYAWFD6OSNCBQD4OI1ANT1B" hidden="1">#REF!</definedName>
    <definedName name="BExB0WE4PI3NOBXXVO9CTEN4DIU2" hidden="1">#REF!</definedName>
    <definedName name="BExB10AECSFDC2VTOJBZGFJSFULZ"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1WSZUMMESCKAU4W2JNR00Q4Z"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J8ZDWD37PQ6D86IY51E9H20" hidden="1">#REF!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58OJRODOTYLS2LF31L7AAVC"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LPYD5AUDEE4EW3PX3X62BJX"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ERBG7N1OUZFDSH0OIPFLO7M" hidden="1">#REF!</definedName>
    <definedName name="BExB806PAXX70XUTA3ZI7OORD78R" hidden="1">#REF!</definedName>
    <definedName name="BExB8HF4UBVZKQCSRFRUQL2EE6VL" hidden="1">#REF!</definedName>
    <definedName name="BExB8HKHKZ1ORJZUYGG2M4VSCC39" hidden="1">#REF!</definedName>
    <definedName name="BExB8QPH8DC5BESEVPSMBCWVN6PO" hidden="1">#REF!</definedName>
    <definedName name="BExB8U5N0D85YR8APKN3PPKG0FWP" hidden="1">#REF!</definedName>
    <definedName name="BExB98UCTIYG3F0VBXHXNZFOPSIG" hidden="1">#REF!</definedName>
    <definedName name="BExB9DHI5I2TJ2LXYPM98EE81L27" hidden="1">#REF!</definedName>
    <definedName name="BExB9P0TF5IAPSXQKQTCBTT3S24X" hidden="1">#REF!</definedName>
    <definedName name="BExB9Q2MZZHBGW8QQKVEYIMJBPIE"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7VCLVJJMU6QHSC8P4A3PKUA" hidden="1">#REF!</definedName>
    <definedName name="BExBBJPGA9FI313N68JDK681185R" hidden="1">#REF!</definedName>
    <definedName name="BExBBNLQCP52UL475M2VX1GLA5N6"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IXB01JF4ZG7QQKMQ1DHLNP7" hidden="1">#REF!</definedName>
    <definedName name="BExBCKKJTIRKC1RZJRTK65HHLX4W" hidden="1">#REF!</definedName>
    <definedName name="BExBCLMEPAN3XXX174TU8SS0627Q" hidden="1">#REF!</definedName>
    <definedName name="BExBCRBEYR2KZ8FAQFZ2NHY13WIY" hidden="1">#REF!</definedName>
    <definedName name="BExBD2EGP35LW7WHSERPSC3J1XX0" hidden="1">#REF!</definedName>
    <definedName name="BExBD4I559NXSV6J07Q343TKYMVJ" hidden="1">#REF!</definedName>
    <definedName name="BExBDBZQLTX3OGFYGULQFK5WEZU5" hidden="1">#REF!</definedName>
    <definedName name="BExBDE39X6V6BTI1R13DWJTTGUMF" hidden="1">#REF!</definedName>
    <definedName name="BExBDJS9TUEU8Z84IV59E5V4T8K6" hidden="1">#REF!</definedName>
    <definedName name="BExBDKOMSVH4XMH52CFJ3F028I9R" hidden="1">#REF!</definedName>
    <definedName name="BExBDPMQDKZEM3GG0PIX4U9NW5VX"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9UYNIA3HXLUN9H3XEYQF3BW" hidden="1">#REF!</definedName>
    <definedName name="BExBEC9ATLQZF86W1M3APSM4HEOH" hidden="1">#REF!</definedName>
    <definedName name="BExBEYFQJE9YK12A6JBMRFKEC7RN" hidden="1">#REF!</definedName>
    <definedName name="BExBG1ED81J2O4A2S5F5Y3BPHMCR" hidden="1">#REF!</definedName>
    <definedName name="BExCQTCBG1FUP7QX6M5XX2RPUCLM"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EZZJS8HRW1BEIR4ODW5DEKG"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URJWYTW0HQQ2399EK20ENZAP" hidden="1">#REF!</definedName>
    <definedName name="BExCV26V90XBWQ0EF7YKWN9LJ3BN"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GM5RNP6TRBT3P1GMI9M138J" hidden="1">#REF!</definedName>
    <definedName name="BExCYJBB52X8B3AREHCC1L5QNPX7" hidden="1">#REF!</definedName>
    <definedName name="BExCYPRC5HJE6N2XQTHCT6NXGP8N" hidden="1">#REF!</definedName>
    <definedName name="BExCYUK0I3UEXZNFDW71G6Z6D8XR" hidden="1">#REF!</definedName>
    <definedName name="BExCZ33F4CQC1DYVWW933MBFK7Y4" hidden="1">#REF!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D03T20YGFYZJ1WYG62ZM7GLPM" hidden="1">#REF!</definedName>
    <definedName name="BExD0508DAALLU00PHFPBC8SRRKT"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XXBNSJY9J82LOM12MS90QU2" hidden="1">#REF!</definedName>
    <definedName name="BExD13RUIBGRXDL4QDZ305UKUR12" hidden="1">#REF!</definedName>
    <definedName name="BExD14DETV5R4OOTMAXD5NAKWRO3" hidden="1">#REF!</definedName>
    <definedName name="BExD1LWIB2B3SL3TM700XYOL5OID" hidden="1">#REF!</definedName>
    <definedName name="BExD1OAU9OXQAZA4D70HP72CU6GB" hidden="1">#REF!</definedName>
    <definedName name="BExD1Y1JV61416YA1XRQHKWPZIE7" hidden="1">#REF!</definedName>
    <definedName name="BExD2719FAPD0V4BCORKH7PQUTRR" hidden="1">#REF!</definedName>
    <definedName name="BExD2CFHIRMBKN5KXE5QP4XXEWFS" hidden="1">#REF!</definedName>
    <definedName name="BExD2DMHH1HWXQ9W0YYMDP8AAX8Q" hidden="1">#REF!</definedName>
    <definedName name="BExD2HTPC7IWBAU6OSQ67MQA8BYZ" hidden="1">#REF!</definedName>
    <definedName name="BExD2MMBN036F9D8NEWIM4V5V91M"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LOJ80N6YEG2BLWHKY6NDFRI" hidden="1">#REF!</definedName>
    <definedName name="BExD3NMR7AW2Z6V8SC79VQR37NA6" hidden="1">#REF!</definedName>
    <definedName name="BExD3QXA2UQ2W4N7NYLUEOG40BZB" hidden="1">#REF!</definedName>
    <definedName name="BExD3U2N041TEJ7GCN005UTPHNXY"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P2293PPKXQY70CRUBOBDDKI"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7WEMMCKHKVXC3YM98GDW2C5"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U2UMVA61C6N3W9JWKNUSB0R" hidden="1">#REF!</definedName>
    <definedName name="BExD7X888GACPG9U6FKTJ2BSSR7Y" hidden="1">#REF!</definedName>
    <definedName name="BExD8H5O087KQVWIVPUUID5VMGMS"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X4BOJJMNNXS27TUS01QNW57" hidden="1">#REF!</definedName>
    <definedName name="BExDAYBHU9ADLXI8VRC7F608RVGM" hidden="1">#REF!</definedName>
    <definedName name="BExDB9UTYUH5L4HQABNZ5UYX7I1Y" hidden="1">#REF!</definedName>
    <definedName name="BExDBDR1XR0FV0CYUCB2OJ7CJCZU" hidden="1">#REF!</definedName>
    <definedName name="BExDC7F818VN0S18ID7XRCRVYPJ4" hidden="1">#REF!</definedName>
    <definedName name="BExDCCINT6JEJR758D4P8JS9O6JF" hidden="1">#REF!</definedName>
    <definedName name="BExDCL7K96PC9VZYB70ZW3QPVIJE" hidden="1">#REF!</definedName>
    <definedName name="BExDCP3UZ3C2O4C1F7KMU0Z9U32N" hidden="1">#REF!</definedName>
    <definedName name="BExEOBX3WECDMYCV9RLN49APTXMM" hidden="1">#REF!</definedName>
    <definedName name="BExEP4E4F36662JDI0TOD85OP7X9" hidden="1">#REF!</definedName>
    <definedName name="BExEPN9VIYI0FVL0HLZQXJFO6TT0" hidden="1">#REF!</definedName>
    <definedName name="BExEPS2IEVK40HW4N1GLR7YHVDO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2UWX7VBKQ7XF8D5YYVMKMG9" hidden="1">#REF!</definedName>
    <definedName name="BExEQASRU3Y1A31LBMZ41ZHJ10NT"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7A54RTTP08NQPTI7XL0QBJJ" hidden="1">#REF!</definedName>
    <definedName name="BExESDVI55FKQK3B3S9E91UCCJCC" hidden="1">#REF!</definedName>
    <definedName name="BExESG9SOS7YM0LIY3QBVUA8S0B5" hidden="1">#REF!</definedName>
    <definedName name="BExESMKD95A649M0WRSG6CXXP326" hidden="1">#REF!</definedName>
    <definedName name="BExESR27ZXJG5VMY4PR9D940VS7T" hidden="1">#REF!</definedName>
    <definedName name="BExESX228NY8QXEWCIHJIJU8FJJS"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NE4T242Y59C6MS28MXEUGCP" hidden="1">#REF!</definedName>
    <definedName name="BExEV2TP7NA3ZR6RJGH5ER370OUM" hidden="1">#REF!</definedName>
    <definedName name="BExEV3VIZY48UD7C0HPM7ELXH3BE"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Q7B653MVKYUL65MF6UO980Z"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1W33AX9PYKD7GX012YBDXYB" hidden="1">#REF!</definedName>
    <definedName name="BExEW68M9WL8214QH9C7VCK7BN08" hidden="1">#REF!</definedName>
    <definedName name="BExEW8HFKH6F47KIHYBDRUEFZ2ZZ" hidden="1">#REF!</definedName>
    <definedName name="BExEWFTQA37V809C024WQ9M3QMPF" hidden="1">#REF!</definedName>
    <definedName name="BExEWLO75K95C6IRKHXSP7VP81T4" hidden="1">#REF!</definedName>
    <definedName name="BExEWMKJXJTS4JFZK4T1IJO7VNMB" hidden="1">#REF!</definedName>
    <definedName name="BExEWNBGQS1U2LW3W84T4LSJ9K00" hidden="1">#REF!</definedName>
    <definedName name="BExEWO7STL7HNZSTY8VQBPTX1WK6" hidden="1">#REF!</definedName>
    <definedName name="BExEWQ0M1N3KMKTDJ73H10QSG4W1"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XSTXCXJIQ4KY3BWBLQLT4TO9" hidden="1">#REF!</definedName>
    <definedName name="BExEY4O0SKHV0972GU0RKSMGIE9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CCNQP8465UJPIVPSCLAERH0"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28HVW4XJG1SISHL7KFF9RT2"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7AOE8W8L2AFGAE8ZAHFZJHE" hidden="1">#REF!</definedName>
    <definedName name="BExF49ZS0Q49Q8R168ONKXV4YI7O"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3YR30GKGBFVT2FFPUL71FQC"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3IUOBXF5MW2V2JUK394HLQW"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JSAU5JD6G5C2PAB0N1Y0RA7" hidden="1">#REF!</definedName>
    <definedName name="BExGNLA94D1SKMWQJNM4A0UAUW4N" hidden="1">#REF!</definedName>
    <definedName name="BExGNLL01R6KH283JPA57WYIBG2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1WZF9Z7LDBQ64HVLM2XPRHY"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88NRBJ6JTGGETXXWIRK04R" hidden="1">#REF!</definedName>
    <definedName name="BExGPA9USXYEWNBILHCD7FSJPVVV"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KKQQA7K1F8TV03PRBT1PSAR" hidden="1">#REF!</definedName>
    <definedName name="BExGQL6CO2V92DFELTLZCCBY2K6T"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FUZ95S51YXNTSMA57E2FKO6"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7DBFVMCRIQ2G5KSAOA7MQTW"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2RSCZWFKDD7K23V8TH249UR" hidden="1">#REF!</definedName>
    <definedName name="BExII50LI8I0CDOOZEMIVHVA2V95" hidden="1">#REF!</definedName>
    <definedName name="BExII7PQPONZTNI76JBES47GLCTX" hidden="1">#REF!</definedName>
    <definedName name="BExIINLJJ1P2YTGDI7SFQPK52S5K"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OM6VKCL04V0TQA9SACS5S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62MNWLLEPJMKIAKQNQT4GAF" hidden="1">#REF!</definedName>
    <definedName name="BExIM9DBUB7ZGF4B20FVUO9QGOX2" hidden="1">#REF!</definedName>
    <definedName name="BExIMAV9S57F5FZRFVFNKCZVHBSN" hidden="1">#REF!</definedName>
    <definedName name="BExIMGK9Z94TFPWWZFMD10HV0IF6" hidden="1">#REF!</definedName>
    <definedName name="BExIMPEGKG18TELVC33T4OQTNBWC" hidden="1">#REF!</definedName>
    <definedName name="BExIMRY4XRNSIH5IHEN71126DJ6L"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7HYE8Q5WZOFJT6SP6YKMHXN"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VVYR03NM9IJZ7DTMIQNEEPI"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AJA8BIYFEQX9SKFQFIC0OLX" hidden="1">#REF!</definedName>
    <definedName name="BExIRRBGTY01OQOI3U5SW59RFDFI" hidden="1">#REF!</definedName>
    <definedName name="BExIRYIEQ4YV7Y2M52BLPO0UK7G7"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MMX8ORF791U8JHF2428JKW8" hidden="1">#REF!</definedName>
    <definedName name="BExISOAC5RKOS9WGUQYTCHFST3QA" hidden="1">#REF!</definedName>
    <definedName name="BExISRFKJYUZ4AKW44IJF7RF9Y90" hidden="1">#REF!</definedName>
    <definedName name="BExIT1MK8TBAK3SNP36A8FKDQSOK" hidden="1">#REF!</definedName>
    <definedName name="BExIT5O4N9JS8QNV336RO5SP9VD3" hidden="1">#REF!</definedName>
    <definedName name="BExITBNYANV2S8KD56GOGCKW393R" hidden="1">#REF!</definedName>
    <definedName name="BExIUD4OJGH65NFNQ4VMCE3R4J1X" hidden="1">#REF!</definedName>
    <definedName name="BExIULIMA32E2XQ1NXFN0260S53F"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6Y68EZ6N2YHXMELXG33GRVA"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4H6LL7HVR7M02Y3F3RPPCJ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O2KO736PNFCYSAX1AN112PQ" hidden="1">#REF!</definedName>
    <definedName name="BExIYP9Q6FV9T0R9G3UDKLS4TTYX" hidden="1">#REF!</definedName>
    <definedName name="BExIYZGLDQ1TN7BIIN4RLDP31GIM" hidden="1">#REF!</definedName>
    <definedName name="BExIZ1UWYP2WK9SWVTJ6JBH53JZS" hidden="1">#REF!</definedName>
    <definedName name="BExIZ4K0EZJK6PW3L8SVKTJFSWW9"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RDL3T7W8Z4N7DP09ULLFR4N"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I4076KXCDE5KXL79KT36OKLO" hidden="1">#REF!</definedName>
    <definedName name="BExKI7LO70WYISR7Q0Y1ZDWO9M3B" hidden="1">#REF!</definedName>
    <definedName name="BExKIB1U6HN2IB684PT288GX3ICO"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AUYKQFHAGHYNBB8NPE19YLL"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OY9D543S3WGW9K74B8QM8TJ" hidden="1">#REF!</definedName>
    <definedName name="BExKJQQTMBNE8Y9XXECU3VJ6SM0M"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PO2HPWVQGAKW8LOZMPIDEFG" hidden="1">#REF!</definedName>
    <definedName name="BExKPEZP0QTKOTLIMMIFSVTHQEEK" hidden="1">#REF!</definedName>
    <definedName name="BExKPL4TH85ZH4PCCDR8O2MX2UKL"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MQZN2OES9G881QMRLVUIK4J" hidden="1">#REF!</definedName>
    <definedName name="BExKQOEA7HV9U5DH9C8JXFD62EKH" hidden="1">#REF!</definedName>
    <definedName name="BExKQQ71278061G7ZFYGPWOMOMY2" hidden="1">#REF!</definedName>
    <definedName name="BExKQTXRG3ECU8NT47UR7643LO5G" hidden="1">#REF!</definedName>
    <definedName name="BExKQVL7HPOIZ4FHANDFMVOJLEPR" hidden="1">#REF!</definedName>
    <definedName name="BExKR32XG1WY77WDT8KW9FJPGQTU" hidden="1">#REF!</definedName>
    <definedName name="BExKR7KS79K5WXYJKKYLVDXMU5EL"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TYH859J348IG248FZQU1XEHB" hidden="1">#REF!</definedName>
    <definedName name="BExKU3FBLHQBIUTN6XEZW5GC9OG1" hidden="1">#REF!</definedName>
    <definedName name="BExKU40S5XKM3Z4B40TZV1PF9GR0"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6ZF9ASVV1F87PHXXTBSVAR4"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KWSTSG9JNRVU9ZJQ9FEG3Y1OV"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3EAYJYAILKVVTPV073E9LPF"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L6XHPEOI67XUMW2YGFN7ME4"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AHD3040TSAOT2GKLFW6BZZ7" hidden="1">#REF!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G9NSK30KD01QX0UBN2VNRTG4" hidden="1">#REF!</definedName>
    <definedName name="BExMGG3PFIHPHX7NXB7HDFI3N12L" hidden="1">#REF!</definedName>
    <definedName name="BExMGR6YDK9UWDY45SH2FUQDZVO1" hidden="1">#REF!</definedName>
    <definedName name="BExMH3H9TW5TJCNU5Z1EWXP3BAEP" hidden="1">#REF!</definedName>
    <definedName name="BExMHORC10YWP28ID5J3N2UYLT2J"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BHZ0TPDFILGTHUOLZUZK4W6"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R1RQ78C8AN3WN9V5FJJ3S8B"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MXKIV8T7I9H1JB223T70I74X"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RZLTGNWDOLJLQQE9Z3KXSYY" hidden="1">#REF!</definedName>
    <definedName name="BExMNXTWRY7GXXW4LR9CM9BLHTFE" hidden="1">#REF!</definedName>
    <definedName name="BExMO9IOWKTWHO8LQJJQI5P3INWY" hidden="1">#REF!</definedName>
    <definedName name="BExMOI29DOEK5R1A5QZPUDKF7N6T" hidden="1">#REF!</definedName>
    <definedName name="BExMOSJX33VVBLXJYLGVAM6X7RLU" hidden="1">#REF!</definedName>
    <definedName name="BExMP6MZSNFYRKE5LZ5FUYIVMYQ6"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2QXFSAO3ZVYXV5EQYQ7LILA" hidden="1">#REF!</definedName>
    <definedName name="BExO55G2KVZ7MIJ30N827CLH0I2A" hidden="1">#REF!</definedName>
    <definedName name="BExO5A8PZD9EUHC5CMPU6N3SQ15L" hidden="1">#REF!</definedName>
    <definedName name="BExO5XMAHL7CY3X0B1OPKZ28DCJ5" hidden="1">#REF!</definedName>
    <definedName name="BExO5Y7VU1Q13ER0DVFI5VGBLZ74" hidden="1">#REF!</definedName>
    <definedName name="BExO66LZJKY4PTQVREELI6POS4AY" hidden="1">#REF!</definedName>
    <definedName name="BExO67IC1JJ00X4A5LJHM0WQ6J5W" hidden="1">#REF!</definedName>
    <definedName name="BExO69WNJQOVJC6SVC4DFBOOFL4P" hidden="1">#REF!</definedName>
    <definedName name="BExO6LLHCYTF7CIVHKAO0NMET14Q" hidden="1">#REF!</definedName>
    <definedName name="BExO7OUQS3XTUQ2LDKGQ8AAQ3OJJ" hidden="1">#REF!</definedName>
    <definedName name="BExO7RUSODZC2NQZMT2AFSMV2ONF"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PDTJP5TWIEFAMZJTFUBVUSW" hidden="1">#REF!</definedName>
    <definedName name="BExO9RS5RXFJ1911HL3CCK6M74EP" hidden="1">#REF!</definedName>
    <definedName name="BExO9S8828ZZJ819F2EU4ANRKLEI" hidden="1">#REF!</definedName>
    <definedName name="BExO9SDRI1M6KMHXSG3AE5L0F2U3" hidden="1">#REF!</definedName>
    <definedName name="BExO9V2U2YXAY904GYYGU6TD8Y7M" hidden="1">#REF!</definedName>
    <definedName name="BExOAQ3GKCT7YZW1EMVU3EILSZL2"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RAT7NBOYIJ5YEIC3G4KH0DS" hidden="1">#REF!</definedName>
    <definedName name="BExOERG5LWXYYEN1DY1H2FWRJS9T" hidden="1">#REF!</definedName>
    <definedName name="BExOEV1S6JJVO5PP4BZ20SNGZR7D"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8CFC84YRMYX1B2AV8ZMRDUB"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JP76GTV3ZV80EVDDKU4CBF5"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9BN131KUF12ZUYUL9ZA93N5"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3ZTYYZO9Y1LC0MNUHE6KP4"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9O707AH99GQOPCWFB1QZX24"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8JVI83SMZAP2925CR0M93J0" hidden="1">#REF!</definedName>
    <definedName name="BExQ39R28MXSG2SEV956F0KZ20AN" hidden="1">#REF!</definedName>
    <definedName name="BExQ3D1P3M5Z3HLMEZ17E0BLEE4U" hidden="1">#REF!</definedName>
    <definedName name="BExQ3GN6RQRK60X3K6LNYMRQU66L"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8YW910H7XVKA1O1TSAHNQQQ"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FDJQE92BM305GDS6P512YH6"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V7ZC11JWWETTU4H3BX3RFUS"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D2EEDYOZSQQ48I8Y0I4ZRP"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89L9DTGPWKEW748XFJZRKMG" hidden="1">#REF!</definedName>
    <definedName name="BExQBDICMZTSA1X73TMHNO4JSFLN" hidden="1">#REF!</definedName>
    <definedName name="BExQBEER6CRCRPSSL61S0OMH57ZA" hidden="1">#REF!</definedName>
    <definedName name="BExQBIGGY5TXI2FJVVZSLZ0LTZYH" hidden="1">#REF!</definedName>
    <definedName name="BExQBLGCAETD71O1SUUPS14HYODO" hidden="1">#REF!</definedName>
    <definedName name="BExQBM1RUSIQ85LLMM2159BYDPIP" hidden="1">#REF!</definedName>
    <definedName name="BExQBPHXAEVIZ1L85DZ2TRHAP4E7"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D1GA2TH6L0ARJNQ3PRBCDAY8" hidden="1">#REF!</definedName>
    <definedName name="BExQD3ZWG8HP2DDSS4YAQ6BDYZFN"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EX12KJQOTQFGOV2X7CQG13MP" hidden="1">#REF!</definedName>
    <definedName name="BExQEZFFUJM2CBQ5HKDXJ8TJBJUZ" hidden="1">#REF!</definedName>
    <definedName name="BExQF0MJXKX6E8DJ045P43EZNN79" hidden="1">#REF!</definedName>
    <definedName name="BExQF1OEB07CRAP6ALNNMJNJ3P2D" hidden="1">#REF!</definedName>
    <definedName name="BExQF4TM431IUF69NS5RHR75VIJT"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5GTMTM5JQVR7NPN2YU9X0B9"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IWFQC6QY47BKVV9H2YNBHVF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IAN4IC5Q2UVJSWZ3UDYUFL1"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7X2SARZC08MIX6TKW8581Y0" hidden="1">#REF!</definedName>
    <definedName name="BExS59F0PA1V2ZC7S5TN6IT41SXP" hidden="1">#REF!</definedName>
    <definedName name="BExS5DRER9US6NXY9ATYT41KZII3" hidden="1">#REF!</definedName>
    <definedName name="BExS5L3TGB8JVW9ROYWTKYTUPW27" hidden="1">#REF!</definedName>
    <definedName name="BExS60OVEMOCGN35OLFWTYCAOSIT" hidden="1">#REF!</definedName>
    <definedName name="BExS6FDFHF1S4KAKL81FST1AIMLM" hidden="1">#REF!</definedName>
    <definedName name="BExS6GKQ96EHVLYWNJDWXZXUZW90" hidden="1">#REF!</definedName>
    <definedName name="BExS6ITKSZFRR01YD5B0F676SYN7" hidden="1">#REF!</definedName>
    <definedName name="BExS6JVFH2RZOWBVCUMZZ5GHB8HX"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6GPKWBKLKOTJ1HDDP4PTD2D"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EU7YCBV8RRMPOHO700I4QMM3" hidden="1">#REF!</definedName>
    <definedName name="BExSF07QFLZCO4P6K6QF05XG7PH1" hidden="1">#REF!</definedName>
    <definedName name="BExSF7EONBR3KRGD9RICRKD3DQWX" hidden="1">#REF!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XW95YJ2F0JGIVXIOO4MIEM6"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M4YDXTNHE9Q6MPU51ZL73TV"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EDV7YR1C4NPNQW0Y5BOPCMU" hidden="1">#REF!</definedName>
    <definedName name="BExTXJ6HBAIXMMWKZTJNFDYVZCAY" hidden="1">#REF!</definedName>
    <definedName name="BExTXT812NQT8GAEGH738U29BI0D" hidden="1">#REF!</definedName>
    <definedName name="BExTXTYY8WI047V9CP1NGHJNTX81" hidden="1">#REF!</definedName>
    <definedName name="BExTXWIP2TFPTQ76NHFOB72NICRZ" hidden="1">#REF!</definedName>
    <definedName name="BExTY5T62H651VC86QM4X7E28JVA" hidden="1">#REF!</definedName>
    <definedName name="BExTY7WQDOJYR1EEOG70GPJBWSTQ" hidden="1">#REF!</definedName>
    <definedName name="BExTYHCJJ2NWRM1RV59FYR41534U" hidden="1">#REF!</definedName>
    <definedName name="BExTYKCEFJ83LZM95M1V7CSFQVEA" hidden="1">#REF!</definedName>
    <definedName name="BExTYNCAFW7281RI916S89DLGQ0B" hidden="1">#REF!</definedName>
    <definedName name="BExTYPLA9N640MFRJJQPKXT7P88M" hidden="1">#REF!</definedName>
    <definedName name="BExTZ0DRTNP10YAWFWXWUH39JGSD" hidden="1">#REF!</definedName>
    <definedName name="BExTZ7F71SNTOX4LLZCK5R9VUMIJ"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DG62Z531IOUDKYO1387070" hidden="1">#REF!</definedName>
    <definedName name="BExU0MTJQPE041ZN7H8UKGV6MZT7" hidden="1">#REF!</definedName>
    <definedName name="BExU0PO0N138G3UUZ016O0BWDT14" hidden="1">#REF!</definedName>
    <definedName name="BExU0WEU5SQABXWPD4Q0UHZSEM8T"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CAO9OAXLJF5EVMP9198FAPW" hidden="1">#REF!</definedName>
    <definedName name="BExU1GXUTLRPJN4MRINLAPHSZQFG" hidden="1">#REF!</definedName>
    <definedName name="BExU1HOWASQF9R30RTAHT2RPNBS0"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PIVJKICP6J3DME8LSZ098PG" hidden="1">#REF!</definedName>
    <definedName name="BExU51IFNZXPBDES28457LR8X60M" hidden="1">#REF!</definedName>
    <definedName name="BExU529I6YHVOG83TJHWSILIQU1S" hidden="1">#REF!</definedName>
    <definedName name="BExU57T15UYOGQ8KG77FORAC0IBA" hidden="1">#REF!</definedName>
    <definedName name="BExU57YCIKPRD8QWL6EU0YR3NG3J" hidden="1">#REF!</definedName>
    <definedName name="BExU5DSTBWXLN6E59B757KRWRI6E" hidden="1">#REF!</definedName>
    <definedName name="BExU5EP6DI6Q8QG9HOTHBSUP7T5U"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UUKBHZ5GHB367G8LZ7KU7BU"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A4KCZ8LU4GCW699WEUB4C0" hidden="1">#REF!</definedName>
    <definedName name="BExU8KFLAN778MBN93NYZB0FV30G" hidden="1">#REF!</definedName>
    <definedName name="BExU8OXHEAHQMZP2XPQ3DNJ68XZV"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5OFBGFUF5KXFI6M58OJB4TJ"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I1I6ASHJOS6L997MBGFFMSK" hidden="1">#REF!</definedName>
    <definedName name="BExUCLC6AQ5KR6LXSAXV4QQ8ASVG" hidden="1">#REF!</definedName>
    <definedName name="BExUD4IOJ12X3PJG5WXNNGDRCKAP" hidden="1">#REF!</definedName>
    <definedName name="BExUD7O401CZRHFZISE7E7YGJZ1N"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E4BSIJJJUCWPDZWQLBYKQFD" hidden="1">#REF!</definedName>
    <definedName name="BExVTNESHPVG0A0KZ7BRX26MS0PF" hidden="1">#REF!</definedName>
    <definedName name="BExVTTJVTNRSBHBTUZ78WG2JM5MK" hidden="1">#REF!</definedName>
    <definedName name="BExVTVY8TUBXRTHC3VINGKI1YJIL" hidden="1">#REF!</definedName>
    <definedName name="BExVTXLMYR87BC04D1ERALPUFVPG"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JFX8P6VZJZ8643M48GHDFG1" hidden="1">#REF!</definedName>
    <definedName name="BExVVPFO2J7FMSRPD36909HN4BZJ" hidden="1">#REF!</definedName>
    <definedName name="BExVVQ19AQ3VCARJOC38SF7OYE9Y" hidden="1">#REF!</definedName>
    <definedName name="BExVVQ19TAECID45CS4HXT1RD3AQ" hidden="1">#REF!</definedName>
    <definedName name="BExVVZMIG5OW9QQ1TW4L1R64Q9TN"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VZOUAKQ43LVDT09BYB0GNN86E" hidden="1">#REF!</definedName>
    <definedName name="BExW0386REQRCQCVT9BCX80UPTRY" hidden="1">#REF!</definedName>
    <definedName name="BExW0BBIM1W711KB0UC8UG5NCESP" hidden="1">#REF!</definedName>
    <definedName name="BExW0FYP4WXY71CYUG40SUBG9UWU" hidden="1">#REF!</definedName>
    <definedName name="BExW0RI61B4VV0ARXTFVBAWRA1C5" hidden="1">#REF!</definedName>
    <definedName name="BExW17U45DTOECIFI9FW9DNVNGXO"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QR9FV9MP5K610THBSM51RYO" hidden="1">#REF!</definedName>
    <definedName name="BExW4Z029R9E19ZENN3WEA3VDAD1"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13TEHKTF36Q6JP5MG1PTOYN" hidden="1">#REF!</definedName>
    <definedName name="BExW937AT53OZQRHNWQZ5BVH24IE" hidden="1">#REF!</definedName>
    <definedName name="BExW94UPIR3OK0JJ6UO14FRSH2UT"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AYLUVI5LSVN3LAS6HO6VB6J" hidden="1">#REF!</definedName>
    <definedName name="BExXMOLHIAHDLFSA31PUB36SC3I9" hidden="1">#REF!</definedName>
    <definedName name="BExXMT8T5Z3M2JBQN65X2LKH0YQI" hidden="1">#REF!</definedName>
    <definedName name="BExXMZU5L88M2XUI7HHKE82XZ2FC"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OL2YYS792P3SOTOIJ14WPZLO" hidden="1">#REF!</definedName>
    <definedName name="BExXP2RDV1M57RCQ83QPMU0RQ6UY"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5JCDBSYSJP14U1E847BK5JU"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EN3W40BM4B3MLQIHKR47ZON"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ONEG4WKT3K2X9XOMQ0S1S4O"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6HAY1PIF6X96VYUXT4CAZZ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Z1I56ZND3AIOQN4R2EQJ015S"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99SHQH6XRZCT8CC1TXYKFK"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03059PL8XGR9QH6ERDGU3B2"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121J9VZ48X2WM56EXPOD3S3" hidden="1">#REF!</definedName>
    <definedName name="BExY3HOSK7YI364K15OX70AVR6F1" hidden="1">#REF!</definedName>
    <definedName name="BExY3T89AUR83SOAZZ3OMDEJDQ39" hidden="1">#REF!</definedName>
    <definedName name="BExY4MG771JQ84EMIVB6HQGGHZY7" hidden="1">#REF!</definedName>
    <definedName name="BExY4MQZH30ZELHCBRBSDADOROEB"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5ZLOVAEM99APYIAHVMF2CNL4"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060QB9X40T7SESPRQ5K9M74"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0A28YOH6J1CS9BHZ43LF9VW"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D4SYQZ8OLBV8OQYMHFTHOPC" hidden="1">#REF!</definedName>
    <definedName name="BExZLGVLMKTPFXG42QYT0PO81G7F" hidden="1">#REF!</definedName>
    <definedName name="BExZLKMK7LRK14S09WLMH7MXSQXM" hidden="1">#REF!</definedName>
    <definedName name="BExZM6I7ACAYO3F2D1620XRBF2BX"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1O630B3MFU4RVXF7EU1ESI1" hidden="1">#REF!</definedName>
    <definedName name="BExZN24FLGWRQTKEZEHKQJCNSBGR" hidden="1">#REF!</definedName>
    <definedName name="BExZN2F7Y2J2L2LN5WZRG949MS4A" hidden="1">#REF!</definedName>
    <definedName name="BExZN847WUWKRYTZWG9TCQZJS3OL" hidden="1">#REF!</definedName>
    <definedName name="BExZNH3VISFF4NQI11BZDP5IQ7VG" hidden="1">#REF!</definedName>
    <definedName name="BExZNJYCFYVMAOI62GB2BABK1ELE" hidden="1">#REF!</definedName>
    <definedName name="BExZNOW9KWXME7OLFD6QN6L87KLL"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Q37OVBR25U32CO2YYVPZOMR5" hidden="1">#REF!</definedName>
    <definedName name="BExZQ3D017NJF4K7O2TMNVMMZNM3"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SOTQO6CK7LQNG0979K1PMUV"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RYHWS0H0ZGU57YYJHSPWF985" hidden="1">#REF!</definedName>
    <definedName name="BExZS2OY9JTSSP01ZQ6V2T2LO5R9" hidden="1">#REF!</definedName>
    <definedName name="BExZSI9USDLZAN8LI8M4YYQL24GZ" hidden="1">#REF!</definedName>
    <definedName name="BExZSS0LA2JY4ZLJ1Z5YCMLJJZCH" hidden="1">#REF!</definedName>
    <definedName name="BExZT9P6DRUKIXPPYZUUXHJBZYIP" hidden="1">#REF!</definedName>
    <definedName name="BExZTAQV2QVSZY5Y3VCCWUBSBW9P" hidden="1">#REF!</definedName>
    <definedName name="BExZTHSI2FX56PWRSNX9H5EWTZFO" hidden="1">#REF!</definedName>
    <definedName name="BExZTI8LMF9H021SUTTGQS55G0LU"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49K5PS9GP2FVTQZX7AYAKH1"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KXV8CBFKECIICR0ZD1ZM69S"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D86MJ66WSVJKYHTJ3X2T0YC" hidden="1">#REF!</definedName>
    <definedName name="BExZZTK54OTLF2YB68BHGOS27GEN" hidden="1">#REF!</definedName>
    <definedName name="BExZZX5LHVJ97BV581A76MD1ZCVT" hidden="1">#REF!</definedName>
    <definedName name="BExZZXB3JQQG4SIZS4MRU6NNW7HI" hidden="1">#REF!</definedName>
    <definedName name="BExZZZEMIIFKMLLV4DJKX5TB9R5V" hidden="1">#REF!</definedName>
    <definedName name="BG_Del" hidden="1">15</definedName>
    <definedName name="BG_Ins" hidden="1">4</definedName>
    <definedName name="BG_Mod" hidden="1">6</definedName>
    <definedName name="Billa_Dl" hidden="1">{"ÜBER mit FW","THU",FALSE,"HORE KORR!";"ÜBERSICHT",#N/A,FALSE,"BUDGET 1997_98";"ÜBER mit FW",#N/A,FALSE,"IST KUM KORR!!";"ÜBERSICHT",#N/A,FALSE,"PLAN KUM"}</definedName>
    <definedName name="bloomberg" hidden="1">{"glc1",#N/A,FALSE,"GLC";"glc2",#N/A,FALSE,"GLC";"glc3",#N/A,FALSE,"GLC";"glc4",#N/A,FALSE,"GLC";"glc5",#N/A,FALSE,"GLC"}</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5" hidden="1">#REF!</definedName>
    <definedName name="BLPH6" hidden="1">#REF!</definedName>
    <definedName name="BLPH7" hidden="1">#REF!</definedName>
    <definedName name="BLPH8" hidden="1">#REF!</definedName>
    <definedName name="BLPH9" hidden="1">#REF!</definedName>
    <definedName name="Blurb" hidden="1">{#N/A,#N/A,FALSE,"Schedule 01";#N/A,#N/A,FALSE,"Schedule 02";#N/A,#N/A,FALSE,"Schedule 03";#N/A,#N/A,FALSE,"Schedule 04";#N/A,#N/A,FALSE,"Schedule 05";#N/A,#N/A,FALSE,"Schedule 06"}</definedName>
    <definedName name="BML_Rewe" hidden="1">{"DRUCK",#N/A,FALSE,"HOCHRECHNUNG KORR!!!!";"DRUCK",#N/A,FALSE,"BUDGET 1997_98";"DRUCK",#N/A,FALSE,"PL KUM";"DRUCK",#N/A,FALSE,"VJ KUM";"DRUCK",#N/A,FALSE,"IST KUM KORR!!!"}</definedName>
    <definedName name="bnju" hidden="1">{"glcbs",#N/A,FALSE,"GLCBS";"glccsbs",#N/A,FALSE,"GLCCSBS";"glcis",#N/A,FALSE,"GLCIS";"glccsis",#N/A,FALSE,"GLCCSIS";"glcrat1",#N/A,FALSE,"GLC-ratios1"}</definedName>
    <definedName name="bsghs" hidden="1">{0,0}</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vgb" hidden="1">{#N/A,#N/A,TRUE,"Буржуям"}</definedName>
    <definedName name="c_" hidden="1">{0,0,0,TRUE;0,0,0,0;0,0,0,0;0,0,0,0}</definedName>
    <definedName name="CA_B_OKI_90907" hidden="1">#REF!</definedName>
    <definedName name="CA_B_OKI_90908_02" hidden="1">#REF!</definedName>
    <definedName name="CA_B_OKI_90908_04" hidden="1">#REF!</definedName>
    <definedName name="CA_B_OKI_91302" hidden="1">#REF!</definedName>
    <definedName name="CA_B_OKI_91309_02" hidden="1">#REF!</definedName>
    <definedName name="CA_B_OKI_91404" hidden="1">#REF!</definedName>
    <definedName name="CA_B_OKI_91404_01" hidden="1">#REF!</definedName>
    <definedName name="CA_B_OKI_91404_02" hidden="1">#REF!</definedName>
    <definedName name="canc" hidden="1">{#N/A,#N/A,FALSE,"Front sheet (qtr)";#N/A,#N/A,FALSE,"Investments (qtr) ";#N/A,#N/A,FALSE,"Net assets (qtr)"}</definedName>
    <definedName name="canc2" hidden="1">{#N/A,#N/A,FALSE,"Front sheet (qtr)";#N/A,#N/A,FALSE,"Investments (qtr) ";#N/A,#N/A,FALSE,"Net assets (qtr)"}</definedName>
    <definedName name="capex_depr" hidden="1">{"'domaće količine'!$K$34:$P$47"}</definedName>
    <definedName name="carlos" hidden="1">{#N/A,"10% Success",FALSE,"Sales Forecast";#N/A,#N/A,FALSE,"Sheet2"}</definedName>
    <definedName name="CBWorkbookPriority" hidden="1">-189164748</definedName>
    <definedName name="cc" hidden="1">{"ÜBERSICHT",#N/A,FALSE,"ABW KUM";"Kostenzoom",#N/A,FALSE,"ABW KUM";"ÜBERSICHT",#N/A,FALSE,"ABW HORE";"Kostenzoom",#N/A,FALSE,"ABW HORE"}</definedName>
    <definedName name="ccc" hidden="1">{"Area1",#N/A,FALSE,"OREWACC";"Area2",#N/A,FALSE,"OREWACC"}</definedName>
    <definedName name="CelCodePrim" hidden="1">#REF!</definedName>
    <definedName name="CelCodeSec" hidden="1">#REF!</definedName>
    <definedName name="CelCritPrim" hidden="1">#REF!</definedName>
    <definedName name="CelCritSec" hidden="1">#REF!</definedName>
    <definedName name="CF_7_ktn" hidden="1">{"Output-All",#N/A,FALSE,"Output"}</definedName>
    <definedName name="cf2_" hidden="1">{0,0,0,0}</definedName>
    <definedName name="cfgh" hidden="1">{"Schedule_1D",#N/A,FALSE,"I-D"}</definedName>
    <definedName name="cfhg" hidden="1">{"'Sheet1'!$A$1:$G$96","'Sheet1'!$A$1:$H$96"}</definedName>
    <definedName name="cghjcghmcghm" hidden="1">{#N/A,#N/A,FALSE,"PM req"}</definedName>
    <definedName name="cghmvhmvhjk" hidden="1">{#N/A,#N/A,FALSE,"AD_Purch";#N/A,#N/A,FALSE,"Projections";#N/A,#N/A,FALSE,"DCF";#N/A,#N/A,FALSE,"Mkt Val"}</definedName>
    <definedName name="cghnfghjghj" hidden="1">{#N/A,#N/A,FALSE,"Assump";#N/A,#N/A,FALSE,"Income";#N/A,#N/A,FALSE,"Balance";#N/A,#N/A,FALSE,"DCF Pump";#N/A,#N/A,FALSE,"Trans Assump";#N/A,#N/A,FALSE,"Combined Income";#N/A,#N/A,FALSE,"Combined Balance"}</definedName>
    <definedName name="ChangeRange" hidden="1">#REF!</definedName>
    <definedName name="Check.BS.DC.10" hidden="1">#REF!</definedName>
    <definedName name="Check.BS.DC.2" hidden="1">#REF!</definedName>
    <definedName name="Check.BS.DC.3" hidden="1">#REF!</definedName>
    <definedName name="Check.BS.DC.4" hidden="1">#REF!</definedName>
    <definedName name="Check.BS.DC.5" hidden="1">#REF!</definedName>
    <definedName name="Check.BS.DC.6" hidden="1">#REF!</definedName>
    <definedName name="Check.BS.DC.7" hidden="1">#REF!</definedName>
    <definedName name="Check.BS.DC.8" hidden="1">#REF!</definedName>
    <definedName name="Check.BS.DC.9" hidden="1">#REF!</definedName>
    <definedName name="Check.KPI.DC.10" hidden="1">#REF!</definedName>
    <definedName name="Check.KPI.DC.2" hidden="1">#REF!</definedName>
    <definedName name="Check.KPI.DC.3" hidden="1">#REF!</definedName>
    <definedName name="Check.KPI.DC.4" hidden="1">#REF!</definedName>
    <definedName name="Check.KPI.DC.5" hidden="1">#REF!</definedName>
    <definedName name="Check.KPI.DC.6" hidden="1">#REF!</definedName>
    <definedName name="Check.KPI.DC.7" hidden="1">#REF!</definedName>
    <definedName name="Check.KPI.DC.8" hidden="1">#REF!</definedName>
    <definedName name="Check.KPI.DC.9" hidden="1">#REF!</definedName>
    <definedName name="Chewy" hidden="1">{#N/A,#N/A,FALSE,"Front sheet (qtr)";#N/A,#N/A,FALSE,"Investments (qtr) ";#N/A,#N/A,FALSE,"Net assets (qtr)"}</definedName>
    <definedName name="Chewy2" hidden="1">{#N/A,#N/A,FALSE,"Front sheet (qtr)";#N/A,#N/A,FALSE,"Investments (qtr) ";#N/A,#N/A,FALSE,"Net assets (qtr)"}</definedName>
    <definedName name="CIP" hidden="1">{"PRINTME",#N/A,FALSE,"FINAL-10"}</definedName>
    <definedName name="CIQWBGuid" hidden="1">"b7b2268e-8e2b-475b-8880-f3e286451964"</definedName>
    <definedName name="claudia" hidden="1">{#N/A,"70% Success",FALSE,"Sales Forecast";#N/A,#N/A,FALSE,"Sheet2"}</definedName>
    <definedName name="Code" hidden="1">#REF!</definedName>
    <definedName name="codelib" hidden="1">#REF!</definedName>
    <definedName name="codelib1" hidden="1">#REF!</definedName>
    <definedName name="CoLibMaj" hidden="1">#REF!</definedName>
    <definedName name="CoLibMineur" hidden="1">#REF!</definedName>
    <definedName name="COMPARE" hidden="1">{"Table A,pg 1",#N/A,FALSE,"Table A-Prov GUR";"Table A,pg 2",#N/A,FALSE,"Table A-Prov GUR"}</definedName>
    <definedName name="consolidated" hidden="1">{#N/A,#N/A,FALSE,"REC";#N/A,#N/A,FALSE,"ASSETS";#N/A,#N/A,FALSE,"LIABILITIES";#N/A,#N/A,FALSE,"P&amp;L";#N/A,#N/A,FALSE,"FUNDS";#N/A,#N/A,FALSE,"CASH";#N/A,#N/A,FALSE,"1,2";#N/A,#N/A,FALSE,"3";#N/A,#N/A,FALSE,"4";#N/A,#N/A,FALSE,"5,6,7";#N/A,#N/A,FALSE,"8,9"}</definedName>
    <definedName name="ContentsHelp" hidden="1">#REF!</definedName>
    <definedName name="CreateTable" hidden="1">#REF!</definedName>
    <definedName name="cu00.UserArea" hidden="1">#REF!</definedName>
    <definedName name="CUSPassword" hidden="1">"MDL238GBWP678SDA16)E^CBC"</definedName>
    <definedName name="d" hidden="1">{#N/A,#N/A,FALSE,"Aging Summary";#N/A,#N/A,FALSE,"Ratio Analysis";#N/A,#N/A,FALSE,"Test 120 Day Accts";#N/A,#N/A,FALSE,"Tickmarks"}</definedName>
    <definedName name="dadadwdwda" hidden="1">{"assets",#N/A,FALSE,"historicBS";"liab",#N/A,FALSE,"historicBS";"is",#N/A,FALSE,"historicIS";"ratios",#N/A,FALSE,"ratios"}</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as"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dasrwe"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dassas" hidden="1">{"VIEW_MANCOMM_PRINT",#N/A,FALSE,"MANCOM";"VIEW_SPLIT_PRINT",#N/A,FALSE,"MANCOM";"VIEW_CUMM_SUMMARY_PRINT",#N/A,FALSE,"SUMMARY";"PRINT633",#N/A,FALSE,"633";"PRINT634",#N/A,FALSE,"634";"PRINT635",#N/A,FALSE,"635";"PRINT636",#N/A,FALSE,"636";"PRINT637",#N/A,FALSE,"637";"PRINT638",#N/A,FALSE,"638";"print645",#N/A,FALSE,"645";"print659",#N/A,FALSE,"659";"print660",#N/A,FALSE,"660";"print661",#N/A,FALSE,"661";"PRINT662",#N/A,FALSE,"662";"PRINT663",#N/A,FALSE,"663";"PRINT664",#N/A,FALSE,"664";"PRINT666",#N/A,FALSE,"666";"PRINT667",#N/A,FALSE,"667";"PRINT669",#N/A,FALSE,"669";"PRINT720",#N/A,FALSE,"720";"PRINT750",#N/A,FALSE,"750";"VIEW_DIST",#N/A,FALSE,"info"}</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2" hidden="1">#REF!</definedName>
    <definedName name="dcfdfsd" hidden="1">#REF!</definedName>
    <definedName name="dd"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dddd" hidden="1">{#VALUE!,#N/A,TRUE,0}</definedName>
    <definedName name="dddddd" hidden="1">#REF!</definedName>
    <definedName name="ddddddd" hidden="1">{"Ergebnis",#N/A,FALSE,"HORE 1997_01ST";"Steuern",#N/A,FALSE,"HORE 1997_01ST"}</definedName>
    <definedName name="ddddddddddd" hidden="1">#REF!</definedName>
    <definedName name="ddurch" hidden="1">{"ÜBER mit FW","THU",FALSE,"HORE KORR!";"ÜBERSICHT",#N/A,FALSE,"BUDGET 1997_98";"ÜBER mit FW",#N/A,FALSE,"IST KUM KORR!!";"ÜBERSICHT",#N/A,FALSE,"PLAN KUM"}</definedName>
    <definedName name="dduu" hidden="1">{"ÜBERSICHT",#N/A,FALSE,"ABW KUM";"Kostenzoom",#N/A,FALSE,"ABW KUM";"ÜBERSICHT",#N/A,FALSE,"ABW HORE";"Kostenzoom",#N/A,FALSE,"ABW HORE"}</definedName>
    <definedName name="DeleteRange" hidden="1">#REF!</definedName>
    <definedName name="DeleteTable" hidden="1">#REF!</definedName>
    <definedName name="DesaVa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df" hidden="1">{"'Sheet1'!$A$1:$G$96","'Sheet1'!$A$1:$H$96"}</definedName>
    <definedName name="dfadsd" hidden="1">{"DRUCK",#N/A,FALSE,"HOCHRECHNUNG KORR!!!!";"DRUCK",#N/A,FALSE,"BUDGET 1997_98";"DRUCK",#N/A,FALSE,"PL KUM";"DRUCK",#N/A,FALSE,"VJ KUM";"DRUCK",#N/A,FALSE,"IST KUM KORR!!!"}</definedName>
    <definedName name="dfadsfdfd" hidden="1">#REF!</definedName>
    <definedName name="dfasdfasdf" hidden="1">{"DRUCK",#N/A,FALSE,"HOCHRECHNUNG KORR!!!!";"DRUCK",#N/A,FALSE,"BUDGET 1997_98";"DRUCK",#N/A,FALSE,"PL KUM";"DRUCK",#N/A,FALSE,"VJ KUM";"DRUCK",#N/A,FALSE,"IST KUM KORR!!!"}</definedName>
    <definedName name="dfasfasf" hidden="1">{"DRUCK",#N/A,FALSE,"HOCHRECHNUNG KORR!!!!";"DRUCK",#N/A,FALSE,"BUDGET 1997_98";"DRUCK",#N/A,FALSE,"PL KUM";"DRUCK",#N/A,FALSE,"VJ KUM";"DRUCK",#N/A,FALSE,"IST KUM KORR!!!"}</definedName>
    <definedName name="dfassasf" hidden="1">{"ÜBER mit FW","THU",FALSE,"HORE KORR!";"ÜBERSICHT",#N/A,FALSE,"BUDGET 1997_98";"ÜBER mit FW",#N/A,FALSE,"IST KUM KORR!!";"ÜBERSICHT",#N/A,FALSE,"PLAN KUM"}</definedName>
    <definedName name="dfb" hidden="1">#REF!</definedName>
    <definedName name="dfg" hidden="1">{#N/A,#N/A,FALSE,"Aging Summary";#N/A,#N/A,FALSE,"Ratio Analysis";#N/A,#N/A,FALSE,"Test 120 Day Accts";#N/A,#N/A,FALSE,"Tickmarks"}</definedName>
    <definedName name="dfgdf" hidden="1">{"glc1",#N/A,FALSE,"GLC";"glc2",#N/A,FALSE,"GLC";"glc3",#N/A,FALSE,"GLC";"glc4",#N/A,FALSE,"GLC";"glc5",#N/A,FALSE,"GLC"}</definedName>
    <definedName name="dfgdfhfv" hidden="1">1</definedName>
    <definedName name="dfgfhg" hidden="1">{"glc1",#N/A,FALSE,"GLC";"glc2",#N/A,FALSE,"GLC";"glc3",#N/A,FALSE,"GLC";"glc4",#N/A,FALSE,"GLC";"glc5",#N/A,FALSE,"GLC"}</definedName>
    <definedName name="dfgg" hidden="1">#REF!</definedName>
    <definedName name="dfgh" hidden="1">#REF!</definedName>
    <definedName name="dfghdf" hidden="1">{#N/A,#N/A,FALSE,"Pooling";#N/A,#N/A,FALSE,"income";#N/A,#N/A,FALSE,"valuation"}</definedName>
    <definedName name="dfghdfgh" hidden="1">{#N/A,#N/A,TRUE,"TransPrcd 1";#N/A,#N/A,TRUE,"TransPrcd 2";#N/A,#N/A,TRUE,"TransPrcd 3"}</definedName>
    <definedName name="dfghfg" hidden="1">{"'Sheet1'!$A$1:$G$85"}</definedName>
    <definedName name="dfghsdfh" hidden="1">{#N/A,#N/A,FALSE,"FACTSHEETS";#N/A,#N/A,FALSE,"pump";#N/A,#N/A,FALSE,"filter"}</definedName>
    <definedName name="dfghsfgh" hidden="1">{#N/A,#N/A,FALSE,"Trans-Sum";#N/A,#N/A,FALSE,"Accr-Dilu2";#N/A,#N/A,FALSE,"Contribution";#N/A,#N/A,FALSE,"Combined";#N/A,#N/A,FALSE,"ASTF";#N/A,#N/A,FALSE,"BRA";#N/A,#N/A,FALSE,"Bra_C";#N/A,#N/A,FALSE,"AcqMults";#N/A,#N/A,FALSE,"CompMults";#N/A,#N/A,FALSE,"DCF";#N/A,#N/A,FALSE,"WACC";#N/A,#N/A,FALSE,"LBO";#N/A,#N/A,FALSE,"Summary";#N/A,#N/A,FALSE,"StructSum"}</definedName>
    <definedName name="dfgs" hidden="1">{"glc1",#N/A,FALSE,"GLC";"glc2",#N/A,FALSE,"GLC";"glc3",#N/A,FALSE,"GLC";"glc4",#N/A,FALSE,"GLC";"glc5",#N/A,FALSE,"GLC"}</definedName>
    <definedName name="dfgsdfgs" hidden="1">{"ÜBER mit FW","THU",FALSE,"HORE KORR!";"ÜBERSICHT",#N/A,FALSE,"BUDGET 1997_98";"ÜBER mit FW",#N/A,FALSE,"IST KUM KORR!!";"ÜBERSICHT",#N/A,FALSE,"PLAN KUM"}</definedName>
    <definedName name="dfgsdfgsdfg" hidden="1">{"ÜBER mit FW","THU",FALSE,"HORE KORR!";"ÜBERSICHT",#N/A,FALSE,"BUDGET 1997_98";"ÜBER mit FW",#N/A,FALSE,"IST KUM KORR!!";"ÜBERSICHT",#N/A,FALSE,"PLAN KUM"}</definedName>
    <definedName name="DFLGFADJKHGF" hidden="1">26</definedName>
    <definedName name="dfs" hidden="1">#N/A</definedName>
    <definedName name="dfsafasd" hidden="1">{"ÜBER mit FW","THU",FALSE,"HORE KORR!";"ÜBERSICHT",#N/A,FALSE,"BUDGET 1997_98";"ÜBER mit FW",#N/A,FALSE,"IST KUM KORR!!";"ÜBERSICHT",#N/A,FALSE,"PLAN KUM"}</definedName>
    <definedName name="dfsaq" hidden="1">{"Output-Min",#N/A,FALSE,"Output"}</definedName>
    <definedName name="dfzb" hidden="1">#REF!</definedName>
    <definedName name="dg" hidden="1">{"Area1",#N/A,FALSE,"OREWACC";"Area2",#N/A,FALSE,"OREWACC"}</definedName>
    <definedName name="dgdg" hidden="1">{#N/A,#N/A,FALSE,"Outlook Pg 1";#N/A,#N/A,FALSE,"Outlook Pg 2";#N/A,#N/A,FALSE,"12 mths 98 Outlook £";#N/A,#N/A,FALSE,"12 mths 98 Outlook Curr";#N/A,#N/A,FALSE,"Rounded 12 mths 98 Plan";#N/A,#N/A,FALSE,"12 mths 98 Plan";#N/A,#N/A,FALSE,"Int Outlook ";#N/A,#N/A,FALSE,"Int Outlook Workings";#N/A,#N/A,FALSE,"Unalloc exps&amp;int";#N/A,#N/A,FALSE,"xr.xls (roe)";#N/A,#N/A,FALSE,"finance chg plan @ 1q98 roe";#N/A,#N/A,FALSE,"inter. plan @ 1q98 roe";#N/A,#N/A,FALSE,"12month plan @ 1q98";#N/A,#N/A,FALSE,"int. div act to 398";#N/A,#N/A,FALSE,"unallocated int act 1998";#N/A,#N/A,FALSE,"LAST YR ACT @ 1q98 ROE"}</definedName>
    <definedName name="dgey" hidden="1">{#N/A,#N/A,FALSE,"Outlook Pg 2";#N/A,#N/A,FALSE,"Outlook Pg 1";#N/A,#N/A,FALSE,"12 mths 97 Outlook £";#N/A,#N/A,FALSE,"12 mths 97 Outlook Curr";#N/A,#N/A,FALSE,"Rounded 12 mths 97 Plan";#N/A,#N/A,FALSE,"12 mths 97 Plan";#N/A,#N/A,FALSE,"Int Outlook ";#N/A,#N/A,FALSE,"Int Outlook Workings";#N/A,#N/A,FALSE,"Unalloc exps&amp;int";#N/A,#N/A,FALSE,"xr.xls (roe)";#N/A,#N/A,FALSE,"finance chg plan @ 997 roe";#N/A,#N/A,FALSE,"inter. plan @ 997 roe";#N/A,#N/A,FALSE,"12month plan@997";#N/A,#N/A,FALSE,"int. div act to 997";#N/A,#N/A,FALSE,"unallocated int act 997";#N/A,#N/A,FALSE,"LAST YR ACT @ 997 ROE"}</definedName>
    <definedName name="dh" hidden="1">{"glc1",#N/A,FALSE,"GLC";"glc2",#N/A,FALSE,"GLC";"glc3",#N/A,FALSE,"GLC";"glc4",#N/A,FALSE,"GLC";"glc5",#N/A,FALSE,"GLC"}</definedName>
    <definedName name="dhdhdghzd" hidden="1">{#N/A,#N/A,TRUE,"uw ratios";#N/A,#N/A,TRUE,"trad result"}</definedName>
    <definedName name="dhfd"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dhh" hidden="1">{#N/A,#N/A,FALSE,"Schedule 01";#N/A,#N/A,FALSE,"Schedule 02";#N/A,#N/A,FALSE,"Schedule 03";#N/A,#N/A,FALSE,"Schedule 04";#N/A,#N/A,FALSE,"Schedule 05";#N/A,#N/A,FALSE,"Schedule 06"}</definedName>
    <definedName name="Discount" hidden="1">#REF!</definedName>
    <definedName name="display_area_2" hidden="1">#REF!</definedName>
    <definedName name="dkhnd" hidden="1">{"ÜBER mit FW","THU",FALSE,"HORE KORR!";"ÜBERSICHT",#N/A,FALSE,"BUDGET 1997_98";"ÜBER mit FW",#N/A,FALSE,"IST KUM KORR!!";"ÜBERSICHT",#N/A,FALSE,"PLAN KUM"}</definedName>
    <definedName name="DME_Dirty" hidden="1">"False"</definedName>
    <definedName name="DME_LocalFile" hidden="1">"True"</definedName>
    <definedName name="dochka" hidden="1">#N/A</definedName>
    <definedName name="ds" hidden="1">{"'Sheet1'!$A$1:$G$96","'Sheet1'!$A$1:$H$96"}</definedName>
    <definedName name="dsccsaacas" hidden="1">{"COM",#N/A,FALSE,"800 10th"}</definedName>
    <definedName name="dsfadf" hidden="1">{"DRUCK",#N/A,FALSE,"HOCHRECHNUNG KORR!!!!";"DRUCK",#N/A,FALSE,"BUDGET 1997_98";"DRUCK",#N/A,FALSE,"PL KUM";"DRUCK",#N/A,FALSE,"VJ KUM";"DRUCK",#N/A,FALSE,"IST KUM KORR!!!"}</definedName>
    <definedName name="dsfd" hidden="1">{#N/A,#N/A,FALSE,"Aging Summary";#N/A,#N/A,FALSE,"Ratio Analysis";#N/A,#N/A,FALSE,"Test 120 Day Accts";#N/A,#N/A,FALSE,"Tickmarks"}</definedName>
    <definedName name="dsfsf" hidden="1">{"DRUCK",#N/A,FALSE,"HOCHRECHNUNG KORR!!!!";"DRUCK",#N/A,FALSE,"BUDGET 1997_98";"DRUCK",#N/A,FALSE,"PL KUM";"DRUCK",#N/A,FALSE,"VJ KUM";"DRUCK",#N/A,FALSE,"IST KUM KORR!!!"}</definedName>
    <definedName name="e" hidden="1">{"risultati",#N/A,FALSE,"Revenues";"ricavi advertising",#N/A,FALSE,"Revenues";"ricavi e-commerce",#N/A,FALSE,"Revenues";"ricavi fee for content",#N/A,FALSE,"Revenues";"costi infrastruttura",#N/A,FALSE,"Costi";"altri costi",#N/A,FALSE,"Costi";"conto economico",#N/A,FALSE,"Conto economico";"Flussi di cassa",#N/A,FALSE,"FCF"}</definedName>
    <definedName name="edsaq" hidden="1">{"glc1",#N/A,FALSE,"GLC";"glc2",#N/A,FALSE,"GLC";"glc3",#N/A,FALSE,"GLC";"glc4",#N/A,FALSE,"GLC";"glc5",#N/A,FALSE,"GLC"}</definedName>
    <definedName name="edsw" hidden="1">{"glc1",#N/A,FALSE,"GLC";"glc2",#N/A,FALSE,"GLC";"glc3",#N/A,FALSE,"GLC";"glc4",#N/A,FALSE,"GLC";"glc5",#N/A,FALSE,"GLC"}</definedName>
    <definedName name="ee" hidden="1">{"risultati",#N/A,FALSE,"Revenues";"ricavi advertising",#N/A,FALSE,"Revenues";"ricavi e-commerce",#N/A,FALSE,"Revenues";"ricavi fee for content",#N/A,FALSE,"Revenues";"costi infrastruttura",#N/A,FALSE,"Costi";"altri costi",#N/A,FALSE,"Costi";"conto economico",#N/A,FALSE,"Conto economico";"Flussi di cassa",#N/A,FALSE,"FCF"}</definedName>
    <definedName name="eee" hidden="1">{"NWN_Q1810",#N/A,FALSE,"Q1810_1.V";"NWN_Q1412",#N/A,FALSE,"Q1412_1"}</definedName>
    <definedName name="EEEE" hidden="1">{"'domaće količine'!$K$34:$P$47"}</definedName>
    <definedName name="eeeee" hidden="1">{#VALUE!,#N/A,TRUE,0}</definedName>
    <definedName name="eer" hidden="1">{#N/A,#N/A,FALSE,"Schedule 01";#N/A,#N/A,FALSE,"Schedule 02";#N/A,#N/A,FALSE,"Schedule 03";#N/A,#N/A,FALSE,"Schedule 04";#N/A,#N/A,FALSE,"Schedule 05";#N/A,#N/A,FALSE,"Schedule 06"}</definedName>
    <definedName name="efsefsefse" hidden="1">{#N/A,#N/A,FALSE,"Aging Summary";#N/A,#N/A,FALSE,"Ratio Analysis";#N/A,#N/A,FALSE,"Test 120 Day Accts";#N/A,#N/A,FALSE,"Tickmarks"}</definedName>
    <definedName name="ENG_BI_EXE_NAME" hidden="1">"BICORE.EXE"</definedName>
    <definedName name="ENG_BI_EXEC_CMD_ARGS" hidden="1">"03304607806510411410511904104507303704607512708407308306508709109606708806907006607311412310112412510311511310103308811410111010813413006906609309008107406105713012310412111410912309811710506807008806909109307008207006707707807807906205110010409509708"</definedName>
    <definedName name="ENG_BI_EXEC_CMD_ARGS_10" hidden="1">"097114102104102118076109104101119122102100070085115122101129128095121126098112110100072105110109106082110110106115125102115106100065089114126110125127084083069073082073073080074089066077092062050130"</definedName>
    <definedName name="ENG_BI_EXEC_CMD_ARGS_2" hidden="1">"50680930870810800550480570630830501341240961171141091230971251100680700720660850690760830760610821171191011241171041161081040370841231061051121301240961161141091230971251080690660890660840880870830870680700750950801000660960820950791000801040720960831"</definedName>
    <definedName name="ENG_BI_EXEC_CMD_ARGS_3" hidden="1">"04084096092095083100082104077125127100113118102108109104076074085072067088069070066101114130123104121114109123098117105065089089079104074080078087096084074082090074082070075076077083076058055091099100093089074093083090077051053048060087050134132095116"</definedName>
    <definedName name="ENG_BI_EXEC_CMD_ARGS_4" hidden="1">"11910611910111610507008509308609606708807907910006706908906508508807106507811111910511512010811111710703308412309810611312512710011212311411810112110206608908408310006708808507909507608007808207908210008307809108607308706206708007308208005706009809609"</definedName>
    <definedName name="ENG_BI_EXEC_CMD_ARGS_5" hidden="1">"51020810680970830850810500570570560860551261240991121181101181061231020650940850801000670830830781040760790810820800790990680690890650750720840690700701191161081211211051201190671151141101121141251271001121261051091051080700870840660860700780760810730"</definedName>
    <definedName name="ENG_BI_EXEC_CMD_ARGS_6" hidden="1">"72066092096099093053130123104119115105127098117106082083092077074092075070087074069075069065128082088094078065092076059096069114121105125114101119098047092073110120110116114108116095114067115102110103109073077102125095100099119075076069104099120124111"</definedName>
    <definedName name="ENG_BI_EXEC_CMD_ARGS_7" hidden="1">"11612407110611509711410410510611709305009606610010311112111511608510811910111709403306506203605412513210411212110310910610308210511711108910411710407006805909706912211606608207607710512109806910111610113012310411911809811710610009011510511911507005812"</definedName>
    <definedName name="ENG_BI_EXEC_CMD_ARGS_8" hidden="1">"51271001131181021081091040651091161061101141161171190971201161140931201111120811061001051101191061000700911151171101261241001121211031081141080821051081061161201011181061000761181101121061111220830971131060610821191181051201171041151081040370841231041"</definedName>
    <definedName name="ENG_BI_EXEC_CMD_ARGS_9" hidden="1">"06108134124096117117102113105108089114115105118100120086105119115114118111061063047057055046058058125132104112121103109106103082105117111123123078097119098104106114086106103114124116105119102101065084118122101134130096112126099109110099083081065089086"</definedName>
    <definedName name="ENG_BI_GEN_LIC" hidden="1">"1"</definedName>
    <definedName name="ENG_BI_GEN_LIC_WS" hidden="1">"True"</definedName>
    <definedName name="ENG_BI_LANG_CODE" hidden="1">"en"</definedName>
    <definedName name="ENG_BI_LBI" hidden="1">"EB2HB3EL88"</definedName>
    <definedName name="ENG_BI_REPOS_FILE" hidden="1">"C:\EvoBICMetaData\alchemex.svd"</definedName>
    <definedName name="ENG_BI_REPOS_PATH" hidden="1">"C:\EvoBICMetaData"</definedName>
    <definedName name="ENG_BI_TLA" hidden="1">"117;250;249;118;244;180;127;258;91;168;129;64;97;262;228;174;179;60;243;267;224;114;218;123;240;186;122;201;148;284;284;214"</definedName>
    <definedName name="ENG_BI_TLA2" hidden="1">"83;240;182;247;148;255;158;20;95;180;86;200;91;183;164;224;81;166;10;156;206;71;29;210;3;97;168;210;84;217;174;0"</definedName>
    <definedName name="EPMWorkbookOptions_1" hidden="1">"gosAAB+LCAAAAAAABADtXWtzojoY/r4z+x86flcDeO3Y7lDU1q2KB7Hdns6OgxpbZi1wgG53z68/AVMVpF2oaU8I7HSm3Vze5Hl4LwnwhtaXXw+ro5/QdnTTOClwJVA4gsbcXOjG3Unh0V0WuVrhy+nnT61r0/4xM80fsuWips4R6mc4x7+cxUnh3nWt43L56emp9CSUTPuuzAPAlb8N+uP5PXzQCpvG+p8bF3XDcTVjDgto1KOjlmQaBpx7"</definedName>
    <definedName name="EPMWorkbookOptions_10" hidden="1">"vqSNnubbwmCijz+QiYNs5swd+P00LJpKhX0HVpgIhfQY8vN37D7SjBnM8nnT5wCxNCo1lAwRo47Sk9u91J/bTIaNv9KvFvQ4LvzljnNl9JGui8V0jA2RwVh7nvVEvJd4YSSxijgvffksP5UkWaPAbKIbtcqiZa30ueYiOZvyQOlzcyTNNAw0cVTW1lzNL94tVM0w+JYClzZ07mVDtqDx/OW5YKHfTlpBzfaEysZY+wmfW4aL/bbXpv1jZpo/"</definedName>
    <definedName name="EPMWorkbookOptions_11" hidden="1">"kE9zfRqfW+9XBNs/LfBVa/WcK83WtdkKDqB9t5WwV/7501asbK3Z+A9i0LZ9gosAAA=="</definedName>
    <definedName name="EPMWorkbookOptions_12" hidden="1">"51Hv0l6fEpy|yN6ePzx/wMd9g3TY/f/6/T4f49OP3vx5vTVyZc/RLX|8P9/al2JGHLqmXVWf96Kb5wuP/Li43T5/0XO5pslye7/b9ID/|/R|K9PP/|CCPxD1Pi7O///U/lKxZBfX//k//cZ9ZslyM9rnRYnyf/3WeT/PbrszdkXp|jnh6XIdt9DkWX5w8nDh/sPt2eTyb3t/fu7B9uT8wfZdvbp7N7k4b37e3vns/8XKDKQMOTQvZ3dvfHu3v/X"</definedName>
    <definedName name="EPMWorkbookOptions_13" hidden="1">"ufSbJMjOw/GbL98cP///Ok3|3yO5X5wev/7q1enrH6b07r2H9P5/xA0xZCQupf/9Pm|e/ohD36dRgE280eO7x6tVWUyzluDYz4NPTXOCVi2XhDh99jRrM/7Y//BN1R3841f5eZ038y|XX67y5dF5Vjb547vhh9zupMyzGkC/XL7OLnPTsvsxt/1uVb|dVNVbYsuWyWha978I21/NeNZcwy9XMr7/B3lBF1hghwAA"</definedName>
    <definedName name="EPMWorkbookOptions_2" hidden="1">"Y6qm9Gjb0HCvdPjkVwaq25qr4VJUPtQe4HrYzZAufLAebd0fc+JAe2TDJUTy5rCEYBROp93RYHo2kobXHJje4k6OZs3urdKd9q9lmw9FAy7d0sqca6vjBtfgvOryzJqXv09vz0dDHv26nErycCz3e21R7clDVLLUVg7c/G6VvaltJypa1kqfazukxp7ws4yglJ1izMNpaE6hKax53KM2RhWqHMCHGbQnhv7PI/Sl3v7d8UcbdNQLuf29dDsS"</definedName>
    <definedName name="EPMWorkbookOptions_3" hidden="1">"lc5QveDQnwP1AgCAKNjrtSf3Qoe2Zs/vf28bHSH9OTb01UnBtR9h4ai836utP0DDU+X4vVplstAnCoIr3QSBK5Mz1lGrN6NOELTE+rVG1iSOFSmIut07AxzTsNXeIHSlecA1S6qsin2GgV9ORUmSJ0M1iL03rguABzxXazaZRi8hxD11x7FVPRvnOGTlHMt27gXPsSqJoesuqcD/xzTyzrd9t97BwEEG8Hf78nUQfReAZrPGNOjeUJXkkJPL"</definedName>
    <definedName name="EPMWorkbookOptions_4" hidden="1">"wsUeiMplJ2TlA4l52HKv3+11+qGlusz+9R4pcnsihS64khHPpnTOvd1pAPs4A7hVMSKkoUKmcQ864niidMYIKvq5UdtpgfpKzU7Fhb5YQGMzsPMKW5tGV7qjz/SV7v6OBeEU73ta5ajKCOq8GZ16cFtl/J9XMP95VmQwbLYwaYeB9yKph7HeWKQdxnqXkHYU/rI37SDWa9i0o3hekqYdB15hph3Geq2YdhR45ff/wAg0fnW9sgt3+8Bnb00z"</definedName>
    <definedName name="EPMWorkbookOptions_5" hidden="1">"vje3g0rmyrTxXCMqXuvqo4/oGcGK31EyDRf+crvaT9PWXTQv/6nWuvNeXYz+Xd123J0JRNeHBG1m+TJBcVu9vNzbPsSKpzK7kta8FzkAKg0AdvpHXRC/q2wvoH2Kmq7/iBTuWCvt98g2LWgj9eKqteoSzpbFam1RKVb4ZbPYqEJYBBrkK4tZvVKfCd7IwV4Rgvua447hCs5duFjvCqJo+sOuAzd5p8eBWPqbdiQvX+V4fV/biL0fMdOhPOzk"</definedName>
    <definedName name="EPMWorkbookOptions_6" hidden="1">"1OxR0530Yz1kyhgtaKUxkhXv4b6opl5tWuU4LmnHq75bGJhOLzs3bUTpdPr2IFCrAk5ocPGjAJcgCmiwOWs2K83iYjYTipUq1yjOlnWtqNUWwqwpVHl+uaAgCuwQub4J5d1oLPo/ubZGTvONixb8+smbtVUQqtVKpRJfWXk2lyyHvMaDBVOprcQ5Eft9rybnJcRLX0o7JbQ5tvi79wi/VqtzoNGox/drAqt+7e0v6mHBVCorcU4yvwGLZIWL"</definedName>
    <definedName name="EPMWorkbookOptions_7" hidden="1">"925jxjhJvfVQ5erxa7WH3HWr1QQhwW23CpO+/rDXk7FkKtWVJCm8T8pF+m34PUjJNSVsPoPzXFX2WZmqcupJoS4GXnWUD7zpWGU2BiIeQys2ccoDrp52hX0HWkZZvo/zMilTRZ4MY700mTFqJHmoKnJ/nFMTpTVi+2vaiaEqKMZ/AZdIRKwxGREPzd7EsqnUVsK08FzpqzjMSQmTkutKBC18TksULYANWiiKgwmTOIiEwjqDoZBQPj8egEqt"</definedName>
    <definedName name="EPMWorkbookOptions_8" hidden="1">"Jc1N+4yvA0RO3CzBLHEjyWJOyZaSmmdKpe6oxAHAlQCfcxPipqukftdMVVBMlBJIJCg2mAyKBx/zgoVTqbEkefETx/n4KfNZ4uUiwREKWeGl4vEicDkvkbywoS90RcQk2eVEImKTzYh46PFfWDiVGkueFyZenKTKkJOcr0DEjjkW81CJnWaHh6BSb4mzk1szaWv2zhT8SFtOkk2YHls+5GRGLJdKVSVLCfo7JySsI1m+rR9JCcj07dkISpCO"</definedName>
    <definedName name="EPMWorkbookOptions_9" hidden="1">"NBtpp4SqoJfgcC0yUY/FtOSDj+bFoqlUV8KsMLFuJcyJfxO/nmtKiBXBc/epXxRQ5e6THENIxt+zmK596JHkWDKV6kqcFCYcPlVGnOwUTjJmzGIm7uFH7GPZVKoseVqYsGTytNRqQKjmtIRpGVWrIP15ylQ5/kTHFpPx+yxmn5L5wgiWT6XWEqeGCddPlS0nObubjCmzmDZ38PdysGgq9ZU0K0wYMUFSvMNUxo1cVSJUhQeee8lZCeqK/1Jx"</definedName>
    <definedName name="eqweqwewq" hidden="1">{"Valuation",#N/A,TRUE,"Valuation Summary";"Financial Statements",#N/A,TRUE,"Results";"Results",#N/A,TRUE,"Results";"Ratios",#N/A,TRUE,"Results";"P2 Summary",#N/A,TRUE,"Results";"Historical data",#N/A,TRUE,"Historical Data";"P1 Inputs",#N/A,TRUE,"Forecast Drivers";"P2 Inputs",#N/A,TRUE,"Forecast Drivers"}</definedName>
    <definedName name="er" hidden="1">{#N/A,#N/A,FALSE,"HMF";#N/A,#N/A,FALSE,"FACIL";#N/A,#N/A,FALSE,"HMFINANCE";#N/A,#N/A,FALSE,"HMEUROPE";#N/A,#N/A,FALSE,"HHAB CONSO";#N/A,#N/A,FALSE,"PAB";#N/A,#N/A,FALSE,"MMC";#N/A,#N/A,FALSE,"THAI";#N/A,#N/A,FALSE,"SINPA";#N/A,#N/A,FALSE,"POLAND"}</definedName>
    <definedName name="erer" hidden="1">{0,0}</definedName>
    <definedName name="ergfd" hidden="1">{"ÜBERSICHT",#N/A,FALSE,"ABW KUM";"Kostenzoom",#N/A,FALSE,"ABW KUM";"ÜBERSICHT",#N/A,FALSE,"ABW HORE";"Kostenzoom",#N/A,FALSE,"ABW HORE"}</definedName>
    <definedName name="erjfhejkrh" hidden="1">{#N/A,#N/A,TRUE,"uw ratios";#N/A,#N/A,TRUE,"trad result"}</definedName>
    <definedName name="ert" hidden="1">{#N/A,#N/A,FALSE,"Aging Summary";#N/A,#N/A,FALSE,"Ratio Analysis";#N/A,#N/A,FALSE,"Test 120 Day Accts";#N/A,#N/A,FALSE,"Tickmarks"}</definedName>
    <definedName name="erty" hidden="1">{#N/A,#N/A,TRUE,"Буржуям"}</definedName>
    <definedName name="eskfhksf" hidden="1">{#N/A,#N/A,FALSE,"Summary YTD";#N/A,#N/A,FALSE,"Summary QTR";#N/A,#N/A,FALSE,"QTR end data";#N/A,#N/A,FALSE,"Net Investment";#N/A,#N/A,FALSE,"xr"}</definedName>
    <definedName name="esnrc7c1" hidden="1">#REF!</definedName>
    <definedName name="ete" hidden="1">{#N/A,#N/A,FALSE,"Summary YTD";#N/A,#N/A,FALSE,"Summary QTR";#N/A,#N/A,FALSE,"QTR end data";#N/A,#N/A,FALSE,"Net Investment";#N/A,#N/A,FALSE,"xr"}</definedName>
    <definedName name="etere" hidden="1">{"'Sheet1'!$A$12:$K$107"}</definedName>
    <definedName name="ev.Calculation" hidden="1">-4105</definedName>
    <definedName name="ev.Initialized" hidden="1">FALSE</definedName>
    <definedName name="EV__LASTREFTIME__" hidden="1">38419.7794560185</definedName>
    <definedName name="ExactAddinConnection" hidden="1">"702"</definedName>
    <definedName name="ExactAddinConnection.702" hidden="1">"server-3;706;JitkaK;1"</definedName>
    <definedName name="ExactAddinConnection.706" hidden="1">"server-3;706;JitkaK;1"</definedName>
    <definedName name="ExactAddinConnection.711" hidden="1">"server-3;711;jkotrousova;1"</definedName>
    <definedName name="f" hidden="1">{"ÜBERSICHT",#N/A,FALSE,"ABW KUM";"Kostenzoom",#N/A,FALSE,"ABW KUM";"ÜBERSICHT",#N/A,FALSE,"ABW HORE";"Kostenzoom",#N/A,FALSE,"ABW HORE"}</definedName>
    <definedName name="fad" hidden="1">{#N/A,"70% Success",FALSE,"Sales Forecast";#N/A,#N/A,FALSE,"Sheet2"}</definedName>
    <definedName name="fasdfasdf" hidden="1">{"ÜBER mit FW","THU",FALSE,"HORE KORR!";"ÜBERSICHT",#N/A,FALSE,"BUDGET 1997_98";"ÜBER mit FW",#N/A,FALSE,"IST KUM KORR!!";"ÜBERSICHT",#N/A,FALSE,"PLAN KUM"}</definedName>
    <definedName name="fasdfasf" hidden="1">{"DRUCK",#N/A,FALSE,"HOCHRECHNUNG KORR!!!!";"DRUCK",#N/A,FALSE,"BUDGET 1997_98";"DRUCK",#N/A,FALSE,"PL KUM";"DRUCK",#N/A,FALSE,"VJ KUM";"DRUCK",#N/A,FALSE,"IST KUM KORR!!!"}</definedName>
    <definedName name="FCode" hidden="1">#REF!</definedName>
    <definedName name="fd" hidden="1">{"'Sheet1'!$A$1:$G$96","'Sheet1'!$A$1:$H$96"}</definedName>
    <definedName name="fdasfads" hidden="1">{"ÜBER mit FW","THU",FALSE,"HORE KORR!";"ÜBERSICHT",#N/A,FALSE,"BUDGET 1997_98";"ÜBER mit FW",#N/A,FALSE,"IST KUM KORR!!";"ÜBERSICHT",#N/A,FALSE,"PLAN KUM"}</definedName>
    <definedName name="fdgggg" hidden="1">"3RHIIYBU7DN3F5E7HSRIG7OTJ"</definedName>
    <definedName name="fdh" hidden="1">{#N/A,#N/A,FALSE,"Group(ahp)";#N/A,#N/A,FALSE,"Group (2) for 95";#N/A,#N/A,FALSE,"London";#N/A,#N/A,FALSE,"UK";#N/A,#N/A,FALSE,"Intl";#N/A,#N/A,FALSE,"Curepool";#N/A,#N/A,FALSE,"Victoire";#N/A,#N/A,FALSE,"Delta Lloyd";#N/A,#N/A,FALSE,"Belgium";#N/A,#N/A,FALSE,"US";#N/A,#N/A,FALSE,"Canada"}</definedName>
    <definedName name="FDP_0_1_aUrv" hidden="1">#REF!</definedName>
    <definedName name="FDP_1_1_aUrv" hidden="1">#REF!</definedName>
    <definedName name="FDP_10_1_aDrv" hidden="1">#REF!</definedName>
    <definedName name="FDP_107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Drv" hidden="1">#REF!</definedName>
    <definedName name="FDP_12_1_aDrv" hidden="1">#REF!</definedName>
    <definedName name="FDP_13_1_aDrv" hidden="1">#REF!</definedName>
    <definedName name="FDP_14_1_aDrv" hidden="1">#REF!</definedName>
    <definedName name="FDP_15_1_aDrv" hidden="1">#REF!</definedName>
    <definedName name="FDP_16_1_aDrv" hidden="1">#REF!</definedName>
    <definedName name="FDP_17_1_aUrv" hidden="1">#REF!</definedName>
    <definedName name="FDP_18_1_aUrv" hidden="1">#REF!</definedName>
    <definedName name="FDP_19_1_aUrv" hidden="1">#REF!</definedName>
    <definedName name="FDP_2_1_aUrv" hidden="1">#REF!</definedName>
    <definedName name="FDP_20_1_aUrv" hidden="1">#REF!</definedName>
    <definedName name="FDP_21_1_aUrv" hidden="1">#REF!</definedName>
    <definedName name="FDP_22_1_aUrv" hidden="1">#REF!</definedName>
    <definedName name="FDP_23_1_aUrv" hidden="1">#REF!</definedName>
    <definedName name="FDP_24_1_aUrv" hidden="1">#REF!</definedName>
    <definedName name="FDP_25_1_aUrv" hidden="1">#REF!</definedName>
    <definedName name="FDP_26_1_aUrv" hidden="1">#REF!</definedName>
    <definedName name="FDP_27_1_aUrv" hidden="1">#REF!</definedName>
    <definedName name="FDP_28_1_aUrv" hidden="1">#REF!</definedName>
    <definedName name="FDP_29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0_1_aUrv" hidden="1">#REF!</definedName>
    <definedName name="FDP_41_1_aUrv" hidden="1">#REF!</definedName>
    <definedName name="FDP_42_1_aU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Drv" hidden="1">#REF!</definedName>
    <definedName name="FDP_49_1_aDrv" hidden="1">#REF!</definedName>
    <definedName name="FDP_50_1_aUrv" hidden="1">#REF!</definedName>
    <definedName name="FDP_51_1_aUrv" hidden="1">#REF!</definedName>
    <definedName name="FDP_51_1_rUrv" hidden="1">#REF!</definedName>
    <definedName name="FDP_52_1_aUrv" hidden="1">#REF!</definedName>
    <definedName name="FDP_53_1_aUrv" hidden="1">#REF!</definedName>
    <definedName name="FDP_6_1_aUdv" hidden="1">#REF!</definedName>
    <definedName name="FDP_6_1_dUdv" hidden="1">#REF!</definedName>
    <definedName name="FDP_7_1_aUdv" hidden="1">#REF!</definedName>
    <definedName name="FDP_8_1_aDrv" hidden="1">#REF!</definedName>
    <definedName name="FDP_9_1_aDrv" hidden="1">#REF!</definedName>
    <definedName name="fdsfsf" hidden="1">{"ÜBERSICHT",#N/A,FALSE,"ABW KUM";"Kostenzoom",#N/A,FALSE,"ABW KUM";"ÜBERSICHT",#N/A,FALSE,"ABW HORE";"Kostenzoom",#N/A,FALSE,"ABW HORE"}</definedName>
    <definedName name="fer" hidden="1">{"ÜBERSICHT",#N/A,FALSE,"ABW KUM";"Kostenzoom",#N/A,FALSE,"ABW KUM";"ÜBERSICHT",#N/A,FALSE,"ABW HORE";"Kostenzoom",#N/A,FALSE,"ABW HORE"}</definedName>
    <definedName name="ff" hidden="1">{"ÜBERSICHT",#N/A,FALSE,"ABW KUM";"Kostenzoom",#N/A,FALSE,"ABW KUM";"ÜBERSICHT",#N/A,FALSE,"ABW HORE";"Kostenzoom",#N/A,FALSE,"ABW HORE"}</definedName>
    <definedName name="fff" hidden="1">{#N/A,#N/A,FALSE,"Aging Summary";#N/A,#N/A,FALSE,"Ratio Analysis";#N/A,#N/A,FALSE,"Test 120 Day Accts";#N/A,#N/A,FALSE,"Tickmarks"}</definedName>
    <definedName name="ffffff" hidden="1">{0,0}</definedName>
    <definedName name="fg" hidden="1">{"'Sheet1'!$A$1:$G$85"}</definedName>
    <definedName name="fgbgfbg" hidden="1">{"'Sheet1'!$A$12:$K$107"}</definedName>
    <definedName name="fgfds"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fgfgfg" hidden="1">{"ÜBERSICHT",#N/A,FALSE,"ABW KUM";"Kostenzoom",#N/A,FALSE,"ABW KUM";"ÜBERSICHT",#N/A,FALSE,"ABW HORE";"Kostenzoom",#N/A,FALSE,"ABW HORE"}</definedName>
    <definedName name="fgh" hidden="1">#REF!</definedName>
    <definedName name="fghdfgh"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FGHFHADBGDF" hidden="1">26</definedName>
    <definedName name="fghj" hidden="1">{"glc1",#N/A,FALSE,"GLC";"glc2",#N/A,FALSE,"GLC";"glc3",#N/A,FALSE,"GLC";"glc4",#N/A,FALSE,"GLC";"glc5",#N/A,FALSE,"GLC"}</definedName>
    <definedName name="fghjkl" hidden="1">{"glc1",#N/A,FALSE,"GLC";"glc2",#N/A,FALSE,"GLC";"glc3",#N/A,FALSE,"GLC";"glc4",#N/A,FALSE,"GLC";"glc5",#N/A,FALSE,"GLC"}</definedName>
    <definedName name="fgsdfgsdfg" hidden="1">{"ÜBER mit FW","THU",FALSE,"HORE KORR!";"ÜBERSICHT",#N/A,FALSE,"BUDGET 1997_98";"ÜBER mit FW",#N/A,FALSE,"IST KUM KORR!!";"ÜBERSICHT",#N/A,FALSE,"PLAN KUM"}</definedName>
    <definedName name="fgtr" hidden="1">{"Valuation",#N/A,TRUE,"Valuation Summary";"Financial Statements",#N/A,TRUE,"Results";"Results",#N/A,TRUE,"Results";"Ratios",#N/A,TRUE,"Results";"P2 Summary",#N/A,TRUE,"Results";"Historical data",#N/A,TRUE,"Historical Data";"P1 Inputs",#N/A,TRUE,"Forecast Drivers";"P2 Inputs",#N/A,TRUE,"Forecast Drivers"}</definedName>
    <definedName name="fhfhf" hidden="1">{#N/A,#N/A,FALSE,"Centre";#N/A,#N/A,FALSE,"Int Outlook ";#N/A,#N/A,FALSE,"Central financing per plan";#N/A,#N/A,FALSE,"SI Detail";#N/A,#N/A,FALSE,"Specials";#N/A,#N/A,FALSE,"Profit share";#N/A,#N/A,FALSE,"Swiss issue";#N/A,#N/A,FALSE,"1998 plan unall exps";#N/A,#N/A,FALSE,"Central financing per UK re ind";#N/A,#N/A,FALSE,"France finance costs";#N/A,#N/A,FALSE,"ctrfin 97 plan";#N/A,#N/A,FALSE,"plan rates";#N/A,#N/A,FALSE,"998 ave roe";#N/A,#N/A,FALSE,"Inputs"}</definedName>
    <definedName name="fhg" hidden="1">{#N/A,#N/A,FALSE,"Front sheet (qtr)";#N/A,#N/A,FALSE,"Investments (qtr) ";#N/A,#N/A,FALSE,"Net assets (qtr)"}</definedName>
    <definedName name="Filialen" hidden="1">{"ÜBER mit FW","THU",FALSE,"HORE KORR!";"ÜBERSICHT",#N/A,FALSE,"BUDGET 1997_98";"ÜBER mit FW",#N/A,FALSE,"IST KUM KORR!!";"ÜBERSICHT",#N/A,FALSE,"PLAN KUM"}</definedName>
    <definedName name="fjhgd" hidden="1">{"'Sheet1'!$A$1:$G$85"}</definedName>
    <definedName name="FJK" hidden="1">"3MXAD5LO7CKS15J6SZUAVPLRB"</definedName>
    <definedName name="fkfhkjhvkl" hidden="1">{#N/A,#N/A,FALSE,"PM req"}</definedName>
    <definedName name="fs" hidden="1">{"'Sheet1'!$A$1:$G$96","'Sheet1'!$A$1:$H$96"}</definedName>
    <definedName name="fsdafa" hidden="1">{"ÜBER mit FW","THU",FALSE,"HORE KORR!";"ÜBERSICHT",#N/A,FALSE,"BUDGET 1997_98";"ÜBER mit FW",#N/A,FALSE,"IST KUM KORR!!";"ÜBERSICHT",#N/A,FALSE,"PLAN KUM"}</definedName>
    <definedName name="fsdfasf" hidden="1">{"ÜBER mit FW","THU",FALSE,"HORE KORR!";"ÜBERSICHT",#N/A,FALSE,"BUDGET 1997_98";"ÜBER mit FW",#N/A,FALSE,"IST KUM KORR!!";"ÜBERSICHT",#N/A,FALSE,"PLAN KUM"}</definedName>
    <definedName name="fvfbgfh"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fwef" hidden="1">{#N/A,#N/A,FALSE,"1st est schs 1.1 &amp; 1.2";#N/A,#N/A,FALSE,"1st est sch 1.3";#N/A,#N/A,FALSE,"1st est schs 2.1 &amp; 2.2";#N/A,#N/A,FALSE,"1st est schs 2.1 &amp; 2.2";#N/A,#N/A,FALSE,"1st est sch 3 ";#N/A,#N/A,FALSE,"1st est sch 4"}</definedName>
    <definedName name="G" hidden="1">{"'Grafik Kontrol'!$A$1:$J$8"}</definedName>
    <definedName name="GELLL" hidden="1">{"'Grafik Kontrol'!$A$1:$J$8"}</definedName>
    <definedName name="general_exp." hidden="1">{#N/A,"100% Success",TRUE,"Sales Forecast";#N/A,#N/A,TRUE,"Sheet2"}</definedName>
    <definedName name="GESAMT_HR" hidden="1">{"ÜBER mit FW","THU",FALSE,"HORE KORR!";"ÜBERSICHT",#N/A,FALSE,"BUDGET 1997_98";"ÜBER mit FW",#N/A,FALSE,"IST KUM KORR!!";"ÜBERSICHT",#N/A,FALSE,"PLAN KUM"}</definedName>
    <definedName name="gfsahgsdhf" hidden="1">#REF!</definedName>
    <definedName name="gg" hidden="1">{"Ergebnis",#N/A,FALSE,"HORE 1997_01ST";"Steuern",#N/A,FALSE,"HORE 1997_01ST"}</definedName>
    <definedName name="ggg" hidden="1">{"Ergebnis",#N/A,FALSE,"HORE 1997_01ST";"Steuern",#N/A,FALSE,"HORE 1997_01ST"}</definedName>
    <definedName name="ggggg" hidden="1">{"Schedule_1B",#N/A,FALSE,"I-B"}</definedName>
    <definedName name="gh" hidden="1">{"'Prices'!$A$4:$J$27"}</definedName>
    <definedName name="ghd" hidden="1">{#N/A,#N/A,FALSE,"Aging Summary";#N/A,#N/A,FALSE,"Ratio Analysis";#N/A,#N/A,FALSE,"Test 120 Day Accts";#N/A,#N/A,FALSE,"Tickmarks"}</definedName>
    <definedName name="ghfxh" hidden="1">{#N/A,#N/A,FALSE,"1st est schs 1.1 &amp; 1.2";#N/A,#N/A,FALSE,"1st est sch 1.3";#N/A,#N/A,FALSE,"1st est schs 2.1 &amp; 2.2";#N/A,#N/A,FALSE,"1st est schs 2.1 &amp; 2.2";#N/A,#N/A,FALSE,"1st est sch 3 ";#N/A,#N/A,FALSE,"1st est sch 4"}</definedName>
    <definedName name="ghg" hidden="1">{"ÜBERSICHT",#N/A,FALSE,"ABW KUM";"Kostenzoom",#N/A,FALSE,"ABW KUM";"ÜBERSICHT",#N/A,FALSE,"ABW HORE";"Kostenzoom",#N/A,FALSE,"ABW HORE"}</definedName>
    <definedName name="ghghghghghgh" hidden="1">{"glc1",#N/A,FALSE,"GLC";"glc2",#N/A,FALSE,"GLC";"glc3",#N/A,FALSE,"GLC";"glc4",#N/A,FALSE,"GLC";"glc5",#N/A,FALSE,"GLC"}</definedName>
    <definedName name="ghhg" hidden="1">{"'Grafik Kontrol'!$A$1:$J$8"}</definedName>
    <definedName name="ghhgh" hidden="1">{"assets",#N/A,FALSE,"historicBS";"liab",#N/A,FALSE,"historicBS";"is",#N/A,FALSE,"historicIS";"ratios",#N/A,FALSE,"ratios"}</definedName>
    <definedName name="ghjh" hidden="1">#REF!</definedName>
    <definedName name="ghjk8" hidden="1">{"'Sheet1'!$A$1:$G$96","'Sheet1'!$A$1:$H$96"}</definedName>
    <definedName name="ghklödsahgkdlsak" hidden="1">{"ÜBER mit FW","THU",FALSE,"HORE KORR!";"ÜBERSICHT",#N/A,FALSE,"BUDGET 1997_98";"ÜBER mit FW",#N/A,FALSE,"IST KUM KORR!!";"ÜBERSICHT",#N/A,FALSE,"PLAN KUM"}</definedName>
    <definedName name="gjgh" hidden="1">{"'Prices'!$A$4:$J$27"}</definedName>
    <definedName name="gjgjgjgjjggj" hidden="1">{"glc1",#N/A,FALSE,"GLC";"glc2",#N/A,FALSE,"GLC";"glc3",#N/A,FALSE,"GLC";"glc4",#N/A,FALSE,"GLC";"glc5",#N/A,FALSE,"GLC"}</definedName>
    <definedName name="Grahp" hidden="1">#REF!</definedName>
    <definedName name="gv" hidden="1">{#N/A,#N/A,TRUE,"Буржуям"}</definedName>
    <definedName name="gv_1" hidden="1">#REF!</definedName>
    <definedName name="gv_a" hidden="1">#REF!</definedName>
    <definedName name="gv_ACCOUNTANT" hidden="1">#REF!</definedName>
    <definedName name="gv_ADDRESS" hidden="1">#REF!</definedName>
    <definedName name="gv_as" hidden="1">#REF!</definedName>
    <definedName name="gv_asd" hidden="1">#REF!</definedName>
    <definedName name="gv_asdf" hidden="1">#REF!</definedName>
    <definedName name="gv_b" hidden="1">#REF!</definedName>
    <definedName name="gv_BIK" hidden="1">#REF!</definedName>
    <definedName name="gv_c" hidden="1">#REF!</definedName>
    <definedName name="gv_d" hidden="1">#REF!</definedName>
    <definedName name="gv_e" hidden="1">#REF!</definedName>
    <definedName name="gv_FACTPROFITSUM" hidden="1">#REF!</definedName>
    <definedName name="gv_g" hidden="1">#REF!</definedName>
    <definedName name="gv_gbh" hidden="1">#REF!</definedName>
    <definedName name="gv_h" hidden="1">#REF!</definedName>
    <definedName name="gv_HEADER" hidden="1">#REF!</definedName>
    <definedName name="GV_header3" hidden="1">#REF!</definedName>
    <definedName name="gv_hhh" hidden="1">#REF!</definedName>
    <definedName name="gv_ik" hidden="1">#REF!</definedName>
    <definedName name="gv_INN" hidden="1">#REF!</definedName>
    <definedName name="gv_j" hidden="1">#REF!</definedName>
    <definedName name="gv_jju" hidden="1">#REF!</definedName>
    <definedName name="gv_juj" hidden="1">#REF!</definedName>
    <definedName name="gv_kk" hidden="1">#REF!</definedName>
    <definedName name="gv_KREDIT" hidden="1">#REF!</definedName>
    <definedName name="gv_m" hidden="1">#REF!</definedName>
    <definedName name="gv_mj" hidden="1">#REF!</definedName>
    <definedName name="GV_n" hidden="1">#REF!</definedName>
    <definedName name="gv_OKATO" hidden="1">#REF!</definedName>
    <definedName name="gv_OKPO" hidden="1">#REF!</definedName>
    <definedName name="gv_OURPROFITSUM" hidden="1">#REF!</definedName>
    <definedName name="gv_ourprofitsum1" hidden="1">#REF!</definedName>
    <definedName name="gv_ourprofitsum4" hidden="1">#REF!</definedName>
    <definedName name="gv_q" hidden="1">#REF!</definedName>
    <definedName name="gv_qa" hidden="1">#REF!</definedName>
    <definedName name="gv_qwe" hidden="1">#REF!</definedName>
    <definedName name="gv_r" hidden="1">#REF!</definedName>
    <definedName name="gv_REGNO" hidden="1">#REF!</definedName>
    <definedName name="gv_sdf" hidden="1">#REF!</definedName>
    <definedName name="gv_START" hidden="1">#REF!</definedName>
    <definedName name="gv_STOP" hidden="1">#REF!</definedName>
    <definedName name="gv_SUBOPOFPSUM" hidden="1">#REF!</definedName>
    <definedName name="gv_sx" hidden="1">#REF!</definedName>
    <definedName name="gv_tg" hidden="1">#REF!</definedName>
    <definedName name="gv_v" hidden="1">#REF!</definedName>
    <definedName name="gv_w" hidden="1">#REF!</definedName>
    <definedName name="gv_x" hidden="1">#REF!</definedName>
    <definedName name="gv_z" hidden="1">#REF!</definedName>
    <definedName name="gv_za" hidden="1">#REF!</definedName>
    <definedName name="h" hidden="1">{"'Sheet1'!$A$1:$G$96","'Sheet1'!$A$1:$H$96"}</definedName>
    <definedName name="hdfghrs" hidden="1">{"Valuation",#N/A,TRUE,"Valuation Summary";"Financial Statements",#N/A,TRUE,"Results";"Results",#N/A,TRUE,"Results";"Ratios",#N/A,TRUE,"Results";"P2 Summary",#N/A,TRUE,"Results"}</definedName>
    <definedName name="head_ANALITIKA" hidden="1">#REF!</definedName>
    <definedName name="head_HEAD" hidden="1">#REF!</definedName>
    <definedName name="head_ISDT" hidden="1">#REF!</definedName>
    <definedName name="head_ISKT" hidden="1">#REF!</definedName>
    <definedName name="head_OBDT" hidden="1">#REF!</definedName>
    <definedName name="head_OBKT" hidden="1">#REF!</definedName>
    <definedName name="head_PERIOD" hidden="1">#REF!</definedName>
    <definedName name="head_ROLI" hidden="1">#REF!</definedName>
    <definedName name="head_TIME" hidden="1">#REF!</definedName>
    <definedName name="head_VHDT" hidden="1">#REF!</definedName>
    <definedName name="head_VHKT" hidden="1">#REF!</definedName>
    <definedName name="head_VIDUCETA" hidden="1">#REF!</definedName>
    <definedName name="hell" hidden="1">{"Area1",#N/A,FALSE,"OREWACC";"Area2",#N/A,FALSE,"OREWACC"}</definedName>
    <definedName name="helleon" hidden="1">{"Area1",#N/A,FALSE,"OREWACC";"Area2",#N/A,FALSE,"OREWACC"}</definedName>
    <definedName name="Hello" hidden="1">{"Area1",#N/A,FALSE,"OREWACC";"Area2",#N/A,FALSE,"OREWACC"}</definedName>
    <definedName name="hello1" hidden="1">{"Area1",#N/A,FALSE,"OREWACC";"Area2",#N/A,FALSE,"OREWACC"}</definedName>
    <definedName name="hello2" hidden="1">{"Area1",#N/A,FALSE,"OREWACC";"Area2",#N/A,FALSE,"OREWACC"}</definedName>
    <definedName name="hfdhdh" hidden="1">{#N/A,#N/A,FALSE,"12 mths 98 Outlook Curr";#N/A,#N/A,FALSE,"12 mths 98 Outlook £";#N/A,#N/A,FALSE,"Int Outlook "}</definedName>
    <definedName name="hghghfhf" hidden="1">{"assets",#N/A,FALSE,"historicBS";"liab",#N/A,FALSE,"historicBS";"is",#N/A,FALSE,"historicIS";"ratios",#N/A,FALSE,"ratios"}</definedName>
    <definedName name="hgnb" hidden="1">#REF!</definedName>
    <definedName name="hgnb1" hidden="1">#REF!</definedName>
    <definedName name="hgnb5" hidden="1">#REF!</definedName>
    <definedName name="HH" hidden="1">{"'Grafik Kontrol'!$A$1:$J$8"}</definedName>
    <definedName name="hhhh" hidden="1">{"Schedule_1C",#N/A,FALSE,"I-C"}</definedName>
    <definedName name="HiddenRows" hidden="1">#REF!</definedName>
    <definedName name="hj"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hjhjhjjh" hidden="1">{"glc1",#N/A,FALSE,"GLC";"glc2",#N/A,FALSE,"GLC";"glc3",#N/A,FALSE,"GLC";"glc4",#N/A,FALSE,"GLC";"glc5",#N/A,FALSE,"GLC"}</definedName>
    <definedName name="hjj" hidden="1">{"glc1",#N/A,FALSE,"GLC";"glc2",#N/A,FALSE,"GLC";"glc3",#N/A,FALSE,"GLC";"glc4",#N/A,FALSE,"GLC";"glc5",#N/A,FALSE,"GLC"}</definedName>
    <definedName name="hjjhjhjhjhj" hidden="1">{"glc1",#N/A,FALSE,"GLC";"glc2",#N/A,FALSE,"GLC";"glc3",#N/A,FALSE,"GLC";"glc4",#N/A,FALSE,"GLC";"glc5",#N/A,FALSE,"GLC"}</definedName>
    <definedName name="hjjk" hidden="1">{#N/A,#N/A,TRUE,"Буржуям"}</definedName>
    <definedName name="hjkkl" hidden="1">{"glc1",#N/A,FALSE,"GLC";"glc2",#N/A,FALSE,"GLC";"glc3",#N/A,FALSE,"GLC";"glc4",#N/A,FALSE,"GLC";"glc5",#N/A,FALSE,"GLC"}</definedName>
    <definedName name="hkhkhkhkhkh" hidden="1">{"glc1",#N/A,FALSE,"GLC";"glc2",#N/A,FALSE,"GLC";"glc3",#N/A,FALSE,"GLC";"glc4",#N/A,FALSE,"GLC";"glc5",#N/A,FALSE,"GLC"}</definedName>
    <definedName name="HL_Sheet_Main" hidden="1">#REF!</definedName>
    <definedName name="HL_Sheet_Main_10" hidden="1">#REF!</definedName>
    <definedName name="HL_Sheet_Main_11" hidden="1">#REF!</definedName>
    <definedName name="HL_Sheet_Main_12" hidden="1">#REF!</definedName>
    <definedName name="HL_Sheet_Main_13" hidden="1">#REF!</definedName>
    <definedName name="HL_Sheet_Main_14" hidden="1">#REF!</definedName>
    <definedName name="HL_Sheet_Main_15" hidden="1">#REF!</definedName>
    <definedName name="HL_Sheet_Main_16" hidden="1">#REF!</definedName>
    <definedName name="HL_Sheet_Main_17" hidden="1">#REF!</definedName>
    <definedName name="HL_Sheet_Main_2" hidden="1">#REF!</definedName>
    <definedName name="HL_Sheet_Main_3" hidden="1">#REF!</definedName>
    <definedName name="HL_Sheet_Main_4" hidden="1">#REF!</definedName>
    <definedName name="HL_Sheet_Main_5" hidden="1">#REF!</definedName>
    <definedName name="HL_Sheet_Main_6" hidden="1">#REF!</definedName>
    <definedName name="HL_Sheet_Main_7" hidden="1">#REF!</definedName>
    <definedName name="HL_Sheet_Main_8" hidden="1">#REF!</definedName>
    <definedName name="HL_Sheet_Main_9" hidden="1">#REF!</definedName>
    <definedName name="HL_TOC_1" hidden="1">#REF!</definedName>
    <definedName name="HL_TOC_2" hidden="1">#REF!</definedName>
    <definedName name="HL_TOC_3" hidden="1">#REF!</definedName>
    <definedName name="HL_TOC_4" hidden="1">#REF!</definedName>
    <definedName name="HL_TOC_5" hidden="1">#REF!</definedName>
    <definedName name="hn.ExtDb" hidden="1">FALSE</definedName>
    <definedName name="hn.ModelType" hidden="1">"DEAL"</definedName>
    <definedName name="hn.ModelVersion" hidden="1">1</definedName>
    <definedName name="hn.NoUpload" hidden="1">0</definedName>
    <definedName name="hod" hidden="1">{#N/A,#N/A,FALSE,"TS";#N/A,#N/A,FALSE,"Combo";#N/A,#N/A,FALSE,"FAIR";#N/A,#N/A,FALSE,"RBC";#N/A,#N/A,FALSE,"xxxx";#N/A,#N/A,FALSE,"A_D";#N/A,#N/A,FALSE,"WACC";#N/A,#N/A,FALSE,"DCF";#N/A,#N/A,FALSE,"LBO";#N/A,#N/A,FALSE,"AcqMults";#N/A,#N/A,FALSE,"CompMults"}</definedName>
    <definedName name="houy" hidden="1">{#N/A,#N/A,FALSE,"AD_Purchase";#N/A,#N/A,FALSE,"Credit";#N/A,#N/A,FALSE,"PF Acquisition";#N/A,#N/A,FALSE,"PF Offering"}</definedName>
    <definedName name="hththth" hidden="1">{0,0}</definedName>
    <definedName name="HTLM" hidden="1">{"'РП (2)'!$A$5:$S$150"}</definedName>
    <definedName name="HTML_C" hidden="1">{"'Sheet1'!$A$12:$K$107"}</definedName>
    <definedName name="HTML_CodePage" hidden="1">1251</definedName>
    <definedName name="HTML_Control" hidden="1">{"'РП (2)'!$A$5:$S$150"}</definedName>
    <definedName name="HTML_Description" hidden="1">""</definedName>
    <definedName name="HTML_Email" hidden="1">""</definedName>
    <definedName name="HTML_Header" hidden="1">"кРАП"</definedName>
    <definedName name="HTML_LastUpdate" hidden="1">"03.06.99"</definedName>
    <definedName name="HTML_LineAfter" hidden="1">FALSE</definedName>
    <definedName name="HTML_LineBefore" hidden="1">FALSE</definedName>
    <definedName name="HTML_Name" hidden="1">"Вячеслав Г. Колчин"</definedName>
    <definedName name="HTML_OBDlg2" hidden="1">TRUE</definedName>
    <definedName name="HTML_OBDlg3" hidden="1">TRUE</definedName>
    <definedName name="HTML_OBDlg4" hidden="1">TRUE</definedName>
    <definedName name="HTML_OS" hidden="1">0</definedName>
    <definedName name="HTML_PathFile" hidden="1">"S:\SITE\Kot_vek.htm"</definedName>
    <definedName name="HTML_PathFileMac" hidden="1">"Macintosh HD:Web Site “~adamodar”:pc:datasets:MyHTML.html"</definedName>
    <definedName name="HTML_PathTemplate" hidden="1">"G:\TEMP\Котировки векселей.htm"</definedName>
    <definedName name="HTML_PathTemplateMac" hidden="1">"Macintosh HD:HomePageStuff:New_Home_Page:datafile:Betas.html"</definedName>
    <definedName name="HTML_Title" hidden="1">"План платежей 0699"</definedName>
    <definedName name="HTML1_1" hidden="1">"[ReturnsHistorical]Sheet1!$A$1:$D$77"</definedName>
    <definedName name="HTML1_10" hidden="1">""</definedName>
    <definedName name="HTML1_11" hidden="1">1</definedName>
    <definedName name="HTML1_12" hidden="1">"Zip 100:New_Home_Page:datafile:histret.html"</definedName>
    <definedName name="HTML1_13" hidden="1">#N/A</definedName>
    <definedName name="HTML1_14" hidden="1">#N/A</definedName>
    <definedName name="HTML1_15" hidden="1">#N/A</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 hidden="1">{"'Prices'!$A$4:$J$27"}</definedName>
    <definedName name="HTML2_1" hidden="1">"[histret.xls]Sheet1!$A$1:$G$85"</definedName>
    <definedName name="HTML2_10" hidden="1">""</definedName>
    <definedName name="HTML2_11" hidden="1">1</definedName>
    <definedName name="HTML2_12" hidden="1">"Macintosh HD:New_Home_Page:datafile:histret.html"</definedName>
    <definedName name="HTML2_13" hidden="1">#N/A</definedName>
    <definedName name="HTML2_14" hidden="1">#N/A</definedName>
    <definedName name="HTML2_15" hidden="1">#N/A</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i" hidden="1">{"ÜBER mit FW","THU",FALSE,"HORE KORR!";"ÜBERSICHT",#N/A,FALSE,"BUDGET 1997_98";"ÜBER mit FW",#N/A,FALSE,"IST KUM KORR!!";"ÜBERSICHT",#N/A,FALSE,"PLAN KUM"}</definedName>
    <definedName name="iii" hidden="1">{"ÜBER mit FW","THU",FALSE,"HORE KORR!";"ÜBERSICHT",#N/A,FALSE,"BUDGET 1997_98";"ÜBER mit FW",#N/A,FALSE,"IST KUM KORR!!";"ÜBERSICHT",#N/A,FALSE,"PLAN KUM"}</definedName>
    <definedName name="iiii" hidden="1">{"ÜBER mit FW","THU",FALSE,"HORE KORR!";"ÜBERSICHT",#N/A,FALSE,"BUDGET 1997_98";"ÜBER mit FW",#N/A,FALSE,"IST KUM KORR!!";"ÜBERSICHT",#N/A,FALSE,"PLAN KUM"}</definedName>
    <definedName name="iiiii" hidden="1">{"ÜBER mit FW","THU",FALSE,"HORE KORR!";"ÜBERSICHT",#N/A,FALSE,"BUDGET 1997_98";"ÜBER mit FW",#N/A,FALSE,"IST KUM KORR!!";"ÜBERSICHT",#N/A,FALSE,"PLAN KUM"}</definedName>
    <definedName name="iiiiiiiiiiiiiiiiiiiiiii" hidden="1">{"Valuation",#N/A,TRUE,"Valuation Summary";"Financial Statements",#N/A,TRUE,"Results";"Results",#N/A,TRUE,"Results";"Ratios",#N/A,TRUE,"Results";"P2 Summary",#N/A,TRUE,"Results";"Historical data",#N/A,TRUE,"Historical Data";"P1 Inputs",#N/A,TRUE,"Forecast Drivers";"P2 Inputs",#N/A,TRUE,"Forecast Drivers"}</definedName>
    <definedName name="ikiahg" hidden="1">{"glc1",#N/A,FALSE,"GLC";"glc2",#N/A,FALSE,"GLC";"glc3",#N/A,FALSE,"GLC";"glc4",#N/A,FALSE,"GLC";"glc5",#N/A,FALSE,"GLC"}</definedName>
    <definedName name="ikjhgyfdr" hidden="1">{"glc1",#N/A,FALSE,"GLC";"glc2",#N/A,FALSE,"GLC";"glc3",#N/A,FALSE,"GLC";"glc4",#N/A,FALSE,"GLC";"glc5",#N/A,FALSE,"GLC"}</definedName>
    <definedName name="ikyde" hidden="1">{"Output-Min",#N/A,FALSE,"Output"}</definedName>
    <definedName name="INFO_BI_EXE_NAME" hidden="1">"BICEVOLUTION.EXE"</definedName>
    <definedName name="INFO_EXE_SERVER_PATH" hidden="1">"C:\Program Files (x86)\Pastel Evolution\BICEVOLUTION.EXE"</definedName>
    <definedName name="INFO_INSTANCE_ID" hidden="1">"0"</definedName>
    <definedName name="INFO_INSTANCE_NAME" hidden="1">"GetBucks GROUP Consolidation 2015 (Audit) (v3)_20150512_14_31_18_3131.xls"</definedName>
    <definedName name="INFO_REPORT_CODE" hidden="1">"E4-GL05-4-1"</definedName>
    <definedName name="INFO_REPORT_ID" hidden="1">"63"</definedName>
    <definedName name="INFO_REPORT_NAME" hidden="1">"GetBucks GROUP Consolidation 2015 (Audit) (v3)"</definedName>
    <definedName name="INFO_RUN_USER" hidden="1">""</definedName>
    <definedName name="INFO_RUN_WORKSTATION" hidden="1">"GB-STEVENV"</definedName>
    <definedName name="Innenumsätze" hidden="1">{"ÜBER mit FW","THU",FALSE,"HORE KORR!";"ÜBERSICHT",#N/A,FALSE,"BUDGET 1997_98";"ÜBER mit FW",#N/A,FALSE,"IST KUM KORR!!";"ÜBERSICHT",#N/A,FALSE,"PLAN KUM"}</definedName>
    <definedName name="Input1" hidden="1">{#N/A,#N/A,FALSE,"Aging Summary";#N/A,#N/A,FALSE,"Ratio Analysis";#N/A,#N/A,FALSE,"Test 120 Day Accts";#N/A,#N/A,FALSE,"Tickmarks"}</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vestmentP" hidden="1">{"'domaće količine'!$K$34:$P$47"}</definedName>
    <definedName name="invulgrowth"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 hidden="1">"c5624"</definedName>
    <definedName name="IQ_BV_EST_REUT" hidden="1">"c5403"</definedName>
    <definedName name="IQ_BV_HIGH_EST" hidden="1">"c5626"</definedName>
    <definedName name="IQ_BV_HIGH_EST_REUT" hidden="1">"c5405"</definedName>
    <definedName name="IQ_BV_LOW_EST" hidden="1">"c5627"</definedName>
    <definedName name="IQ_BV_LOW_EST_REUT" hidden="1">"c5406"</definedName>
    <definedName name="IQ_BV_MEDIAN_EST" hidden="1">"c5625"</definedName>
    <definedName name="IQ_BV_MEDIAN_EST_REUT" hidden="1">"c5404"</definedName>
    <definedName name="IQ_BV_NUM_EST" hidden="1">"c5628"</definedName>
    <definedName name="IQ_BV_NUM_EST_REUT" hidden="1">"c5407"</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HIGH_EST" hidden="1">"c4156"</definedName>
    <definedName name="IQ_CASH_FLOW_LOW_EST" hidden="1">"c4157"</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_ID_DET_EST" hidden="1">"c12045"</definedName>
    <definedName name="IQ_CONTRIB_ID_DET_EST_THOM" hidden="1">"c12073"</definedName>
    <definedName name="IQ_CONTRIB_ID_NON_PER_DET_EST" hidden="1">"c13824"</definedName>
    <definedName name="IQ_CONTRIB_ID_NON_PER_DET_EST_CIQ" hidden="1">"c13825"</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"c15788"</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REUT" hidden="1">"c5453"</definedName>
    <definedName name="IQ_EPS_EST_THOM" hidden="1">"c5290"</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REUT" hidden="1">"c5389"</definedName>
    <definedName name="IQ_EPS_GW_EST_THOM" hidden="1">"c5133"</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REUT" hidden="1">"c5409"</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REUT" hidden="1">"c3843"</definedName>
    <definedName name="IQ_EST_ACT_FFO_SHARE" hidden="1">"c1666"</definedName>
    <definedName name="IQ_EST_ACT_FFO_SHARE_SHARE_REUT" hidden="1">"c3843"</definedName>
    <definedName name="IQ_EST_ACT_FFO_SHARE_THOM" hidden="1">"c4005"</definedName>
    <definedName name="IQ_EST_ACT_FFO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DIFF_REUT" hidden="1">"c3890"</definedName>
    <definedName name="IQ_EST_FFO_DIFF_THOM" hidden="1">"c5186"</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SURPRISE_PERCENT_REUT" hidden="1">"c3891"</definedName>
    <definedName name="IQ_EST_FFO_SHARE_SURPRISE_PERCENT" hidden="1">"c1870"</definedName>
    <definedName name="IQ_EST_FFO_SHARE_SURPRISE_PERCENT_THOM" hidden="1">"c5187"</definedName>
    <definedName name="IQ_EST_FFO_SURPRISE_PERCENT" hidden="1">"c4453"</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"00283416001"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CURRENCY_THOM" hidden="1">"c12487"</definedName>
    <definedName name="IQ_FFO_EST_DET_EST_DATE" hidden="1">"c12212"</definedName>
    <definedName name="IQ_FFO_EST_DET_EST_DATE_CIQ" hidden="1">"c12267"</definedName>
    <definedName name="IQ_FFO_EST_DET_EST_DATE_REUT" hidden="1">"c12295"</definedName>
    <definedName name="IQ_FFO_EST_DET_EST_DATE_THOM" hidden="1">"c12238"</definedName>
    <definedName name="IQ_FFO_EST_DET_EST_INCL" hidden="1">"c12349"</definedName>
    <definedName name="IQ_FFO_EST_DET_EST_INCL_CIQ" hidden="1">"c12395"</definedName>
    <definedName name="IQ_FFO_EST_DET_EST_INCL_REUT" hidden="1">"c12419"</definedName>
    <definedName name="IQ_FFO_EST_DET_EST_INCL_THOM" hidden="1">"c12370"</definedName>
    <definedName name="IQ_FFO_EST_DET_EST_ORIGIN" hidden="1">"c12722"</definedName>
    <definedName name="IQ_FFO_EST_DET_EST_ORIGIN_CIQ" hidden="1">"c12720"</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"c4448"</definedName>
    <definedName name="IQ_FFO_HIGH_EST_REUT" hidden="1">"c3839"</definedName>
    <definedName name="IQ_FFO_HIGH_EST_THOM" hidden="1">"c4001"</definedName>
    <definedName name="IQ_FFO_LOW_EST" hidden="1">"c4449"</definedName>
    <definedName name="IQ_FFO_LOW_EST_REUT" hidden="1">"c3840"</definedName>
    <definedName name="IQ_FFO_LOW_EST_THOM" hidden="1">"c4002"</definedName>
    <definedName name="IQ_FFO_MEDIAN_EST" hidden="1">"c4450"</definedName>
    <definedName name="IQ_FFO_MEDIAN_EST_REUT" hidden="1">"c3838"</definedName>
    <definedName name="IQ_FFO_MEDIAN_EST_THOM" hidden="1">"c4000"</definedName>
    <definedName name="IQ_FFO_NUM_EST" hidden="1">"c4451"</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IQ" hidden="1">"c12121"</definedName>
    <definedName name="IQ_FFO_SHARE_EST_DET_EST_CURRENCY" hidden="1">"c12466"</definedName>
    <definedName name="IQ_FFO_SHARE_EST_DET_EST_CURRENCY_CIQ" hidden="1">"c12512"</definedName>
    <definedName name="IQ_FFO_SHARE_EST_DET_EST_CURRENCY_THOM" hidden="1">"c12487"</definedName>
    <definedName name="IQ_FFO_SHARE_EST_DET_EST_DATE" hidden="1">"c12212"</definedName>
    <definedName name="IQ_FFO_SHARE_EST_DET_EST_DATE_CIQ" hidden="1">"c12267"</definedName>
    <definedName name="IQ_FFO_SHARE_EST_DET_EST_DATE_THOM" hidden="1">"c12238"</definedName>
    <definedName name="IQ_FFO_SHARE_EST_DET_EST_INCL" hidden="1">"c12349"</definedName>
    <definedName name="IQ_FFO_SHARE_EST_DET_EST_INCL_CIQ" hidden="1">"c12395"</definedName>
    <definedName name="IQ_FFO_SHARE_EST_DET_EST_INCL_THOM" hidden="1">"c12370"</definedName>
    <definedName name="IQ_FFO_SHARE_EST_DET_EST_ORIGIN" hidden="1">"c12722"</definedName>
    <definedName name="IQ_FFO_SHARE_EST_DET_EST_ORIGIN_CIQ" hidden="1">"c12720"</definedName>
    <definedName name="IQ_FFO_SHARE_EST_DET_EST_ORIGIN_THOM" hidden="1">"c12608"</definedName>
    <definedName name="IQ_FFO_SHARE_EST_DET_EST_THOM" hidden="1">"c12088"</definedName>
    <definedName name="IQ_FFO_SHARE_EST_THOM" hidden="1">"c3999"</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HARE_EST_DET_EST" hidden="1">"c12059"</definedName>
    <definedName name="IQ_FFO_SHARE_SHARE_EST_DET_EST_CIQ" hidden="1">"c12121"</definedName>
    <definedName name="IQ_FFO_SHARE_SHARE_EST_DET_EST_CURRENCY" hidden="1">"c12466"</definedName>
    <definedName name="IQ_FFO_SHARE_SHARE_EST_DET_EST_CURRENCY_CIQ" hidden="1">"c12512"</definedName>
    <definedName name="IQ_FFO_SHARE_SHARE_EST_DET_EST_CURRENCY_REUT" hidden="1">"c12536"</definedName>
    <definedName name="IQ_FFO_SHARE_SHARE_EST_DET_EST_DATE" hidden="1">"c12212"</definedName>
    <definedName name="IQ_FFO_SHARE_SHARE_EST_DET_EST_DATE_CIQ" hidden="1">"c12267"</definedName>
    <definedName name="IQ_FFO_SHARE_SHARE_EST_DET_EST_DATE_REUT" hidden="1">"c12295"</definedName>
    <definedName name="IQ_FFO_SHARE_SHARE_EST_DET_EST_INCL" hidden="1">"c12349"</definedName>
    <definedName name="IQ_FFO_SHARE_SHARE_EST_DET_EST_INCL_CIQ" hidden="1">"c12395"</definedName>
    <definedName name="IQ_FFO_SHARE_SHARE_EST_DET_EST_INCL_REUT" hidden="1">"c12419"</definedName>
    <definedName name="IQ_FFO_SHARE_SHARE_EST_DET_EST_ORIGIN" hidden="1">"c12722"</definedName>
    <definedName name="IQ_FFO_SHARE_SHARE_EST_DET_EST_ORIGIN_CIQ" hidden="1">"c12720"</definedName>
    <definedName name="IQ_FFO_SHARE_SHARE_EST_DET_EST_ORIGIN_REUT" hidden="1">"c12724"</definedName>
    <definedName name="IQ_FFO_SHARE_SHARE_EST_DET_EST_REUT" hidden="1">"c12153"</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REUT" hidden="1">"c3842"</definedName>
    <definedName name="IQ_FFO_STDDEV_EST_THOM" hidden="1">"c4004"</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"100"</definedName>
    <definedName name="IQ_LATESTQ" hidden="1">500</definedName>
    <definedName name="IQ_LATESTQFR" hidden="1">"50"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40788.8197800926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12MONTHS" hidden="1">"c1828"</definedName>
    <definedName name="IQ_PERCENT_CHANGE_EST_FFO_SHARE_12MONTHS_CIQ" hidden="1">"c3769"</definedName>
    <definedName name="IQ_PERCENT_CHANGE_EST_FFO_SHARE_12MONTHS_THOM" hidden="1">"c5248"</definedName>
    <definedName name="IQ_PERCENT_CHANGE_EST_FFO_SHARE_18MONTHS" hidden="1">"c1829"</definedName>
    <definedName name="IQ_PERCENT_CHANGE_EST_FFO_SHARE_18MONTHS_CIQ" hidden="1">"c3770"</definedName>
    <definedName name="IQ_PERCENT_CHANGE_EST_FFO_SHARE_18MONTHS_THOM" hidden="1">"c5249"</definedName>
    <definedName name="IQ_PERCENT_CHANGE_EST_FFO_SHARE_3MONTHS" hidden="1">"c1825"</definedName>
    <definedName name="IQ_PERCENT_CHANGE_EST_FFO_SHARE_3MONTHS_CIQ" hidden="1">"c3766"</definedName>
    <definedName name="IQ_PERCENT_CHANGE_EST_FFO_SHARE_3MONTHS_THOM" hidden="1">"c5245"</definedName>
    <definedName name="IQ_PERCENT_CHANGE_EST_FFO_SHARE_6MONTHS" hidden="1">"c1826"</definedName>
    <definedName name="IQ_PERCENT_CHANGE_EST_FFO_SHARE_6MONTHS_CIQ" hidden="1">"c3767"</definedName>
    <definedName name="IQ_PERCENT_CHANGE_EST_FFO_SHARE_6MONTHS_THOM" hidden="1">"c5246"</definedName>
    <definedName name="IQ_PERCENT_CHANGE_EST_FFO_SHARE_9MONTHS" hidden="1">"c1827"</definedName>
    <definedName name="IQ_PERCENT_CHANGE_EST_FFO_SHARE_9MONTHS_CIQ" hidden="1">"c3768"</definedName>
    <definedName name="IQ_PERCENT_CHANGE_EST_FFO_SHARE_9MONTHS_THOM" hidden="1">"c5247"</definedName>
    <definedName name="IQ_PERCENT_CHANGE_EST_FFO_SHARE_DAY" hidden="1">"c1822"</definedName>
    <definedName name="IQ_PERCENT_CHANGE_EST_FFO_SHARE_DAY_CIQ" hidden="1">"c3764"</definedName>
    <definedName name="IQ_PERCENT_CHANGE_EST_FFO_SHARE_DAY_THOM" hidden="1">"c5243"</definedName>
    <definedName name="IQ_PERCENT_CHANGE_EST_FFO_SHARE_MONTH" hidden="1">"c1824"</definedName>
    <definedName name="IQ_PERCENT_CHANGE_EST_FFO_SHARE_MONTH_CIQ" hidden="1">"c3765"</definedName>
    <definedName name="IQ_PERCENT_CHANGE_EST_FFO_SHARE_MONTH_THOM" hidden="1">"c5244"</definedName>
    <definedName name="IQ_PERCENT_CHANGE_EST_FFO_SHARE_SHARE_12MONTHS" hidden="1">"c1828"</definedName>
    <definedName name="IQ_PERCENT_CHANGE_EST_FFO_SHARE_SHARE_12MONTHS_CIQ" hidden="1">"c3769"</definedName>
    <definedName name="IQ_PERCENT_CHANGE_EST_FFO_SHARE_SHARE_12MONTHS_REUT" hidden="1">"c3938"</definedName>
    <definedName name="IQ_PERCENT_CHANGE_EST_FFO_SHARE_SHARE_18MONTHS" hidden="1">"c1829"</definedName>
    <definedName name="IQ_PERCENT_CHANGE_EST_FFO_SHARE_SHARE_18MONTHS_CIQ" hidden="1">"c3770"</definedName>
    <definedName name="IQ_PERCENT_CHANGE_EST_FFO_SHARE_SHARE_18MONTHS_REUT" hidden="1">"c3939"</definedName>
    <definedName name="IQ_PERCENT_CHANGE_EST_FFO_SHARE_SHARE_3MONTHS" hidden="1">"c1825"</definedName>
    <definedName name="IQ_PERCENT_CHANGE_EST_FFO_SHARE_SHARE_3MONTHS_CIQ" hidden="1">"c3766"</definedName>
    <definedName name="IQ_PERCENT_CHANGE_EST_FFO_SHARE_SHARE_3MONTHS_REUT" hidden="1">"c3935"</definedName>
    <definedName name="IQ_PERCENT_CHANGE_EST_FFO_SHARE_SHARE_6MONTHS" hidden="1">"c1826"</definedName>
    <definedName name="IQ_PERCENT_CHANGE_EST_FFO_SHARE_SHARE_6MONTHS_CIQ" hidden="1">"c3767"</definedName>
    <definedName name="IQ_PERCENT_CHANGE_EST_FFO_SHARE_SHARE_6MONTHS_REUT" hidden="1">"c3936"</definedName>
    <definedName name="IQ_PERCENT_CHANGE_EST_FFO_SHARE_SHARE_9MONTHS" hidden="1">"c1827"</definedName>
    <definedName name="IQ_PERCENT_CHANGE_EST_FFO_SHARE_SHARE_9MONTHS_CIQ" hidden="1">"c3768"</definedName>
    <definedName name="IQ_PERCENT_CHANGE_EST_FFO_SHARE_SHARE_9MONTHS_REUT" hidden="1">"c3937"</definedName>
    <definedName name="IQ_PERCENT_CHANGE_EST_FFO_SHARE_SHARE_DAY" hidden="1">"c1822"</definedName>
    <definedName name="IQ_PERCENT_CHANGE_EST_FFO_SHARE_SHARE_DAY_CIQ" hidden="1">"c3764"</definedName>
    <definedName name="IQ_PERCENT_CHANGE_EST_FFO_SHARE_SHARE_DAY_REUT" hidden="1">"c3933"</definedName>
    <definedName name="IQ_PERCENT_CHANGE_EST_FFO_SHARE_SHARE_MONTH" hidden="1">"c1824"</definedName>
    <definedName name="IQ_PERCENT_CHANGE_EST_FFO_SHARE_SHARE_MONTH_CIQ" hidden="1">"c3765"</definedName>
    <definedName name="IQ_PERCENT_CHANGE_EST_FFO_SHARE_SHARE_MONTH_REUT" hidden="1">"c3934"</definedName>
    <definedName name="IQ_PERCENT_CHANGE_EST_FFO_SHARE_SHARE_WEEK" hidden="1">"c1823"</definedName>
    <definedName name="IQ_PERCENT_CHANGE_EST_FFO_SHARE_SHARE_WEEK_CIQ" hidden="1">"c3795"</definedName>
    <definedName name="IQ_PERCENT_CHANGE_EST_FFO_SHARE_SHARE_WEEK_REUT" hidden="1">"c3964"</definedName>
    <definedName name="IQ_PERCENT_CHANGE_EST_FFO_SHARE_WEEK" hidden="1">"c1823"</definedName>
    <definedName name="IQ_PERCENT_CHANGE_EST_FFO_SHARE_WEEK_CIQ" hidden="1">"c3795"</definedName>
    <definedName name="IQ_PERCENT_CHANGE_EST_FFO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REUT" hidden="1">"c3631"</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"c2903"</definedName>
    <definedName name="IQ_RETAIL_ACQUIRED_OWNED_STORES" hidden="1">"c2895"</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REUT" hidden="1">"c3634"</definedName>
    <definedName name="IQ_REVENUE_EST_THOM" hidden="1">"c3652"</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39021.4740625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4</definedName>
    <definedName name="IQB_BOOKMARK_LOCATION_0" hidden="1">#REF!</definedName>
    <definedName name="IQB_BOOKMARK_LOCATION_1" hidden="1">#REF!</definedName>
    <definedName name="IQB_BOOKMARK_LOCATION_2" hidden="1">#REF!</definedName>
    <definedName name="IQB_BOOKMARK_LOCATION_3" hidden="1">#REF!</definedName>
    <definedName name="IQRI24" hidden="1">"$I$25:$I$39"</definedName>
    <definedName name="IQRJ24" hidden="1">"$J$25:$J$41"</definedName>
    <definedName name="IQRK24" hidden="1">"$K$25:$K$41"</definedName>
    <definedName name="IQRL24" hidden="1">"$L$25:$L$41"</definedName>
    <definedName name="iQShowHideColumns" hidden="1">"iQShowAnnual"</definedName>
    <definedName name="IsColHidden" hidden="1">FALSE</definedName>
    <definedName name="IsLTMColHidden" hidden="1">FALSE</definedName>
    <definedName name="İŞŞL" hidden="1">{"'Grafik Kontrol'!$A$1:$J$8"}</definedName>
    <definedName name="IVANA" hidden="1">{"'domaće količine'!$K$34:$P$47"}</definedName>
    <definedName name="ivor"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j" hidden="1">{"'Sheet1'!$A$1:$G$96","'Sheet1'!$A$1:$H$96"}</definedName>
    <definedName name="jad" hidden="1">{#N/A,"30% Success",TRUE,"Sales Forecast";#N/A,#N/A,TRUE,"Sheet2"}</definedName>
    <definedName name="james"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jdjdyj" hidden="1">{0,0}</definedName>
    <definedName name="jfldjfs" hidden="1">{#N/A,#N/A,FALSE,"Aging Summary";#N/A,#N/A,FALSE,"Ratio Analysis";#N/A,#N/A,FALSE,"Test 120 Day Accts";#N/A,#N/A,FALSE,"Tickmarks"}</definedName>
    <definedName name="jghfl" hidden="1">{"Output-Min",#N/A,FALSE,"Output"}</definedName>
    <definedName name="jgjhg" hidden="1">#REF!</definedName>
    <definedName name="jhgfjkwef" hidden="1">#REF!</definedName>
    <definedName name="jhgfr" hidden="1">{"glc1",#N/A,FALSE,"GLC";"glc2",#N/A,FALSE,"GLC";"glc3",#N/A,FALSE,"GLC";"glc4",#N/A,FALSE,"GLC";"glc5",#N/A,FALSE,"GLC"}</definedName>
    <definedName name="jhgfyuio" hidden="1">{"glc1",#N/A,FALSE,"GLC";"glc2",#N/A,FALSE,"GLC";"glc3",#N/A,FALSE,"GLC";"glc4",#N/A,FALSE,"GLC";"glc5",#N/A,FALSE,"GLC"}</definedName>
    <definedName name="jhgrewqa" hidden="1">{"glc1",#N/A,FALSE,"GLC";"glc2",#N/A,FALSE,"GLC";"glc3",#N/A,FALSE,"GLC";"glc4",#N/A,FALSE,"GLC";"glc5",#N/A,FALSE,"GLC"}</definedName>
    <definedName name="jhkj" hidden="1">{"Valuation",#N/A,TRUE,"Valuation Summary";"Financial Statements",#N/A,TRUE,"Results";"Results",#N/A,TRUE,"Results";"Ratios",#N/A,TRUE,"Results";"P2 Summary",#N/A,TRUE,"Results"}</definedName>
    <definedName name="ji" hidden="1">{"Ext-OpProfits-5c",#N/A,FALSE,"OpProfits";"Ext-NewB-5c",#N/A,FALSE,"NewBus";"Ext-AchP-5c",#N/A,FALSE,"AchProfit";"Ext-EV slide",#N/A,FALSE,"EVAnalysis";"Ext-NBvol",#N/A,FALSE,"NewB"}</definedName>
    <definedName name="jj" hidden="1">{"ÜBER mit FW","THU",FALSE,"HORE KORR!";"ÜBERSICHT",#N/A,FALSE,"BUDGET 1997_98";"ÜBER mit FW",#N/A,FALSE,"IST KUM KORR!!";"ÜBERSICHT",#N/A,FALSE,"PLAN KUM"}</definedName>
    <definedName name="joaquim" hidden="1">{#N/A,"100% Success",TRUE,"Sales Forecast";#N/A,#N/A,TRUE,"Sheet2"}</definedName>
    <definedName name="jyjj" hidden="1">{0,0}</definedName>
    <definedName name="K" hidden="1">{"'Grafik Kontrol'!$A$1:$J$8"}</definedName>
    <definedName name="kate" hidden="1">{#N/A,#N/A,FALSE,"Direct"}</definedName>
    <definedName name="kate2" hidden="1">{#N/A,#N/A,FALSE,"Direct"}</definedName>
    <definedName name="kBNT" hidden="1">{"'РП (2)'!$A$5:$S$150"}</definedName>
    <definedName name="khj" hidden="1">{"IAS_ShortView_1",#N/A,FALSE,"IAS";"IAS_ShortView_2",#N/A,FALSE,"IAS";"IAS_ShortView_3",#N/A,FALSE,"IAS";"IAS_ShortView_4",#N/A,FALSE,"IAS";"IAS_ShortView_5",#N/A,FALSE,"IAS";"IAS_ShortView_6",#N/A,FALSE,"IAS";"IAS_ShortView_7",#N/A,FALSE,"IAS";"CFDir - Zoomed In",#N/A,FALSE,"CF DIR"}</definedName>
    <definedName name="kj" hidden="1">#REF!</definedName>
    <definedName name="kjhfg"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kjmfm" hidden="1">{0,0}</definedName>
    <definedName name="kjmnzxp" hidden="1">{"glc1",#N/A,FALSE,"GLC";"glc2",#N/A,FALSE,"GLC";"glc3",#N/A,FALSE,"GLC";"glc4",#N/A,FALSE,"GLC";"glc5",#N/A,FALSE,"GLC"}</definedName>
    <definedName name="kjuhkd" hidden="1">{"glc1",#N/A,FALSE,"GLC";"glc2",#N/A,FALSE,"GLC";"glc3",#N/A,FALSE,"GLC";"glc4",#N/A,FALSE,"GLC";"glc5",#N/A,FALSE,"GLC"}</definedName>
    <definedName name="kkk" hidden="1">{#N/A,#N/A,TRUE,"Буржуям"}</definedName>
    <definedName name="kkkk" hidden="1">{"ÜBER mit FW","THU",FALSE,"HORE KORR!";"ÜBERSICHT",#N/A,FALSE,"BUDGET 1997_98";"ÜBER mit FW",#N/A,FALSE,"IST KUM KORR!!";"ÜBERSICHT",#N/A,FALSE,"PLAN KUM"}</definedName>
    <definedName name="kkkkk" hidden="1">{"glc1",#N/A,FALSE,"GLC";"glc2",#N/A,FALSE,"GLC";"glc3",#N/A,FALSE,"GLC";"glc4",#N/A,FALSE,"GLC";"glc5",#N/A,FALSE,"GLC"}</definedName>
    <definedName name="kkkkkkk" hidden="1">{"ÜBER mit FW","THU",FALSE,"HORE KORR!";"ÜBERSICHT",#N/A,FALSE,"BUDGET 1997_98";"ÜBER mit FW",#N/A,FALSE,"IST KUM KORR!!";"ÜBERSICHT",#N/A,FALSE,"PLAN KUM"}</definedName>
    <definedName name="kkkkkkkkkkkkk" hidden="1">{"Valuation",#N/A,TRUE,"Valuation Summary";"Financial Statements",#N/A,TRUE,"Results";"Results",#N/A,TRUE,"Results";"Ratios",#N/A,TRUE,"Results";"P2 Summary",#N/A,TRUE,"Results"}</definedName>
    <definedName name="KTO_BILGUV_1" hidden="1">#REF!,#REF!,#REF!,#REF!,#REF!,#REF!,#REF!,#REF!,#REF!,#REF!,#REF!,#REF!,#REF!,#REF!,#REF!,#REF!</definedName>
    <definedName name="KTO_BILGUV_2" hidden="1">#REF!,#REF!,#REF!,#REF!,#REF!,#REF!,#REF!,#REF!,#REF!,#REF!,#REF!,#REF!,#REF!,#REF!,#REF!,#REF!,#REF!</definedName>
    <definedName name="KTO_BILGUV_3" hidden="1">#REF!,#REF!,#REF!,#REF!,#REF!,#REF!,#REF!,#REF!,#REF!,#REF!,#REF!,#REF!,#REF!,#REF!,#REF!,#REF!</definedName>
    <definedName name="KTO_BILGUV_4" hidden="1">#REF!,#REF!,#REF!,#REF!,#REF!,#REF!,#REF!,#REF!,#REF!,#REF!,#REF!,#REF!,#REF!,#REF!,#REF!,#REF!,#REF!,#REF!,#REF!,#REF!,#REF!,#REF!</definedName>
    <definedName name="KTO_H" hidden="1">#REF!,#REF!,#REF!,#REF!,#REF!,#REF!,#REF!,#REF!,#REF!,#REF!,#REF!,#REF!,#REF!,#REF!,#REF!,#REF!,#REF!,#REF!,#REF!,#REF!,#REF!,#REF!,#REF!,#REF!,#REF!,#REF!,#REF!,#REF!,#REF!,#REF!,#REF!,#REF!,#REF!,#REF!</definedName>
    <definedName name="KTO_S" hidden="1">#REF!,#REF!,#REF!,#REF!,#REF!,#REF!,#REF!,#REF!,#REF!,#REF!,#REF!,#REF!,#REF!,#REF!,#REF!,#REF!,#REF!,#REF!,#REF!,#REF!,#REF!,#REF!,#REF!,#REF!,#REF!,#REF!,#REF!,#REF!,#REF!,#REF!,#REF!,#REF!,#REF!,#REF!</definedName>
    <definedName name="ktzuk" hidden="1">{#N/A,#N/A,FALSE,"Aging Summary";#N/A,#N/A,FALSE,"Ratio Analysis";#N/A,#N/A,FALSE,"Test 120 Day Accts";#N/A,#N/A,FALSE,"Tickmarks"}</definedName>
    <definedName name="l" hidden="1">{#N/A,#N/A,TRUE,"MAP";#N/A,#N/A,TRUE,"STEPS";#N/A,#N/A,TRUE,"RULES"}</definedName>
    <definedName name="ldfgdfg" hidden="1">{"Area1",#N/A,FALSE,"OREWACC";"Area2",#N/A,FALSE,"OREWACC"}</definedName>
    <definedName name="lfr" hidden="1">{"'интерфейс'!$J$31:$M$43"}</definedName>
    <definedName name="limcount" hidden="1">1</definedName>
    <definedName name="ListOffset" hidden="1">1</definedName>
    <definedName name="lk" hidden="1">{#N/A,#N/A,FALSE,"REC";#N/A,#N/A,FALSE,"ASSETS";#N/A,#N/A,FALSE,"LIABILITIES";#N/A,#N/A,FALSE,"P&amp;L";#N/A,#N/A,FALSE,"FUNDS";#N/A,#N/A,FALSE,"CASH";#N/A,#N/A,FALSE,"1,2";#N/A,#N/A,FALSE,"3";#N/A,#N/A,FALSE,"4";#N/A,#N/A,FALSE,"5,6,7";#N/A,#N/A,FALSE,"8,9"}</definedName>
    <definedName name="lki" hidden="1">{"glc1",#N/A,FALSE,"GLC";"glc2",#N/A,FALSE,"GLC";"glc3",#N/A,FALSE,"GLC";"glc4",#N/A,FALSE,"GLC";"glc5",#N/A,FALSE,"GLC"}</definedName>
    <definedName name="lkj" hidden="1">{#N/A,#N/A,FALSE,"Aging Summary";#N/A,#N/A,FALSE,"Ratio Analysis";#N/A,#N/A,FALSE,"Test 120 Day Accts";#N/A,#N/A,FALSE,"Tickmarks"}</definedName>
    <definedName name="lkjhk" hidden="1">{"IASTrail",#N/A,FALSE,"IAS"}</definedName>
    <definedName name="ll" hidden="1">{"ÜBERSICHT",#N/A,FALSE,"ABW KUM";"Kostenzoom",#N/A,FALSE,"ABW KUM";"ÜBERSICHT",#N/A,FALSE,"ABW HORE";"Kostenzoom",#N/A,FALSE,"ABW HORE"}</definedName>
    <definedName name="lll" hidden="1">{"DRUCK",#N/A,FALSE,"HOCHRECHNUNG KORR!!!!";"DRUCK",#N/A,FALSE,"BUDGET 1997_98";"DRUCK",#N/A,FALSE,"PL KUM";"DRUCK",#N/A,FALSE,"VJ KUM";"DRUCK",#N/A,FALSE,"IST KUM KORR!!!"}</definedName>
    <definedName name="llll" hidden="1">{"ÜBER mit FW","THU",FALSE,"HORE KORR!";"ÜBERSICHT",#N/A,FALSE,"BUDGET 1997_98";"ÜBER mit FW",#N/A,FALSE,"IST KUM KORR!!";"ÜBERSICHT",#N/A,FALSE,"PLAN KUM"}</definedName>
    <definedName name="lllllllllllllllllllllllllllllllllllllllllllllllllll" hidden="1">{"Valuation",#N/A,TRUE,"Valuation Summary";"Financial Statements",#N/A,TRUE,"Results";"Results",#N/A,TRUE,"Results";"Ratios",#N/A,TRUE,"Results";"P2 Summary",#N/A,TRUE,"Results"}</definedName>
    <definedName name="lo" hidden="1">{"IASBS",#N/A,FALSE,"IAS";"IASPL",#N/A,FALSE,"IAS";#N/A,#N/A,FALSE,"CF DIR";"IASNotes",#N/A,FALSE,"IAS";#N/A,#N/A,FALSE,"FA_1";#N/A,#N/A,FALSE,"Dep'n FC";#N/A,#N/A,FALSE,"Dep'n SE";#N/A,#N/A,FALSE,"Inv_1";#N/A,#N/A,FALSE,"NMG";#N/A,#N/A,FALSE,"Recon";#N/A,#N/A,FALSE,"EPS"}</definedName>
    <definedName name="Luxembourg" hidden="1">{#N/A,#N/A,FALSE,"Direct"}</definedName>
    <definedName name="m" hidden="1">#REF!</definedName>
    <definedName name="market" hidden="1">{#N/A,"70% Success",FALSE,"Sales Forecast";#N/A,#N/A,FALSE,"Sheet2"}</definedName>
    <definedName name="MerrillPrintIt" hidden="1">#REF!</definedName>
    <definedName name="mike"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MPPL" hidden="1">{#N/A,#N/A,FALSE,"Direct"}</definedName>
    <definedName name="n" hidden="1">{#N/A,#N/A,FALSE,"Infl_fact"}</definedName>
    <definedName name="Name" hidden="1">#REF!</definedName>
    <definedName name="name103" hidden="1">{0,0}</definedName>
    <definedName name="new" hidden="1">{"glcbs",#N/A,FALSE,"GLCBS";"glccsbs",#N/A,FALSE,"GLCCSBS";"glcis",#N/A,FALSE,"GLCIS";"glccsis",#N/A,FALSE,"GLCCSIS";"glcrat1",#N/A,FALSE,"GLC-ratios1"}</definedName>
    <definedName name="newd" hidden="1">{#N/A,#N/A,FALSE,"Direct"}</definedName>
    <definedName name="NewRange" hidden="1">#REF!</definedName>
    <definedName name="newtmp" hidden="1">{#N/A,#N/A,FALSE,"Direct"}</definedName>
    <definedName name="newtmp1" hidden="1">{#N/A,#N/A,FALSE,"Direct"}</definedName>
    <definedName name="nfjbhfjjkf" hidden="1">"EBP"</definedName>
    <definedName name="nfyz" hidden="1">{#N/A,#N/A,TRUE,"Буржуям"}</definedName>
    <definedName name="nj" hidden="1">{"ÜBER mit FW","THU",FALSE,"HORE KORR!";"ÜBERSICHT",#N/A,FALSE,"BUDGET 1997_98";"ÜBER mit FW",#N/A,FALSE,"IST KUM KORR!!";"ÜBERSICHT",#N/A,FALSE,"PLAN KUM"}</definedName>
    <definedName name="NN" hidden="1">{"glcbs",#N/A,FALSE,"GLCBS";"glccsbs",#N/A,FALSE,"GLCCSBS";"glcis",#N/A,FALSE,"GLCIS";"glccsis",#N/A,FALSE,"GLCCSIS";"glcrat1",#N/A,FALSE,"GLC-ratios1"}</definedName>
    <definedName name="notesgrs" hidden="1">{"page1",#N/A,FALSE,"PROFORMA";"page2",#N/A,FALSE,"PROFORMA";"page3",#N/A,FALSE,"PROFORMA";"page4",#N/A,FALSE,"PROFORMA";"page5",#N/A,FALSE,"PROFORMA";"page6",#N/A,FALSE,"PROFORMA";"page7",#N/A,FALSE,"PROFORMA";"page8",#N/A,FALSE,"PROFORMA"}</definedName>
    <definedName name="novoe" hidden="1">"AS2DocumentBrowse"</definedName>
    <definedName name="o" hidden="1">{"DRUCK",#N/A,FALSE,"HOCHRECHNUNG KORR!!!!";"DRUCK",#N/A,FALSE,"BUDGET 1997_98";"DRUCK",#N/A,FALSE,"PL KUM";"DRUCK",#N/A,FALSE,"VJ KUM";"DRUCK",#N/A,FALSE,"IST KUM KORR!!!"}</definedName>
    <definedName name="OI" hidden="1">{"'Grafik Kontrol'!$A$1:$J$8"}</definedName>
    <definedName name="oil" hidden="1">{"Table A,pg 1",#N/A,FALSE,"Table A-Prov GUR";"Table A,pg 2",#N/A,FALSE,"Table A-Prov GUR"}</definedName>
    <definedName name="okliyedv" hidden="1">{"glc1",#N/A,FALSE,"GLC";"glc2",#N/A,FALSE,"GLC";"glc3",#N/A,FALSE,"GLC";"glc4",#N/A,FALSE,"GLC";"glc5",#N/A,FALSE,"GLC"}</definedName>
    <definedName name="Old" hidden="1">#REF!</definedName>
    <definedName name="olkjui" hidden="1">{"glc1",#N/A,FALSE,"GLC";"glc2",#N/A,FALSE,"GLC";"glc3",#N/A,FALSE,"GLC";"glc4",#N/A,FALSE,"GLC";"glc5",#N/A,FALSE,"GLC"}</definedName>
    <definedName name="oo" hidden="1">{"ÜBERSICHT",#N/A,FALSE,"ABW KUM";"Kostenzoom",#N/A,FALSE,"ABW KUM";"ÜBERSICHT",#N/A,FALSE,"ABW HORE";"Kostenzoom",#N/A,FALSE,"ABW HORE"}</definedName>
    <definedName name="ooo" hidden="1">{"Ergebnis",#N/A,FALSE,"HORE 1997_01ST";"Steuern",#N/A,FALSE,"HORE 1997_01ST"}</definedName>
    <definedName name="oooo" hidden="1">{"DRUCK",#N/A,FALSE,"HOCHRECHNUNG KORR!!!!";"DRUCK",#N/A,FALSE,"BUDGET 1997_98";"DRUCK",#N/A,FALSE,"PL KUM";"DRUCK",#N/A,FALSE,"VJ KUM";"DRUCK",#N/A,FALSE,"IST KUM KORR!!!"}</definedName>
    <definedName name="ooooaoaaoa" hidden="1">{"glc1",#N/A,FALSE,"GLC";"glc2",#N/A,FALSE,"GLC";"glc3",#N/A,FALSE,"GLC";"glc4",#N/A,FALSE,"GLC";"glc5",#N/A,FALSE,"GLC"}</definedName>
    <definedName name="ooooo" hidden="1">{"ÜBER mit FW","THU",FALSE,"HORE KORR!";"ÜBERSICHT",#N/A,FALSE,"BUDGET 1997_98";"ÜBER mit FW",#N/A,FALSE,"IST KUM KORR!!";"ÜBERSICHT",#N/A,FALSE,"PLAN KUM"}</definedName>
    <definedName name="ooooooooooo" hidden="1">{"glc1",#N/A,FALSE,"GLC";"glc2",#N/A,FALSE,"GLC";"glc3",#N/A,FALSE,"GLC";"glc4",#N/A,FALSE,"GLC";"glc5",#N/A,FALSE,"GLC"}</definedName>
    <definedName name="OrderTable" hidden="1">#REF!</definedName>
    <definedName name="OverallErrorCheck" hidden="1">#REF!</definedName>
    <definedName name="p" hidden="1">{"DRUCK",#N/A,FALSE,"HOCHRECHNUNG KORR!!!!";"DRUCK",#N/A,FALSE,"BUDGET 1997_98";"DRUCK",#N/A,FALSE,"PL KUM";"DRUCK",#N/A,FALSE,"VJ KUM";"DRUCK",#N/A,FALSE,"IST KUM KORR!!!"}</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TOTAL" hidden="1">#REF!,#REF!,#REF!,#REF!,#REF!,#REF!,#REF!</definedName>
    <definedName name="P2_TOTAL1" hidden="1">#REF!,#REF!,#REF!,#REF!,#REF!,#REF!,#REF!</definedName>
    <definedName name="P3_TOTAL" hidden="1">#REF!,#REF!,#REF!,#REF!,#REF!,#REF!,#REF!</definedName>
    <definedName name="P3_TOTAL1" hidden="1">#REF!,#REF!,#REF!,#REF!,#REF!,#REF!,#REF!</definedName>
    <definedName name="P4_TOTAL" hidden="1">#REF!,#REF!,#REF!,#REF!,#REF!,#REF!</definedName>
    <definedName name="P4_TOTAL1" hidden="1">#REF!,#REF!,#REF!,#REF!,#REF!,#REF!</definedName>
    <definedName name="P5_TOTAL" hidden="1">#REF!,#REF!,#REF!,#REF!,#REF!,#REF!,#REF!</definedName>
    <definedName name="P5_TOTAL1" hidden="1">#REF!,#REF!,#REF!,#REF!,#REF!,#REF!,#REF!</definedName>
    <definedName name="P6_TOTAL1" hidden="1">#REF!,#REF!,#REF!,#REF!,#REF!,#REF!,#REF!</definedName>
    <definedName name="pages" hidden="1">{#N/A,#N/A,FALSE,"Outlook Pg 1";#N/A,#N/A,FALSE,"Outlook Pg 2";#N/A,#N/A,FALSE,"12 mths 98 Outlook £";#N/A,#N/A,FALSE,"12 mths 98 Outlook Curr";#N/A,#N/A,FALSE,"Rounded 12 mths 98 Plan";#N/A,#N/A,FALSE,"12 mths 98 Plan";#N/A,#N/A,FALSE,"Int Outlook ";#N/A,#N/A,FALSE,"Int Outlook Workings";#N/A,#N/A,FALSE,"Unalloc exps&amp;int";#N/A,#N/A,FALSE,"xr.xls (roe)";#N/A,#N/A,FALSE,"finance chg plan @ 1q98 roe";#N/A,#N/A,FALSE,"inter. plan @ 1q98 roe";#N/A,#N/A,FALSE,"12month plan @ 1q98";#N/A,#N/A,FALSE,"int. div act to 398";#N/A,#N/A,FALSE,"unallocated int act 1998";#N/A,#N/A,FALSE,"LAST YR ACT @ 1q98 ROE"}</definedName>
    <definedName name="PalletValueDF.I.V.M" hidden="1">#REF!</definedName>
    <definedName name="PalletValueFF.I.V.M" hidden="1">#REF!</definedName>
    <definedName name="PalletValueNF.I.V.M" hidden="1">#REF!</definedName>
    <definedName name="pedro" hidden="1">{#N/A,"30% Success",TRUE,"Sales Forecast";#N/A,#N/A,TRUE,"Sheet2"}</definedName>
    <definedName name="plan" hidden="1">#REF!</definedName>
    <definedName name="plan1" hidden="1">#REF!</definedName>
    <definedName name="PLMajeur" hidden="1">#REF!</definedName>
    <definedName name="PlMineur" hidden="1">#REF!</definedName>
    <definedName name="ploid" hidden="1">{"glc1",#N/A,FALSE,"GLC";"glc2",#N/A,FALSE,"GLC";"glc3",#N/A,FALSE,"GLC";"glc4",#N/A,FALSE,"GLC";"glc5",#N/A,FALSE,"GLC"}</definedName>
    <definedName name="ploki" hidden="1">{"glc1",#N/A,FALSE,"GLC";"glc2",#N/A,FALSE,"GLC";"glc3",#N/A,FALSE,"GLC";"glc4",#N/A,FALSE,"GLC";"glc5",#N/A,FALSE,"GLC"}</definedName>
    <definedName name="port" hidden="1">{#N/A,#N/A,FALSE,"DCF";#N/A,#N/A,FALSE,"WACC";#N/A,#N/A,FALSE,"Sales_EBIT";#N/A,#N/A,FALSE,"Capex_Depreciation";#N/A,#N/A,FALSE,"WC";#N/A,#N/A,FALSE,"Interest";#N/A,#N/A,FALSE,"Assumptions"}</definedName>
    <definedName name="pp" hidden="1">{"ÜBERSICHT",#N/A,FALSE,"ABW KUM";"Kostenzoom",#N/A,FALSE,"ABW KUM";"ÜBERSICHT",#N/A,FALSE,"ABW HORE";"Kostenzoom",#N/A,FALSE,"ABW HORE"}</definedName>
    <definedName name="ppp" hidden="1">{"Ergebnis",#N/A,FALSE,"HORE 1997_01ST";"Steuern",#N/A,FALSE,"HORE 1997_01ST"}</definedName>
    <definedName name="pppp" hidden="1">{"DRUCK",#N/A,FALSE,"HOCHRECHNUNG KORR!!!!";"DRUCK",#N/A,FALSE,"BUDGET 1997_98";"DRUCK",#N/A,FALSE,"PL KUM";"DRUCK",#N/A,FALSE,"VJ KUM";"DRUCK",#N/A,FALSE,"IST KUM KORR!!!"}</definedName>
    <definedName name="ppppp" hidden="1">{"ÜBER mit FW","THU",FALSE,"HORE KORR!";"ÜBERSICHT",#N/A,FALSE,"BUDGET 1997_98";"ÜBER mit FW",#N/A,FALSE,"IST KUM KORR!!";"ÜBERSICHT",#N/A,FALSE,"PLAN KUM"}</definedName>
    <definedName name="pr" hidden="1">Main.SAPF4Help()</definedName>
    <definedName name="ProdForm" hidden="1">#REF!</definedName>
    <definedName name="Product" hidden="1">#REF!</definedName>
    <definedName name="ptvkz" hidden="1">{"'Sheet1'!$A$1:$G$85"}</definedName>
    <definedName name="PUB_FileID" hidden="1">"L10003363.xls"</definedName>
    <definedName name="PUB_UserID" hidden="1">"MAYERX"</definedName>
    <definedName name="q" hidden="1">{"ÜBER mit FW","THU",FALSE,"HORE KORR!";"ÜBERSICHT",#N/A,FALSE,"BUDGET 1997_98";"ÜBER mit FW",#N/A,FALSE,"IST KUM KORR!!";"ÜBERSICHT",#N/A,FALSE,"PLAN KUM"}</definedName>
    <definedName name="qgq" hidden="1">#REF!</definedName>
    <definedName name="qq" hidden="1">{"DRUCK",#N/A,FALSE,"HOCHRECHNUNG KORR!!!!";"DRUCK",#N/A,FALSE,"BUDGET 1997_98";"DRUCK",#N/A,FALSE,"PL KUM";"DRUCK",#N/A,FALSE,"VJ KUM";"DRUCK",#N/A,FALSE,"IST KUM KORR!!!"}</definedName>
    <definedName name="qqq" hidden="1">{"ÜBERSICHT",#N/A,FALSE,"ABW KUM";"Kostenzoom",#N/A,FALSE,"ABW KUM";"ÜBERSICHT",#N/A,FALSE,"ABW HORE";"Kostenzoom",#N/A,FALSE,"ABW HORE"}</definedName>
    <definedName name="qqqq" hidden="1">{"Ergebnis",#N/A,FALSE,"HORE 1997_01ST";"Steuern",#N/A,FALSE,"HORE 1997_01ST"}</definedName>
    <definedName name="qqqqq" hidden="1">{"DRUCK",#N/A,FALSE,"HOCHRECHNUNG KORR!!!!";"DRUCK",#N/A,FALSE,"BUDGET 1997_98";"DRUCK",#N/A,FALSE,"PL KUM";"DRUCK",#N/A,FALSE,"VJ KUM";"DRUCK",#N/A,FALSE,"IST KUM KORR!!!"}</definedName>
    <definedName name="qqqqqq" hidden="1">{"Output-BaseYear",#N/A,FALSE,"Output"}</definedName>
    <definedName name="qqqqqq1" hidden="1">{"Output-BaseYear",#N/A,FALSE,"Output"}</definedName>
    <definedName name="qqqqqqqqqqqqqqqqqq" hidden="1">{"Area1",#N/A,FALSE,"OREWACC";"Area2",#N/A,FALSE,"OREWACC"}</definedName>
    <definedName name="QQQWQ" hidden="1">{"'Grafik Kontrol'!$A$1:$J$8"}</definedName>
    <definedName name="qr2_PRED_NAME" hidden="1">#REF!</definedName>
    <definedName name="qr3_DATEND" hidden="1">#REF!</definedName>
    <definedName name="qr3_DATSTART" hidden="1">#REF!</definedName>
    <definedName name="QRQER" hidden="1">{"'Grafik Kontrol'!$A$1:$J$8"}</definedName>
    <definedName name="qrttttt" hidden="1">{"Valuation",#N/A,TRUE,"Valuation Summary";"Financial Statements",#N/A,TRUE,"Results";"Results",#N/A,TRUE,"Results";"Ratios",#N/A,TRUE,"Results";"P2 Summary",#N/A,TRUE,"Results"}</definedName>
    <definedName name="qrwer" hidden="1">{"Valuation",#N/A,TRUE,"Valuation Summary";"Financial Statements",#N/A,TRUE,"Results";"Results",#N/A,TRUE,"Results";"Ratios",#N/A,TRUE,"Results";"P2 Summary",#N/A,TRUE,"Results"}</definedName>
    <definedName name="qw" hidden="1">#REF!</definedName>
    <definedName name="qwe" hidden="1">{"IASTrail",#N/A,FALSE,"IAS"}</definedName>
    <definedName name="qweqweqweqwe" hidden="1">{"Valuation",#N/A,TRUE,"Valuation Summary";"Financial Statements",#N/A,TRUE,"Results";"Results",#N/A,TRUE,"Results";"Ratios",#N/A,TRUE,"Results";"P2 Summary",#N/A,TRUE,"Results";"Historical data",#N/A,TRUE,"Historical Data";"P1 Inputs",#N/A,TRUE,"Forecast Drivers";"P2 Inputs",#N/A,TRUE,"Forecast Drivers"}</definedName>
    <definedName name="qweqweqweqweqwe" hidden="1">{#N/A,#N/A,FALSE,"TS";#N/A,#N/A,FALSE,"Combo";#N/A,#N/A,FALSE,"FAIR";#N/A,#N/A,FALSE,"RBC";#N/A,#N/A,FALSE,"xxxx";#N/A,#N/A,FALSE,"A_D";#N/A,#N/A,FALSE,"WACC";#N/A,#N/A,FALSE,"DCF";#N/A,#N/A,FALSE,"LBO";#N/A,#N/A,FALSE,"AcqMults";#N/A,#N/A,FALSE,"CompMults"}</definedName>
    <definedName name="qweqwewqqqqq" hidden="1">{"Schedule_1D",#N/A,FALSE,"I-D"}</definedName>
    <definedName name="QWEW" hidden="1">{"'Grafik Kontrol'!$A$1:$J$8"}</definedName>
    <definedName name="qwewqeqw" hidden="1">{"Valuation",#N/A,TRUE,"Valuation Summary";"Financial Statements",#N/A,TRUE,"Results";"Results",#N/A,TRUE,"Results";"Ratios",#N/A,TRUE,"Results";"P2 Summary",#N/A,TRUE,"Results"}</definedName>
    <definedName name="qwewqeqweqwe" hidden="1">{"Valuation",#N/A,TRUE,"Valuation Summary";"Financial Statements",#N/A,TRUE,"Results";"Results",#N/A,TRUE,"Results";"Ratios",#N/A,TRUE,"Results";"P2 Summary",#N/A,TRUE,"Results";"Historical data",#N/A,TRUE,"Historical Data";"P1 Inputs",#N/A,TRUE,"Forecast Drivers";"P2 Inputs",#N/A,TRUE,"Forecast Drivers"}</definedName>
    <definedName name="qwewqeqwwqeqwewqeqwew"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QWQW" hidden="1">{"'Grafik Kontrol'!$A$1:$J$8"}</definedName>
    <definedName name="RCArea" hidden="1">#REF!</definedName>
    <definedName name="RedefinePrintTableRange" hidden="1">#REF!</definedName>
    <definedName name="redo" hidden="1">{#N/A,#N/A,FALSE,"ACQ_GRAPHS";#N/A,#N/A,FALSE,"T_1 GRAPHS";#N/A,#N/A,FALSE,"T_2 GRAPHS";#N/A,#N/A,FALSE,"COMB_GRAPHS"}</definedName>
    <definedName name="regh" hidden="1">{#N/A,#N/A,FALSE,"page 4";#N/A,#N/A,FALSE,"page 5 (UK)";#N/A,#N/A,FALSE,"page 6 (Intl)";#N/A,#N/A,FALSE,"page 7 (details)"}</definedName>
    <definedName name="related_parties_list" hidden="1">#REF!</definedName>
    <definedName name="Relevant" hidden="1">{#N/A,#N/A,FALSE,"Summary";#N/A,#N/A,FALSE,"Program Scheme";#N/A,#N/A,FALSE,"Assumptions";#N/A,#N/A,FALSE,"Development Budget";#N/A,#N/A,FALSE,"Timing";#N/A,#N/A,FALSE,"Development Costs &amp; Revenues";#N/A,#N/A,FALSE,"Cash Flow to Debt &amp; Equity"}</definedName>
    <definedName name="rere" hidden="1">{"'Sheet1'!$A$1:$G$85"}</definedName>
    <definedName name="rereeq" hidden="1">{"Valuation",#N/A,TRUE,"Valuation Summary";"Financial Statements",#N/A,TRUE,"Results";"Results",#N/A,TRUE,"Results";"Ratios",#N/A,TRUE,"Results";"P2 Summary",#N/A,TRUE,"Results";"Historical data",#N/A,TRUE,"Historical Data";"P1 Inputs",#N/A,TRUE,"Forecast Drivers";"P2 Inputs",#N/A,TRUE,"Forecast Drivers"}</definedName>
    <definedName name="rew" hidden="1">{#N/A,#N/A,FALSE,"Sheet1"}</definedName>
    <definedName name="rfdesw" hidden="1">{"glc1",#N/A,FALSE,"GLC";"glc2",#N/A,FALSE,"GLC";"glc3",#N/A,FALSE,"GLC";"glc4",#N/A,FALSE,"GLC";"glc5",#N/A,FALSE,"GLC"}</definedName>
    <definedName name="rfdse" hidden="1">{"glc1",#N/A,FALSE,"GLC";"glc2",#N/A,FALSE,"GLC";"glc3",#N/A,FALSE,"GLC";"glc4",#N/A,FALSE,"GLC";"glc5",#N/A,FALSE,"GLC"}</definedName>
    <definedName name="rg" hidden="1">{"'Sheet1'!$A$1:$G$96","'Sheet1'!$A$1:$H$96"}</definedName>
    <definedName name="rgfsdh" hidden="1">Main.SAPF4Help()</definedName>
    <definedName name="rgrggw" hidden="1">{0,0}</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b"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rouble3" hidden="1">#REF!</definedName>
    <definedName name="rouble5" hidden="1">#REF!</definedName>
    <definedName name="RR" hidden="1">{"'Grafik Kontrol'!$A$1:$J$8"}</definedName>
    <definedName name="rrr" hidden="1">{#N/A,#N/A,FALSE,"Aging Summary";#N/A,#N/A,FALSE,"Ratio Analysis";#N/A,#N/A,FALSE,"Test 120 Day Accts";#N/A,#N/A,FALSE,"Tickmarks"}</definedName>
    <definedName name="rrrrr" hidden="1">{"NWN_Q1810",#N/A,FALSE,"Q1810_1.V";"NWN_Q1412",#N/A,FALSE,"Q1412_1"}</definedName>
    <definedName name="rstyud" hidden="1">{"assets",#N/A,FALSE,"historicBS";"liab",#N/A,FALSE,"historicBS";"is",#N/A,FALSE,"historicIS";"ratios",#N/A,FALSE,"ratios"}</definedName>
    <definedName name="rt" hidden="1">{#N/A,#N/A,FALSE,"Aging Summary";#N/A,#N/A,FALSE,"Ratio Analysis";#N/A,#N/A,FALSE,"Test 120 Day Accts";#N/A,#N/A,FALSE,"Tickmarks"}</definedName>
    <definedName name="rtg" hidden="1">{"'Sheet1'!$A$1:$G$96","'Sheet1'!$A$1:$H$96"}</definedName>
    <definedName name="rth56uh56ju" hidden="1">{"glc1",#N/A,FALSE,"GLC";"glc2",#N/A,FALSE,"GLC";"glc3",#N/A,FALSE,"GLC";"glc4",#N/A,FALSE,"GLC";"glc5",#N/A,FALSE,"GLC"}</definedName>
    <definedName name="rtrtrt" hidden="1">{"glc1",#N/A,FALSE,"GLC";"glc2",#N/A,FALSE,"GLC";"glc3",#N/A,FALSE,"GLC";"glc4",#N/A,FALSE,"GLC";"glc5",#N/A,FALSE,"GLC"}</definedName>
    <definedName name="rtt" hidden="1">{"Area1",#N/A,FALSE,"OREWACC";"Area2",#N/A,FALSE,"OREWACC"}</definedName>
    <definedName name="rty" hidden="1">{#N/A,#N/A,FALSE,"Aging Summary";#N/A,#N/A,FALSE,"Ratio Analysis";#N/A,#N/A,FALSE,"Test 120 Day Accts";#N/A,#N/A,FALSE,"Tickmarks"}</definedName>
    <definedName name="RV" hidden="1">{"NWN_Q1810",#N/A,FALSE,"Q1810_1.V";"NWN_Q1412",#N/A,FALSE,"Q1412_1"}</definedName>
    <definedName name="rvv" hidden="1">{"NWN_Q1810",#N/A,FALSE,"Q1810_1.V";"NWN_Q1412",#N/A,FALSE,"Q1412_1"}</definedName>
    <definedName name="rwn" hidden="1">{"glc1",#N/A,FALSE,"GLC";"glc2",#N/A,FALSE,"GLC";"glc3",#N/A,FALSE,"GLC";"glc4",#N/A,FALSE,"GLC";"glc5",#N/A,FALSE,"GLC"}</definedName>
    <definedName name="rwreer" hidden="1">{#N/A,#N/A,FALSE,"Schedule 01";#N/A,#N/A,FALSE,"Schedule 02";#N/A,#N/A,FALSE,"Schedule 03";#N/A,#N/A,FALSE,"Schedule 04";#N/A,#N/A,FALSE,"Schedule 05";#N/A,#N/A,FALSE,"Schedule 06"}</definedName>
    <definedName name="s" hidden="1">{#N/A,#N/A,FALSE,"Aging Summary";#N/A,#N/A,FALSE,"Ratio Analysis";#N/A,#N/A,FALSE,"Test 120 Day Accts";#N/A,#N/A,FALSE,"Tickmarks"}</definedName>
    <definedName name="sadfsf" hidden="1">{#N/A,#N/A,FALSE,"Centre";#N/A,#N/A,FALSE,"Int Outlook ";#N/A,#N/A,FALSE,"Central financing per plan";#N/A,#N/A,FALSE,"SI Detail";#N/A,#N/A,FALSE,"Specials";#N/A,#N/A,FALSE,"Profit share";#N/A,#N/A,FALSE,"Swiss issue";#N/A,#N/A,FALSE,"1998 plan unall exps";#N/A,#N/A,FALSE,"Central financing per UK re ind";#N/A,#N/A,FALSE,"France finance costs";#N/A,#N/A,FALSE,"ctrfin 97 plan";#N/A,#N/A,FALSE,"plan rates";#N/A,#N/A,FALSE,"998 ave roe";#N/A,#N/A,FALSE,"Inputs"}</definedName>
    <definedName name="SAPBEXhrIndnt" hidden="1">1</definedName>
    <definedName name="SAPBEXrevision" hidden="1">1</definedName>
    <definedName name="SAPBEXsysID" hidden="1">"BW2"</definedName>
    <definedName name="SAPBEXwbID" hidden="1">"3O3ZPWEQ3C5DUIAJ3OV7CK2VI"</definedName>
    <definedName name="SAPFuncF4Help" hidden="1">Main.SAPF4Help()</definedName>
    <definedName name="SAPsysID" hidden="1">"708C5W7SBKP804JT78WJ0JNKI"</definedName>
    <definedName name="SAPwbID" hidden="1">"ARS"</definedName>
    <definedName name="Saski" hidden="1">{"COM",#N/A,FALSE,"800 10th"}</definedName>
    <definedName name="savd" hidden="1">{"ÜBER mit FW","THU",FALSE,"HORE KORR!";"ÜBERSICHT",#N/A,FALSE,"BUDGET 1997_98";"ÜBER mit FW",#N/A,FALSE,"IST KUM KORR!!";"ÜBERSICHT",#N/A,FALSE,"PLAN KUM"}</definedName>
    <definedName name="scf" hidden="1">{"COM",#N/A,FALSE,"800 10th"}</definedName>
    <definedName name="sdd" hidden="1">{"'Sheet1'!$A$1:$G$96","'Sheet1'!$A$1:$H$96"}</definedName>
    <definedName name="sdf" hidden="1">#REF!</definedName>
    <definedName name="sdfasdf" hidden="1">{"ÜBER mit FW","THU",FALSE,"HORE KORR!";"ÜBERSICHT",#N/A,FALSE,"BUDGET 1997_98";"ÜBER mit FW",#N/A,FALSE,"IST KUM KORR!!";"ÜBERSICHT",#N/A,FALSE,"PLAN KUM"}</definedName>
    <definedName name="sdfasdfas" hidden="1">{"Ergebnis",#N/A,FALSE,"HORE 1997_01ST";"Steuern",#N/A,FALSE,"HORE 1997_01ST"}</definedName>
    <definedName name="sdfh" hidden="1">{"'Sheet1'!$A$1:$G$85"}</definedName>
    <definedName name="sdfsad" hidden="1">{"DRUCK",#N/A,FALSE,"HOCHRECHNUNG KORR!!!!";"DRUCK",#N/A,FALSE,"BUDGET 1997_98";"DRUCK",#N/A,FALSE,"PL KUM";"DRUCK",#N/A,FALSE,"VJ KUM";"DRUCK",#N/A,FALSE,"IST KUM KORR!!!"}</definedName>
    <definedName name="sdfsdafdsf" hidden="1">{"ÜBER mit FW","THU",FALSE,"HORE KORR!";"ÜBERSICHT",#N/A,FALSE,"BUDGET 1997_98";"ÜBER mit FW",#N/A,FALSE,"IST KUM KORR!!";"ÜBERSICHT",#N/A,FALSE,"PLAN KUM"}</definedName>
    <definedName name="sdfsdf" hidden="1">{"Valuation",#N/A,TRUE,"Valuation Summary";"Financial Statements",#N/A,TRUE,"Results";"Results",#N/A,TRUE,"Results";"Ratios",#N/A,TRUE,"Results";"P2 Summary",#N/A,TRUE,"Results";"Historical data",#N/A,TRUE,"Historical Data";"P1 Inputs",#N/A,TRUE,"Forecast Drivers";"P2 Inputs",#N/A,TRUE,"Forecast Drivers"}</definedName>
    <definedName name="sdfsdfr" hidden="1">{"Valuation",#N/A,TRUE,"Valuation Summary";"Financial Statements",#N/A,TRUE,"Results";"Results",#N/A,TRUE,"Results";"Ratios",#N/A,TRUE,"Results";"P2 Summary",#N/A,TRUE,"Results";"Historical data",#N/A,TRUE,"Historical Data";"P1 Inputs",#N/A,TRUE,"Forecast Drivers";"P2 Inputs",#N/A,TRUE,"Forecast Drivers"}</definedName>
    <definedName name="sdfsdfs"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sdfsfaf" hidden="1">{"ÜBERSICHT",#N/A,FALSE,"ABW KUM";"Kostenzoom",#N/A,FALSE,"ABW KUM";"ÜBERSICHT",#N/A,FALSE,"ABW HORE";"Kostenzoom",#N/A,FALSE,"ABW HORE"}</definedName>
    <definedName name="sdghgh" hidden="1">{#N/A,#N/A,FALSE,"1st est schs 1.1 &amp; 1.2";#N/A,#N/A,FALSE,"1st est sch 1.3";#N/A,#N/A,FALSE,"1st est schs 2.1 &amp; 2.2";#N/A,#N/A,FALSE,"1st est schs 2.1 &amp; 2.2";#N/A,#N/A,FALSE,"1st est sch 3 ";#N/A,#N/A,FALSE,"1st est sch 4"}</definedName>
    <definedName name="sdhj" hidden="1">{#N/A,#N/A,FALSE,"Rounded 12 mths 98 Plan";#N/A,#N/A,FALSE,"xr.xls (roe)";#N/A,#N/A,FALSE,"finance chg plan @ 3q98 roe";#N/A,#N/A,FALSE,"inter. plan @ 3q98 roe";#N/A,#N/A,FALSE,"int. div act to 998";#N/A,#N/A,FALSE,"unallocated int act 1998";#N/A,#N/A,FALSE,"LAST YR ACT @ 3q98 ROE"}</definedName>
    <definedName name="sdsss" hidden="1">#REF!</definedName>
    <definedName name="Section" hidden="1">{#N/A,#N/A,FALSE,"Direct"}</definedName>
    <definedName name="sencount" hidden="1">2</definedName>
    <definedName name="Sergey" hidden="1">{"Area1",#N/A,FALSE,"OREWACC";"Area2",#N/A,FALSE,"OREWACC"}</definedName>
    <definedName name="sfd" hidden="1">{#N/A,#N/A,FALSE,"Rounded 12 mths 98 Plan";#N/A,#N/A,FALSE,"xr.xls (roe)";#N/A,#N/A,FALSE,"finance chg plan @ 3q98 roe";#N/A,#N/A,FALSE,"inter. plan @ 3q98 roe";#N/A,#N/A,FALSE,"int. div act to 998";#N/A,#N/A,FALSE,"unallocated int act 1998";#N/A,#N/A,FALSE,"LAST YR ACT @ 3q98 ROE"}</definedName>
    <definedName name="sfhjhsfdhj" hidden="1">{"ÜBER mit FW","THU",FALSE,"HORE KORR!";"ÜBERSICHT",#N/A,FALSE,"BUDGET 1997_98";"ÜBER mit FW",#N/A,FALSE,"IST KUM KORR!!";"ÜBERSICHT",#N/A,FALSE,"PLAN KUM"}</definedName>
    <definedName name="sfs" hidden="1">{#N/A,#N/A,FALSE,"Outlook Pg 1";#N/A,#N/A,FALSE,"Outlook Pg 2";#N/A,#N/A,FALSE,"12 mths 98 Outlook £";#N/A,#N/A,FALSE,"12 mths 98 Outlook Curr";#N/A,#N/A,FALSE,"Rounded 12 mths 98 Plan";#N/A,#N/A,FALSE,"12 mths 98 Plan";#N/A,#N/A,FALSE,"Int Outlook ";#N/A,#N/A,FALSE,"Int Outlook Workings";#N/A,#N/A,FALSE,"Unalloc exps&amp;int";#N/A,#N/A,FALSE,"xr.xls (roe)";#N/A,#N/A,FALSE,"finance chg plan @ 1q98 roe";#N/A,#N/A,FALSE,"inter. plan @ 1q98 roe";#N/A,#N/A,FALSE,"12month plan @ 1q98";#N/A,#N/A,FALSE,"int. div act to 398";#N/A,#N/A,FALSE,"unallocated int act 1998";#N/A,#N/A,FALSE,"LAST YR ACT @ 1q98 ROE"}</definedName>
    <definedName name="sh" hidden="1">{"Ext-OpProfits-3c",#N/A,FALSE,"OpProfits";"Ext-NewB-3c",#N/A,FALSE,"NewBus";"Ext-AchP-3c",#N/A,FALSE,"AchProfit";"Ext-EV slide",#N/A,FALSE,"EVAnalysis";"Ext-NBvol",#N/A,FALSE,"NewB"}</definedName>
    <definedName name="shit" hidden="1">{"ÜBER mit FW","THU",FALSE,"HORE KORR!";"ÜBERSICHT",#N/A,FALSE,"BUDGET 1997_98";"ÜBER mit FW",#N/A,FALSE,"IST KUM KORR!!";"ÜBERSICHT",#N/A,FALSE,"PLAN KUM"}</definedName>
    <definedName name="shshryhasyhj" hidden="1">#REF!</definedName>
    <definedName name="shss" hidden="1">#REF!</definedName>
    <definedName name="sjkfjkw" hidden="1">{#N/A,#N/A,FALSE,"1st est schs 1.1 &amp; 1.2";#N/A,#N/A,FALSE,"1st est sch 1.3";#N/A,#N/A,FALSE,"1st est schs 2.1 &amp; 2.2";#N/A,#N/A,FALSE,"1st est schs 2.1 &amp; 2.2";#N/A,#N/A,FALSE,"1st est sch 3 ";#N/A,#N/A,FALSE,"1st est sch 4"}</definedName>
    <definedName name="SK" hidden="1">{"ÜBER mit FW","THU",FALSE,"HORE KORR!";"ÜBERSICHT",#N/A,FALSE,"BUDGET 1997_98";"ÜBER mit FW",#N/A,FALSE,"IST KUM KORR!!";"ÜBERSICHT",#N/A,FALSE,"PLAN KUM"}</definedName>
    <definedName name="smth15" hidden="1">#REF!</definedName>
    <definedName name="smth2" hidden="1">#REF!</definedName>
    <definedName name="smth3" hidden="1">#REF!</definedName>
    <definedName name="smth4" hidden="1">#REF!</definedName>
    <definedName name="smth5" hidden="1">#REF!</definedName>
    <definedName name="smth55" hidden="1">#REF!</definedName>
    <definedName name="smth8" hidden="1">#REF!</definedName>
    <definedName name="soft2"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hidden="1">#REF!</definedName>
    <definedName name="solver_lhs2" hidden="1">#REF!</definedName>
    <definedName name="solver_lhs4" hidden="1">#REF!</definedName>
    <definedName name="solver_lhs5" hidden="1">#REF!</definedName>
    <definedName name="solver_lhs6" hidden="1">#REF!</definedName>
    <definedName name="solver_lin" hidden="1">0</definedName>
    <definedName name="solver_neg" hidden="1">2</definedName>
    <definedName name="solver_num" hidden="1">6</definedName>
    <definedName name="solver_nwt" hidden="1">1</definedName>
    <definedName name="solver_opt" hidden="1">#REF!</definedName>
    <definedName name="solver_pre" hidden="1">0.000001</definedName>
    <definedName name="solver_rel1" hidden="1">2</definedName>
    <definedName name="solver_rel10" hidden="1">3</definedName>
    <definedName name="solver_rel11" hidden="1">3</definedName>
    <definedName name="solver_rel12" hidden="1">3</definedName>
    <definedName name="solver_rel13" hidden="1">3</definedName>
    <definedName name="solver_rel14" hidden="1">3</definedName>
    <definedName name="solver_rel15" hidden="1">3</definedName>
    <definedName name="solver_rel16" hidden="1">3</definedName>
    <definedName name="solver_rel17" hidden="1">3</definedName>
    <definedName name="solver_rel18" hidden="1">3</definedName>
    <definedName name="solver_rel2" hidden="1">3</definedName>
    <definedName name="solver_rel3" hidden="1">3</definedName>
    <definedName name="solver_rel4" hidden="1">3</definedName>
    <definedName name="solver_rel5" hidden="1">3</definedName>
    <definedName name="solver_rel6" hidden="1">3</definedName>
    <definedName name="solver_rel7" hidden="1">3</definedName>
    <definedName name="solver_rel8" hidden="1">3</definedName>
    <definedName name="solver_rel9" hidden="1">3</definedName>
    <definedName name="solver_rhs1" hidden="1">3600</definedName>
    <definedName name="solver_rhs10" hidden="1">0</definedName>
    <definedName name="solver_rhs11" hidden="1">0</definedName>
    <definedName name="solver_rhs12" hidden="1">0</definedName>
    <definedName name="solver_rhs13" hidden="1">0</definedName>
    <definedName name="solver_rhs14" hidden="1">0</definedName>
    <definedName name="solver_rhs15" hidden="1">0</definedName>
    <definedName name="solver_rhs16" hidden="1">0</definedName>
    <definedName name="solver_rhs17" hidden="1">0</definedName>
    <definedName name="solver_rhs18" hidden="1">0</definedName>
    <definedName name="solver_rhs2" hidden="1">9770</definedName>
    <definedName name="solver_rhs3" hidden="1">660</definedName>
    <definedName name="solver_rhs4" hidden="1">5320</definedName>
    <definedName name="solver_rhs5" hidden="1">214</definedName>
    <definedName name="solver_rhs6" hidden="1">350</definedName>
    <definedName name="solver_rhs7" hidden="1">0</definedName>
    <definedName name="solver_rhs8" hidden="1">0</definedName>
    <definedName name="solver_rhs9" hidden="1">0</definedName>
    <definedName name="solver_scl" hidden="1">0</definedName>
    <definedName name="solver_sho" hidden="1">0</definedName>
    <definedName name="solver_tim" hidden="1">200</definedName>
    <definedName name="solver_tmp" hidden="1">350</definedName>
    <definedName name="solver_tol" hidden="1">0.05</definedName>
    <definedName name="solver_typ" hidden="1">3</definedName>
    <definedName name="solver_val" hidden="1">74233</definedName>
    <definedName name="solver11" hidden="1">#REF!</definedName>
    <definedName name="something" hidden="1">#REF!</definedName>
    <definedName name="sort" hidden="1">#REF!</definedName>
    <definedName name="SpecialPrice" hidden="1">#REF!</definedName>
    <definedName name="spent1" hidden="1">{#N/A,#N/A,FALSE,"Aging Summary";#N/A,#N/A,FALSE,"Ratio Analysis";#N/A,#N/A,FALSE,"Test 120 Day Accts";#N/A,#N/A,FALSE,"Tickmarks"}</definedName>
    <definedName name="sssssssssssssssssssssssss" hidden="1">{"Ergebnis",#N/A,FALSE,"HORE 1997_01ST";"Steuern",#N/A,FALSE,"HORE 1997_01ST"}</definedName>
    <definedName name="ssy" hidden="1">#REF!</definedName>
    <definedName name="standard" hidden="1">{"DRUCK",#N/A,FALSE,"HOCHRECHNUNG KORR!!!!";"DRUCK",#N/A,FALSE,"BUDGET 1997_98";"DRUCK",#N/A,FALSE,"PL KUM";"DRUCK",#N/A,FALSE,"VJ KUM";"DRUCK",#N/A,FALSE,"IST KUM KORR!!!"}</definedName>
    <definedName name="StoreOpenings.I.V.M.NG" hidden="1">#REF!</definedName>
    <definedName name="Summary1" hidden="1">{#N/A,#N/A,FALSE,"Direct"}</definedName>
    <definedName name="summary2" hidden="1">{#N/A,#N/A,FALSE,"Aging Summary";#N/A,#N/A,FALSE,"Ratio Analysis";#N/A,#N/A,FALSE,"Test 120 Day Accts";#N/A,#N/A,FALSE,"Tickmarks"}</definedName>
    <definedName name="SV_AUTO_CONN_CATALOG" hidden="1">"Mauritius Getbucks"</definedName>
    <definedName name="SV_AUTO_CONN_SERVER" hidden="1">"pASTELEVO"</definedName>
    <definedName name="SV_ENCPT_AUTO_CONN_PASSWORD" hidden="1">"083096084083070121065050"</definedName>
    <definedName name="SV_ENCPT_AUTO_CONN_USER" hidden="1">"095094088070084121098"</definedName>
    <definedName name="SV_ENCPT_EVOCOMMON_PASSWORD" hidden="1">"083096084083070121065050"</definedName>
    <definedName name="SV_ENCPT_EVOCOMMON_USER" hidden="1">"095094088070084121098"</definedName>
    <definedName name="SV_ENCPT_LOGON_PWD" hidden="1">"078104085088070"</definedName>
    <definedName name="SV_ENCPT_LOGON_USER" hidden="1">"095094088070084"</definedName>
    <definedName name="SV_EVOCOMMON_CATALOG" hidden="1">"EvolutionCommon"</definedName>
    <definedName name="SV_EVOCOMMON_SERVER" hidden="1">"pASTELEVO"</definedName>
    <definedName name="sw" hidden="1">{"'domaće količine'!$K$34:$P$47"}</definedName>
    <definedName name="Swvu.summary1." hidden="1">#REF!</definedName>
    <definedName name="Swvu.summary2." hidden="1">#REF!</definedName>
    <definedName name="Swvu.summary3." hidden="1">#REF!</definedName>
    <definedName name="szh" hidden="1">{"ÜBER mit FW","THU",FALSE,"HORE KORR!";"ÜBERSICHT",#N/A,FALSE,"BUDGET 1997_98";"ÜBER mit FW",#N/A,FALSE,"IST KUM KORR!!";"ÜBERSICHT",#N/A,FALSE,"PLAN KUM"}</definedName>
    <definedName name="t" hidden="1">{"'Grafik Kontrol'!$A$1:$J$8"}</definedName>
    <definedName name="TABLE135006" hidden="1">#REF!</definedName>
    <definedName name="tanya" hidden="1">{#N/A,#N/A,FALSE,"Aging Summary";#N/A,#N/A,FALSE,"Ratio Analysis";#N/A,#N/A,FALSE,"Test 120 Day Accts";#N/A,#N/A,FALSE,"Tickmarks"}</definedName>
    <definedName name="tbl_ProdInfo" hidden="1">#REF!</definedName>
    <definedName name="temp2" hidden="1">{#N/A,#N/A,FALSE,"Direct"}</definedName>
    <definedName name="temp3" hidden="1">{#N/A,#N/A,FALSE,"Direct"}</definedName>
    <definedName name="tempall" hidden="1">{#N/A,#N/A,FALSE,"Direct"}</definedName>
    <definedName name="Template" hidden="1">#REF!</definedName>
    <definedName name="tertw" hidden="1">{#N/A,#N/A,FALSE,"Aging Summary";#N/A,#N/A,FALSE,"Ratio Analysis";#N/A,#N/A,FALSE,"Test 120 Day Accts";#N/A,#N/A,FALSE,"Tickmarks"}</definedName>
    <definedName name="test" hidden="1">{"Schedule_I",#N/A,FALSE,"I"}</definedName>
    <definedName name="test3" hidden="1">{#N/A,#N/A,FALSE,"FA_1";#N/A,#N/A,FALSE,"Dep'n SE";#N/A,#N/A,FALSE,"Dep'n FC"}</definedName>
    <definedName name="test4" hidden="1">#REF!</definedName>
    <definedName name="test7" hidden="1">#REF!</definedName>
    <definedName name="test8" hidden="1">#REF!</definedName>
    <definedName name="tesy5" hidden="1">#REF!</definedName>
    <definedName name="TextRefCopyRangeCount" hidden="1">183</definedName>
    <definedName name="TextRefCopyRangeCount_1" hidden="1">247</definedName>
    <definedName name="th" hidden="1">{#N/A,#N/A,FALSE,"Aging Summary";#N/A,#N/A,FALSE,"Ratio Analysis";#N/A,#N/A,FALSE,"Test 120 Day Accts";#N/A,#N/A,FALSE,"Tickmarks"}</definedName>
    <definedName name="Tikmark" hidden="1">7</definedName>
    <definedName name="tmp" hidden="1">{#N/A,#N/A,FALSE,"Direct"}</definedName>
    <definedName name="TOC_Hdg_1" hidden="1">#REF!</definedName>
    <definedName name="TOC_Hdg_2" hidden="1">#REF!</definedName>
    <definedName name="TOC_Hdg_3" hidden="1">#REF!</definedName>
    <definedName name="TOC_Hdg_4" hidden="1">#REF!</definedName>
    <definedName name="TOC_Hdg_5" hidden="1">#REF!</definedName>
    <definedName name="treeList" hidden="1">"10000000000000000000000000000000000000000000000000000000000000000000000000000000000000000000000000000000000000000000000000000000000000000000000000000000000000000000000000000000000000000000000000000000"</definedName>
    <definedName name="trr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TRTRR" hidden="1">{"'Grafik Kontrol'!$A$1:$J$8"}</definedName>
    <definedName name="trurtgf" hidden="1">{#N/A,#N/A,FALSE,"Aging Summary";#N/A,#N/A,FALSE,"Ratio Analysis";#N/A,#N/A,FALSE,"Test 120 Day Accts";#N/A,#N/A,FALSE,"Tickmarks"}</definedName>
    <definedName name="ttrt"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ttt"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ttttt" hidden="1">{"glc1",#N/A,FALSE,"GLC";"glc2",#N/A,FALSE,"GLC";"glc3",#N/A,FALSE,"GLC";"glc4",#N/A,FALSE,"GLC";"glc5",#N/A,FALSE,"GLC"}</definedName>
    <definedName name="tttttttttt" hidden="1">{"Valuation",#N/A,TRUE,"Valuation Summary";"Financial Statements",#N/A,TRUE,"Results";"Results",#N/A,TRUE,"Results";"Ratios",#N/A,TRUE,"Results";"P2 Summary",#N/A,TRUE,"Results"}</definedName>
    <definedName name="tttttttttttttttttttt" hidden="1">39752.4561689815</definedName>
    <definedName name="ttttttttttttttttttttttttttttttttttt" hidden="1">"c2104"</definedName>
    <definedName name="tyrtyrtyrty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u" hidden="1">#REF!</definedName>
    <definedName name="Übersichten" hidden="1">{"ÜBER mit FW","THU",FALSE,"HORE KORR!";"ÜBERSICHT",#N/A,FALSE,"BUDGET 1997_98";"ÜBER mit FW",#N/A,FALSE,"IST KUM KORR!!";"ÜBERSICHT",#N/A,FALSE,"PLAN KUM"}</definedName>
    <definedName name="ujapqkjduc" hidden="1">{"glc1",#N/A,FALSE,"GLC";"glc2",#N/A,FALSE,"GLC";"glc3",#N/A,FALSE,"GLC";"glc4",#N/A,FALSE,"GLC";"glc5",#N/A,FALSE,"GLC"}</definedName>
    <definedName name="ujfhdysysys" hidden="1">{"glc1",#N/A,FALSE,"GLC";"glc2",#N/A,FALSE,"GLC";"glc3",#N/A,FALSE,"GLC";"glc4",#N/A,FALSE,"GLC";"glc5",#N/A,FALSE,"GLC"}</definedName>
    <definedName name="ujghfjughf" hidden="1">{"glc1",#N/A,FALSE,"GLC";"glc2",#N/A,FALSE,"GLC";"glc3",#N/A,FALSE,"GLC";"glc4",#N/A,FALSE,"GLC";"glc5",#N/A,FALSE,"GLC"}</definedName>
    <definedName name="ujhf" hidden="1">{"glc1",#N/A,FALSE,"GLC";"glc2",#N/A,FALSE,"GLC";"glc3",#N/A,FALSE,"GLC";"glc4",#N/A,FALSE,"GLC";"glc5",#N/A,FALSE,"GLC"}</definedName>
    <definedName name="ujhydgf" hidden="1">{"ÜBER mit FW","THU",FALSE,"HORE KORR!";"ÜBERSICHT",#N/A,FALSE,"BUDGET 1997_98";"ÜBER mit FW",#N/A,FALSE,"IST KUM KORR!!";"ÜBERSICHT",#N/A,FALSE,"PLAN KUM"}</definedName>
    <definedName name="ujhythgd" hidden="1">{"glc1",#N/A,FALSE,"GLC";"glc2",#N/A,FALSE,"GLC";"glc3",#N/A,FALSE,"GLC";"glc4",#N/A,FALSE,"GLC";"glc5",#N/A,FALSE,"GLC"}</definedName>
    <definedName name="ujnbhyt" hidden="1">{"glc1",#N/A,FALSE,"GLC";"glc2",#N/A,FALSE,"GLC";"glc3",#N/A,FALSE,"GLC";"glc4",#N/A,FALSE,"GLC";"glc5",#N/A,FALSE,"GLC"}</definedName>
    <definedName name="ujya" hidden="1">{"glc1",#N/A,FALSE,"GLC";"glc2",#N/A,FALSE,"GLC";"glc3",#N/A,FALSE,"GLC";"glc4",#N/A,FALSE,"GLC";"glc5",#N/A,FALSE,"GLC"}</definedName>
    <definedName name="ujyhtgfd" hidden="1">{"glc1",#N/A,FALSE,"GLC";"glc2",#N/A,FALSE,"GLC";"glc3",#N/A,FALSE,"GLC";"glc4",#N/A,FALSE,"GLC";"glc5",#N/A,FALSE,"GLC"}</definedName>
    <definedName name="uk" hidden="1">{"Valuation",#N/A,TRUE,"Valuation Summary";"Financial Statements",#N/A,TRUE,"Results";"Results",#N/A,TRUE,"Results";"Ratios",#N/A,TRUE,"Results";"P2 Summary",#N/A,TRUE,"Results";"Historical data",#N/A,TRUE,"Historical Data";"P1 Inputs",#N/A,TRUE,"Forecast Drivers";"P2 Inputs",#N/A,TRUE,"Forecast Drivers"}</definedName>
    <definedName name="uu" hidden="1">{#N/A,#N/A,TRUE,"Engineering Dept";#N/A,#N/A,TRUE,"Sales Dept";#N/A,#N/A,TRUE,"Marketing Dept";#N/A,#N/A,TRUE,"Admin Dept"}</definedName>
    <definedName name="uuu" hidden="1">#REF!</definedName>
    <definedName name="uuuuuuuuuu" hidden="1">{"Valuation",#N/A,TRUE,"Valuation Summary";"Financial Statements",#N/A,TRUE,"Results";"Results",#N/A,TRUE,"Results";"Ratios",#N/A,TRUE,"Results";"P2 Summary",#N/A,TRUE,"Results"}</definedName>
    <definedName name="uuuuuuuuuuuuuu" hidden="1">{"Valuation",#N/A,TRUE,"Valuation Summary";"Financial Statements",#N/A,TRUE,"Results";"Results",#N/A,TRUE,"Results";"Ratios",#N/A,TRUE,"Results";"P2 Summary",#N/A,TRUE,"Results"}</definedName>
    <definedName name="uuuuuuuuuuuuuuuuu" hidden="1">{"Valuation",#N/A,TRUE,"Valuation Summary";"Financial Statements",#N/A,TRUE,"Results";"Results",#N/A,TRUE,"Results";"Ratios",#N/A,TRUE,"Results";"P2 Summary",#N/A,TRUE,"Results"}</definedName>
    <definedName name="UYUY" hidden="1">{"'Grafik Kontrol'!$A$1:$J$8"}</definedName>
    <definedName name="v" hidden="1">{#N/A,#N/A,FALSE,"Aging Summary";#N/A,#N/A,FALSE,"Ratio Analysis";#N/A,#N/A,FALSE,"Test 120 Day Accts";#N/A,#N/A,FALSE,"Tickmarks"}</definedName>
    <definedName name="v_header1" hidden="1">#REF!</definedName>
    <definedName name="vaaaaaavavv" hidden="1">#REF!</definedName>
    <definedName name="vbn" hidden="1">{#N/A,#N/A,FALSE,"HMF";#N/A,#N/A,FALSE,"FACIL";#N/A,#N/A,FALSE,"HMFINANCE";#N/A,#N/A,FALSE,"HMEUROPE";#N/A,#N/A,FALSE,"HHAB CONSO";#N/A,#N/A,FALSE,"PAB";#N/A,#N/A,FALSE,"MMC";#N/A,#N/A,FALSE,"THAI";#N/A,#N/A,FALSE,"SINPA";#N/A,#N/A,FALSE,"POLAND"}</definedName>
    <definedName name="VChampSR" hidden="1">FALSE</definedName>
    <definedName name="vdfggg" hidden="1">{"DRUCK",#N/A,FALSE,"HOCHRECHNUNG KORR!!!!";"DRUCK",#N/A,FALSE,"BUDGET 1997_98";"DRUCK",#N/A,FALSE,"PL KUM";"DRUCK",#N/A,FALSE,"VJ KUM";"DRUCK",#N/A,FALSE,"IST KUM KORR!!!"}</definedName>
    <definedName name="VDossierSR" hidden="1">"DEMOSR.XLS"</definedName>
    <definedName name="vfgt" hidden="1">{#N/A,#N/A,FALSE,"Outlook Pg 2";#N/A,#N/A,FALSE,"Outlook Pg 1";#N/A,#N/A,FALSE,"12 mths 97 Outlook £";#N/A,#N/A,FALSE,"12 mths 97 Outlook Curr";#N/A,#N/A,FALSE,"Rounded 12 mths 97 Plan";#N/A,#N/A,FALSE,"12 mths 97 Plan";#N/A,#N/A,FALSE,"Int Outlook ";#N/A,#N/A,FALSE,"Int Outlook Workings";#N/A,#N/A,FALSE,"Unalloc exps&amp;int";#N/A,#N/A,FALSE,"xr.xls (roe)";#N/A,#N/A,FALSE,"finance chg plan @ 997 roe";#N/A,#N/A,FALSE,"inter. plan @ 997 roe";#N/A,#N/A,FALSE,"12month plan@997";#N/A,#N/A,FALSE,"int. div act to 997";#N/A,#N/A,FALSE,"unallocated int act 997";#N/A,#N/A,FALSE,"LAST YR ACT @ 997 ROE"}</definedName>
    <definedName name="vhjkjvhk" hidden="1">{"Schedule_IA",#N/A,FALSE,"I-A"}</definedName>
    <definedName name="vitaly" hidden="1">#REF!</definedName>
    <definedName name="vjhkvhjk" hidden="1">{"cuccoli",#N/A,FALSE,"SintFixed (3)";"tagliarini",#N/A,FALSE,"SintFixed (3)";"savino",#N/A,FALSE,"SintFixed (3)";"donati",#N/A,FALSE,"SintFixed (3)";"gatti",#N/A,FALSE,"SintFixed (3)";"sigliano",#N/A,FALSE,"SintFixed (3)"}</definedName>
    <definedName name="vjy" hidden="1">{"glc1",#N/A,FALSE,"GLC";"glc2",#N/A,FALSE,"GLC";"glc3",#N/A,FALSE,"GLC";"glc4",#N/A,FALSE,"GLC";"glc5",#N/A,FALSE,"GLC"}</definedName>
    <definedName name="VNbPerSR" hidden="1">5</definedName>
    <definedName name="vur" hidden="1">#REF!</definedName>
    <definedName name="vural" hidden="1">#REF!</definedName>
    <definedName name="vv" hidden="1">{"IASTrail",#N/A,FALSE,"IAS"}</definedName>
    <definedName name="w" hidden="1">{"IASTrail",#N/A,FALSE,"IAS"}</definedName>
    <definedName name="w2ww" hidden="1">{"Valuation - Letter",#N/A,TRUE,"Valuation Summary";"Financial Statements - Letter",#N/A,TRUE,"Results";"Results - Letter",#N/A,TRUE,"Results";"Ratios - Letter",#N/A,TRUE,"Results";"P2 Summary - Letter",#N/A,TRUE,"Results"}</definedName>
    <definedName name="waefdw" hidden="1">{#N/A,#N/A,FALSE,"Virgin Flightdeck"}</definedName>
    <definedName name="WalkYTDBudNEW" hidden="1">{"FIXVARIANCE",#N/A,FALSE,"COSTPHSE";"SOURCING",#N/A,FALSE,"COSTPHSE"}</definedName>
    <definedName name="WE" hidden="1">{"'Grafik Kontrol'!$A$1:$J$8"}</definedName>
    <definedName name="Wegenstein" hidden="1">{"ÜBER mit FW","THU",FALSE,"HORE KORR!";"ÜBERSICHT",#N/A,FALSE,"BUDGET 1997_98";"ÜBER mit FW",#N/A,FALSE,"IST KUM KORR!!";"ÜBERSICHT",#N/A,FALSE,"PLAN KUM"}</definedName>
    <definedName name="weqeqweqwe" hidden="1">{"Valuation",#N/A,TRUE,"Valuation Summary";"Financial Statements",#N/A,TRUE,"Results";"Results",#N/A,TRUE,"Results";"Ratios",#N/A,TRUE,"Results";"P2 Summary",#N/A,TRUE,"Results"}</definedName>
    <definedName name="wer" hidden="1">{"IASTrail",#N/A,FALSE,"IAS"}</definedName>
    <definedName name="wergqerrgqwergr" hidden="1">#REF!</definedName>
    <definedName name="werner" hidden="1">{"DRUCK",#N/A,FALSE,"HOCHRECHNUNG KORR!!!!";"DRUCK",#N/A,FALSE,"BUDGET 1997_98";"DRUCK",#N/A,FALSE,"PL KUM";"DRUCK",#N/A,FALSE,"VJ KUM";"DRUCK",#N/A,FALSE,"IST KUM KORR!!!"}</definedName>
    <definedName name="wert" hidden="1">{"glc1",#N/A,FALSE,"GLC";"glc2",#N/A,FALSE,"GLC";"glc3",#N/A,FALSE,"GLC";"glc4",#N/A,FALSE,"GLC";"glc5",#N/A,FALSE,"GLC"}</definedName>
    <definedName name="werw" hidden="1">{"Area1",#N/A,FALSE,"OREWACC";"Area2",#N/A,FALSE,"OREWACC"}</definedName>
    <definedName name="werwer" hidden="1">{"Valuation",#N/A,TRUE,"Valuation Summary";"Financial Statements",#N/A,TRUE,"Results";"Results",#N/A,TRUE,"Results";"Ratios",#N/A,TRUE,"Results";"P2 Summary",#N/A,TRUE,"Results";"Historical data",#N/A,TRUE,"Historical Data";"P1 Inputs",#N/A,TRUE,"Forecast Drivers";"P2 Inputs",#N/A,TRUE,"Forecast Drivers"}</definedName>
    <definedName name="weyw" hidden="1">#REF!</definedName>
    <definedName name="WFT" hidden="1">{"Area1",#N/A,FALSE,"OREWACC";"Area2",#N/A,FALSE,"OREWACC"}</definedName>
    <definedName name="will"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wkrp" hidden="1">{"Area1",#N/A,FALSE,"OREWACC";"Area2",#N/A,FALSE,"OREWACC"}</definedName>
    <definedName name="wqe" hidden="1">#REF!</definedName>
    <definedName name="wreywr" hidden="1">#REF!</definedName>
    <definedName name="Wrn" hidden="1">{"DRUCK",#N/A,FALSE,"HOCHRECHNUNG KORR!!!!";"DRUCK",#N/A,FALSE,"BUDGET 1997_98";"DRUCK",#N/A,FALSE,"PL KUM";"DRUCK",#N/A,FALSE,"VJ KUM";"DRUCK",#N/A,FALSE,"IST KUM KORR!!!"}</definedName>
    <definedName name="wrn.1." hidden="1">{#N/A,#N/A,FALSE,"Расчет вспомогательных"}</definedName>
    <definedName name="wrn.10._.Per._.Cent._.Success." hidden="1">{#N/A,"10% Success",FALSE,"Sales Forecast";#N/A,#N/A,FALSE,"Sheet2"}</definedName>
    <definedName name="wrn.100._.Per._.Cent._.Success." hidden="1">{#N/A,"100% Success",TRUE,"Sales Forecast";#N/A,#N/A,TRUE,"Sheet2"}</definedName>
    <definedName name="wrn.10yp._.balance._.sheet." hidden="1">{"10yp balance sheet",#N/A,FALSE,"Celtel alternative 6"}</definedName>
    <definedName name="wrn.10yp._.capex." hidden="1">{"10yp capex",#N/A,FALSE,"Celtel alternative 6"}</definedName>
    <definedName name="wrn.10yp._.customers." hidden="1">{"10yp customers",#N/A,FALSE,"Celtel alternative 6"}</definedName>
    <definedName name="wrn.10yp._.graphs." hidden="1">{"10yp graphs",#N/A,FALSE,"Market Data"}</definedName>
    <definedName name="wrn.10yp._.key._.data." hidden="1">{"10yp key data",#N/A,FALSE,"Market Data"}</definedName>
    <definedName name="wrn.10yp._.profit._.and._.loss." hidden="1">{"10yp profit and loss",#N/A,FALSE,"Celtel alternative 6"}</definedName>
    <definedName name="wrn.10yp._.tariffs." hidden="1">{"10yp tariffs",#N/A,FALSE,"Celtel alternative 6"}</definedName>
    <definedName name="wrn.22." hidden="1">{#N/A,#N/A,FALSE,"ОТЛАДКА"}</definedName>
    <definedName name="wrn.30._.Per._.Cent." hidden="1">{#N/A,"30% Success",TRUE,"Sales Forecast";#N/A,#N/A,TRUE,"Sheet2"}</definedName>
    <definedName name="wrn.70._.Per._.Cent._.Success." hidden="1">{#N/A,"70% Success",FALSE,"Sales Forecast";#N/A,#N/A,FALSE,"Sheet2"}</definedName>
    <definedName name="wrn.A_VALUATION." hidden="1">{#N/A,#N/A,FALSE,"A_D";#N/A,#N/A,FALSE,"WACC";#N/A,#N/A,FALSE,"DCF";#N/A,#N/A,FALSE,"A";#N/A,#N/A,FALSE,"LBO";#N/A,#N/A,FALSE,"C";#N/A,#N/A,FALSE,"impd";#N/A,#N/A,FALSE,"comps"}</definedName>
    <definedName name="wrn.A1." hidden="1">{#N/A,#N/A,FALSE,"Summary YTD";#N/A,#N/A,FALSE,"Summary QTR";#N/A,#N/A,FALSE,"QTR end data";#N/A,#N/A,FALSE,"Net Investment";#N/A,#N/A,FALSE,"xr"}</definedName>
    <definedName name="wrn.ABW." hidden="1">{"ÜBERSICHT",#N/A,FALSE,"ABW KUM";"Kostenzoom",#N/A,FALSE,"ABW KUM";"ÜBERSICHT",#N/A,FALSE,"ABW HORE";"Kostenzoom",#N/A,FALSE,"ABW HORE"}</definedName>
    <definedName name="wrn.Accr_Dil." hidden="1">{#N/A,#N/A,FALSE,"Debt Accr";#N/A,#N/A,FALSE,"Stock Accr";#N/A,#N/A,FALSE,"Debt Stock Accr"}</definedName>
    <definedName name="wrn.Aging._.and._.Trend._.Analysis."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{#N/A,#N/A,FALSE,"INPUTS";#N/A,#N/A,FALSE,"PROFORMA BSHEET";#N/A,#N/A,FALSE,"COMBINED";#N/A,#N/A,FALSE,"ACQUIROR";#N/A,#N/A,FALSE,"TARGET 1";#N/A,#N/A,FALSE,"TARGET 2";#N/A,#N/A,FALSE,"HIGH YIELD";#N/A,#N/A,FALSE,"OVERFUND"}</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FO." hidden="1">{#N/A,#N/A,FALSE,"PM req"}</definedName>
    <definedName name="wrn.ALL._.INFO.2" hidden="1">{#N/A,#N/A,FALSE,"PM req"}</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HEETS." hidden="1">{#N/A,#N/A,FALSE,"Adj Proj";#N/A,#N/A,FALSE,"Sheet1";#N/A,#N/A,FALSE,"LBO";#N/A,#N/A,FALSE,"LBOMER";#N/A,#N/A,FALSE,"WACC";#N/A,#N/A,FALSE,"DCF";#N/A,#N/A,FALSE,"DCFMER";#N/A,#N/A,FALSE,"Pooling";#N/A,#N/A,FALSE,"income";#N/A,#N/A,FALSE,"Offer"}</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C_centres_rec2"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wrn.ALLC_CENTRES_SUMMARY."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wrn.AllModels." hidden="1">{#N/A,#N/A,FALSE,"AD_Purchase";#N/A,#N/A,FALSE,"Credit";#N/A,#N/A,FALSE,"PF Acquisition";#N/A,#N/A,FALSE,"PF Offering"}</definedName>
    <definedName name="wrn.AllSections."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llsheets." hidden="1">{#N/A,#N/A,FALSE,"Outlook Pg 2";#N/A,#N/A,FALSE,"Outlook Pg 1";#N/A,#N/A,FALSE,"12 mths 97 Outlook £";#N/A,#N/A,FALSE,"12 mths 97 Outlook Curr";#N/A,#N/A,FALSE,"Rounded 12 mths 97 Plan";#N/A,#N/A,FALSE,"12 mths 97 Plan";#N/A,#N/A,FALSE,"Int Outlook ";#N/A,#N/A,FALSE,"Int Outlook Workings";#N/A,#N/A,FALSE,"Unalloc exps&amp;int";#N/A,#N/A,FALSE,"xr.xls (roe)";#N/A,#N/A,FALSE,"finance chg plan @ 997 roe";#N/A,#N/A,FALSE,"inter. plan @ 997 roe";#N/A,#N/A,FALSE,"12month plan@997";#N/A,#N/A,FALSE,"int. div act to 997";#N/A,#N/A,FALSE,"unallocated int act 997";#N/A,#N/A,FALSE,"LAST YR ACT @ 997 ROE"}</definedName>
    <definedName name="wrn.AOC._.Print." hidden="1">{#N/A,#N/A,FALSE,"CGNU Life";#N/A,#N/A,FALSE,"CGNU RI TO CULAC";#N/A,#N/A,FALSE,"CULAC";#N/A,#N/A,FALSE,"Northern";#N/A,#N/A,FALSE,"PHI";#N/A,#N/A,FALSE,"CGNU RI TO PHI";#N/A,#N/A,FALSE,"Template"}</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ckup._.sheets." hidden="1">{#N/A,#N/A,FALSE,"Rounded 12 mths 98 Plan";#N/A,#N/A,FALSE,"xr.xls (roe)";#N/A,#N/A,FALSE,"finance chg plan @ 3q98 roe";#N/A,#N/A,FALSE,"inter. plan @ 3q98 roe";#N/A,#N/A,FALSE,"int. div act to 998";#N/A,#N/A,FALSE,"unallocated int act 1998";#N/A,#N/A,FALSE,"LAST YR ACT @ 3q98 ROE"}</definedName>
    <definedName name="wrn.balance._.sheet." hidden="1">{"bs",#N/A,FALSE,"SCF"}</definedName>
    <definedName name="wrn.Base." hidden="1">{"Base_Economics",#N/A,FALSE,"BP Amoco Summary";"Base_MOD_CashFlows",#N/A,FALSE,"BP Amoco Summary"}</definedName>
    <definedName name="wrn.basicfin." hidden="1">{"assets",#N/A,FALSE,"historicBS";"liab",#N/A,FALSE,"historicBS";"is",#N/A,FALSE,"historicIS";"ratios",#N/A,FALSE,"ratios"}</definedName>
    <definedName name="wrn.basicfin.2" hidden="1">{"assets",#N/A,FALSE,"historicBS";"liab",#N/A,FALSE,"historicBS";"is",#N/A,FALSE,"historicIS";"ratios",#N/A,FALSE,"ratios"}</definedName>
    <definedName name="wrn.basics." hidden="1">{#N/A,#N/A,FALSE,"TSUM";#N/A,#N/A,FALSE,"shares";#N/A,#N/A,FALSE,"earnout";#N/A,#N/A,FALSE,"Heaty";#N/A,#N/A,FALSE,"self-tend";#N/A,#N/A,FALSE,"self-sum"}</definedName>
    <definedName name="wrn.beg_italia."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udget._.balance._.sheet." hidden="1">{"bugdet992000 balance sheet",#N/A,FALSE,"Celtel alternative 6"}</definedName>
    <definedName name="wrn.budget._.capex." hidden="1">{"budget992000 capex",#N/A,FALSE,"Celtel alternative 6"}</definedName>
    <definedName name="wrn.budget._.customers." hidden="1">{"budget992000_customers",#N/A,FALSE,"Celtel alternative 6"}</definedName>
    <definedName name="wrn.budget._.profit._.and._.loss." hidden="1">{"budget992000 profit and loss",#N/A,FALSE,"Celtel alternative 6"}</definedName>
    <definedName name="wrn.budget._.tariffs._.and._.usage." hidden="1">{"budget992000 tariff and usage",#N/A,FALSE,"Celtel alternative 6"}</definedName>
    <definedName name="wrn.BUDGET97." hidden="1">{"FIXVARIANCE",#N/A,FALSE,"COSTPHSE";"SOURCING",#N/A,FALSE,"COSTPHSE"}</definedName>
    <definedName name="wrn.Buildups." hidden="1">{"ACQ",#N/A,FALSE,"ACQUISITIONS";"ACQF",#N/A,FALSE,"ACQUISITIONS";"PF",#N/A,FALSE,"PROYECTOVILA";"PV",#N/A,FALSE,"PROYECTOVILA";"Fee Dev",#N/A,FALSE,"DEVELOPMENT GROWTH";"gd",#N/A,FALSE,"DEVELOPMENT GROWTH"}</definedName>
    <definedName name="wrn.bullshit1." hidden="1">{#N/A,#N/A,FALSE,"Sheet1";#N/A,#N/A,FALSE,"Summary";#N/A,#N/A,FALSE,"proj1";#N/A,#N/A,FALSE,"proj2"}</definedName>
    <definedName name="wrn.Bus._.Plan." hidden="1">{"Bus_Plan_Sht",#N/A,FALSE,"Bus Plan Sht"}</definedName>
    <definedName name="wrn.C1000BAS." hidden="1">{#N/A,"BRÅNEMARK",FALSE,"C1000BAS";#N/A,"PROCERA",FALSE,"C1000BAS"}</definedName>
    <definedName name="wrn.Cash._.Plan." hidden="1">{"cash plan",#N/A,FALSE,"fccashflow"}</definedName>
    <definedName name="wrn.cashflow." hidden="1">{#N/A,#N/A,FALSE,"page 4";#N/A,#N/A,FALSE,"page 5 (UK)";#N/A,#N/A,FALSE,"page 6 (Intl)";#N/A,#N/A,FALSE,"page 7 (details)"}</definedName>
    <definedName name="wrn.Coded._.IAS._.FS." hidden="1">{"IASTrail",#N/A,FALSE,"IAS"}</definedName>
    <definedName name="wrn.COM." hidden="1">{"COM",#N/A,FALSE,"800 10th"}</definedName>
    <definedName name="wrn.COMBINED." hidden="1">{#N/A,#N/A,FALSE,"INPUTS";#N/A,#N/A,FALSE,"PROFORMA BSHEET";#N/A,#N/A,FALSE,"COMBINED";#N/A,#N/A,FALSE,"HIGH YIELD";#N/A,#N/A,FALSE,"COMB_GRAPHS"}</definedName>
    <definedName name="wrn.COMLAWTC." hidden="1">{"Commish",#N/A,FALSE,"LAWTC"}</definedName>
    <definedName name="wrn.Compco._.Only." hidden="1">{"vi1",#N/A,FALSE,"6_30_96";"vi2",#N/A,FALSE,"6_30_96";"vi3",#N/A,FALSE,"6_30_96"}</definedName>
    <definedName name="wrn.Complete." hidden="1">{#N/A,#N/A,TRUE,"DCF Summary";#N/A,#N/A,TRUE,"Casema";#N/A,#N/A,TRUE,"UK";#N/A,#N/A,TRUE,"RCF";#N/A,#N/A,TRUE,"Intercable CZ";#N/A,#N/A,TRUE,"Interkabel P";#N/A,#N/A,TRUE,"LBO-Total";#N/A,#N/A,TRUE,"LBO-Casema"}</definedName>
    <definedName name="wrn.Complete.Chem" hidden="1">{#N/A,#N/A,TRUE,"DCF Summary";#N/A,#N/A,TRUE,"Casema";#N/A,#N/A,TRUE,"UK";#N/A,#N/A,TRUE,"RCF";#N/A,#N/A,TRUE,"Intercable CZ";#N/A,#N/A,TRUE,"Interkabel P";#N/A,#N/A,TRUE,"LBO-Total";#N/A,#N/A,TRUE,"LBO-Casema"}</definedName>
    <definedName name="wrn.Complete.Eng" hidden="1">{#N/A,#N/A,TRUE,"DCF Summary";#N/A,#N/A,TRUE,"Casema";#N/A,#N/A,TRUE,"UK";#N/A,#N/A,TRUE,"RCF";#N/A,#N/A,TRUE,"Intercable CZ";#N/A,#N/A,TRUE,"Interkabel P";#N/A,#N/A,TRUE,"LBO-Total";#N/A,#N/A,TRUE,"LBO-Casema"}</definedName>
    <definedName name="wrn.Complete.Gen" hidden="1">{#N/A,#N/A,TRUE,"DCF Summary";#N/A,#N/A,TRUE,"Casema";#N/A,#N/A,TRUE,"UK";#N/A,#N/A,TRUE,"RCF";#N/A,#N/A,TRUE,"Intercable CZ";#N/A,#N/A,TRUE,"Interkabel P";#N/A,#N/A,TRUE,"LBO-Total";#N/A,#N/A,TRUE,"LBO-Casema"}</definedName>
    <definedName name="wrn.Cover." hidden="1">{"coverall",#N/A,FALSE,"Definitions";"cover1",#N/A,FALSE,"Definitions";"cover2",#N/A,FALSE,"Definitions";"cover3",#N/A,FALSE,"Definitions";"cover4",#N/A,FALSE,"Definitions";"cover5",#N/A,FALSE,"Definitions";"blank",#N/A,FALSE,"Definitions"}</definedName>
    <definedName name="wrn.database." hidden="1">{"subs",#N/A,FALSE,"database ";"proportional",#N/A,FALSE,"database "}</definedName>
    <definedName name="wrn.David." hidden="1">{#N/A,#N/A,TRUE,"Ctrls";#N/A,#N/A,TRUE,"Scen";#N/A,#N/A,TRUE,"Comparison";#N/A,#N/A,TRUE,"TS";#N/A,#N/A,TRUE,"IS";#N/A,#N/A,TRUE,"BS";#N/A,#N/A,TRUE,"CF";#N/A,#N/A,TRUE,"LBOX prem.adapt.";#N/A,#N/A,TRUE,"Summary ";#N/A,#N/A,TRUE,"DCF_5";#N/A,#N/A,TRUE,"Comps";#N/A,#N/A,TRUE,"Premium Analysis.prem.adapt";#N/A,#N/A,TRUE,"Pensions";#N/A,#N/A,TRUE,"Debt";#N/A,#N/A,TRUE,"Depr";#N/A,#N/A,TRUE,"Returns"}</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Eng" hidden="1">{#N/A,#N/A,FALSE,"DCF Summary";#N/A,#N/A,FALSE,"Casema";#N/A,#N/A,FALSE,"Casema NoTel";#N/A,#N/A,FALSE,"UK";#N/A,#N/A,FALSE,"RCF";#N/A,#N/A,FALSE,"Intercable CZ";#N/A,#N/A,FALSE,"Interkabel P"}</definedName>
    <definedName name="wrn.DCF._.Only.Gen" hidden="1">{#N/A,#N/A,FALSE,"DCF Summary";#N/A,#N/A,FALSE,"Casema";#N/A,#N/A,FALSE,"Casema NoTel";#N/A,#N/A,FALSE,"UK";#N/A,#N/A,FALSE,"RCF";#N/A,#N/A,FALSE,"Intercable CZ";#N/A,#N/A,FALSE,"Interkabel P"}</definedName>
    <definedName name="wrn.DCF._.Only2" hidden="1">{#N/A,#N/A,FALSE,"DCF Summary";#N/A,#N/A,FALSE,"Casema";#N/A,#N/A,FALSE,"Casema NoTel";#N/A,#N/A,FALSE,"UK";#N/A,#N/A,FALSE,"RCF";#N/A,#N/A,FALSE,"Intercable CZ";#N/A,#N/A,FALSE,"Interkabel P"}</definedName>
    <definedName name="wrn.DCF._Only.Chem" hidden="1">{#N/A,#N/A,FALSE,"DCF Summary";#N/A,#N/A,FALSE,"Casema";#N/A,#N/A,FALSE,"Casema NoTel";#N/A,#N/A,FALSE,"UK";#N/A,#N/A,FALSE,"RCF";#N/A,#N/A,FALSE,"Intercable CZ";#N/A,#N/A,FALSE,"Interkabel P"}</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epartmentals." hidden="1">{#N/A,#N/A,TRUE,"Engineering Dept";#N/A,#N/A,TRUE,"Sales Dept";#N/A,#N/A,TRUE,"Marketing Dept";#N/A,#N/A,TRUE,"Admin Dept"}</definedName>
    <definedName name="wrn.Departments." hidden="1">{#N/A,#N/A,FALSE,"Engineering Dept";#N/A,#N/A,FALSE,"Sales Dept";#N/A,#N/A,FALSE,"Marketing Dept";#N/A,#N/A,FALSE,"Admin Dept";#N/A,#N/A,FALSE,"Total Operating Expenses"}</definedName>
    <definedName name="wrn.Directrep." hidden="1">{#N/A,#N/A,FALSE,"Direct"}</definedName>
    <definedName name="wrn.DISTRIBUTION." hidden="1">{"VIEW_MANCOMM_PRINT",#N/A,FALSE,"MANCOM";"VIEW_SPLIT_PRINT",#N/A,FALSE,"MANCOM";"VIEW_CUMM_SUMMARY_PRINT",#N/A,FALSE,"SUMMARY";"PRINT633",#N/A,FALSE,"633";"PRINT634",#N/A,FALSE,"634";"PRINT635",#N/A,FALSE,"635";"PRINT636",#N/A,FALSE,"636";"PRINT637",#N/A,FALSE,"637";"PRINT638",#N/A,FALSE,"638";"print645",#N/A,FALSE,"645";"print659",#N/A,FALSE,"659";"print660",#N/A,FALSE,"660";"print661",#N/A,FALSE,"661";"PRINT662",#N/A,FALSE,"662";"PRINT663",#N/A,FALSE,"663";"PRINT664",#N/A,FALSE,"664";"PRINT666",#N/A,FALSE,"666";"PRINT667",#N/A,FALSE,"667";"PRINT669",#N/A,FALSE,"669";"PRINT720",#N/A,FALSE,"720";"PRINT750",#N/A,FALSE,"750";"VIEW_DIST",#N/A,FALSE,"info"}</definedName>
    <definedName name="wrn.Eurofinance91125." hidden="1">{#N/A,#N/A,TRUE,"Fields";#N/A,#N/A,TRUE,"Sens"}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 hidden="1">{#N/A,#N/A,FALSE,"NBU rates 1999"}</definedName>
    <definedName name="wrn.ExecSumms." hidden="1">{#N/A,#N/A,TRUE,"ExecSummary";#N/A,#N/A,TRUE,"ExecSummaryCosts";#N/A,#N/A,TRUE,"ExecSummaryRent"}</definedName>
    <definedName name="wrn.External._.3._.column." hidden="1">{"Ext-OpProfits-3c",#N/A,FALSE,"OpProfits";"Ext-NewB-3c",#N/A,FALSE,"NewBus";"Ext-AchP-3c",#N/A,FALSE,"AchProfit";"Ext-EV slide",#N/A,FALSE,"EVAnalysis";"Ext-NBvol",#N/A,FALSE,"NewB"}</definedName>
    <definedName name="wrn.External._.5._.column." hidden="1">{"Ext-OpProfits-5c",#N/A,FALSE,"OpProfits";"Ext-NewB-5c",#N/A,FALSE,"NewBus";"Ext-AchP-5c",#N/A,FALSE,"AchProfit";"Ext-EV slide",#N/A,FALSE,"EVAnalysis";"Ext-NBvol",#N/A,FALSE,"NewB"}</definedName>
    <definedName name="wrn.Filter." hidden="1">{#N/A,#N/A,FALSE,"Assump2";#N/A,#N/A,FALSE,"Income2";#N/A,#N/A,FALSE,"Balance2";#N/A,#N/A,FALSE,"DCF Filter";#N/A,#N/A,FALSE,"Trans Assump2";#N/A,#N/A,FALSE,"Combined Income2";#N/A,#N/A,FALSE,"Combined Balance2"}</definedName>
    <definedName name="wrn.Financials." hidden="1">{#N/A,#N/A,TRUE,"Balance Sheet";#N/A,#N/A,TRUE,"Income Statement";#N/A,#N/A,TRUE,"Statement of Cash Flows";#N/A,#N/A,TRUE,"Key Indicators"}</definedName>
    <definedName name="wrn.Financials_long." hidden="1">{"IS",#N/A,FALSE,"Financials2 (Expanded)";"bsa",#N/A,FALSE,"Financials2 (Expanded)";"BS",#N/A,FALSE,"Financials2 (Expanded)";"CF",#N/A,FALSE,"Financials2 (Expanded)"}</definedName>
    <definedName name="wrn.First._.estimate." hidden="1">{#N/A,#N/A,FALSE,"1st est schs 1.1 &amp; 1.2";#N/A,#N/A,FALSE,"1st est sch 1.3";#N/A,#N/A,FALSE,"1st est schs 2.1 &amp; 2.2";#N/A,#N/A,FALSE,"1st est schs 2.1 &amp; 2.2";#N/A,#N/A,FALSE,"1st est sch 3 ";#N/A,#N/A,FALSE,"1st est sch 4"}</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ixed._.Assets._.Note._.and._.Depreciation." hidden="1">{#N/A,#N/A,FALSE,"FA_1";#N/A,#N/A,FALSE,"Dep'n SE";#N/A,#N/A,FALSE,"Dep'n FC"}</definedName>
    <definedName name="wrn.Forecast." hidden="1">{#N/A,#N/A,FALSE,"Summary";#N/A,#N/A,FALSE,"Schedule";#N/A,#N/A,FALSE,"Revenue";#N/A,#N/A,FALSE,"Costs";#N/A,#N/A,FALSE,"Plant Sch";#N/A,#N/A,FALSE,"Plant Cost";#N/A,#N/A,FALSE,"Labour"}</definedName>
    <definedName name="wrn.full." hidden="1">{"vi1",#N/A,FALSE,"Pagcc";"vi2",#N/A,FALSE,"Pagcc";"vi3",#N/A,FALSE,"Pagcc";"vi4",#N/A,FALSE,"Pagcc";"vi5",#N/A,FALSE,"Pagcc";#N/A,#N/A,FALSE,"Contribution"}</definedName>
    <definedName name="wrn.Full._.IAS._.STATEMENTS." hidden="1">{"IASBS",#N/A,FALSE,"IAS";"IASPL",#N/A,FALSE,"IAS";#N/A,#N/A,FALSE,"CF DIR";"IASNotes",#N/A,FALSE,"IAS";#N/A,#N/A,FALSE,"FA_1";#N/A,#N/A,FALSE,"Dep'n FC";#N/A,#N/A,FALSE,"Dep'n SE";#N/A,#N/A,FALSE,"Inv_1";#N/A,#N/A,FALSE,"NMG";#N/A,#N/A,FALSE,"Recon";#N/A,#N/A,FALSE,"EPS"}</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Print._.Out." hidden="1">{"Cover Sheet",#N/A,TRUE,"Cover Sheet";"Summary",#N/A,TRUE,"Summary";"Historic Financials",#N/A,TRUE,"Historic Financials";"Assumptions",#N/A,TRUE,"Assumptions";"Financial Statements",#N/A,TRUE,"Financial Statements";"Valuation",#N/A,TRUE,"Valuation";"Ratios",#N/A,TRUE,"Ratios"}</definedName>
    <definedName name="wrn.Full._.Print._.Out._1" hidden="1">{"Cover Sheet",#N/A,TRUE,"Cover Sheet";"Summary",#N/A,TRUE,"Summary";"Historic Financials",#N/A,TRUE,"Historic Financials";"Assumptions",#N/A,TRUE,"Assumptions";"Financial Statements",#N/A,TRUE,"Financial Statements";"Valuation",#N/A,TRUE,"Valuation";"Ratios",#N/A,TRUE,"Ratios"}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TRAIL." hidden="1">{"IAS Mapping",#N/A,FALSE,"RSA_FS";#N/A,#N/A,FALSE,"CHECK!";#N/A,#N/A,FALSE,"Recon";#N/A,#N/A,FALSE,"NMG";#N/A,#N/A,FALSE,"Journals";"AnalRSA",#N/A,FALSE,"PL-Anal";"AnalIAS",#N/A,FALSE,"PL-Anal";#N/A,#N/A,FALSE,"COS"}</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glc." hidden="1">{"glcbs",#N/A,FALSE,"GLCBS";"glccsbs",#N/A,FALSE,"GLCCSBS";"glcis",#N/A,FALSE,"GLCIS";"glccsis",#N/A,FALSE,"GLCCSIS";"glcrat1",#N/A,FALSE,"GLC-ratios1"}</definedName>
    <definedName name="wrn.glcpromonte." hidden="1">{"glc1",#N/A,FALSE,"GLC";"glc2",#N/A,FALSE,"GLC";"glc3",#N/A,FALSE,"GLC";"glc4",#N/A,FALSE,"GLC";"glc5",#N/A,FALSE,"GLC"}</definedName>
    <definedName name="wrn.GRAPHS." hidden="1">{#N/A,#N/A,FALSE,"ACQ_GRAPHS";#N/A,#N/A,FALSE,"T_1 GRAPHS";#N/A,#N/A,FALSE,"T_2 GRAPHS";#N/A,#N/A,FALSE,"COMB_GRAPHS"}</definedName>
    <definedName name="wrn.GRP._.2004final." hidden="1">{#N/A,#N/A,TRUE,"Cover";#N/A,#N/A,TRUE,"Cover";#N/A,#N/A,TRUE,"Contents";#N/A,#N/A,TRUE,"Check";#N/A,#N/A,TRUE,"Group";#N/A,#N/A,TRUE,"BS";#N/A,#N/A,TRUE,"IS";#N/A,#N/A,TRUE,"CFS";#N/A,#N/A,TRUE,"SCE";#N/A,#N/A,TRUE,"Cash";#N/A,#N/A,TRUE,"AR";#N/A,#N/A,TRUE,"INV";#N/A,#N/A,TRUE,"URP";#N/A,#N/A,TRUE,"LTI";#N/A,#N/A,TRUE,"CA";#N/A,#N/A,TRUE,"PPE";#N/A,#N/A,TRUE,"AP";#N/A,#N/A,TRUE,"Borrowings";#N/A,#N/A,TRUE,"Interest";#N/A,#N/A,TRUE,"ITrec";#N/A,#N/A,TRUE,"ShareCapital";#N/A,#N/A,TRUE,"Contingencies";#N/A,#N/A,TRUE,"SEv"}</definedName>
    <definedName name="wrn.HEAT." hidden="1">{#N/A,#N/A,FALSE,"Heat";#N/A,#N/A,FALSE,"DCF";#N/A,#N/A,FALSE,"LBO";#N/A,#N/A,FALSE,"A";#N/A,#N/A,FALSE,"C";#N/A,#N/A,FALSE,"impd";#N/A,#N/A,FALSE,"Accr-Dilu"}</definedName>
    <definedName name="wrn.Help." hidden="1">{#N/A,#N/A,TRUE,"MAP";#N/A,#N/A,TRUE,"STEPS";#N/A,#N/A,TRUE,"RULES"}</definedName>
    <definedName name="wrn.Hochrechnung." hidden="1">{"Ergebnis",#N/A,FALSE,"HORE 1997_01ST";"Steuern",#N/A,FALSE,"HORE 1997_01ST"}</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cremental." hidden="1">{"Incremental_Cashflows",#N/A,FALSE,"BP Amoco Summary";"Incremental_Economics",#N/A,FALSE,"BP Amoco Summary"}</definedName>
    <definedName name="wrn.INDEPS." hidden="1">{"page1",#N/A,FALSE,"TIND_CC1";"page2",#N/A,FALSE,"TIND_CC1";"page3",#N/A,FALSE,"TIND_CC1";"page4",#N/A,FALSE,"TIND_CC1";"page5",#N/A,FALSE,"TIND_CC1"}</definedName>
    <definedName name="wrn.Inflation._.factors._.used." hidden="1">{#N/A,#N/A,FALSE,"Infl_fact"}</definedName>
    <definedName name="wrn.Inputs." hidden="1">{"Inflation-BaseYear",#N/A,FALSE,"Inputs"}</definedName>
    <definedName name="wrn.inputs1" hidden="1">{"Inflation-BaseYear",#N/A,FALSE,"Inputs"}</definedName>
    <definedName name="wrn.Internal." hidden="1">{"Int-OpProfits",#N/A,FALSE,"OpProfits";"Int-NewB",#N/A,FALSE,"NewBus";"Int-AchP",#N/A,FALSE,"AchProfit";"Ext-EV slide",#N/A,FALSE,"EVAnalysis";"Ext-NBvol",#N/A,FALSE,"NewB"}</definedName>
    <definedName name="wrn.international." hidden="1">{"sweden",#N/A,FALSE,"Sweden";"germany",#N/A,FALSE,"Germany";"portugal",#N/A,FALSE,"Portugal";"belgium",#N/A,FALSE,"Belgium";"japan",#N/A,FALSE,"Japan ";"italy",#N/A,FALSE,"Italy";"spain",#N/A,FALSE,"Spain";"korea",#N/A,FALSE,"Korea"}</definedName>
    <definedName name="wrn.Inv._.mix._.detail."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wrn.Inv._.mix._.summary." hidden="1">{#N/A,#N/A,FALSE,"Group(ahp)";#N/A,#N/A,FALSE,"Group (2) for 95";#N/A,#N/A,FALSE,"London";#N/A,#N/A,FALSE,"UK";#N/A,#N/A,FALSE,"Intl";#N/A,#N/A,FALSE,"Curepool";#N/A,#N/A,FALSE,"Victoire";#N/A,#N/A,FALSE,"Delta Lloyd";#N/A,#N/A,FALSE,"Belgium";#N/A,#N/A,FALSE,"US";#N/A,#N/A,FALSE,"Canada"}</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s." hidden="1">{#N/A,#N/A,TRUE,"uw ratios";#N/A,#N/A,TRUE,"trad result"}</definedName>
    <definedName name="wrn.Kapital._.Kons." hidden="1">{#N/A,#N/A,FALSE,"Kons-Buchungen"}</definedName>
    <definedName name="wrn.KH."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0"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2"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3"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5"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6"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2"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3"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5"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6"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7"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8"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9"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_1.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2"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3"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5"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6"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7"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op.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p"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_1.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rp"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rp.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list" hidden="1">{#N/A,#N/A,FALSE,"101"}</definedName>
    <definedName name="wrn.list." hidden="1">{#N/A,#N/A,FALSE,"101"}</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enadżer._.widoków." hidden="1">{#N/A,#N/A,FALSE,"Wyniki"}</definedName>
    <definedName name="wrn.merge." hidden="1">{#N/A,#N/A,FALSE,"IPO";#N/A,#N/A,FALSE,"DCF";#N/A,#N/A,FALSE,"LBO";#N/A,#N/A,FALSE,"MULT_VAL";#N/A,#N/A,FALSE,"Status Quo";#N/A,#N/A,FALSE,"Recap"}</definedName>
    <definedName name="wrn.mobile." hidden="1">{#N/A,#N/A,FALSE,"Denmark";#N/A,#N/A,FALSE,"Denmark"}</definedName>
    <definedName name="wrn.Month_Only."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wrn.newest." hidden="1">{#N/A,#N/A,TRUE,"TS";#N/A,#N/A,TRUE,"Combo";#N/A,#N/A,TRUE,"FAIR";#N/A,#N/A,TRUE,"RBC";#N/A,#N/A,TRUE,"xxxx"}</definedName>
    <definedName name="wrn.Normal." hidden="1">{"Sales_Norm",#N/A,FALSE,"Summary SALES";"Ebit_Norm",#N/A,FALSE,"Summary EBIT";"France_Norm",#N/A,FALSE,"France";"Holland_Norm",#N/A,FALSE,"Holland";"Scorex_Norm",#N/A,FALSE,"Scorex";"SAfrica_Norm",#N/A,FALSE,"South Africa";"SEurope_Norm",#N/A,FALSE,"SEurope";"Germany_Norm",#N/A,FALSE,"Germany";"Newmarkets_Norm",#N/A,FALSE,"Newmarkets";"Bureau_Norm",#N/A,FALSE,"Bureau";"HOffice_Norm",#N/A,FALSE,"Hoffice ";"LAmerica_Norm",#N/A,FALSE,"LAmerica";"Asiapac_Norm",#N/A,FALSE,"Asiapacific";"Interest_Norm",#N/A,FALSE,"Interest";"Recharges_Norm",#N/A,FALSE,"Recharges";"Marketing_Norm",#N/A,FALSE,"Marketing";"MinRoyalty_Norm",#N/A,FALSE,"Gua min royalty"}</definedName>
    <definedName name="wrn.NWN_QUOTES." hidden="1">{"NWN_Q1810",#N/A,FALSE,"Q1810_1.V";"NWN_Q1412",#N/A,FALSE,"Q1412_1"}</definedName>
    <definedName name="wrn.Obaly." hidden="1">{#N/A,#N/A,FALSE,"Obaly celkové"}</definedName>
    <definedName name="wrn.Operation._.Pack." hidden="1">{#N/A,#N/A,FALSE,"Schedule 01";#N/A,#N/A,FALSE,"Schedule 02";#N/A,#N/A,FALSE,"Schedule 03";#N/A,#N/A,FALSE,"Schedule 04";#N/A,#N/A,FALSE,"Schedule 05";#N/A,#N/A,FALSE,"Schedule 06"}</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utlooks." hidden="1">{#N/A,#N/A,FALSE,"12 mths 98 Outlook Curr";#N/A,#N/A,FALSE,"12 mths 98 Outlook £";#N/A,#N/A,FALSE,"Int Outlook "}</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 hidden="1">{#N/A,#N/A,FALSE,"Comps";#N/A,#N/A,FALSE,"Finantials NL";#N/A,#N/A,FALSE,"Exit NL (2)";#N/A,#N/A,FALSE,"Finantials ZapSib ";#N/A,#N/A,FALSE,"Exit ZS (2)"}</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ing._.Compco." hidden="1">{"financials",#N/A,TRUE,"6_30_96";"footnotes",#N/A,TRUE,"6_30_96";"valuation",#N/A,TRUE,"6_30_96"}</definedName>
    <definedName name="wrn.pers" hidden="1">{"DRUCK",#N/A,FALSE,"HOCHRECHNUNG KORR!!!!";"DRUCK",#N/A,FALSE,"BUDGET 1997_98";"DRUCK",#N/A,FALSE,"PL KUM";"DRUCK",#N/A,FALSE,"VJ KUM";"DRUCK",#N/A,FALSE,"IST KUM KORR!!!"}</definedName>
    <definedName name="wrn.PL._.Analysis." hidden="1">{"AnalRSA",#N/A,TRUE,"PL-Anal";"AnalIAS",#N/A,TRUE,"PL-Anal"}</definedName>
    <definedName name="wrn.PL._.Report." hidden="1">{"Page1",#N/A,TRUE,"P&amp;LREP";"PAge 2",#N/A,TRUE,"P&amp;LREP";"Page3",#N/A,TRUE,"P&amp;LREP";"Page4",#N/A,TRUE,"P&amp;LREP"}</definedName>
    <definedName name="wrn.plan._.all._.sheets." hidden="1">{#N/A,#N/A,FALSE,"Centre";#N/A,#N/A,FALSE,"Int Outlook ";#N/A,#N/A,FALSE,"Central financing per plan";#N/A,#N/A,FALSE,"SI Detail";#N/A,#N/A,FALSE,"Specials";#N/A,#N/A,FALSE,"Profit share";#N/A,#N/A,FALSE,"Swiss issue";#N/A,#N/A,FALSE,"1998 plan unall exps";#N/A,#N/A,FALSE,"Central financing per UK re ind";#N/A,#N/A,FALSE,"France finance costs";#N/A,#N/A,FALSE,"ctrfin 97 plan";#N/A,#N/A,FALSE,"plan rates";#N/A,#N/A,FALSE,"998 ave roe";#N/A,#N/A,FALSE,"Inputs"}</definedName>
    <definedName name="wrn.plbscf." hidden="1">{"p_l",#N/A,FALSE,"Summary Accounts"}</definedName>
    <definedName name="wrn.Pokus._.1." hidden="1">{#N/A,#N/A,FALSE,"Kalkulace"}</definedName>
    <definedName name="wrn.pokus._.2." hidden="1">{#N/A,#N/A,FALSE,"Kalkulace"}</definedName>
    <definedName name="wrn.PrimeCo." hidden="1">{"print 1",#N/A,FALSE,"PrimeCo PCS";"print 2",#N/A,FALSE,"PrimeCo PCS";"valuation",#N/A,FALSE,"PrimeCo PCS"}</definedName>
    <definedName name="wrn.Print." hidden="1">{"vi1",#N/A,FALSE,"Financial Statements";"vi2",#N/A,FALSE,"Financial Statements";#N/A,#N/A,FALSE,"DCF"}</definedName>
    <definedName name="wrn.print._.all." hidden="1">{"sum of the parts",#N/A,FALSE,"Sum-of-the-Parts";"LBO analysis",#N/A,FALSE,"LBO P&amp;L";"p&amp;L",#N/A,FALSE,"LBO P&amp;L";"cash flow",#N/A,FALSE,"CF";"cap struct",#N/A,FALSE,"LBO P&amp;L";"equity return",#N/A,FALSE,"return"}</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graphs." hidden="1">{"cap_structure",#N/A,FALSE,"Graph-Mkt Cap";"price",#N/A,FALSE,"Graph-Price";"ebit",#N/A,FALSE,"Graph-EBITDA";"ebitda",#N/A,FALSE,"Graph-EBITDA"}</definedName>
    <definedName name="wrn.print._.raw._.data._.entry." hidden="1">{"inputs raw data",#N/A,TRUE,"INPUT"}</definedName>
    <definedName name="wrn.Print._.Reports." hidden="1">{#N/A,#N/A,FALSE,"FX";#N/A,#N/A,FALSE,"FX Mov";#N/A,#N/A,FALSE,"Terr Ratio Ytd";#N/A,#N/A,FALSE,"Ccy Ratio Ytd";#N/A,#N/A,FALSE,"Terr Ratio Mov";#N/A,#N/A,FALSE,"Ccy Ratio Mov";#N/A,#N/A,FALSE,"Indices";#N/A,#N/A,FALSE,"Terr Ratio Mov Yr End";#N/A,#N/A,FALSE,"Ccy Ratio Mov Yr End";#N/A,#N/A,FALSE,"Currency benchmark"}</definedName>
    <definedName name="wrn.Print._.Results._.A4." hidden="1">{"Valuation",#N/A,TRUE,"Valuation Summary";"Financial Statements",#N/A,TRUE,"Results";"Results",#N/A,TRUE,"Results";"Ratios",#N/A,TRUE,"Results";"P2 Summary",#N/A,TRUE,"Results"}</definedName>
    <definedName name="wrn.Print._.Results._.Letter." hidden="1">{"Valuation - Letter",#N/A,TRUE,"Valuation Summary";"Financial Statements - Letter",#N/A,TRUE,"Results";"Results - Letter",#N/A,TRUE,"Results";"Ratios - Letter",#N/A,TRUE,"Results";"P2 Summary - Letter",#N/A,TRUE,"Results"}</definedName>
    <definedName name="wrn.print._.summary._.sheets." hidden="1">{"summary1",#N/A,TRUE,"Comps";"summary2",#N/A,TRUE,"Comps";"summary3",#N/A,TRUE,"Comps"}</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Buyer." hidden="1">{#N/A,"DR",FALSE,"increm pf";#N/A,"MAMSI",FALSE,"increm pf";#N/A,"MAXI",FALSE,"increm pf";#N/A,"PCAM",FALSE,"increm pf";#N/A,"PHSV",FALSE,"increm pf";#N/A,"SIE",FALSE,"increm pf"}</definedName>
    <definedName name="wrn.Print_full." hidden="1">{#N/A,#N/A,TRUE,"Isa Cu";#N/A,#N/A,TRUE,"Isa Pb-Zn";#N/A,#N/A,TRUE,"Isa Major";#N/A,#N/A,TRUE,"Isa Other";#N/A,#N/A,TRUE,"EHM";#N/A,#N/A,TRUE,"MRM";#N/A,#N/A,TRUE,"OCB";#N/A,#N/A,TRUE,"NCP";#N/A,#N/A,TRUE,"CCP";#N/A,#N/A,TRUE,"CRL";#N/A,#N/A,TRUE,"MSS";#N/A,#N/A,TRUE,"Gold";#N/A,#N/A,TRUE,"Exploration";#N/A,#N/A,TRUE,"S.America";#N/A,#N/A,TRUE,"BRM";#N/A,#N/A,TRUE,"BZL";#N/A,#N/A,TRUE,"MHD";#N/A,#N/A,TRUE,"HQ"}</definedName>
    <definedName name="wrn.Print_Index." hidden="1">{"Index",#N/A,FALSE,"Index"}</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95and96." hidden="1">{"print95",#N/A,FALSE,"1995E.XLS";"print96",#N/A,FALSE,"1996E.XLS"}</definedName>
    <definedName name="wrn.proba." hidden="1">{#N/A,#N/A,FALSE,"Ф_10";#N/A,#N/A,FALSE,"Ф_10v"}</definedName>
    <definedName name="wrn.Projections._.with._.Percentages." hidden="1">{"With%_99",#N/A,TRUE,"Sep-99";"With%_00",#N/A,TRUE,"Sep-00";"With%_01",#N/A,TRUE,"Sep-01"}</definedName>
    <definedName name="wrn.Projections._.without._.Percentages." hidden="1">{"WO%_99",#N/A,TRUE,"Sep-99";"WO%_00",#N/A,TRUE,"Sep-00";"WO%_01",#N/A,TRUE,"Sep-01"}</definedName>
    <definedName name="wrn.Projections._.without._.Salaries." hidden="1">{"WOS_99",#N/A,TRUE,"Sep-99";"WOS_00",#N/A,TRUE,"Sep-00";"WOS_01",#N/A,TRUE,"Sep-01"}</definedName>
    <definedName name="wrn.Pump." hidden="1">{#N/A,#N/A,FALSE,"Assump";#N/A,#N/A,FALSE,"Income";#N/A,#N/A,FALSE,"Balance";#N/A,#N/A,FALSE,"DCF Pump";#N/A,#N/A,FALSE,"Trans Assump";#N/A,#N/A,FALSE,"Combined Income";#N/A,#N/A,FALSE,"Combined Balance"}</definedName>
    <definedName name="wrn.Purch.Plan." hidden="1">{#N/A,#N/A,FALSE,"PM req"}</definedName>
    <definedName name="wrn.Purch.Plan.2" hidden="1">{#N/A,#N/A,FALSE,"PM req"}</definedName>
    <definedName name="wrn.Qtr._.forecast." hidden="1">{#N/A,#N/A,FALSE,"Front sheet (qtr)";#N/A,#N/A,FALSE,"Investments (qtr) ";#N/A,#N/A,FALSE,"Net assets (qtr)"}</definedName>
    <definedName name="wrn.Radio." hidden="1">{#N/A,#N/A,FALSE,"Virgin Flightdeck"}</definedName>
    <definedName name="wrn.ratios." hidden="1">{"ratios",#N/A,FALSE,"Summary Accounts"}</definedName>
    <definedName name="wrn.Relevant._.Sections." hidden="1">{#N/A,#N/A,FALSE,"Summary";#N/A,#N/A,FALSE,"Program Scheme";#N/A,#N/A,FALSE,"Assumptions";#N/A,#N/A,FALSE,"Development Budget";#N/A,#N/A,FALSE,"Timing";#N/A,#N/A,FALSE,"Development Costs &amp; Revenues";#N/A,#N/A,FALSE,"Cash Flow to Debt &amp; Equity"}</definedName>
    <definedName name="wrn.RELEVANTSHEETS." hidden="1">{#N/A,#N/A,FALSE,"AD_Purch";#N/A,#N/A,FALSE,"Projections";#N/A,#N/A,FALSE,"DCF";#N/A,#N/A,FALSE,"Mkt Val"}</definedName>
    <definedName name="wrn.report." hidden="1">{"a",#N/A,FALSE,"Fact Sheet";"a",#N/A,FALSE,"DCFEVA";"a",#N/A,FALSE,"Statements";"a",#N/A,FALSE,"Quarterly";"a",#N/A,FALSE,"Q Grid";"a",#N/A,FALSE,"Stockval";"a",#N/A,FALSE,"DDM"}</definedName>
    <definedName name="wrn.REPORT1." hidden="1">{"PRINTME",#N/A,FALSE,"FINAL-10"}</definedName>
    <definedName name="wrn.Responsabili." hidden="1">{"cuccoli",#N/A,FALSE,"SintFixed (3)";"tagliarini",#N/A,FALSE,"SintFixed (3)";"savino",#N/A,FALSE,"SintFixed (3)";"donati",#N/A,FALSE,"SintFixed (3)";"gatti",#N/A,FALSE,"SintFixed (3)";"sigliano",#N/A,FALSE,"SintFixed (3)"}</definedName>
    <definedName name="wrn.RESULTS." hidden="1">{#N/A,#N/A,FALSE,"HMF";#N/A,#N/A,FALSE,"FACIL";#N/A,#N/A,FALSE,"HMFINANCE";#N/A,#N/A,FALSE,"HMEUROPE";#N/A,#N/A,FALSE,"HHAB CONSO";#N/A,#N/A,FALSE,"PAB";#N/A,#N/A,FALSE,"MMC";#N/A,#N/A,FALSE,"THAI";#N/A,#N/A,FALSE,"SINPA";#N/A,#N/A,FALSE,"POLAND"}</definedName>
    <definedName name="wrn.RSA._.BS._.and._.PL." hidden="1">{"BS1",#N/A,TRUE,"RSA_FS";"BS2",#N/A,TRUE,"RSA_FS";"BS3",#N/A,TRUE,"RSA_FS"}</definedName>
    <definedName name="wrn.sales." hidden="1">{"sales",#N/A,FALSE,"Sales";"sales existing",#N/A,FALSE,"Sales";"sales rd1",#N/A,FALSE,"Sales";"sales rd2",#N/A,FALSE,"Sales"}</definedName>
    <definedName name="wrn.Sapere." hidden="1">{"risultati",#N/A,FALSE,"Revenues";"ricavi advertising",#N/A,FALSE,"Revenues";"ricavi e-commerce",#N/A,FALSE,"Revenues";"ricavi fee for content",#N/A,FALSE,"Revenues";"costi infrastruttura",#N/A,FALSE,"Costi";"altri costi",#N/A,FALSE,"Costi";"conto economico",#N/A,FALSE,"Conto economico";"Flussi di cassa",#N/A,FALSE,"FCF"}</definedName>
    <definedName name="wrn.Schedule_1A." hidden="1">{"Schedule_IA",#N/A,FALSE,"I-A"}</definedName>
    <definedName name="wrn.Schedule_1B." hidden="1">{"Schedule_1B",#N/A,FALSE,"I-B"}</definedName>
    <definedName name="wrn.Schedule_1C." hidden="1">{"Schedule_1C",#N/A,FALSE,"I-C"}</definedName>
    <definedName name="wrn.Schedule_1D." hidden="1">{"Schedule_1D",#N/A,FALSE,"I-D"}</definedName>
    <definedName name="wrn.Schedule_I." hidden="1">{"Schedule_I",#N/A,FALSE,"I"}</definedName>
    <definedName name="wrn.sensitivity." hidden="1">{"sensitivity",#N/A,FALSE,"Sensitivity"}</definedName>
    <definedName name="wrn.Short." hidden="1">{#N/A,#N/A,TRUE,"ExecSummary";#N/A,#N/A,TRUE,"Main";#N/A,#N/A,TRUE,"Finance";#N/A,#N/A,TRUE,"EstCashflow"}</definedName>
    <definedName name="wrn.Short._.Form._.Print._.Out." hidden="1">{"Cover Sheet",#N/A,TRUE,"Cover Sheet";"Summary",#N/A,TRUE,"Summary";"Financial Statements",#N/A,TRUE,"Financial Statements";"Valuation",#N/A,TRUE,"Valuation"}</definedName>
    <definedName name="wrn.Short._.Form._.Print._.Out._1" hidden="1">{"Cover Sheet",#N/A,TRUE,"Cover Sheet";"Summary",#N/A,TRUE,"Summary";"Financial Statements",#N/A,TRUE,"Financial Statements";"Valuation",#N/A,TRUE,"Valuation"}</definedName>
    <definedName name="wrn.ShortPlusExecSumms." hidden="1">{#N/A,#N/A,TRUE,"ExecSummary";#N/A,#N/A,TRUE,"ExecSummaryCosts";#N/A,#N/A,TRUE,"ExecSummaryRent";#N/A,#N/A,TRUE,"Main";#N/A,#N/A,TRUE,"Finance";#N/A,#N/A,TRUE,"EstCashflow"}</definedName>
    <definedName name="wrn.ss." hidden="1">{#N/A,#N/A,TRUE,"grp1";#N/A,#N/A,TRUE,"grp2";#N/A,#N/A,TRUE,"grp3";#N/A,#N/A,TRUE,"ukytd";#N/A,#N/A,TRUE,"ukqtr";#N/A,#N/A,TRUE,"F";#N/A,#N/A,TRUE,"NL";#N/A,#N/A,TRUE,"CUE";#N/A,#N/A,TRUE,"USAytd";#N/A,#N/A,TRUE,"USAqtr";#N/A,#N/A,TRUE,"Can";#N/A,#N/A,TRUE,"CUO"}</definedName>
    <definedName name="wrn.Standard." hidden="1">{"DRUCK",#N/A,FALSE,"HOCHRECHNUNG KORR!!!!";"DRUCK",#N/A,FALSE,"BUDGET 1997_98";"DRUCK",#N/A,FALSE,"PL KUM";"DRUCK",#N/A,FALSE,"VJ KUM";"DRUCK",#N/A,FALSE,"IST KUM KORR!!!"}</definedName>
    <definedName name="wrn.StandardLessInterestCalc." hidden="1">{#N/A,#N/A,TRUE,"ExecSummary";#N/A,#N/A,TRUE,"ProjDescription";#N/A,#N/A,TRUE,"CostSummary";#N/A,#N/A,TRUE,"Main";#N/A,#N/A,TRUE,"Finance";#N/A,#N/A,TRUE,"EstCashflow";#N/A,#N/A,TRUE,"ExhibitA";#N/A,#N/A,TRUE,"CTD"}</definedName>
    <definedName name="wrn.StandardPlusInterestCalc." hidden="1">{#N/A,#N/A,TRUE,"ExecSummary";#N/A,#N/A,TRUE,"ProjDescription";#N/A,#N/A,TRUE,"CostSummary";#N/A,#N/A,TRUE,"Main";#N/A,#N/A,TRUE,"Finance";#N/A,#N/A,TRUE,"EstCashflow";#N/A,#N/A,TRUE,"RevenueCalculation";#N/A,#N/A,TRUE,"InterestCalculation";#N/A,#N/A,TRUE,"COLCalculation";#N/A,#N/A,TRUE,"ExhibitA";#N/A,#N/A,TRUE,"CTD"}</definedName>
    <definedName name="wrn.Summary." hidden="1">{#N/A,#N/A,FALSE,"Capex";#N/A,#N/A,FALSE,"Market"}</definedName>
    <definedName name="wrn.Summary._.Sheet._.only." hidden="1">{#N/A,#N/A,FALSE,"Summary"}</definedName>
    <definedName name="wrn.Summary._1" hidden="1">{"Summary",#N/A,FALSE,"Summary"}</definedName>
    <definedName name="wrn.SVERKA." hidden="1">{#N/A,#N/A,FALSE,"REC";#N/A,#N/A,FALSE,"ASSETS";#N/A,#N/A,FALSE,"LIABILITIES";#N/A,#N/A,FALSE,"P&amp;L";#N/A,#N/A,FALSE,"FUNDS";#N/A,#N/A,FALSE,"CASH";#N/A,#N/A,FALSE,"1,2";#N/A,#N/A,FALSE,"3";#N/A,#N/A,FALSE,"4";#N/A,#N/A,FALSE,"5,6,7";#N/A,#N/A,FALSE,"8,9"}</definedName>
    <definedName name="wrn.sverka1" hidden="1">{#N/A,#N/A,FALSE,"REC";#N/A,#N/A,FALSE,"ASSETS";#N/A,#N/A,FALSE,"LIABILITIES";#N/A,#N/A,FALSE,"P&amp;L";#N/A,#N/A,FALSE,"FUNDS";#N/A,#N/A,FALSE,"CASH";#N/A,#N/A,FALSE,"1,2";#N/A,#N/A,FALSE,"3";#N/A,#N/A,FALSE,"4";#N/A,#N/A,FALSE,"5,6,7";#N/A,#N/A,FALSE,"8,9"}</definedName>
    <definedName name="wrn.Table._.A." hidden="1">{"Table A,pg 1",#N/A,FALSE,"Table A-Prov GUR";"Table A,pg 2",#N/A,FALSE,"Table A-Prov GUR"}</definedName>
    <definedName name="wrn.Table._.A1." hidden="1">{"Table A1,pg 1",#N/A,FALSE,"Table A1-Net Prov Res";"Table A1,pg 2",#N/A,FALSE,"Table A1-Net Prov Res"}</definedName>
    <definedName name="wrn.test." hidden="1">{"Valuation_Common",#N/A,FALSE,"Valuation"}</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ransPrcd_123." hidden="1">{#N/A,#N/A,TRUE,"TransPrcd 1";#N/A,#N/A,TRUE,"TransPrcd 2";#N/A,#N/A,TRUE,"TransPrcd 3"}</definedName>
    <definedName name="wrn.Übersichten." hidden="1">{"ÜBER mit FW","THU",FALSE,"HORE KORR!";"ÜBERSICHT",#N/A,FALSE,"BUDGET 1997_98";"ÜBER mit FW",#N/A,FALSE,"IST KUM KORR!!";"ÜBERSICHT",#N/A,FALSE,"PLAN KUM"}</definedName>
    <definedName name="wrn.UTL._.Position." hidden="1">{"UTL effect",#N/A,FALSE,"Sensitivity"}</definedName>
    <definedName name="wrn.VALUATION." hidden="1">{#N/A,#N/A,FALSE,"Valuation Assumptions";#N/A,#N/A,FALSE,"Summary";#N/A,#N/A,FALSE,"DCF";#N/A,#N/A,FALSE,"Valuation";#N/A,#N/A,FALSE,"WACC";#N/A,#N/A,FALSE,"UBVH";#N/A,#N/A,FALSE,"Free Cash Flow"}</definedName>
    <definedName name="wrn.Wacc." hidden="1">{"Area1",#N/A,FALSE,"OREWACC";"Area2",#N/A,FALSE,"OREWACC"}</definedName>
    <definedName name="wrn.wicor." hidden="1">{#N/A,#N/A,FALSE,"FACTSHEETS";#N/A,#N/A,FALSE,"pump";#N/A,#N/A,FALSE,"filter"}</definedName>
    <definedName name="wrn.Wright."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xrates." hidden="1">{#N/A,#N/A,FALSE,"1996";#N/A,#N/A,FALSE,"1995";#N/A,#N/A,FALSE,"1994"}</definedName>
    <definedName name="wrn.Баланс." hidden="1">{#N/A,#N/A,FALSE,"БАЛАНС"}</definedName>
    <definedName name="wrn.БЕЛЕБЕЕВСКИЙ._.МОЛОЧНЫЙ._.КОМБИНАТ." hidden="1">{#N/A,#N/A,TRUE,"Лист1"}</definedName>
    <definedName name="wrn.вввв." hidden="1">{#N/A,#N/A,TRUE,"Торги"}</definedName>
    <definedName name="wrn.ку." hidden="1">{#N/A,#N/A,TRUE,"Лист2"}</definedName>
    <definedName name="wrn.МСК._.бюджет._.2002._.к._.Правлению._.14.01.02." hidden="1">{#N/A,#N/A,TRUE,"Титул";#N/A,#N/A,TRUE,"Огл";#N/A,#N/A,TRUE,"Résultats";#N/A,#N/A,TRUE,"TOTAL";#N/A,#N/A,TRUE,"TotalBiens";#N/A,#N/A,TRUE,"МосНедв";#N/A,#N/A,TRUE,"801";#N/A,#N/A,TRUE,"801с";#N/A,#N/A,TRUE,"803";#N/A,#N/A,TRUE,"808";#N/A,#N/A,TRUE,"807";#N/A,#N/A,TRUE,"802";#N/A,#N/A,TRUE,"701";#N/A,#N/A,TRUE,"806";#N/A,#N/A,TRUE,"Реклама";#N/A,#N/A,TRUE,"ЛизИм-во";#N/A,#N/A,TRUE,"Гост";#N/A,#N/A,TRUE,"Выставки";#N/A,#N/A,TRUE,"Земля";#N/A,#N/A,TRUE,"804";#N/A,#N/A,TRUE,"805-810";#N/A,#N/A,TRUE,"06";#N/A,#N/A,TRUE,"05";#N/A,#N/A,TRUE,"Им-воОткрД";#N/A,#N/A,TRUE,"ДрИм-во";#N/A,#N/A,TRUE,"TotalДМС";#N/A,#N/A,TRUE,"TotalГО";#N/A,#N/A,TRUE,"1501";#N/A,#N/A,TRUE,"1502";#N/A,#N/A,TRUE,"1301";#N/A,#N/A,TRUE,"207-208";#N/A,#N/A,TRUE,"ФинРиск";#N/A,#N/A,TRUE,"ГОсуд";#N/A,#N/A,TRUE,"ГОфизлиц";#N/A,#N/A,TRUE,"ГОнот";#N/A,#N/A,TRUE,"ГО-Гидро";#N/A,#N/A,TRUE,"ГО-АЗС";#N/A,#N/A,TRUE,"1202";#N/A,#N/A,TRUE,"1201";#N/A,#N/A,TRUE,"1302";#N/A,#N/A,TRUE,"TOTALauto";#N/A,#N/A,TRUE,"401-402";#N/A,#N/A,TRUE,"1001-1002-209";#N/A,#N/A,TRUE,"20-3 ";#N/A,#N/A,TRUE,"ПРОЧИЕ";#N/A,#N/A,TRUE,"ОтвлСр"}</definedName>
    <definedName name="wrn.МСК._.отчет._.за._.9._.месяцев._.2001._.года." hidden="1">{#N/A,#N/A,TRUE,"Титул";#N/A,#N/A,TRUE,"Огл";#N/A,#N/A,TRUE,"Актив";#N/A,#N/A,TRUE,"Пассив";#N/A,#N/A,TRUE,"TOTAL";#N/A,#N/A,TRUE,"ЧАкт";#N/A,#N/A,TRUE,"Résultats";#N/A,#N/A,TRUE,"TotalBiens";#N/A,#N/A,TRUE,"АНФ";#N/A,#N/A,TRUE,"состр";#N/A,#N/A,TRUE,"Им-воЮрЛиц (синт)";#N/A,#N/A,TRUE,"Залоги";#N/A,#N/A,TRUE,"НМС";#N/A,#N/A,TRUE,"TotalДМС";#N/A,#N/A,TRUE,"TotalГО";#N/A,#N/A,TRUE,"ГОрег";#N/A,#N/A,TRUE,"ГОмед";#N/A,#N/A,TRUE,"TOTALauto";#N/A,#N/A,TRUE,"20-3 ";#N/A,#N/A,TRUE,"39";#N/A,#N/A,TRUE,"ОтвлСр"}</definedName>
    <definedName name="wrn.МСК._.прогноз._.на._.31._.12._.01." hidden="1">{#N/A,#N/A,TRUE,"Титул";#N/A,#N/A,TRUE,"Огл";#N/A,#N/A,TRUE,"TOTAL";#N/A,#N/A,TRUE,"Résultats";#N/A,#N/A,TRUE,"TotalBiens";#N/A,#N/A,TRUE,"МосНедв";#N/A,#N/A,TRUE,"801";#N/A,#N/A,TRUE,"801с";#N/A,#N/A,TRUE,"803";#N/A,#N/A,TRUE,"808";#N/A,#N/A,TRUE,"807";#N/A,#N/A,TRUE,"802";#N/A,#N/A,TRUE,"701";#N/A,#N/A,TRUE,"806";#N/A,#N/A,TRUE,"TotalГО";#N/A,#N/A,TRUE,"1501";#N/A,#N/A,TRUE,"1301";#N/A,#N/A,TRUE,"1502";#N/A,#N/A,TRUE,"НС";#N/A,#N/A,TRUE,"TOTALauto";#N/A,#N/A,TRUE,"TotalДМС";#N/A,#N/A,TRUE,"20-3 ";#N/A,#N/A,TRUE,"39";#N/A,#N/A,TRUE,"ОтвлСр"}</definedName>
    <definedName name="wrn.остаток._.по._.822._.счету." hidden="1">{#N/A,#N/A,FALSE,"Лист1"}</definedName>
    <definedName name="wrn.Отчет." hidden="1">{#N/A,#N/A,TRUE,"Лист3"}</definedName>
    <definedName name="wrn.Печать._.всех._.форм." hidden="1">{"осн2",#N/A,FALSE,"Оснрасчет";"осн3",#N/A,FALSE,"Оснрасчет";#N/A,#N/A,FALSE,"кальк эн";#N/A,#N/A,FALSE,"накл ц";#N/A,#N/A,FALSE,"накл котельной";#N/A,#N/A,FALSE,"НАКЛ ЭНЕРГ";#N/A,#N/A,FALSE,"НАКЛ ВОДЫ"}</definedName>
    <definedName name="wrn.Прибыль._.дерев." hidden="1">{"Прибыль дерев",#N/A,FALSE,"Дерев"}</definedName>
    <definedName name="wrn.Прибыль._.ЗАП." hidden="1">{"Прибыль ЗАП",#N/A,FALSE,"ЗАП"}</definedName>
    <definedName name="wrn.Прибыль._.инстр." hidden="1">{"Прибыль инстр",#N/A,FALSE,"Инстр"}</definedName>
    <definedName name="wrn.Прибыль._.литейн." hidden="1">{"Прибыль",#N/A,FALSE,"Литейн"}</definedName>
    <definedName name="wrn.Прибыль._.механ." hidden="1">{"Прибыль механ",#N/A,FALSE,"Механ"}</definedName>
    <definedName name="wrn.Прибыль._.прессов." hidden="1">{"Прибыль пресс",#N/A,FALSE,"Прессов"}</definedName>
    <definedName name="wrn.Прибыль._.прокатн." hidden="1">{"Прибыль прокатн",#N/A,FALSE,"Прокатн"}</definedName>
    <definedName name="wrn.Прибыль._.СаМеКо." hidden="1">{"Прибыль СаМеКо",#N/A,FALSE,"Итог СаМеКо"}</definedName>
    <definedName name="wrn.Прибыль._.СМЗ." hidden="1">{"Прибыль СМЗ",#N/A,FALSE,"СМЗ"}</definedName>
    <definedName name="wrn.Прибыль._.энерг." hidden="1">{"Приибыль энерг",#N/A,FALSE,"Энерг"}</definedName>
    <definedName name="wrn.Расходы._.неуменьшающие._.базу._.налога._.на._.прибыль._.в._.1997." hidden="1">{#N/A,#N/A,FALSE,"Sheet1"}</definedName>
    <definedName name="wrn.Расчет._.валовой._.прибыли._.за._.1997._.год." hidden="1">{#N/A,#N/A,TRUE,"Лист1"}</definedName>
    <definedName name="wrn.Расчет._.налога._.на._.прибыль._.1997." hidden="1">{#N/A,#N/A,FALSE,"Sheet1"}</definedName>
    <definedName name="wrn.справка._.для._.Отдела._.МС." hidden="1">{#VALUE!,#N/A,TRUE,0}</definedName>
    <definedName name="ws" hidden="1">{#N/A,#N/A,FALSE,"Aging Summary";#N/A,#N/A,FALSE,"Ratio Analysis";#N/A,#N/A,FALSE,"Test 120 Day Accts";#N/A,#N/A,FALSE,"Tickmarks"}</definedName>
    <definedName name="wtre" hidden="1">{#N/A,#N/A,FALSE,"Aging Summary";#N/A,#N/A,FALSE,"Ratio Analysis";#N/A,#N/A,FALSE,"Test 120 Day Accts";#N/A,#N/A,FALSE,"Tickmarks"}</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w" hidden="1">{"Valuation",#N/A,TRUE,"Valuation Summary";"Financial Statements",#N/A,TRUE,"Results";"Results",#N/A,TRUE,"Results";"Ratios",#N/A,TRUE,"Results";"P2 Summary",#N/A,TRUE,"Results"}</definedName>
    <definedName name="WW59771ef0b6484771b9f1c68a61ebb37e_634390756926582979" hidden="1">#REF!</definedName>
    <definedName name="www" hidden="1">{"NWN_Q1810",#N/A,FALSE,"Q1810_1.V";"NWN_Q1412",#N/A,FALSE,"Q1412_1"}</definedName>
    <definedName name="wwwwwwwwwwww" hidden="1">{"Valuation",#N/A,TRUE,"Valuation Summary";"Financial Statements",#N/A,TRUE,"Results";"Results",#N/A,TRUE,"Results";"Ratios",#N/A,TRUE,"Results";"P2 Summary",#N/A,TRUE,"Results"}</definedName>
    <definedName name="wwwwwwwwwwwwwwwwwwwwwwwwwwww" hidden="1">{"Valuation",#N/A,TRUE,"Valuation Summary";"Financial Statements",#N/A,TRUE,"Results";"Results",#N/A,TRUE,"Results";"Ratios",#N/A,TRUE,"Results";"P2 Summary",#N/A,TRUE,"Results";"Historical data",#N/A,TRUE,"Historical Data";"P1 Inputs",#N/A,TRUE,"Forecast Drivers";"P2 Inputs",#N/A,TRUE,"Forecast Drivers"}</definedName>
    <definedName name="wywe" hidden="1">#REF!</definedName>
    <definedName name="x" hidden="1">{"Area1",#N/A,FALSE,"OREWACC";"Area2",#N/A,FALSE,"OREWACC"}</definedName>
    <definedName name="xcvfbf" hidden="1">{"'Sheet1'!$A$12:$K$107"}</definedName>
    <definedName name="xfhs" hidden="1">#REF!</definedName>
    <definedName name="XLRPARAMS_AmortGroupName" hidden="1">#REF!</definedName>
    <definedName name="XLRPARAMS_BALBEG" hidden="1">#REF!</definedName>
    <definedName name="XLRPARAMS_BALEND" hidden="1">#REF!</definedName>
    <definedName name="XLRPARAMS_Bank" hidden="1">#REF!</definedName>
    <definedName name="XLRPARAMS_Category" hidden="1">#REF!</definedName>
    <definedName name="XLRPARAMS_Date_Report" hidden="1">#REF!</definedName>
    <definedName name="XLRPARAMS_DBOX_NAME" hidden="1">#REF!</definedName>
    <definedName name="XLRPARAMS_FILIAL_NAME" hidden="1">#REF!</definedName>
    <definedName name="XLRPARAMS_FIRST_CURR_YEAR_DATE" hidden="1">#REF!</definedName>
    <definedName name="XLRPARAMS_GlavBuh" hidden="1">#REF!</definedName>
    <definedName name="XLRPARAMS_GROUP_NUM" hidden="1">#REF!</definedName>
    <definedName name="XLRPARAMS_GroupOMUName" hidden="1">#REF!</definedName>
    <definedName name="XLRPARAMS_InnTori" hidden="1">#REF!</definedName>
    <definedName name="XLRPARAMS_Ispol" hidden="1">#REF!</definedName>
    <definedName name="XLRPARAMS_KAPITAL" hidden="1">#REF!</definedName>
    <definedName name="XLRPARAMS_NameReport" hidden="1">#REF!</definedName>
    <definedName name="XLRPARAMS_nameTori" hidden="1">#REF!</definedName>
    <definedName name="XLRPARAMS_PERC_KAPITAL" hidden="1">#REF!</definedName>
    <definedName name="XLRPARAMS_Period" hidden="1">#REF!</definedName>
    <definedName name="XLRPARAMS_PlaceName" hidden="1">#REF!</definedName>
    <definedName name="XLRPARAMS_Plan" hidden="1">#REF!</definedName>
    <definedName name="XLRPARAMS_Rate_EUR" hidden="1">#REF!</definedName>
    <definedName name="XLRPARAMS_Rate_USD" hidden="1">#REF!</definedName>
    <definedName name="XLRPARAMS_REP_DATE" hidden="1">#REF!</definedName>
    <definedName name="XLRPARAMS_REPORT_DATE" hidden="1">#REF!</definedName>
    <definedName name="XLRPARAMS_SUM_PERC_KAPITAL" hidden="1">#REF!</definedName>
    <definedName name="XLRPARAMS_TITLE_KRITERY" hidden="1">#REF!</definedName>
    <definedName name="XLRPARAMS_TITLE_KRITERY_NAT" hidden="1">#REF!</definedName>
    <definedName name="XLRPARAMS_Title_Report" hidden="1">#REF!</definedName>
    <definedName name="XLRPARAMS_TITLE_TYPE" hidden="1">#REF!</definedName>
    <definedName name="XLRPARAMS_TYPE_DOGOVOR" hidden="1">#REF!</definedName>
    <definedName name="XLRPARAMS_TYPE_NAME" hidden="1">#REF!</definedName>
    <definedName name="XLRPARAMS_TYPE_RELATION" hidden="1">#REF!</definedName>
    <definedName name="XLRPARAMS_USER_NAME" hidden="1">#REF!</definedName>
    <definedName name="XLRPARAMS_VAGREEMENT_ID" hidden="1">#REF!</definedName>
    <definedName name="XLRPARAMS_VCLIENT_ID" hidden="1">#REF!</definedName>
    <definedName name="xpr" hidden="1">{"Area1",#N/A,FALSE,"OREWACC";"Area2",#N/A,FALSE,"OREWACC"}</definedName>
    <definedName name="XREF_COLUMN_1" hidden="1">#REF!</definedName>
    <definedName name="XREF_COLUMN_10" hidden="1">#REF!</definedName>
    <definedName name="XREF_COLUMN_13" hidden="1">#REF!</definedName>
    <definedName name="XREF_COLUMN_2" hidden="1">#REF!</definedName>
    <definedName name="XREF_COLUMN_3" hidden="1">#REF!</definedName>
    <definedName name="XREF_COLUMN_4" hidden="1">#REF!</definedName>
    <definedName name="XREF_COLUMN_5" hidden="1">#REF!</definedName>
    <definedName name="XREF_COLUMN_7" hidden="1">#REF!</definedName>
    <definedName name="XREF_COLUMN_9" hidden="1">#REF!</definedName>
    <definedName name="XRefActiveRow" hidden="1">#REF!</definedName>
    <definedName name="XRefColumnsCount" hidden="1">8</definedName>
    <definedName name="XRefCopy1" hidden="1">#REF!</definedName>
    <definedName name="XRefCopy10Row" hidden="1">#REF!</definedName>
    <definedName name="XRefCopy11Row" hidden="1">#REF!</definedName>
    <definedName name="XRefCopy12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0" hidden="1">#REF!</definedName>
    <definedName name="XRefPaste10Row" hidden="1">#REF!</definedName>
    <definedName name="XRefPaste11Row" hidden="1">#REF!</definedName>
    <definedName name="XRefPaste12Row" hidden="1">#REF!</definedName>
    <definedName name="XRefPaste18Row" hidden="1">#REF!</definedName>
    <definedName name="XRefPaste19Row"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2</definedName>
    <definedName name="xx" hidden="1">{"Output-Min",#N/A,FALSE,"Output"}</definedName>
    <definedName name="xxx" hidden="1">{"COM",#N/A,FALSE,"800 10th"}</definedName>
    <definedName name="xxxaa" hidden="1">{"Inflation-BaseYear",#N/A,FALSE,"Inputs"}</definedName>
    <definedName name="xxxxx" hidden="1">{"Output%",#N/A,FALSE,"Output"}</definedName>
    <definedName name="XXXXXXXXXX" hidden="1">#REF!</definedName>
    <definedName name="yas" hidden="1">#REF!</definedName>
    <definedName name="yasin" hidden="1">#REF!</definedName>
    <definedName name="yhityi" hidden="1">{"Valuation",#N/A,TRUE,"Valuation Summary";"Financial Statements",#N/A,TRUE,"Results";"Results",#N/A,TRUE,"Results";"Ratios",#N/A,TRUE,"Results";"P2 Summary",#N/A,TRUE,"Results"}</definedName>
    <definedName name="yhtgrfe" hidden="1">{"glc1",#N/A,FALSE,"GLC";"glc2",#N/A,FALSE,"GLC";"glc3",#N/A,FALSE,"GLC";"glc4",#N/A,FALSE,"GLC";"glc5",#N/A,FALSE,"GLC"}</definedName>
    <definedName name="yjdjt" hidden="1">#REF!</definedName>
    <definedName name="yjyjej" hidden="1">{0,0}</definedName>
    <definedName name="yjyjtj" hidden="1">{0,0}</definedName>
    <definedName name="yqrew" hidden="1">{"glc1",#N/A,FALSE,"GLC";"glc2",#N/A,FALSE,"GLC";"glc3",#N/A,FALSE,"GLC";"glc4",#N/A,FALSE,"GLC";"glc5",#N/A,FALSE,"GLC"}</definedName>
    <definedName name="yt" hidden="1">{#N/A,#N/A,TRUE,"Буржуям"}</definedName>
    <definedName name="YYY" hidden="1">{"'Grafik Kontrol'!$A$1:$J$8"}</definedName>
    <definedName name="yyyyyyyyyyyyyyyyy" hidden="1">"c2076"</definedName>
    <definedName name="z" hidden="1">{"Output-Min",#N/A,FALSE,"Output"}</definedName>
    <definedName name="Z_0595F038_10C1_11D1_BBF1_0020AF29375F_.wvu.Cols" hidden="1">#REF!,#REF!</definedName>
    <definedName name="Z_0595F03A_10C1_11D1_BBF1_0020AF29375F_.wvu.Cols" hidden="1">#REF!</definedName>
    <definedName name="Z_0595F03D_10C1_11D1_BBF1_0020AF29375F_.wvu.Cols" hidden="1">#REF!</definedName>
    <definedName name="Z_0595F03F_10C1_11D1_BBF1_0020AF29375F_.wvu.Cols" hidden="1">#REF!</definedName>
    <definedName name="Z_0595F047_10C1_11D1_BBF1_0020AF29375F_.wvu.Cols" hidden="1">#REF!,#REF!</definedName>
    <definedName name="Z_0595F048_10C1_11D1_BBF1_0020AF29375F_.wvu.Cols" hidden="1">#REF!,#REF!</definedName>
    <definedName name="Z_0595F050_10C1_11D1_BBF1_0020AF29375F_.wvu.Cols" hidden="1">#REF!,#REF!</definedName>
    <definedName name="Z_0595F052_10C1_11D1_BBF1_0020AF29375F_.wvu.Cols" hidden="1">#REF!</definedName>
    <definedName name="Z_0595F055_10C1_11D1_BBF1_0020AF29375F_.wvu.Cols" hidden="1">#REF!</definedName>
    <definedName name="Z_0595F057_10C1_11D1_BBF1_0020AF29375F_.wvu.Cols" hidden="1">#REF!</definedName>
    <definedName name="Z_0595F05F_10C1_11D1_BBF1_0020AF29375F_.wvu.Cols" hidden="1">#REF!,#REF!</definedName>
    <definedName name="Z_0595F060_10C1_11D1_BBF1_0020AF29375F_.wvu.Cols" hidden="1">#REF!,#REF!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95152F2_E1B3_11D0_BBF1_0020AF29375F_.wvu.Cols" hidden="1">#REF!,#REF!</definedName>
    <definedName name="Z_195152F4_E1B3_11D0_BBF1_0020AF29375F_.wvu.Cols" hidden="1">#REF!</definedName>
    <definedName name="Z_195152F7_E1B3_11D0_BBF1_0020AF29375F_.wvu.Cols" hidden="1">#REF!</definedName>
    <definedName name="Z_195152F9_E1B3_11D0_BBF1_0020AF29375F_.wvu.Cols" hidden="1">#REF!</definedName>
    <definedName name="Z_19515301_E1B3_11D0_BBF1_0020AF29375F_.wvu.Cols" hidden="1">#REF!,#REF!</definedName>
    <definedName name="Z_19515302_E1B3_11D0_BBF1_0020AF29375F_.wvu.Cols" hidden="1">#REF!,#REF!</definedName>
    <definedName name="Z_1951530A_E1B3_11D0_BBF1_0020AF29375F_.wvu.Cols" hidden="1">#REF!,#REF!</definedName>
    <definedName name="Z_1951530C_E1B3_11D0_BBF1_0020AF29375F_.wvu.Cols" hidden="1">#REF!</definedName>
    <definedName name="Z_1951530F_E1B3_11D0_BBF1_0020AF29375F_.wvu.Cols" hidden="1">#REF!</definedName>
    <definedName name="Z_19515311_E1B3_11D0_BBF1_0020AF29375F_.wvu.Cols" hidden="1">#REF!</definedName>
    <definedName name="Z_19515319_E1B3_11D0_BBF1_0020AF29375F_.wvu.Cols" hidden="1">#REF!,#REF!</definedName>
    <definedName name="Z_1951531A_E1B3_11D0_BBF1_0020AF29375F_.wvu.Cols" hidden="1">#REF!,#REF!</definedName>
    <definedName name="Z_1C3AD0CD_BF0C_4C4E_9071_158A2F5215E2_.wvu.Rows" hidden="1">#REF!,#REF!,#REF!</definedName>
    <definedName name="Z_2185FC51_7502_43A8_900A_0000B7F738F9_.wvu.Rows" hidden="1">#REF!,#REF!,#REF!,#REF!,#REF!,#REF!,#REF!,#REF!,#REF!,#REF!,#REF!,#REF!,#REF!,#REF!,#REF!,#REF!</definedName>
    <definedName name="Z_26901781_AE15_11D3_8896_00C0DFEF98F1_.wvu.PrintArea" hidden="1">#REF!</definedName>
    <definedName name="Z_270BB401_5236_11D4_BB54_0050044E0CFA_.wvu.Cols" hidden="1">#REF!,#REF!,#REF!,#REF!</definedName>
    <definedName name="Z_270BB401_5236_11D4_BB54_0050044E0CFA_.wvu.FilterData" hidden="1">#REF!</definedName>
    <definedName name="Z_270BB401_5236_11D4_BB54_0050044E0CFA_.wvu.PrintArea" hidden="1">#REF!</definedName>
    <definedName name="Z_270BB401_5236_11D4_BB54_0050044E0CFA_.wvu.PrintTitles" hidden="1">#REF!</definedName>
    <definedName name="Z_270BB401_5236_11D4_BB54_0050044E0CFA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EE97237_F156_4E53_B133_C97CC526B775_.wvu.Cols" hidden="1">#REF!,#REF!,#REF!</definedName>
    <definedName name="Z_2EE97237_F156_4E53_B133_C97CC526B775_.wvu.PrintTitles" hidden="1">#REF!</definedName>
    <definedName name="Z_2EE97237_F156_4E53_B133_C97CC526B775_.wvu.Rows" hidden="1">#REF!,#REF!,#REF!,#REF!,#REF!,#REF!,#REF!,#REF!,#REF!,#REF!,#REF!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37A59B27_C76D_4E84_8164_B3D5C7AFADBB_.wvu.Cols" hidden="1">#REF!</definedName>
    <definedName name="Z_567F6202_70FA_11D3_B82E_00E09800249C_.wvu.Col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5F44B492_F8A5_43E0_A221_75925F6695D1_.wvu.PrintArea" hidden="1">#REF!</definedName>
    <definedName name="Z_5F44B492_F8A5_43E0_A221_75925F6695D1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6EE4AFEA_8A42_11D0_BBF1_0020AF29375F_.wvu.Cols" hidden="1">#REF!,#REF!</definedName>
    <definedName name="Z_6EE4AFEC_8A42_11D0_BBF1_0020AF29375F_.wvu.Cols" hidden="1">#REF!</definedName>
    <definedName name="Z_6EE4AFEF_8A42_11D0_BBF1_0020AF29375F_.wvu.Cols" hidden="1">#REF!</definedName>
    <definedName name="Z_6EE4AFF1_8A42_11D0_BBF1_0020AF29375F_.wvu.Cols" hidden="1">#REF!</definedName>
    <definedName name="Z_6EE4AFF9_8A42_11D0_BBF1_0020AF29375F_.wvu.Cols" hidden="1">#REF!,#REF!</definedName>
    <definedName name="Z_6EE4AFFA_8A42_11D0_BBF1_0020AF29375F_.wvu.Cols" hidden="1">#REF!,#REF!</definedName>
    <definedName name="Z_6EE4B002_8A42_11D0_BBF1_0020AF29375F_.wvu.Cols" hidden="1">#REF!,#REF!</definedName>
    <definedName name="Z_6EE4B004_8A42_11D0_BBF1_0020AF29375F_.wvu.Cols" hidden="1">#REF!</definedName>
    <definedName name="Z_6EE4B007_8A42_11D0_BBF1_0020AF29375F_.wvu.Cols" hidden="1">#REF!</definedName>
    <definedName name="Z_6EE4B009_8A42_11D0_BBF1_0020AF29375F_.wvu.Cols" hidden="1">#REF!</definedName>
    <definedName name="Z_6EE4B011_8A42_11D0_BBF1_0020AF29375F_.wvu.Cols" hidden="1">#REF!,#REF!</definedName>
    <definedName name="Z_6EE4B012_8A42_11D0_BBF1_0020AF29375F_.wvu.Cols" hidden="1">#REF!,#REF!</definedName>
    <definedName name="Z_85B0ED75_B773_44FF_B36D_C46A7C8175E9_.wvu.PrintArea" hidden="1">#REF!</definedName>
    <definedName name="Z_85B0ED75_B773_44FF_B36D_C46A7C8175E9_.wvu.PrintTitles" hidden="1">#REF!</definedName>
    <definedName name="Z_8730C1A1_E63D_11D4_8D95_0050BA8310F8_.wvu.Cols" hidden="1">#REF!</definedName>
    <definedName name="Z_901DD601_3312_11D5_8F89_00010215A1CA_.wvu.Rows" hidden="1">#REF!,#REF!</definedName>
    <definedName name="Z_9208C872_C6DF_11D0_B623_0020AF49B783_.wvu.Cols" hidden="1">#REF!,#REF!</definedName>
    <definedName name="Z_9208C874_C6DF_11D0_B623_0020AF49B783_.wvu.Cols" hidden="1">#REF!</definedName>
    <definedName name="Z_9208C877_C6DF_11D0_B623_0020AF49B783_.wvu.Cols" hidden="1">#REF!</definedName>
    <definedName name="Z_9208C879_C6DF_11D0_B623_0020AF49B783_.wvu.Cols" hidden="1">#REF!</definedName>
    <definedName name="Z_9208C881_C6DF_11D0_B623_0020AF49B783_.wvu.Cols" hidden="1">#REF!,#REF!</definedName>
    <definedName name="Z_9208C882_C6DF_11D0_B623_0020AF49B783_.wvu.Cols" hidden="1">#REF!,#REF!</definedName>
    <definedName name="Z_9208C88A_C6DF_11D0_B623_0020AF49B783_.wvu.Cols" hidden="1">#REF!,#REF!</definedName>
    <definedName name="Z_9208C88C_C6DF_11D0_B623_0020AF49B783_.wvu.Cols" hidden="1">#REF!</definedName>
    <definedName name="Z_9208C88F_C6DF_11D0_B623_0020AF49B783_.wvu.Cols" hidden="1">#REF!</definedName>
    <definedName name="Z_9208C891_C6DF_11D0_B623_0020AF49B783_.wvu.Cols" hidden="1">#REF!</definedName>
    <definedName name="Z_9208C899_C6DF_11D0_B623_0020AF49B783_.wvu.Cols" hidden="1">#REF!,#REF!</definedName>
    <definedName name="Z_9208C89A_C6DF_11D0_B623_0020AF49B783_.wvu.Cols" hidden="1">#REF!,#REF!</definedName>
    <definedName name="Z_92F7E099_0E3C_11D1_BBF1_0020AF29375F_.wvu.Cols" hidden="1">#REF!,#REF!</definedName>
    <definedName name="Z_92F7E09B_0E3C_11D1_BBF1_0020AF29375F_.wvu.Cols" hidden="1">#REF!</definedName>
    <definedName name="Z_92F7E09E_0E3C_11D1_BBF1_0020AF29375F_.wvu.Cols" hidden="1">#REF!</definedName>
    <definedName name="Z_92F7E0A0_0E3C_11D1_BBF1_0020AF29375F_.wvu.Cols" hidden="1">#REF!</definedName>
    <definedName name="Z_92F7E0A8_0E3C_11D1_BBF1_0020AF29375F_.wvu.Cols" hidden="1">#REF!,#REF!</definedName>
    <definedName name="Z_92F7E0A9_0E3C_11D1_BBF1_0020AF29375F_.wvu.Cols" hidden="1">#REF!,#REF!</definedName>
    <definedName name="Z_92F7E0B1_0E3C_11D1_BBF1_0020AF29375F_.wvu.Cols" hidden="1">#REF!,#REF!</definedName>
    <definedName name="Z_92F7E0B3_0E3C_11D1_BBF1_0020AF29375F_.wvu.Cols" hidden="1">#REF!</definedName>
    <definedName name="Z_92F7E0B6_0E3C_11D1_BBF1_0020AF29375F_.wvu.Cols" hidden="1">#REF!</definedName>
    <definedName name="Z_92F7E0B8_0E3C_11D1_BBF1_0020AF29375F_.wvu.Cols" hidden="1">#REF!</definedName>
    <definedName name="Z_92F7E0C0_0E3C_11D1_BBF1_0020AF29375F_.wvu.Cols" hidden="1">#REF!,#REF!</definedName>
    <definedName name="Z_92F7E0C1_0E3C_11D1_BBF1_0020AF29375F_.wvu.Cols" hidden="1">#REF!,#REF!</definedName>
    <definedName name="Z_94CB185F_509A_11D3_B82B_00E09800249C_.wvu.Rows" hidden="1">#REF!,#REF!</definedName>
    <definedName name="Z_9673D06C_8E2D_4E41_BE89_13756C9C3BAE_.wvu.PrintArea" hidden="1">#REF!</definedName>
    <definedName name="Z_96AA1B52_E178_11D0_BBF1_0020AF29375F_.wvu.Cols" hidden="1">#REF!,#REF!</definedName>
    <definedName name="Z_96AA1B54_E178_11D0_BBF1_0020AF29375F_.wvu.Cols" hidden="1">#REF!</definedName>
    <definedName name="Z_96AA1B57_E178_11D0_BBF1_0020AF29375F_.wvu.Cols" hidden="1">#REF!</definedName>
    <definedName name="Z_96AA1B59_E178_11D0_BBF1_0020AF29375F_.wvu.Cols" hidden="1">#REF!</definedName>
    <definedName name="Z_96AA1B61_E178_11D0_BBF1_0020AF29375F_.wvu.Cols" hidden="1">#REF!,#REF!</definedName>
    <definedName name="Z_96AA1B62_E178_11D0_BBF1_0020AF29375F_.wvu.Cols" hidden="1">#REF!,#REF!</definedName>
    <definedName name="Z_96AA1B6A_E178_11D0_BBF1_0020AF29375F_.wvu.Cols" hidden="1">#REF!,#REF!</definedName>
    <definedName name="Z_96AA1B6C_E178_11D0_BBF1_0020AF29375F_.wvu.Cols" hidden="1">#REF!</definedName>
    <definedName name="Z_96AA1B6F_E178_11D0_BBF1_0020AF29375F_.wvu.Cols" hidden="1">#REF!</definedName>
    <definedName name="Z_96AA1B71_E178_11D0_BBF1_0020AF29375F_.wvu.Cols" hidden="1">#REF!</definedName>
    <definedName name="Z_96AA1B79_E178_11D0_BBF1_0020AF29375F_.wvu.Cols" hidden="1">#REF!,#REF!</definedName>
    <definedName name="Z_96AA1B7A_E178_11D0_BBF1_0020AF29375F_.wvu.Cols" hidden="1">#REF!,#REF!</definedName>
    <definedName name="Z_99D15F62_90C4_405A_985F_7C185F19F985_.wvu.Rows" hidden="1">#REF!,#REF!,#REF!,#REF!,#REF!,#REF!,#REF!,#REF!,#REF!,#REF!,#REF!,#REF!,#REF!,#REF!,#REF!,#REF!</definedName>
    <definedName name="Z_9F4E9141_41FC_4B2C_AC1F_EC647474A564_.wvu.PrintArea" hidden="1">#REF!</definedName>
    <definedName name="Z_9F4E9141_41FC_4B2C_AC1F_EC647474A564_.wvu.Rows" hidden="1">#REF!</definedName>
    <definedName name="Z_A0AC4B42_5259_11D4_B5FE_00C04FC949BF_.wvu.Cols" hidden="1">#REF!,#REF!,#REF!,#REF!</definedName>
    <definedName name="Z_A0AC4B42_5259_11D4_B5FE_00C04FC949BF_.wvu.FilterData" hidden="1">#REF!</definedName>
    <definedName name="Z_A0AC4B42_5259_11D4_B5FE_00C04FC949BF_.wvu.PrintArea" hidden="1">#REF!</definedName>
    <definedName name="Z_A0AC4B42_5259_11D4_B5FE_00C04FC949BF_.wvu.PrintTitles" hidden="1">#REF!</definedName>
    <definedName name="Z_A0AC4B42_5259_11D4_B5FE_00C04FC949BF_.wvu.Rows" hidden="1">#REF!,#REF!,#REF!,#REF!,#REF!,#REF!,#REF!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6168485_6886_4592_BB13_07B9E683E6FB_.wvu.Cols" hidden="1">#REF!</definedName>
    <definedName name="Z_A6168485_6886_4592_BB13_07B9E683E6FB_.wvu.FilterData" hidden="1">#REF!</definedName>
    <definedName name="Z_A6168485_6886_4592_BB13_07B9E683E6FB_.wvu.PrintArea" hidden="1">#REF!</definedName>
    <definedName name="Z_A6168485_6886_4592_BB13_07B9E683E6FB_.wvu.PrintTitles" hidden="1">#REF!</definedName>
    <definedName name="Z_A6168485_6886_4592_BB13_07B9E683E6FB_.wvu.Rows" hidden="1">#REF!,#REF!,#REF!,#REF!,#REF!</definedName>
    <definedName name="Z_AD1AC26D_B0C2_11D0_BBF1_0020AF29375F_.wvu.Cols" hidden="1">#REF!,#REF!</definedName>
    <definedName name="Z_AD1AC26F_B0C2_11D0_BBF1_0020AF29375F_.wvu.Cols" hidden="1">#REF!</definedName>
    <definedName name="Z_AD1AC272_B0C2_11D0_BBF1_0020AF29375F_.wvu.Cols" hidden="1">#REF!</definedName>
    <definedName name="Z_AD1AC274_B0C2_11D0_BBF1_0020AF29375F_.wvu.Cols" hidden="1">#REF!</definedName>
    <definedName name="Z_AD1AC27C_B0C2_11D0_BBF1_0020AF29375F_.wvu.Cols" hidden="1">#REF!,#REF!</definedName>
    <definedName name="Z_AD1AC27D_B0C2_11D0_BBF1_0020AF29375F_.wvu.Cols" hidden="1">#REF!,#REF!</definedName>
    <definedName name="Z_AD1AC285_B0C2_11D0_BBF1_0020AF29375F_.wvu.Cols" hidden="1">#REF!,#REF!</definedName>
    <definedName name="Z_AD1AC287_B0C2_11D0_BBF1_0020AF29375F_.wvu.Cols" hidden="1">#REF!</definedName>
    <definedName name="Z_AD1AC28A_B0C2_11D0_BBF1_0020AF29375F_.wvu.Cols" hidden="1">#REF!</definedName>
    <definedName name="Z_AD1AC28C_B0C2_11D0_BBF1_0020AF29375F_.wvu.Cols" hidden="1">#REF!</definedName>
    <definedName name="Z_AD1AC294_B0C2_11D0_BBF1_0020AF29375F_.wvu.Cols" hidden="1">#REF!,#REF!</definedName>
    <definedName name="Z_AD1AC295_B0C2_11D0_BBF1_0020AF29375F_.wvu.Col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6EBA059_280B_4A6E_BA3E_AA849CF278A3_.wvu.PrintArea" hidden="1">#REF!</definedName>
    <definedName name="Z_B6EBA059_280B_4A6E_BA3E_AA849CF278A3_.wvu.Rows" hidden="1">#REF!</definedName>
    <definedName name="Z_BA328375_936C_11D3_9E74_00062992D5D9_.wvu.Rows" hidden="1">#REF!,#REF!</definedName>
    <definedName name="Z_C0A63332_F77B_11D0_B623_0020AF49B783_.wvu.Cols" hidden="1">#REF!,#REF!</definedName>
    <definedName name="Z_C0A63334_F77B_11D0_B623_0020AF49B783_.wvu.Cols" hidden="1">#REF!</definedName>
    <definedName name="Z_C0A63337_F77B_11D0_B623_0020AF49B783_.wvu.Cols" hidden="1">#REF!</definedName>
    <definedName name="Z_C0A63339_F77B_11D0_B623_0020AF49B783_.wvu.Cols" hidden="1">#REF!</definedName>
    <definedName name="Z_C0A63341_F77B_11D0_B623_0020AF49B783_.wvu.Cols" hidden="1">#REF!,#REF!</definedName>
    <definedName name="Z_C0A63342_F77B_11D0_B623_0020AF49B783_.wvu.Cols" hidden="1">#REF!,#REF!</definedName>
    <definedName name="Z_C0A6334A_F77B_11D0_B623_0020AF49B783_.wvu.Cols" hidden="1">#REF!,#REF!</definedName>
    <definedName name="Z_C0A6334C_F77B_11D0_B623_0020AF49B783_.wvu.Cols" hidden="1">#REF!</definedName>
    <definedName name="Z_C0A6334F_F77B_11D0_B623_0020AF49B783_.wvu.Cols" hidden="1">#REF!</definedName>
    <definedName name="Z_C0A63351_F77B_11D0_B623_0020AF49B783_.wvu.Cols" hidden="1">#REF!</definedName>
    <definedName name="Z_C0A63359_F77B_11D0_B623_0020AF49B783_.wvu.Cols" hidden="1">#REF!,#REF!</definedName>
    <definedName name="Z_C0A6335A_F77B_11D0_B623_0020AF49B783_.wvu.Cols" hidden="1">#REF!,#REF!</definedName>
    <definedName name="Z_CB1D7872_F78D_11D0_B623_0020AF49B783_.wvu.Cols" hidden="1">#REF!,#REF!</definedName>
    <definedName name="Z_CB1D7874_F78D_11D0_B623_0020AF49B783_.wvu.Cols" hidden="1">#REF!</definedName>
    <definedName name="Z_CB1D7877_F78D_11D0_B623_0020AF49B783_.wvu.Cols" hidden="1">#REF!</definedName>
    <definedName name="Z_CB1D7879_F78D_11D0_B623_0020AF49B783_.wvu.Cols" hidden="1">#REF!</definedName>
    <definedName name="Z_CB1D7881_F78D_11D0_B623_0020AF49B783_.wvu.Cols" hidden="1">#REF!,#REF!</definedName>
    <definedName name="Z_CB1D7882_F78D_11D0_B623_0020AF49B783_.wvu.Cols" hidden="1">#REF!,#REF!</definedName>
    <definedName name="Z_CB1D788A_F78D_11D0_B623_0020AF49B783_.wvu.Cols" hidden="1">#REF!,#REF!</definedName>
    <definedName name="Z_CB1D788C_F78D_11D0_B623_0020AF49B783_.wvu.Cols" hidden="1">#REF!</definedName>
    <definedName name="Z_CB1D788F_F78D_11D0_B623_0020AF49B783_.wvu.Cols" hidden="1">#REF!</definedName>
    <definedName name="Z_CB1D7891_F78D_11D0_B623_0020AF49B783_.wvu.Cols" hidden="1">#REF!</definedName>
    <definedName name="Z_CB1D7899_F78D_11D0_B623_0020AF49B783_.wvu.Cols" hidden="1">#REF!,#REF!</definedName>
    <definedName name="Z_CB1D789A_F78D_11D0_B623_0020AF49B783_.wvu.Cols" hidden="1">#REF!,#REF!</definedName>
    <definedName name="Z_CB1D7A38_F78D_11D0_B623_0020AF49B783_.wvu.Cols" hidden="1">#REF!,#REF!</definedName>
    <definedName name="Z_CB1D7A3A_F78D_11D0_B623_0020AF49B783_.wvu.Cols" hidden="1">#REF!</definedName>
    <definedName name="Z_CB1D7A3D_F78D_11D0_B623_0020AF49B783_.wvu.Cols" hidden="1">#REF!</definedName>
    <definedName name="Z_CB1D7A3F_F78D_11D0_B623_0020AF49B783_.wvu.Cols" hidden="1">#REF!</definedName>
    <definedName name="Z_CB1D7A47_F78D_11D0_B623_0020AF49B783_.wvu.Cols" hidden="1">#REF!,#REF!</definedName>
    <definedName name="Z_CB1D7A48_F78D_11D0_B623_0020AF49B783_.wvu.Cols" hidden="1">#REF!,#REF!</definedName>
    <definedName name="Z_CB1D7A50_F78D_11D0_B623_0020AF49B783_.wvu.Cols" hidden="1">#REF!,#REF!</definedName>
    <definedName name="Z_CB1D7A52_F78D_11D0_B623_0020AF49B783_.wvu.Cols" hidden="1">#REF!</definedName>
    <definedName name="Z_CB1D7A55_F78D_11D0_B623_0020AF49B783_.wvu.Cols" hidden="1">#REF!</definedName>
    <definedName name="Z_CB1D7A57_F78D_11D0_B623_0020AF49B783_.wvu.Cols" hidden="1">#REF!</definedName>
    <definedName name="Z_CB1D7A5F_F78D_11D0_B623_0020AF49B783_.wvu.Cols" hidden="1">#REF!,#REF!</definedName>
    <definedName name="Z_CB1D7A60_F78D_11D0_B623_0020AF49B783_.wvu.Cols" hidden="1">#REF!,#REF!</definedName>
    <definedName name="Z_CB8A7D86_8A72_11D0_BBF1_0020AF29375F_.wvu.Cols" hidden="1">#REF!,#REF!</definedName>
    <definedName name="Z_CB8A7D88_8A72_11D0_BBF1_0020AF29375F_.wvu.Cols" hidden="1">#REF!</definedName>
    <definedName name="Z_CB8A7D8B_8A72_11D0_BBF1_0020AF29375F_.wvu.Cols" hidden="1">#REF!</definedName>
    <definedName name="Z_CB8A7D8D_8A72_11D0_BBF1_0020AF29375F_.wvu.Cols" hidden="1">#REF!</definedName>
    <definedName name="Z_CB8A7D95_8A72_11D0_BBF1_0020AF29375F_.wvu.Cols" hidden="1">#REF!,#REF!</definedName>
    <definedName name="Z_CB8A7D96_8A72_11D0_BBF1_0020AF29375F_.wvu.Cols" hidden="1">#REF!,#REF!</definedName>
    <definedName name="Z_CB8A7D9E_8A72_11D0_BBF1_0020AF29375F_.wvu.Cols" hidden="1">#REF!,#REF!</definedName>
    <definedName name="Z_CB8A7DA0_8A72_11D0_BBF1_0020AF29375F_.wvu.Cols" hidden="1">#REF!</definedName>
    <definedName name="Z_CB8A7DA3_8A72_11D0_BBF1_0020AF29375F_.wvu.Cols" hidden="1">#REF!</definedName>
    <definedName name="Z_CB8A7DA5_8A72_11D0_BBF1_0020AF29375F_.wvu.Cols" hidden="1">#REF!</definedName>
    <definedName name="Z_CB8A7DAD_8A72_11D0_BBF1_0020AF29375F_.wvu.Cols" hidden="1">#REF!,#REF!</definedName>
    <definedName name="Z_CB8A7DAE_8A72_11D0_BBF1_0020AF29375F_.wvu.Cols" hidden="1">#REF!,#REF!</definedName>
    <definedName name="Z_D0FC81D9_872A_11D6_B808_0010DC239F6A_.wvu.Cols" hidden="1">#REF!</definedName>
    <definedName name="Z_D0FC81D9_872A_11D6_B808_0010DC239F6A_.wvu.FilterData" hidden="1">#REF!</definedName>
    <definedName name="Z_D0FC81D9_872A_11D6_B808_0010DC239F6A_.wvu.PrintArea" hidden="1">#REF!</definedName>
    <definedName name="Z_D0FC81D9_872A_11D6_B808_0010DC239F6A_.wvu.PrintTitles" hidden="1">#REF!</definedName>
    <definedName name="Z_D0FC81D9_872A_11D6_B808_0010DC239F6A_.wvu.Rows" hidden="1">#REF!,#REF!,#REF!,#REF!,#REF!</definedName>
    <definedName name="Z_D1F2B56D_1E58_4BCA_92CD_48826E79E65F_.wvu.Cols" hidden="1">#REF!,#REF!</definedName>
    <definedName name="Z_D2C4350A_8B21_11D0_BBF1_0020AF29375F_.wvu.Cols" hidden="1">#REF!,#REF!</definedName>
    <definedName name="Z_D2C4350C_8B21_11D0_BBF1_0020AF29375F_.wvu.Cols" hidden="1">#REF!</definedName>
    <definedName name="Z_D2C4350F_8B21_11D0_BBF1_0020AF29375F_.wvu.Cols" hidden="1">#REF!</definedName>
    <definedName name="Z_D2C43511_8B21_11D0_BBF1_0020AF29375F_.wvu.Cols" hidden="1">#REF!</definedName>
    <definedName name="Z_D2C43519_8B21_11D0_BBF1_0020AF29375F_.wvu.Cols" hidden="1">#REF!,#REF!</definedName>
    <definedName name="Z_D2C4351A_8B21_11D0_BBF1_0020AF29375F_.wvu.Cols" hidden="1">#REF!,#REF!</definedName>
    <definedName name="Z_D2C43522_8B21_11D0_BBF1_0020AF29375F_.wvu.Cols" hidden="1">#REF!,#REF!</definedName>
    <definedName name="Z_D2C43524_8B21_11D0_BBF1_0020AF29375F_.wvu.Cols" hidden="1">#REF!</definedName>
    <definedName name="Z_D2C43527_8B21_11D0_BBF1_0020AF29375F_.wvu.Cols" hidden="1">#REF!</definedName>
    <definedName name="Z_D2C43529_8B21_11D0_BBF1_0020AF29375F_.wvu.Cols" hidden="1">#REF!</definedName>
    <definedName name="Z_D2C43531_8B21_11D0_BBF1_0020AF29375F_.wvu.Cols" hidden="1">#REF!,#REF!</definedName>
    <definedName name="Z_D2C43532_8B21_11D0_BBF1_0020AF2937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F5C41E4_E0D7_11D0_BBF1_0020AF29375F_.wvu.Cols" hidden="1">#REF!,#REF!</definedName>
    <definedName name="Z_DF5C41E6_E0D7_11D0_BBF1_0020AF29375F_.wvu.Cols" hidden="1">#REF!</definedName>
    <definedName name="Z_DF5C41E9_E0D7_11D0_BBF1_0020AF29375F_.wvu.Cols" hidden="1">#REF!</definedName>
    <definedName name="Z_DF5C41EB_E0D7_11D0_BBF1_0020AF29375F_.wvu.Cols" hidden="1">#REF!</definedName>
    <definedName name="Z_DF5C41F3_E0D7_11D0_BBF1_0020AF29375F_.wvu.Cols" hidden="1">#REF!,#REF!</definedName>
    <definedName name="Z_DF5C41F4_E0D7_11D0_BBF1_0020AF29375F_.wvu.Cols" hidden="1">#REF!,#REF!</definedName>
    <definedName name="Z_DF5C41FC_E0D7_11D0_BBF1_0020AF29375F_.wvu.Cols" hidden="1">#REF!,#REF!</definedName>
    <definedName name="Z_DF5C41FE_E0D7_11D0_BBF1_0020AF29375F_.wvu.Cols" hidden="1">#REF!</definedName>
    <definedName name="Z_DF5C4201_E0D7_11D0_BBF1_0020AF29375F_.wvu.Cols" hidden="1">#REF!</definedName>
    <definedName name="Z_DF5C4203_E0D7_11D0_BBF1_0020AF29375F_.wvu.Cols" hidden="1">#REF!</definedName>
    <definedName name="Z_DF5C420B_E0D7_11D0_BBF1_0020AF29375F_.wvu.Cols" hidden="1">#REF!,#REF!</definedName>
    <definedName name="Z_DF5C420C_E0D7_11D0_BBF1_0020AF29375F_.wvu.Cols" hidden="1">#REF!,#REF!</definedName>
    <definedName name="Z_DF9ECF1C_04DF_11D1_B623_0020AF49B783_.wvu.Cols" hidden="1">#REF!,#REF!</definedName>
    <definedName name="Z_DF9ECF1E_04DF_11D1_B623_0020AF49B783_.wvu.Cols" hidden="1">#REF!</definedName>
    <definedName name="Z_DF9ECF21_04DF_11D1_B623_0020AF49B783_.wvu.Cols" hidden="1">#REF!</definedName>
    <definedName name="Z_DF9ECF23_04DF_11D1_B623_0020AF49B783_.wvu.Cols" hidden="1">#REF!</definedName>
    <definedName name="Z_DF9ECF2B_04DF_11D1_B623_0020AF49B783_.wvu.Cols" hidden="1">#REF!,#REF!</definedName>
    <definedName name="Z_DF9ECF2C_04DF_11D1_B623_0020AF49B783_.wvu.Cols" hidden="1">#REF!,#REF!</definedName>
    <definedName name="Z_DF9ECF34_04DF_11D1_B623_0020AF49B783_.wvu.Cols" hidden="1">#REF!,#REF!</definedName>
    <definedName name="Z_DF9ECF36_04DF_11D1_B623_0020AF49B783_.wvu.Cols" hidden="1">#REF!</definedName>
    <definedName name="Z_DF9ECF39_04DF_11D1_B623_0020AF49B783_.wvu.Cols" hidden="1">#REF!</definedName>
    <definedName name="Z_DF9ECF3B_04DF_11D1_B623_0020AF49B783_.wvu.Cols" hidden="1">#REF!</definedName>
    <definedName name="Z_DF9ECF43_04DF_11D1_B623_0020AF49B783_.wvu.Cols" hidden="1">#REF!,#REF!</definedName>
    <definedName name="Z_DF9ECF44_04DF_11D1_B623_0020AF49B783_.wvu.Cols" hidden="1">#REF!,#REF!</definedName>
    <definedName name="Z_FA0D2A17_1C02_11D8_848D_00021BF19BDB_.wvu.FilterData" hidden="1">#REF!</definedName>
    <definedName name="Z_FB25C028_80C5_49E2_A786_1894E89AE1AD_.wvu.Rows" hidden="1">#REF!</definedName>
    <definedName name="zdfb" hidden="1">#REF!</definedName>
    <definedName name="zsd" hidden="1">{#N/A,#N/A,FALSE,"Aging Summary";#N/A,#N/A,FALSE,"Ratio Analysis";#N/A,#N/A,FALSE,"Test 120 Day Accts";#N/A,#N/A,FALSE,"Tickmarks"}</definedName>
    <definedName name="zx" hidden="1">#REF!</definedName>
    <definedName name="zzzz" hidden="1">{"Commish",#N/A,FALSE,"LAWTC"}</definedName>
    <definedName name="zzzzzzzzzzzz" hidden="1">{#N/A,#N/A,FALSE,"Aging Summary";#N/A,#N/A,FALSE,"Ratio Analysis";#N/A,#N/A,FALSE,"Test 120 Day Accts";#N/A,#N/A,FALSE,"Tickmarks"}</definedName>
    <definedName name="а" hidden="1">{"glcbs",#N/A,FALSE,"GLCBS";"glccsbs",#N/A,FALSE,"GLCCSBS";"glcis",#N/A,FALSE,"GLCIS";"glccsis",#N/A,FALSE,"GLCCSIS";"glcrat1",#N/A,FALSE,"GLC-ratios1"}</definedName>
    <definedName name="аа" hidden="1">{"Valuation_Common",#N/A,FALSE,"Valuation"}</definedName>
    <definedName name="ааа" hidden="1">{#N/A,#N/A,FALSE,"Aging Summary";#N/A,#N/A,FALSE,"Ratio Analysis";#N/A,#N/A,FALSE,"Test 120 Day Accts";#N/A,#N/A,FALSE,"Tickmarks"}</definedName>
    <definedName name="аааа2" hidden="1">{#N/A,#N/A,TRUE,"Буржуям"}</definedName>
    <definedName name="ааааа" hidden="1">{"'РП (2)'!$A$5:$S$150"}</definedName>
    <definedName name="ааааа2" hidden="1">{#N/A,#N/A,TRUE,"Буржуям"}</definedName>
    <definedName name="ааааааа" hidden="1">{#N/A,#N/A,TRUE,"Буржуям"}</definedName>
    <definedName name="ааааааааа" hidden="1">{"Valuation",#N/A,TRUE,"Valuation Summary";"Financial Statements",#N/A,TRUE,"Results";"Results",#N/A,TRUE,"Results";"Ratios",#N/A,TRUE,"Results";"P2 Summary",#N/A,TRUE,"Results"}</definedName>
    <definedName name="ААААААААААА" hidden="1">{#N/A,#N/A,TRUE,"Буржуям"}</definedName>
    <definedName name="ааааы" hidden="1">#REF!</definedName>
    <definedName name="АААВВВ" hidden="1">{#N/A,#N/A,TRUE,"Буржуям"}</definedName>
    <definedName name="аап" hidden="1">#REF!</definedName>
    <definedName name="ааппп" hidden="1">{"Valuation_Common",#N/A,FALSE,"Valuation"}</definedName>
    <definedName name="ав" hidden="1">{#N/A,#N/A,FALSE,"Aging Summary";#N/A,#N/A,FALSE,"Ratio Analysis";#N/A,#N/A,FALSE,"Test 120 Day Accts";#N/A,#N/A,FALSE,"Tickmarks"}</definedName>
    <definedName name="аввавав" hidden="1">#REF!</definedName>
    <definedName name="АВВАВАВАВА" hidden="1">{#N/A,#N/A,TRUE,"Буржуям"}</definedName>
    <definedName name="август" hidden="1">{#N/A,#N/A,TRUE,"Буржуям"}</definedName>
    <definedName name="авепо" hidden="1">{"Valuation_Common",#N/A,FALSE,"Valuation"}</definedName>
    <definedName name="авпвап" hidden="1">#REF!</definedName>
    <definedName name="авпорапор" hidden="1">{"Valuation",#N/A,TRUE,"Valuation Summary";"Financial Statements",#N/A,TRUE,"Results";"Results",#N/A,TRUE,"Results";"Ratios",#N/A,TRUE,"Results";"P2 Summary",#N/A,TRUE,"Results"}</definedName>
    <definedName name="аврваыр" hidden="1">{"glcbs",#N/A,FALSE,"GLCBS";"glccsbs",#N/A,FALSE,"GLCCSBS";"glcis",#N/A,FALSE,"GLCIS";"glccsis",#N/A,FALSE,"GLCCSIS";"glcrat1",#N/A,FALSE,"GLC-ratios1"}</definedName>
    <definedName name="АВС" hidden="1">#REF!</definedName>
    <definedName name="Автотехника" hidden="1">{#VALUE!,#N/A,TRUE,0}</definedName>
    <definedName name="Агентт" hidden="1">#REF!</definedName>
    <definedName name="аке" hidden="1">#REF!</definedName>
    <definedName name="акк" hidden="1">#REF!</definedName>
    <definedName name="акпеоако" hidden="1">{"'Prices'!$A$4:$J$27"}</definedName>
    <definedName name="акук" hidden="1">#REF!</definedName>
    <definedName name="ама" hidden="1">#REF!</definedName>
    <definedName name="аоарапа" hidden="1">{"glc1",#N/A,FALSE,"GLC";"glc2",#N/A,FALSE,"GLC";"glc3",#N/A,FALSE,"GLC";"glc4",#N/A,FALSE,"GLC";"glc5",#N/A,FALSE,"GLC"}</definedName>
    <definedName name="ап" hidden="1">{"'Prices'!$A$4:$J$27"}</definedName>
    <definedName name="АПАПАПА" hidden="1">{#N/A,#N/A,TRUE,"Буржуям"}</definedName>
    <definedName name="АПАПАПАП" hidden="1">{#N/A,#N/A,TRUE,"Буржуям"}</definedName>
    <definedName name="апапапапапа" hidden="1">{"glc1",#N/A,FALSE,"GLC";"glc2",#N/A,FALSE,"GLC";"glc3",#N/A,FALSE,"GLC";"glc4",#N/A,FALSE,"GLC";"glc5",#N/A,FALSE,"GLC"}</definedName>
    <definedName name="апее" hidden="1">#REF!</definedName>
    <definedName name="апер" hidden="1">{"'Sheet1'!$A$1:$G$96","'Sheet1'!$A$1:$H$96"}</definedName>
    <definedName name="апппппппппппп" hidden="1">{"'Sheet1'!$A$1:$G$85"}</definedName>
    <definedName name="аппрр" hidden="1">{"Valuation_Common",#N/A,FALSE,"Valuation"}</definedName>
    <definedName name="апр"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апрапр" hidden="1">{"Valuation",#N/A,TRUE,"Valuation Summary";"Financial Statements",#N/A,TRUE,"Results";"Results",#N/A,TRUE,"Results";"Ratios",#N/A,TRUE,"Results";"P2 Summary",#N/A,TRUE,"Results";"Historical data",#N/A,TRUE,"Historical Data";"P1 Inputs",#N/A,TRUE,"Forecast Drivers";"P2 Inputs",#N/A,TRUE,"Forecast Drivers"}</definedName>
    <definedName name="апрапрапру" hidden="1">{"Valuation - Letter",#N/A,TRUE,"Valuation Summary";"Financial Statements - Letter",#N/A,TRUE,"Results";"Results - Letter",#N/A,TRUE,"Results";"Ratios - Letter",#N/A,TRUE,"Results";"P2 Summary - Letter",#N/A,TRUE,"Results"}</definedName>
    <definedName name="апрврвапр" hidden="1">{"Index",#N/A,FALSE,"Index"}</definedName>
    <definedName name="апре" hidden="1">{"Valuation",#N/A,TRUE,"Valuation Summary";"Financial Statements",#N/A,TRUE,"Results";"Results",#N/A,TRUE,"Results";"Ratios",#N/A,TRUE,"Results";"P2 Summary",#N/A,TRUE,"Results"}</definedName>
    <definedName name="апрель" hidden="1">{#N/A,#N/A,TRUE,"Буржуям"}</definedName>
    <definedName name="апроапоапо" hidden="1">{"Valuation - Letter",#N/A,TRUE,"Valuation Summary";"Financial Statements - Letter",#N/A,TRUE,"Results";"Results - Letter",#N/A,TRUE,"Results";"Ratios - Letter",#N/A,TRUE,"Results";"P2 Summary - Letter",#N/A,TRUE,"Results"}</definedName>
    <definedName name="апрюва" hidden="1">{#N/A,#N/A,TRUE,"TS";#N/A,#N/A,TRUE,"Combo";#N/A,#N/A,TRUE,"FAIR";#N/A,#N/A,TRUE,"RBC";#N/A,#N/A,TRUE,"xxxx"}</definedName>
    <definedName name="Ар.С" hidden="1">#REF!</definedName>
    <definedName name="ар_ставка_офис" hidden="1">{"Inflation-BaseYear",#N/A,FALSE,"Inputs"}</definedName>
    <definedName name="ар3" hidden="1">{"assets",#N/A,FALSE,"historicBS";"liab",#N/A,FALSE,"historicBS";"is",#N/A,FALSE,"historicIS";"ratios",#N/A,FALSE,"ratios"}</definedName>
    <definedName name="арарара" hidden="1">{"glc1",#N/A,FALSE,"GLC";"glc2",#N/A,FALSE,"GLC";"glc3",#N/A,FALSE,"GLC";"glc4",#N/A,FALSE,"GLC";"glc5",#N/A,FALSE,"GLC"}</definedName>
    <definedName name="арпчир" hidden="1">{#N/A,#N/A,FALSE,"Summary";#N/A,#N/A,FALSE,"proj1";#N/A,#N/A,FALSE,"proj2";#N/A,#N/A,FALSE,"DCF"}</definedName>
    <definedName name="аррап" hidden="1">{#N/A,#N/A,FALSE,"Aging Summary";#N/A,#N/A,FALSE,"Ratio Analysis";#N/A,#N/A,FALSE,"Test 120 Day Accts";#N/A,#N/A,FALSE,"Tickmarks"}</definedName>
    <definedName name="аы" hidden="1">#REF!</definedName>
    <definedName name="аываываыв" hidden="1">{"Valuation",#N/A,TRUE,"Valuation Summary";"Financial Statements",#N/A,TRUE,"Results";"Results",#N/A,TRUE,"Results";"Ratios",#N/A,TRUE,"Results";"P2 Summary",#N/A,TRUE,"Results";"Historical data",#N/A,TRUE,"Historical Data";"P1 Inputs",#N/A,TRUE,"Forecast Drivers";"P2 Inputs",#N/A,TRUE,"Forecast Drivers"}</definedName>
    <definedName name="аыи" hidden="1">{"'Prices'!$A$4:$J$27"}</definedName>
    <definedName name="б" hidden="1">{#N/A,#N/A,FALSE,"Aging Summary";#N/A,#N/A,FALSE,"Ratio Analysis";#N/A,#N/A,FALSE,"Test 120 Day Accts";#N/A,#N/A,FALSE,"Tickmarks"}</definedName>
    <definedName name="Бал2002" hidden="1">{#N/A,#N/A,TRUE,"Буржуям"}</definedName>
    <definedName name="Баланс" hidden="1">{#N/A,#N/A,FALSE,"INPUTS";#N/A,#N/A,FALSE,"PROFORMA BSHEET";#N/A,#N/A,FALSE,"COMBINED";#N/A,#N/A,FALSE,"ACQUIROR";#N/A,#N/A,FALSE,"TARGET 1";#N/A,#N/A,FALSE,"TARGET 2";#N/A,#N/A,FALSE,"HIGH YIELD";#N/A,#N/A,FALSE,"OVERFUND"}</definedName>
    <definedName name="Баланс2002" hidden="1">{#VALUE!,#N/A,TRUE,0}</definedName>
    <definedName name="банк" hidden="1">{#N/A,#N/A,TRUE,"Буржуям"}</definedName>
    <definedName name="ббб" hidden="1">{"NWN_Q1810",#N/A,FALSE,"Q1810_1.V";"NWN_Q1412",#N/A,FALSE,"Q1412_1"}</definedName>
    <definedName name="бббб" hidden="1">{#VALUE!,#N/A,TRUE,0}</definedName>
    <definedName name="бдр" hidden="1">{"'РП (2)'!$A$5:$S$150"}</definedName>
    <definedName name="бланк" hidden="1">{#N/A,#N/A,TRUE,"Буржуям"}</definedName>
    <definedName name="бРИДЖ" hidden="1">#REF!</definedName>
    <definedName name="бюд" hidden="1">{#N/A,#N/A,TRUE,"Буржуям"}</definedName>
    <definedName name="бюджет" hidden="1">{"'РП (2)'!$A$5:$S$150"}</definedName>
    <definedName name="в2" hidden="1">{"'Sheet1'!$A$1:$G$96","'Sheet1'!$A$1:$H$96"}</definedName>
    <definedName name="ва" hidden="1">{"'Sheet1'!$A$1:$G$96","'Sheet1'!$A$1:$H$96"}</definedName>
    <definedName name="ВАВАВА" hidden="1">{#N/A,#N/A,TRUE,"Буржуям"}</definedName>
    <definedName name="валор" hidden="1">{"'Sheet1'!$A$1:$G$85"}</definedName>
    <definedName name="вано" hidden="1">{#N/A,#N/A,FALSE,"Расчет вспомогательных"}</definedName>
    <definedName name="вап" hidden="1">#REF!</definedName>
    <definedName name="вап3" hidden="1">{"'Sheet1'!$A$1:$G$96","'Sheet1'!$A$1:$H$96"}</definedName>
    <definedName name="вапава" hidden="1">#REF!</definedName>
    <definedName name="вапвапцукц" hidden="1">{"Valuation",#N/A,TRUE,"Valuation Summary";"Financial Statements",#N/A,TRUE,"Results";"Results",#N/A,TRUE,"Results";"Ratios",#N/A,TRUE,"Results";"P2 Summary",#N/A,TRUE,"Results"}</definedName>
    <definedName name="вапр" hidden="1">{#N/A,#N/A,FALSE,"Расчет вспомогательных"}</definedName>
    <definedName name="вапроп" hidden="1">{"'Sheet1'!$A$1:$G$85"}</definedName>
    <definedName name="варо" hidden="1">Main.SAPF4Help()</definedName>
    <definedName name="варовар"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ваф" hidden="1">{"'РП (2)'!$A$5:$S$150"}</definedName>
    <definedName name="ваываыва" hidden="1">{"Valuation",#N/A,TRUE,"Valuation Summary";"Financial Statements",#N/A,TRUE,"Results";"Results",#N/A,TRUE,"Results";"Ratios",#N/A,TRUE,"Results";"P2 Summary",#N/A,TRUE,"Results"}</definedName>
    <definedName name="ваырваро" hidden="1">Main.SAPF4Help()</definedName>
    <definedName name="вв" hidden="1">{#N/A,#N/A,FALSE,"Aging Summary";#N/A,#N/A,FALSE,"Ratio Analysis";#N/A,#N/A,FALSE,"Test 120 Day Accts";#N/A,#N/A,FALSE,"Tickmarks"}</definedName>
    <definedName name="вва" hidden="1">#REF!</definedName>
    <definedName name="вваыв" hidden="1">#REF!</definedName>
    <definedName name="ввв" hidden="1">{"'Sheet1'!$A$1:$G$85"}</definedName>
    <definedName name="вввв" hidden="1">{#N/A,#N/A,TRUE,"Буржуям"}</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hidden="1">{"Valuation",#N/A,TRUE,"Valuation Summary";"Financial Statements",#N/A,TRUE,"Results";"Results",#N/A,TRUE,"Results";"Ratios",#N/A,TRUE,"Results";"P2 Summary",#N/A,TRUE,"Results";"Historical data",#N/A,TRUE,"Historical Data";"P1 Inputs",#N/A,TRUE,"Forecast Drivers";"P2 Inputs",#N/A,TRUE,"Forecast Drivers"}</definedName>
    <definedName name="ввввввввввввв" hidden="1">{"'Sheet1'!$A$1:$G$85"}</definedName>
    <definedName name="ВВЫЫ" hidden="1">{#N/A,#N/A,TRUE,"Буржуям"}</definedName>
    <definedName name="вег" hidden="1">{#N/A,#N/A,TRUE,"Буржуям"}</definedName>
    <definedName name="Векселя_учтен_9" hidden="1">{"'Котировки'!$A$10:$E$131"}</definedName>
    <definedName name="вефч" hidden="1">{#N/A,#N/A,FALSE,"Virgin Flightdeck"}</definedName>
    <definedName name="вефч1" hidden="1">{#N/A,#N/A,FALSE,"Virgin Flightdeck"}</definedName>
    <definedName name="взд" hidden="1">{"NWN_Q1810",#N/A,FALSE,"Q1810_1.V";"NWN_Q1412",#N/A,FALSE,"Q1412_1"}</definedName>
    <definedName name="взносы" hidden="1">{#N/A,#N/A,TRUE,"Буржуям"}</definedName>
    <definedName name="вкаыр" hidden="1">{"glc1",#N/A,FALSE,"GLC";"glc2",#N/A,FALSE,"GLC";"glc3",#N/A,FALSE,"GLC";"glc4",#N/A,FALSE,"GLC";"glc5",#N/A,FALSE,"GLC"}</definedName>
    <definedName name="вклад" hidden="1">{#N/A,#N/A,TRUE,"Буржуям"}</definedName>
    <definedName name="вкрер" hidden="1">{#N/A,#N/A,FALSE,"Расчет вспомогательных"}</definedName>
    <definedName name="вла" hidden="1">{#N/A,#N/A,FALSE,"Aging Summary";#N/A,#N/A,FALSE,"Ratio Analysis";#N/A,#N/A,FALSE,"Test 120 Day Accts";#N/A,#N/A,FALSE,"Tickmarks"}</definedName>
    <definedName name="вор" hidden="1">Main.SAPF4Help()</definedName>
    <definedName name="впавпавпа" hidden="1">#REF!</definedName>
    <definedName name="впавпас" hidden="1">#REF!</definedName>
    <definedName name="впап" hidden="1">#REF!</definedName>
    <definedName name="впатапр" hidden="1">{"Valuation",#N/A,TRUE,"Valuation Summary";"Financial Statements",#N/A,TRUE,"Results";"Results",#N/A,TRUE,"Results";"Ratios",#N/A,TRUE,"Results";"P2 Summary",#N/A,TRUE,"Results";"Historical data",#N/A,TRUE,"Historical Data";"P1 Inputs",#N/A,TRUE,"Forecast Drivers";"P2 Inputs",#N/A,TRUE,"Forecast Drivers"}</definedName>
    <definedName name="впп" hidden="1">#REF!</definedName>
    <definedName name="впрвпр"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впро" hidden="1">{#N/A,#N/A,TRUE,"Буржуям"}</definedName>
    <definedName name="вс" hidden="1">{#N/A,#N/A,FALSE,"Aging Summary";#N/A,#N/A,FALSE,"Ratio Analysis";#N/A,#N/A,FALSE,"Test 120 Day Accts";#N/A,#N/A,FALSE,"Tickmarks"}</definedName>
    <definedName name="всацывс" hidden="1">{#N/A,#N/A,FALSE,"Aging Summary";#N/A,#N/A,FALSE,"Ratio Analysis";#N/A,#N/A,FALSE,"Test 120 Day Accts";#N/A,#N/A,FALSE,"Tickmarks"}</definedName>
    <definedName name="вставка" hidden="1">{#N/A,#N/A,TRUE,"Буржуям"}</definedName>
    <definedName name="вся" hidden="1">{#N/A,#N/A,FALSE,"Aging Summary";#N/A,#N/A,FALSE,"Ratio Analysis";#N/A,#N/A,FALSE,"Test 120 Day Accts";#N/A,#N/A,FALSE,"Tickmarks"}</definedName>
    <definedName name="втыавит" hidden="1">#REF!</definedName>
    <definedName name="вфыфыва" hidden="1">{"'Sheet1'!$A$12:$K$107"}</definedName>
    <definedName name="выадлр" hidden="1">{"glc1",#N/A,FALSE,"GLC";"glc2",#N/A,FALSE,"GLC";"glc3",#N/A,FALSE,"GLC";"glc4",#N/A,FALSE,"GLC";"glc5",#N/A,FALSE,"GLC"}</definedName>
    <definedName name="вывывывы" hidden="1">{"glc1",#N/A,FALSE,"GLC";"glc2",#N/A,FALSE,"GLC";"glc3",#N/A,FALSE,"GLC";"glc4",#N/A,FALSE,"GLC";"glc5",#N/A,FALSE,"GLC"}</definedName>
    <definedName name="выплата" hidden="1">{#N/A,#N/A,TRUE,"Буржуям"}</definedName>
    <definedName name="газета" hidden="1">{#N/A,#N/A,TRUE,"Буржуям"}</definedName>
    <definedName name="ггг" hidden="1">#REF!</definedName>
    <definedName name="гггг" hidden="1">{#N/A,#N/A,TRUE,"Буржуям"}</definedName>
    <definedName name="ггггг" hidden="1">#REF!</definedName>
    <definedName name="гггггг" hidden="1">#REF!</definedName>
    <definedName name="ггопг" hidden="1">#REF!</definedName>
    <definedName name="гегегегег" hidden="1">{"glc1",#N/A,FALSE,"GLC";"glc2",#N/A,FALSE,"GLC";"glc3",#N/A,FALSE,"GLC";"glc4",#N/A,FALSE,"GLC";"glc5",#N/A,FALSE,"GLC"}</definedName>
    <definedName name="глкзд" hidden="1">{"glc1",#N/A,FALSE,"GLC";"glc2",#N/A,FALSE,"GLC";"glc3",#N/A,FALSE,"GLC";"glc4",#N/A,FALSE,"GLC";"glc5",#N/A,FALSE,"GLC"}</definedName>
    <definedName name="гн" hidden="1">{"glcbs",#N/A,FALSE,"GLCBS";"glccsbs",#N/A,FALSE,"GLCCSBS";"glcis",#N/A,FALSE,"GLCIS";"glccsis",#N/A,FALSE,"GLCCSIS";"glcrat1",#N/A,FALSE,"GLC-ratios1"}</definedName>
    <definedName name="гнекуф" hidden="1">{"ÜBER mit FW","THU",FALSE,"HORE KORR!";"ÜBERSICHT",#N/A,FALSE,"BUDGET 1997_98";"ÜBER mit FW",#N/A,FALSE,"IST KUM KORR!!";"ÜBERSICHT",#N/A,FALSE,"PLAN KUM"}</definedName>
    <definedName name="гнпсмв" hidden="1">{#N/A,#N/A,TRUE,"Буржуям"}</definedName>
    <definedName name="гншщ" hidden="1">{#N/A,#N/A,FALSE,"Aging Summary";#N/A,#N/A,FALSE,"Ratio Analysis";#N/A,#N/A,FALSE,"Test 120 Day Accts";#N/A,#N/A,FALSE,"Tickmarks"}</definedName>
    <definedName name="гоарвногоы" hidden="1">{"glc1",#N/A,FALSE,"GLC";"glc2",#N/A,FALSE,"GLC";"glc3",#N/A,FALSE,"GLC";"glc4",#N/A,FALSE,"GLC";"glc5",#N/A,FALSE,"GLC"}</definedName>
    <definedName name="говрапппп" hidden="1">{"glc1",#N/A,FALSE,"GLC";"glc2",#N/A,FALSE,"GLC";"glc3",#N/A,FALSE,"GLC";"glc4",#N/A,FALSE,"GLC";"glc5",#N/A,FALSE,"GLC"}</definedName>
    <definedName name="гог" hidden="1">#REF!</definedName>
    <definedName name="год" hidden="1">{#N/A,#N/A,TRUE,"Лист2"}</definedName>
    <definedName name="гойщшгнф" hidden="1">#N/A</definedName>
    <definedName name="гонгг" hidden="1">#REF!</definedName>
    <definedName name="гооо" hidden="1">#REF!</definedName>
    <definedName name="горавл" hidden="1">{"glc1",#N/A,FALSE,"GLC";"glc2",#N/A,FALSE,"GLC";"glc3",#N/A,FALSE,"GLC";"glc4",#N/A,FALSE,"GLC";"glc5",#N/A,FALSE,"GLC"}</definedName>
    <definedName name="горанан" hidden="1">#REF!</definedName>
    <definedName name="горанво" hidden="1">{"glc1",#N/A,FALSE,"GLC";"glc2",#N/A,FALSE,"GLC";"glc3",#N/A,FALSE,"GLC";"glc4",#N/A,FALSE,"GLC";"glc5",#N/A,FALSE,"GLC"}</definedName>
    <definedName name="горвдлво" hidden="1">{"glc1",#N/A,FALSE,"GLC";"glc2",#N/A,FALSE,"GLC";"glc3",#N/A,FALSE,"GLC";"glc4",#N/A,FALSE,"GLC";"glc5",#N/A,FALSE,"GLC"}</definedName>
    <definedName name="горвеын" hidden="1">{"glc1",#N/A,FALSE,"GLC";"glc2",#N/A,FALSE,"GLC";"glc3",#N/A,FALSE,"GLC";"glc4",#N/A,FALSE,"GLC";"glc5",#N/A,FALSE,"GLC"}</definedName>
    <definedName name="горвкнра" hidden="1">{"ÜBERSICHT",#N/A,FALSE,"ABW KUM";"Kostenzoom",#N/A,FALSE,"ABW KUM";"ÜBERSICHT",#N/A,FALSE,"ABW HORE";"Kostenzoom",#N/A,FALSE,"ABW HORE"}</definedName>
    <definedName name="горвна" hidden="1">{"ÜBERSICHT",#N/A,FALSE,"ABW KUM";"Kostenzoom",#N/A,FALSE,"ABW KUM";"ÜBERSICHT",#N/A,FALSE,"ABW HORE";"Kostenzoom",#N/A,FALSE,"ABW HORE"}</definedName>
    <definedName name="горвны" hidden="1">{"glc1",#N/A,FALSE,"GLC";"glc2",#N/A,FALSE,"GLC";"glc3",#N/A,FALSE,"GLC";"glc4",#N/A,FALSE,"GLC";"glc5",#N/A,FALSE,"GLC"}</definedName>
    <definedName name="горвныо" hidden="1">{"glc1",#N/A,FALSE,"GLC";"glc2",#N/A,FALSE,"GLC";"glc3",#N/A,FALSE,"GLC";"glc4",#N/A,FALSE,"GLC";"glc5",#N/A,FALSE,"GLC"}</definedName>
    <definedName name="горнавр" hidden="1">{"glc1",#N/A,FALSE,"GLC";"glc2",#N/A,FALSE,"GLC";"glc3",#N/A,FALSE,"GLC";"glc4",#N/A,FALSE,"GLC";"glc5",#N/A,FALSE,"GLC"}</definedName>
    <definedName name="горнпав" hidden="1">{"glc1",#N/A,FALSE,"GLC";"glc2",#N/A,FALSE,"GLC";"glc3",#N/A,FALSE,"GLC";"glc4",#N/A,FALSE,"GLC";"glc5",#N/A,FALSE,"GLC"}</definedName>
    <definedName name="горпнвы" hidden="1">{"glc1",#N/A,FALSE,"GLC";"glc2",#N/A,FALSE,"GLC";"glc3",#N/A,FALSE,"GLC";"glc4",#N/A,FALSE,"GLC";"glc5",#N/A,FALSE,"GLC"}</definedName>
    <definedName name="гошл" hidden="1">#REF!</definedName>
    <definedName name="гпаопоип" hidden="1">#REF!</definedName>
    <definedName name="гпора" hidden="1">{"glc1",#N/A,FALSE,"GLC";"glc2",#N/A,FALSE,"GLC";"glc3",#N/A,FALSE,"GLC";"glc4",#N/A,FALSE,"GLC";"glc5",#N/A,FALSE,"GLC"}</definedName>
    <definedName name="граф2" hidden="1">#REF!</definedName>
    <definedName name="график" hidden="1">{#N/A,#N/A,TRUE,"Лист2"}</definedName>
    <definedName name="гриф" hidden="1">{#N/A,#N/A,TRUE,"Буржуям"}</definedName>
    <definedName name="гшн" hidden="1">Main.SAPF4Help()</definedName>
    <definedName name="Данные" hidden="1">#REF!</definedName>
    <definedName name="движение" hidden="1">{#N/A,#N/A,TRUE,"Лист2"}</definedName>
    <definedName name="дд" hidden="1">#REF!</definedName>
    <definedName name="дддд" hidden="1">{#N/A,#N/A,FALSE,"Aging Summary";#N/A,#N/A,FALSE,"Ratio Analysis";#N/A,#N/A,FALSE,"Test 120 Day Accts";#N/A,#N/A,FALSE,"Tickmarks"}</definedName>
    <definedName name="ддддд" hidden="1">#REF!</definedName>
    <definedName name="ддддддд" hidden="1">{"glc1",#N/A,FALSE,"GLC";"glc2",#N/A,FALSE,"GLC";"glc3",#N/A,FALSE,"GLC";"glc4",#N/A,FALSE,"GLC";"glc5",#N/A,FALSE,"GLC"}</definedName>
    <definedName name="ддддддддд" hidden="1">{"Valuation_Common",#N/A,FALSE,"Valuation"}</definedName>
    <definedName name="ддл" hidden="1">#REF!</definedName>
    <definedName name="декабрь" hidden="1">{#N/A,#N/A,TRUE,"Буржуям"}</definedName>
    <definedName name="декабрь33333" hidden="1">{#N/A,#N/A,TRUE,"Буржуям"}</definedName>
    <definedName name="джл" hidden="1">{"assets",#N/A,FALSE,"historicBS";"liab",#N/A,FALSE,"historicBS";"is",#N/A,FALSE,"historicIS";"ratios",#N/A,FALSE,"ratios"}</definedName>
    <definedName name="джло" hidden="1">{"'Prices'!$A$4:$J$27"}</definedName>
    <definedName name="ДЗ" hidden="1">{"glc1",#N/A,FALSE,"GLC";"glc2",#N/A,FALSE,"GLC";"glc3",#N/A,FALSE,"GLC";"glc4",#N/A,FALSE,"GLC";"glc5",#N/A,FALSE,"GLC"}</definedName>
    <definedName name="ДЗ_1" hidden="1">{#N/A,#N/A,FALSE,"Aging Summary";#N/A,#N/A,FALSE,"Ratio Analysis";#N/A,#N/A,FALSE,"Test 120 Day Accts";#N/A,#N/A,FALSE,"Tickmarks"}</definedName>
    <definedName name="ДЗЩЛЗХ" hidden="1">{#N/A,#N/A,FALSE,"Aging Summary";#N/A,#N/A,FALSE,"Ratio Analysis";#N/A,#N/A,FALSE,"Test 120 Day Accts";#N/A,#N/A,FALSE,"Tickmarks"}</definedName>
    <definedName name="диаг" hidden="1">{#N/A,#N/A,TRUE,"Буржуям"}</definedName>
    <definedName name="диагр" hidden="1">{"'интерфейс'!$J$31:$M$43"}</definedName>
    <definedName name="ДК" hidden="1">{"'Sheet1'!$A$1:$G$96","'Sheet1'!$A$1:$H$96"}</definedName>
    <definedName name="дллло" hidden="1">#REF!</definedName>
    <definedName name="дло" hidden="1">{"'Prices'!$A$4:$J$27"}</definedName>
    <definedName name="дозо" hidden="1">{#N/A,#N/A,FALSE,"Aging Summary";#N/A,#N/A,FALSE,"Ratio Analysis";#N/A,#N/A,FALSE,"Test 120 Day Accts";#N/A,#N/A,FALSE,"Tickmarks"}</definedName>
    <definedName name="документ10" hidden="1">{"'Sheet1'!$A$1:$G$96","'Sheet1'!$A$1:$H$96"}</definedName>
    <definedName name="долриол" hidden="1">{#N/A,#N/A,FALSE,"Capex";#N/A,#N/A,FALSE,"Market"}</definedName>
    <definedName name="долрн" hidden="1">{"glc1",#N/A,FALSE,"GLC";"glc2",#N/A,FALSE,"GLC";"glc3",#N/A,FALSE,"GLC";"glc4",#N/A,FALSE,"GLC";"glc5",#N/A,FALSE,"GLC"}</definedName>
    <definedName name="доп.пддс" hidden="1">{#VALUE!,#N/A,TRUE,0}</definedName>
    <definedName name="дщдд" hidden="1">#REF!</definedName>
    <definedName name="е" hidden="1">{"'РП (2)'!$A$5:$S$150"}</definedName>
    <definedName name="е4е" hidden="1">{"glc1",#N/A,FALSE,"GLC";"glc2",#N/A,FALSE,"GLC";"glc3",#N/A,FALSE,"GLC";"glc4",#N/A,FALSE,"GLC";"glc5",#N/A,FALSE,"GLC"}</definedName>
    <definedName name="ее" hidden="1">{#N/A,#N/A,FALSE,"Virgin Flightdeck"}</definedName>
    <definedName name="еее" hidden="1">#REF!</definedName>
    <definedName name="ееееееееееее" hidden="1">{"Valuation",#N/A,TRUE,"Valuation Summary";"Financial Statements",#N/A,TRUE,"Results";"Results",#N/A,TRUE,"Results";"Ratios",#N/A,TRUE,"Results";"P2 Summary",#N/A,TRUE,"Results"}</definedName>
    <definedName name="еееееек" hidden="1">#REF!</definedName>
    <definedName name="екр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екуеу" hidden="1">{#N/A,#N/A,FALSE,"Virgin Flightdeck"}</definedName>
    <definedName name="ен" hidden="1">{#N/A,#N/A,FALSE,"Virgin Flightdeck"}</definedName>
    <definedName name="енгегенг" hidden="1">{"Valuation",#N/A,TRUE,"Valuation Summary";"Financial Statements",#N/A,TRUE,"Results";"Results",#N/A,TRUE,"Results";"Ratios",#N/A,TRUE,"Results";"P2 Summary",#N/A,TRUE,"Results";"Historical data",#N/A,TRUE,"Historical Data";"P1 Inputs",#N/A,TRUE,"Forecast Drivers";"P2 Inputs",#N/A,TRUE,"Forecast Drivers"}</definedName>
    <definedName name="енгенген" hidden="1">{"Valuation",#N/A,TRUE,"Valuation Summary";"Financial Statements",#N/A,TRUE,"Results";"Results",#N/A,TRUE,"Results";"Ratios",#N/A,TRUE,"Results";"P2 Summary",#N/A,TRUE,"Results";"Historical data",#N/A,TRUE,"Historical Data";"P1 Inputs",#N/A,TRUE,"Forecast Drivers";"P2 Inputs",#N/A,TRUE,"Forecast Drivers"}</definedName>
    <definedName name="ененг" hidden="1">#REF!</definedName>
    <definedName name="ененнеен" hidden="1">#N/A</definedName>
    <definedName name="енрнро" hidden="1">{"'Prices'!$A$4:$J$27"}</definedName>
    <definedName name="енфрыпе" hidden="1">{"glc1",#N/A,FALSE,"GLC";"glc2",#N/A,FALSE,"GLC";"glc3",#N/A,FALSE,"GLC";"glc4",#N/A,FALSE,"GLC";"glc5",#N/A,FALSE,"GLC"}</definedName>
    <definedName name="епаво" hidden="1">{"glc1",#N/A,FALSE,"GLC";"glc2",#N/A,FALSE,"GLC";"glc3",#N/A,FALSE,"GLC";"glc4",#N/A,FALSE,"GLC";"glc5",#N/A,FALSE,"GLC"}</definedName>
    <definedName name="епакв" hidden="1">{"ÜBER mit FW","THU",FALSE,"HORE KORR!";"ÜBERSICHT",#N/A,FALSE,"BUDGET 1997_98";"ÜBER mit FW",#N/A,FALSE,"IST KUM KORR!!";"ÜBERSICHT",#N/A,FALSE,"PLAN KUM"}</definedName>
    <definedName name="епе" hidden="1">#REF!</definedName>
    <definedName name="епекекек" hidden="1">#REF!</definedName>
    <definedName name="еркер" hidden="1">{"'Prices'!$A$4:$J$27"}</definedName>
    <definedName name="ерн" hidden="1">#REF!</definedName>
    <definedName name="ернр" hidden="1">#REF!</definedName>
    <definedName name="ЕУК" hidden="1">{#N/A,#N/A,TRUE,"Буржуям"}</definedName>
    <definedName name="ефефееффефе" hidden="1">{"glc1",#N/A,FALSE,"GLC";"glc2",#N/A,FALSE,"GLC";"glc3",#N/A,FALSE,"GLC";"glc4",#N/A,FALSE,"GLC";"glc5",#N/A,FALSE,"GLC"}</definedName>
    <definedName name="ж" hidden="1">{#N/A,#N/A,FALSE,"Virgin Flightdeck"}</definedName>
    <definedName name="ж\" hidden="1">{"'Prices'!$A$4:$J$27"}</definedName>
    <definedName name="жак" hidden="1">{"assets",#N/A,FALSE,"historicBS";"liab",#N/A,FALSE,"historicBS";"is",#N/A,FALSE,"historicIS";"ratios",#N/A,FALSE,"ratios"}</definedName>
    <definedName name="ждл" hidden="1">{"'Prices'!$A$4:$J$27"}</definedName>
    <definedName name="ждлор" hidden="1">{"Output-Min",#N/A,FALSE,"Output"}</definedName>
    <definedName name="ждлфпр" hidden="1">{"glc1",#N/A,FALSE,"GLC";"glc2",#N/A,FALSE,"GLC";"glc3",#N/A,FALSE,"GLC";"glc4",#N/A,FALSE,"GLC";"glc5",#N/A,FALSE,"GLC"}</definedName>
    <definedName name="ждшн2" hidden="1">{"glc1",#N/A,FALSE,"GLC";"glc2",#N/A,FALSE,"GLC";"glc3",#N/A,FALSE,"GLC";"glc4",#N/A,FALSE,"GLC";"glc5",#N/A,FALSE,"GLC"}</definedName>
    <definedName name="жжж" hidden="1">{"glc1",#N/A,FALSE,"GLC";"glc2",#N/A,FALSE,"GLC";"glc3",#N/A,FALSE,"GLC";"glc4",#N/A,FALSE,"GLC";"glc5",#N/A,FALSE,"GLC"}</definedName>
    <definedName name="жжзж" hidden="1">#REF!</definedName>
    <definedName name="жжэ" hidden="1">#REF!</definedName>
    <definedName name="жппывнгд" hidden="1">{"glc1",#N/A,FALSE,"GLC";"glc2",#N/A,FALSE,"GLC";"glc3",#N/A,FALSE,"GLC";"glc4",#N/A,FALSE,"GLC";"glc5",#N/A,FALSE,"GLC"}</definedName>
    <definedName name="жюд" hidden="1">#REF!</definedName>
    <definedName name="Зав" hidden="1">{#N/A,#N/A,TRUE,"Буржуям"}</definedName>
    <definedName name="ЗАДАНИЕ" hidden="1">{#N/A,#N/A,TRUE,"Буржуям"}</definedName>
    <definedName name="ЗАДАНИЕ." hidden="1">{#VALUE!,#N/A,TRUE,0}</definedName>
    <definedName name="задел" hidden="1">{#N/A,#N/A,TRUE,"Буржуям"}</definedName>
    <definedName name="заз" hidden="1">{"Inflation-BaseYear",#N/A,FALSE,"Inputs"}</definedName>
    <definedName name="заказ" hidden="1">{#N/A,#N/A,TRUE,"Буржуям"}</definedName>
    <definedName name="зарп" hidden="1">{#N/A,#N/A,TRUE,"Буржуям"}</definedName>
    <definedName name="здлофы" hidden="1">{"glc1",#N/A,FALSE,"GLC";"glc2",#N/A,FALSE,"GLC";"glc3",#N/A,FALSE,"GLC";"glc4",#N/A,FALSE,"GLC";"glc5",#N/A,FALSE,"GLC"}</definedName>
    <definedName name="зеленый" hidden="1">{#N/A,#N/A,TRUE,"Буржуям"}</definedName>
    <definedName name="Земля2" hidden="1">{"glc1",#N/A,FALSE,"GLC";"glc2",#N/A,FALSE,"GLC";"glc3",#N/A,FALSE,"GLC";"glc4",#N/A,FALSE,"GLC";"glc5",#N/A,FALSE,"GLC"}</definedName>
    <definedName name="Зж" hidden="1">{"assets",#N/A,FALSE,"historicBS";"liab",#N/A,FALSE,"historicBS";"is",#N/A,FALSE,"historicIS";"ratios",#N/A,FALSE,"ratios"}</definedName>
    <definedName name="зждлшаовг" hidden="1">#REF!</definedName>
    <definedName name="зжщд" hidden="1">#REF!</definedName>
    <definedName name="ззз" hidden="1">{#N/A,#N/A,TRUE,"Буржуям"}</definedName>
    <definedName name="ззх" hidden="1">{#N/A,#N/A,FALSE,"Virgin Flightdeck"}</definedName>
    <definedName name="зщ" hidden="1">{"'Sheet1'!$A$1:$G$96","'Sheet1'!$A$1:$H$96"}</definedName>
    <definedName name="зщдловны" hidden="1">#REF!</definedName>
    <definedName name="зщфтрыг" hidden="1">{"glc1",#N/A,FALSE,"GLC";"glc2",#N/A,FALSE,"GLC";"glc3",#N/A,FALSE,"GLC";"glc4",#N/A,FALSE,"GLC";"glc5",#N/A,FALSE,"GLC"}</definedName>
    <definedName name="ииии" hidden="1">#REF!</definedName>
    <definedName name="им" hidden="1">{"Приибыль энерг",#N/A,FALSE,"Энерг"}</definedName>
    <definedName name="има" hidden="1">{#VALUE!,#N/A,TRUE,0}</definedName>
    <definedName name="имена" hidden="1">{#N/A,#N/A,TRUE,"Буржуям"}</definedName>
    <definedName name="ирпваыгшл" hidden="1">{"glc1",#N/A,FALSE,"GLC";"glc2",#N/A,FALSE,"GLC";"glc3",#N/A,FALSE,"GLC";"glc4",#N/A,FALSE,"GLC";"glc5",#N/A,FALSE,"GLC"}</definedName>
    <definedName name="ит6" hidden="1">{"'Sheet1'!$A$1:$G$96","'Sheet1'!$A$1:$H$96"}</definedName>
    <definedName name="итог"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итьиьтиь" hidden="1">{"glc1",#N/A,FALSE,"GLC";"glc2",#N/A,FALSE,"GLC";"glc3",#N/A,FALSE,"GLC";"glc4",#N/A,FALSE,"GLC";"glc5",#N/A,FALSE,"GLC"}</definedName>
    <definedName name="июль" hidden="1">{#N/A,#N/A,TRUE,"Буржуям"}</definedName>
    <definedName name="июль5" hidden="1">{#N/A,#N/A,TRUE,"Буржуям"}</definedName>
    <definedName name="июнь" hidden="1">{#N/A,#N/A,TRUE,"Буржуям"}</definedName>
    <definedName name="июнь1" hidden="1">{#N/A,#N/A,TRUE,"Буржуям"}</definedName>
    <definedName name="июнь101" hidden="1">{#N/A,#N/A,TRUE,"Буржуям"}</definedName>
    <definedName name="июнь6" hidden="1">{#N/A,#N/A,TRUE,"Буржуям"}</definedName>
    <definedName name="й" hidden="1">{"'РП (2)'!$A$5:$S$150"}</definedName>
    <definedName name="й11й" hidden="1">#REF!</definedName>
    <definedName name="й1й" hidden="1">#REF!</definedName>
    <definedName name="й1й1й" hidden="1">#REF!</definedName>
    <definedName name="йй" hidden="1">{#N/A,#N/A,TRUE,"Буржуям"}</definedName>
    <definedName name="ййй" hidden="1">#REF!</definedName>
    <definedName name="йййййййй" hidden="1">{#N/A,#N/A,TRUE,"Буржуям"}</definedName>
    <definedName name="ййууу" hidden="1">#REF!</definedName>
    <definedName name="йуц" hidden="1">#REF!</definedName>
    <definedName name="йф" hidden="1">{"IASBS",#N/A,FALSE,"IAS";"IASPL",#N/A,FALSE,"IAS";#N/A,#N/A,FALSE,"CF DIR";"IASNotes",#N/A,FALSE,"IAS";#N/A,#N/A,FALSE,"FA_1";#N/A,#N/A,FALSE,"Dep'n FC";#N/A,#N/A,FALSE,"Dep'n SE";#N/A,#N/A,FALSE,"Inv_1";#N/A,#N/A,FALSE,"NMG";#N/A,#N/A,FALSE,"Recon";#N/A,#N/A,FALSE,"EPS"}</definedName>
    <definedName name="йц" hidden="1">#REF!</definedName>
    <definedName name="йцув" hidden="1">#REF!</definedName>
    <definedName name="йцук" hidden="1">#REF!</definedName>
    <definedName name="ЙЦУКЙЦУК" hidden="1">{#VALUE!,#N/A,TRUE,0}</definedName>
    <definedName name="йцуу" hidden="1">#REF!</definedName>
    <definedName name="к" hidden="1">{#N/A,#N/A,FALSE,"Aging Summary";#N/A,#N/A,FALSE,"Ratio Analysis";#N/A,#N/A,FALSE,"Test 120 Day Accts";#N/A,#N/A,FALSE,"Tickmarks"}</definedName>
    <definedName name="ка" hidden="1">#REF!</definedName>
    <definedName name="каврне" hidden="1">{"'9'!$A$1:$S$99"}</definedName>
    <definedName name="кам" hidden="1">#REF!</definedName>
    <definedName name="кап" hidden="1">{"glc1",#N/A,FALSE,"GLC";"glc2",#N/A,FALSE,"GLC";"glc3",#N/A,FALSE,"GLC";"glc4",#N/A,FALSE,"GLC";"glc5",#N/A,FALSE,"GLC"}</definedName>
    <definedName name="капр" hidden="1">Main.SAPF4Help()</definedName>
    <definedName name="кау" hidden="1">{"assets",#N/A,FALSE,"historicBS";"liab",#N/A,FALSE,"historicBS";"is",#N/A,FALSE,"historicIS";"ratios",#N/A,FALSE,"ratios"}</definedName>
    <definedName name="ке" hidden="1">#REF!</definedName>
    <definedName name="кее5н" hidden="1">#REF!</definedName>
    <definedName name="кенг" hidden="1">#REF!</definedName>
    <definedName name="кене" hidden="1">#REF!</definedName>
    <definedName name="кенрпав" hidden="1">{"glc1",#N/A,FALSE,"GLC";"glc2",#N/A,FALSE,"GLC";"glc3",#N/A,FALSE,"GLC";"glc4",#N/A,FALSE,"GLC";"glc5",#N/A,FALSE,"GLC"}</definedName>
    <definedName name="керкер" hidden="1">{"'Prices'!$A$4:$J$27"}</definedName>
    <definedName name="КЕУКЕУКЕ" hidden="1">{#N/A,#N/A,TRUE,"Буржуям"}</definedName>
    <definedName name="КЕУКПУПКУКП" hidden="1">{#N/A,#N/A,TRUE,"Буржуям"}</definedName>
    <definedName name="Кипр" hidden="1">#REF!</definedName>
    <definedName name="ккеке" hidden="1">#REF!</definedName>
    <definedName name="КККККККК" hidden="1">{#N/A,#N/A,TRUE,"Буржуям"}</definedName>
    <definedName name="КККККУУУ" hidden="1">{#N/A,#N/A,TRUE,"Буржуям"}</definedName>
    <definedName name="книга222" hidden="1">{#N/A,#N/A,TRUE,"Буржуям"}</definedName>
    <definedName name="кно" hidden="1">{"'Prices'!$A$4:$J$27"}</definedName>
    <definedName name="контр" hidden="1">{"glc1",#N/A,FALSE,"GLC";"glc2",#N/A,FALSE,"GLC";"glc3",#N/A,FALSE,"GLC";"glc4",#N/A,FALSE,"GLC";"glc5",#N/A,FALSE,"GLC"}</definedName>
    <definedName name="Контракт2" hidden="1">{"glc1",#N/A,FALSE,"GLC";"glc2",#N/A,FALSE,"GLC";"glc3",#N/A,FALSE,"GLC";"glc4",#N/A,FALSE,"GLC";"glc5",#N/A,FALSE,"GLC"}</definedName>
    <definedName name="конф" hidden="1">{"'РП (2)'!$A$5:$S$150"}</definedName>
    <definedName name="копия2" hidden="1">{#N/A,#N/A,FALSE,"Aging Summary";#N/A,#N/A,FALSE,"Ratio Analysis";#N/A,#N/A,FALSE,"Test 120 Day Accts";#N/A,#N/A,FALSE,"Tickmarks"}</definedName>
    <definedName name="корова" hidden="1">{#N/A,#N/A,TRUE,"Буржуям"}</definedName>
    <definedName name="кппп" hidden="1">#REF!</definedName>
    <definedName name="КР" hidden="1">{"'Sheet1'!$A$1:$G$96","'Sheet1'!$A$1:$H$96"}</definedName>
    <definedName name="КРАСНОЯРСК" hidden="1">{"'РП (2)'!$A$5:$S$150"}</definedName>
    <definedName name="красныйц" hidden="1">{#N/A,#N/A,TRUE,"Буржуям"}</definedName>
    <definedName name="кс" hidden="1">{"glc1",#N/A,FALSE,"GLC";"glc2",#N/A,FALSE,"GLC";"glc3",#N/A,FALSE,"GLC";"glc4",#N/A,FALSE,"GLC";"glc5",#N/A,FALSE,"GLC"}</definedName>
    <definedName name="КС_1" hidden="1">{"glc1",#N/A,FALSE,"GLC";"glc2",#N/A,FALSE,"GLC";"glc3",#N/A,FALSE,"GLC";"glc4",#N/A,FALSE,"GLC";"glc5",#N/A,FALSE,"GLC"}</definedName>
    <definedName name="курнана" hidden="1">{"assets",#N/A,FALSE,"historicBS";"liab",#N/A,FALSE,"historicBS";"is",#N/A,FALSE,"historicIS";"ratios",#N/A,FALSE,"ratios"}</definedName>
    <definedName name="КЭШ" hidden="1">{#N/A,#N/A,FALSE,"Расчет вспомогательных"}</definedName>
    <definedName name="ла" hidden="1">{#N/A,#N/A,TRUE,"Буржуям"}</definedName>
    <definedName name="лао" hidden="1">{#N/A,#N/A,FALSE,"Virgin Flightdeck"}</definedName>
    <definedName name="лдл" hidden="1">#REF!</definedName>
    <definedName name="лдоп" hidden="1">{#N/A,#N/A,TRUE,"Буржуям"}</definedName>
    <definedName name="лдор" hidden="1">{"glc1",#N/A,FALSE,"GLC";"glc2",#N/A,FALSE,"GLC";"glc3",#N/A,FALSE,"GLC";"glc4",#N/A,FALSE,"GLC";"glc5",#N/A,FALSE,"GLC"}</definedName>
    <definedName name="лист" hidden="1">{#N/A,#N/A,TRUE,"Лист2"}</definedName>
    <definedName name="Лист1" hidden="1">{"COM",#N/A,FALSE,"800 10th"}</definedName>
    <definedName name="Лист2" hidden="1">{"Output-3Column",#N/A,FALSE,"Output"}</definedName>
    <definedName name="лкон" hidden="1">{"'Prices'!$A$4:$J$27"}</definedName>
    <definedName name="лл" hidden="1">{#VALUE!,#N/A,TRUE,0}</definedName>
    <definedName name="лл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ллл" hidden="1">{#VALUE!,#N/A,TRUE,0}</definedName>
    <definedName name="ллллл" hidden="1">#REF!</definedName>
    <definedName name="лллллллллллл" hidden="1">{"Valuation_Common",#N/A,FALSE,"Valuation"}</definedName>
    <definedName name="ллшш" hidden="1">#REF!</definedName>
    <definedName name="ло" hidden="1">{"glc1",#N/A,FALSE,"GLC";"glc2",#N/A,FALSE,"GLC";"glc3",#N/A,FALSE,"GLC";"glc4",#N/A,FALSE,"GLC";"glc5",#N/A,FALSE,"GLC"}</definedName>
    <definedName name="локо" hidden="1">{"assets",#N/A,FALSE,"historicBS";"liab",#N/A,FALSE,"historicBS";"is",#N/A,FALSE,"historicIS";"ratios",#N/A,FALSE,"ratios"}</definedName>
    <definedName name="лококо" hidden="1">{"glcbs",#N/A,FALSE,"GLCBS";"glccsbs",#N/A,FALSE,"GLCCSBS";"glcis",#N/A,FALSE,"GLCIS";"glccsis",#N/A,FALSE,"GLCCSIS";"glcrat1",#N/A,FALSE,"GLC-ratios1"}</definedName>
    <definedName name="лол" hidden="1">#REF!</definedName>
    <definedName name="лоло" hidden="1">{"'Sheet1'!$A$1:$G$96","'Sheet1'!$A$1:$H$96"}</definedName>
    <definedName name="лолол" hidden="1">{"glc1",#N/A,FALSE,"GLC";"glc2",#N/A,FALSE,"GLC";"glc3",#N/A,FALSE,"GLC";"glc4",#N/A,FALSE,"GLC";"glc5",#N/A,FALSE,"GLC"}</definedName>
    <definedName name="лолр" hidden="1">#REF!</definedName>
    <definedName name="лопа" hidden="1">{#N/A,#N/A,FALSE,"Расчет вспомогательных"}</definedName>
    <definedName name="ЛОПОРП" hidden="1">{#VALUE!,#N/A,TRUE,0}</definedName>
    <definedName name="лорпа" hidden="1">{"glc1",#N/A,FALSE,"GLC";"glc2",#N/A,FALSE,"GLC";"glc3",#N/A,FALSE,"GLC";"glc4",#N/A,FALSE,"GLC";"glc5",#N/A,FALSE,"GLC"}</definedName>
    <definedName name="лорпк" hidden="1">{"glc1",#N/A,FALSE,"GLC";"glc2",#N/A,FALSE,"GLC";"glc3",#N/A,FALSE,"GLC";"glc4",#N/A,FALSE,"GLC";"glc5",#N/A,FALSE,"GLC"}</definedName>
    <definedName name="лортдл" hidden="1">{#N/A,#N/A,FALSE,"Aging Summary";#N/A,#N/A,FALSE,"Ratio Analysis";#N/A,#N/A,FALSE,"Test 120 Day Accts";#N/A,#N/A,FALSE,"Tickmarks"}</definedName>
    <definedName name="лофывап" hidden="1">{#N/A,#N/A,FALSE,"Aging Summary";#N/A,#N/A,FALSE,"Ratio Analysis";#N/A,#N/A,FALSE,"Test 120 Day Accts";#N/A,#N/A,FALSE,"Tickmarks"}</definedName>
    <definedName name="лповрывп" hidden="1">{"glc1",#N/A,FALSE,"GLC";"glc2",#N/A,FALSE,"GLC";"glc3",#N/A,FALSE,"GLC";"glc4",#N/A,FALSE,"GLC";"glc5",#N/A,FALSE,"GLC"}</definedName>
    <definedName name="лпрап" hidden="1">{"'Sheet1'!$A$1:$G$85"}</definedName>
    <definedName name="лрпро" hidden="1">{"'Sheet1'!$A$1:$G$85"}</definedName>
    <definedName name="лфлфлфлфф" hidden="1">{"glc1",#N/A,FALSE,"GLC";"glc2",#N/A,FALSE,"GLC";"glc3",#N/A,FALSE,"GLC";"glc4",#N/A,FALSE,"GLC";"glc5",#N/A,FALSE,"GLC"}</definedName>
    <definedName name="Люзя" hidden="1">{#N/A,#N/A,TRUE,"Буржуям"}</definedName>
    <definedName name="Ля" hidden="1">{"'Sheet1'!$A$1:$G$96","'Sheet1'!$A$1:$H$96"}</definedName>
    <definedName name="м" hidden="1">{#N/A,#N/A,FALSE,"Aging Summary";#N/A,#N/A,FALSE,"Ratio Analysis";#N/A,#N/A,FALSE,"Test 120 Day Accts";#N/A,#N/A,FALSE,"Tickmarks"}</definedName>
    <definedName name="М2.01.08" hidden="1">{#N/A,#N/A,TRUE,"Буржуям"}</definedName>
    <definedName name="ма" hidden="1">{"assets",#N/A,FALSE,"historicBS";"liab",#N/A,FALSE,"historicBS";"is",#N/A,FALSE,"historicIS";"ratios",#N/A,FALSE,"ratios"}</definedName>
    <definedName name="маа" hidden="1">#REF!</definedName>
    <definedName name="май" hidden="1">{#N/A,#N/A,FALSE,"Aging Summary";#N/A,#N/A,FALSE,"Ratio Analysis";#N/A,#N/A,FALSE,"Test 120 Day Accts";#N/A,#N/A,FALSE,"Tickmarks"}</definedName>
    <definedName name="май5" hidden="1">{#N/A,#N/A,TRUE,"Буржуям"}</definedName>
    <definedName name="мапор" hidden="1">{"'Sheet1'!$A$1:$G$85"}</definedName>
    <definedName name="март" hidden="1">{#N/A,#N/A,TRUE,"Буржуям"}</definedName>
    <definedName name="март2" hidden="1">{#N/A,#N/A,TRUE,"Буржуям"}</definedName>
    <definedName name="март3" hidden="1">{#N/A,#N/A,TRUE,"Буржуям"}</definedName>
    <definedName name="март5" hidden="1">{#N/A,#N/A,TRUE,"Буржуям"}</definedName>
    <definedName name="МВЗ" hidden="1">#REF!</definedName>
    <definedName name="мес" hidden="1">{#N/A,#N/A,TRUE,"Буржуям"}</definedName>
    <definedName name="месяц5" hidden="1">{#N/A,#N/A,TRUE,"Буржуям"}</definedName>
    <definedName name="ми"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мим" hidden="1">#REF!</definedName>
    <definedName name="мит" hidden="1">{"assets",#N/A,FALSE,"historicBS";"liab",#N/A,FALSE,"historicBS";"is",#N/A,FALSE,"historicIS";"ratios",#N/A,FALSE,"ratios"}</definedName>
    <definedName name="мм" hidden="1">#REF!</definedName>
    <definedName name="мми" hidden="1">#REF!</definedName>
    <definedName name="ммм" hidden="1">#REF!</definedName>
    <definedName name="мммм" hidden="1">{#N/A,#N/A,TRUE,"Буржуям"}</definedName>
    <definedName name="мост" hidden="1">{#N/A,#N/A,TRUE,"Буржуям"}</definedName>
    <definedName name="мс" hidden="1">#REF!</definedName>
    <definedName name="мча" hidden="1">#REF!</definedName>
    <definedName name="мым" hidden="1">#REF!</definedName>
    <definedName name="н.форма" hidden="1">{#N/A,#N/A,TRUE,"Буржуям"}</definedName>
    <definedName name="нак" hidden="1">{"'Sheet1'!$A$1:$G$85"}</definedName>
    <definedName name="нал" hidden="1">{#VALUE!,#N/A,TRUE,0}</definedName>
    <definedName name="налоги" hidden="1">{"'Sheet1'!$A$1:$G$96","'Sheet1'!$A$1:$H$96"}</definedName>
    <definedName name="налоги1" hidden="1">{#N/A,#N/A,TRUE,"Буржуям"}</definedName>
    <definedName name="налоги2" hidden="1">{"'Sheet1'!$A$1:$G$96","'Sheet1'!$A$1:$H$96"}</definedName>
    <definedName name="налоги3" hidden="1">{#N/A,#N/A,TRUE,"Буржуям"}</definedName>
    <definedName name="наш" hidden="1">{#N/A,#N/A,TRUE,"Буржуям"}</definedName>
    <definedName name="нвощщзимыф" hidden="1">{"glc1",#N/A,FALSE,"GLC";"glc2",#N/A,FALSE,"GLC";"glc3",#N/A,FALSE,"GLC";"glc4",#N/A,FALSE,"GLC";"glc5",#N/A,FALSE,"GLC"}</definedName>
    <definedName name="нг" hidden="1">{"assets",#N/A,FALSE,"historicBS";"liab",#N/A,FALSE,"historicBS";"is",#N/A,FALSE,"historicIS";"ratios",#N/A,FALSE,"ratios"}</definedName>
    <definedName name="нгггш" hidden="1">#REF!</definedName>
    <definedName name="нгкг" hidden="1">{#N/A,#N/A,FALSE,"Расчет вспомогательных"}</definedName>
    <definedName name="неенг" hidden="1">{"Valuation",#N/A,TRUE,"Valuation Summary";"Financial Statements",#N/A,TRUE,"Results";"Results",#N/A,TRUE,"Results";"Ratios",#N/A,TRUE,"Results";"P2 Summary",#N/A,TRUE,"Results"}</definedName>
    <definedName name="неоео" hidden="1">#REF!</definedName>
    <definedName name="ни" hidden="1">{#N/A,#N/A,TRUE,"Лист2"}</definedName>
    <definedName name="ниокр" hidden="1">{#N/A,#N/A,TRUE,"Буржуям"}</definedName>
    <definedName name="нкенкен" hidden="1">{"Valuation",#N/A,TRUE,"Valuation Summary";"Financial Statements",#N/A,TRUE,"Results";"Results",#N/A,TRUE,"Results";"Ratios",#N/A,TRUE,"Results";"P2 Summary",#N/A,TRUE,"Results"}</definedName>
    <definedName name="нкенкенке" hidden="1">{"Valuation",#N/A,TRUE,"Valuation Summary";"Financial Statements",#N/A,TRUE,"Results";"Results",#N/A,TRUE,"Results";"Ratios",#N/A,TRUE,"Results";"P2 Summary",#N/A,TRUE,"Results";"Historical data",#N/A,TRUE,"Historical Data";"P1 Inputs",#N/A,TRUE,"Forecast Drivers";"P2 Inputs",#N/A,TRUE,"Forecast Drivers"}</definedName>
    <definedName name="нн" hidden="1">{#VALUE!,#N/A,TRUE,0}</definedName>
    <definedName name="ннненен" hidden="1">{"glc1",#N/A,FALSE,"GLC";"glc2",#N/A,FALSE,"GLC";"glc3",#N/A,FALSE,"GLC";"glc4",#N/A,FALSE,"GLC";"glc5",#N/A,FALSE,"GLC"}</definedName>
    <definedName name="нннн" hidden="1">#REF!</definedName>
    <definedName name="нннне" hidden="1">#REF!</definedName>
    <definedName name="ннрнр" hidden="1">#REF!</definedName>
    <definedName name="новое" hidden="1">{#VALUE!,#N/A,TRUE,0}</definedName>
    <definedName name="нпавыр" hidden="1">#N/A</definedName>
    <definedName name="нравпор" hidden="1">{"glc1",#N/A,FALSE,"GLC";"glc2",#N/A,FALSE,"GLC";"glc3",#N/A,FALSE,"GLC";"glc4",#N/A,FALSE,"GLC";"glc5",#N/A,FALSE,"GLC"}</definedName>
    <definedName name="нрва" hidden="1">{"Output-Min",#N/A,FALSE,"Output"}</definedName>
    <definedName name="нрвпые" hidden="1">{"glc1",#N/A,FALSE,"GLC";"glc2",#N/A,FALSE,"GLC";"glc3",#N/A,FALSE,"GLC";"glc4",#N/A,FALSE,"GLC";"glc5",#N/A,FALSE,"GLC"}</definedName>
    <definedName name="нрг" hidden="1">#REF!</definedName>
    <definedName name="нрпаквуен" hidden="1">{"glc1",#N/A,FALSE,"GLC";"glc2",#N/A,FALSE,"GLC";"glc3",#N/A,FALSE,"GLC";"glc4",#N/A,FALSE,"GLC";"glc5",#N/A,FALSE,"GLC"}</definedName>
    <definedName name="нрпвеыа" hidden="1">#REF!</definedName>
    <definedName name="нрпвыора" hidden="1">{"glc1",#N/A,FALSE,"GLC";"glc2",#N/A,FALSE,"GLC";"glc3",#N/A,FALSE,"GLC";"glc4",#N/A,FALSE,"GLC";"glc5",#N/A,FALSE,"GLC"}</definedName>
    <definedName name="нрпеакв" hidden="1">{"glc1",#N/A,FALSE,"GLC";"glc2",#N/A,FALSE,"GLC";"glc3",#N/A,FALSE,"GLC";"glc4",#N/A,FALSE,"GLC";"glc5",#N/A,FALSE,"GLC"}</definedName>
    <definedName name="нрпекафд" hidden="1">{"glc1",#N/A,FALSE,"GLC";"glc2",#N/A,FALSE,"GLC";"glc3",#N/A,FALSE,"GLC";"glc4",#N/A,FALSE,"GLC";"glc5",#N/A,FALSE,"GLC"}</definedName>
    <definedName name="нрпфшщц" hidden="1">{"ÜBERSICHT",#N/A,FALSE,"ABW KUM";"Kostenzoom",#N/A,FALSE,"ABW KUM";"ÜBERSICHT",#N/A,FALSE,"ABW HORE";"Kostenzoom",#N/A,FALSE,"ABW HORE"}</definedName>
    <definedName name="нур" hidden="1">{#N/A,#N/A,TRUE,"Буржуям"}</definedName>
    <definedName name="нурис" hidden="1">{#N/A,#N/A,TRUE,"Буржуям"}</definedName>
    <definedName name="нурисламова" hidden="1">{#N/A,#N/A,TRUE,"Буржуям"}</definedName>
    <definedName name="о" hidden="1">{"Valuation_Common",#N/A,FALSE,"Valuation"}</definedName>
    <definedName name="о61005" hidden="1">{"print95",#N/A,FALSE,"1995E.XLS";"print96",#N/A,FALSE,"1996E.XLS"}</definedName>
    <definedName name="оаенг" hidden="1">{"Valuation",#N/A,TRUE,"Valuation Summary";"Financial Statements",#N/A,TRUE,"Results";"Results",#N/A,TRUE,"Results";"Ratios",#N/A,TRUE,"Results";"P2 Summary",#N/A,TRUE,"Results"}</definedName>
    <definedName name="оар" hidden="1">{"'интерфейс'!$J$31:$M$43"}</definedName>
    <definedName name="обл" hidden="1">{#N/A,#N/A,FALSE,"Aging Summary";#N/A,#N/A,FALSE,"Ratio Analysis";#N/A,#N/A,FALSE,"Test 120 Day Accts";#N/A,#N/A,FALSE,"Tickmarks"}</definedName>
    <definedName name="од" hidden="1">{"Valuation_Common",#N/A,FALSE,"Valuation"}</definedName>
    <definedName name="оеаоеа" hidden="1">#REF!</definedName>
    <definedName name="ожж" hidden="1">{#N/A,#N/A,TRUE,"Буржуям"}</definedName>
    <definedName name="ОИ" hidden="1">{#N/A,#N/A,TRUE,"Лист3"}</definedName>
    <definedName name="океоокуаыа" hidden="1">{"'Sheet1'!$A$1:$G$85"}</definedName>
    <definedName name="окт." hidden="1">{"'Sheet1'!$A$1:$G$96","'Sheet1'!$A$1:$H$96"}</definedName>
    <definedName name="октябрь" hidden="1">{#N/A,#N/A,TRUE,"Буржуям"}</definedName>
    <definedName name="ол" hidden="1">{#N/A,#N/A,TRUE,"Лист2"}</definedName>
    <definedName name="олдж" hidden="1">{"Valuation_Common",#N/A,FALSE,"Valuation"}</definedName>
    <definedName name="олололол" hidden="1">{"glc1",#N/A,FALSE,"GLC";"glc2",#N/A,FALSE,"GLC";"glc3",#N/A,FALSE,"GLC";"glc4",#N/A,FALSE,"GLC";"glc5",#N/A,FALSE,"GLC"}</definedName>
    <definedName name="ололололол" hidden="1">{"glc1",#N/A,FALSE,"GLC";"glc2",#N/A,FALSE,"GLC";"glc3",#N/A,FALSE,"GLC";"glc4",#N/A,FALSE,"GLC";"glc5",#N/A,FALSE,"GLC"}</definedName>
    <definedName name="олтьпо" hidden="1">Main.SAPF4Help()</definedName>
    <definedName name="оо" hidden="1">{#N/A,#N/A,FALSE,"Aging Summary";#N/A,#N/A,FALSE,"Ratio Analysis";#N/A,#N/A,FALSE,"Test 120 Day Accts";#N/A,#N/A,FALSE,"Tickmarks"}</definedName>
    <definedName name="ооаоаоаоао" hidden="1">{"glc1",#N/A,FALSE,"GLC";"glc2",#N/A,FALSE,"GLC";"glc3",#N/A,FALSE,"GLC";"glc4",#N/A,FALSE,"GLC";"glc5",#N/A,FALSE,"GLC"}</definedName>
    <definedName name="ооллл" hidden="1">#REF!</definedName>
    <definedName name="ооо" hidden="1">{"'Sheet1'!$A$1:$G$96","'Sheet1'!$A$1:$H$96"}</definedName>
    <definedName name="оооо" hidden="1">#REF!</definedName>
    <definedName name="ооооо" hidden="1">#REF!</definedName>
    <definedName name="оопооопопопопо" hidden="1">{#N/A,#N/A,FALSE,"Aging Summary";#N/A,#N/A,FALSE,"Ratio Analysis";#N/A,#N/A,FALSE,"Test 120 Day Accts";#N/A,#N/A,FALSE,"Tickmarks"}</definedName>
    <definedName name="оорп" hidden="1">{#N/A,#N/A,TRUE,"Буржуям"}</definedName>
    <definedName name="оперативно" hidden="1">{#N/A,#N/A,TRUE,"Буржуям"}</definedName>
    <definedName name="оперативное" hidden="1">{#N/A,#N/A,TRUE,"Буржуям"}</definedName>
    <definedName name="оперативные" hidden="1">{#N/A,#N/A,TRUE,"Буржуям"}</definedName>
    <definedName name="описание" hidden="1">{"glc1",#N/A,FALSE,"GLC";"glc2",#N/A,FALSE,"GLC";"glc3",#N/A,FALSE,"GLC";"glc4",#N/A,FALSE,"GLC";"glc5",#N/A,FALSE,"GLC"}</definedName>
    <definedName name="ор" hidden="1">{"glc1",#N/A,FALSE,"GLC";"glc2",#N/A,FALSE,"GLC";"glc3",#N/A,FALSE,"GLC";"glc4",#N/A,FALSE,"GLC";"glc5",#N/A,FALSE,"GLC"}</definedName>
    <definedName name="ори" hidden="1">{"glc1",#N/A,FALSE,"GLC";"glc2",#N/A,FALSE,"GLC";"glc3",#N/A,FALSE,"GLC";"glc4",#N/A,FALSE,"GLC";"glc5",#N/A,FALSE,"GLC"}</definedName>
    <definedName name="орп" hidden="1">{"'Prices'!$A$4:$J$27"}</definedName>
    <definedName name="орпавфыф" hidden="1">{"glc1",#N/A,FALSE,"GLC";"glc2",#N/A,FALSE,"GLC";"glc3",#N/A,FALSE,"GLC";"glc4",#N/A,FALSE,"GLC";"glc5",#N/A,FALSE,"GLC"}</definedName>
    <definedName name="орпарв" hidden="1">{"glc1",#N/A,FALSE,"GLC";"glc2",#N/A,FALSE,"GLC";"glc3",#N/A,FALSE,"GLC";"glc4",#N/A,FALSE,"GLC";"glc5",#N/A,FALSE,"GLC"}</definedName>
    <definedName name="орпваыв" hidden="1">{"assets",#N/A,FALSE,"historicBS";"liab",#N/A,FALSE,"historicBS";"is",#N/A,FALSE,"historicIS";"ratios",#N/A,FALSE,"ratios"}</definedName>
    <definedName name="орпорп" hidden="1">{#VALUE!,#N/A,TRUE,0}</definedName>
    <definedName name="орукздл" hidden="1">{"glc1",#N/A,FALSE,"GLC";"glc2",#N/A,FALSE,"GLC";"glc3",#N/A,FALSE,"GLC";"glc4",#N/A,FALSE,"GLC";"glc5",#N/A,FALSE,"GLC"}</definedName>
    <definedName name="Отклонение2" hidden="1">{#N/A,#N/A,TRUE,"Лист2"}</definedName>
    <definedName name="отчет" hidden="1">{#N/A,#N/A,TRUE,"Буржуям"}</definedName>
    <definedName name="ОФР2" hidden="1">{"'интерфейс'!$J$31:$M$43"}</definedName>
    <definedName name="ОФР3" hidden="1">{"'интерфейс'!$J$31:$M$43"}</definedName>
    <definedName name="оьо" hidden="1">#REF!</definedName>
    <definedName name="оьщжш" hidden="1">{"'Prices'!$A$4:$J$27"}</definedName>
    <definedName name="п" hidden="1">{"glc1",#N/A,FALSE,"GLC";"glc2",#N/A,FALSE,"GLC";"glc3",#N/A,FALSE,"GLC";"glc4",#N/A,FALSE,"GLC";"glc5",#N/A,FALSE,"GLC"}</definedName>
    <definedName name="павпавпас" hidden="1">#REF!</definedName>
    <definedName name="панорама" hidden="1">{#N/A,#N/A,TRUE,"Буржуям"}</definedName>
    <definedName name="папа" hidden="1">{"konoplin - Личное представление",#N/A,TRUE,"ФинПлан_1кв";"konoplin - Личное представление",#N/A,TRUE,"ФинПлан_2кв"}</definedName>
    <definedName name="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ап" hidden="1">#REF!</definedName>
    <definedName name="перл" hidden="1">{"'Sheet1'!$A$1:$G$96","'Sheet1'!$A$1:$H$96"}</definedName>
    <definedName name="пиит" hidden="1">{"'Prices'!$A$4:$J$27"}</definedName>
    <definedName name="пип" hidden="1">#REF!</definedName>
    <definedName name="пипп" hidden="1">#REF!</definedName>
    <definedName name="пй" hidden="1">{#N/A,#N/A,FALSE,"Aging Summary";#N/A,#N/A,FALSE,"Ratio Analysis";#N/A,#N/A,FALSE,"Test 120 Day Accts";#N/A,#N/A,FALSE,"Tickmarks"}</definedName>
    <definedName name="плата" hidden="1">{#N/A,#N/A,TRUE,"Буржуям"}</definedName>
    <definedName name="ПЛО" hidden="1">{#N/A,#N/A,TRUE,"Буржуям"}</definedName>
    <definedName name="пм_ке" hidden="1">#REF!</definedName>
    <definedName name="пм_руфвук2" hidden="1">#REF!</definedName>
    <definedName name="пм_ыефке00ц" hidden="1">#REF!</definedName>
    <definedName name="помощь" hidden="1">{#N/A,#N/A,TRUE,"Буржуям"}</definedName>
    <definedName name="попопопопопо" hidden="1">{"glc1",#N/A,FALSE,"GLC";"glc2",#N/A,FALSE,"GLC";"glc3",#N/A,FALSE,"GLC";"glc4",#N/A,FALSE,"GLC";"glc5",#N/A,FALSE,"GLC"}</definedName>
    <definedName name="попопоппопо" hidden="1">{"glc1",#N/A,FALSE,"GLC";"glc2",#N/A,FALSE,"GLC";"glc3",#N/A,FALSE,"GLC";"glc4",#N/A,FALSE,"GLC";"glc5",#N/A,FALSE,"GLC"}</definedName>
    <definedName name="пороророророрхз" hidden="1">{"glc1",#N/A,FALSE,"GLC";"glc2",#N/A,FALSE,"GLC";"glc3",#N/A,FALSE,"GLC";"glc4",#N/A,FALSE,"GLC";"glc5",#N/A,FALSE,"GLC"}</definedName>
    <definedName name="почие" hidden="1">{#N/A,#N/A,TRUE,"Буржуям"}</definedName>
    <definedName name="пп" hidden="1">{#N/A,#N/A,FALSE,"Aging Summary";#N/A,#N/A,FALSE,"Ratio Analysis";#N/A,#N/A,FALSE,"Test 120 Day Accts";#N/A,#N/A,FALSE,"Tickmarks"}</definedName>
    <definedName name="ппп" hidden="1">{"assets",#N/A,FALSE,"historicBS";"liab",#N/A,FALSE,"historicBS";"is",#N/A,FALSE,"historicIS";"ratios",#N/A,FALSE,"ratios"}</definedName>
    <definedName name="пппп" hidden="1">#REF!</definedName>
    <definedName name="пппппп" hidden="1">{#N/A,#N/A,FALSE,"Virgin Flightdeck"}</definedName>
    <definedName name="ППППППП" hidden="1">{#N/A,#N/A,TRUE,"Буржуям"}</definedName>
    <definedName name="пппппппп" hidden="1">{"'Sheet1'!$A$1:$G$85"}</definedName>
    <definedName name="ппр" hidden="1">#REF!</definedName>
    <definedName name="пр" hidden="1">{"assets",#N/A,FALSE,"historicBS";"liab",#N/A,FALSE,"historicBS";"is",#N/A,FALSE,"historicIS";"ratios",#N/A,FALSE,"ratios"}</definedName>
    <definedName name="предметы" hidden="1">{#N/A,#N/A,TRUE,"Буржуям"}</definedName>
    <definedName name="приб" hidden="1">{#N/A,#N/A,TRUE,"Буржуям"}</definedName>
    <definedName name="Прибыль" hidden="1">{#N/A,#N/A,TRUE,"Буржуям"}</definedName>
    <definedName name="привет" hidden="1">{"Valuation_Common",#N/A,FALSE,"Valuation"}</definedName>
    <definedName name="прнылг" hidden="1">{"glc1",#N/A,FALSE,"GLC";"glc2",#N/A,FALSE,"GLC";"glc3",#N/A,FALSE,"GLC";"glc4",#N/A,FALSE,"GLC";"glc5",#N/A,FALSE,"GLC"}</definedName>
    <definedName name="про" hidden="1">#REF!</definedName>
    <definedName name="проав" hidden="1">{"glc1",#N/A,FALSE,"GLC";"glc2",#N/A,FALSE,"GLC";"glc3",#N/A,FALSE,"GLC";"glc4",#N/A,FALSE,"GLC";"glc5",#N/A,FALSE,"GLC"}</definedName>
    <definedName name="проба" hidden="1">{"NWN_Q1810",#N/A,FALSE,"Q1810_1.V";"NWN_Q1412",#N/A,FALSE,"Q1412_1"}</definedName>
    <definedName name="проба1" hidden="1">{"NWN_Q1810",#N/A,FALSE,"Q1810_1.V";"NWN_Q1412",#N/A,FALSE,"Q1412_1"}</definedName>
    <definedName name="проезд" hidden="1">{#N/A,#N/A,TRUE,"Буржуям"}</definedName>
    <definedName name="прон" hidden="1">{"assets",#N/A,FALSE,"historicBS";"liab",#N/A,FALSE,"historicBS";"is",#N/A,FALSE,"historicIS";"ratios",#N/A,FALSE,"ratios"}</definedName>
    <definedName name="пропуск" hidden="1">#REF!</definedName>
    <definedName name="проспект" hidden="1">{"assets",#N/A,FALSE,"historicBS";"liab",#N/A,FALSE,"historicBS";"is",#N/A,FALSE,"historicIS";"ratios",#N/A,FALSE,"ratios"}</definedName>
    <definedName name="проф.усл._план_09" hidden="1">{"Valuation",#N/A,TRUE,"Valuation Summary";"Financial Statements",#N/A,TRUE,"Results";"Results",#N/A,TRUE,"Results";"Ratios",#N/A,TRUE,"Results";"P2 Summary",#N/A,TRUE,"Results"}</definedName>
    <definedName name="Прочее" hidden="1">{#N/A,#N/A,TRUE,"Буржуям"}</definedName>
    <definedName name="прпр" hidden="1">#REF!</definedName>
    <definedName name="прпроо" hidden="1">#REF!</definedName>
    <definedName name="прпрпр" hidden="1">{"glc1",#N/A,FALSE,"GLC";"glc2",#N/A,FALSE,"GLC";"glc3",#N/A,FALSE,"GLC";"glc4",#N/A,FALSE,"GLC";"glc5",#N/A,FALSE,"GLC"}</definedName>
    <definedName name="прпрпрпрппр" hidden="1">{"glc1",#N/A,FALSE,"GLC";"glc2",#N/A,FALSE,"GLC";"glc3",#N/A,FALSE,"GLC";"glc4",#N/A,FALSE,"GLC";"glc5",#N/A,FALSE,"GLC"}</definedName>
    <definedName name="прпрпрпрпрпрпрпрпрпрр" hidden="1">{"glc1",#N/A,FALSE,"GLC";"glc2",#N/A,FALSE,"GLC";"glc3",#N/A,FALSE,"GLC";"glc4",#N/A,FALSE,"GLC";"glc5",#N/A,FALSE,"GLC"}</definedName>
    <definedName name="прро" hidden="1">{#N/A,#N/A,TRUE,"Буржуям"}</definedName>
    <definedName name="пррпрпрпрпр" hidden="1">{"glc1",#N/A,FALSE,"GLC";"glc2",#N/A,FALSE,"GLC";"glc3",#N/A,FALSE,"GLC";"glc4",#N/A,FALSE,"GLC";"glc5",#N/A,FALSE,"GLC"}</definedName>
    <definedName name="прьь" hidden="1">{"'Prices'!$A$4:$J$27"}</definedName>
    <definedName name="пс" hidden="1">{"glc1",#N/A,FALSE,"GLC";"glc2",#N/A,FALSE,"GLC";"glc3",#N/A,FALSE,"GLC";"glc4",#N/A,FALSE,"GLC";"glc5",#N/A,FALSE,"GLC"}</definedName>
    <definedName name="пфз" hidden="1">#REF!</definedName>
    <definedName name="пыпыппывапа" hidden="1">#REF!,#REF!,#REF!</definedName>
    <definedName name="р1" hidden="1">{"'Sheet1'!$A$1:$G$96","'Sheet1'!$A$1:$H$96"}</definedName>
    <definedName name="равы" hidden="1">{"glc1",#N/A,FALSE,"GLC";"glc2",#N/A,FALSE,"GLC";"glc3",#N/A,FALSE,"GLC";"glc4",#N/A,FALSE,"GLC";"glc5",#N/A,FALSE,"GLC"}</definedName>
    <definedName name="Разное" hidden="1">{"Valuation_Common",#N/A,FALSE,"Valuation"}</definedName>
    <definedName name="рарарара" hidden="1">{#N/A,#N/A,FALSE,"PM req"}</definedName>
    <definedName name="расфивровка" hidden="1">{#N/A,#N/A,TRUE,"Буржуям"}</definedName>
    <definedName name="расход" hidden="1">{#N/A,#N/A,TRUE,"Буржуям"}</definedName>
    <definedName name="расч" hidden="1">{"risultati",#N/A,FALSE,"Revenues";"ricavi advertising",#N/A,FALSE,"Revenues";"ricavi e-commerce",#N/A,FALSE,"Revenues";"ricavi fee for content",#N/A,FALSE,"Revenues";"costi infrastruttura",#N/A,FALSE,"Costi";"altri costi",#N/A,FALSE,"Costi";"conto economico",#N/A,FALSE,"Conto economico";"Flussi di cassa",#N/A,FALSE,"FCF"}</definedName>
    <definedName name="Расчет"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Результат_Доходный" hidden="1">{"glc1",#N/A,FALSE,"GLC";"glc2",#N/A,FALSE,"GLC";"glc3",#N/A,FALSE,"GLC";"glc4",#N/A,FALSE,"GLC";"glc5",#N/A,FALSE,"GLC"}</definedName>
    <definedName name="репррп" hidden="1">#REF!</definedName>
    <definedName name="рлдои" hidden="1">{#VALUE!,#N/A,TRUE,0}</definedName>
    <definedName name="РО" hidden="1">#REF!</definedName>
    <definedName name="рог" hidden="1">#REF!</definedName>
    <definedName name="рооо" hidden="1">#REF!</definedName>
    <definedName name="ропавл" hidden="1">{#N/A,#N/A,FALSE,"Aging Summary";#N/A,#N/A,FALSE,"Ratio Analysis";#N/A,#N/A,FALSE,"Test 120 Day Accts";#N/A,#N/A,FALSE,"Tickmarks"}</definedName>
    <definedName name="роророр" hidden="1">#REF!</definedName>
    <definedName name="роророрждлв" hidden="1">{#N/A,#N/A,FALSE,"Aging Summary";#N/A,#N/A,FALSE,"Ratio Analysis";#N/A,#N/A,FALSE,"Test 120 Day Accts";#N/A,#N/A,FALSE,"Tickmarks"}</definedName>
    <definedName name="роророророр" hidden="1">{"glc1",#N/A,FALSE,"GLC";"glc2",#N/A,FALSE,"GLC";"glc3",#N/A,FALSE,"GLC";"glc4",#N/A,FALSE,"GLC";"glc5",#N/A,FALSE,"GLC"}</definedName>
    <definedName name="ророророророрждл" hidden="1">{"glc1",#N/A,FALSE,"GLC";"glc2",#N/A,FALSE,"GLC";"glc3",#N/A,FALSE,"GLC";"glc4",#N/A,FALSE,"GLC";"glc5",#N/A,FALSE,"GLC"}</definedName>
    <definedName name="ророророрро" hidden="1">{"glc1",#N/A,FALSE,"GLC";"glc2",#N/A,FALSE,"GLC";"glc3",#N/A,FALSE,"GLC";"glc4",#N/A,FALSE,"GLC";"glc5",#N/A,FALSE,"GLC"}</definedName>
    <definedName name="рост2" hidden="1">{"glc1",#N/A,FALSE,"GLC";"glc2",#N/A,FALSE,"GLC";"glc3",#N/A,FALSE,"GLC";"glc4",#N/A,FALSE,"GLC";"glc5",#N/A,FALSE,"GLC"}</definedName>
    <definedName name="рпаап" hidden="1">#REF!</definedName>
    <definedName name="рпавнннн" hidden="1">{#N/A,#N/A,FALSE,"Aging Summary";#N/A,#N/A,FALSE,"Ratio Analysis";#N/A,#N/A,FALSE,"Test 120 Day Accts";#N/A,#N/A,FALSE,"Tickmarks"}</definedName>
    <definedName name="рпавф" hidden="1">{"glc1",#N/A,FALSE,"GLC";"glc2",#N/A,FALSE,"GLC";"glc3",#N/A,FALSE,"GLC";"glc4",#N/A,FALSE,"GLC";"glc5",#N/A,FALSE,"GLC"}</definedName>
    <definedName name="рпвак" hidden="1">{"glc1",#N/A,FALSE,"GLC";"glc2",#N/A,FALSE,"GLC";"glc3",#N/A,FALSE,"GLC";"glc4",#N/A,FALSE,"GLC";"glc5",#N/A,FALSE,"GLC"}</definedName>
    <definedName name="рплд" hidden="1">{"'9'!$A$1:$S$99"}</definedName>
    <definedName name="рпппп" hidden="1">#REF!</definedName>
    <definedName name="рпр" hidden="1">#REF!</definedName>
    <definedName name="рпра" hidden="1">{"glc1",#N/A,FALSE,"GLC";"glc2",#N/A,FALSE,"GLC";"glc3",#N/A,FALSE,"GLC";"glc4",#N/A,FALSE,"GLC";"glc5",#N/A,FALSE,"GLC"}</definedName>
    <definedName name="рпрпрпрпрпр" hidden="1">{"glc1",#N/A,FALSE,"GLC";"glc2",#N/A,FALSE,"GLC";"glc3",#N/A,FALSE,"GLC";"glc4",#N/A,FALSE,"GLC";"glc5",#N/A,FALSE,"GLC"}</definedName>
    <definedName name="рреркк" hidden="1">#REF!</definedName>
    <definedName name="ррп" hidden="1">#REF!</definedName>
    <definedName name="рр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ррр" hidden="1">{#VALUE!,#N/A,TRUE,0}</definedName>
    <definedName name="ррррр" hidden="1">#REF!</definedName>
    <definedName name="рррррррррр" hidden="1">{"Valuation_Common",#N/A,FALSE,"Valuation"}</definedName>
    <definedName name="рррт" hidden="1">#REF!</definedName>
    <definedName name="ртр" hidden="1">#REF!</definedName>
    <definedName name="рьрь" hidden="1">{"'Prices'!$A$4:$J$27"}</definedName>
    <definedName name="с" hidden="1">{"'РП (2)'!$A$5:$S$150"}</definedName>
    <definedName name="са" hidden="1">{#N/A,#N/A,TRUE,"Буржуям"}</definedName>
    <definedName name="Садко" hidden="1">{"'интерфейс'!$J$31:$M$43"}</definedName>
    <definedName name="саша" hidden="1">#REF!</definedName>
    <definedName name="свсв" hidden="1">{#N/A,#N/A,FALSE,"Virgin Flightdeck"}</definedName>
    <definedName name="связи" hidden="1">{#N/A,#N/A,TRUE,"Буржуям"}</definedName>
    <definedName name="сгб" hidden="1">{"NWN_Q1810",#N/A,FALSE,"Q1810_1.V";"NWN_Q1412",#N/A,FALSE,"Q1412_1"}</definedName>
    <definedName name="сентябрь" hidden="1">{#N/A,#N/A,TRUE,"Буржуям"}</definedName>
    <definedName name="слон" hidden="1">{#N/A,#N/A,TRUE,"Буржуям"}</definedName>
    <definedName name="см" hidden="1">#REF!</definedName>
    <definedName name="смета" hidden="1">#REF!</definedName>
    <definedName name="Смета_2" hidden="1">{"NWN_Q1810",#N/A,FALSE,"Q1810_1.V";"NWN_Q1412",#N/A,FALSE,"Q1412_1"}</definedName>
    <definedName name="Смета_21" hidden="1">{"NWN_Q1810",#N/A,FALSE,"Q1810_1.V";"NWN_Q1412",#N/A,FALSE,"Q1412_1"}</definedName>
    <definedName name="смм" hidden="1">#REF!</definedName>
    <definedName name="смс" hidden="1">#REF!</definedName>
    <definedName name="снад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П" hidden="1">#REF!</definedName>
    <definedName name="содерж" hidden="1">{#N/A,#N/A,TRUE,"Буржуям"}</definedName>
    <definedName name="сон" hidden="1">{#N/A,#N/A,TRUE,"Буржуям"}</definedName>
    <definedName name="Соня" hidden="1">{#N/A,#N/A,TRUE,"Буржуям"}</definedName>
    <definedName name="соц.сфера" hidden="1">{#N/A,#N/A,TRUE,"Буржуям"}</definedName>
    <definedName name="соцсфера" hidden="1">{#N/A,#N/A,TRUE,"Буржуям"}</definedName>
    <definedName name="сп" hidden="1">{#N/A,#N/A,FALSE,"Aging Summary";#N/A,#N/A,FALSE,"Ratio Analysis";#N/A,#N/A,FALSE,"Test 120 Day Accts";#N/A,#N/A,FALSE,"Tickmarks"}</definedName>
    <definedName name="спонсор" hidden="1">{#N/A,#N/A,TRUE,"Буржуям"}</definedName>
    <definedName name="Сравн" hidden="1">{"assets",#N/A,FALSE,"historicBS";"liab",#N/A,FALSE,"historicBS";"is",#N/A,FALSE,"historicIS";"ratios",#N/A,FALSE,"ratios"}</definedName>
    <definedName name="Сравнение" hidden="1">{#VALUE!,#N/A,TRUE,0}</definedName>
    <definedName name="Срывнит" hidden="1">#REF!</definedName>
    <definedName name="ссс" hidden="1">{"risultati",#N/A,FALSE,"Revenues";"ricavi advertising",#N/A,FALSE,"Revenues";"ricavi e-commerce",#N/A,FALSE,"Revenues";"ricavi fee for content",#N/A,FALSE,"Revenues";"costi infrastruttura",#N/A,FALSE,"Costi";"altri costi",#N/A,FALSE,"Costi";"conto economico",#N/A,FALSE,"Conto economico";"Flussi di cassa",#N/A,FALSE,"FCF"}</definedName>
    <definedName name="ссссс" hidden="1">{"Valuation",#N/A,TRUE,"Valuation Summary";"Financial Statements",#N/A,TRUE,"Results";"Results",#N/A,TRUE,"Results";"Ratios",#N/A,TRUE,"Results";"P2 Summary",#N/A,TRUE,"Results"}</definedName>
    <definedName name="сталь" hidden="1">{#N/A,#N/A,TRUE,"Лист2"}</definedName>
    <definedName name="степнова" hidden="1">{#VALUE!,#N/A,TRUE,0}</definedName>
    <definedName name="Стр" hidden="1">{#N/A,#N/A,TRUE,"Буржуям"}</definedName>
    <definedName name="стр.5112" hidden="1">{#N/A,#N/A,FALSE,"Aging Summary";#N/A,#N/A,FALSE,"Ratio Analysis";#N/A,#N/A,FALSE,"Test 120 Day Accts";#N/A,#N/A,FALSE,"Tickmarks"}</definedName>
    <definedName name="Структэнерг" hidden="1">{#N/A,#N/A,TRUE,"Буржуям"}</definedName>
    <definedName name="Струкэнерг" hidden="1">{#N/A,#N/A,TRUE,"Буржуям"}</definedName>
    <definedName name="Стрэнерг" hidden="1">{#N/A,#N/A,TRUE,"Буржуям"}</definedName>
    <definedName name="сфера" hidden="1">{#N/A,#N/A,TRUE,"Буржуям"}</definedName>
    <definedName name="сч43" hidden="1">{#N/A,#N/A,FALSE,"Aging Summary";#N/A,#N/A,FALSE,"Ratio Analysis";#N/A,#N/A,FALSE,"Test 120 Day Accts";#N/A,#N/A,FALSE,"Tickmarks"}</definedName>
    <definedName name="счет" hidden="1">{#N/A,#N/A,TRUE,"Буржуям"}</definedName>
    <definedName name="т" hidden="1">{#N/A,#N/A,TRUE,"Лист2"}</definedName>
    <definedName name="т5" hidden="1">{"'Sheet1'!$A$1:$G$96","'Sheet1'!$A$1:$H$96"}</definedName>
    <definedName name="т7" hidden="1">{"'Sheet1'!$A$1:$G$96","'Sheet1'!$A$1:$H$96"}</definedName>
    <definedName name="табл" hidden="1">{#N/A,#N/A,FALSE,"Aging Summary";#N/A,#N/A,FALSE,"Ratio Analysis";#N/A,#N/A,FALSE,"Test 120 Day Accts";#N/A,#N/A,FALSE,"Tickmarks"}</definedName>
    <definedName name="Тайм" hidden="1">{"PRINTME",#N/A,FALSE,"FINAL-10"}</definedName>
    <definedName name="татьяна" hidden="1">{#N/A,#N/A,TRUE,"Буржуям"}</definedName>
    <definedName name="Типогр" hidden="1">{"NWN_Q1810",#N/A,FALSE,"Q1810_1.V";"NWN_Q1412",#N/A,FALSE,"Q1412_1"}</definedName>
    <definedName name="тня" hidden="1">{#N/A,#N/A,TRUE,"Буржуям"}</definedName>
    <definedName name="товар" hidden="1">{#N/A,#N/A,TRUE,"Буржуям"}</definedName>
    <definedName name="товары" hidden="1">{#N/A,#N/A,TRUE,"Буржуям"}</definedName>
    <definedName name="Торг" hidden="1">{#N/A,#N/A,FALSE,"Aging Summary";#N/A,#N/A,FALSE,"Ratio Analysis";#N/A,#N/A,FALSE,"Test 120 Day Accts";#N/A,#N/A,FALSE,"Tickmarks"}</definedName>
    <definedName name="ТП1" hidden="1">{#VALUE!,#N/A,TRUE,0}</definedName>
    <definedName name="ТПП" hidden="1">{#N/A,#N/A,TRUE,"Буржуям"}</definedName>
    <definedName name="трр" hidden="1">{"'Prices'!$A$4:$J$27"}</definedName>
    <definedName name="трт" hidden="1">#REF!</definedName>
    <definedName name="ттт" hidden="1">{"Valuation_Common",#N/A,FALSE,"Valuation"}</definedName>
    <definedName name="ттттттттттттллллл" hidden="1">{"Valuation_Common",#N/A,FALSE,"Valuation"}</definedName>
    <definedName name="ть"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ТЭО" hidden="1">{"'Prices'!$A$4:$J$27"}</definedName>
    <definedName name="тю"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у" hidden="1">{#N/A,#N/A,TRUE,"Буржуям"}</definedName>
    <definedName name="убыток" hidden="1">{#N/A,#N/A,TRUE,"Буржуям"}</definedName>
    <definedName name="увч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еуке4е" hidden="1">#REF!</definedName>
    <definedName name="ук" hidden="1">{"Valuation",#N/A,TRUE,"Valuation Summary";"Financial Statements",#N/A,TRUE,"Results";"Results",#N/A,TRUE,"Results";"Ratios",#N/A,TRUE,"Results";"P2 Summary",#N/A,TRUE,"Results"}</definedName>
    <definedName name="укпукп" hidden="1">{"'Prices'!$A$4:$J$27"}</definedName>
    <definedName name="укрр" hidden="1">{"'Prices'!$A$4:$J$27"}</definedName>
    <definedName name="УКУКУК" hidden="1">{#N/A,#N/A,TRUE,"Буржуям"}</definedName>
    <definedName name="укыер" hidden="1">{"'Sheet1'!$A$1:$G$85"}</definedName>
    <definedName name="Усл.своб" hidden="1">{"assets",#N/A,FALSE,"historicBS";"liab",#N/A,FALSE,"historicBS";"is",#N/A,FALSE,"historicIS";"ratios",#N/A,FALSE,"ratios"}</definedName>
    <definedName name="услуги" hidden="1">{#N/A,#N/A,TRUE,"Буржуям"}</definedName>
    <definedName name="Устав" hidden="1">{#N/A,#N/A,TRUE,"Буржуям"}</definedName>
    <definedName name="уточн.ож" hidden="1">{#N/A,#N/A,TRUE,"Буржуям"}</definedName>
    <definedName name="уу" hidden="1">{#N/A,#N/A,TRUE,"Буржуям"}</definedName>
    <definedName name="ууу" hidden="1">#REF!</definedName>
    <definedName name="ууук" hidden="1">#REF!</definedName>
    <definedName name="уууу" hidden="1">{"'интерфейс'!$J$31:$M$43"}</definedName>
    <definedName name="ууууу" hidden="1">{"'интерфейс'!$J$31:$M$43"}</definedName>
    <definedName name="уцка3" hidden="1">{"glc1",#N/A,FALSE,"GLC";"glc2",#N/A,FALSE,"GLC";"glc3",#N/A,FALSE,"GLC";"glc4",#N/A,FALSE,"GLC";"glc5",#N/A,FALSE,"GLC"}</definedName>
    <definedName name="уцукц" hidden="1">#REF!</definedName>
    <definedName name="ф" hidden="1">{#N/A,#N/A,TRUE,"Буржуям"}</definedName>
    <definedName name="ф2" hidden="1">{#N/A,#N/A,TRUE,"Лист2"}</definedName>
    <definedName name="ф3" hidden="1">{#N/A,#N/A,TRUE,"Лист2"}</definedName>
    <definedName name="ф9" hidden="1">{"'Sheet1'!$A$1:$G$96","'Sheet1'!$A$1:$H$96"}</definedName>
    <definedName name="Факторы" hidden="1">{#N/A,#N/A,FALSE,"Расчет вспомогательных"}</definedName>
    <definedName name="ФВАПФВАПФВАП" hidden="1">{#VALUE!,#N/A,TRUE,0}</definedName>
    <definedName name="ФВАПФВАПФВАПФВАПФВАП" hidden="1">{#VALUE!,#N/A,TRUE,0}</definedName>
    <definedName name="фвп" hidden="1">{#N/A,#N/A,FALSE,"Aging Summary";#N/A,#N/A,FALSE,"Ratio Analysis";#N/A,#N/A,FALSE,"Test 120 Day Accts";#N/A,#N/A,FALSE,"Tickmarks"}</definedName>
    <definedName name="февр" hidden="1">{#VALUE!,#N/A,TRUE,0}</definedName>
    <definedName name="финанс" hidden="1">{#N/A,#N/A,TRUE,"Буржуям"}</definedName>
    <definedName name="финансы" hidden="1">{#N/A,#N/A,TRUE,"Буржуям"}</definedName>
    <definedName name="ФЙУКАЕ" hidden="1">{#VALUE!,#N/A,TRUE,0}</definedName>
    <definedName name="фкнно" hidden="1">{"'Prices'!$A$4:$J$27"}</definedName>
    <definedName name="Фомичева" hidden="1">{"glc1",#N/A,FALSE,"GLC";"glc2",#N/A,FALSE,"GLC";"glc3",#N/A,FALSE,"GLC";"glc4",#N/A,FALSE,"GLC";"glc5",#N/A,FALSE,"GLC"}</definedName>
    <definedName name="фп" hidden="1">{"'Prices'!$A$4:$J$27"}</definedName>
    <definedName name="фп." hidden="1">#REF!,#REF!,#REF!,#REF!,#REF!,#REF!,#REF!</definedName>
    <definedName name="фпи" hidden="1">{"'Sheet1'!$A$1:$G$85"}</definedName>
    <definedName name="фплан" hidden="1">{#VALUE!,#N/A,TRUE,0}</definedName>
    <definedName name="фф" hidden="1">{#N/A,#N/A,TRUE,"Буржуям"}</definedName>
    <definedName name="ффпфк" hidden="1">{"glc1",#N/A,FALSE,"GLC";"glc2",#N/A,FALSE,"GLC";"glc3",#N/A,FALSE,"GLC";"glc4",#N/A,FALSE,"GLC";"glc5",#N/A,FALSE,"GLC"}</definedName>
    <definedName name="ффф" hidden="1">{"glc1",#N/A,FALSE,"GLC";"glc2",#N/A,FALSE,"GLC";"glc3",#N/A,FALSE,"GLC";"glc4",#N/A,FALSE,"GLC";"glc5",#N/A,FALSE,"GLC"}</definedName>
    <definedName name="ффффф"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фффффффф" hidden="1">{"'Sheet1'!$A$1:$G$85"}</definedName>
    <definedName name="ффыы" hidden="1">#REF!</definedName>
    <definedName name="фц" hidden="1">{"'РП (2)'!$A$5:$S$150"}</definedName>
    <definedName name="фы3" hidden="1">{"'Sheet1'!$A$1:$G$96","'Sheet1'!$A$1:$H$96"}</definedName>
    <definedName name="ФЫ҂АФЫВА" hidden="1">{#N/A,#N/A,TRUE,"Буржуям"}</definedName>
    <definedName name="фыава4" hidden="1">{"'Sheet1'!$A$1:$G$96","'Sheet1'!$A$1:$H$96"}</definedName>
    <definedName name="фыв3" hidden="1">{"'Sheet1'!$A$1:$G$96","'Sheet1'!$A$1:$H$96"}</definedName>
    <definedName name="фывафва" hidden="1">{#VALUE!,#N/A,TRUE,0}</definedName>
    <definedName name="ФЫВАФЫВА" hidden="1">{#N/A,#N/A,TRUE,"Буржуям"}</definedName>
    <definedName name="фывывв" hidden="1">Main.SAPF4Help()</definedName>
    <definedName name="фыекфмит" hidden="1">#REF!</definedName>
    <definedName name="хор" hidden="1">{"Valuation",#N/A,TRUE,"Valuation Summary";"Financial Statements",#N/A,TRUE,"Results";"Results",#N/A,TRUE,"Results";"Ratios",#N/A,TRUE,"Results";"P2 Summary",#N/A,TRUE,"Results"}</definedName>
    <definedName name="ххх" hidden="1">{"print95",#N/A,FALSE,"1995E.XLS";"print96",#N/A,FALSE,"1996E.XLS"}</definedName>
    <definedName name="хъх" hidden="1">#REF!</definedName>
    <definedName name="ц" hidden="1">{"'РП (2)'!$A$5:$S$150"}</definedName>
    <definedName name="ца" hidden="1">{#N/A,#N/A,FALSE,"Aging Summary";#N/A,#N/A,FALSE,"Ratio Analysis";#N/A,#N/A,FALSE,"Test 120 Day Accts";#N/A,#N/A,FALSE,"Tickmarks"}</definedName>
    <definedName name="центр" hidden="1">{#N/A,#N/A,TRUE,"Буржуям"}</definedName>
    <definedName name="цйуцйуй" hidden="1">{"'Sheet1'!$A$1:$G$96","'Sheet1'!$A$1:$H$96"}</definedName>
    <definedName name="ЦПК" hidden="1">{#N/A,#N/A,TRUE,"Буржуям"}</definedName>
    <definedName name="цу" hidden="1">{#N/A,#N/A,FALSE,"Virgin Flightdeck"}</definedName>
    <definedName name="ЦУКЕЦУК" hidden="1">{#VALUE!,#N/A,TRUE,0}</definedName>
    <definedName name="ЦУКЕЦУКЕ" hidden="1">{#VALUE!,#N/A,TRUE,0}</definedName>
    <definedName name="ЦУКПФУКП" hidden="1">{#VALUE!,#N/A,TRUE,0}</definedName>
    <definedName name="цукуцкц" hidden="1">#REF!</definedName>
    <definedName name="цукцук" hidden="1">{"Valuation",#N/A,TRUE,"Valuation Summary";"Financial Statements",#N/A,TRUE,"Results";"Results",#N/A,TRUE,"Results";"Ratios",#N/A,TRUE,"Results";"P2 Summary",#N/A,TRUE,"Results";"Historical data",#N/A,TRUE,"Historical Data";"P1 Inputs",#N/A,TRUE,"Forecast Drivers";"P2 Inputs",#N/A,TRUE,"Forecast Drivers"}</definedName>
    <definedName name="ЦУКЦУКЦЕУКЕУ" hidden="1">{#N/A,#N/A,TRUE,"Буржуям"}</definedName>
    <definedName name="цц" hidden="1">{#N/A,#N/A,TRUE,"Буржуям"}</definedName>
    <definedName name="ццу" hidden="1">{#N/A,#N/A,FALSE,"HMF";#N/A,#N/A,FALSE,"FACIL";#N/A,#N/A,FALSE,"HMFINANCE";#N/A,#N/A,FALSE,"HMEUROPE";#N/A,#N/A,FALSE,"HHAB CONSO";#N/A,#N/A,FALSE,"PAB";#N/A,#N/A,FALSE,"MMC";#N/A,#N/A,FALSE,"THAI";#N/A,#N/A,FALSE,"SINPA";#N/A,#N/A,FALSE,"POLAND"}</definedName>
    <definedName name="ццц" hidden="1">#REF!</definedName>
    <definedName name="цццц" hidden="1">{#N/A,#N/A,FALSE,"Virgin Flightdeck"}</definedName>
    <definedName name="цццццццц" hidden="1">{"'Sheet1'!$A$1:$G$85"}</definedName>
    <definedName name="цыц" hidden="1">#REF!</definedName>
    <definedName name="ч" hidden="1">{#N/A,#N/A,TRUE,"Буржуям"}</definedName>
    <definedName name="чапач" hidden="1">{"'Sheet1'!$A$12:$K$107"}</definedName>
    <definedName name="чпава" hidden="1">{"'Sheet1'!$A$1:$G$85"}</definedName>
    <definedName name="чс" hidden="1">{"PRINTME",#N/A,FALSE,"FINAL-10"}</definedName>
    <definedName name="чсчс" hidden="1">#REF!</definedName>
    <definedName name="чсяя" hidden="1">#REF!</definedName>
    <definedName name="ЧЧ" hidden="1">{"glcbs",#N/A,FALSE,"GLCBS";"glccsbs",#N/A,FALSE,"GLCCSBS";"glcis",#N/A,FALSE,"GLCIS";"glccsis",#N/A,FALSE,"GLCCSIS";"glcrat1",#N/A,FALSE,"GLC-ratios1"}</definedName>
    <definedName name="ччсч" hidden="1">#REF!</definedName>
    <definedName name="ччч" hidden="1">#REF!</definedName>
    <definedName name="чяч" hidden="1">#REF!</definedName>
    <definedName name="шгнек" hidden="1">{#N/A,#N/A,FALSE,"Aging Summary";#N/A,#N/A,FALSE,"Ratio Analysis";#N/A,#N/A,FALSE,"Test 120 Day Accts";#N/A,#N/A,FALSE,"Tickmarks"}</definedName>
    <definedName name="шз" hidden="1">{#N/A,#N/A,FALSE,"Aging Summary";#N/A,#N/A,FALSE,"Ratio Analysis";#N/A,#N/A,FALSE,"Test 120 Day Accts";#N/A,#N/A,FALSE,"Tickmarks"}</definedName>
    <definedName name="шлл" hidden="1">#REF!</definedName>
    <definedName name="шловнгаовро" hidden="1">{"glc1",#N/A,FALSE,"GLC";"glc2",#N/A,FALSE,"GLC";"glc3",#N/A,FALSE,"GLC";"glc4",#N/A,FALSE,"GLC";"glc5",#N/A,FALSE,"GLC"}</definedName>
    <definedName name="шлшд" hidden="1">#REF!</definedName>
    <definedName name="шлшш" hidden="1">#REF!</definedName>
    <definedName name="шлыу" hidden="1">{"glc1",#N/A,FALSE,"GLC";"glc2",#N/A,FALSE,"GLC";"glc3",#N/A,FALSE,"GLC";"glc4",#N/A,FALSE,"GLC";"glc5",#N/A,FALSE,"GLC"}</definedName>
    <definedName name="шшшшш" hidden="1">{"glc1",#N/A,FALSE,"GLC";"glc2",#N/A,FALSE,"GLC";"glc3",#N/A,FALSE,"GLC";"glc4",#N/A,FALSE,"GLC";"glc5",#N/A,FALSE,"GLC"}</definedName>
    <definedName name="шщх" hidden="1">{#VALUE!,#N/A,TRUE,0}</definedName>
    <definedName name="щдшло" hidden="1">#REF!</definedName>
    <definedName name="щщ" hidden="1">{#N/A,#N/A,FALSE,"Virgin Flightdeck"}</definedName>
    <definedName name="ъщ" hidden="1">{#VALUE!,#N/A,TRUE,0}</definedName>
    <definedName name="ы" hidden="1">{#N/A,#N/A,FALSE,"Virgin Flightdeck"}</definedName>
    <definedName name="ыаваыв" hidden="1">{"Valuation",#N/A,TRUE,"Valuation Summary";"Financial Statements",#N/A,TRUE,"Results";"Results",#N/A,TRUE,"Results";"Ratios",#N/A,TRUE,"Results";"P2 Summary",#N/A,TRUE,"Results"}</definedName>
    <definedName name="ыавпыаыв" hidden="1">Main.SAPF4Help()</definedName>
    <definedName name="ЫАиА" hidden="1">{"'Prices'!$A$4:$J$27"}</definedName>
    <definedName name="ыаит" hidden="1">{"'Prices'!$A$4:$J$27"}</definedName>
    <definedName name="ыв" hidden="1">#REF!</definedName>
    <definedName name="ыва" hidden="1">#REF!</definedName>
    <definedName name="ываждло" hidden="1">{"glc1",#N/A,FALSE,"GLC";"glc2",#N/A,FALSE,"GLC";"glc3",#N/A,FALSE,"GLC";"glc4",#N/A,FALSE,"GLC";"glc5",#N/A,FALSE,"GLC"}</definedName>
    <definedName name="ывапр6" hidden="1">{"'Sheet1'!$A$1:$G$96","'Sheet1'!$A$1:$H$96"}</definedName>
    <definedName name="ывапра" hidden="1">{"'Sheet1'!$A$1:$G$85"}</definedName>
    <definedName name="ЫВАПРФВАПЫВА" hidden="1">{#VALUE!,#N/A,TRUE,0}</definedName>
    <definedName name="ЫВАПЫВАПЫВА" hidden="1">{#N/A,#N/A,TRUE,"Буржуям"}</definedName>
    <definedName name="ЫВВЫВЫВ" hidden="1">#REF!</definedName>
    <definedName name="Ывмыцкп" hidden="1">{"'Prices'!$A$4:$J$27"}</definedName>
    <definedName name="ывп" hidden="1">{#N/A,#N/A,FALSE,"Расчет вспомогательных"}</definedName>
    <definedName name="ывыв" hidden="1">Main.SAPF4Help()</definedName>
    <definedName name="Ыгь" hidden="1">{#N/A,#N/A,FALSE,"Aging Summary";#N/A,#N/A,FALSE,"Ratio Analysis";#N/A,#N/A,FALSE,"Test 120 Day Accts";#N/A,#N/A,FALSE,"Tickmarks"}</definedName>
    <definedName name="ыерот" hidden="1">{"'Prices'!$A$4:$J$27"}</definedName>
    <definedName name="ымп" hidden="1">{"'Prices'!$A$4:$J$27"}</definedName>
    <definedName name="ысыс" hidden="1">Main.SAPF4Help()</definedName>
    <definedName name="ЫУКЕЦУКЕ" hidden="1">{#VALUE!,#N/A,TRUE,0}</definedName>
    <definedName name="ыфаф" hidden="1">{#N/A,#N/A,TRUE,"Буржуям"}</definedName>
    <definedName name="ыфвфв" hidden="1">{"glcbs",#N/A,FALSE,"GLCBS";"glccsbs",#N/A,FALSE,"GLCCSBS";"glcis",#N/A,FALSE,"GLCIS";"glccsis",#N/A,FALSE,"GLCCSIS";"glcrat1",#N/A,FALSE,"GLC-ratios1"}</definedName>
    <definedName name="ыыы" hidden="1">{"'РП (2)'!$A$5:$S$150"}</definedName>
    <definedName name="ь" hidden="1">{#N/A,#N/A,TRUE,"Буржуям"}</definedName>
    <definedName name="ьдьб" hidden="1">{"assets",#N/A,FALSE,"historicBS";"liab",#N/A,FALSE,"historicBS";"is",#N/A,FALSE,"historicIS";"ratios",#N/A,FALSE,"ratios"}</definedName>
    <definedName name="ьрпср" hidden="1">{"'Sheet1'!$A$1:$G$85"}</definedName>
    <definedName name="ььь" hidden="1">#REF!</definedName>
    <definedName name="ьььь" hidden="1">{#N/A,#N/A,TRUE,"Буржуям"}</definedName>
    <definedName name="ььььььььь" hidden="1">{"'Sheet1'!$A$1:$G$85"}</definedName>
    <definedName name="э12ш" hidden="1">{"glc1",#N/A,FALSE,"GLC";"glc2",#N/A,FALSE,"GLC";"glc3",#N/A,FALSE,"GLC";"glc4",#N/A,FALSE,"GLC";"glc5",#N/A,FALSE,"GLC"}</definedName>
    <definedName name="эн.2004" hidden="1">{#VALUE!,#N/A,TRUE,0}</definedName>
    <definedName name="эн.2004год" hidden="1">{#N/A,#N/A,TRUE,"Буржуям"}</definedName>
    <definedName name="энергия" hidden="1">{#N/A,#N/A,TRUE,"Буржуям"}</definedName>
    <definedName name="эра" hidden="1">{#N/A,#N/A,TRUE,"Буржуям"}</definedName>
    <definedName name="ээээ" hidden="1">{"'Prices'!$A$4:$J$27"}</definedName>
    <definedName name="ю" hidden="1">{#N/A,#N/A,FALSE,"Virgin Flightdeck"}</definedName>
    <definedName name="юю" hidden="1">{"Valuation_Common",#N/A,FALSE,"Valuation"}</definedName>
    <definedName name="юююю" hidden="1">{#VALUE!,#N/A,TRUE,0}</definedName>
    <definedName name="я" hidden="1">{"'РП (2)'!$A$5:$S$150"}</definedName>
    <definedName name="ява" hidden="1">{"'Sheet1'!$A$1:$G$85"}</definedName>
    <definedName name="яваи" hidden="1">{"'Sheet1'!$A$1:$G$85"}</definedName>
    <definedName name="январь" hidden="1">{#VALUE!,#N/A,TRUE,0}</definedName>
    <definedName name="яп" hidden="1">{#VALUE!,#N/A,TRUE,0}</definedName>
    <definedName name="яу" hidden="1">{#N/A,#N/A,FALSE,"Virgin Flightdeck"}</definedName>
    <definedName name="яф" hidden="1">{#N/A,#N/A,FALSE,"Aging Summary";#N/A,#N/A,FALSE,"Ratio Analysis";#N/A,#N/A,FALSE,"Test 120 Day Accts";#N/A,#N/A,FALSE,"Tickmarks"}</definedName>
    <definedName name="яч" hidden="1">{#N/A,#N/A,FALSE,"Aging Summary";#N/A,#N/A,FALSE,"Ratio Analysis";#N/A,#N/A,FALSE,"Test 120 Day Accts";#N/A,#N/A,FALSE,"Tickmarks"}</definedName>
    <definedName name="ячсм" hidden="1">#REF!</definedName>
    <definedName name="яя" hidden="1">#REF!</definedName>
    <definedName name="яяяя" hidden="1">{#N/A,#N/A,TRUE,"Буржуям"}</definedName>
  </definedNames>
  <calcPr calcId="191029"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637" i="1" l="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Y205"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Y173"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AE13" i="1"/>
  <c r="X13" i="1"/>
  <c r="X12" i="1"/>
  <c r="X11" i="1"/>
  <c r="X10" i="1"/>
  <c r="X9" i="1"/>
  <c r="X8" i="1"/>
  <c r="X7" i="1"/>
  <c r="X6" i="1"/>
  <c r="X5" i="1"/>
  <c r="X4" i="1"/>
  <c r="X3" i="1"/>
  <c r="P3579" i="1"/>
  <c r="Q3579" i="1" s="1"/>
  <c r="P3578" i="1"/>
  <c r="Q3578" i="1" s="1"/>
  <c r="P3577" i="1"/>
  <c r="Q3577" i="1" s="1"/>
  <c r="P3576" i="1"/>
  <c r="Q3576" i="1" s="1"/>
  <c r="P3575" i="1"/>
  <c r="Q3575" i="1" s="1"/>
  <c r="P3574" i="1"/>
  <c r="Q3574" i="1" s="1"/>
  <c r="P3573" i="1"/>
  <c r="Q3573" i="1" s="1"/>
  <c r="P3572" i="1"/>
  <c r="Q3572" i="1" s="1"/>
  <c r="P3571" i="1"/>
  <c r="Q3571" i="1" s="1"/>
  <c r="P3570" i="1"/>
  <c r="Q3570" i="1" s="1"/>
  <c r="P3569" i="1"/>
  <c r="Q3569" i="1" s="1"/>
  <c r="P3568" i="1"/>
  <c r="Q3568" i="1" s="1"/>
  <c r="P3567" i="1"/>
  <c r="Q3567" i="1" s="1"/>
  <c r="P3566" i="1"/>
  <c r="Q3566" i="1" s="1"/>
  <c r="P3565" i="1"/>
  <c r="Q3565" i="1" s="1"/>
  <c r="P3564" i="1"/>
  <c r="Q3564" i="1" s="1"/>
  <c r="P3563" i="1"/>
  <c r="Q3563" i="1" s="1"/>
  <c r="P3562" i="1"/>
  <c r="Q3562" i="1" s="1"/>
  <c r="P3560" i="1"/>
  <c r="Q3560" i="1" s="1"/>
  <c r="P3559" i="1"/>
  <c r="Q3559" i="1" s="1"/>
  <c r="P3558" i="1"/>
  <c r="Q3558" i="1" s="1"/>
  <c r="P3557" i="1"/>
  <c r="Q3557" i="1" s="1"/>
  <c r="P3556" i="1"/>
  <c r="Q3556" i="1" s="1"/>
  <c r="P3555" i="1"/>
  <c r="Q3555" i="1" s="1"/>
  <c r="P3551" i="1"/>
  <c r="Q3551" i="1" s="1"/>
  <c r="P3550" i="1"/>
  <c r="Q3550" i="1" s="1"/>
  <c r="P3549" i="1"/>
  <c r="Q3549" i="1" s="1"/>
  <c r="P3548" i="1"/>
  <c r="Q3548" i="1" s="1"/>
  <c r="P3547" i="1"/>
  <c r="Q3547" i="1" s="1"/>
  <c r="P3543" i="1"/>
  <c r="Q3543" i="1" s="1"/>
  <c r="P3542" i="1"/>
  <c r="Q3542" i="1" s="1"/>
  <c r="P3541" i="1"/>
  <c r="Q3541" i="1" s="1"/>
  <c r="P3540" i="1"/>
  <c r="Q3540" i="1" s="1"/>
  <c r="P3539" i="1"/>
  <c r="Q3539" i="1" s="1"/>
  <c r="P3538" i="1"/>
  <c r="Q3538" i="1" s="1"/>
  <c r="P3537" i="1"/>
  <c r="Q3537" i="1" s="1"/>
  <c r="P3536" i="1"/>
  <c r="Q3536" i="1" s="1"/>
  <c r="P3535" i="1"/>
  <c r="Q3535" i="1" s="1"/>
  <c r="P3534" i="1"/>
  <c r="Q3534" i="1" s="1"/>
  <c r="P3533" i="1"/>
  <c r="Q3533" i="1" s="1"/>
  <c r="P3532" i="1"/>
  <c r="Q3532" i="1" s="1"/>
  <c r="P3531" i="1"/>
  <c r="Q3531" i="1" s="1"/>
  <c r="P3530" i="1"/>
  <c r="Q3530" i="1" s="1"/>
  <c r="P3529" i="1"/>
  <c r="Q3529" i="1" s="1"/>
  <c r="P3528" i="1"/>
  <c r="Q3528" i="1" s="1"/>
  <c r="P3527" i="1"/>
  <c r="Q3527" i="1" s="1"/>
  <c r="P3526" i="1"/>
  <c r="Q3526" i="1" s="1"/>
  <c r="P3525" i="1"/>
  <c r="Q3525" i="1" s="1"/>
  <c r="P3523" i="1"/>
  <c r="Q3523" i="1" s="1"/>
  <c r="P3522" i="1"/>
  <c r="Q3522" i="1" s="1"/>
  <c r="P3521" i="1"/>
  <c r="Q3521" i="1" s="1"/>
  <c r="P3520" i="1"/>
  <c r="Q3520" i="1" s="1"/>
  <c r="P3518" i="1"/>
  <c r="Q3518" i="1" s="1"/>
  <c r="P3517" i="1"/>
  <c r="Q3517" i="1" s="1"/>
  <c r="P3516" i="1"/>
  <c r="Q3516" i="1" s="1"/>
  <c r="P3514" i="1"/>
  <c r="Q3514" i="1" s="1"/>
  <c r="P3512" i="1"/>
  <c r="Q3512" i="1" s="1"/>
  <c r="P3511" i="1"/>
  <c r="Q3511" i="1" s="1"/>
  <c r="P3510" i="1"/>
  <c r="Q3510" i="1" s="1"/>
  <c r="P3509" i="1"/>
  <c r="Q3509" i="1" s="1"/>
  <c r="P3507" i="1"/>
  <c r="Q3507" i="1" s="1"/>
  <c r="P3506" i="1"/>
  <c r="Q3506" i="1" s="1"/>
  <c r="P3505" i="1"/>
  <c r="Q3505" i="1" s="1"/>
  <c r="P3504" i="1"/>
  <c r="Q3504" i="1" s="1"/>
  <c r="P3503" i="1"/>
  <c r="Q3503" i="1" s="1"/>
  <c r="P3502" i="1"/>
  <c r="Q3502" i="1" s="1"/>
  <c r="P3501" i="1"/>
  <c r="Q3501" i="1" s="1"/>
  <c r="P3500" i="1"/>
  <c r="Q3500" i="1" s="1"/>
  <c r="P3499" i="1"/>
  <c r="Q3499" i="1" s="1"/>
  <c r="P3498" i="1"/>
  <c r="Q3498" i="1" s="1"/>
  <c r="P3496" i="1"/>
  <c r="Q3496" i="1" s="1"/>
  <c r="P3495" i="1"/>
  <c r="Q3495" i="1" s="1"/>
  <c r="P3494" i="1"/>
  <c r="Q3494" i="1" s="1"/>
  <c r="P3491" i="1"/>
  <c r="Q3491" i="1" s="1"/>
  <c r="P3490" i="1"/>
  <c r="Q3490" i="1" s="1"/>
  <c r="P3489" i="1"/>
  <c r="Q3489" i="1" s="1"/>
  <c r="P3488" i="1"/>
  <c r="Q3488" i="1" s="1"/>
  <c r="P3487" i="1"/>
  <c r="Q3487" i="1" s="1"/>
  <c r="P3486" i="1"/>
  <c r="Q3486" i="1" s="1"/>
  <c r="P3485" i="1"/>
  <c r="Q3485" i="1" s="1"/>
  <c r="P3484" i="1"/>
  <c r="Q3484" i="1" s="1"/>
  <c r="P3483" i="1"/>
  <c r="Q3483" i="1" s="1"/>
  <c r="P3482" i="1"/>
  <c r="Q3482" i="1" s="1"/>
  <c r="P3481" i="1"/>
  <c r="Q3481" i="1" s="1"/>
  <c r="P3480" i="1"/>
  <c r="Q3480" i="1" s="1"/>
  <c r="P3479" i="1"/>
  <c r="Q3479" i="1" s="1"/>
  <c r="P3478" i="1"/>
  <c r="Q3478" i="1" s="1"/>
  <c r="P3477" i="1"/>
  <c r="Q3477" i="1" s="1"/>
  <c r="P3476" i="1"/>
  <c r="Q3476" i="1" s="1"/>
  <c r="P3475" i="1"/>
  <c r="Q3475" i="1" s="1"/>
  <c r="P3473" i="1"/>
  <c r="Q3473" i="1" s="1"/>
  <c r="P3472" i="1"/>
  <c r="Q3472" i="1" s="1"/>
  <c r="P3471" i="1"/>
  <c r="Q3471" i="1" s="1"/>
  <c r="P3470" i="1"/>
  <c r="Q3470" i="1" s="1"/>
  <c r="P3469" i="1"/>
  <c r="Q3469" i="1" s="1"/>
  <c r="P3468" i="1"/>
  <c r="Q3468" i="1" s="1"/>
  <c r="P3467" i="1"/>
  <c r="Q3467" i="1" s="1"/>
  <c r="P3466" i="1"/>
  <c r="Q3466" i="1" s="1"/>
  <c r="P3465" i="1"/>
  <c r="Q3465" i="1" s="1"/>
  <c r="P3464" i="1"/>
  <c r="Q3464" i="1" s="1"/>
  <c r="P3463" i="1"/>
  <c r="Q3463" i="1" s="1"/>
  <c r="P3462" i="1"/>
  <c r="Q3462" i="1" s="1"/>
  <c r="P3461" i="1"/>
  <c r="Q3461" i="1" s="1"/>
  <c r="P3460" i="1"/>
  <c r="Q3460" i="1" s="1"/>
  <c r="P3459" i="1"/>
  <c r="Q3459" i="1" s="1"/>
  <c r="P3458" i="1"/>
  <c r="Q3458" i="1" s="1"/>
  <c r="P3457" i="1"/>
  <c r="Q3457" i="1" s="1"/>
  <c r="P3456" i="1"/>
  <c r="Q3456" i="1" s="1"/>
  <c r="P3455" i="1"/>
  <c r="Q3455" i="1" s="1"/>
  <c r="P3447" i="1"/>
  <c r="Q3447" i="1" s="1"/>
  <c r="P3446" i="1"/>
  <c r="Q3446" i="1" s="1"/>
  <c r="P3445" i="1"/>
  <c r="Q3445" i="1" s="1"/>
  <c r="P3444" i="1"/>
  <c r="Q3444" i="1" s="1"/>
  <c r="P3443" i="1"/>
  <c r="Q3443" i="1" s="1"/>
  <c r="P3442" i="1"/>
  <c r="Q3442" i="1" s="1"/>
  <c r="P3441" i="1"/>
  <c r="Q3441" i="1" s="1"/>
  <c r="P3440" i="1"/>
  <c r="Q3440" i="1" s="1"/>
  <c r="P3439" i="1"/>
  <c r="Q3439" i="1" s="1"/>
  <c r="P3438" i="1"/>
  <c r="Q3438" i="1" s="1"/>
  <c r="P3437" i="1"/>
  <c r="Q3437" i="1" s="1"/>
  <c r="P3434" i="1"/>
  <c r="Q3434" i="1" s="1"/>
  <c r="P3433" i="1"/>
  <c r="Q3433" i="1" s="1"/>
  <c r="P3432" i="1"/>
  <c r="Q3432" i="1" s="1"/>
  <c r="P3431" i="1"/>
  <c r="Q3431" i="1" s="1"/>
  <c r="P3430" i="1"/>
  <c r="Q3430" i="1" s="1"/>
  <c r="P3429" i="1"/>
  <c r="Q3429" i="1" s="1"/>
  <c r="P3425" i="1"/>
  <c r="Q3425" i="1" s="1"/>
  <c r="P3423" i="1"/>
  <c r="Q3423" i="1" s="1"/>
  <c r="P3421" i="1"/>
  <c r="Q3421" i="1" s="1"/>
  <c r="P3420" i="1"/>
  <c r="Q3420" i="1" s="1"/>
  <c r="P3419" i="1"/>
  <c r="Q3419" i="1" s="1"/>
  <c r="P3418" i="1"/>
  <c r="Q3418" i="1" s="1"/>
  <c r="P3417" i="1"/>
  <c r="Q3417" i="1" s="1"/>
  <c r="P3416" i="1"/>
  <c r="Q3416" i="1" s="1"/>
  <c r="P3415" i="1"/>
  <c r="Q3415" i="1" s="1"/>
  <c r="P3413" i="1"/>
  <c r="Q3413" i="1" s="1"/>
  <c r="P3412" i="1"/>
  <c r="Q3412" i="1" s="1"/>
  <c r="P3411" i="1"/>
  <c r="Q3411" i="1" s="1"/>
  <c r="P3410" i="1"/>
  <c r="Q3410" i="1" s="1"/>
  <c r="P3409" i="1"/>
  <c r="Q3409" i="1" s="1"/>
  <c r="P3408" i="1"/>
  <c r="P3407" i="1"/>
  <c r="P3406" i="1"/>
  <c r="P3405" i="1"/>
  <c r="Q3405" i="1" s="1"/>
  <c r="P3404" i="1"/>
  <c r="Q3404" i="1" s="1"/>
  <c r="P3403" i="1"/>
  <c r="P3402" i="1"/>
  <c r="P3400" i="1"/>
  <c r="P3398" i="1"/>
  <c r="P3397" i="1"/>
  <c r="Q3397" i="1" s="1"/>
  <c r="P3396" i="1"/>
  <c r="Q3396" i="1" s="1"/>
  <c r="P3395" i="1"/>
  <c r="Q3395" i="1" s="1"/>
  <c r="P3394" i="1"/>
  <c r="Q3394" i="1" s="1"/>
  <c r="P3393" i="1"/>
  <c r="Q3393" i="1" s="1"/>
  <c r="P3392" i="1"/>
  <c r="Q3392" i="1" s="1"/>
  <c r="P3391" i="1"/>
  <c r="Q3391" i="1" s="1"/>
  <c r="P3390" i="1"/>
  <c r="Q3390" i="1" s="1"/>
  <c r="P3389" i="1"/>
  <c r="Q3389" i="1" s="1"/>
  <c r="P3387" i="1"/>
  <c r="P3386" i="1"/>
  <c r="Q3386" i="1" s="1"/>
  <c r="P3385" i="1"/>
  <c r="Q3385" i="1" s="1"/>
  <c r="P3384" i="1"/>
  <c r="Q3384" i="1" s="1"/>
  <c r="P3382" i="1"/>
  <c r="Q3382" i="1" s="1"/>
  <c r="P3381" i="1"/>
  <c r="Q3381" i="1" s="1"/>
  <c r="P3380" i="1"/>
  <c r="P3379" i="1"/>
  <c r="Q3379" i="1" s="1"/>
  <c r="P3378" i="1"/>
  <c r="Q3378" i="1" s="1"/>
  <c r="P3376" i="1"/>
  <c r="Q3376" i="1" s="1"/>
  <c r="P3375" i="1"/>
  <c r="Q3375" i="1" s="1"/>
  <c r="P3374" i="1"/>
  <c r="Q3374" i="1" s="1"/>
  <c r="P3373" i="1"/>
  <c r="Q3373" i="1" s="1"/>
  <c r="P3372" i="1"/>
  <c r="P3371" i="1"/>
  <c r="Q3371" i="1" s="1"/>
  <c r="P3370" i="1"/>
  <c r="Q3370" i="1" s="1"/>
  <c r="P3369" i="1"/>
  <c r="Q3369" i="1" s="1"/>
  <c r="P3368" i="1"/>
  <c r="Q3368" i="1" s="1"/>
  <c r="P3367" i="1"/>
  <c r="Q3367" i="1" s="1"/>
  <c r="P3366" i="1"/>
  <c r="Q3366" i="1" s="1"/>
  <c r="P3365" i="1"/>
  <c r="Q3365" i="1" s="1"/>
  <c r="P3364" i="1"/>
  <c r="Q3364" i="1" s="1"/>
  <c r="P3363" i="1"/>
  <c r="Q3363" i="1" s="1"/>
  <c r="P3362" i="1"/>
  <c r="Q3362" i="1" s="1"/>
  <c r="P3361" i="1"/>
  <c r="Q3361" i="1" s="1"/>
  <c r="P3360" i="1"/>
  <c r="Q3360" i="1" s="1"/>
  <c r="P3359" i="1"/>
  <c r="Q3359" i="1" s="1"/>
  <c r="P3348" i="1"/>
  <c r="Q3348" i="1" s="1"/>
  <c r="P3347" i="1"/>
  <c r="Q3347" i="1" s="1"/>
  <c r="P3346" i="1"/>
  <c r="Q3346" i="1" s="1"/>
  <c r="P3345" i="1"/>
  <c r="P3344" i="1"/>
  <c r="Q3344" i="1" s="1"/>
  <c r="P3340" i="1"/>
  <c r="Q3340" i="1" s="1"/>
  <c r="P3338" i="1"/>
  <c r="Q3338" i="1" s="1"/>
  <c r="P3335" i="1"/>
  <c r="Q3335" i="1" s="1"/>
  <c r="P3334" i="1"/>
  <c r="P3333" i="1"/>
  <c r="P3332" i="1"/>
  <c r="Q3332" i="1" s="1"/>
  <c r="P3331" i="1"/>
  <c r="P3330" i="1"/>
  <c r="P3329" i="1"/>
  <c r="P3328" i="1"/>
  <c r="P3326" i="1"/>
  <c r="P3325" i="1"/>
  <c r="P3324" i="1"/>
  <c r="Q3324" i="1" s="1"/>
  <c r="P3323" i="1"/>
  <c r="Q3323" i="1" s="1"/>
  <c r="P3322" i="1"/>
  <c r="Q3322" i="1" s="1"/>
  <c r="P3321" i="1"/>
  <c r="Q3321" i="1" s="1"/>
  <c r="P3320" i="1"/>
  <c r="Q3320" i="1" s="1"/>
  <c r="P3319" i="1"/>
  <c r="Q3319" i="1" s="1"/>
  <c r="P3317" i="1"/>
  <c r="P3316" i="1"/>
  <c r="Q3316" i="1" s="1"/>
  <c r="P3315" i="1"/>
  <c r="Q3315" i="1" s="1"/>
  <c r="P3314" i="1"/>
  <c r="Q3314" i="1" s="1"/>
  <c r="P3313" i="1"/>
  <c r="P3312" i="1"/>
  <c r="Q3312" i="1" s="1"/>
  <c r="P3309" i="1"/>
  <c r="P3308" i="1"/>
  <c r="P3307" i="1"/>
  <c r="Q3307" i="1" s="1"/>
  <c r="P3306" i="1"/>
  <c r="P3305" i="1"/>
  <c r="Q3305" i="1" s="1"/>
  <c r="P3304" i="1"/>
  <c r="Q3304" i="1" s="1"/>
  <c r="P3303" i="1"/>
  <c r="Q3303" i="1" s="1"/>
  <c r="P3302" i="1"/>
  <c r="P3301" i="1"/>
  <c r="Q3301" i="1" s="1"/>
  <c r="P3300" i="1"/>
  <c r="Q3300" i="1" s="1"/>
  <c r="P3299" i="1"/>
  <c r="Q3299" i="1" s="1"/>
  <c r="P3297" i="1"/>
  <c r="P3296" i="1"/>
  <c r="P3295" i="1"/>
  <c r="P3294" i="1"/>
  <c r="P3291" i="1"/>
  <c r="P3288" i="1"/>
  <c r="Q3288" i="1" s="1"/>
  <c r="P3287" i="1"/>
  <c r="Q3287" i="1" s="1"/>
  <c r="P3286" i="1"/>
  <c r="Q3286" i="1" s="1"/>
  <c r="P3285" i="1"/>
  <c r="P3283" i="1"/>
  <c r="P3282" i="1"/>
  <c r="Q3282" i="1" s="1"/>
  <c r="P3281" i="1"/>
  <c r="Q3281" i="1" s="1"/>
  <c r="P3280" i="1"/>
  <c r="Q3280" i="1" s="1"/>
  <c r="P3279" i="1"/>
  <c r="Q3279" i="1" s="1"/>
  <c r="P3278" i="1"/>
  <c r="Q3278" i="1" s="1"/>
  <c r="P3277" i="1"/>
  <c r="Q3277" i="1" s="1"/>
  <c r="P3276" i="1"/>
  <c r="Q3276" i="1" s="1"/>
  <c r="P3275" i="1"/>
  <c r="Q3275" i="1" s="1"/>
  <c r="P3274" i="1"/>
  <c r="P3273" i="1"/>
  <c r="Q3273" i="1" s="1"/>
  <c r="P3272" i="1"/>
  <c r="Q3272" i="1" s="1"/>
  <c r="Q3271" i="1"/>
  <c r="P3271" i="1"/>
  <c r="P3270" i="1"/>
  <c r="Q3270" i="1" s="1"/>
  <c r="P3269" i="1"/>
  <c r="Q3269" i="1" s="1"/>
  <c r="P3268" i="1"/>
  <c r="Q3268" i="1" s="1"/>
  <c r="P3267" i="1"/>
  <c r="Q3267" i="1" s="1"/>
  <c r="P3266" i="1"/>
  <c r="Q3266" i="1" s="1"/>
  <c r="P3265" i="1"/>
  <c r="Q3265" i="1" s="1"/>
  <c r="P3264" i="1"/>
  <c r="Q3264" i="1" s="1"/>
  <c r="P3263" i="1"/>
  <c r="Q3263" i="1" s="1"/>
  <c r="P3262" i="1"/>
  <c r="Q3262" i="1" s="1"/>
  <c r="P3261" i="1"/>
  <c r="Q3261" i="1" s="1"/>
  <c r="P3260" i="1"/>
  <c r="Q3260" i="1" s="1"/>
  <c r="P3259" i="1"/>
  <c r="Q3259" i="1" s="1"/>
  <c r="P3258" i="1"/>
  <c r="Q3258" i="1" s="1"/>
  <c r="P3257" i="1"/>
  <c r="Q3257" i="1" s="1"/>
  <c r="P3256" i="1"/>
  <c r="Q3256" i="1" s="1"/>
  <c r="Q3255" i="1"/>
  <c r="P3255" i="1"/>
  <c r="P3254" i="1"/>
  <c r="Q3254" i="1" s="1"/>
  <c r="P3253" i="1"/>
  <c r="Q3253" i="1" s="1"/>
  <c r="P3252" i="1"/>
  <c r="Q3252" i="1" s="1"/>
  <c r="P3251" i="1"/>
  <c r="Q3251" i="1" s="1"/>
  <c r="P3250" i="1"/>
  <c r="Q3250" i="1" s="1"/>
  <c r="P3249" i="1"/>
  <c r="P3248" i="1"/>
  <c r="Q3248" i="1" s="1"/>
  <c r="P3247" i="1"/>
  <c r="Q3247" i="1" s="1"/>
  <c r="P3246" i="1"/>
  <c r="Q3246" i="1" s="1"/>
  <c r="P3245" i="1"/>
  <c r="Q3245" i="1" s="1"/>
  <c r="P3244" i="1"/>
  <c r="Q3244" i="1" s="1"/>
  <c r="P3243" i="1"/>
  <c r="Q3243" i="1" s="1"/>
  <c r="P3242" i="1"/>
  <c r="P3241" i="1"/>
  <c r="P3240" i="1"/>
  <c r="P3239" i="1"/>
  <c r="Q3239" i="1" s="1"/>
  <c r="P3238" i="1"/>
  <c r="Q3238" i="1" s="1"/>
  <c r="P3237" i="1"/>
  <c r="Q3237" i="1" s="1"/>
  <c r="P3236" i="1"/>
  <c r="Q3236" i="1" s="1"/>
  <c r="P3235" i="1"/>
  <c r="P3234" i="1"/>
  <c r="Q3234" i="1" s="1"/>
  <c r="P3233" i="1"/>
  <c r="P3232" i="1"/>
  <c r="P3230" i="1"/>
  <c r="Q3230" i="1" s="1"/>
  <c r="P3229" i="1"/>
  <c r="Q3229" i="1" s="1"/>
  <c r="P3228" i="1"/>
  <c r="Q3228" i="1" s="1"/>
  <c r="Q3227" i="1"/>
  <c r="P3227" i="1"/>
  <c r="P3226" i="1"/>
  <c r="P3225" i="1"/>
  <c r="P3224" i="1"/>
  <c r="P3223" i="1"/>
  <c r="Q3223" i="1" s="1"/>
  <c r="P3222" i="1"/>
  <c r="Q3222" i="1" s="1"/>
  <c r="P3221" i="1"/>
  <c r="P3220" i="1"/>
  <c r="Q3220" i="1" s="1"/>
  <c r="P3219" i="1"/>
  <c r="P3218" i="1"/>
  <c r="P3213" i="1"/>
  <c r="P3212" i="1"/>
  <c r="Q3212" i="1" s="1"/>
  <c r="P3211" i="1"/>
  <c r="Q3211" i="1" s="1"/>
  <c r="P3210" i="1"/>
  <c r="Q3210" i="1" s="1"/>
  <c r="P3208" i="1"/>
  <c r="P3207" i="1"/>
  <c r="Q3207" i="1" s="1"/>
  <c r="P3206" i="1"/>
  <c r="P3205" i="1"/>
  <c r="Q3205" i="1" s="1"/>
  <c r="P3204" i="1"/>
  <c r="Q3204" i="1" s="1"/>
  <c r="P3202" i="1"/>
  <c r="Q3202" i="1" s="1"/>
  <c r="P3201" i="1"/>
  <c r="P3200" i="1"/>
  <c r="P3199" i="1"/>
  <c r="P3198" i="1"/>
  <c r="P3197" i="1"/>
  <c r="P3196" i="1"/>
  <c r="Q3196" i="1" s="1"/>
  <c r="P3195" i="1"/>
  <c r="P3194" i="1"/>
  <c r="P3193" i="1"/>
  <c r="Q3193" i="1" s="1"/>
  <c r="P3192" i="1"/>
  <c r="P3191" i="1"/>
  <c r="P3190" i="1"/>
  <c r="P3189" i="1"/>
  <c r="P3188" i="1"/>
  <c r="P3187" i="1"/>
  <c r="P3186" i="1"/>
  <c r="P3185" i="1"/>
  <c r="P3184" i="1"/>
  <c r="Q3183" i="1"/>
  <c r="P3183" i="1"/>
  <c r="P3182" i="1"/>
  <c r="P3181" i="1"/>
  <c r="P3180" i="1"/>
  <c r="Q3180" i="1" s="1"/>
  <c r="P3179" i="1"/>
  <c r="Q3179" i="1" s="1"/>
  <c r="P3178" i="1"/>
  <c r="Q3178" i="1" s="1"/>
  <c r="Q3177" i="1"/>
  <c r="P3177" i="1"/>
  <c r="P3176" i="1"/>
  <c r="Q3176" i="1" s="1"/>
  <c r="P3175" i="1"/>
  <c r="Q3175" i="1" s="1"/>
  <c r="P3174" i="1"/>
  <c r="P3173" i="1"/>
  <c r="P3172" i="1"/>
  <c r="Q3172" i="1" s="1"/>
  <c r="Q3171" i="1"/>
  <c r="P3171" i="1"/>
  <c r="P3168" i="1"/>
  <c r="P3167" i="1"/>
  <c r="Q3167" i="1" s="1"/>
  <c r="P3166" i="1"/>
  <c r="Q3166" i="1" s="1"/>
  <c r="P3165" i="1"/>
  <c r="Q3165" i="1" s="1"/>
  <c r="P3164" i="1"/>
  <c r="Q3164" i="1" s="1"/>
  <c r="P3161" i="1"/>
  <c r="Q3161" i="1" s="1"/>
  <c r="P3160" i="1"/>
  <c r="Q3160" i="1" s="1"/>
  <c r="Q3159" i="1"/>
  <c r="P3159" i="1"/>
  <c r="P3158" i="1"/>
  <c r="Q3158" i="1" s="1"/>
  <c r="P3157" i="1"/>
  <c r="Q3157" i="1" s="1"/>
  <c r="P3156" i="1"/>
  <c r="Q3156" i="1" s="1"/>
  <c r="P3155" i="1"/>
  <c r="Q3155" i="1" s="1"/>
  <c r="P3154" i="1"/>
  <c r="Q3154" i="1" s="1"/>
  <c r="P3152" i="1"/>
  <c r="Q3152" i="1" s="1"/>
  <c r="P3151" i="1"/>
  <c r="Q3151" i="1" s="1"/>
  <c r="P3150" i="1"/>
  <c r="Q3150" i="1" s="1"/>
  <c r="P3149" i="1"/>
  <c r="Q3149" i="1" s="1"/>
  <c r="P3148" i="1"/>
  <c r="Q3148" i="1" s="1"/>
  <c r="P3144" i="1"/>
  <c r="Q3144" i="1" s="1"/>
  <c r="P3143" i="1"/>
  <c r="Q3143" i="1" s="1"/>
  <c r="P3142" i="1"/>
  <c r="P3140" i="1"/>
  <c r="Q3140" i="1" s="1"/>
  <c r="P3138" i="1"/>
  <c r="P3137" i="1"/>
  <c r="Q3137" i="1" s="1"/>
  <c r="P3136" i="1"/>
  <c r="Q3136" i="1" s="1"/>
  <c r="P3135" i="1"/>
  <c r="Q3135" i="1" s="1"/>
  <c r="P3134" i="1"/>
  <c r="Q3134" i="1" s="1"/>
  <c r="Q3133" i="1"/>
  <c r="P3133" i="1"/>
  <c r="P3132" i="1"/>
  <c r="Q3132" i="1" s="1"/>
  <c r="P3131" i="1"/>
  <c r="Q3131" i="1" s="1"/>
  <c r="P3130" i="1"/>
  <c r="P3129" i="1"/>
  <c r="Q3129" i="1" s="1"/>
  <c r="P3128" i="1"/>
  <c r="Q3128" i="1" s="1"/>
  <c r="P3127" i="1"/>
  <c r="P3126" i="1"/>
  <c r="Q3126" i="1" s="1"/>
  <c r="P3125" i="1"/>
  <c r="Q3125" i="1" s="1"/>
  <c r="P3124" i="1"/>
  <c r="Q3124" i="1" s="1"/>
  <c r="P3122" i="1"/>
  <c r="Q3122" i="1" s="1"/>
  <c r="P3120" i="1"/>
  <c r="Q3120" i="1" s="1"/>
  <c r="Q3101" i="1"/>
  <c r="P3101" i="1"/>
  <c r="P3100" i="1"/>
  <c r="P3099" i="1"/>
  <c r="Q3099" i="1" s="1"/>
  <c r="P3098" i="1"/>
  <c r="Q3098" i="1" s="1"/>
  <c r="P3097" i="1"/>
  <c r="Q3097" i="1" s="1"/>
  <c r="Q3095" i="1"/>
  <c r="P3095" i="1"/>
  <c r="P3093" i="1"/>
  <c r="Q3093" i="1" s="1"/>
  <c r="P3092" i="1"/>
  <c r="Q3092" i="1" s="1"/>
  <c r="P3091" i="1"/>
  <c r="Q3091" i="1" s="1"/>
  <c r="P3088" i="1"/>
  <c r="Q3088" i="1" s="1"/>
  <c r="P3084" i="1"/>
  <c r="Q3084" i="1" s="1"/>
  <c r="P3083" i="1"/>
  <c r="Q3083" i="1" s="1"/>
  <c r="P3082" i="1"/>
  <c r="Q3082" i="1" s="1"/>
  <c r="P3081" i="1"/>
  <c r="P3080" i="1"/>
  <c r="Q3080" i="1" s="1"/>
  <c r="P3079" i="1"/>
  <c r="Q3079" i="1" s="1"/>
  <c r="P3078" i="1"/>
  <c r="Q3078" i="1" s="1"/>
  <c r="P3077" i="1"/>
  <c r="P3076" i="1"/>
  <c r="P3075" i="1"/>
  <c r="P3074" i="1"/>
  <c r="Q3074" i="1" s="1"/>
  <c r="P3073" i="1"/>
  <c r="Q3073" i="1" s="1"/>
  <c r="P3072" i="1"/>
  <c r="Q3072" i="1" s="1"/>
  <c r="Q3071" i="1"/>
  <c r="P3071" i="1"/>
  <c r="P3070" i="1"/>
  <c r="Q3070" i="1" s="1"/>
  <c r="P3069" i="1"/>
  <c r="Q3069" i="1" s="1"/>
  <c r="P3068" i="1"/>
  <c r="Q3068" i="1" s="1"/>
  <c r="P3067" i="1"/>
  <c r="Q3067" i="1" s="1"/>
  <c r="P3066" i="1"/>
  <c r="P3065" i="1"/>
  <c r="Q3065" i="1" s="1"/>
  <c r="P3064" i="1"/>
  <c r="Q3064" i="1" s="1"/>
  <c r="Q3063" i="1"/>
  <c r="P3063" i="1"/>
  <c r="P3062" i="1"/>
  <c r="Q3062" i="1" s="1"/>
  <c r="P3061" i="1"/>
  <c r="Q3061" i="1" s="1"/>
  <c r="P3060" i="1"/>
  <c r="P3059" i="1"/>
  <c r="Q3059" i="1" s="1"/>
  <c r="P3058" i="1"/>
  <c r="Q3058" i="1" s="1"/>
  <c r="Q3057" i="1"/>
  <c r="P3057" i="1"/>
  <c r="P3056" i="1"/>
  <c r="Q3056" i="1" s="1"/>
  <c r="P3055" i="1"/>
  <c r="Q3055" i="1" s="1"/>
  <c r="P3054" i="1"/>
  <c r="Q3054" i="1" s="1"/>
  <c r="P3052" i="1"/>
  <c r="Q3052" i="1" s="1"/>
  <c r="P3051" i="1"/>
  <c r="Q3051" i="1" s="1"/>
  <c r="P3050" i="1"/>
  <c r="Q3050" i="1" s="1"/>
  <c r="P3049" i="1"/>
  <c r="Q3049" i="1" s="1"/>
  <c r="P3048" i="1"/>
  <c r="Q3048" i="1" s="1"/>
  <c r="P3047" i="1"/>
  <c r="Q3047" i="1" s="1"/>
  <c r="P3046" i="1"/>
  <c r="Q3046" i="1" s="1"/>
  <c r="P3045" i="1"/>
  <c r="Q3045" i="1" s="1"/>
  <c r="P3044" i="1"/>
  <c r="Q3044" i="1" s="1"/>
  <c r="P3043" i="1"/>
  <c r="Q3043" i="1" s="1"/>
  <c r="P3042" i="1"/>
  <c r="Q3042" i="1" s="1"/>
  <c r="P3041" i="1"/>
  <c r="Q3041" i="1" s="1"/>
  <c r="Q3040" i="1"/>
  <c r="P3040" i="1"/>
  <c r="P3039" i="1"/>
  <c r="Q3039" i="1" s="1"/>
  <c r="P3038" i="1"/>
  <c r="Q3038" i="1" s="1"/>
  <c r="Q3037" i="1"/>
  <c r="P3037" i="1"/>
  <c r="P3036" i="1"/>
  <c r="Q3036" i="1" s="1"/>
  <c r="P3035" i="1"/>
  <c r="Q3035" i="1" s="1"/>
  <c r="P3034" i="1"/>
  <c r="Q3034" i="1" s="1"/>
  <c r="P3033" i="1"/>
  <c r="Q3033" i="1" s="1"/>
  <c r="P3032" i="1"/>
  <c r="Q3031" i="1"/>
  <c r="P3031" i="1"/>
  <c r="P3030" i="1"/>
  <c r="Q3030" i="1" s="1"/>
  <c r="P3029" i="1"/>
  <c r="Q3028" i="1"/>
  <c r="P3028" i="1"/>
  <c r="P3027" i="1"/>
  <c r="Q3027" i="1" s="1"/>
  <c r="P3026" i="1"/>
  <c r="Q3026" i="1" s="1"/>
  <c r="P3023" i="1"/>
  <c r="Q3023" i="1" s="1"/>
  <c r="P3022" i="1"/>
  <c r="Q3022" i="1" s="1"/>
  <c r="P3021" i="1"/>
  <c r="P3020" i="1"/>
  <c r="Q3020" i="1" s="1"/>
  <c r="P3019" i="1"/>
  <c r="Q3019" i="1" s="1"/>
  <c r="P3018" i="1"/>
  <c r="Q3018" i="1" s="1"/>
  <c r="P3016" i="1"/>
  <c r="P3015" i="1"/>
  <c r="Q3015" i="1" s="1"/>
  <c r="P3013" i="1"/>
  <c r="Q3013" i="1" s="1"/>
  <c r="P3012" i="1"/>
  <c r="Q3012" i="1" s="1"/>
  <c r="P3011" i="1"/>
  <c r="P3008" i="1"/>
  <c r="P3007" i="1"/>
  <c r="P3006" i="1"/>
  <c r="Q3006" i="1" s="1"/>
  <c r="P3005" i="1"/>
  <c r="Q3005" i="1" s="1"/>
  <c r="P3004" i="1"/>
  <c r="P3003" i="1"/>
  <c r="Q3003" i="1" s="1"/>
  <c r="P3002" i="1"/>
  <c r="P3001" i="1"/>
  <c r="P3000" i="1"/>
  <c r="Q3000" i="1" s="1"/>
  <c r="Q2999" i="1"/>
  <c r="P2999" i="1"/>
  <c r="P2998" i="1"/>
  <c r="Q2998" i="1" s="1"/>
  <c r="P2997" i="1"/>
  <c r="Q2997" i="1" s="1"/>
  <c r="Q2996" i="1"/>
  <c r="P2996" i="1"/>
  <c r="P2995" i="1"/>
  <c r="Q2995" i="1" s="1"/>
  <c r="P2994" i="1"/>
  <c r="Q2994" i="1" s="1"/>
  <c r="P2992" i="1"/>
  <c r="Q2992" i="1" s="1"/>
  <c r="P2991" i="1"/>
  <c r="Q2991" i="1" s="1"/>
  <c r="P2990" i="1"/>
  <c r="Q2990" i="1" s="1"/>
  <c r="P2981" i="1"/>
  <c r="Q2981" i="1" s="1"/>
  <c r="P2980" i="1"/>
  <c r="Q2980" i="1" s="1"/>
  <c r="P2979" i="1"/>
  <c r="Q2979" i="1" s="1"/>
  <c r="P2976" i="1"/>
  <c r="Q2976" i="1" s="1"/>
  <c r="P2975" i="1"/>
  <c r="Q2975" i="1" s="1"/>
  <c r="Q2972" i="1"/>
  <c r="P2972" i="1"/>
  <c r="P2969" i="1"/>
  <c r="Q2969" i="1" s="1"/>
  <c r="P2968" i="1"/>
  <c r="Q2968" i="1" s="1"/>
  <c r="P2966" i="1"/>
  <c r="Q2966" i="1" s="1"/>
  <c r="P2965" i="1"/>
  <c r="Q2965" i="1" s="1"/>
  <c r="P2964" i="1"/>
  <c r="Q2964" i="1" s="1"/>
  <c r="P2963" i="1"/>
  <c r="Q2963" i="1" s="1"/>
  <c r="P2962" i="1"/>
  <c r="Q2962" i="1" s="1"/>
  <c r="P2961" i="1"/>
  <c r="Q2961" i="1" s="1"/>
  <c r="P2960" i="1"/>
  <c r="Q2960" i="1" s="1"/>
  <c r="P2959" i="1"/>
  <c r="Q2959" i="1" s="1"/>
  <c r="P2958" i="1"/>
  <c r="P2957" i="1"/>
  <c r="P2954" i="1"/>
  <c r="Q2954" i="1" s="1"/>
  <c r="P2953" i="1"/>
  <c r="Q2953" i="1" s="1"/>
  <c r="Q2952" i="1"/>
  <c r="P2952" i="1"/>
  <c r="P2951" i="1"/>
  <c r="Q2951" i="1" s="1"/>
  <c r="P2950" i="1"/>
  <c r="Q2950" i="1" s="1"/>
  <c r="P2949" i="1"/>
  <c r="Q2949" i="1" s="1"/>
  <c r="P2948" i="1"/>
  <c r="Q2948" i="1" s="1"/>
  <c r="P2947" i="1"/>
  <c r="Q2947" i="1" s="1"/>
  <c r="P2946" i="1"/>
  <c r="P2945" i="1"/>
  <c r="P2944" i="1"/>
  <c r="Q2944" i="1" s="1"/>
  <c r="P2942" i="1"/>
  <c r="P2941" i="1"/>
  <c r="P2940" i="1"/>
  <c r="Q2940" i="1" s="1"/>
  <c r="P2939" i="1"/>
  <c r="Q2939" i="1" s="1"/>
  <c r="P2938" i="1"/>
  <c r="P2937" i="1"/>
  <c r="Q2937" i="1" s="1"/>
  <c r="Q2936" i="1"/>
  <c r="P2936" i="1"/>
  <c r="P2935" i="1"/>
  <c r="Q2935" i="1" s="1"/>
  <c r="P2934" i="1"/>
  <c r="Q2932" i="1"/>
  <c r="P2932" i="1"/>
  <c r="P2931" i="1"/>
  <c r="P2926" i="1"/>
  <c r="Q2926" i="1" s="1"/>
  <c r="P2925" i="1"/>
  <c r="P2915" i="1"/>
  <c r="Q2915" i="1" s="1"/>
  <c r="P2913" i="1"/>
  <c r="Q2913" i="1" s="1"/>
  <c r="P2912" i="1"/>
  <c r="Q2912" i="1" s="1"/>
  <c r="P2911" i="1"/>
  <c r="P2910" i="1"/>
  <c r="P2903" i="1"/>
  <c r="Q2903" i="1" s="1"/>
  <c r="Q2900" i="1"/>
  <c r="P2900" i="1"/>
  <c r="P2899" i="1"/>
  <c r="Q2899" i="1" s="1"/>
  <c r="P2893" i="1"/>
  <c r="P2892" i="1"/>
  <c r="P2891" i="1"/>
  <c r="P2890" i="1"/>
  <c r="P2889" i="1"/>
  <c r="Q2889" i="1" s="1"/>
  <c r="Q2888" i="1"/>
  <c r="P2888" i="1"/>
  <c r="P2887" i="1"/>
  <c r="P2886" i="1"/>
  <c r="Q2886" i="1" s="1"/>
  <c r="P2885" i="1"/>
  <c r="P2884" i="1"/>
  <c r="P2883" i="1"/>
  <c r="P2882" i="1"/>
  <c r="P2881" i="1"/>
  <c r="Q2881" i="1" s="1"/>
  <c r="P2880" i="1"/>
  <c r="P2879" i="1"/>
  <c r="Q2879" i="1" s="1"/>
  <c r="P2878" i="1"/>
  <c r="P2877" i="1"/>
  <c r="P2876" i="1"/>
  <c r="Q2876" i="1" s="1"/>
  <c r="P2875" i="1"/>
  <c r="Q2875" i="1" s="1"/>
  <c r="P2874" i="1"/>
  <c r="P2873" i="1"/>
  <c r="P2872" i="1"/>
  <c r="Q2872" i="1" s="1"/>
  <c r="P2871" i="1"/>
  <c r="Q2871" i="1" s="1"/>
  <c r="P2870" i="1"/>
  <c r="Q2870" i="1" s="1"/>
  <c r="P2869" i="1"/>
  <c r="Q2869" i="1" s="1"/>
  <c r="P2868" i="1"/>
  <c r="Q2868" i="1" s="1"/>
  <c r="P2867" i="1"/>
  <c r="Q2867" i="1" s="1"/>
  <c r="P2866" i="1"/>
  <c r="Q2866" i="1" s="1"/>
  <c r="P2865" i="1"/>
  <c r="Q2865" i="1" s="1"/>
  <c r="Q2864" i="1"/>
  <c r="P2864" i="1"/>
  <c r="P2863" i="1"/>
  <c r="Q2863" i="1" s="1"/>
  <c r="P2860" i="1"/>
  <c r="P2859" i="1"/>
  <c r="P2858" i="1"/>
  <c r="Q2858" i="1" s="1"/>
  <c r="P2857" i="1"/>
  <c r="Q2857" i="1" s="1"/>
  <c r="Q2856" i="1"/>
  <c r="P2856" i="1"/>
  <c r="P2855" i="1"/>
  <c r="Q2855" i="1" s="1"/>
  <c r="P2854" i="1"/>
  <c r="Q2854" i="1" s="1"/>
  <c r="P2853" i="1"/>
  <c r="Q2853" i="1" s="1"/>
  <c r="P2852" i="1"/>
  <c r="Q2852" i="1" s="1"/>
  <c r="P2851" i="1"/>
  <c r="Q2851" i="1" s="1"/>
  <c r="Q2850" i="1"/>
  <c r="P2850" i="1"/>
  <c r="P2849" i="1"/>
  <c r="Q2849" i="1" s="1"/>
  <c r="P2848" i="1"/>
  <c r="Q2848" i="1" s="1"/>
  <c r="P2847" i="1"/>
  <c r="P2846" i="1"/>
  <c r="Q2846" i="1" s="1"/>
  <c r="P2845" i="1"/>
  <c r="Q2845" i="1" s="1"/>
  <c r="Q2844" i="1"/>
  <c r="P2844" i="1"/>
  <c r="P2843" i="1"/>
  <c r="P2842" i="1"/>
  <c r="Q2842" i="1" s="1"/>
  <c r="P2841" i="1"/>
  <c r="Q2841" i="1" s="1"/>
  <c r="P2840" i="1"/>
  <c r="Q2840" i="1" s="1"/>
  <c r="P2839" i="1"/>
  <c r="P2838" i="1"/>
  <c r="P2837" i="1"/>
  <c r="P2836" i="1"/>
  <c r="P2835" i="1"/>
  <c r="P2834" i="1"/>
  <c r="Q2834" i="1" s="1"/>
  <c r="P2833" i="1"/>
  <c r="P2831" i="1"/>
  <c r="Q2831" i="1" s="1"/>
  <c r="P2830" i="1"/>
  <c r="P2829" i="1"/>
  <c r="P2826" i="1"/>
  <c r="Q2826" i="1" s="1"/>
  <c r="P2825" i="1"/>
  <c r="P2823" i="1"/>
  <c r="P2821" i="1"/>
  <c r="P2820" i="1"/>
  <c r="P2819" i="1"/>
  <c r="Q2819" i="1" s="1"/>
  <c r="P2817" i="1"/>
  <c r="P2816" i="1"/>
  <c r="Q2816" i="1" s="1"/>
  <c r="P2815" i="1"/>
  <c r="Q2815" i="1" s="1"/>
  <c r="P2813" i="1"/>
  <c r="P2810" i="1"/>
  <c r="P2809" i="1"/>
  <c r="Q2809" i="1" s="1"/>
  <c r="Q2808" i="1"/>
  <c r="P2808" i="1"/>
  <c r="P2807" i="1"/>
  <c r="Q2807" i="1" s="1"/>
  <c r="P2806" i="1"/>
  <c r="Q2806" i="1" s="1"/>
  <c r="P2805" i="1"/>
  <c r="Q2805" i="1" s="1"/>
  <c r="P2804" i="1"/>
  <c r="P2803" i="1"/>
  <c r="P2800" i="1"/>
  <c r="Q2800" i="1" s="1"/>
  <c r="P2799" i="1"/>
  <c r="Q2799" i="1" s="1"/>
  <c r="P2797" i="1"/>
  <c r="Q2797" i="1" s="1"/>
  <c r="P2783" i="1"/>
  <c r="Q2783" i="1" s="1"/>
  <c r="P2781" i="1"/>
  <c r="Q2781" i="1" s="1"/>
  <c r="P2780" i="1"/>
  <c r="Q2780" i="1" s="1"/>
  <c r="P2779" i="1"/>
  <c r="Q2779" i="1" s="1"/>
  <c r="P2775" i="1"/>
  <c r="Q2775" i="1" s="1"/>
  <c r="P2774" i="1"/>
  <c r="P2773" i="1"/>
  <c r="P2772" i="1"/>
  <c r="P2771" i="1"/>
  <c r="Q2771" i="1" s="1"/>
  <c r="P2769" i="1"/>
  <c r="P2767" i="1"/>
  <c r="Q2767" i="1" s="1"/>
  <c r="P2766" i="1"/>
  <c r="Q2766" i="1" s="1"/>
  <c r="P2765" i="1"/>
  <c r="Q2765" i="1" s="1"/>
  <c r="P2764" i="1"/>
  <c r="Q2764" i="1" s="1"/>
  <c r="P2763" i="1"/>
  <c r="Q2763" i="1" s="1"/>
  <c r="P2762" i="1"/>
  <c r="Q2762" i="1" s="1"/>
  <c r="P2760" i="1"/>
  <c r="P2759" i="1"/>
  <c r="P2758" i="1"/>
  <c r="Q2758" i="1" s="1"/>
  <c r="P2757" i="1"/>
  <c r="Q2757" i="1" s="1"/>
  <c r="P2756" i="1"/>
  <c r="P2755" i="1"/>
  <c r="P2754" i="1"/>
  <c r="P2751" i="1"/>
  <c r="P2750" i="1"/>
  <c r="Q2750" i="1" s="1"/>
  <c r="P2749" i="1"/>
  <c r="Q2749" i="1" s="1"/>
  <c r="P2748" i="1"/>
  <c r="Q2748" i="1" s="1"/>
  <c r="P2747" i="1"/>
  <c r="Q2747" i="1" s="1"/>
  <c r="P2745" i="1"/>
  <c r="Q2745" i="1" s="1"/>
  <c r="P2744" i="1"/>
  <c r="Q2744" i="1" s="1"/>
  <c r="P2743" i="1"/>
  <c r="P2742" i="1"/>
  <c r="Q2742" i="1" s="1"/>
  <c r="P2741" i="1"/>
  <c r="Q2741" i="1" s="1"/>
  <c r="P2740" i="1"/>
  <c r="Q2740" i="1" s="1"/>
  <c r="P2739" i="1"/>
  <c r="Q2739" i="1" s="1"/>
  <c r="P2738" i="1"/>
  <c r="Q2738" i="1" s="1"/>
  <c r="P2737" i="1"/>
  <c r="Q2737" i="1" s="1"/>
  <c r="P2735" i="1"/>
  <c r="P2733" i="1"/>
  <c r="Q2733" i="1" s="1"/>
  <c r="P2732" i="1"/>
  <c r="Q2732" i="1" s="1"/>
  <c r="P2731" i="1"/>
  <c r="Q2731" i="1" s="1"/>
  <c r="P2730" i="1"/>
  <c r="P2729" i="1"/>
  <c r="P2728" i="1"/>
  <c r="P2727" i="1"/>
  <c r="Q2727" i="1" s="1"/>
  <c r="P2726" i="1"/>
  <c r="P2725" i="1"/>
  <c r="Q2725" i="1" s="1"/>
  <c r="P2722" i="1"/>
  <c r="Q2722" i="1" s="1"/>
  <c r="P2721" i="1"/>
  <c r="P2718" i="1"/>
  <c r="Q2718" i="1" s="1"/>
  <c r="P2717" i="1"/>
  <c r="P2716" i="1"/>
  <c r="P2714" i="1"/>
  <c r="Q2714" i="1" s="1"/>
  <c r="P2713" i="1"/>
  <c r="P2712" i="1"/>
  <c r="Q2712" i="1" s="1"/>
  <c r="P2711" i="1"/>
  <c r="P2710" i="1"/>
  <c r="P2703" i="1"/>
  <c r="Q2703" i="1" s="1"/>
  <c r="P2702" i="1"/>
  <c r="Q2702" i="1" s="1"/>
  <c r="P2700" i="1"/>
  <c r="P2699" i="1"/>
  <c r="Q2699" i="1" s="1"/>
  <c r="P2698" i="1"/>
  <c r="Q2698" i="1" s="1"/>
  <c r="P2697" i="1"/>
  <c r="Q2697" i="1" s="1"/>
  <c r="P2695" i="1"/>
  <c r="Q2695" i="1" s="1"/>
  <c r="P2691" i="1"/>
  <c r="P2690" i="1"/>
  <c r="P2689" i="1"/>
  <c r="P2688" i="1"/>
  <c r="P2687" i="1"/>
  <c r="P2686" i="1"/>
  <c r="P2685" i="1"/>
  <c r="P2684" i="1"/>
  <c r="Q2684" i="1" s="1"/>
  <c r="P2683" i="1"/>
  <c r="P2682" i="1"/>
  <c r="P2681" i="1"/>
  <c r="Q2681" i="1" s="1"/>
  <c r="P2680" i="1"/>
  <c r="Q2680" i="1" s="1"/>
  <c r="P2679" i="1"/>
  <c r="Q2679" i="1" s="1"/>
  <c r="P2678" i="1"/>
  <c r="P2677" i="1"/>
  <c r="Q2677" i="1" s="1"/>
  <c r="P2676" i="1"/>
  <c r="Q2676" i="1" s="1"/>
  <c r="Q2675" i="1"/>
  <c r="P2675" i="1"/>
  <c r="P2674" i="1"/>
  <c r="Q2674" i="1" s="1"/>
  <c r="P2673" i="1"/>
  <c r="Q2673" i="1" s="1"/>
  <c r="P2672" i="1"/>
  <c r="Q2672" i="1" s="1"/>
  <c r="P2671" i="1"/>
  <c r="P2670" i="1"/>
  <c r="Q2670" i="1" s="1"/>
  <c r="Q2669" i="1"/>
  <c r="P2669" i="1"/>
  <c r="P2668" i="1"/>
  <c r="Q2668" i="1" s="1"/>
  <c r="P2667" i="1"/>
  <c r="Q2667" i="1" s="1"/>
  <c r="P2666" i="1"/>
  <c r="P2663" i="1"/>
  <c r="P2662" i="1"/>
  <c r="Q2662" i="1" s="1"/>
  <c r="P2661" i="1"/>
  <c r="P2660" i="1"/>
  <c r="P2659" i="1"/>
  <c r="P2657" i="1"/>
  <c r="Q2657" i="1" s="1"/>
  <c r="P2654" i="1"/>
  <c r="Q2654" i="1" s="1"/>
  <c r="P2651" i="1"/>
  <c r="P2644" i="1"/>
  <c r="Q2644" i="1" s="1"/>
  <c r="Q2641" i="1"/>
  <c r="P2641" i="1"/>
  <c r="P2640" i="1"/>
  <c r="Q2640" i="1" s="1"/>
  <c r="P2639" i="1"/>
  <c r="Q2639" i="1" s="1"/>
  <c r="P2638" i="1"/>
  <c r="Q2638" i="1" s="1"/>
  <c r="P2637" i="1"/>
  <c r="Q2637" i="1" s="1"/>
  <c r="P2636" i="1"/>
  <c r="Q2636" i="1" s="1"/>
  <c r="P2635" i="1"/>
  <c r="Q2635" i="1" s="1"/>
  <c r="P2634" i="1"/>
  <c r="Q2634" i="1" s="1"/>
  <c r="P2632" i="1"/>
  <c r="Q2632" i="1" s="1"/>
  <c r="P2631" i="1"/>
  <c r="Q2631" i="1" s="1"/>
  <c r="P2628" i="1"/>
  <c r="Q2628" i="1" s="1"/>
  <c r="Q2627" i="1"/>
  <c r="P2627" i="1"/>
  <c r="P2625" i="1"/>
  <c r="P2624" i="1"/>
  <c r="Q2624" i="1" s="1"/>
  <c r="Q2623" i="1"/>
  <c r="P2623" i="1"/>
  <c r="P2620" i="1"/>
  <c r="Q2620" i="1" s="1"/>
  <c r="P2619" i="1"/>
  <c r="Q2619" i="1" s="1"/>
  <c r="P2618" i="1"/>
  <c r="Q2618" i="1" s="1"/>
  <c r="P2615" i="1"/>
  <c r="Q2615" i="1" s="1"/>
  <c r="P2614" i="1"/>
  <c r="Q2614" i="1" s="1"/>
  <c r="P2613" i="1"/>
  <c r="P2612" i="1"/>
  <c r="P2611" i="1"/>
  <c r="P2610" i="1"/>
  <c r="Q2610" i="1" s="1"/>
  <c r="P2609" i="1"/>
  <c r="Q2609" i="1" s="1"/>
  <c r="P2608" i="1"/>
  <c r="Q2608" i="1" s="1"/>
  <c r="Q2607" i="1"/>
  <c r="P2607" i="1"/>
  <c r="P2606" i="1"/>
  <c r="Q2606" i="1" s="1"/>
  <c r="P2605" i="1"/>
  <c r="P2604" i="1"/>
  <c r="Q2604" i="1" s="1"/>
  <c r="P2603" i="1"/>
  <c r="P2602" i="1"/>
  <c r="Q2602" i="1" s="1"/>
  <c r="P2601" i="1"/>
  <c r="Q2601" i="1" s="1"/>
  <c r="P2600" i="1"/>
  <c r="P2599" i="1"/>
  <c r="P2597" i="1"/>
  <c r="Q2597" i="1" s="1"/>
  <c r="P2595" i="1"/>
  <c r="Q2595" i="1" s="1"/>
  <c r="P2594" i="1"/>
  <c r="Q2594" i="1" s="1"/>
  <c r="P2590" i="1"/>
  <c r="Q2590" i="1" s="1"/>
  <c r="P2586" i="1"/>
  <c r="Q2586" i="1" s="1"/>
  <c r="P2582" i="1"/>
  <c r="Q2582" i="1" s="1"/>
  <c r="P2580" i="1"/>
  <c r="Q2580" i="1" s="1"/>
  <c r="P2579" i="1"/>
  <c r="P2578" i="1"/>
  <c r="Q2578" i="1" s="1"/>
  <c r="P2577" i="1"/>
  <c r="Q2577" i="1" s="1"/>
  <c r="P2576" i="1"/>
  <c r="Q2576" i="1" s="1"/>
  <c r="P2575" i="1"/>
  <c r="Q2575" i="1" s="1"/>
  <c r="P2574" i="1"/>
  <c r="Q2573" i="1"/>
  <c r="P2573" i="1"/>
  <c r="P2572" i="1"/>
  <c r="Q2572" i="1" s="1"/>
  <c r="P2571" i="1"/>
  <c r="Q2571" i="1" s="1"/>
  <c r="P2570" i="1"/>
  <c r="Q2570" i="1" s="1"/>
  <c r="P2569" i="1"/>
  <c r="Q2569" i="1" s="1"/>
  <c r="P2568" i="1"/>
  <c r="Q2568" i="1" s="1"/>
  <c r="P2567" i="1"/>
  <c r="Q2567" i="1" s="1"/>
  <c r="P2564" i="1"/>
  <c r="Q2564" i="1" s="1"/>
  <c r="Q2563" i="1"/>
  <c r="P2563" i="1"/>
  <c r="P2562" i="1"/>
  <c r="Q2562" i="1" s="1"/>
  <c r="P2561" i="1"/>
  <c r="Q2561" i="1" s="1"/>
  <c r="P2550" i="1"/>
  <c r="Q2550" i="1" s="1"/>
  <c r="P2549" i="1"/>
  <c r="Q2549" i="1" s="1"/>
  <c r="P2548" i="1"/>
  <c r="Q2548" i="1" s="1"/>
  <c r="P2546" i="1"/>
  <c r="Q2546" i="1" s="1"/>
  <c r="P2545" i="1"/>
  <c r="Q2545" i="1" s="1"/>
  <c r="P2544" i="1"/>
  <c r="Q2544" i="1" s="1"/>
  <c r="P2543" i="1"/>
  <c r="Q2543" i="1" s="1"/>
  <c r="P2542" i="1"/>
  <c r="Q2542" i="1" s="1"/>
  <c r="Q2541" i="1"/>
  <c r="P2541" i="1"/>
  <c r="P2540" i="1"/>
  <c r="Q2540" i="1" s="1"/>
  <c r="P2533" i="1"/>
  <c r="Q2533" i="1" s="1"/>
  <c r="P2532" i="1"/>
  <c r="Q2532" i="1" s="1"/>
  <c r="P2531" i="1"/>
  <c r="Q2531" i="1" s="1"/>
  <c r="P2530" i="1"/>
  <c r="Q2530" i="1" s="1"/>
  <c r="P2529" i="1"/>
  <c r="Q2529" i="1" s="1"/>
  <c r="P2528" i="1"/>
  <c r="Q2528" i="1" s="1"/>
  <c r="Q2527" i="1"/>
  <c r="P2527" i="1"/>
  <c r="P2526" i="1"/>
  <c r="Q2526" i="1" s="1"/>
  <c r="P2524" i="1"/>
  <c r="Q2524" i="1" s="1"/>
  <c r="Q2523" i="1"/>
  <c r="P2523" i="1"/>
  <c r="P2520" i="1"/>
  <c r="P2518" i="1"/>
  <c r="P2517" i="1"/>
  <c r="P2516" i="1"/>
  <c r="P2515" i="1"/>
  <c r="Q2515" i="1" s="1"/>
  <c r="P2514" i="1"/>
  <c r="Q2514" i="1" s="1"/>
  <c r="P2513" i="1"/>
  <c r="P2512" i="1"/>
  <c r="P2511" i="1"/>
  <c r="P2510" i="1"/>
  <c r="P2509" i="1"/>
  <c r="Q2509" i="1" s="1"/>
  <c r="P2508" i="1"/>
  <c r="P2507" i="1"/>
  <c r="P2506" i="1"/>
  <c r="Q2506" i="1" s="1"/>
  <c r="P2505" i="1"/>
  <c r="P2504" i="1"/>
  <c r="Q2503" i="1"/>
  <c r="P2503" i="1"/>
  <c r="P2496" i="1"/>
  <c r="Q2496" i="1" s="1"/>
  <c r="P2487" i="1"/>
  <c r="Q2487" i="1" s="1"/>
  <c r="P2486" i="1"/>
  <c r="P2485" i="1"/>
  <c r="Q2485" i="1" s="1"/>
  <c r="P2484" i="1"/>
  <c r="P2483" i="1"/>
  <c r="Q2483" i="1" s="1"/>
  <c r="P2482" i="1"/>
  <c r="Q2482" i="1" s="1"/>
  <c r="P2481" i="1"/>
  <c r="P2480" i="1"/>
  <c r="Q2480" i="1" s="1"/>
  <c r="P2479" i="1"/>
  <c r="P2478" i="1"/>
  <c r="P2476" i="1"/>
  <c r="P2475" i="1"/>
  <c r="P2474" i="1"/>
  <c r="P2473" i="1"/>
  <c r="P2472" i="1"/>
  <c r="P2471" i="1"/>
  <c r="Q2471" i="1" s="1"/>
  <c r="P2470" i="1"/>
  <c r="Q2470" i="1" s="1"/>
  <c r="Q2469" i="1"/>
  <c r="P2469" i="1"/>
  <c r="P2468" i="1"/>
  <c r="Q2468" i="1" s="1"/>
  <c r="P2467" i="1"/>
  <c r="Q2467" i="1" s="1"/>
  <c r="P2466" i="1"/>
  <c r="Q2466" i="1" s="1"/>
  <c r="P2465" i="1"/>
  <c r="Q2465" i="1" s="1"/>
  <c r="P2464" i="1"/>
  <c r="Q2464" i="1" s="1"/>
  <c r="P2463" i="1"/>
  <c r="Q2463" i="1" s="1"/>
  <c r="P2462" i="1"/>
  <c r="Q2462" i="1" s="1"/>
  <c r="Q2461" i="1"/>
  <c r="P2461" i="1"/>
  <c r="P2460" i="1"/>
  <c r="Q2460" i="1" s="1"/>
  <c r="P2459" i="1"/>
  <c r="Q2459" i="1" s="1"/>
  <c r="P2458" i="1"/>
  <c r="Q2458" i="1" s="1"/>
  <c r="P2457" i="1"/>
  <c r="Q2457" i="1" s="1"/>
  <c r="Q2455" i="1"/>
  <c r="P2455" i="1"/>
  <c r="P2454" i="1"/>
  <c r="Q2454" i="1" s="1"/>
  <c r="P2453" i="1"/>
  <c r="Q2453" i="1" s="1"/>
  <c r="P2452" i="1"/>
  <c r="Q2452" i="1" s="1"/>
  <c r="P2451" i="1"/>
  <c r="Q2451" i="1" s="1"/>
  <c r="P2450" i="1"/>
  <c r="Q2450" i="1" s="1"/>
  <c r="P2449" i="1"/>
  <c r="Q2449" i="1" s="1"/>
  <c r="P2448" i="1"/>
  <c r="Q2448" i="1" s="1"/>
  <c r="Q2447" i="1"/>
  <c r="P2447" i="1"/>
  <c r="P2446" i="1"/>
  <c r="P2444" i="1"/>
  <c r="Q2444" i="1" s="1"/>
  <c r="P2443" i="1"/>
  <c r="P2442" i="1"/>
  <c r="P2436" i="1"/>
  <c r="P2435" i="1"/>
  <c r="P2434" i="1"/>
  <c r="Q2434" i="1" s="1"/>
  <c r="P2433" i="1"/>
  <c r="Q2433" i="1" s="1"/>
  <c r="P2432" i="1"/>
  <c r="Q2432" i="1" s="1"/>
  <c r="P2430" i="1"/>
  <c r="Q2430" i="1" s="1"/>
  <c r="P2429" i="1"/>
  <c r="Q2429" i="1" s="1"/>
  <c r="P2427" i="1"/>
  <c r="P2426" i="1"/>
  <c r="Q2426" i="1" s="1"/>
  <c r="P2425" i="1"/>
  <c r="Q2425" i="1" s="1"/>
  <c r="P2417" i="1"/>
  <c r="P2416" i="1"/>
  <c r="P2415" i="1"/>
  <c r="Q2415" i="1" s="1"/>
  <c r="P2414" i="1"/>
  <c r="P2413" i="1"/>
  <c r="P2412" i="1"/>
  <c r="P2411" i="1"/>
  <c r="Q2411" i="1" s="1"/>
  <c r="P2410" i="1"/>
  <c r="Q2410" i="1" s="1"/>
  <c r="P2409" i="1"/>
  <c r="Q2409" i="1" s="1"/>
  <c r="P2404" i="1"/>
  <c r="Q2404" i="1" s="1"/>
  <c r="Q2401" i="1"/>
  <c r="P2401" i="1"/>
  <c r="P2400" i="1"/>
  <c r="Q2400" i="1" s="1"/>
  <c r="P2395" i="1"/>
  <c r="Q2395" i="1" s="1"/>
  <c r="P2394" i="1"/>
  <c r="Q2394" i="1" s="1"/>
  <c r="P2393" i="1"/>
  <c r="Q2393" i="1" s="1"/>
  <c r="P2392" i="1"/>
  <c r="Q2392" i="1" s="1"/>
  <c r="P2391" i="1"/>
  <c r="Q2391" i="1" s="1"/>
  <c r="P2390" i="1"/>
  <c r="Q2390" i="1" s="1"/>
  <c r="P2389" i="1"/>
  <c r="P2387" i="1"/>
  <c r="Q2387" i="1" s="1"/>
  <c r="P2386" i="1"/>
  <c r="P2385" i="1"/>
  <c r="P2381" i="1"/>
  <c r="Q2381" i="1" s="1"/>
  <c r="P2380" i="1"/>
  <c r="Q2380" i="1" s="1"/>
  <c r="P2379" i="1"/>
  <c r="Q2379" i="1" s="1"/>
  <c r="P2378" i="1"/>
  <c r="Q2378" i="1" s="1"/>
  <c r="P2377" i="1"/>
  <c r="Q2377" i="1" s="1"/>
  <c r="P2376" i="1"/>
  <c r="Q2376" i="1" s="1"/>
  <c r="P2374" i="1"/>
  <c r="Q2374" i="1" s="1"/>
  <c r="P2373" i="1"/>
  <c r="P2372" i="1"/>
  <c r="Q2372" i="1" s="1"/>
  <c r="P2371" i="1"/>
  <c r="Q2371" i="1" s="1"/>
  <c r="P2369" i="1"/>
  <c r="P2368" i="1"/>
  <c r="P2367" i="1"/>
  <c r="Q2367" i="1" s="1"/>
  <c r="P2365" i="1"/>
  <c r="Q2365" i="1" s="1"/>
  <c r="P2363" i="1"/>
  <c r="P2362" i="1"/>
  <c r="P2361" i="1"/>
  <c r="P2358" i="1"/>
  <c r="Q2358" i="1" s="1"/>
  <c r="P2357" i="1"/>
  <c r="Q2357" i="1" s="1"/>
  <c r="P2356" i="1"/>
  <c r="Q2356" i="1" s="1"/>
  <c r="P2355" i="1"/>
  <c r="Q2355" i="1" s="1"/>
  <c r="P2354" i="1"/>
  <c r="P2353" i="1"/>
  <c r="Q2353" i="1" s="1"/>
  <c r="P2352" i="1"/>
  <c r="Q2352" i="1" s="1"/>
  <c r="Q2351" i="1"/>
  <c r="P2351" i="1"/>
  <c r="P2350" i="1"/>
  <c r="Q2350" i="1" s="1"/>
  <c r="P2349" i="1"/>
  <c r="Q2349" i="1" s="1"/>
  <c r="P2348" i="1"/>
  <c r="Q2348" i="1" s="1"/>
  <c r="P2347" i="1"/>
  <c r="Q2347" i="1" s="1"/>
  <c r="P2346" i="1"/>
  <c r="Q2346" i="1" s="1"/>
  <c r="P2345" i="1"/>
  <c r="Q2345" i="1" s="1"/>
  <c r="P2344" i="1"/>
  <c r="Q2344" i="1" s="1"/>
  <c r="P2343" i="1"/>
  <c r="Q2343" i="1" s="1"/>
  <c r="P2342" i="1"/>
  <c r="Q2342" i="1" s="1"/>
  <c r="P2341" i="1"/>
  <c r="Q2341" i="1" s="1"/>
  <c r="P2340" i="1"/>
  <c r="Q2340" i="1" s="1"/>
  <c r="P2339" i="1"/>
  <c r="Q2339" i="1" s="1"/>
  <c r="P2338" i="1"/>
  <c r="Q2338" i="1" s="1"/>
  <c r="P2337" i="1"/>
  <c r="Q2337" i="1" s="1"/>
  <c r="P2336" i="1"/>
  <c r="Q2336" i="1" s="1"/>
  <c r="Q2335" i="1"/>
  <c r="P2335" i="1"/>
  <c r="P2334" i="1"/>
  <c r="Q2334" i="1" s="1"/>
  <c r="P2333" i="1"/>
  <c r="Q2333" i="1" s="1"/>
  <c r="P2332" i="1"/>
  <c r="Q2332" i="1" s="1"/>
  <c r="P2331" i="1"/>
  <c r="Q2331" i="1" s="1"/>
  <c r="P2330" i="1"/>
  <c r="Q2330" i="1" s="1"/>
  <c r="P2329" i="1"/>
  <c r="Q2329" i="1" s="1"/>
  <c r="P2328" i="1"/>
  <c r="Q2328" i="1" s="1"/>
  <c r="P2327" i="1"/>
  <c r="Q2327" i="1" s="1"/>
  <c r="P2326" i="1"/>
  <c r="Q2326" i="1" s="1"/>
  <c r="P2325" i="1"/>
  <c r="Q2325" i="1" s="1"/>
  <c r="P2324" i="1"/>
  <c r="Q2324" i="1" s="1"/>
  <c r="P2319" i="1"/>
  <c r="Q2319" i="1" s="1"/>
  <c r="P2318" i="1"/>
  <c r="Q2318" i="1" s="1"/>
  <c r="P2317" i="1"/>
  <c r="Q2317" i="1" s="1"/>
  <c r="P2316" i="1"/>
  <c r="Q2316" i="1" s="1"/>
  <c r="P2315" i="1"/>
  <c r="Q2315" i="1" s="1"/>
  <c r="P2314" i="1"/>
  <c r="Q2314" i="1" s="1"/>
  <c r="P2313" i="1"/>
  <c r="Q2313" i="1" s="1"/>
  <c r="P2312" i="1"/>
  <c r="Q2312" i="1" s="1"/>
  <c r="P2311" i="1"/>
  <c r="Q2311" i="1" s="1"/>
  <c r="P2310" i="1"/>
  <c r="Q2310" i="1" s="1"/>
  <c r="P2309" i="1"/>
  <c r="Q2309" i="1" s="1"/>
  <c r="P2308" i="1"/>
  <c r="Q2308" i="1" s="1"/>
  <c r="P2307" i="1"/>
  <c r="Q2307" i="1" s="1"/>
  <c r="P2306" i="1"/>
  <c r="Q2306" i="1" s="1"/>
  <c r="Q2305" i="1"/>
  <c r="P2305" i="1"/>
  <c r="P2304" i="1"/>
  <c r="Q2304" i="1" s="1"/>
  <c r="P2303" i="1"/>
  <c r="Q2303" i="1" s="1"/>
  <c r="P2302" i="1"/>
  <c r="Q2302" i="1" s="1"/>
  <c r="P2301" i="1"/>
  <c r="Q2301" i="1" s="1"/>
  <c r="P2300" i="1"/>
  <c r="Q2300" i="1" s="1"/>
  <c r="P2299" i="1"/>
  <c r="Q2299" i="1" s="1"/>
  <c r="P2296" i="1"/>
  <c r="Q2296" i="1" s="1"/>
  <c r="P2295" i="1"/>
  <c r="Q2295" i="1" s="1"/>
  <c r="P2294" i="1"/>
  <c r="P2293" i="1"/>
  <c r="P2290" i="1"/>
  <c r="Q2290" i="1" s="1"/>
  <c r="Q2289" i="1"/>
  <c r="P2289" i="1"/>
  <c r="P2272" i="1"/>
  <c r="Q2272" i="1" s="1"/>
  <c r="P2271" i="1"/>
  <c r="Q2271" i="1" s="1"/>
  <c r="P2269" i="1"/>
  <c r="Q2269" i="1" s="1"/>
  <c r="P2268" i="1"/>
  <c r="Q2268" i="1" s="1"/>
  <c r="P2257" i="1"/>
  <c r="Q2257" i="1" s="1"/>
  <c r="P2256" i="1"/>
  <c r="Q2256" i="1" s="1"/>
  <c r="P2255" i="1"/>
  <c r="Q2255" i="1" s="1"/>
  <c r="P2254" i="1"/>
  <c r="Q2254" i="1" s="1"/>
  <c r="P2253" i="1"/>
  <c r="Q2253" i="1" s="1"/>
  <c r="P2252" i="1"/>
  <c r="Q2252" i="1" s="1"/>
  <c r="P2251" i="1"/>
  <c r="Q2251" i="1" s="1"/>
  <c r="P2250" i="1"/>
  <c r="Q2250" i="1" s="1"/>
  <c r="Q2249" i="1"/>
  <c r="P2249" i="1"/>
  <c r="P2248" i="1"/>
  <c r="Q2248" i="1" s="1"/>
  <c r="P2247" i="1"/>
  <c r="Q2247" i="1" s="1"/>
  <c r="P2234" i="1"/>
  <c r="Q2234" i="1" s="1"/>
  <c r="P2233" i="1"/>
  <c r="Q2233" i="1" s="1"/>
  <c r="P2232" i="1"/>
  <c r="Q2232" i="1" s="1"/>
  <c r="P2231" i="1"/>
  <c r="Q2231" i="1" s="1"/>
  <c r="P2230" i="1"/>
  <c r="Q2230" i="1" s="1"/>
  <c r="P2229" i="1"/>
  <c r="Q2229" i="1" s="1"/>
  <c r="P2228" i="1"/>
  <c r="Q2228" i="1" s="1"/>
  <c r="P2208" i="1"/>
  <c r="Q2208" i="1" s="1"/>
  <c r="P2207" i="1"/>
  <c r="Q2207" i="1" s="1"/>
  <c r="P2206" i="1"/>
  <c r="Q2206" i="1" s="1"/>
  <c r="P2205" i="1"/>
  <c r="Q2205" i="1" s="1"/>
  <c r="P2204" i="1"/>
  <c r="Q2204" i="1" s="1"/>
  <c r="P2202" i="1"/>
  <c r="Q2202" i="1" s="1"/>
  <c r="P2201" i="1"/>
  <c r="Q2201" i="1" s="1"/>
  <c r="P2200" i="1"/>
  <c r="Q2200" i="1" s="1"/>
  <c r="Q2199" i="1"/>
  <c r="P2199" i="1"/>
  <c r="P2198" i="1"/>
  <c r="Q2198" i="1" s="1"/>
  <c r="P2197" i="1"/>
  <c r="Q2197" i="1" s="1"/>
  <c r="P2196" i="1"/>
  <c r="Q2196" i="1" s="1"/>
  <c r="P2195" i="1"/>
  <c r="Q2195" i="1" s="1"/>
  <c r="P2194" i="1"/>
  <c r="Q2194" i="1" s="1"/>
  <c r="Q2193" i="1"/>
  <c r="P2193" i="1"/>
  <c r="P2192" i="1"/>
  <c r="Q2192" i="1" s="1"/>
  <c r="P2188" i="1"/>
  <c r="Q2188" i="1" s="1"/>
  <c r="P2177" i="1"/>
  <c r="Q2177" i="1" s="1"/>
  <c r="P2157" i="1"/>
  <c r="Q2157" i="1" s="1"/>
  <c r="P2156" i="1"/>
  <c r="Q2156" i="1" s="1"/>
  <c r="P2155" i="1"/>
  <c r="Q2155" i="1" s="1"/>
  <c r="P2154" i="1"/>
  <c r="Q2154" i="1" s="1"/>
  <c r="P2149" i="1"/>
  <c r="Q2149" i="1" s="1"/>
  <c r="P2147" i="1"/>
  <c r="Q2147" i="1" s="1"/>
  <c r="P2146" i="1"/>
  <c r="Q2146" i="1" s="1"/>
  <c r="P2145" i="1"/>
  <c r="Q2145" i="1" s="1"/>
  <c r="P2144" i="1"/>
  <c r="Q2144" i="1" s="1"/>
  <c r="P2143" i="1"/>
  <c r="Q2143" i="1" s="1"/>
  <c r="P2142" i="1"/>
  <c r="Q2142" i="1" s="1"/>
  <c r="Q2141" i="1"/>
  <c r="P2141" i="1"/>
  <c r="P2140" i="1"/>
  <c r="Q2140" i="1" s="1"/>
  <c r="P2139" i="1"/>
  <c r="Q2139" i="1" s="1"/>
  <c r="P2138" i="1"/>
  <c r="Q2138" i="1" s="1"/>
  <c r="Q2137" i="1"/>
  <c r="P2137" i="1"/>
  <c r="P2136" i="1"/>
  <c r="Q2136" i="1" s="1"/>
  <c r="P2135" i="1"/>
  <c r="Q2135" i="1" s="1"/>
  <c r="P2133" i="1"/>
  <c r="Q2133" i="1" s="1"/>
  <c r="P2132" i="1"/>
  <c r="Q2132" i="1" s="1"/>
  <c r="P2131" i="1"/>
  <c r="Q2131" i="1" s="1"/>
  <c r="P2130" i="1"/>
  <c r="Q2130" i="1" s="1"/>
  <c r="P2129" i="1"/>
  <c r="Q2129" i="1" s="1"/>
  <c r="P2128" i="1"/>
  <c r="Q2128" i="1" s="1"/>
  <c r="Q2127" i="1"/>
  <c r="P2127" i="1"/>
  <c r="P2126" i="1"/>
  <c r="Q2126" i="1" s="1"/>
  <c r="P2125" i="1"/>
  <c r="Q2125" i="1" s="1"/>
  <c r="P2124" i="1"/>
  <c r="Q2124" i="1" s="1"/>
  <c r="P2123" i="1"/>
  <c r="Q2123" i="1" s="1"/>
  <c r="P2122" i="1"/>
  <c r="Q2122" i="1" s="1"/>
  <c r="P2121" i="1"/>
  <c r="Q2121" i="1" s="1"/>
  <c r="P2120" i="1"/>
  <c r="Q2120" i="1" s="1"/>
  <c r="Q2119" i="1"/>
  <c r="P2119" i="1"/>
  <c r="P2118" i="1"/>
  <c r="Q2118" i="1" s="1"/>
  <c r="P2117" i="1"/>
  <c r="Q2117" i="1" s="1"/>
  <c r="P2115" i="1"/>
  <c r="Q2115" i="1" s="1"/>
  <c r="P2114" i="1"/>
  <c r="Q2114" i="1" s="1"/>
  <c r="Q2113" i="1"/>
  <c r="P2113" i="1"/>
  <c r="P2112" i="1"/>
  <c r="Q2112" i="1" s="1"/>
  <c r="Q2111" i="1"/>
  <c r="P2111" i="1"/>
  <c r="P2110" i="1"/>
  <c r="Q2110" i="1" s="1"/>
  <c r="P2109" i="1"/>
  <c r="Q2109" i="1" s="1"/>
  <c r="P2108" i="1"/>
  <c r="Q2108" i="1" s="1"/>
  <c r="P2107" i="1"/>
  <c r="Q2107" i="1" s="1"/>
  <c r="P2105" i="1"/>
  <c r="Q2105" i="1" s="1"/>
  <c r="P2104" i="1"/>
  <c r="Q2104" i="1" s="1"/>
  <c r="Q2103" i="1"/>
  <c r="P2103" i="1"/>
  <c r="P2102" i="1"/>
  <c r="Q2102" i="1" s="1"/>
  <c r="P2101" i="1"/>
  <c r="Q2101" i="1" s="1"/>
  <c r="P2100" i="1"/>
  <c r="Q2100" i="1" s="1"/>
  <c r="P2099" i="1"/>
  <c r="Q2099" i="1" s="1"/>
  <c r="P2098" i="1"/>
  <c r="Q2098" i="1" s="1"/>
  <c r="Q2097" i="1"/>
  <c r="P2097" i="1"/>
  <c r="P2096" i="1"/>
  <c r="Q2096" i="1" s="1"/>
  <c r="P2095" i="1"/>
  <c r="Q2095" i="1" s="1"/>
  <c r="P2094" i="1"/>
  <c r="Q2094" i="1" s="1"/>
  <c r="P2093" i="1"/>
  <c r="Q2093" i="1" s="1"/>
  <c r="P2092" i="1"/>
  <c r="Q2092" i="1" s="1"/>
  <c r="Q2091" i="1"/>
  <c r="P2091" i="1"/>
  <c r="P2090" i="1"/>
  <c r="Q2090" i="1" s="1"/>
  <c r="P2089" i="1"/>
  <c r="Q2089" i="1" s="1"/>
  <c r="P2088" i="1"/>
  <c r="Q2088" i="1" s="1"/>
  <c r="P2087" i="1"/>
  <c r="Q2087" i="1" s="1"/>
  <c r="P2086" i="1"/>
  <c r="Q2086" i="1" s="1"/>
  <c r="P2085" i="1"/>
  <c r="Q2085" i="1" s="1"/>
  <c r="P2084" i="1"/>
  <c r="Q2084" i="1" s="1"/>
  <c r="Q2083" i="1"/>
  <c r="P2083" i="1"/>
  <c r="P2082" i="1"/>
  <c r="Q2082" i="1" s="1"/>
  <c r="P2081" i="1"/>
  <c r="Q2081" i="1" s="1"/>
  <c r="P2080" i="1"/>
  <c r="Q2080" i="1" s="1"/>
  <c r="Q2079" i="1"/>
  <c r="P2079" i="1"/>
  <c r="P2078" i="1"/>
  <c r="Q2078" i="1" s="1"/>
  <c r="P2076" i="1"/>
  <c r="Q2076" i="1" s="1"/>
  <c r="Q2075" i="1"/>
  <c r="P2075" i="1"/>
  <c r="P2074" i="1"/>
  <c r="Q2074" i="1" s="1"/>
  <c r="P2073" i="1"/>
  <c r="Q2073" i="1" s="1"/>
  <c r="P2072" i="1"/>
  <c r="Q2072" i="1" s="1"/>
  <c r="Q2071" i="1"/>
  <c r="P2071" i="1"/>
  <c r="P2070" i="1"/>
  <c r="Q2070" i="1" s="1"/>
  <c r="P2068" i="1"/>
  <c r="Q2068" i="1" s="1"/>
  <c r="P2066" i="1"/>
  <c r="Q2066" i="1" s="1"/>
  <c r="P2065" i="1"/>
  <c r="Q2065" i="1" s="1"/>
  <c r="P2063" i="1"/>
  <c r="Q2063" i="1" s="1"/>
  <c r="P2061" i="1"/>
  <c r="Q2061" i="1" s="1"/>
  <c r="P2060" i="1"/>
  <c r="Q2060" i="1" s="1"/>
  <c r="Q2059" i="1"/>
  <c r="P2059" i="1"/>
  <c r="P2058" i="1"/>
  <c r="Q2058" i="1" s="1"/>
  <c r="Q2057" i="1"/>
  <c r="P2057" i="1"/>
  <c r="P2049" i="1"/>
  <c r="Q2049" i="1" s="1"/>
  <c r="P2048" i="1"/>
  <c r="Q2048" i="1" s="1"/>
  <c r="Q2047" i="1"/>
  <c r="P2047" i="1"/>
  <c r="P2046" i="1"/>
  <c r="Q2046" i="1" s="1"/>
  <c r="P2045" i="1"/>
  <c r="Q2045" i="1" s="1"/>
  <c r="P2044" i="1"/>
  <c r="Q2044" i="1" s="1"/>
  <c r="Q2043" i="1"/>
  <c r="P2043" i="1"/>
  <c r="P2042" i="1"/>
  <c r="Q2042" i="1" s="1"/>
  <c r="P2041" i="1"/>
  <c r="Q2041" i="1" s="1"/>
  <c r="P2040" i="1"/>
  <c r="Q2040" i="1" s="1"/>
  <c r="P2038" i="1"/>
  <c r="Q2038" i="1" s="1"/>
  <c r="P2037" i="1"/>
  <c r="Q2037" i="1" s="1"/>
  <c r="P2036" i="1"/>
  <c r="Q2036" i="1" s="1"/>
  <c r="Q2035" i="1"/>
  <c r="P2035" i="1"/>
  <c r="P2034" i="1"/>
  <c r="Q2034" i="1" s="1"/>
  <c r="P2033" i="1"/>
  <c r="Q2033" i="1" s="1"/>
  <c r="P2032" i="1"/>
  <c r="Q2032" i="1" s="1"/>
  <c r="Q2031" i="1"/>
  <c r="P2031" i="1"/>
  <c r="P2030" i="1"/>
  <c r="Q2030" i="1" s="1"/>
  <c r="P2029" i="1"/>
  <c r="Q2029" i="1" s="1"/>
  <c r="P2027" i="1"/>
  <c r="Q2027" i="1" s="1"/>
  <c r="P2026" i="1"/>
  <c r="Q2026" i="1" s="1"/>
  <c r="P2025" i="1"/>
  <c r="Q2025" i="1" s="1"/>
  <c r="P2024" i="1"/>
  <c r="Q2024" i="1" s="1"/>
  <c r="P2023" i="1"/>
  <c r="Q2023" i="1" s="1"/>
  <c r="P2022" i="1"/>
  <c r="Q2022" i="1" s="1"/>
  <c r="Q2021" i="1"/>
  <c r="P2021" i="1"/>
  <c r="P2020" i="1"/>
  <c r="Q2020" i="1" s="1"/>
  <c r="P2019" i="1"/>
  <c r="Q2019" i="1" s="1"/>
  <c r="P2018" i="1"/>
  <c r="Q2018" i="1" s="1"/>
  <c r="Q2017" i="1"/>
  <c r="P2017" i="1"/>
  <c r="P2016" i="1"/>
  <c r="Q2016" i="1" s="1"/>
  <c r="P2015" i="1"/>
  <c r="Q2015" i="1" s="1"/>
  <c r="P2014" i="1"/>
  <c r="Q2014" i="1" s="1"/>
  <c r="Q2013" i="1"/>
  <c r="P2013" i="1"/>
  <c r="P2012" i="1"/>
  <c r="Q2012" i="1" s="1"/>
  <c r="Q2011" i="1"/>
  <c r="P2011" i="1"/>
  <c r="P2010" i="1"/>
  <c r="Q2010" i="1" s="1"/>
  <c r="P2009" i="1"/>
  <c r="Q2009" i="1" s="1"/>
  <c r="P2008" i="1"/>
  <c r="Q2008" i="1" s="1"/>
  <c r="P2007" i="1"/>
  <c r="Q2007" i="1" s="1"/>
  <c r="P2006" i="1"/>
  <c r="Q2006" i="1" s="1"/>
  <c r="Q2005" i="1"/>
  <c r="P2005" i="1"/>
  <c r="P2004" i="1"/>
  <c r="Q2004" i="1" s="1"/>
  <c r="P2003" i="1"/>
  <c r="Q2003" i="1" s="1"/>
  <c r="P2002" i="1"/>
  <c r="Q2002" i="1" s="1"/>
  <c r="P2001" i="1"/>
  <c r="Q2001" i="1" s="1"/>
  <c r="P2000" i="1"/>
  <c r="Q2000" i="1" s="1"/>
  <c r="P1999" i="1"/>
  <c r="Q1999" i="1" s="1"/>
  <c r="P1997" i="1"/>
  <c r="Q1997" i="1" s="1"/>
  <c r="P1996" i="1"/>
  <c r="Q1996" i="1" s="1"/>
  <c r="Q1995" i="1"/>
  <c r="P1995" i="1"/>
  <c r="P1994" i="1"/>
  <c r="Q1994" i="1" s="1"/>
  <c r="Q1993" i="1"/>
  <c r="P1993" i="1"/>
  <c r="P1992" i="1"/>
  <c r="Q1992" i="1" s="1"/>
  <c r="P1990" i="1"/>
  <c r="Q1990" i="1" s="1"/>
  <c r="P1989" i="1"/>
  <c r="Q1989" i="1" s="1"/>
  <c r="P1988" i="1"/>
  <c r="Q1988" i="1" s="1"/>
  <c r="P1987" i="1"/>
  <c r="Q1987" i="1" s="1"/>
  <c r="P1986" i="1"/>
  <c r="Q1986" i="1" s="1"/>
  <c r="P1985" i="1"/>
  <c r="Q1985" i="1" s="1"/>
  <c r="P1984" i="1"/>
  <c r="Q1984" i="1" s="1"/>
  <c r="P1983" i="1"/>
  <c r="Q1983" i="1" s="1"/>
  <c r="P1982" i="1"/>
  <c r="Q1982" i="1" s="1"/>
  <c r="Q1981" i="1"/>
  <c r="P1981" i="1"/>
  <c r="P1980" i="1"/>
  <c r="Q1980" i="1" s="1"/>
  <c r="P1979" i="1"/>
  <c r="Q1979" i="1" s="1"/>
  <c r="Q1977" i="1"/>
  <c r="P1977" i="1"/>
  <c r="P1976" i="1"/>
  <c r="Q1976" i="1" s="1"/>
  <c r="P1975" i="1"/>
  <c r="Q1975" i="1" s="1"/>
  <c r="P1974" i="1"/>
  <c r="Q1974" i="1" s="1"/>
  <c r="Q1973" i="1"/>
  <c r="P1973" i="1"/>
  <c r="P1971" i="1"/>
  <c r="Q1971" i="1" s="1"/>
  <c r="P1970" i="1"/>
  <c r="Q1970" i="1" s="1"/>
  <c r="P1968" i="1"/>
  <c r="Q1968" i="1" s="1"/>
  <c r="P1967" i="1"/>
  <c r="Q1967" i="1" s="1"/>
  <c r="P1966" i="1"/>
  <c r="Q1966" i="1" s="1"/>
  <c r="Q1965" i="1"/>
  <c r="P1965" i="1"/>
  <c r="P1964" i="1"/>
  <c r="Q1964" i="1" s="1"/>
  <c r="Q1963" i="1"/>
  <c r="P1963" i="1"/>
  <c r="P1962" i="1"/>
  <c r="Q1962" i="1" s="1"/>
  <c r="P1961" i="1"/>
  <c r="Q1961" i="1" s="1"/>
  <c r="P1960" i="1"/>
  <c r="Q1960" i="1" s="1"/>
  <c r="P1959" i="1"/>
  <c r="Q1959" i="1" s="1"/>
  <c r="P1958" i="1"/>
  <c r="Q1958" i="1" s="1"/>
  <c r="P1955" i="1"/>
  <c r="Q1955" i="1" s="1"/>
  <c r="P1954" i="1"/>
  <c r="Q1954" i="1" s="1"/>
  <c r="P1952" i="1"/>
  <c r="Q1952" i="1" s="1"/>
  <c r="P1948" i="1"/>
  <c r="Q1948" i="1" s="1"/>
  <c r="P1947" i="1"/>
  <c r="P1946" i="1"/>
  <c r="P1945" i="1"/>
  <c r="Q1945" i="1" s="1"/>
  <c r="P1944" i="1"/>
  <c r="P1943" i="1"/>
  <c r="Q1943" i="1" s="1"/>
  <c r="P1942" i="1"/>
  <c r="P1941" i="1"/>
  <c r="Q1941" i="1" s="1"/>
  <c r="Q1937" i="1"/>
  <c r="P1937" i="1"/>
  <c r="P1936" i="1"/>
  <c r="P1935" i="1"/>
  <c r="Q1935" i="1" s="1"/>
  <c r="P1934" i="1"/>
  <c r="Q1934" i="1" s="1"/>
  <c r="P1933" i="1"/>
  <c r="Q1933" i="1" s="1"/>
  <c r="P1931" i="1"/>
  <c r="Q1931" i="1" s="1"/>
  <c r="P1930" i="1"/>
  <c r="Q1930" i="1" s="1"/>
  <c r="P1929" i="1"/>
  <c r="P1928" i="1"/>
  <c r="Q1928" i="1" s="1"/>
  <c r="P1926" i="1"/>
  <c r="Q1926" i="1" s="1"/>
  <c r="P1925" i="1"/>
  <c r="Q1925" i="1" s="1"/>
  <c r="P1924" i="1"/>
  <c r="Q1924" i="1" s="1"/>
  <c r="P1922" i="1"/>
  <c r="P1921" i="1"/>
  <c r="Q1921" i="1" s="1"/>
  <c r="P1920" i="1"/>
  <c r="Q1920" i="1" s="1"/>
  <c r="P1919" i="1"/>
  <c r="Q1919" i="1" s="1"/>
  <c r="P1918" i="1"/>
  <c r="Q1918" i="1" s="1"/>
  <c r="P1917" i="1"/>
  <c r="P1916" i="1"/>
  <c r="Q1916" i="1" s="1"/>
  <c r="P1914" i="1"/>
  <c r="Q1914" i="1" s="1"/>
  <c r="P1913" i="1"/>
  <c r="Q1913" i="1" s="1"/>
  <c r="P1911" i="1"/>
  <c r="Q1911" i="1" s="1"/>
  <c r="P1907" i="1"/>
  <c r="P1905" i="1"/>
  <c r="P1904" i="1"/>
  <c r="Q1904" i="1" s="1"/>
  <c r="P1903" i="1"/>
  <c r="Q1903" i="1" s="1"/>
  <c r="P1902" i="1"/>
  <c r="Q1902" i="1" s="1"/>
  <c r="P1901" i="1"/>
  <c r="P1900" i="1"/>
  <c r="Q1900" i="1" s="1"/>
  <c r="P1899" i="1"/>
  <c r="Q1899" i="1" s="1"/>
  <c r="P1898" i="1"/>
  <c r="Q1898" i="1" s="1"/>
  <c r="Q1897" i="1"/>
  <c r="P1897" i="1"/>
  <c r="P1896" i="1"/>
  <c r="Q1896" i="1" s="1"/>
  <c r="P1895" i="1"/>
  <c r="Q1895" i="1" s="1"/>
  <c r="P1894" i="1"/>
  <c r="Q1894" i="1" s="1"/>
  <c r="P1893" i="1"/>
  <c r="Q1893" i="1" s="1"/>
  <c r="P1892" i="1"/>
  <c r="Q1892" i="1" s="1"/>
  <c r="P1891" i="1"/>
  <c r="Q1891" i="1" s="1"/>
  <c r="P1890" i="1"/>
  <c r="Q1890" i="1" s="1"/>
  <c r="P1889" i="1"/>
  <c r="Q1889" i="1" s="1"/>
  <c r="P1888" i="1"/>
  <c r="Q1888" i="1" s="1"/>
  <c r="P1887" i="1"/>
  <c r="Q1887" i="1" s="1"/>
  <c r="P1886" i="1"/>
  <c r="Q1886" i="1" s="1"/>
  <c r="P1885" i="1"/>
  <c r="Q1885" i="1" s="1"/>
  <c r="P1884" i="1"/>
  <c r="Q1884" i="1" s="1"/>
  <c r="P1883" i="1"/>
  <c r="Q1883" i="1" s="1"/>
  <c r="P1882" i="1"/>
  <c r="Q1882" i="1" s="1"/>
  <c r="P1880" i="1"/>
  <c r="Q1880" i="1" s="1"/>
  <c r="P1879" i="1"/>
  <c r="Q1879" i="1" s="1"/>
  <c r="P1878" i="1"/>
  <c r="Q1878" i="1" s="1"/>
  <c r="P1877" i="1"/>
  <c r="Q1877" i="1" s="1"/>
  <c r="P1876" i="1"/>
  <c r="Q1876" i="1" s="1"/>
  <c r="P1875" i="1"/>
  <c r="Q1875" i="1" s="1"/>
  <c r="P1873" i="1"/>
  <c r="Q1873" i="1" s="1"/>
  <c r="P1872" i="1"/>
  <c r="Q1872" i="1" s="1"/>
  <c r="P1869" i="1"/>
  <c r="Q1869" i="1" s="1"/>
  <c r="P1867" i="1"/>
  <c r="Q1867" i="1" s="1"/>
  <c r="P1866" i="1"/>
  <c r="Q1866" i="1" s="1"/>
  <c r="P1865" i="1"/>
  <c r="Q1865" i="1" s="1"/>
  <c r="P1864" i="1"/>
  <c r="Q1864" i="1" s="1"/>
  <c r="P1863" i="1"/>
  <c r="Q1863" i="1" s="1"/>
  <c r="P1862" i="1"/>
  <c r="Q1862" i="1" s="1"/>
  <c r="P1861" i="1"/>
  <c r="Q1861" i="1" s="1"/>
  <c r="P1858" i="1"/>
  <c r="Q1858" i="1" s="1"/>
  <c r="P1857" i="1"/>
  <c r="Q1857" i="1" s="1"/>
  <c r="P1856" i="1"/>
  <c r="Q1856" i="1" s="1"/>
  <c r="P1855" i="1"/>
  <c r="Q1855" i="1" s="1"/>
  <c r="P1854" i="1"/>
  <c r="Q1854" i="1" s="1"/>
  <c r="P1853" i="1"/>
  <c r="Q1853" i="1" s="1"/>
  <c r="P1852" i="1"/>
  <c r="Q1852" i="1" s="1"/>
  <c r="Q1851" i="1"/>
  <c r="P1851" i="1"/>
  <c r="P1849" i="1"/>
  <c r="Q1849" i="1" s="1"/>
  <c r="P1848" i="1"/>
  <c r="Q1848" i="1" s="1"/>
  <c r="P1846" i="1"/>
  <c r="Q1846" i="1" s="1"/>
  <c r="P1845" i="1"/>
  <c r="Q1845" i="1" s="1"/>
  <c r="P1844" i="1"/>
  <c r="Q1844" i="1" s="1"/>
  <c r="Q1843" i="1"/>
  <c r="P1843" i="1"/>
  <c r="P1842" i="1"/>
  <c r="Q1842" i="1" s="1"/>
  <c r="P1841" i="1"/>
  <c r="Q1841" i="1" s="1"/>
  <c r="P1840" i="1"/>
  <c r="Q1840" i="1" s="1"/>
  <c r="P1839" i="1"/>
  <c r="Q1839" i="1" s="1"/>
  <c r="P1838" i="1"/>
  <c r="Q1838" i="1" s="1"/>
  <c r="P1837" i="1"/>
  <c r="Q1837" i="1" s="1"/>
  <c r="P1836" i="1"/>
  <c r="Q1836" i="1" s="1"/>
  <c r="P1835" i="1"/>
  <c r="Q1835" i="1" s="1"/>
  <c r="P1834" i="1"/>
  <c r="Q1834" i="1" s="1"/>
  <c r="P1833" i="1"/>
  <c r="Q1833" i="1" s="1"/>
  <c r="P1832" i="1"/>
  <c r="Q1832" i="1" s="1"/>
  <c r="P1831" i="1"/>
  <c r="Q1831" i="1" s="1"/>
  <c r="P1830" i="1"/>
  <c r="Q1830" i="1" s="1"/>
  <c r="P1829" i="1"/>
  <c r="Q1829" i="1" s="1"/>
  <c r="P1828" i="1"/>
  <c r="Q1828" i="1" s="1"/>
  <c r="Q1827" i="1"/>
  <c r="P1827" i="1"/>
  <c r="P1826" i="1"/>
  <c r="Q1826" i="1" s="1"/>
  <c r="P1825" i="1"/>
  <c r="Q1825" i="1" s="1"/>
  <c r="P1824" i="1"/>
  <c r="Q1824" i="1" s="1"/>
  <c r="P1823" i="1"/>
  <c r="Q1823" i="1" s="1"/>
  <c r="P1822" i="1"/>
  <c r="Q1822" i="1" s="1"/>
  <c r="P1821" i="1"/>
  <c r="Q1821" i="1" s="1"/>
  <c r="P1820" i="1"/>
  <c r="Q1820" i="1" s="1"/>
  <c r="P1816" i="1"/>
  <c r="Q1816" i="1" s="1"/>
  <c r="P1815" i="1"/>
  <c r="Q1815" i="1" s="1"/>
  <c r="P1812" i="1"/>
  <c r="Q1812" i="1" s="1"/>
  <c r="P1810" i="1"/>
  <c r="Q1810" i="1" s="1"/>
  <c r="P1809" i="1"/>
  <c r="Q1809" i="1" s="1"/>
  <c r="P1805" i="1"/>
  <c r="Q1805" i="1" s="1"/>
  <c r="P1804" i="1"/>
  <c r="Q1804" i="1" s="1"/>
  <c r="Q1803" i="1"/>
  <c r="P1803" i="1"/>
  <c r="P1802" i="1"/>
  <c r="Q1802" i="1" s="1"/>
  <c r="P1801" i="1"/>
  <c r="Q1801" i="1" s="1"/>
  <c r="P1800" i="1"/>
  <c r="Q1800" i="1" s="1"/>
  <c r="P1790" i="1"/>
  <c r="Q1790" i="1" s="1"/>
  <c r="P1785" i="1"/>
  <c r="Q1785" i="1" s="1"/>
  <c r="P1781" i="1"/>
  <c r="Q1781" i="1" s="1"/>
  <c r="P1778" i="1"/>
  <c r="Q1778" i="1" s="1"/>
  <c r="P1777" i="1"/>
  <c r="Q1777" i="1" s="1"/>
  <c r="P1772" i="1"/>
  <c r="Q1772" i="1" s="1"/>
  <c r="P1768" i="1"/>
  <c r="Q1768" i="1" s="1"/>
  <c r="P1767" i="1"/>
  <c r="Q1767" i="1" s="1"/>
  <c r="P1758" i="1"/>
  <c r="Q1758" i="1" s="1"/>
  <c r="P1757" i="1"/>
  <c r="Q1757" i="1" s="1"/>
  <c r="P1756" i="1"/>
  <c r="Q1756" i="1" s="1"/>
  <c r="P1755" i="1"/>
  <c r="Q1755" i="1" s="1"/>
  <c r="P1754" i="1"/>
  <c r="Q1754" i="1" s="1"/>
  <c r="Q1753" i="1"/>
  <c r="P1753" i="1"/>
  <c r="P1752" i="1"/>
  <c r="Q1752" i="1" s="1"/>
  <c r="P1750" i="1"/>
  <c r="Q1750" i="1" s="1"/>
  <c r="P1749" i="1"/>
  <c r="Q1749" i="1" s="1"/>
  <c r="P1748" i="1"/>
  <c r="Q1748" i="1" s="1"/>
  <c r="P1747" i="1"/>
  <c r="Q1747" i="1" s="1"/>
  <c r="P1746" i="1"/>
  <c r="Q1746" i="1" s="1"/>
  <c r="P1745" i="1"/>
  <c r="Q1745" i="1" s="1"/>
  <c r="P1744" i="1"/>
  <c r="Q1744" i="1" s="1"/>
  <c r="P1742" i="1"/>
  <c r="Q1742" i="1" s="1"/>
  <c r="P1738" i="1"/>
  <c r="Q1738" i="1" s="1"/>
  <c r="P1737" i="1"/>
  <c r="Q1737" i="1" s="1"/>
  <c r="P1735" i="1"/>
  <c r="Q1735" i="1" s="1"/>
  <c r="P1734" i="1"/>
  <c r="Q1734" i="1" s="1"/>
  <c r="P1733" i="1"/>
  <c r="Q1733" i="1" s="1"/>
  <c r="P1732" i="1"/>
  <c r="Q1732" i="1" s="1"/>
  <c r="P1730" i="1"/>
  <c r="Q1730" i="1" s="1"/>
  <c r="P1728" i="1"/>
  <c r="Q1728" i="1" s="1"/>
  <c r="P1727" i="1"/>
  <c r="Q1727" i="1" s="1"/>
  <c r="P1726" i="1"/>
  <c r="Q1726" i="1" s="1"/>
  <c r="P1725" i="1"/>
  <c r="Q1725" i="1" s="1"/>
  <c r="P1724" i="1"/>
  <c r="Q1724" i="1" s="1"/>
  <c r="Q1723" i="1"/>
  <c r="P1723" i="1"/>
  <c r="P1722" i="1"/>
  <c r="Q1722" i="1" s="1"/>
  <c r="P1721" i="1"/>
  <c r="Q1721" i="1" s="1"/>
  <c r="P1720" i="1"/>
  <c r="Q1720" i="1" s="1"/>
  <c r="P1719" i="1"/>
  <c r="Q1719" i="1" s="1"/>
  <c r="P1718" i="1"/>
  <c r="Q1718" i="1" s="1"/>
  <c r="P1717" i="1"/>
  <c r="Q1717" i="1" s="1"/>
  <c r="P1716" i="1"/>
  <c r="Q1716" i="1" s="1"/>
  <c r="Q1715" i="1"/>
  <c r="P1715" i="1"/>
  <c r="P1714" i="1"/>
  <c r="Q1714" i="1" s="1"/>
  <c r="P1713" i="1"/>
  <c r="Q1713" i="1" s="1"/>
  <c r="P1712" i="1"/>
  <c r="Q1712" i="1" s="1"/>
  <c r="P1711" i="1"/>
  <c r="Q1711" i="1" s="1"/>
  <c r="P1710" i="1"/>
  <c r="Q1710" i="1" s="1"/>
  <c r="P1709" i="1"/>
  <c r="Q1709" i="1" s="1"/>
  <c r="P1708" i="1"/>
  <c r="Q1708" i="1" s="1"/>
  <c r="P1703" i="1"/>
  <c r="Q1703" i="1" s="1"/>
  <c r="P1701" i="1"/>
  <c r="Q1701" i="1" s="1"/>
  <c r="P1700" i="1"/>
  <c r="Q1700" i="1" s="1"/>
  <c r="P1699" i="1"/>
  <c r="Q1699" i="1" s="1"/>
  <c r="P1698" i="1"/>
  <c r="Q1698" i="1" s="1"/>
  <c r="Q1697" i="1"/>
  <c r="P1697" i="1"/>
  <c r="P1696" i="1"/>
  <c r="Q1696" i="1" s="1"/>
  <c r="P1695" i="1"/>
  <c r="Q1695" i="1" s="1"/>
  <c r="P1694" i="1"/>
  <c r="Q1694" i="1" s="1"/>
  <c r="P1693" i="1"/>
  <c r="Q1693" i="1" s="1"/>
  <c r="P1692" i="1"/>
  <c r="Q1692" i="1" s="1"/>
  <c r="P1691" i="1"/>
  <c r="Q1691" i="1" s="1"/>
  <c r="P1690" i="1"/>
  <c r="Q1690" i="1" s="1"/>
  <c r="P1689" i="1"/>
  <c r="Q1689" i="1" s="1"/>
  <c r="P1688" i="1"/>
  <c r="Q1688" i="1" s="1"/>
  <c r="P1687" i="1"/>
  <c r="Q1687" i="1" s="1"/>
  <c r="P1686" i="1"/>
  <c r="Q1686" i="1" s="1"/>
  <c r="P1685" i="1"/>
  <c r="Q1685" i="1" s="1"/>
  <c r="P1684" i="1"/>
  <c r="Q1684" i="1" s="1"/>
  <c r="P1683" i="1"/>
  <c r="Q1683" i="1" s="1"/>
  <c r="P1682" i="1"/>
  <c r="Q1682" i="1" s="1"/>
  <c r="P1680" i="1"/>
  <c r="Q1680" i="1" s="1"/>
  <c r="P1679" i="1"/>
  <c r="Q1679" i="1" s="1"/>
  <c r="P1678" i="1"/>
  <c r="Q1678" i="1" s="1"/>
  <c r="P1677" i="1"/>
  <c r="Q1677" i="1" s="1"/>
  <c r="P1676" i="1"/>
  <c r="Q1676" i="1" s="1"/>
  <c r="P1675" i="1"/>
  <c r="Q1675" i="1" s="1"/>
  <c r="P1674" i="1"/>
  <c r="Q1674" i="1" s="1"/>
  <c r="Q1673" i="1"/>
  <c r="P1673" i="1"/>
  <c r="P1672" i="1"/>
  <c r="Q1672" i="1" s="1"/>
  <c r="P1670" i="1"/>
  <c r="Q1670" i="1" s="1"/>
  <c r="P1669" i="1"/>
  <c r="Q1669" i="1" s="1"/>
  <c r="P1668" i="1"/>
  <c r="Q1668" i="1" s="1"/>
  <c r="P1666" i="1"/>
  <c r="Q1666" i="1" s="1"/>
  <c r="P1665" i="1"/>
  <c r="Q1665" i="1" s="1"/>
  <c r="P1664" i="1"/>
  <c r="Q1664" i="1" s="1"/>
  <c r="P1663" i="1"/>
  <c r="Q1663" i="1" s="1"/>
  <c r="P1662" i="1"/>
  <c r="Q1662" i="1" s="1"/>
  <c r="P1660" i="1"/>
  <c r="Q1660" i="1" s="1"/>
  <c r="P1657" i="1"/>
  <c r="P1656" i="1"/>
  <c r="Q1656" i="1" s="1"/>
  <c r="P1655" i="1"/>
  <c r="P1654" i="1"/>
  <c r="Q1654" i="1" s="1"/>
  <c r="P1653" i="1"/>
  <c r="P1652" i="1"/>
  <c r="Q1652" i="1" s="1"/>
  <c r="P1651" i="1"/>
  <c r="Q1651" i="1" s="1"/>
  <c r="P1650" i="1"/>
  <c r="Q1650" i="1" s="1"/>
  <c r="P1649" i="1"/>
  <c r="P1648" i="1"/>
  <c r="Q1647" i="1"/>
  <c r="P1647" i="1"/>
  <c r="P1646" i="1"/>
  <c r="Q1646" i="1" s="1"/>
  <c r="P1645" i="1"/>
  <c r="Q1645" i="1" s="1"/>
  <c r="P1644" i="1"/>
  <c r="Q1644" i="1" s="1"/>
  <c r="P1643" i="1"/>
  <c r="Q1643" i="1" s="1"/>
  <c r="P1642" i="1"/>
  <c r="P1641" i="1"/>
  <c r="P1640" i="1"/>
  <c r="Q1640" i="1" s="1"/>
  <c r="P1639" i="1"/>
  <c r="Q1639" i="1" s="1"/>
  <c r="P1638" i="1"/>
  <c r="Q1638" i="1" s="1"/>
  <c r="P1637" i="1"/>
  <c r="Q1637" i="1" s="1"/>
  <c r="P1636" i="1"/>
  <c r="P1635" i="1"/>
  <c r="Q1635" i="1" s="1"/>
  <c r="P1634" i="1"/>
  <c r="Q1634" i="1" s="1"/>
  <c r="Q1633" i="1"/>
  <c r="P1633" i="1"/>
  <c r="P1632" i="1"/>
  <c r="P1631" i="1"/>
  <c r="Q1631" i="1" s="1"/>
  <c r="P1630" i="1"/>
  <c r="Q1630" i="1" s="1"/>
  <c r="Q1629" i="1"/>
  <c r="P1629" i="1"/>
  <c r="P1628" i="1"/>
  <c r="Q1628" i="1" s="1"/>
  <c r="P1627" i="1"/>
  <c r="Q1627" i="1" s="1"/>
  <c r="P1626" i="1"/>
  <c r="Q1626" i="1" s="1"/>
  <c r="Q1625" i="1"/>
  <c r="P1625" i="1"/>
  <c r="P1624" i="1"/>
  <c r="Q1624" i="1" s="1"/>
  <c r="P1623" i="1"/>
  <c r="Q1623" i="1" s="1"/>
  <c r="P1622" i="1"/>
  <c r="Q1622" i="1" s="1"/>
  <c r="P1621" i="1"/>
  <c r="Q1621" i="1" s="1"/>
  <c r="P1620" i="1"/>
  <c r="Q1620" i="1" s="1"/>
  <c r="P1619" i="1"/>
  <c r="Q1619" i="1" s="1"/>
  <c r="P1618" i="1"/>
  <c r="Q1618" i="1" s="1"/>
  <c r="Q1617" i="1"/>
  <c r="P1617" i="1"/>
  <c r="P1616" i="1"/>
  <c r="Q1616" i="1" s="1"/>
  <c r="P1615" i="1"/>
  <c r="Q1615" i="1" s="1"/>
  <c r="P1614" i="1"/>
  <c r="Q1614" i="1" s="1"/>
  <c r="Q1613" i="1"/>
  <c r="P1613" i="1"/>
  <c r="P1612" i="1"/>
  <c r="Q1612" i="1" s="1"/>
  <c r="P1611" i="1"/>
  <c r="Q1611" i="1" s="1"/>
  <c r="P1610" i="1"/>
  <c r="Q1609" i="1"/>
  <c r="P1609" i="1"/>
  <c r="P1608" i="1"/>
  <c r="Q1608" i="1" s="1"/>
  <c r="P1606" i="1"/>
  <c r="Q1606" i="1" s="1"/>
  <c r="Q1605" i="1"/>
  <c r="P1605" i="1"/>
  <c r="P1604" i="1"/>
  <c r="Q1604" i="1" s="1"/>
  <c r="P1603" i="1"/>
  <c r="Q1603" i="1" s="1"/>
  <c r="P1602" i="1"/>
  <c r="Q1602" i="1" s="1"/>
  <c r="Q1601" i="1"/>
  <c r="P1601" i="1"/>
  <c r="P1600" i="1"/>
  <c r="Q1600" i="1" s="1"/>
  <c r="P1599" i="1"/>
  <c r="Q1599" i="1" s="1"/>
  <c r="P1598" i="1"/>
  <c r="Q1598" i="1" s="1"/>
  <c r="P1596" i="1"/>
  <c r="Q1596" i="1" s="1"/>
  <c r="P1595" i="1"/>
  <c r="Q1595" i="1" s="1"/>
  <c r="P1594" i="1"/>
  <c r="Q1594" i="1" s="1"/>
  <c r="Q1593" i="1"/>
  <c r="P1593" i="1"/>
  <c r="P1592" i="1"/>
  <c r="Q1592" i="1" s="1"/>
  <c r="P1591" i="1"/>
  <c r="Q1591" i="1" s="1"/>
  <c r="P1590" i="1"/>
  <c r="Q1590" i="1" s="1"/>
  <c r="Q1589" i="1"/>
  <c r="P1589" i="1"/>
  <c r="P1588" i="1"/>
  <c r="Q1588" i="1" s="1"/>
  <c r="P1587" i="1"/>
  <c r="P1586" i="1"/>
  <c r="P1585" i="1"/>
  <c r="Q1585" i="1" s="1"/>
  <c r="P1584" i="1"/>
  <c r="Q1584" i="1" s="1"/>
  <c r="Q1583" i="1"/>
  <c r="P1583" i="1"/>
  <c r="P1582" i="1"/>
  <c r="Q1582" i="1" s="1"/>
  <c r="P1581" i="1"/>
  <c r="Q1581" i="1" s="1"/>
  <c r="P1580" i="1"/>
  <c r="Q1580" i="1" s="1"/>
  <c r="P1576" i="1"/>
  <c r="Q1576" i="1" s="1"/>
  <c r="P1573" i="1"/>
  <c r="Q1573" i="1" s="1"/>
  <c r="P1572" i="1"/>
  <c r="Q1572" i="1" s="1"/>
  <c r="Q1567" i="1"/>
  <c r="P1567" i="1"/>
  <c r="P1564" i="1"/>
  <c r="Q1564" i="1" s="1"/>
  <c r="P1563" i="1"/>
  <c r="Q1563" i="1" s="1"/>
  <c r="P1562" i="1"/>
  <c r="Q1562" i="1" s="1"/>
  <c r="Q1561" i="1"/>
  <c r="P1561" i="1"/>
  <c r="P1559" i="1"/>
  <c r="P1558" i="1"/>
  <c r="Q1558" i="1" s="1"/>
  <c r="P1557" i="1"/>
  <c r="Q1557" i="1" s="1"/>
  <c r="P1554" i="1"/>
  <c r="P1553" i="1"/>
  <c r="Q1553" i="1" s="1"/>
  <c r="P1552" i="1"/>
  <c r="Q1552" i="1" s="1"/>
  <c r="Q1551" i="1"/>
  <c r="P1551" i="1"/>
  <c r="P1548" i="1"/>
  <c r="Q1548" i="1" s="1"/>
  <c r="P1547" i="1"/>
  <c r="Q1547" i="1" s="1"/>
  <c r="P1546" i="1"/>
  <c r="Q1545" i="1"/>
  <c r="P1545" i="1"/>
  <c r="P1544" i="1"/>
  <c r="P1542" i="1"/>
  <c r="Q1542" i="1" s="1"/>
  <c r="P1541" i="1"/>
  <c r="Q1541" i="1" s="1"/>
  <c r="P1540" i="1"/>
  <c r="Q1540" i="1" s="1"/>
  <c r="P1539" i="1"/>
  <c r="Q1539" i="1" s="1"/>
  <c r="P1538" i="1"/>
  <c r="P1537" i="1"/>
  <c r="P1536" i="1"/>
  <c r="Q1536" i="1" s="1"/>
  <c r="P1535" i="1"/>
  <c r="Q1535" i="1" s="1"/>
  <c r="Q1533" i="1"/>
  <c r="P1533" i="1"/>
  <c r="P1532" i="1"/>
  <c r="Q1532" i="1" s="1"/>
  <c r="P1531" i="1"/>
  <c r="P1524" i="1"/>
  <c r="Q1524" i="1" s="1"/>
  <c r="P1523" i="1"/>
  <c r="Q1523" i="1" s="1"/>
  <c r="P1522" i="1"/>
  <c r="Q1522" i="1" s="1"/>
  <c r="P1518" i="1"/>
  <c r="Q1518" i="1" s="1"/>
  <c r="P1515" i="1"/>
  <c r="Q1515" i="1" s="1"/>
  <c r="P1513" i="1"/>
  <c r="Q1513" i="1" s="1"/>
  <c r="P1511" i="1"/>
  <c r="Q1511" i="1" s="1"/>
  <c r="P1510" i="1"/>
  <c r="Q1509" i="1"/>
  <c r="P1509" i="1"/>
  <c r="P1508" i="1"/>
  <c r="P1507" i="1"/>
  <c r="P1506" i="1"/>
  <c r="P1505" i="1"/>
  <c r="P1504" i="1"/>
  <c r="P1501" i="1"/>
  <c r="Q1501" i="1" s="1"/>
  <c r="P1500" i="1"/>
  <c r="P1499" i="1"/>
  <c r="P1497" i="1"/>
  <c r="Q1497" i="1" s="1"/>
  <c r="P1496" i="1"/>
  <c r="Q1496" i="1" s="1"/>
  <c r="P1495" i="1"/>
  <c r="Q1495" i="1" s="1"/>
  <c r="P1494" i="1"/>
  <c r="Q1494" i="1" s="1"/>
  <c r="P1492" i="1"/>
  <c r="Q1492" i="1" s="1"/>
  <c r="Q1491" i="1"/>
  <c r="P1491" i="1"/>
  <c r="P1490" i="1"/>
  <c r="Q1490" i="1" s="1"/>
  <c r="P1489" i="1"/>
  <c r="Q1489" i="1" s="1"/>
  <c r="P1488" i="1"/>
  <c r="Q1488" i="1" s="1"/>
  <c r="P1487" i="1"/>
  <c r="P1450" i="1"/>
  <c r="Q1450" i="1" s="1"/>
  <c r="P1442" i="1"/>
  <c r="Q1442" i="1" s="1"/>
  <c r="P1435" i="1"/>
  <c r="P1406" i="1"/>
  <c r="P1403" i="1"/>
  <c r="P1402" i="1"/>
  <c r="P1401" i="1"/>
  <c r="P1396" i="1"/>
  <c r="Q1396" i="1" s="1"/>
  <c r="P1395" i="1"/>
  <c r="P1394" i="1"/>
  <c r="Q1394" i="1" s="1"/>
  <c r="P1393" i="1"/>
  <c r="Q1393" i="1" s="1"/>
  <c r="P1392" i="1"/>
  <c r="Q1392" i="1" s="1"/>
  <c r="P1391" i="1"/>
  <c r="P1390" i="1"/>
  <c r="P1382" i="1"/>
  <c r="P1380" i="1"/>
  <c r="P1378" i="1"/>
  <c r="P1371" i="1"/>
  <c r="Q1371" i="1" s="1"/>
  <c r="P1355" i="1"/>
  <c r="P1331" i="1"/>
  <c r="P1327" i="1"/>
  <c r="Q1327" i="1" s="1"/>
  <c r="P1325" i="1"/>
  <c r="Q1325" i="1" s="1"/>
  <c r="P1324" i="1"/>
  <c r="Q1324" i="1" s="1"/>
  <c r="P1316" i="1"/>
  <c r="Q1316" i="1" s="1"/>
  <c r="P1315" i="1"/>
  <c r="Q1315" i="1" s="1"/>
  <c r="P1314" i="1"/>
  <c r="Q1314" i="1" s="1"/>
  <c r="Q1313" i="1"/>
  <c r="P1313" i="1"/>
  <c r="P1312" i="1"/>
  <c r="Q1312" i="1" s="1"/>
  <c r="P1309" i="1"/>
  <c r="Q1309" i="1" s="1"/>
  <c r="P1304" i="1"/>
  <c r="Q1304" i="1" s="1"/>
  <c r="P1300" i="1"/>
  <c r="P1298" i="1"/>
  <c r="Q1298" i="1" s="1"/>
  <c r="Q1297" i="1"/>
  <c r="P1297" i="1"/>
  <c r="P1296" i="1"/>
  <c r="P1295" i="1"/>
  <c r="Q1295" i="1" s="1"/>
  <c r="P1294" i="1"/>
  <c r="Q1294" i="1" s="1"/>
  <c r="P1293" i="1"/>
  <c r="Q1293" i="1" s="1"/>
  <c r="P1292" i="1"/>
  <c r="Q1292" i="1" s="1"/>
  <c r="P1279" i="1"/>
  <c r="Q1279" i="1" s="1"/>
  <c r="P1278" i="1"/>
  <c r="Q1278" i="1" s="1"/>
  <c r="P1276" i="1"/>
  <c r="Q1276" i="1" s="1"/>
  <c r="P1275" i="1"/>
  <c r="P1274" i="1"/>
  <c r="P1273" i="1"/>
  <c r="Q1273" i="1" s="1"/>
  <c r="P1272" i="1"/>
  <c r="Q1271" i="1"/>
  <c r="P1271" i="1"/>
  <c r="P1270" i="1"/>
  <c r="Q1270" i="1" s="1"/>
  <c r="P1267" i="1"/>
  <c r="Q1267" i="1" s="1"/>
  <c r="P1266" i="1"/>
  <c r="Q1266" i="1" s="1"/>
  <c r="Q1265" i="1"/>
  <c r="P1265" i="1"/>
  <c r="P1264" i="1"/>
  <c r="Q1264" i="1" s="1"/>
  <c r="P1263" i="1"/>
  <c r="Q1263" i="1" s="1"/>
  <c r="P1262" i="1"/>
  <c r="Q1262" i="1" s="1"/>
  <c r="P1261" i="1"/>
  <c r="Q1261" i="1" s="1"/>
  <c r="P1260" i="1"/>
  <c r="Q1260" i="1" s="1"/>
  <c r="P1258" i="1"/>
  <c r="Q1258" i="1" s="1"/>
  <c r="Q1257" i="1"/>
  <c r="P1257" i="1"/>
  <c r="P1256" i="1"/>
  <c r="Q1256" i="1" s="1"/>
  <c r="P1255" i="1"/>
  <c r="Q1255" i="1" s="1"/>
  <c r="P1254" i="1"/>
  <c r="Q1254" i="1" s="1"/>
  <c r="P1251" i="1"/>
  <c r="P1250" i="1"/>
  <c r="P1249" i="1"/>
  <c r="P1248" i="1"/>
  <c r="P1247" i="1"/>
  <c r="P1246" i="1"/>
  <c r="P1245" i="1"/>
  <c r="P1244" i="1"/>
  <c r="Q1244" i="1" s="1"/>
  <c r="P1243" i="1"/>
  <c r="P1242" i="1"/>
  <c r="P1241" i="1"/>
  <c r="P1238" i="1"/>
  <c r="P1237" i="1"/>
  <c r="P1236" i="1"/>
  <c r="Q1236" i="1" s="1"/>
  <c r="P1231" i="1"/>
  <c r="P1229" i="1"/>
  <c r="Q1229" i="1" s="1"/>
  <c r="P1228" i="1"/>
  <c r="P1220" i="1"/>
  <c r="Q1220" i="1" s="1"/>
  <c r="P1219" i="1"/>
  <c r="P1218" i="1"/>
  <c r="Q1218" i="1" s="1"/>
  <c r="P1217" i="1"/>
  <c r="Q1217" i="1" s="1"/>
  <c r="P1216" i="1"/>
  <c r="Q1216" i="1" s="1"/>
  <c r="P1214" i="1"/>
  <c r="Q1214" i="1" s="1"/>
  <c r="P1213" i="1"/>
  <c r="Q1213" i="1" s="1"/>
  <c r="P1212" i="1"/>
  <c r="P1211" i="1"/>
  <c r="P1210" i="1"/>
  <c r="Q1210" i="1" s="1"/>
  <c r="P1209" i="1"/>
  <c r="Q1209" i="1" s="1"/>
  <c r="P1208" i="1"/>
  <c r="Q1208" i="1" s="1"/>
  <c r="P1207" i="1"/>
  <c r="Q1207" i="1" s="1"/>
  <c r="P1206" i="1"/>
  <c r="Q1205" i="1"/>
  <c r="P1205" i="1"/>
  <c r="P1200" i="1"/>
  <c r="Q1200" i="1" s="1"/>
  <c r="P1180" i="1"/>
  <c r="Q1180" i="1" s="1"/>
  <c r="Q1179" i="1"/>
  <c r="P1179" i="1"/>
  <c r="P1178" i="1"/>
  <c r="Q1178" i="1" s="1"/>
  <c r="P1176" i="1"/>
  <c r="Q1176" i="1" s="1"/>
  <c r="Q1175" i="1"/>
  <c r="P1175" i="1"/>
  <c r="P1174" i="1"/>
  <c r="Q1174" i="1" s="1"/>
  <c r="P1173" i="1"/>
  <c r="Q1173" i="1" s="1"/>
  <c r="P1172" i="1"/>
  <c r="Q1172" i="1" s="1"/>
  <c r="Q1171" i="1"/>
  <c r="P1171" i="1"/>
  <c r="P1170" i="1"/>
  <c r="Q1170" i="1" s="1"/>
  <c r="P1155" i="1"/>
  <c r="Q1155" i="1" s="1"/>
  <c r="P1154" i="1"/>
  <c r="Q1153" i="1"/>
  <c r="P1153" i="1"/>
  <c r="P1151" i="1"/>
  <c r="P1147" i="1"/>
  <c r="Q1147" i="1" s="1"/>
  <c r="P1143" i="1"/>
  <c r="Q1143" i="1" s="1"/>
  <c r="P1142" i="1"/>
  <c r="Q1142" i="1" s="1"/>
  <c r="Q1141" i="1"/>
  <c r="P1141" i="1"/>
  <c r="P1140" i="1"/>
  <c r="Q1140" i="1" s="1"/>
  <c r="P1139" i="1"/>
  <c r="P1138" i="1"/>
  <c r="P1135" i="1"/>
  <c r="Q1135" i="1" s="1"/>
  <c r="P1134" i="1"/>
  <c r="Q1134" i="1" s="1"/>
  <c r="P1132" i="1"/>
  <c r="Q1132" i="1" s="1"/>
  <c r="P1131" i="1"/>
  <c r="Q1131" i="1" s="1"/>
  <c r="P1130" i="1"/>
  <c r="Q1130" i="1" s="1"/>
  <c r="Q1129" i="1"/>
  <c r="P1129" i="1"/>
  <c r="P1128" i="1"/>
  <c r="P1123" i="1"/>
  <c r="Q1123" i="1" s="1"/>
  <c r="P1120" i="1"/>
  <c r="Q1120" i="1" s="1"/>
  <c r="Q1099" i="1"/>
  <c r="P1099" i="1"/>
  <c r="Q1093" i="1"/>
  <c r="P1093" i="1"/>
  <c r="P1088" i="1"/>
  <c r="Q1088" i="1" s="1"/>
  <c r="P1087" i="1"/>
  <c r="Q1087" i="1" s="1"/>
  <c r="P1086" i="1"/>
  <c r="Q1086" i="1" s="1"/>
  <c r="Q1085" i="1"/>
  <c r="P1085" i="1"/>
  <c r="P1084" i="1"/>
  <c r="Q1084" i="1" s="1"/>
  <c r="P1083" i="1"/>
  <c r="Q1083" i="1" s="1"/>
  <c r="P1082" i="1"/>
  <c r="Q1082" i="1" s="1"/>
  <c r="Q1081" i="1"/>
  <c r="P1081" i="1"/>
  <c r="P1080" i="1"/>
  <c r="Q1080" i="1" s="1"/>
  <c r="P1079" i="1"/>
  <c r="Q1079" i="1" s="1"/>
  <c r="P1078" i="1"/>
  <c r="Q1078" i="1" s="1"/>
  <c r="P1077" i="1"/>
  <c r="Q1077" i="1" s="1"/>
  <c r="P1075" i="1"/>
  <c r="P1074" i="1"/>
  <c r="Q1074" i="1" s="1"/>
  <c r="P1073" i="1"/>
  <c r="P1072" i="1"/>
  <c r="P1070" i="1"/>
  <c r="Q1070" i="1" s="1"/>
  <c r="P1067" i="1"/>
  <c r="P1066" i="1"/>
  <c r="P1065" i="1"/>
  <c r="P1064" i="1"/>
  <c r="P1063" i="1"/>
  <c r="P1062" i="1"/>
  <c r="P1061" i="1"/>
  <c r="Q1061" i="1" s="1"/>
  <c r="P1060" i="1"/>
  <c r="Q1060" i="1" s="1"/>
  <c r="P1059" i="1"/>
  <c r="P1058" i="1"/>
  <c r="Q1058" i="1" s="1"/>
  <c r="Q1057" i="1"/>
  <c r="P1057" i="1"/>
  <c r="P1056" i="1"/>
  <c r="P1055" i="1"/>
  <c r="P1054" i="1"/>
  <c r="P1052" i="1"/>
  <c r="Q1052" i="1" s="1"/>
  <c r="P1051" i="1"/>
  <c r="Q1051" i="1" s="1"/>
  <c r="P1050" i="1"/>
  <c r="Q1050" i="1" s="1"/>
  <c r="P1049" i="1"/>
  <c r="Q1049" i="1" s="1"/>
  <c r="P1048" i="1"/>
  <c r="Q1048" i="1" s="1"/>
  <c r="Q1047" i="1"/>
  <c r="P1047" i="1"/>
  <c r="P1046" i="1"/>
  <c r="Q1046" i="1" s="1"/>
  <c r="P1045" i="1"/>
  <c r="Q1045" i="1" s="1"/>
  <c r="P1044" i="1"/>
  <c r="Q1044" i="1" s="1"/>
  <c r="P1043" i="1"/>
  <c r="P1042" i="1"/>
  <c r="Q1042" i="1" s="1"/>
  <c r="Q1041" i="1"/>
  <c r="P1041" i="1"/>
  <c r="P1040" i="1"/>
  <c r="P1039" i="1"/>
  <c r="Q1039" i="1" s="1"/>
  <c r="P1038" i="1"/>
  <c r="P1035" i="1"/>
  <c r="P1034" i="1"/>
  <c r="Q1034" i="1" s="1"/>
  <c r="P1032" i="1"/>
  <c r="Q1032" i="1" s="1"/>
  <c r="P1031" i="1"/>
  <c r="Q1031" i="1" s="1"/>
  <c r="P1030" i="1"/>
  <c r="Q1030" i="1" s="1"/>
  <c r="Q1029" i="1"/>
  <c r="P1029" i="1"/>
  <c r="P1028" i="1"/>
  <c r="Q1028" i="1" s="1"/>
  <c r="P1027" i="1"/>
  <c r="Q1027" i="1" s="1"/>
  <c r="P1026" i="1"/>
  <c r="Q1026" i="1" s="1"/>
  <c r="P1025" i="1"/>
  <c r="Q1025" i="1" s="1"/>
  <c r="P1024" i="1"/>
  <c r="Q1024" i="1" s="1"/>
  <c r="P1023" i="1"/>
  <c r="Q1023" i="1" s="1"/>
  <c r="P1022" i="1"/>
  <c r="Q1022" i="1" s="1"/>
  <c r="Q1021" i="1"/>
  <c r="P1021" i="1"/>
  <c r="P1020" i="1"/>
  <c r="Q1020" i="1" s="1"/>
  <c r="P1019" i="1"/>
  <c r="Q1019" i="1" s="1"/>
  <c r="P1018" i="1"/>
  <c r="Q1018" i="1" s="1"/>
  <c r="Q1017" i="1"/>
  <c r="P1017" i="1"/>
  <c r="P1016" i="1"/>
  <c r="Q1016" i="1" s="1"/>
  <c r="P1015" i="1"/>
  <c r="Q1015" i="1" s="1"/>
  <c r="P1014" i="1"/>
  <c r="Q1014" i="1" s="1"/>
  <c r="Q1013" i="1"/>
  <c r="P1013" i="1"/>
  <c r="P1012" i="1"/>
  <c r="Q1012" i="1" s="1"/>
  <c r="P1011" i="1"/>
  <c r="Q1011" i="1" s="1"/>
  <c r="P1010" i="1"/>
  <c r="Q1010" i="1" s="1"/>
  <c r="P1009" i="1"/>
  <c r="Q1009" i="1" s="1"/>
  <c r="P1008" i="1"/>
  <c r="Q1008" i="1" s="1"/>
  <c r="P1004" i="1"/>
  <c r="Q1004" i="1" s="1"/>
  <c r="Q1003" i="1"/>
  <c r="P1003" i="1"/>
  <c r="P1002" i="1"/>
  <c r="Q1002" i="1" s="1"/>
  <c r="Q1001" i="1"/>
  <c r="P1001" i="1"/>
  <c r="P1000" i="1"/>
  <c r="Q1000" i="1" s="1"/>
  <c r="Q999" i="1"/>
  <c r="P999" i="1"/>
  <c r="P998" i="1"/>
  <c r="Q998" i="1" s="1"/>
  <c r="P997" i="1"/>
  <c r="Q997" i="1" s="1"/>
  <c r="P996" i="1"/>
  <c r="P995" i="1"/>
  <c r="P994" i="1"/>
  <c r="Q993" i="1"/>
  <c r="P993" i="1"/>
  <c r="P992" i="1"/>
  <c r="Q992" i="1" s="1"/>
  <c r="P991" i="1"/>
  <c r="Q991" i="1" s="1"/>
  <c r="P990" i="1"/>
  <c r="Q990" i="1" s="1"/>
  <c r="P989" i="1"/>
  <c r="Q989" i="1" s="1"/>
  <c r="P988" i="1"/>
  <c r="Q988" i="1" s="1"/>
  <c r="P987" i="1"/>
  <c r="Q987" i="1" s="1"/>
  <c r="P986" i="1"/>
  <c r="Q986" i="1" s="1"/>
  <c r="Q985" i="1"/>
  <c r="P985" i="1"/>
  <c r="P984" i="1"/>
  <c r="Q984" i="1" s="1"/>
  <c r="P983" i="1"/>
  <c r="P982" i="1"/>
  <c r="Q982" i="1" s="1"/>
  <c r="P981" i="1"/>
  <c r="P980" i="1"/>
  <c r="P979" i="1"/>
  <c r="P977" i="1"/>
  <c r="P976" i="1"/>
  <c r="Q976" i="1" s="1"/>
  <c r="P974" i="1"/>
  <c r="Q974" i="1" s="1"/>
  <c r="P972" i="1"/>
  <c r="Q969" i="1"/>
  <c r="P969" i="1"/>
  <c r="P968" i="1"/>
  <c r="P967" i="1"/>
  <c r="Q965" i="1"/>
  <c r="P965" i="1"/>
  <c r="P964" i="1"/>
  <c r="Q964" i="1" s="1"/>
  <c r="P961" i="1"/>
  <c r="Q961" i="1" s="1"/>
  <c r="P959" i="1"/>
  <c r="Q959" i="1" s="1"/>
  <c r="P958" i="1"/>
  <c r="Q958" i="1" s="1"/>
  <c r="P954" i="1"/>
  <c r="Q954" i="1" s="1"/>
  <c r="P953" i="1"/>
  <c r="Q953" i="1" s="1"/>
  <c r="P952" i="1"/>
  <c r="Q952" i="1" s="1"/>
  <c r="P951" i="1"/>
  <c r="P950" i="1"/>
  <c r="P949" i="1"/>
  <c r="P947" i="1"/>
  <c r="P944" i="1"/>
  <c r="P943" i="1"/>
  <c r="P942" i="1"/>
  <c r="Q942" i="1" s="1"/>
  <c r="P939" i="1"/>
  <c r="P938" i="1"/>
  <c r="Q938" i="1" s="1"/>
  <c r="P937" i="1"/>
  <c r="Q937" i="1" s="1"/>
  <c r="P936" i="1"/>
  <c r="Q936" i="1" s="1"/>
  <c r="P933" i="1"/>
  <c r="P932" i="1"/>
  <c r="P931" i="1"/>
  <c r="P930" i="1"/>
  <c r="Q930" i="1" s="1"/>
  <c r="P929" i="1"/>
  <c r="P928" i="1"/>
  <c r="P926" i="1"/>
  <c r="Q926" i="1" s="1"/>
  <c r="P925" i="1"/>
  <c r="P924" i="1"/>
  <c r="Q924" i="1" s="1"/>
  <c r="P923" i="1"/>
  <c r="P920" i="1"/>
  <c r="Q920" i="1" s="1"/>
  <c r="P919" i="1"/>
  <c r="P918" i="1"/>
  <c r="Q918" i="1" s="1"/>
  <c r="P917" i="1"/>
  <c r="P916" i="1"/>
  <c r="P915" i="1"/>
  <c r="P914" i="1"/>
  <c r="Q914" i="1" s="1"/>
  <c r="P913" i="1"/>
  <c r="P910" i="1"/>
  <c r="Q910" i="1" s="1"/>
  <c r="P909" i="1"/>
  <c r="Q909" i="1" s="1"/>
  <c r="P908" i="1"/>
  <c r="Q908" i="1" s="1"/>
  <c r="Q907" i="1"/>
  <c r="P907" i="1"/>
  <c r="P906" i="1"/>
  <c r="Q906" i="1" s="1"/>
  <c r="P905" i="1"/>
  <c r="Q905" i="1" s="1"/>
  <c r="P903" i="1"/>
  <c r="Q901" i="1"/>
  <c r="P901" i="1"/>
  <c r="P900" i="1"/>
  <c r="P899" i="1"/>
  <c r="Q899" i="1" s="1"/>
  <c r="P897" i="1"/>
  <c r="P895" i="1"/>
  <c r="Q895" i="1" s="1"/>
  <c r="Q893" i="1"/>
  <c r="P893" i="1"/>
  <c r="P892" i="1"/>
  <c r="P890" i="1"/>
  <c r="Q890" i="1" s="1"/>
  <c r="Q883" i="1"/>
  <c r="P883" i="1"/>
  <c r="P882" i="1"/>
  <c r="Q882" i="1" s="1"/>
  <c r="P879" i="1"/>
  <c r="Q879" i="1" s="1"/>
  <c r="P869" i="1"/>
  <c r="Q869" i="1" s="1"/>
  <c r="P868" i="1"/>
  <c r="Q868" i="1" s="1"/>
  <c r="P866" i="1"/>
  <c r="Q866" i="1" s="1"/>
  <c r="Q865" i="1"/>
  <c r="P865" i="1"/>
  <c r="P864" i="1"/>
  <c r="Q864" i="1" s="1"/>
  <c r="P863" i="1"/>
  <c r="Q863" i="1" s="1"/>
  <c r="P862" i="1"/>
  <c r="Q862" i="1" s="1"/>
  <c r="Q861" i="1"/>
  <c r="P861" i="1"/>
  <c r="P860" i="1"/>
  <c r="Q860" i="1" s="1"/>
  <c r="P859" i="1"/>
  <c r="Q859" i="1" s="1"/>
  <c r="P856" i="1"/>
  <c r="Q856" i="1" s="1"/>
  <c r="P853" i="1"/>
  <c r="Q853" i="1" s="1"/>
  <c r="P852" i="1"/>
  <c r="P851" i="1"/>
  <c r="Q851" i="1" s="1"/>
  <c r="P850" i="1"/>
  <c r="Q850" i="1" s="1"/>
  <c r="Q849" i="1"/>
  <c r="P849" i="1"/>
  <c r="P845" i="1"/>
  <c r="Q845" i="1" s="1"/>
  <c r="P844" i="1"/>
  <c r="Q844" i="1" s="1"/>
  <c r="P843" i="1"/>
  <c r="P842" i="1"/>
  <c r="P841" i="1"/>
  <c r="P840" i="1"/>
  <c r="P839" i="1"/>
  <c r="Q839" i="1" s="1"/>
  <c r="P838" i="1"/>
  <c r="P837" i="1"/>
  <c r="Q837" i="1" s="1"/>
  <c r="P836" i="1"/>
  <c r="Q836" i="1" s="1"/>
  <c r="P835" i="1"/>
  <c r="Q835" i="1" s="1"/>
  <c r="P834" i="1"/>
  <c r="Q834" i="1" s="1"/>
  <c r="P833" i="1"/>
  <c r="Q833" i="1" s="1"/>
  <c r="P832" i="1"/>
  <c r="P831" i="1"/>
  <c r="Q831" i="1" s="1"/>
  <c r="P830" i="1"/>
  <c r="Q830" i="1" s="1"/>
  <c r="P829" i="1"/>
  <c r="P828" i="1"/>
  <c r="Q828" i="1" s="1"/>
  <c r="P827" i="1"/>
  <c r="P826" i="1"/>
  <c r="P825" i="1"/>
  <c r="Q825" i="1" s="1"/>
  <c r="P824" i="1"/>
  <c r="Q824" i="1" s="1"/>
  <c r="P823" i="1"/>
  <c r="Q823" i="1" s="1"/>
  <c r="P822" i="1"/>
  <c r="Q822" i="1" s="1"/>
  <c r="P821" i="1"/>
  <c r="Q821" i="1" s="1"/>
  <c r="P820" i="1"/>
  <c r="P819" i="1"/>
  <c r="P818" i="1"/>
  <c r="P817" i="1"/>
  <c r="Q817" i="1" s="1"/>
  <c r="P815" i="1"/>
  <c r="Q815" i="1" s="1"/>
  <c r="P814" i="1"/>
  <c r="P813" i="1"/>
  <c r="P812" i="1"/>
  <c r="Q812" i="1" s="1"/>
  <c r="Q811" i="1"/>
  <c r="P811" i="1"/>
  <c r="P810" i="1"/>
  <c r="P809" i="1"/>
  <c r="Q809" i="1" s="1"/>
  <c r="P808" i="1"/>
  <c r="Q808" i="1" s="1"/>
  <c r="P807" i="1"/>
  <c r="Q807" i="1" s="1"/>
  <c r="P806" i="1"/>
  <c r="P805" i="1"/>
  <c r="Q805" i="1" s="1"/>
  <c r="P803" i="1"/>
  <c r="Q803" i="1" s="1"/>
  <c r="P802" i="1"/>
  <c r="P801" i="1"/>
  <c r="P800" i="1"/>
  <c r="P799" i="1"/>
  <c r="P798" i="1"/>
  <c r="Q797" i="1"/>
  <c r="P797" i="1"/>
  <c r="P796" i="1"/>
  <c r="P795" i="1"/>
  <c r="Q795" i="1" s="1"/>
  <c r="P794" i="1"/>
  <c r="Q794" i="1" s="1"/>
  <c r="P792" i="1"/>
  <c r="Q792" i="1" s="1"/>
  <c r="P791" i="1"/>
  <c r="Q791" i="1" s="1"/>
  <c r="P789" i="1"/>
  <c r="Q789" i="1" s="1"/>
  <c r="P788" i="1"/>
  <c r="Q788" i="1" s="1"/>
  <c r="P787" i="1"/>
  <c r="Q787" i="1" s="1"/>
  <c r="P786" i="1"/>
  <c r="Q786" i="1" s="1"/>
  <c r="P785" i="1"/>
  <c r="Q785" i="1" s="1"/>
  <c r="P784" i="1"/>
  <c r="Q784" i="1" s="1"/>
  <c r="P783" i="1"/>
  <c r="Q783" i="1" s="1"/>
  <c r="P782" i="1"/>
  <c r="Q782" i="1" s="1"/>
  <c r="P780" i="1"/>
  <c r="Q780" i="1" s="1"/>
  <c r="P779" i="1"/>
  <c r="Q779" i="1" s="1"/>
  <c r="P778" i="1"/>
  <c r="Q778" i="1" s="1"/>
  <c r="P777" i="1"/>
  <c r="Q777" i="1" s="1"/>
  <c r="P776" i="1"/>
  <c r="Q776" i="1" s="1"/>
  <c r="P775" i="1"/>
  <c r="Q775" i="1" s="1"/>
  <c r="P774" i="1"/>
  <c r="Q774" i="1" s="1"/>
  <c r="P773" i="1"/>
  <c r="Q773" i="1" s="1"/>
  <c r="P772" i="1"/>
  <c r="Q772" i="1" s="1"/>
  <c r="P771" i="1"/>
  <c r="Q771" i="1" s="1"/>
  <c r="P770" i="1"/>
  <c r="Q770" i="1" s="1"/>
  <c r="Q769" i="1"/>
  <c r="P769" i="1"/>
  <c r="Q767" i="1"/>
  <c r="P767" i="1"/>
  <c r="P766" i="1"/>
  <c r="Q766" i="1" s="1"/>
  <c r="P764" i="1"/>
  <c r="Q764" i="1" s="1"/>
  <c r="P762" i="1"/>
  <c r="Q762" i="1" s="1"/>
  <c r="P761" i="1"/>
  <c r="Q761" i="1" s="1"/>
  <c r="P754" i="1"/>
  <c r="Q754" i="1" s="1"/>
  <c r="P752" i="1"/>
  <c r="Q752" i="1" s="1"/>
  <c r="Q751" i="1"/>
  <c r="P751" i="1"/>
  <c r="Q749" i="1"/>
  <c r="P749" i="1"/>
  <c r="P748" i="1"/>
  <c r="Q748" i="1" s="1"/>
  <c r="P743" i="1"/>
  <c r="Q743" i="1" s="1"/>
  <c r="P742" i="1"/>
  <c r="Q742" i="1" s="1"/>
  <c r="P741" i="1"/>
  <c r="Q741" i="1" s="1"/>
  <c r="P740" i="1"/>
  <c r="Q740" i="1" s="1"/>
  <c r="P739" i="1"/>
  <c r="Q739" i="1" s="1"/>
  <c r="P738" i="1"/>
  <c r="Q738" i="1" s="1"/>
  <c r="P737" i="1"/>
  <c r="Q737" i="1" s="1"/>
  <c r="P732" i="1"/>
  <c r="Q732" i="1" s="1"/>
  <c r="Q731" i="1"/>
  <c r="P731" i="1"/>
  <c r="P730" i="1"/>
  <c r="Q730" i="1" s="1"/>
  <c r="P729" i="1"/>
  <c r="Q729" i="1" s="1"/>
  <c r="P728" i="1"/>
  <c r="Q728" i="1" s="1"/>
  <c r="P724" i="1"/>
  <c r="Q724" i="1" s="1"/>
  <c r="P723" i="1"/>
  <c r="Q723" i="1" s="1"/>
  <c r="P722" i="1"/>
  <c r="Q722" i="1" s="1"/>
  <c r="P716" i="1"/>
  <c r="Q716" i="1" s="1"/>
  <c r="P715" i="1"/>
  <c r="Q715" i="1" s="1"/>
  <c r="P714" i="1"/>
  <c r="Q714" i="1" s="1"/>
  <c r="P713" i="1"/>
  <c r="Q713" i="1" s="1"/>
  <c r="P711" i="1"/>
  <c r="Q711" i="1" s="1"/>
  <c r="P710" i="1"/>
  <c r="Q710" i="1" s="1"/>
  <c r="P707" i="1"/>
  <c r="Q707" i="1" s="1"/>
  <c r="P706" i="1"/>
  <c r="Q706" i="1" s="1"/>
  <c r="P705" i="1"/>
  <c r="Q705" i="1" s="1"/>
  <c r="P704" i="1"/>
  <c r="Q704" i="1" s="1"/>
  <c r="Q703" i="1"/>
  <c r="P703" i="1"/>
  <c r="P702" i="1"/>
  <c r="Q702" i="1" s="1"/>
  <c r="P701" i="1"/>
  <c r="Q701" i="1" s="1"/>
  <c r="P700" i="1"/>
  <c r="Q700" i="1" s="1"/>
  <c r="Q699" i="1"/>
  <c r="P699" i="1"/>
  <c r="P698" i="1"/>
  <c r="Q698" i="1" s="1"/>
  <c r="P697" i="1"/>
  <c r="Q697" i="1" s="1"/>
  <c r="P695" i="1"/>
  <c r="Q695" i="1" s="1"/>
  <c r="P694" i="1"/>
  <c r="Q694" i="1" s="1"/>
  <c r="P693" i="1"/>
  <c r="Q693" i="1" s="1"/>
  <c r="P692" i="1"/>
  <c r="Q692" i="1" s="1"/>
  <c r="P691" i="1"/>
  <c r="Q691" i="1" s="1"/>
  <c r="P690" i="1"/>
  <c r="Q690" i="1" s="1"/>
  <c r="Q689" i="1"/>
  <c r="P689" i="1"/>
  <c r="P688" i="1"/>
  <c r="Q688" i="1" s="1"/>
  <c r="P687" i="1"/>
  <c r="Q687" i="1" s="1"/>
  <c r="P686" i="1"/>
  <c r="Q686" i="1" s="1"/>
  <c r="Q685" i="1"/>
  <c r="P685" i="1"/>
  <c r="P684" i="1"/>
  <c r="Q684" i="1" s="1"/>
  <c r="P683" i="1"/>
  <c r="Q683" i="1" s="1"/>
  <c r="P682" i="1"/>
  <c r="Q682" i="1" s="1"/>
  <c r="P681" i="1"/>
  <c r="Q681" i="1" s="1"/>
  <c r="P680" i="1"/>
  <c r="Q680" i="1" s="1"/>
  <c r="P679" i="1"/>
  <c r="Q679" i="1" s="1"/>
  <c r="P678" i="1"/>
  <c r="Q678" i="1" s="1"/>
  <c r="P677" i="1"/>
  <c r="Q677" i="1" s="1"/>
  <c r="P676" i="1"/>
  <c r="Q676" i="1" s="1"/>
  <c r="P675" i="1"/>
  <c r="Q675" i="1" s="1"/>
  <c r="P674" i="1"/>
  <c r="Q674" i="1" s="1"/>
  <c r="P673" i="1"/>
  <c r="Q673" i="1" s="1"/>
  <c r="P672" i="1"/>
  <c r="Q672" i="1" s="1"/>
  <c r="Q671" i="1"/>
  <c r="P671" i="1"/>
  <c r="P670" i="1"/>
  <c r="Q670" i="1" s="1"/>
  <c r="P669" i="1"/>
  <c r="Q669" i="1" s="1"/>
  <c r="P668" i="1"/>
  <c r="Q668" i="1" s="1"/>
  <c r="P667" i="1"/>
  <c r="Q667" i="1" s="1"/>
  <c r="P666" i="1"/>
  <c r="Q666" i="1" s="1"/>
  <c r="P665" i="1"/>
  <c r="Q665" i="1" s="1"/>
  <c r="P664" i="1"/>
  <c r="Q664" i="1" s="1"/>
  <c r="P663" i="1"/>
  <c r="Q663" i="1" s="1"/>
  <c r="P662" i="1"/>
  <c r="Q662" i="1" s="1"/>
  <c r="P660" i="1"/>
  <c r="Q660" i="1" s="1"/>
  <c r="P659" i="1"/>
  <c r="Q659" i="1" s="1"/>
  <c r="P658" i="1"/>
  <c r="Q658" i="1" s="1"/>
  <c r="P657" i="1"/>
  <c r="Q657" i="1" s="1"/>
  <c r="P656" i="1"/>
  <c r="Q656" i="1" s="1"/>
  <c r="P655" i="1"/>
  <c r="Q655" i="1" s="1"/>
  <c r="P652" i="1"/>
  <c r="Q652" i="1" s="1"/>
  <c r="P650" i="1"/>
  <c r="Q650" i="1" s="1"/>
  <c r="P649" i="1"/>
  <c r="Q649" i="1" s="1"/>
  <c r="P648" i="1"/>
  <c r="Q648" i="1" s="1"/>
  <c r="P647" i="1"/>
  <c r="Q647" i="1" s="1"/>
  <c r="P645" i="1"/>
  <c r="Q645" i="1" s="1"/>
  <c r="P644" i="1"/>
  <c r="Q644" i="1" s="1"/>
  <c r="P643" i="1"/>
  <c r="Q643" i="1" s="1"/>
  <c r="P642" i="1"/>
  <c r="Q642" i="1" s="1"/>
  <c r="P641" i="1"/>
  <c r="Q641" i="1" s="1"/>
  <c r="P640" i="1"/>
  <c r="Q640" i="1" s="1"/>
  <c r="Q637" i="1"/>
  <c r="P637" i="1"/>
  <c r="P634" i="1"/>
  <c r="P632" i="1"/>
  <c r="P631" i="1"/>
  <c r="P630" i="1"/>
  <c r="P629" i="1"/>
  <c r="P628" i="1"/>
  <c r="P627" i="1"/>
  <c r="P626" i="1"/>
  <c r="P625" i="1"/>
  <c r="P624" i="1"/>
  <c r="Q623" i="1"/>
  <c r="P623" i="1"/>
  <c r="P622" i="1"/>
  <c r="P620" i="1"/>
  <c r="P618" i="1"/>
  <c r="P617" i="1"/>
  <c r="P616" i="1"/>
  <c r="P615" i="1"/>
  <c r="P614" i="1"/>
  <c r="P613" i="1"/>
  <c r="P612" i="1"/>
  <c r="P611" i="1"/>
  <c r="P610" i="1"/>
  <c r="P609" i="1"/>
  <c r="P608" i="1"/>
  <c r="Q607" i="1"/>
  <c r="P607" i="1"/>
  <c r="P606" i="1"/>
  <c r="P605" i="1"/>
  <c r="P604" i="1"/>
  <c r="P603" i="1"/>
  <c r="P602" i="1"/>
  <c r="P601" i="1"/>
  <c r="P600" i="1"/>
  <c r="P598" i="1"/>
  <c r="P597" i="1"/>
  <c r="P596" i="1"/>
  <c r="P595" i="1"/>
  <c r="P594" i="1"/>
  <c r="P593" i="1"/>
  <c r="P592" i="1"/>
  <c r="Q591" i="1"/>
  <c r="P591" i="1"/>
  <c r="P590" i="1"/>
  <c r="P589" i="1"/>
  <c r="P588" i="1"/>
  <c r="P587" i="1"/>
  <c r="P586" i="1"/>
  <c r="P585" i="1"/>
  <c r="P584" i="1"/>
  <c r="P579" i="1"/>
  <c r="Q577" i="1"/>
  <c r="P577" i="1"/>
  <c r="Q575" i="1"/>
  <c r="P575" i="1"/>
  <c r="P574" i="1"/>
  <c r="P573" i="1"/>
  <c r="P571" i="1"/>
  <c r="P570" i="1"/>
  <c r="P569" i="1"/>
  <c r="P568" i="1"/>
  <c r="P567" i="1"/>
  <c r="P566" i="1"/>
  <c r="P565" i="1"/>
  <c r="P564" i="1"/>
  <c r="P563" i="1"/>
  <c r="P561" i="1"/>
  <c r="P560" i="1"/>
  <c r="P559" i="1"/>
  <c r="P558" i="1"/>
  <c r="P557" i="1"/>
  <c r="P556" i="1"/>
  <c r="P555" i="1"/>
  <c r="P554" i="1"/>
  <c r="P553" i="1"/>
  <c r="P552" i="1"/>
  <c r="P551" i="1"/>
  <c r="P550" i="1"/>
  <c r="Q549" i="1"/>
  <c r="P549" i="1"/>
  <c r="P548" i="1"/>
  <c r="P547" i="1"/>
  <c r="P546" i="1"/>
  <c r="P545" i="1"/>
  <c r="P544" i="1"/>
  <c r="P543" i="1"/>
  <c r="Q543" i="1" s="1"/>
  <c r="P542" i="1"/>
  <c r="Q541" i="1"/>
  <c r="P541" i="1"/>
  <c r="P540" i="1"/>
  <c r="P539" i="1"/>
  <c r="P538" i="1"/>
  <c r="P537" i="1"/>
  <c r="P536" i="1"/>
  <c r="P535" i="1"/>
  <c r="P534" i="1"/>
  <c r="P533" i="1"/>
  <c r="P532" i="1"/>
  <c r="P531" i="1"/>
  <c r="P530" i="1"/>
  <c r="P529" i="1"/>
  <c r="P527" i="1"/>
  <c r="Q526" i="1"/>
  <c r="P526" i="1"/>
  <c r="P525" i="1"/>
  <c r="P524" i="1"/>
  <c r="Q524" i="1" s="1"/>
  <c r="P523" i="1"/>
  <c r="Q522" i="1"/>
  <c r="P522" i="1"/>
  <c r="Q521" i="1"/>
  <c r="P521" i="1"/>
  <c r="P520" i="1"/>
  <c r="P519" i="1"/>
  <c r="P518" i="1"/>
  <c r="P517" i="1"/>
  <c r="P515" i="1"/>
  <c r="P514" i="1"/>
  <c r="P513" i="1"/>
  <c r="P512" i="1"/>
  <c r="P511" i="1"/>
  <c r="P510" i="1"/>
  <c r="Q510" i="1" s="1"/>
  <c r="P508" i="1"/>
  <c r="P507" i="1"/>
  <c r="P506" i="1"/>
  <c r="P505" i="1"/>
  <c r="P501" i="1"/>
  <c r="P500" i="1"/>
  <c r="P499" i="1"/>
  <c r="Q497" i="1"/>
  <c r="P497" i="1"/>
  <c r="P496" i="1"/>
  <c r="P494" i="1"/>
  <c r="P493" i="1"/>
  <c r="P492" i="1"/>
  <c r="P491" i="1"/>
  <c r="P490" i="1"/>
  <c r="P488" i="1"/>
  <c r="P487" i="1"/>
  <c r="P486" i="1"/>
  <c r="P485" i="1"/>
  <c r="Q484" i="1"/>
  <c r="P484" i="1"/>
  <c r="P483" i="1"/>
  <c r="P482" i="1"/>
  <c r="P481" i="1"/>
  <c r="Q480" i="1"/>
  <c r="P480" i="1"/>
  <c r="P479" i="1"/>
  <c r="P478" i="1"/>
  <c r="P477" i="1"/>
  <c r="P476" i="1"/>
  <c r="P475" i="1"/>
  <c r="Q474" i="1"/>
  <c r="P474" i="1"/>
  <c r="Q473" i="1"/>
  <c r="P473" i="1"/>
  <c r="Q472" i="1"/>
  <c r="P472" i="1"/>
  <c r="P470" i="1"/>
  <c r="P469" i="1"/>
  <c r="Q468" i="1"/>
  <c r="P468" i="1"/>
  <c r="P467" i="1"/>
  <c r="P466" i="1"/>
  <c r="P464" i="1"/>
  <c r="P462" i="1"/>
  <c r="P461" i="1"/>
  <c r="P460" i="1"/>
  <c r="Q460" i="1" s="1"/>
  <c r="P459" i="1"/>
  <c r="P458" i="1"/>
  <c r="P457" i="1"/>
  <c r="P456" i="1"/>
  <c r="Q456" i="1" s="1"/>
  <c r="P455" i="1"/>
  <c r="Q454" i="1"/>
  <c r="P454" i="1"/>
  <c r="P453" i="1"/>
  <c r="P452" i="1"/>
  <c r="P451" i="1"/>
  <c r="Q450" i="1"/>
  <c r="P450" i="1"/>
  <c r="P449" i="1"/>
  <c r="P448" i="1"/>
  <c r="P445" i="1"/>
  <c r="P443" i="1"/>
  <c r="Q442" i="1"/>
  <c r="P442" i="1"/>
  <c r="Q441" i="1"/>
  <c r="P441" i="1"/>
  <c r="P440" i="1"/>
  <c r="P439" i="1"/>
  <c r="P438" i="1"/>
  <c r="P437" i="1"/>
  <c r="Q436" i="1"/>
  <c r="P436" i="1"/>
  <c r="P435" i="1"/>
  <c r="P433" i="1"/>
  <c r="P432" i="1"/>
  <c r="P430" i="1"/>
  <c r="P429" i="1"/>
  <c r="P427" i="1"/>
  <c r="P426" i="1"/>
  <c r="P425" i="1"/>
  <c r="P424" i="1"/>
  <c r="P423" i="1"/>
  <c r="Q422" i="1"/>
  <c r="P422" i="1"/>
  <c r="Q418" i="1"/>
  <c r="P418" i="1"/>
  <c r="P417" i="1"/>
  <c r="P416" i="1"/>
  <c r="P412" i="1"/>
  <c r="P411" i="1"/>
  <c r="P410" i="1"/>
  <c r="Q410" i="1" s="1"/>
  <c r="P409" i="1"/>
  <c r="P407" i="1"/>
  <c r="P406" i="1"/>
  <c r="P405" i="1"/>
  <c r="Q404" i="1"/>
  <c r="P404" i="1"/>
  <c r="P403" i="1"/>
  <c r="P401" i="1"/>
  <c r="P400" i="1"/>
  <c r="P399" i="1"/>
  <c r="Q397" i="1"/>
  <c r="P397" i="1"/>
  <c r="Q396" i="1"/>
  <c r="P396" i="1"/>
  <c r="P395" i="1"/>
  <c r="P394" i="1"/>
  <c r="P393" i="1"/>
  <c r="Q393" i="1" s="1"/>
  <c r="P391" i="1"/>
  <c r="Q388" i="1"/>
  <c r="P388" i="1"/>
  <c r="P387" i="1"/>
  <c r="P385" i="1"/>
  <c r="P384" i="1"/>
  <c r="P382" i="1"/>
  <c r="Q382" i="1" s="1"/>
  <c r="P381" i="1"/>
  <c r="P380" i="1"/>
  <c r="P379" i="1"/>
  <c r="Q378" i="1"/>
  <c r="P378" i="1"/>
  <c r="Q377" i="1"/>
  <c r="P377" i="1"/>
  <c r="Q376" i="1"/>
  <c r="P376" i="1"/>
  <c r="P375" i="1"/>
  <c r="P372" i="1"/>
  <c r="Q372" i="1" s="1"/>
  <c r="P370" i="1"/>
  <c r="Q370" i="1" s="1"/>
  <c r="P369" i="1"/>
  <c r="P368" i="1"/>
  <c r="P367" i="1"/>
  <c r="Q366" i="1"/>
  <c r="P366" i="1"/>
  <c r="Q365" i="1"/>
  <c r="P365" i="1"/>
  <c r="Q364" i="1"/>
  <c r="P364" i="1"/>
  <c r="P363" i="1"/>
  <c r="P362" i="1"/>
  <c r="P361" i="1"/>
  <c r="P360" i="1"/>
  <c r="P359" i="1"/>
  <c r="P357" i="1"/>
  <c r="Q356" i="1"/>
  <c r="P356" i="1"/>
  <c r="P355" i="1"/>
  <c r="P354" i="1"/>
  <c r="P353" i="1"/>
  <c r="P352" i="1"/>
  <c r="Q352" i="1" s="1"/>
  <c r="P351" i="1"/>
  <c r="Q350" i="1"/>
  <c r="P350" i="1"/>
  <c r="Q349" i="1"/>
  <c r="P349" i="1"/>
  <c r="P348" i="1"/>
  <c r="P347" i="1"/>
  <c r="P346" i="1"/>
  <c r="Q346" i="1" s="1"/>
  <c r="P345" i="1"/>
  <c r="P344" i="1"/>
  <c r="P343" i="1"/>
  <c r="Q342" i="1"/>
  <c r="P342" i="1"/>
  <c r="Q341" i="1"/>
  <c r="P341" i="1"/>
  <c r="Q340" i="1"/>
  <c r="P340" i="1"/>
  <c r="P339" i="1"/>
  <c r="P338" i="1"/>
  <c r="Q338" i="1" s="1"/>
  <c r="P337" i="1"/>
  <c r="Q337" i="1" s="1"/>
  <c r="P336" i="1"/>
  <c r="P335" i="1"/>
  <c r="P334" i="1"/>
  <c r="Q333" i="1"/>
  <c r="P333" i="1"/>
  <c r="Q332" i="1"/>
  <c r="P332" i="1"/>
  <c r="P331" i="1"/>
  <c r="P330" i="1"/>
  <c r="P329" i="1"/>
  <c r="Q329" i="1" s="1"/>
  <c r="P327" i="1"/>
  <c r="Q326" i="1"/>
  <c r="P326" i="1"/>
  <c r="Q325" i="1"/>
  <c r="P325" i="1"/>
  <c r="P324" i="1"/>
  <c r="P323" i="1"/>
  <c r="P322" i="1"/>
  <c r="Q322" i="1" s="1"/>
  <c r="P321" i="1"/>
  <c r="P319" i="1"/>
  <c r="P318" i="1"/>
  <c r="Q316" i="1"/>
  <c r="P316" i="1"/>
  <c r="P315" i="1"/>
  <c r="P312" i="1"/>
  <c r="P311" i="1"/>
  <c r="P310" i="1"/>
  <c r="Q309" i="1"/>
  <c r="P309" i="1"/>
  <c r="Q308" i="1"/>
  <c r="P308" i="1"/>
  <c r="P307" i="1"/>
  <c r="P306" i="1"/>
  <c r="P305" i="1"/>
  <c r="Q305" i="1" s="1"/>
  <c r="P304" i="1"/>
  <c r="P303" i="1"/>
  <c r="Q302" i="1"/>
  <c r="P302" i="1"/>
  <c r="P301" i="1"/>
  <c r="Q300" i="1"/>
  <c r="P300" i="1"/>
  <c r="P299" i="1"/>
  <c r="P298" i="1"/>
  <c r="P297" i="1"/>
  <c r="P296" i="1"/>
  <c r="P295" i="1"/>
  <c r="Q294" i="1"/>
  <c r="P294" i="1"/>
  <c r="Q293" i="1"/>
  <c r="P293" i="1"/>
  <c r="P292" i="1"/>
  <c r="P291" i="1"/>
  <c r="P290" i="1"/>
  <c r="Q290" i="1" s="1"/>
  <c r="P281" i="1"/>
  <c r="P280" i="1"/>
  <c r="P279" i="1"/>
  <c r="Q278" i="1"/>
  <c r="P278" i="1"/>
  <c r="Q277" i="1"/>
  <c r="P277" i="1"/>
  <c r="Q276" i="1"/>
  <c r="P276" i="1"/>
  <c r="P275" i="1"/>
  <c r="P274" i="1"/>
  <c r="Q274" i="1" s="1"/>
  <c r="P273" i="1"/>
  <c r="Q273" i="1" s="1"/>
  <c r="P272" i="1"/>
  <c r="P271" i="1"/>
  <c r="P270" i="1"/>
  <c r="Q268" i="1"/>
  <c r="P268" i="1"/>
  <c r="P267" i="1"/>
  <c r="P266" i="1"/>
  <c r="P265" i="1"/>
  <c r="P264" i="1"/>
  <c r="Q264" i="1" s="1"/>
  <c r="P263" i="1"/>
  <c r="Q262" i="1"/>
  <c r="P262" i="1"/>
  <c r="Q261" i="1"/>
  <c r="P261" i="1"/>
  <c r="P258" i="1"/>
  <c r="Q257" i="1"/>
  <c r="P257" i="1"/>
  <c r="Q256" i="1"/>
  <c r="P256" i="1"/>
  <c r="P255" i="1"/>
  <c r="P254" i="1"/>
  <c r="P253" i="1"/>
  <c r="Q253" i="1" s="1"/>
  <c r="P251" i="1"/>
  <c r="Q250" i="1"/>
  <c r="P250" i="1"/>
  <c r="Q249" i="1"/>
  <c r="P249" i="1"/>
  <c r="P248" i="1"/>
  <c r="P247" i="1"/>
  <c r="P246" i="1"/>
  <c r="Q246" i="1" s="1"/>
  <c r="P245" i="1"/>
  <c r="P240" i="1"/>
  <c r="P238" i="1"/>
  <c r="Q238" i="1" s="1"/>
  <c r="P237" i="1"/>
  <c r="Q237" i="1" s="1"/>
  <c r="P236" i="1"/>
  <c r="P235" i="1"/>
  <c r="P234" i="1"/>
  <c r="Q233" i="1"/>
  <c r="P233" i="1"/>
  <c r="Q232" i="1"/>
  <c r="P232" i="1"/>
  <c r="P231" i="1"/>
  <c r="P230" i="1"/>
  <c r="P228" i="1"/>
  <c r="P224" i="1"/>
  <c r="P222" i="1"/>
  <c r="P219" i="1"/>
  <c r="P217" i="1"/>
  <c r="Q216" i="1"/>
  <c r="P216" i="1"/>
  <c r="P215" i="1"/>
  <c r="P211" i="1"/>
  <c r="Q209" i="1"/>
  <c r="P209" i="1"/>
  <c r="P208" i="1"/>
  <c r="Q206" i="1"/>
  <c r="P206" i="1"/>
  <c r="Q205" i="1"/>
  <c r="P205" i="1"/>
  <c r="Q202" i="1"/>
  <c r="P202" i="1"/>
  <c r="P200" i="1"/>
  <c r="P195" i="1"/>
  <c r="P194" i="1"/>
  <c r="Q194" i="1" s="1"/>
  <c r="P189" i="1"/>
  <c r="Y189" i="1" s="1"/>
  <c r="P187" i="1"/>
  <c r="P184" i="1"/>
  <c r="P183" i="1"/>
  <c r="P182" i="1"/>
  <c r="Q182" i="1" s="1"/>
  <c r="P181" i="1"/>
  <c r="Y181" i="1" s="1"/>
  <c r="P180" i="1"/>
  <c r="P178" i="1"/>
  <c r="P177" i="1"/>
  <c r="Q177" i="1" s="1"/>
  <c r="P174" i="1"/>
  <c r="P173" i="1"/>
  <c r="P172" i="1"/>
  <c r="Q172" i="1" s="1"/>
  <c r="P171" i="1"/>
  <c r="Q170" i="1"/>
  <c r="P170" i="1"/>
  <c r="Q169" i="1"/>
  <c r="P169" i="1"/>
  <c r="Y169" i="1" s="1"/>
  <c r="P168" i="1"/>
  <c r="P167" i="1"/>
  <c r="P166" i="1"/>
  <c r="Q166" i="1" s="1"/>
  <c r="P164" i="1"/>
  <c r="P163" i="1"/>
  <c r="P162" i="1"/>
  <c r="Q161" i="1"/>
  <c r="P161" i="1"/>
  <c r="Q160" i="1"/>
  <c r="P160" i="1"/>
  <c r="P159" i="1"/>
  <c r="P158" i="1"/>
  <c r="P157" i="1"/>
  <c r="P156" i="1"/>
  <c r="Q156" i="1" s="1"/>
  <c r="P154" i="1"/>
  <c r="Q153" i="1"/>
  <c r="P153" i="1"/>
  <c r="P151" i="1"/>
  <c r="P150" i="1"/>
  <c r="Q149" i="1"/>
  <c r="P149" i="1"/>
  <c r="P147" i="1"/>
  <c r="P146" i="1"/>
  <c r="Q144" i="1"/>
  <c r="P144" i="1"/>
  <c r="P143" i="1"/>
  <c r="P141" i="1"/>
  <c r="Q141" i="1" s="1"/>
  <c r="P140" i="1"/>
  <c r="Q140" i="1" s="1"/>
  <c r="P139" i="1"/>
  <c r="P138" i="1"/>
  <c r="P137" i="1"/>
  <c r="Y137" i="1" s="1"/>
  <c r="P136" i="1"/>
  <c r="P135" i="1"/>
  <c r="Q133" i="1"/>
  <c r="P133" i="1"/>
  <c r="Y133" i="1" s="1"/>
  <c r="Q132" i="1"/>
  <c r="P132" i="1"/>
  <c r="P131" i="1"/>
  <c r="P130" i="1"/>
  <c r="P129" i="1"/>
  <c r="Y129" i="1" s="1"/>
  <c r="P128" i="1"/>
  <c r="Q128" i="1" s="1"/>
  <c r="P127" i="1"/>
  <c r="P126" i="1"/>
  <c r="P125" i="1"/>
  <c r="Y125" i="1" s="1"/>
  <c r="P124" i="1"/>
  <c r="P123" i="1"/>
  <c r="P122" i="1"/>
  <c r="P120" i="1"/>
  <c r="P119" i="1"/>
  <c r="P117" i="1"/>
  <c r="Q116" i="1"/>
  <c r="P116" i="1"/>
  <c r="P115" i="1"/>
  <c r="P114" i="1"/>
  <c r="Q113" i="1"/>
  <c r="P113" i="1"/>
  <c r="P112" i="1"/>
  <c r="P111" i="1"/>
  <c r="P110" i="1"/>
  <c r="Q109" i="1"/>
  <c r="P109" i="1"/>
  <c r="Q108" i="1"/>
  <c r="P108" i="1"/>
  <c r="P107" i="1"/>
  <c r="P106" i="1"/>
  <c r="Q105" i="1"/>
  <c r="P105" i="1"/>
  <c r="Q104" i="1"/>
  <c r="P104" i="1"/>
  <c r="P103" i="1"/>
  <c r="P102" i="1"/>
  <c r="P101" i="1"/>
  <c r="Q100" i="1"/>
  <c r="P100" i="1"/>
  <c r="P99" i="1"/>
  <c r="P95" i="1"/>
  <c r="P94" i="1"/>
  <c r="P93" i="1"/>
  <c r="P92" i="1"/>
  <c r="Q92" i="1" s="1"/>
  <c r="P91" i="1"/>
  <c r="P90" i="1"/>
  <c r="P89" i="1"/>
  <c r="P88" i="1"/>
  <c r="P87" i="1"/>
  <c r="P86" i="1"/>
  <c r="P82" i="1"/>
  <c r="Q81" i="1"/>
  <c r="P81" i="1"/>
  <c r="Q80" i="1"/>
  <c r="P80" i="1"/>
  <c r="P79" i="1"/>
  <c r="P78" i="1"/>
  <c r="Q77" i="1"/>
  <c r="P77" i="1"/>
  <c r="Q76" i="1"/>
  <c r="P76" i="1"/>
  <c r="P75" i="1"/>
  <c r="P74" i="1"/>
  <c r="P73" i="1"/>
  <c r="Q73" i="1" s="1"/>
  <c r="Q72" i="1"/>
  <c r="P72" i="1"/>
  <c r="P71" i="1"/>
  <c r="P70" i="1"/>
  <c r="Q69" i="1"/>
  <c r="P69" i="1"/>
  <c r="P68" i="1"/>
  <c r="P66" i="1"/>
  <c r="P65" i="1"/>
  <c r="Q65" i="1" s="1"/>
  <c r="P64" i="1"/>
  <c r="P63" i="1"/>
  <c r="P62" i="1"/>
  <c r="P60" i="1"/>
  <c r="Q60" i="1" s="1"/>
  <c r="P59" i="1"/>
  <c r="P58" i="1"/>
  <c r="P56" i="1"/>
  <c r="P55" i="1"/>
  <c r="P53" i="1"/>
  <c r="Q53" i="1" s="1"/>
  <c r="Q52" i="1"/>
  <c r="P52" i="1"/>
  <c r="P51" i="1"/>
  <c r="P49" i="1"/>
  <c r="P48" i="1"/>
  <c r="P47" i="1"/>
  <c r="P46" i="1"/>
  <c r="P42" i="1"/>
  <c r="Q41" i="1"/>
  <c r="P41" i="1"/>
  <c r="Q40" i="1"/>
  <c r="P40" i="1"/>
  <c r="P39" i="1"/>
  <c r="P37" i="1"/>
  <c r="P36" i="1"/>
  <c r="P33" i="1"/>
  <c r="P32" i="1"/>
  <c r="P31" i="1"/>
  <c r="P30" i="1"/>
  <c r="P29" i="1"/>
  <c r="Q29" i="1" s="1"/>
  <c r="P28" i="1"/>
  <c r="P27" i="1"/>
  <c r="P25" i="1"/>
  <c r="Q24" i="1"/>
  <c r="P24" i="1"/>
  <c r="P23" i="1"/>
  <c r="P22" i="1"/>
  <c r="Q21" i="1"/>
  <c r="P21" i="1"/>
  <c r="P20" i="1"/>
  <c r="P19" i="1"/>
  <c r="P18" i="1"/>
  <c r="Q17" i="1"/>
  <c r="P17" i="1"/>
  <c r="Q16" i="1"/>
  <c r="P16" i="1"/>
  <c r="P15" i="1"/>
  <c r="P14" i="1"/>
  <c r="Q13" i="1"/>
  <c r="P13" i="1"/>
  <c r="Q12" i="1"/>
  <c r="P12" i="1"/>
  <c r="P10" i="1"/>
  <c r="P9" i="1"/>
  <c r="P8" i="1"/>
  <c r="Q8" i="1" s="1"/>
  <c r="P6" i="1"/>
  <c r="Q5" i="1"/>
  <c r="AE5" i="1" s="1"/>
  <c r="P5" i="1"/>
  <c r="W3075" i="1"/>
  <c r="Q3075" i="1" s="1"/>
  <c r="W3076" i="1"/>
  <c r="W3077" i="1"/>
  <c r="Q3077" i="1" s="1"/>
  <c r="V2791" i="1"/>
  <c r="W2791" i="1"/>
  <c r="W2516" i="1"/>
  <c r="V1747" i="1"/>
  <c r="W1543" i="1"/>
  <c r="W1506" i="1"/>
  <c r="W1507" i="1"/>
  <c r="Q1507" i="1" s="1"/>
  <c r="V1303" i="1"/>
  <c r="AE273" i="1" l="1"/>
  <c r="AD273" i="1"/>
  <c r="AC273" i="1"/>
  <c r="AB273" i="1"/>
  <c r="AE156" i="1"/>
  <c r="AD156" i="1"/>
  <c r="AC156" i="1"/>
  <c r="AB156" i="1"/>
  <c r="AE274" i="1"/>
  <c r="AD274" i="1"/>
  <c r="AC274" i="1"/>
  <c r="AB274" i="1"/>
  <c r="AE337" i="1"/>
  <c r="AD337" i="1"/>
  <c r="AC337" i="1"/>
  <c r="AB337" i="1"/>
  <c r="AD524" i="1"/>
  <c r="AC524" i="1"/>
  <c r="AB524" i="1"/>
  <c r="AD53" i="1"/>
  <c r="AC53" i="1"/>
  <c r="AB53" i="1"/>
  <c r="AE53" i="1"/>
  <c r="AE246" i="1"/>
  <c r="AD246" i="1"/>
  <c r="AB246" i="1"/>
  <c r="AC246" i="1"/>
  <c r="AE253" i="1"/>
  <c r="AD253" i="1"/>
  <c r="AB253" i="1"/>
  <c r="AC253" i="1"/>
  <c r="AE338" i="1"/>
  <c r="AD338" i="1"/>
  <c r="AC338" i="1"/>
  <c r="AB338" i="1"/>
  <c r="AE370" i="1"/>
  <c r="AD370" i="1"/>
  <c r="AC370" i="1"/>
  <c r="AB370" i="1"/>
  <c r="AD510" i="1"/>
  <c r="AC510" i="1"/>
  <c r="AB510" i="1"/>
  <c r="AC460" i="1"/>
  <c r="AB460" i="1"/>
  <c r="AE460" i="1"/>
  <c r="AD460" i="1"/>
  <c r="AD92" i="1"/>
  <c r="AC92" i="1"/>
  <c r="AB92" i="1"/>
  <c r="AE92" i="1"/>
  <c r="AE194" i="1"/>
  <c r="AD194" i="1"/>
  <c r="AC194" i="1"/>
  <c r="AB194" i="1"/>
  <c r="AE182" i="1"/>
  <c r="AD182" i="1"/>
  <c r="AC182" i="1"/>
  <c r="AB182" i="1"/>
  <c r="AD73" i="1"/>
  <c r="AC73" i="1"/>
  <c r="AB73" i="1"/>
  <c r="AE73" i="1"/>
  <c r="AE141" i="1"/>
  <c r="AD141" i="1"/>
  <c r="AC141" i="1"/>
  <c r="AB141" i="1"/>
  <c r="AE172" i="1"/>
  <c r="AD172" i="1"/>
  <c r="AC172" i="1"/>
  <c r="AB172" i="1"/>
  <c r="AE290" i="1"/>
  <c r="AD290" i="1"/>
  <c r="AC290" i="1"/>
  <c r="AB290" i="1"/>
  <c r="AD65" i="1"/>
  <c r="AC65" i="1"/>
  <c r="AB65" i="1"/>
  <c r="AE65" i="1"/>
  <c r="AE166" i="1"/>
  <c r="AD166" i="1"/>
  <c r="AC166" i="1"/>
  <c r="AB166" i="1"/>
  <c r="AC8" i="1"/>
  <c r="AB8" i="1"/>
  <c r="AD8" i="1"/>
  <c r="AE8" i="1"/>
  <c r="AE346" i="1"/>
  <c r="AD346" i="1"/>
  <c r="AC346" i="1"/>
  <c r="AB346" i="1"/>
  <c r="AE352" i="1"/>
  <c r="AD352" i="1"/>
  <c r="AC352" i="1"/>
  <c r="AB352" i="1"/>
  <c r="AC393" i="1"/>
  <c r="AB393" i="1"/>
  <c r="AE393" i="1"/>
  <c r="AD393" i="1"/>
  <c r="AD543" i="1"/>
  <c r="AC543" i="1"/>
  <c r="AB543" i="1"/>
  <c r="AE140" i="1"/>
  <c r="AD140" i="1"/>
  <c r="AC140" i="1"/>
  <c r="AB140" i="1"/>
  <c r="AE372" i="1"/>
  <c r="AD372" i="1"/>
  <c r="AC372" i="1"/>
  <c r="AB372" i="1"/>
  <c r="AD29" i="1"/>
  <c r="AC29" i="1"/>
  <c r="AB29" i="1"/>
  <c r="AE29" i="1"/>
  <c r="AE128" i="1"/>
  <c r="AD128" i="1"/>
  <c r="AC128" i="1"/>
  <c r="AB128" i="1"/>
  <c r="AE237" i="1"/>
  <c r="AD237" i="1"/>
  <c r="AC237" i="1"/>
  <c r="AB237" i="1"/>
  <c r="AC382" i="1"/>
  <c r="AB382" i="1"/>
  <c r="AE382" i="1"/>
  <c r="AD382" i="1"/>
  <c r="AC410" i="1"/>
  <c r="AB410" i="1"/>
  <c r="AE410" i="1"/>
  <c r="AD410" i="1"/>
  <c r="AD60" i="1"/>
  <c r="AC60" i="1"/>
  <c r="AB60" i="1"/>
  <c r="AE60" i="1"/>
  <c r="AE177" i="1"/>
  <c r="AD177" i="1"/>
  <c r="AC177" i="1"/>
  <c r="AB177" i="1"/>
  <c r="AE238" i="1"/>
  <c r="AD238" i="1"/>
  <c r="AC238" i="1"/>
  <c r="AB238" i="1"/>
  <c r="AE264" i="1"/>
  <c r="AD264" i="1"/>
  <c r="AC264" i="1"/>
  <c r="AB264" i="1"/>
  <c r="AE305" i="1"/>
  <c r="AD305" i="1"/>
  <c r="AC305" i="1"/>
  <c r="AB305" i="1"/>
  <c r="AE322" i="1"/>
  <c r="AD322" i="1"/>
  <c r="AC322" i="1"/>
  <c r="AB322" i="1"/>
  <c r="AE329" i="1"/>
  <c r="AD329" i="1"/>
  <c r="AC329" i="1"/>
  <c r="AB329" i="1"/>
  <c r="AC456" i="1"/>
  <c r="AB456" i="1"/>
  <c r="AE456" i="1"/>
  <c r="AD456" i="1"/>
  <c r="AD21" i="1"/>
  <c r="AC21" i="1"/>
  <c r="AB21" i="1"/>
  <c r="AE21" i="1"/>
  <c r="AD69" i="1"/>
  <c r="AC69" i="1"/>
  <c r="AB69" i="1"/>
  <c r="AE69" i="1"/>
  <c r="AD113" i="1"/>
  <c r="AC113" i="1"/>
  <c r="AB113" i="1"/>
  <c r="AE113" i="1"/>
  <c r="Q159" i="1"/>
  <c r="AA159" i="1"/>
  <c r="Z159" i="1"/>
  <c r="Y159" i="1"/>
  <c r="AE209" i="1"/>
  <c r="AD209" i="1"/>
  <c r="AC209" i="1"/>
  <c r="AB209" i="1"/>
  <c r="AA245" i="1"/>
  <c r="Z245" i="1"/>
  <c r="AE293" i="1"/>
  <c r="AD293" i="1"/>
  <c r="AC293" i="1"/>
  <c r="AB293" i="1"/>
  <c r="AA312" i="1"/>
  <c r="Y312" i="1"/>
  <c r="Z312" i="1"/>
  <c r="AA336" i="1"/>
  <c r="Y336" i="1"/>
  <c r="Z336" i="1"/>
  <c r="AC376" i="1"/>
  <c r="AB376" i="1"/>
  <c r="AE376" i="1"/>
  <c r="AD376" i="1"/>
  <c r="Q440" i="1"/>
  <c r="AA440" i="1"/>
  <c r="Z440" i="1"/>
  <c r="Y440" i="1"/>
  <c r="AC472" i="1"/>
  <c r="AB472" i="1"/>
  <c r="AE472" i="1"/>
  <c r="AD472" i="1"/>
  <c r="AD526" i="1"/>
  <c r="AC526" i="1"/>
  <c r="AB526" i="1"/>
  <c r="AD17" i="1"/>
  <c r="AC17" i="1"/>
  <c r="AB17" i="1"/>
  <c r="AE17" i="1"/>
  <c r="AA36" i="1"/>
  <c r="Z36" i="1"/>
  <c r="Y36" i="1"/>
  <c r="Q71" i="1"/>
  <c r="AA71" i="1"/>
  <c r="Z71" i="1"/>
  <c r="Y71" i="1"/>
  <c r="AD104" i="1"/>
  <c r="AC104" i="1"/>
  <c r="AB104" i="1"/>
  <c r="AE104" i="1"/>
  <c r="Q115" i="1"/>
  <c r="AA115" i="1"/>
  <c r="Z115" i="1"/>
  <c r="Y115" i="1"/>
  <c r="AE160" i="1"/>
  <c r="AD160" i="1"/>
  <c r="AC160" i="1"/>
  <c r="AB160" i="1"/>
  <c r="AE205" i="1"/>
  <c r="AD205" i="1"/>
  <c r="AC205" i="1"/>
  <c r="AB205" i="1"/>
  <c r="AA224" i="1"/>
  <c r="Z224" i="1"/>
  <c r="Y224" i="1"/>
  <c r="AE256" i="1"/>
  <c r="AD256" i="1"/>
  <c r="AB256" i="1"/>
  <c r="AC256" i="1"/>
  <c r="Q267" i="1"/>
  <c r="Z267" i="1"/>
  <c r="Y267" i="1"/>
  <c r="AA267" i="1"/>
  <c r="AA304" i="1"/>
  <c r="Y304" i="1"/>
  <c r="Z304" i="1"/>
  <c r="AE341" i="1"/>
  <c r="AD341" i="1"/>
  <c r="AC341" i="1"/>
  <c r="AB341" i="1"/>
  <c r="AA361" i="1"/>
  <c r="Y361" i="1"/>
  <c r="Z361" i="1"/>
  <c r="AC388" i="1"/>
  <c r="AB388" i="1"/>
  <c r="AE388" i="1"/>
  <c r="AD388" i="1"/>
  <c r="AC441" i="1"/>
  <c r="AB441" i="1"/>
  <c r="AE441" i="1"/>
  <c r="AD441" i="1"/>
  <c r="AC473" i="1"/>
  <c r="AB473" i="1"/>
  <c r="AE473" i="1"/>
  <c r="AD473" i="1"/>
  <c r="AA500" i="1"/>
  <c r="Z500" i="1"/>
  <c r="Y500" i="1"/>
  <c r="Q536" i="1"/>
  <c r="AA536" i="1"/>
  <c r="Z536" i="1"/>
  <c r="Y536" i="1"/>
  <c r="AE577" i="1"/>
  <c r="AD577" i="1"/>
  <c r="AC577" i="1"/>
  <c r="AB577" i="1"/>
  <c r="AA613" i="1"/>
  <c r="Z613" i="1"/>
  <c r="Y613" i="1"/>
  <c r="Y141" i="1"/>
  <c r="Y237" i="1"/>
  <c r="Q6" i="1"/>
  <c r="AA6" i="1"/>
  <c r="Z6" i="1"/>
  <c r="Y6" i="1"/>
  <c r="AA13" i="1"/>
  <c r="Z13" i="1"/>
  <c r="Y13" i="1"/>
  <c r="Q18" i="1"/>
  <c r="AA18" i="1"/>
  <c r="Z18" i="1"/>
  <c r="Y18" i="1"/>
  <c r="AA24" i="1"/>
  <c r="Z24" i="1"/>
  <c r="Y24" i="1"/>
  <c r="Q36" i="1"/>
  <c r="Q42" i="1"/>
  <c r="AA42" i="1"/>
  <c r="Z42" i="1"/>
  <c r="Y42" i="1"/>
  <c r="AA52" i="1"/>
  <c r="Z52" i="1"/>
  <c r="Y52" i="1"/>
  <c r="Q59" i="1"/>
  <c r="AA59" i="1"/>
  <c r="Z59" i="1"/>
  <c r="Y59" i="1"/>
  <c r="AA72" i="1"/>
  <c r="Z72" i="1"/>
  <c r="Y72" i="1"/>
  <c r="AA77" i="1"/>
  <c r="Z77" i="1"/>
  <c r="Y77" i="1"/>
  <c r="Q82" i="1"/>
  <c r="AA82" i="1"/>
  <c r="Z82" i="1"/>
  <c r="Y82" i="1"/>
  <c r="Q91" i="1"/>
  <c r="AA91" i="1"/>
  <c r="Z91" i="1"/>
  <c r="Y91" i="1"/>
  <c r="AA100" i="1"/>
  <c r="Z100" i="1"/>
  <c r="Y100" i="1"/>
  <c r="AA105" i="1"/>
  <c r="Z105" i="1"/>
  <c r="Y105" i="1"/>
  <c r="Q110" i="1"/>
  <c r="AA110" i="1"/>
  <c r="Z110" i="1"/>
  <c r="Y110" i="1"/>
  <c r="AA116" i="1"/>
  <c r="Z116" i="1"/>
  <c r="Y116" i="1"/>
  <c r="Q123" i="1"/>
  <c r="AA123" i="1"/>
  <c r="Z123" i="1"/>
  <c r="Y123" i="1"/>
  <c r="Q135" i="1"/>
  <c r="AA135" i="1"/>
  <c r="Z135" i="1"/>
  <c r="Y135" i="1"/>
  <c r="AA149" i="1"/>
  <c r="Z149" i="1"/>
  <c r="AA161" i="1"/>
  <c r="Z161" i="1"/>
  <c r="Q171" i="1"/>
  <c r="AA171" i="1"/>
  <c r="Z171" i="1"/>
  <c r="Y171" i="1"/>
  <c r="AA206" i="1"/>
  <c r="Z206" i="1"/>
  <c r="Y206" i="1"/>
  <c r="AA216" i="1"/>
  <c r="Z216" i="1"/>
  <c r="Y216" i="1"/>
  <c r="Q224" i="1"/>
  <c r="AA233" i="1"/>
  <c r="Z233" i="1"/>
  <c r="Q251" i="1"/>
  <c r="AA251" i="1"/>
  <c r="Z251" i="1"/>
  <c r="Y251" i="1"/>
  <c r="Y257" i="1"/>
  <c r="AA257" i="1"/>
  <c r="Z257" i="1"/>
  <c r="Q263" i="1"/>
  <c r="AA263" i="1"/>
  <c r="Z263" i="1"/>
  <c r="Y263" i="1"/>
  <c r="AA268" i="1"/>
  <c r="Z268" i="1"/>
  <c r="Y268" i="1"/>
  <c r="AA278" i="1"/>
  <c r="Z278" i="1"/>
  <c r="Y278" i="1"/>
  <c r="Q295" i="1"/>
  <c r="AA295" i="1"/>
  <c r="Z295" i="1"/>
  <c r="Y295" i="1"/>
  <c r="AA300" i="1"/>
  <c r="Z300" i="1"/>
  <c r="Y300" i="1"/>
  <c r="Q304" i="1"/>
  <c r="AA309" i="1"/>
  <c r="Y309" i="1"/>
  <c r="Z309" i="1"/>
  <c r="AA316" i="1"/>
  <c r="Y316" i="1"/>
  <c r="Z316" i="1"/>
  <c r="Q327" i="1"/>
  <c r="AA327" i="1"/>
  <c r="Y327" i="1"/>
  <c r="Z327" i="1"/>
  <c r="AA333" i="1"/>
  <c r="Y333" i="1"/>
  <c r="Z333" i="1"/>
  <c r="AA342" i="1"/>
  <c r="Y342" i="1"/>
  <c r="Z342" i="1"/>
  <c r="Q351" i="1"/>
  <c r="AA351" i="1"/>
  <c r="Y351" i="1"/>
  <c r="Z351" i="1"/>
  <c r="AA356" i="1"/>
  <c r="Y356" i="1"/>
  <c r="Z356" i="1"/>
  <c r="Q361" i="1"/>
  <c r="AA366" i="1"/>
  <c r="Y366" i="1"/>
  <c r="Z366" i="1"/>
  <c r="AA378" i="1"/>
  <c r="Z378" i="1"/>
  <c r="Y378" i="1"/>
  <c r="Q391" i="1"/>
  <c r="AA391" i="1"/>
  <c r="Z391" i="1"/>
  <c r="Y391" i="1"/>
  <c r="AA397" i="1"/>
  <c r="Z397" i="1"/>
  <c r="Y397" i="1"/>
  <c r="AA404" i="1"/>
  <c r="Z404" i="1"/>
  <c r="Y404" i="1"/>
  <c r="AA422" i="1"/>
  <c r="Z422" i="1"/>
  <c r="Y422" i="1"/>
  <c r="Q427" i="1"/>
  <c r="AA427" i="1"/>
  <c r="Z427" i="1"/>
  <c r="Y427" i="1"/>
  <c r="AA436" i="1"/>
  <c r="Z436" i="1"/>
  <c r="Y436" i="1"/>
  <c r="AA442" i="1"/>
  <c r="Z442" i="1"/>
  <c r="Y442" i="1"/>
  <c r="AA450" i="1"/>
  <c r="Z450" i="1"/>
  <c r="Y450" i="1"/>
  <c r="Q455" i="1"/>
  <c r="AA455" i="1"/>
  <c r="Z455" i="1"/>
  <c r="Y455" i="1"/>
  <c r="AA468" i="1"/>
  <c r="Z468" i="1"/>
  <c r="Y468" i="1"/>
  <c r="AA474" i="1"/>
  <c r="Z474" i="1"/>
  <c r="Y474" i="1"/>
  <c r="Z480" i="1"/>
  <c r="Y480" i="1"/>
  <c r="Q485" i="1"/>
  <c r="AA485" i="1"/>
  <c r="Z485" i="1"/>
  <c r="Y485" i="1"/>
  <c r="Q493" i="1"/>
  <c r="AA493" i="1"/>
  <c r="Z493" i="1"/>
  <c r="Y493" i="1"/>
  <c r="Q500" i="1"/>
  <c r="Q518" i="1"/>
  <c r="Y518" i="1"/>
  <c r="AA518" i="1"/>
  <c r="Z518" i="1"/>
  <c r="Q523" i="1"/>
  <c r="AA523" i="1"/>
  <c r="Z523" i="1"/>
  <c r="Y523" i="1"/>
  <c r="Q530" i="1"/>
  <c r="AA530" i="1"/>
  <c r="Z530" i="1"/>
  <c r="Y530" i="1"/>
  <c r="Q537" i="1"/>
  <c r="AA537" i="1"/>
  <c r="Z537" i="1"/>
  <c r="Y537" i="1"/>
  <c r="Q550" i="1"/>
  <c r="Y550" i="1"/>
  <c r="AA550" i="1"/>
  <c r="Z550" i="1"/>
  <c r="Q557" i="1"/>
  <c r="AA557" i="1"/>
  <c r="Z557" i="1"/>
  <c r="Y557" i="1"/>
  <c r="Q564" i="1"/>
  <c r="AA564" i="1"/>
  <c r="Z564" i="1"/>
  <c r="Y564" i="1"/>
  <c r="Q571" i="1"/>
  <c r="AA571" i="1"/>
  <c r="Z571" i="1"/>
  <c r="Y571" i="1"/>
  <c r="Q579" i="1"/>
  <c r="AA579" i="1"/>
  <c r="Z579" i="1"/>
  <c r="Y579" i="1"/>
  <c r="AA591" i="1"/>
  <c r="Z591" i="1"/>
  <c r="Y591" i="1"/>
  <c r="Q598" i="1"/>
  <c r="AA598" i="1"/>
  <c r="Z598" i="1"/>
  <c r="Y598" i="1"/>
  <c r="AA607" i="1"/>
  <c r="Z607" i="1"/>
  <c r="Y607" i="1"/>
  <c r="Q613" i="1"/>
  <c r="AA623" i="1"/>
  <c r="Z623" i="1"/>
  <c r="Y623" i="1"/>
  <c r="Q629" i="1"/>
  <c r="AA629" i="1"/>
  <c r="Z629" i="1"/>
  <c r="Y629" i="1"/>
  <c r="Y161" i="1"/>
  <c r="AA28" i="1"/>
  <c r="Z28" i="1"/>
  <c r="Y28" i="1"/>
  <c r="AA64" i="1"/>
  <c r="Z64" i="1"/>
  <c r="Y64" i="1"/>
  <c r="Q94" i="1"/>
  <c r="AA94" i="1"/>
  <c r="Z94" i="1"/>
  <c r="Y94" i="1"/>
  <c r="AE132" i="1"/>
  <c r="AD132" i="1"/>
  <c r="AC132" i="1"/>
  <c r="AB132" i="1"/>
  <c r="AA164" i="1"/>
  <c r="Z164" i="1"/>
  <c r="Y164" i="1"/>
  <c r="AA174" i="1"/>
  <c r="Z174" i="1"/>
  <c r="Y174" i="1"/>
  <c r="AA222" i="1"/>
  <c r="Z222" i="1"/>
  <c r="Y222" i="1"/>
  <c r="AE276" i="1"/>
  <c r="AD276" i="1"/>
  <c r="AC276" i="1"/>
  <c r="AB276" i="1"/>
  <c r="AE325" i="1"/>
  <c r="AD325" i="1"/>
  <c r="AC325" i="1"/>
  <c r="AB325" i="1"/>
  <c r="AA360" i="1"/>
  <c r="Y360" i="1"/>
  <c r="Z360" i="1"/>
  <c r="AA409" i="1"/>
  <c r="Z409" i="1"/>
  <c r="Y409" i="1"/>
  <c r="Q453" i="1"/>
  <c r="AA453" i="1"/>
  <c r="Z453" i="1"/>
  <c r="Y453" i="1"/>
  <c r="Q514" i="1"/>
  <c r="AA514" i="1"/>
  <c r="Z514" i="1"/>
  <c r="Y514" i="1"/>
  <c r="AC12" i="1"/>
  <c r="AB12" i="1"/>
  <c r="AD12" i="1"/>
  <c r="Q58" i="1"/>
  <c r="AA58" i="1"/>
  <c r="Z58" i="1"/>
  <c r="Y58" i="1"/>
  <c r="AA140" i="1"/>
  <c r="Z140" i="1"/>
  <c r="Y140" i="1"/>
  <c r="AA194" i="1"/>
  <c r="Z194" i="1"/>
  <c r="Y194" i="1"/>
  <c r="AA246" i="1"/>
  <c r="Z246" i="1"/>
  <c r="Y246" i="1"/>
  <c r="AE277" i="1"/>
  <c r="AD277" i="1"/>
  <c r="AC277" i="1"/>
  <c r="AB277" i="1"/>
  <c r="Q315" i="1"/>
  <c r="AA315" i="1"/>
  <c r="Y315" i="1"/>
  <c r="Z315" i="1"/>
  <c r="AE350" i="1"/>
  <c r="AD350" i="1"/>
  <c r="AC350" i="1"/>
  <c r="AB350" i="1"/>
  <c r="AC377" i="1"/>
  <c r="AB377" i="1"/>
  <c r="AE377" i="1"/>
  <c r="AD377" i="1"/>
  <c r="AC418" i="1"/>
  <c r="AB418" i="1"/>
  <c r="AE418" i="1"/>
  <c r="AD418" i="1"/>
  <c r="AA460" i="1"/>
  <c r="Z460" i="1"/>
  <c r="Y460" i="1"/>
  <c r="Y510" i="1"/>
  <c r="AA510" i="1"/>
  <c r="Z510" i="1"/>
  <c r="Z543" i="1"/>
  <c r="Y543" i="1"/>
  <c r="AA543" i="1"/>
  <c r="Q563" i="1"/>
  <c r="AA563" i="1"/>
  <c r="Z563" i="1"/>
  <c r="Y563" i="1"/>
  <c r="Q606" i="1"/>
  <c r="AA606" i="1"/>
  <c r="Z606" i="1"/>
  <c r="Y606" i="1"/>
  <c r="AC13" i="1"/>
  <c r="AB13" i="1"/>
  <c r="AD13" i="1"/>
  <c r="AD24" i="1"/>
  <c r="AC24" i="1"/>
  <c r="AB24" i="1"/>
  <c r="AE24" i="1"/>
  <c r="AD52" i="1"/>
  <c r="AC52" i="1"/>
  <c r="AB52" i="1"/>
  <c r="AE52" i="1"/>
  <c r="AD77" i="1"/>
  <c r="AC77" i="1"/>
  <c r="AB77" i="1"/>
  <c r="AE77" i="1"/>
  <c r="AD100" i="1"/>
  <c r="AC100" i="1"/>
  <c r="AB100" i="1"/>
  <c r="AE100" i="1"/>
  <c r="AA124" i="1"/>
  <c r="Z124" i="1"/>
  <c r="Y124" i="1"/>
  <c r="AA157" i="1"/>
  <c r="Z157" i="1"/>
  <c r="AA178" i="1"/>
  <c r="Z178" i="1"/>
  <c r="Y178" i="1"/>
  <c r="AE233" i="1"/>
  <c r="AD233" i="1"/>
  <c r="AC233" i="1"/>
  <c r="AB233" i="1"/>
  <c r="Q291" i="1"/>
  <c r="AA291" i="1"/>
  <c r="Z291" i="1"/>
  <c r="Y291" i="1"/>
  <c r="AE309" i="1"/>
  <c r="AD309" i="1"/>
  <c r="AC309" i="1"/>
  <c r="AB309" i="1"/>
  <c r="Q323" i="1"/>
  <c r="AA323" i="1"/>
  <c r="Y323" i="1"/>
  <c r="Z323" i="1"/>
  <c r="AE356" i="1"/>
  <c r="AD356" i="1"/>
  <c r="AC356" i="1"/>
  <c r="AB356" i="1"/>
  <c r="AA384" i="1"/>
  <c r="Z384" i="1"/>
  <c r="Y384" i="1"/>
  <c r="Q411" i="1"/>
  <c r="AA411" i="1"/>
  <c r="Z411" i="1"/>
  <c r="Y411" i="1"/>
  <c r="AC450" i="1"/>
  <c r="AB450" i="1"/>
  <c r="AE450" i="1"/>
  <c r="AD450" i="1"/>
  <c r="AC474" i="1"/>
  <c r="AB474" i="1"/>
  <c r="AE474" i="1"/>
  <c r="AD474" i="1"/>
  <c r="Q511" i="1"/>
  <c r="Z511" i="1"/>
  <c r="Y511" i="1"/>
  <c r="AA511" i="1"/>
  <c r="Q544" i="1"/>
  <c r="AA544" i="1"/>
  <c r="Z544" i="1"/>
  <c r="Y544" i="1"/>
  <c r="Q565" i="1"/>
  <c r="AA565" i="1"/>
  <c r="Z565" i="1"/>
  <c r="Y565" i="1"/>
  <c r="AA573" i="1"/>
  <c r="Z573" i="1"/>
  <c r="Y573" i="1"/>
  <c r="Q584" i="1"/>
  <c r="AA584" i="1"/>
  <c r="Z584" i="1"/>
  <c r="Y584" i="1"/>
  <c r="AE607" i="1"/>
  <c r="AD607" i="1"/>
  <c r="AC607" i="1"/>
  <c r="AB607" i="1"/>
  <c r="Q614" i="1"/>
  <c r="AA614" i="1"/>
  <c r="Z614" i="1"/>
  <c r="Y614" i="1"/>
  <c r="AE623" i="1"/>
  <c r="AD623" i="1"/>
  <c r="AC623" i="1"/>
  <c r="AB623" i="1"/>
  <c r="Q630" i="1"/>
  <c r="AA630" i="1"/>
  <c r="Z630" i="1"/>
  <c r="Y630" i="1"/>
  <c r="Y149" i="1"/>
  <c r="Y245" i="1"/>
  <c r="AC16" i="1"/>
  <c r="AB16" i="1"/>
  <c r="AD16" i="1"/>
  <c r="AD80" i="1"/>
  <c r="AC80" i="1"/>
  <c r="AB80" i="1"/>
  <c r="AE80" i="1"/>
  <c r="AE144" i="1"/>
  <c r="AD144" i="1"/>
  <c r="AC144" i="1"/>
  <c r="AB144" i="1"/>
  <c r="AA181" i="1"/>
  <c r="Z181" i="1"/>
  <c r="AA236" i="1"/>
  <c r="Z236" i="1"/>
  <c r="Y236" i="1"/>
  <c r="AA266" i="1"/>
  <c r="Z266" i="1"/>
  <c r="Y266" i="1"/>
  <c r="Q307" i="1"/>
  <c r="AA307" i="1"/>
  <c r="Y307" i="1"/>
  <c r="AE349" i="1"/>
  <c r="AD349" i="1"/>
  <c r="AC349" i="1"/>
  <c r="AB349" i="1"/>
  <c r="Q387" i="1"/>
  <c r="AA387" i="1"/>
  <c r="Z387" i="1"/>
  <c r="Y387" i="1"/>
  <c r="AA448" i="1"/>
  <c r="Z448" i="1"/>
  <c r="Y448" i="1"/>
  <c r="Z535" i="1"/>
  <c r="Y535" i="1"/>
  <c r="AA535" i="1"/>
  <c r="Q23" i="1"/>
  <c r="AA23" i="1"/>
  <c r="Z23" i="1"/>
  <c r="Y23" i="1"/>
  <c r="AD81" i="1"/>
  <c r="AC81" i="1"/>
  <c r="AB81" i="1"/>
  <c r="AE81" i="1"/>
  <c r="AD109" i="1"/>
  <c r="AC109" i="1"/>
  <c r="AB109" i="1"/>
  <c r="AE109" i="1"/>
  <c r="AA128" i="1"/>
  <c r="Z128" i="1"/>
  <c r="Y128" i="1"/>
  <c r="Q147" i="1"/>
  <c r="AA147" i="1"/>
  <c r="Z147" i="1"/>
  <c r="Y147" i="1"/>
  <c r="AA166" i="1"/>
  <c r="Z166" i="1"/>
  <c r="Y166" i="1"/>
  <c r="AA177" i="1"/>
  <c r="Z177" i="1"/>
  <c r="AA215" i="1"/>
  <c r="Z215" i="1"/>
  <c r="Y215" i="1"/>
  <c r="AA237" i="1"/>
  <c r="Z237" i="1"/>
  <c r="AE262" i="1"/>
  <c r="AD262" i="1"/>
  <c r="AB262" i="1"/>
  <c r="AC262" i="1"/>
  <c r="Z273" i="1"/>
  <c r="Y273" i="1"/>
  <c r="AA273" i="1"/>
  <c r="AE308" i="1"/>
  <c r="AD308" i="1"/>
  <c r="AC308" i="1"/>
  <c r="AB308" i="1"/>
  <c r="AA322" i="1"/>
  <c r="Y322" i="1"/>
  <c r="Z322" i="1"/>
  <c r="AA337" i="1"/>
  <c r="Y337" i="1"/>
  <c r="Z337" i="1"/>
  <c r="Q355" i="1"/>
  <c r="AA355" i="1"/>
  <c r="Y355" i="1"/>
  <c r="Z355" i="1"/>
  <c r="AA382" i="1"/>
  <c r="Z382" i="1"/>
  <c r="Y382" i="1"/>
  <c r="AA410" i="1"/>
  <c r="Z410" i="1"/>
  <c r="Y410" i="1"/>
  <c r="AC454" i="1"/>
  <c r="AB454" i="1"/>
  <c r="AE454" i="1"/>
  <c r="AD454" i="1"/>
  <c r="Q479" i="1"/>
  <c r="AA479" i="1"/>
  <c r="Z479" i="1"/>
  <c r="Y479" i="1"/>
  <c r="AC522" i="1"/>
  <c r="AB522" i="1"/>
  <c r="AD522" i="1"/>
  <c r="Q556" i="1"/>
  <c r="AA556" i="1"/>
  <c r="Z556" i="1"/>
  <c r="Y556" i="1"/>
  <c r="Q590" i="1"/>
  <c r="AA590" i="1"/>
  <c r="Z590" i="1"/>
  <c r="Y590" i="1"/>
  <c r="Q628" i="1"/>
  <c r="AA628" i="1"/>
  <c r="Z628" i="1"/>
  <c r="Y628" i="1"/>
  <c r="Q46" i="1"/>
  <c r="AA46" i="1"/>
  <c r="Z46" i="1"/>
  <c r="Y46" i="1"/>
  <c r="AA136" i="1"/>
  <c r="Z136" i="1"/>
  <c r="Y136" i="1"/>
  <c r="AE161" i="1"/>
  <c r="AD161" i="1"/>
  <c r="AC161" i="1"/>
  <c r="AB161" i="1"/>
  <c r="AE206" i="1"/>
  <c r="AD206" i="1"/>
  <c r="AC206" i="1"/>
  <c r="AB206" i="1"/>
  <c r="AA228" i="1"/>
  <c r="Z228" i="1"/>
  <c r="Y228" i="1"/>
  <c r="AE257" i="1"/>
  <c r="AD257" i="1"/>
  <c r="AB257" i="1"/>
  <c r="AC257" i="1"/>
  <c r="AE278" i="1"/>
  <c r="AD278" i="1"/>
  <c r="AC278" i="1"/>
  <c r="AB278" i="1"/>
  <c r="AA296" i="1"/>
  <c r="Y296" i="1"/>
  <c r="Z296" i="1"/>
  <c r="AE316" i="1"/>
  <c r="AD316" i="1"/>
  <c r="AC316" i="1"/>
  <c r="AB316" i="1"/>
  <c r="AE342" i="1"/>
  <c r="AD342" i="1"/>
  <c r="AC342" i="1"/>
  <c r="AB342" i="1"/>
  <c r="AA362" i="1"/>
  <c r="Y362" i="1"/>
  <c r="Z362" i="1"/>
  <c r="AC378" i="1"/>
  <c r="AB378" i="1"/>
  <c r="AE378" i="1"/>
  <c r="AD378" i="1"/>
  <c r="AC404" i="1"/>
  <c r="AB404" i="1"/>
  <c r="AE404" i="1"/>
  <c r="AD404" i="1"/>
  <c r="Q429" i="1"/>
  <c r="AA429" i="1"/>
  <c r="Z429" i="1"/>
  <c r="Y429" i="1"/>
  <c r="Q461" i="1"/>
  <c r="AA461" i="1"/>
  <c r="Z461" i="1"/>
  <c r="Y461" i="1"/>
  <c r="AC480" i="1"/>
  <c r="AB480" i="1"/>
  <c r="AD480" i="1"/>
  <c r="Q501" i="1"/>
  <c r="AA501" i="1"/>
  <c r="Z501" i="1"/>
  <c r="Y501" i="1"/>
  <c r="Q531" i="1"/>
  <c r="AA531" i="1"/>
  <c r="Z531" i="1"/>
  <c r="Y531" i="1"/>
  <c r="Q558" i="1"/>
  <c r="AA558" i="1"/>
  <c r="Z558" i="1"/>
  <c r="Y558" i="1"/>
  <c r="AA20" i="1"/>
  <c r="Z20" i="1"/>
  <c r="Y20" i="1"/>
  <c r="Q47" i="1"/>
  <c r="AA47" i="1"/>
  <c r="Z47" i="1"/>
  <c r="Y47" i="1"/>
  <c r="Q78" i="1"/>
  <c r="AA78" i="1"/>
  <c r="Z78" i="1"/>
  <c r="Y78" i="1"/>
  <c r="Q87" i="1"/>
  <c r="AA87" i="1"/>
  <c r="Z87" i="1"/>
  <c r="Y87" i="1"/>
  <c r="AA101" i="1"/>
  <c r="Z101" i="1"/>
  <c r="Y101" i="1"/>
  <c r="Q106" i="1"/>
  <c r="AA106" i="1"/>
  <c r="Z106" i="1"/>
  <c r="Y106" i="1"/>
  <c r="AA112" i="1"/>
  <c r="Z112" i="1"/>
  <c r="Y112" i="1"/>
  <c r="AA117" i="1"/>
  <c r="Z117" i="1"/>
  <c r="Y117" i="1"/>
  <c r="Q124" i="1"/>
  <c r="Q130" i="1"/>
  <c r="AA130" i="1"/>
  <c r="Z130" i="1"/>
  <c r="Y130" i="1"/>
  <c r="Q136" i="1"/>
  <c r="Q150" i="1"/>
  <c r="AA150" i="1"/>
  <c r="Z150" i="1"/>
  <c r="Y150" i="1"/>
  <c r="Q157" i="1"/>
  <c r="AA162" i="1"/>
  <c r="Z162" i="1"/>
  <c r="Y162" i="1"/>
  <c r="AA168" i="1"/>
  <c r="Z168" i="1"/>
  <c r="Y168" i="1"/>
  <c r="Q178" i="1"/>
  <c r="AA184" i="1"/>
  <c r="Z184" i="1"/>
  <c r="Y184" i="1"/>
  <c r="AA200" i="1"/>
  <c r="Z200" i="1"/>
  <c r="Y200" i="1"/>
  <c r="AA208" i="1"/>
  <c r="Z208" i="1"/>
  <c r="Y208" i="1"/>
  <c r="AA217" i="1"/>
  <c r="Z217" i="1"/>
  <c r="Q228" i="1"/>
  <c r="AA234" i="1"/>
  <c r="Z234" i="1"/>
  <c r="Y234" i="1"/>
  <c r="AA248" i="1"/>
  <c r="Z248" i="1"/>
  <c r="Y248" i="1"/>
  <c r="AA258" i="1"/>
  <c r="Z258" i="1"/>
  <c r="Y258" i="1"/>
  <c r="AA270" i="1"/>
  <c r="Z270" i="1"/>
  <c r="Y270" i="1"/>
  <c r="Q279" i="1"/>
  <c r="Z279" i="1"/>
  <c r="Y279" i="1"/>
  <c r="AA279" i="1"/>
  <c r="AA292" i="1"/>
  <c r="Z292" i="1"/>
  <c r="Y292" i="1"/>
  <c r="Q296" i="1"/>
  <c r="AA301" i="1"/>
  <c r="Z301" i="1"/>
  <c r="Y301" i="1"/>
  <c r="AA310" i="1"/>
  <c r="Y310" i="1"/>
  <c r="Z310" i="1"/>
  <c r="AA318" i="1"/>
  <c r="Y318" i="1"/>
  <c r="Z318" i="1"/>
  <c r="AA324" i="1"/>
  <c r="Y324" i="1"/>
  <c r="Z324" i="1"/>
  <c r="AA334" i="1"/>
  <c r="Y334" i="1"/>
  <c r="Z334" i="1"/>
  <c r="Q343" i="1"/>
  <c r="AA343" i="1"/>
  <c r="Y343" i="1"/>
  <c r="Z343" i="1"/>
  <c r="AA348" i="1"/>
  <c r="Y348" i="1"/>
  <c r="Z348" i="1"/>
  <c r="AA357" i="1"/>
  <c r="Y357" i="1"/>
  <c r="Z357" i="1"/>
  <c r="Q362" i="1"/>
  <c r="Q367" i="1"/>
  <c r="AA367" i="1"/>
  <c r="Y367" i="1"/>
  <c r="Z367" i="1"/>
  <c r="Q379" i="1"/>
  <c r="AA379" i="1"/>
  <c r="Z379" i="1"/>
  <c r="Y379" i="1"/>
  <c r="Q384" i="1"/>
  <c r="Q399" i="1"/>
  <c r="AA399" i="1"/>
  <c r="Z399" i="1"/>
  <c r="Y399" i="1"/>
  <c r="Q405" i="1"/>
  <c r="AA405" i="1"/>
  <c r="Z405" i="1"/>
  <c r="Y405" i="1"/>
  <c r="Q412" i="1"/>
  <c r="AA412" i="1"/>
  <c r="Z412" i="1"/>
  <c r="Y412" i="1"/>
  <c r="Q423" i="1"/>
  <c r="AA423" i="1"/>
  <c r="Z423" i="1"/>
  <c r="Y423" i="1"/>
  <c r="Q430" i="1"/>
  <c r="AA430" i="1"/>
  <c r="Z430" i="1"/>
  <c r="Y430" i="1"/>
  <c r="Q437" i="1"/>
  <c r="AA437" i="1"/>
  <c r="Z437" i="1"/>
  <c r="Y437" i="1"/>
  <c r="Q443" i="1"/>
  <c r="AA443" i="1"/>
  <c r="Z443" i="1"/>
  <c r="Y443" i="1"/>
  <c r="Q451" i="1"/>
  <c r="AA451" i="1"/>
  <c r="Z451" i="1"/>
  <c r="Y451" i="1"/>
  <c r="Q462" i="1"/>
  <c r="AA462" i="1"/>
  <c r="Z462" i="1"/>
  <c r="Y462" i="1"/>
  <c r="Q469" i="1"/>
  <c r="AA469" i="1"/>
  <c r="Z469" i="1"/>
  <c r="Y469" i="1"/>
  <c r="Q475" i="1"/>
  <c r="AA475" i="1"/>
  <c r="Z475" i="1"/>
  <c r="Y475" i="1"/>
  <c r="Q481" i="1"/>
  <c r="AA481" i="1"/>
  <c r="Z481" i="1"/>
  <c r="Y481" i="1"/>
  <c r="Q487" i="1"/>
  <c r="Z487" i="1"/>
  <c r="Y487" i="1"/>
  <c r="AA487" i="1"/>
  <c r="AA496" i="1"/>
  <c r="Z496" i="1"/>
  <c r="Y496" i="1"/>
  <c r="Q505" i="1"/>
  <c r="AA505" i="1"/>
  <c r="Z505" i="1"/>
  <c r="Y505" i="1"/>
  <c r="AA512" i="1"/>
  <c r="Z512" i="1"/>
  <c r="Y512" i="1"/>
  <c r="AA520" i="1"/>
  <c r="Z520" i="1"/>
  <c r="Y520" i="1"/>
  <c r="Q532" i="1"/>
  <c r="AA532" i="1"/>
  <c r="Z532" i="1"/>
  <c r="Y532" i="1"/>
  <c r="Q539" i="1"/>
  <c r="AA539" i="1"/>
  <c r="Z539" i="1"/>
  <c r="Y539" i="1"/>
  <c r="Q545" i="1"/>
  <c r="AA545" i="1"/>
  <c r="Z545" i="1"/>
  <c r="Y545" i="1"/>
  <c r="Q552" i="1"/>
  <c r="AA552" i="1"/>
  <c r="Z552" i="1"/>
  <c r="Y552" i="1"/>
  <c r="AA559" i="1"/>
  <c r="Z559" i="1"/>
  <c r="Y559" i="1"/>
  <c r="Q566" i="1"/>
  <c r="AA566" i="1"/>
  <c r="Z566" i="1"/>
  <c r="Y566" i="1"/>
  <c r="Q573" i="1"/>
  <c r="Q585" i="1"/>
  <c r="AA585" i="1"/>
  <c r="Z585" i="1"/>
  <c r="Y585" i="1"/>
  <c r="Q592" i="1"/>
  <c r="AA592" i="1"/>
  <c r="Z592" i="1"/>
  <c r="Y592" i="1"/>
  <c r="Q601" i="1"/>
  <c r="AA601" i="1"/>
  <c r="Z601" i="1"/>
  <c r="Y601" i="1"/>
  <c r="Q608" i="1"/>
  <c r="AA608" i="1"/>
  <c r="Z608" i="1"/>
  <c r="Y608" i="1"/>
  <c r="Q615" i="1"/>
  <c r="AA615" i="1"/>
  <c r="Z615" i="1"/>
  <c r="Y615" i="1"/>
  <c r="Q624" i="1"/>
  <c r="AA624" i="1"/>
  <c r="Z624" i="1"/>
  <c r="Y624" i="1"/>
  <c r="AA631" i="1"/>
  <c r="Z631" i="1"/>
  <c r="Y631" i="1"/>
  <c r="Y233" i="1"/>
  <c r="AA49" i="1"/>
  <c r="Z49" i="1"/>
  <c r="Y49" i="1"/>
  <c r="Q103" i="1"/>
  <c r="AA103" i="1"/>
  <c r="Z103" i="1"/>
  <c r="Y103" i="1"/>
  <c r="Q126" i="1"/>
  <c r="AA126" i="1"/>
  <c r="Z126" i="1"/>
  <c r="Y126" i="1"/>
  <c r="AE169" i="1"/>
  <c r="AD169" i="1"/>
  <c r="AC169" i="1"/>
  <c r="AB169" i="1"/>
  <c r="AE249" i="1"/>
  <c r="AD249" i="1"/>
  <c r="AB249" i="1"/>
  <c r="AC249" i="1"/>
  <c r="Z281" i="1"/>
  <c r="Y281" i="1"/>
  <c r="AA281" i="1"/>
  <c r="AA321" i="1"/>
  <c r="Y321" i="1"/>
  <c r="Z321" i="1"/>
  <c r="AA369" i="1"/>
  <c r="Y369" i="1"/>
  <c r="Z369" i="1"/>
  <c r="Q417" i="1"/>
  <c r="AA417" i="1"/>
  <c r="Z417" i="1"/>
  <c r="Y417" i="1"/>
  <c r="AA508" i="1"/>
  <c r="Z508" i="1"/>
  <c r="Y508" i="1"/>
  <c r="AA29" i="1"/>
  <c r="Z29" i="1"/>
  <c r="Y29" i="1"/>
  <c r="AD76" i="1"/>
  <c r="AC76" i="1"/>
  <c r="AB76" i="1"/>
  <c r="AE76" i="1"/>
  <c r="Q99" i="1"/>
  <c r="AA99" i="1"/>
  <c r="Z99" i="1"/>
  <c r="Y99" i="1"/>
  <c r="AE133" i="1"/>
  <c r="AD133" i="1"/>
  <c r="AC133" i="1"/>
  <c r="AB133" i="1"/>
  <c r="AA156" i="1"/>
  <c r="Z156" i="1"/>
  <c r="Y156" i="1"/>
  <c r="AA182" i="1"/>
  <c r="Z182" i="1"/>
  <c r="Y182" i="1"/>
  <c r="AE250" i="1"/>
  <c r="AD250" i="1"/>
  <c r="AB250" i="1"/>
  <c r="AC250" i="1"/>
  <c r="AE294" i="1"/>
  <c r="AD294" i="1"/>
  <c r="AC294" i="1"/>
  <c r="AB294" i="1"/>
  <c r="AE332" i="1"/>
  <c r="AD332" i="1"/>
  <c r="AC332" i="1"/>
  <c r="AB332" i="1"/>
  <c r="AA370" i="1"/>
  <c r="Y370" i="1"/>
  <c r="Z370" i="1"/>
  <c r="Q403" i="1"/>
  <c r="AA403" i="1"/>
  <c r="Z403" i="1"/>
  <c r="Y403" i="1"/>
  <c r="Q426" i="1"/>
  <c r="AA426" i="1"/>
  <c r="Z426" i="1"/>
  <c r="Y426" i="1"/>
  <c r="Q449" i="1"/>
  <c r="AA449" i="1"/>
  <c r="Z449" i="1"/>
  <c r="Y449" i="1"/>
  <c r="AA492" i="1"/>
  <c r="Z492" i="1"/>
  <c r="Y492" i="1"/>
  <c r="AA529" i="1"/>
  <c r="Z529" i="1"/>
  <c r="Y529" i="1"/>
  <c r="Q570" i="1"/>
  <c r="AA570" i="1"/>
  <c r="Z570" i="1"/>
  <c r="Y570" i="1"/>
  <c r="Q622" i="1"/>
  <c r="AA622" i="1"/>
  <c r="Z622" i="1"/>
  <c r="Y622" i="1"/>
  <c r="AA8" i="1"/>
  <c r="Z8" i="1"/>
  <c r="Y8" i="1"/>
  <c r="AA37" i="1"/>
  <c r="Z37" i="1"/>
  <c r="Y37" i="1"/>
  <c r="AA60" i="1"/>
  <c r="Z60" i="1"/>
  <c r="Y60" i="1"/>
  <c r="Q66" i="1"/>
  <c r="AA66" i="1"/>
  <c r="Z66" i="1"/>
  <c r="Y66" i="1"/>
  <c r="Q86" i="1"/>
  <c r="AA86" i="1"/>
  <c r="Z86" i="1"/>
  <c r="Y86" i="1"/>
  <c r="AD105" i="1"/>
  <c r="AC105" i="1"/>
  <c r="AB105" i="1"/>
  <c r="AE105" i="1"/>
  <c r="Q111" i="1"/>
  <c r="AA111" i="1"/>
  <c r="Z111" i="1"/>
  <c r="Y111" i="1"/>
  <c r="AA129" i="1"/>
  <c r="Z129" i="1"/>
  <c r="AA141" i="1"/>
  <c r="Z141" i="1"/>
  <c r="Q167" i="1"/>
  <c r="AA167" i="1"/>
  <c r="Z167" i="1"/>
  <c r="Y167" i="1"/>
  <c r="Q183" i="1"/>
  <c r="AA183" i="1"/>
  <c r="Z183" i="1"/>
  <c r="Y183" i="1"/>
  <c r="AE216" i="1"/>
  <c r="AD216" i="1"/>
  <c r="AC216" i="1"/>
  <c r="AB216" i="1"/>
  <c r="Q247" i="1"/>
  <c r="AA247" i="1"/>
  <c r="Z247" i="1"/>
  <c r="Y247" i="1"/>
  <c r="AE268" i="1"/>
  <c r="AD268" i="1"/>
  <c r="AC268" i="1"/>
  <c r="AB268" i="1"/>
  <c r="AE300" i="1"/>
  <c r="AD300" i="1"/>
  <c r="AC300" i="1"/>
  <c r="AB300" i="1"/>
  <c r="AA329" i="1"/>
  <c r="Y329" i="1"/>
  <c r="Z329" i="1"/>
  <c r="AA338" i="1"/>
  <c r="Y338" i="1"/>
  <c r="Z338" i="1"/>
  <c r="AA352" i="1"/>
  <c r="Y352" i="1"/>
  <c r="Z352" i="1"/>
  <c r="AA372" i="1"/>
  <c r="Y372" i="1"/>
  <c r="Z372" i="1"/>
  <c r="AA393" i="1"/>
  <c r="Z393" i="1"/>
  <c r="Y393" i="1"/>
  <c r="AC422" i="1"/>
  <c r="AB422" i="1"/>
  <c r="AE422" i="1"/>
  <c r="AD422" i="1"/>
  <c r="AC442" i="1"/>
  <c r="AB442" i="1"/>
  <c r="AE442" i="1"/>
  <c r="AD442" i="1"/>
  <c r="AC468" i="1"/>
  <c r="AB468" i="1"/>
  <c r="AE468" i="1"/>
  <c r="AD468" i="1"/>
  <c r="Q494" i="1"/>
  <c r="Y494" i="1"/>
  <c r="AA494" i="1"/>
  <c r="Z494" i="1"/>
  <c r="AA524" i="1"/>
  <c r="Z524" i="1"/>
  <c r="Y524" i="1"/>
  <c r="Q538" i="1"/>
  <c r="AE538" i="1" s="1"/>
  <c r="AA538" i="1"/>
  <c r="Z538" i="1"/>
  <c r="Y538" i="1"/>
  <c r="AE591" i="1"/>
  <c r="AD591" i="1"/>
  <c r="AC591" i="1"/>
  <c r="AB591" i="1"/>
  <c r="Q31" i="1"/>
  <c r="AA31" i="1"/>
  <c r="Z31" i="1"/>
  <c r="Y31" i="1"/>
  <c r="AA68" i="1"/>
  <c r="Z68" i="1"/>
  <c r="Y68" i="1"/>
  <c r="AA9" i="1"/>
  <c r="Z9" i="1"/>
  <c r="Y9" i="1"/>
  <c r="AA32" i="1"/>
  <c r="Z32" i="1"/>
  <c r="Y32" i="1"/>
  <c r="Q39" i="1"/>
  <c r="AA39" i="1"/>
  <c r="Z39" i="1"/>
  <c r="Y39" i="1"/>
  <c r="AA88" i="1"/>
  <c r="Z88" i="1"/>
  <c r="Y88" i="1"/>
  <c r="Q101" i="1"/>
  <c r="Q112" i="1"/>
  <c r="Q117" i="1"/>
  <c r="AA137" i="1"/>
  <c r="Z137" i="1"/>
  <c r="AA158" i="1"/>
  <c r="Z158" i="1"/>
  <c r="Y158" i="1"/>
  <c r="Q162" i="1"/>
  <c r="Q168" i="1"/>
  <c r="AA173" i="1"/>
  <c r="Z173" i="1"/>
  <c r="AA180" i="1"/>
  <c r="Z180" i="1"/>
  <c r="Y180" i="1"/>
  <c r="Q184" i="1"/>
  <c r="Q200" i="1"/>
  <c r="Q208" i="1"/>
  <c r="Q217" i="1"/>
  <c r="AA230" i="1"/>
  <c r="Z230" i="1"/>
  <c r="Y230" i="1"/>
  <c r="Q234" i="1"/>
  <c r="AA240" i="1"/>
  <c r="Z240" i="1"/>
  <c r="Y240" i="1"/>
  <c r="Q248" i="1"/>
  <c r="AA254" i="1"/>
  <c r="Z254" i="1"/>
  <c r="Y254" i="1"/>
  <c r="Q258" i="1"/>
  <c r="Z265" i="1"/>
  <c r="Y265" i="1"/>
  <c r="AA265" i="1"/>
  <c r="Q270" i="1"/>
  <c r="Q275" i="1"/>
  <c r="Z275" i="1"/>
  <c r="Y275" i="1"/>
  <c r="AA275" i="1"/>
  <c r="AA280" i="1"/>
  <c r="Z280" i="1"/>
  <c r="Y280" i="1"/>
  <c r="Q292" i="1"/>
  <c r="AA297" i="1"/>
  <c r="Z297" i="1"/>
  <c r="Y297" i="1"/>
  <c r="Q301" i="1"/>
  <c r="AA306" i="1"/>
  <c r="Z306" i="1"/>
  <c r="Y306" i="1"/>
  <c r="Q310" i="1"/>
  <c r="Q318" i="1"/>
  <c r="Q324" i="1"/>
  <c r="AA330" i="1"/>
  <c r="Y330" i="1"/>
  <c r="Z330" i="1"/>
  <c r="Q334" i="1"/>
  <c r="Q339" i="1"/>
  <c r="AA339" i="1"/>
  <c r="Y339" i="1"/>
  <c r="AA344" i="1"/>
  <c r="Y344" i="1"/>
  <c r="Z344" i="1"/>
  <c r="Q348" i="1"/>
  <c r="AA353" i="1"/>
  <c r="Y353" i="1"/>
  <c r="Z353" i="1"/>
  <c r="Q357" i="1"/>
  <c r="Q363" i="1"/>
  <c r="AA363" i="1"/>
  <c r="Y363" i="1"/>
  <c r="Z363" i="1"/>
  <c r="AA368" i="1"/>
  <c r="Y368" i="1"/>
  <c r="Z368" i="1"/>
  <c r="Q375" i="1"/>
  <c r="AA375" i="1"/>
  <c r="Y375" i="1"/>
  <c r="Z375" i="1"/>
  <c r="AA380" i="1"/>
  <c r="Z380" i="1"/>
  <c r="Y380" i="1"/>
  <c r="AA385" i="1"/>
  <c r="Z385" i="1"/>
  <c r="Y385" i="1"/>
  <c r="AA394" i="1"/>
  <c r="Z394" i="1"/>
  <c r="Y394" i="1"/>
  <c r="AA400" i="1"/>
  <c r="Z400" i="1"/>
  <c r="Y400" i="1"/>
  <c r="Q406" i="1"/>
  <c r="AA406" i="1"/>
  <c r="Z406" i="1"/>
  <c r="Y406" i="1"/>
  <c r="AA416" i="1"/>
  <c r="Z416" i="1"/>
  <c r="Y416" i="1"/>
  <c r="AA424" i="1"/>
  <c r="Z424" i="1"/>
  <c r="Y424" i="1"/>
  <c r="AA432" i="1"/>
  <c r="Z432" i="1"/>
  <c r="Y432" i="1"/>
  <c r="Q438" i="1"/>
  <c r="AA438" i="1"/>
  <c r="Z438" i="1"/>
  <c r="Y438" i="1"/>
  <c r="AA445" i="1"/>
  <c r="Z445" i="1"/>
  <c r="Y445" i="1"/>
  <c r="AA452" i="1"/>
  <c r="Z452" i="1"/>
  <c r="Y452" i="1"/>
  <c r="AA457" i="1"/>
  <c r="Z457" i="1"/>
  <c r="Y457" i="1"/>
  <c r="AA464" i="1"/>
  <c r="Z464" i="1"/>
  <c r="Y464" i="1"/>
  <c r="Q470" i="1"/>
  <c r="AA470" i="1"/>
  <c r="Z470" i="1"/>
  <c r="Y470" i="1"/>
  <c r="AA476" i="1"/>
  <c r="Z476" i="1"/>
  <c r="Y476" i="1"/>
  <c r="AA482" i="1"/>
  <c r="Z482" i="1"/>
  <c r="Y482" i="1"/>
  <c r="AA488" i="1"/>
  <c r="Z488" i="1"/>
  <c r="Y488" i="1"/>
  <c r="Q496" i="1"/>
  <c r="Q506" i="1"/>
  <c r="AA506" i="1"/>
  <c r="Z506" i="1"/>
  <c r="Y506" i="1"/>
  <c r="Q512" i="1"/>
  <c r="Q520" i="1"/>
  <c r="Q525" i="1"/>
  <c r="AA525" i="1"/>
  <c r="Z525" i="1"/>
  <c r="Y525" i="1"/>
  <c r="Q533" i="1"/>
  <c r="AA533" i="1"/>
  <c r="Z533" i="1"/>
  <c r="Y533" i="1"/>
  <c r="Q540" i="1"/>
  <c r="AE540" i="1" s="1"/>
  <c r="AA540" i="1"/>
  <c r="Z540" i="1"/>
  <c r="Y540" i="1"/>
  <c r="Q546" i="1"/>
  <c r="AA546" i="1"/>
  <c r="Z546" i="1"/>
  <c r="Y546" i="1"/>
  <c r="Q553" i="1"/>
  <c r="Y553" i="1"/>
  <c r="AA553" i="1"/>
  <c r="Z553" i="1"/>
  <c r="Q559" i="1"/>
  <c r="AA567" i="1"/>
  <c r="Z567" i="1"/>
  <c r="Y567" i="1"/>
  <c r="Q574" i="1"/>
  <c r="AA574" i="1"/>
  <c r="Z574" i="1"/>
  <c r="Y574" i="1"/>
  <c r="Q586" i="1"/>
  <c r="AA586" i="1"/>
  <c r="Z586" i="1"/>
  <c r="Y586" i="1"/>
  <c r="Q593" i="1"/>
  <c r="AA593" i="1"/>
  <c r="Z593" i="1"/>
  <c r="Y593" i="1"/>
  <c r="Q602" i="1"/>
  <c r="AA602" i="1"/>
  <c r="Z602" i="1"/>
  <c r="Y602" i="1"/>
  <c r="Q609" i="1"/>
  <c r="AA609" i="1"/>
  <c r="Z609" i="1"/>
  <c r="Y609" i="1"/>
  <c r="Q616" i="1"/>
  <c r="AA616" i="1"/>
  <c r="Z616" i="1"/>
  <c r="Y616" i="1"/>
  <c r="AA625" i="1"/>
  <c r="Z625" i="1"/>
  <c r="Y625" i="1"/>
  <c r="Q631" i="1"/>
  <c r="Y157" i="1"/>
  <c r="Z307" i="1"/>
  <c r="Q10" i="1"/>
  <c r="AA10" i="1"/>
  <c r="Z10" i="1"/>
  <c r="Y10" i="1"/>
  <c r="AA33" i="1"/>
  <c r="Z33" i="1"/>
  <c r="Y33" i="1"/>
  <c r="AA56" i="1"/>
  <c r="Z56" i="1"/>
  <c r="Y56" i="1"/>
  <c r="Q75" i="1"/>
  <c r="AA75" i="1"/>
  <c r="Z75" i="1"/>
  <c r="Y75" i="1"/>
  <c r="AA120" i="1"/>
  <c r="Z120" i="1"/>
  <c r="Y120" i="1"/>
  <c r="AE153" i="1"/>
  <c r="AD153" i="1"/>
  <c r="AC153" i="1"/>
  <c r="AB153" i="1"/>
  <c r="AE202" i="1"/>
  <c r="AD202" i="1"/>
  <c r="AC202" i="1"/>
  <c r="AB202" i="1"/>
  <c r="Q231" i="1"/>
  <c r="AA231" i="1"/>
  <c r="Z231" i="1"/>
  <c r="Y231" i="1"/>
  <c r="Q255" i="1"/>
  <c r="AA255" i="1"/>
  <c r="Z255" i="1"/>
  <c r="Y255" i="1"/>
  <c r="AA272" i="1"/>
  <c r="Z272" i="1"/>
  <c r="Y272" i="1"/>
  <c r="AA298" i="1"/>
  <c r="Z298" i="1"/>
  <c r="Y298" i="1"/>
  <c r="AE340" i="1"/>
  <c r="AD340" i="1"/>
  <c r="AC340" i="1"/>
  <c r="AB340" i="1"/>
  <c r="AA345" i="1"/>
  <c r="Y345" i="1"/>
  <c r="Z345" i="1"/>
  <c r="AA354" i="1"/>
  <c r="Y354" i="1"/>
  <c r="Z354" i="1"/>
  <c r="AA381" i="1"/>
  <c r="Z381" i="1"/>
  <c r="Y381" i="1"/>
  <c r="AA401" i="1"/>
  <c r="Z401" i="1"/>
  <c r="Y401" i="1"/>
  <c r="AA433" i="1"/>
  <c r="Z433" i="1"/>
  <c r="Y433" i="1"/>
  <c r="AA466" i="1"/>
  <c r="Z466" i="1"/>
  <c r="Y466" i="1"/>
  <c r="AB521" i="1"/>
  <c r="AD521" i="1"/>
  <c r="AC521" i="1"/>
  <c r="AC5" i="1"/>
  <c r="AB5" i="1"/>
  <c r="AD5" i="1"/>
  <c r="AD41" i="1"/>
  <c r="AC41" i="1"/>
  <c r="AB41" i="1"/>
  <c r="AE41" i="1"/>
  <c r="Q51" i="1"/>
  <c r="AA51" i="1"/>
  <c r="Z51" i="1"/>
  <c r="Y51" i="1"/>
  <c r="AA65" i="1"/>
  <c r="Z65" i="1"/>
  <c r="Y65" i="1"/>
  <c r="Q90" i="1"/>
  <c r="AA90" i="1"/>
  <c r="Z90" i="1"/>
  <c r="Y90" i="1"/>
  <c r="Q122" i="1"/>
  <c r="AA122" i="1"/>
  <c r="Z122" i="1"/>
  <c r="Y122" i="1"/>
  <c r="AE170" i="1"/>
  <c r="AD170" i="1"/>
  <c r="AC170" i="1"/>
  <c r="AB170" i="1"/>
  <c r="AE232" i="1"/>
  <c r="AD232" i="1"/>
  <c r="AC232" i="1"/>
  <c r="AB232" i="1"/>
  <c r="AA290" i="1"/>
  <c r="Z290" i="1"/>
  <c r="Y290" i="1"/>
  <c r="Q299" i="1"/>
  <c r="AA299" i="1"/>
  <c r="Z299" i="1"/>
  <c r="Y299" i="1"/>
  <c r="AE326" i="1"/>
  <c r="AD326" i="1"/>
  <c r="AC326" i="1"/>
  <c r="AB326" i="1"/>
  <c r="AA346" i="1"/>
  <c r="Y346" i="1"/>
  <c r="Z346" i="1"/>
  <c r="AE365" i="1"/>
  <c r="AD365" i="1"/>
  <c r="AC365" i="1"/>
  <c r="AB365" i="1"/>
  <c r="AC396" i="1"/>
  <c r="AB396" i="1"/>
  <c r="AE396" i="1"/>
  <c r="AD396" i="1"/>
  <c r="Q435" i="1"/>
  <c r="AA435" i="1"/>
  <c r="Z435" i="1"/>
  <c r="Y435" i="1"/>
  <c r="Q467" i="1"/>
  <c r="AA467" i="1"/>
  <c r="Z467" i="1"/>
  <c r="Y467" i="1"/>
  <c r="AD484" i="1"/>
  <c r="AC484" i="1"/>
  <c r="AB484" i="1"/>
  <c r="AA517" i="1"/>
  <c r="Z517" i="1"/>
  <c r="Y517" i="1"/>
  <c r="AD549" i="1"/>
  <c r="AC549" i="1"/>
  <c r="AB549" i="1"/>
  <c r="Q597" i="1"/>
  <c r="AA597" i="1"/>
  <c r="Z597" i="1"/>
  <c r="Y597" i="1"/>
  <c r="AE637" i="1"/>
  <c r="AD637" i="1"/>
  <c r="AC637" i="1"/>
  <c r="AB637" i="1"/>
  <c r="Q19" i="1"/>
  <c r="AA19" i="1"/>
  <c r="Z19" i="1"/>
  <c r="Y19" i="1"/>
  <c r="Q30" i="1"/>
  <c r="AA30" i="1"/>
  <c r="Z30" i="1"/>
  <c r="Y30" i="1"/>
  <c r="AD72" i="1"/>
  <c r="AC72" i="1"/>
  <c r="AB72" i="1"/>
  <c r="AE72" i="1"/>
  <c r="AA92" i="1"/>
  <c r="Z92" i="1"/>
  <c r="Y92" i="1"/>
  <c r="AD116" i="1"/>
  <c r="AC116" i="1"/>
  <c r="AB116" i="1"/>
  <c r="AE116" i="1"/>
  <c r="AE149" i="1"/>
  <c r="AD149" i="1"/>
  <c r="AC149" i="1"/>
  <c r="AB149" i="1"/>
  <c r="AA172" i="1"/>
  <c r="Z172" i="1"/>
  <c r="Y172" i="1"/>
  <c r="Q195" i="1"/>
  <c r="AA195" i="1"/>
  <c r="Z195" i="1"/>
  <c r="Y195" i="1"/>
  <c r="AA238" i="1"/>
  <c r="Z238" i="1"/>
  <c r="Y238" i="1"/>
  <c r="AA253" i="1"/>
  <c r="Z253" i="1"/>
  <c r="Y253" i="1"/>
  <c r="AA264" i="1"/>
  <c r="Z264" i="1"/>
  <c r="Y264" i="1"/>
  <c r="AA274" i="1"/>
  <c r="Z274" i="1"/>
  <c r="Y274" i="1"/>
  <c r="AA305" i="1"/>
  <c r="Z305" i="1"/>
  <c r="Y305" i="1"/>
  <c r="AE333" i="1"/>
  <c r="AD333" i="1"/>
  <c r="AC333" i="1"/>
  <c r="AB333" i="1"/>
  <c r="Q347" i="1"/>
  <c r="AA347" i="1"/>
  <c r="Y347" i="1"/>
  <c r="Z347" i="1"/>
  <c r="AE366" i="1"/>
  <c r="AD366" i="1"/>
  <c r="AC366" i="1"/>
  <c r="AB366" i="1"/>
  <c r="AC397" i="1"/>
  <c r="AB397" i="1"/>
  <c r="AE397" i="1"/>
  <c r="AD397" i="1"/>
  <c r="AC436" i="1"/>
  <c r="AB436" i="1"/>
  <c r="AE436" i="1"/>
  <c r="AD436" i="1"/>
  <c r="AA456" i="1"/>
  <c r="Z456" i="1"/>
  <c r="Y456" i="1"/>
  <c r="Q486" i="1"/>
  <c r="Y486" i="1"/>
  <c r="AA486" i="1"/>
  <c r="Z486" i="1"/>
  <c r="Z519" i="1"/>
  <c r="Y519" i="1"/>
  <c r="AA519" i="1"/>
  <c r="Q551" i="1"/>
  <c r="AA551" i="1"/>
  <c r="Z551" i="1"/>
  <c r="Y551" i="1"/>
  <c r="Q600" i="1"/>
  <c r="AA600" i="1"/>
  <c r="Z600" i="1"/>
  <c r="Y600" i="1"/>
  <c r="Q14" i="1"/>
  <c r="AA14" i="1"/>
  <c r="Z14" i="1"/>
  <c r="Y14" i="1"/>
  <c r="AA25" i="1"/>
  <c r="Z25" i="1"/>
  <c r="Y25" i="1"/>
  <c r="Q37" i="1"/>
  <c r="AA53" i="1"/>
  <c r="Z53" i="1"/>
  <c r="Y53" i="1"/>
  <c r="AA73" i="1"/>
  <c r="Z73" i="1"/>
  <c r="Y73" i="1"/>
  <c r="Q15" i="1"/>
  <c r="AA15" i="1"/>
  <c r="Z15" i="1"/>
  <c r="Y15" i="1"/>
  <c r="Q20" i="1"/>
  <c r="Q25" i="1"/>
  <c r="AA48" i="1"/>
  <c r="Z48" i="1"/>
  <c r="Y48" i="1"/>
  <c r="Q62" i="1"/>
  <c r="AA62" i="1"/>
  <c r="Z62" i="1"/>
  <c r="Y62" i="1"/>
  <c r="Q68" i="1"/>
  <c r="Q79" i="1"/>
  <c r="AA79" i="1"/>
  <c r="Z79" i="1"/>
  <c r="Y79" i="1"/>
  <c r="AA93" i="1"/>
  <c r="Z93" i="1"/>
  <c r="Y93" i="1"/>
  <c r="Q107" i="1"/>
  <c r="AA107" i="1"/>
  <c r="Z107" i="1"/>
  <c r="Y107" i="1"/>
  <c r="AA125" i="1"/>
  <c r="Z125" i="1"/>
  <c r="Q131" i="1"/>
  <c r="AA131" i="1"/>
  <c r="Z131" i="1"/>
  <c r="Y131" i="1"/>
  <c r="Q143" i="1"/>
  <c r="AA143" i="1"/>
  <c r="Z143" i="1"/>
  <c r="Y143" i="1"/>
  <c r="Q151" i="1"/>
  <c r="AA151" i="1"/>
  <c r="Z151" i="1"/>
  <c r="Y151" i="1"/>
  <c r="Q9" i="1"/>
  <c r="AA16" i="1"/>
  <c r="Z16" i="1"/>
  <c r="Y16" i="1"/>
  <c r="AA21" i="1"/>
  <c r="Z21" i="1"/>
  <c r="Y21" i="1"/>
  <c r="Q27" i="1"/>
  <c r="AA27" i="1"/>
  <c r="Z27" i="1"/>
  <c r="Y27" i="1"/>
  <c r="Q32" i="1"/>
  <c r="AA40" i="1"/>
  <c r="Z40" i="1"/>
  <c r="Y40" i="1"/>
  <c r="Q48" i="1"/>
  <c r="Q55" i="1"/>
  <c r="AA55" i="1"/>
  <c r="Z55" i="1"/>
  <c r="Y55" i="1"/>
  <c r="Q63" i="1"/>
  <c r="AA63" i="1"/>
  <c r="Z63" i="1"/>
  <c r="Y63" i="1"/>
  <c r="AA69" i="1"/>
  <c r="Z69" i="1"/>
  <c r="Y69" i="1"/>
  <c r="Q74" i="1"/>
  <c r="AA74" i="1"/>
  <c r="Z74" i="1"/>
  <c r="Y74" i="1"/>
  <c r="AA80" i="1"/>
  <c r="Z80" i="1"/>
  <c r="Y80" i="1"/>
  <c r="Q88" i="1"/>
  <c r="Q93" i="1"/>
  <c r="Q102" i="1"/>
  <c r="AA102" i="1"/>
  <c r="Z102" i="1"/>
  <c r="Y102" i="1"/>
  <c r="AA108" i="1"/>
  <c r="Z108" i="1"/>
  <c r="Y108" i="1"/>
  <c r="AA113" i="1"/>
  <c r="Z113" i="1"/>
  <c r="Y113" i="1"/>
  <c r="Q119" i="1"/>
  <c r="AA119" i="1"/>
  <c r="Z119" i="1"/>
  <c r="Y119" i="1"/>
  <c r="Q125" i="1"/>
  <c r="AA132" i="1"/>
  <c r="Z132" i="1"/>
  <c r="Y132" i="1"/>
  <c r="Q137" i="1"/>
  <c r="AA144" i="1"/>
  <c r="Z144" i="1"/>
  <c r="Y144" i="1"/>
  <c r="AA153" i="1"/>
  <c r="Z153" i="1"/>
  <c r="Q158" i="1"/>
  <c r="Q163" i="1"/>
  <c r="AA163" i="1"/>
  <c r="Z163" i="1"/>
  <c r="Y163" i="1"/>
  <c r="AA169" i="1"/>
  <c r="Z169" i="1"/>
  <c r="Q173" i="1"/>
  <c r="Q180" i="1"/>
  <c r="AA187" i="1"/>
  <c r="Z187" i="1"/>
  <c r="Y187" i="1"/>
  <c r="AA202" i="1"/>
  <c r="Z202" i="1"/>
  <c r="Y202" i="1"/>
  <c r="AA209" i="1"/>
  <c r="Z209" i="1"/>
  <c r="Q219" i="1"/>
  <c r="AA219" i="1"/>
  <c r="Z219" i="1"/>
  <c r="Y219" i="1"/>
  <c r="Q230" i="1"/>
  <c r="Q235" i="1"/>
  <c r="AA235" i="1"/>
  <c r="Z235" i="1"/>
  <c r="Y235" i="1"/>
  <c r="Q240" i="1"/>
  <c r="Y249" i="1"/>
  <c r="AA249" i="1"/>
  <c r="Z249" i="1"/>
  <c r="Q254" i="1"/>
  <c r="AA261" i="1"/>
  <c r="Z261" i="1"/>
  <c r="Y261" i="1"/>
  <c r="Q265" i="1"/>
  <c r="Q271" i="1"/>
  <c r="Z271" i="1"/>
  <c r="Y271" i="1"/>
  <c r="AA276" i="1"/>
  <c r="Z276" i="1"/>
  <c r="Y276" i="1"/>
  <c r="Q280" i="1"/>
  <c r="AA293" i="1"/>
  <c r="Z293" i="1"/>
  <c r="Y293" i="1"/>
  <c r="Q297" i="1"/>
  <c r="AA302" i="1"/>
  <c r="Z302" i="1"/>
  <c r="Y302" i="1"/>
  <c r="Q306" i="1"/>
  <c r="Q311" i="1"/>
  <c r="AA311" i="1"/>
  <c r="Y311" i="1"/>
  <c r="Z311" i="1"/>
  <c r="Q319" i="1"/>
  <c r="AA319" i="1"/>
  <c r="Y319" i="1"/>
  <c r="Z319" i="1"/>
  <c r="AA325" i="1"/>
  <c r="Y325" i="1"/>
  <c r="Z325" i="1"/>
  <c r="Q330" i="1"/>
  <c r="Q335" i="1"/>
  <c r="AA335" i="1"/>
  <c r="Y335" i="1"/>
  <c r="Z335" i="1"/>
  <c r="AA340" i="1"/>
  <c r="Y340" i="1"/>
  <c r="Z340" i="1"/>
  <c r="Q344" i="1"/>
  <c r="AA349" i="1"/>
  <c r="Y349" i="1"/>
  <c r="Z349" i="1"/>
  <c r="Q353" i="1"/>
  <c r="Q359" i="1"/>
  <c r="AA359" i="1"/>
  <c r="Y359" i="1"/>
  <c r="Z359" i="1"/>
  <c r="AA364" i="1"/>
  <c r="Y364" i="1"/>
  <c r="Z364" i="1"/>
  <c r="Q368" i="1"/>
  <c r="AA376" i="1"/>
  <c r="Z376" i="1"/>
  <c r="Y376" i="1"/>
  <c r="Q380" i="1"/>
  <c r="Q385" i="1"/>
  <c r="Q394" i="1"/>
  <c r="Q400" i="1"/>
  <c r="Q407" i="1"/>
  <c r="AA407" i="1"/>
  <c r="Z407" i="1"/>
  <c r="Y407" i="1"/>
  <c r="Q416" i="1"/>
  <c r="Q424" i="1"/>
  <c r="Q432" i="1"/>
  <c r="Q439" i="1"/>
  <c r="AA439" i="1"/>
  <c r="Z439" i="1"/>
  <c r="Y439" i="1"/>
  <c r="Q445" i="1"/>
  <c r="Q452" i="1"/>
  <c r="Q457" i="1"/>
  <c r="Q464" i="1"/>
  <c r="AA472" i="1"/>
  <c r="Z472" i="1"/>
  <c r="Y472" i="1"/>
  <c r="Q476" i="1"/>
  <c r="Q482" i="1"/>
  <c r="Q488" i="1"/>
  <c r="AA497" i="1"/>
  <c r="Z497" i="1"/>
  <c r="Y497" i="1"/>
  <c r="Q507" i="1"/>
  <c r="AE507" i="1" s="1"/>
  <c r="AA507" i="1"/>
  <c r="Z507" i="1"/>
  <c r="Y507" i="1"/>
  <c r="Q513" i="1"/>
  <c r="AA513" i="1"/>
  <c r="Z513" i="1"/>
  <c r="Y513" i="1"/>
  <c r="AA521" i="1"/>
  <c r="Z521" i="1"/>
  <c r="Y521" i="1"/>
  <c r="Y526" i="1"/>
  <c r="AA526" i="1"/>
  <c r="Z526" i="1"/>
  <c r="Q534" i="1"/>
  <c r="Y534" i="1"/>
  <c r="AA534" i="1"/>
  <c r="Z534" i="1"/>
  <c r="AA541" i="1"/>
  <c r="Z541" i="1"/>
  <c r="Y541" i="1"/>
  <c r="Q547" i="1"/>
  <c r="AA547" i="1"/>
  <c r="Z547" i="1"/>
  <c r="Y547" i="1"/>
  <c r="Q554" i="1"/>
  <c r="Z554" i="1"/>
  <c r="Y554" i="1"/>
  <c r="AA554" i="1"/>
  <c r="Q560" i="1"/>
  <c r="AA560" i="1"/>
  <c r="Z560" i="1"/>
  <c r="Y560" i="1"/>
  <c r="Q567" i="1"/>
  <c r="AA575" i="1"/>
  <c r="Z575" i="1"/>
  <c r="Y575" i="1"/>
  <c r="Q587" i="1"/>
  <c r="AA587" i="1"/>
  <c r="Z587" i="1"/>
  <c r="Y587" i="1"/>
  <c r="Q594" i="1"/>
  <c r="AA594" i="1"/>
  <c r="Z594" i="1"/>
  <c r="Y594" i="1"/>
  <c r="Q603" i="1"/>
  <c r="AA603" i="1"/>
  <c r="Z603" i="1"/>
  <c r="Y603" i="1"/>
  <c r="Q610" i="1"/>
  <c r="AA610" i="1"/>
  <c r="Z610" i="1"/>
  <c r="Y610" i="1"/>
  <c r="Q617" i="1"/>
  <c r="AA617" i="1"/>
  <c r="Z617" i="1"/>
  <c r="Y617" i="1"/>
  <c r="Q625" i="1"/>
  <c r="Q632" i="1"/>
  <c r="AA632" i="1"/>
  <c r="Z632" i="1"/>
  <c r="Y632" i="1"/>
  <c r="Y177" i="1"/>
  <c r="Y209" i="1"/>
  <c r="Z339" i="1"/>
  <c r="AE12" i="1"/>
  <c r="AA271" i="1"/>
  <c r="AD40" i="1"/>
  <c r="AC40" i="1"/>
  <c r="AB40" i="1"/>
  <c r="AE40" i="1"/>
  <c r="AA89" i="1"/>
  <c r="Z89" i="1"/>
  <c r="Y89" i="1"/>
  <c r="AD108" i="1"/>
  <c r="AC108" i="1"/>
  <c r="AB108" i="1"/>
  <c r="AE108" i="1"/>
  <c r="Q138" i="1"/>
  <c r="AA138" i="1"/>
  <c r="Z138" i="1"/>
  <c r="Y138" i="1"/>
  <c r="AA189" i="1"/>
  <c r="Z189" i="1"/>
  <c r="AE261" i="1"/>
  <c r="AD261" i="1"/>
  <c r="AB261" i="1"/>
  <c r="AC261" i="1"/>
  <c r="AE302" i="1"/>
  <c r="AD302" i="1"/>
  <c r="AC302" i="1"/>
  <c r="AB302" i="1"/>
  <c r="Q331" i="1"/>
  <c r="AA331" i="1"/>
  <c r="Y331" i="1"/>
  <c r="Z331" i="1"/>
  <c r="AE364" i="1"/>
  <c r="AD364" i="1"/>
  <c r="AC364" i="1"/>
  <c r="AB364" i="1"/>
  <c r="Q395" i="1"/>
  <c r="AA395" i="1"/>
  <c r="Z395" i="1"/>
  <c r="Y395" i="1"/>
  <c r="AA425" i="1"/>
  <c r="Z425" i="1"/>
  <c r="Y425" i="1"/>
  <c r="Q458" i="1"/>
  <c r="AA458" i="1"/>
  <c r="Z458" i="1"/>
  <c r="Y458" i="1"/>
  <c r="Q477" i="1"/>
  <c r="AA477" i="1"/>
  <c r="Z477" i="1"/>
  <c r="Y477" i="1"/>
  <c r="Q483" i="1"/>
  <c r="AA483" i="1"/>
  <c r="Z483" i="1"/>
  <c r="Y483" i="1"/>
  <c r="AA490" i="1"/>
  <c r="Z490" i="1"/>
  <c r="Y490" i="1"/>
  <c r="AB497" i="1"/>
  <c r="AD497" i="1"/>
  <c r="AC497" i="1"/>
  <c r="AD541" i="1"/>
  <c r="AC541" i="1"/>
  <c r="AB541" i="1"/>
  <c r="Q548" i="1"/>
  <c r="AA548" i="1"/>
  <c r="Z548" i="1"/>
  <c r="Y548" i="1"/>
  <c r="AA555" i="1"/>
  <c r="Z555" i="1"/>
  <c r="Y555" i="1"/>
  <c r="Y561" i="1"/>
  <c r="AA561" i="1"/>
  <c r="Z561" i="1"/>
  <c r="Q568" i="1"/>
  <c r="AA568" i="1"/>
  <c r="Z568" i="1"/>
  <c r="Y568" i="1"/>
  <c r="AE575" i="1"/>
  <c r="AD575" i="1"/>
  <c r="AC575" i="1"/>
  <c r="AB575" i="1"/>
  <c r="Q588" i="1"/>
  <c r="AA588" i="1"/>
  <c r="Z588" i="1"/>
  <c r="Y588" i="1"/>
  <c r="Q595" i="1"/>
  <c r="AA595" i="1"/>
  <c r="Z595" i="1"/>
  <c r="Y595" i="1"/>
  <c r="Q604" i="1"/>
  <c r="AA604" i="1"/>
  <c r="Z604" i="1"/>
  <c r="Y604" i="1"/>
  <c r="Q611" i="1"/>
  <c r="AA611" i="1"/>
  <c r="Z611" i="1"/>
  <c r="Y611" i="1"/>
  <c r="Q618" i="1"/>
  <c r="AA618" i="1"/>
  <c r="Z618" i="1"/>
  <c r="Y618" i="1"/>
  <c r="Q626" i="1"/>
  <c r="AA626" i="1"/>
  <c r="Z626" i="1"/>
  <c r="Y626" i="1"/>
  <c r="Q634" i="1"/>
  <c r="AA634" i="1"/>
  <c r="Z634" i="1"/>
  <c r="Y634" i="1"/>
  <c r="AA5" i="1"/>
  <c r="Z5" i="1"/>
  <c r="Y5" i="1"/>
  <c r="AA12" i="1"/>
  <c r="Z12" i="1"/>
  <c r="Y12" i="1"/>
  <c r="AA17" i="1"/>
  <c r="Z17" i="1"/>
  <c r="Y17" i="1"/>
  <c r="Q22" i="1"/>
  <c r="AA22" i="1"/>
  <c r="Z22" i="1"/>
  <c r="Y22" i="1"/>
  <c r="Q28" i="1"/>
  <c r="Q33" i="1"/>
  <c r="AA41" i="1"/>
  <c r="Z41" i="1"/>
  <c r="Y41" i="1"/>
  <c r="Q49" i="1"/>
  <c r="Q56" i="1"/>
  <c r="Q64" i="1"/>
  <c r="AA70" i="1"/>
  <c r="Z70" i="1"/>
  <c r="Y70" i="1"/>
  <c r="AA76" i="1"/>
  <c r="Z76" i="1"/>
  <c r="Y76" i="1"/>
  <c r="AA81" i="1"/>
  <c r="Z81" i="1"/>
  <c r="Y81" i="1"/>
  <c r="Q89" i="1"/>
  <c r="Q95" i="1"/>
  <c r="AA95" i="1"/>
  <c r="Z95" i="1"/>
  <c r="Y95" i="1"/>
  <c r="AA104" i="1"/>
  <c r="Z104" i="1"/>
  <c r="Y104" i="1"/>
  <c r="AA109" i="1"/>
  <c r="Z109" i="1"/>
  <c r="Y109" i="1"/>
  <c r="Q114" i="1"/>
  <c r="AA114" i="1"/>
  <c r="Z114" i="1"/>
  <c r="Y114" i="1"/>
  <c r="Q120" i="1"/>
  <c r="Q127" i="1"/>
  <c r="AA127" i="1"/>
  <c r="Z127" i="1"/>
  <c r="Y127" i="1"/>
  <c r="AA133" i="1"/>
  <c r="Z133" i="1"/>
  <c r="Q139" i="1"/>
  <c r="AA139" i="1"/>
  <c r="Z139" i="1"/>
  <c r="Y139" i="1"/>
  <c r="Q146" i="1"/>
  <c r="AA146" i="1"/>
  <c r="Z146" i="1"/>
  <c r="Y146" i="1"/>
  <c r="Q154" i="1"/>
  <c r="AA154" i="1"/>
  <c r="Z154" i="1"/>
  <c r="Y154" i="1"/>
  <c r="AA160" i="1"/>
  <c r="Z160" i="1"/>
  <c r="Y160" i="1"/>
  <c r="Q164" i="1"/>
  <c r="AA170" i="1"/>
  <c r="Z170" i="1"/>
  <c r="Y170" i="1"/>
  <c r="Q174" i="1"/>
  <c r="Q181" i="1"/>
  <c r="Q189" i="1"/>
  <c r="AA205" i="1"/>
  <c r="Z205" i="1"/>
  <c r="Q211" i="1"/>
  <c r="AA211" i="1"/>
  <c r="Z211" i="1"/>
  <c r="Y211" i="1"/>
  <c r="Q222" i="1"/>
  <c r="AA232" i="1"/>
  <c r="Z232" i="1"/>
  <c r="Y232" i="1"/>
  <c r="Q236" i="1"/>
  <c r="Q245" i="1"/>
  <c r="AA250" i="1"/>
  <c r="Z250" i="1"/>
  <c r="Y250" i="1"/>
  <c r="AA256" i="1"/>
  <c r="Z256" i="1"/>
  <c r="Y256" i="1"/>
  <c r="AA262" i="1"/>
  <c r="Z262" i="1"/>
  <c r="Y262" i="1"/>
  <c r="Q266" i="1"/>
  <c r="Q272" i="1"/>
  <c r="Z277" i="1"/>
  <c r="Y277" i="1"/>
  <c r="AA277" i="1"/>
  <c r="Q281" i="1"/>
  <c r="AA294" i="1"/>
  <c r="Z294" i="1"/>
  <c r="Y294" i="1"/>
  <c r="Q298" i="1"/>
  <c r="Q303" i="1"/>
  <c r="AA303" i="1"/>
  <c r="Z303" i="1"/>
  <c r="Y303" i="1"/>
  <c r="AA308" i="1"/>
  <c r="Y308" i="1"/>
  <c r="Z308" i="1"/>
  <c r="Q312" i="1"/>
  <c r="Q321" i="1"/>
  <c r="AA326" i="1"/>
  <c r="Y326" i="1"/>
  <c r="Z326" i="1"/>
  <c r="AA332" i="1"/>
  <c r="Y332" i="1"/>
  <c r="Z332" i="1"/>
  <c r="Q336" i="1"/>
  <c r="AA341" i="1"/>
  <c r="Y341" i="1"/>
  <c r="Z341" i="1"/>
  <c r="Q345" i="1"/>
  <c r="AA350" i="1"/>
  <c r="Y350" i="1"/>
  <c r="Z350" i="1"/>
  <c r="Q354" i="1"/>
  <c r="Q360" i="1"/>
  <c r="AA365" i="1"/>
  <c r="Y365" i="1"/>
  <c r="Z365" i="1"/>
  <c r="Q369" i="1"/>
  <c r="AA377" i="1"/>
  <c r="Z377" i="1"/>
  <c r="Y377" i="1"/>
  <c r="Q381" i="1"/>
  <c r="AA388" i="1"/>
  <c r="Z388" i="1"/>
  <c r="Y388" i="1"/>
  <c r="AA396" i="1"/>
  <c r="Z396" i="1"/>
  <c r="Y396" i="1"/>
  <c r="Q401" i="1"/>
  <c r="Q409" i="1"/>
  <c r="AA418" i="1"/>
  <c r="Z418" i="1"/>
  <c r="Y418" i="1"/>
  <c r="Q425" i="1"/>
  <c r="Q433" i="1"/>
  <c r="AA441" i="1"/>
  <c r="Z441" i="1"/>
  <c r="Y441" i="1"/>
  <c r="Q448" i="1"/>
  <c r="AA454" i="1"/>
  <c r="Z454" i="1"/>
  <c r="Y454" i="1"/>
  <c r="Q459" i="1"/>
  <c r="AA459" i="1"/>
  <c r="Z459" i="1"/>
  <c r="Y459" i="1"/>
  <c r="Q466" i="1"/>
  <c r="AA473" i="1"/>
  <c r="Z473" i="1"/>
  <c r="Y473" i="1"/>
  <c r="Q478" i="1"/>
  <c r="AA478" i="1"/>
  <c r="Z478" i="1"/>
  <c r="Y478" i="1"/>
  <c r="AA484" i="1"/>
  <c r="Z484" i="1"/>
  <c r="Y484" i="1"/>
  <c r="AA491" i="1"/>
  <c r="Z491" i="1"/>
  <c r="Y491" i="1"/>
  <c r="Q499" i="1"/>
  <c r="AA499" i="1"/>
  <c r="Z499" i="1"/>
  <c r="Y499" i="1"/>
  <c r="Q508" i="1"/>
  <c r="Q515" i="1"/>
  <c r="AE515" i="1" s="1"/>
  <c r="AA515" i="1"/>
  <c r="Z515" i="1"/>
  <c r="Y515" i="1"/>
  <c r="AA522" i="1"/>
  <c r="Z522" i="1"/>
  <c r="Y522" i="1"/>
  <c r="Q527" i="1"/>
  <c r="Z527" i="1"/>
  <c r="Y527" i="1"/>
  <c r="AA527" i="1"/>
  <c r="Q535" i="1"/>
  <c r="Q542" i="1"/>
  <c r="AE542" i="1" s="1"/>
  <c r="Y542" i="1"/>
  <c r="AA542" i="1"/>
  <c r="Z542" i="1"/>
  <c r="AA549" i="1"/>
  <c r="Z549" i="1"/>
  <c r="Y549" i="1"/>
  <c r="Q555" i="1"/>
  <c r="Q561" i="1"/>
  <c r="Q569" i="1"/>
  <c r="AA569" i="1"/>
  <c r="Z569" i="1"/>
  <c r="Y569" i="1"/>
  <c r="AA577" i="1"/>
  <c r="Z577" i="1"/>
  <c r="Y577" i="1"/>
  <c r="Q589" i="1"/>
  <c r="AA589" i="1"/>
  <c r="Z589" i="1"/>
  <c r="Y589" i="1"/>
  <c r="Q596" i="1"/>
  <c r="AA596" i="1"/>
  <c r="Z596" i="1"/>
  <c r="Y596" i="1"/>
  <c r="Q605" i="1"/>
  <c r="AA605" i="1"/>
  <c r="Z605" i="1"/>
  <c r="Y605" i="1"/>
  <c r="Q612" i="1"/>
  <c r="AA612" i="1"/>
  <c r="Z612" i="1"/>
  <c r="Y612" i="1"/>
  <c r="Q620" i="1"/>
  <c r="AA620" i="1"/>
  <c r="Z620" i="1"/>
  <c r="Y620" i="1"/>
  <c r="Q627" i="1"/>
  <c r="AA627" i="1"/>
  <c r="Z627" i="1"/>
  <c r="Y627" i="1"/>
  <c r="AA637" i="1"/>
  <c r="Z637" i="1"/>
  <c r="Y637" i="1"/>
  <c r="Y153" i="1"/>
  <c r="Y217" i="1"/>
  <c r="AE16" i="1"/>
  <c r="AE500" i="1"/>
  <c r="AE532" i="1"/>
  <c r="AE524" i="1"/>
  <c r="AE484" i="1"/>
  <c r="AE508" i="1"/>
  <c r="AE483" i="1"/>
  <c r="AE499" i="1"/>
  <c r="AE523" i="1"/>
  <c r="AE531" i="1"/>
  <c r="AE547" i="1"/>
  <c r="AE482" i="1"/>
  <c r="AE506" i="1"/>
  <c r="AE514" i="1"/>
  <c r="AE522" i="1"/>
  <c r="AE530" i="1"/>
  <c r="AE546" i="1"/>
  <c r="AE497" i="1"/>
  <c r="AE505" i="1"/>
  <c r="AE513" i="1"/>
  <c r="AE521" i="1"/>
  <c r="AE537" i="1"/>
  <c r="AE545" i="1"/>
  <c r="AE559" i="1"/>
  <c r="AE488" i="1"/>
  <c r="AE496" i="1"/>
  <c r="AE512" i="1"/>
  <c r="AE520" i="1"/>
  <c r="AE536" i="1"/>
  <c r="AE544" i="1"/>
  <c r="AE487" i="1"/>
  <c r="AE511" i="1"/>
  <c r="AE535" i="1"/>
  <c r="AE543" i="1"/>
  <c r="AE551" i="1"/>
  <c r="AE486" i="1"/>
  <c r="AE494" i="1"/>
  <c r="AE510" i="1"/>
  <c r="AE518" i="1"/>
  <c r="AE526" i="1"/>
  <c r="AE534" i="1"/>
  <c r="AE550" i="1"/>
  <c r="AE485" i="1"/>
  <c r="AE493" i="1"/>
  <c r="AE501" i="1"/>
  <c r="AE525" i="1"/>
  <c r="AE533" i="1"/>
  <c r="AE541" i="1"/>
  <c r="AE549" i="1"/>
  <c r="AE558" i="1"/>
  <c r="AE566" i="1"/>
  <c r="AE557" i="1"/>
  <c r="AE565" i="1"/>
  <c r="AE556" i="1"/>
  <c r="AE564" i="1"/>
  <c r="AE555" i="1"/>
  <c r="AE563" i="1"/>
  <c r="AE554" i="1"/>
  <c r="AE561" i="1"/>
  <c r="AE552" i="1"/>
  <c r="AE560" i="1"/>
  <c r="Q900" i="1"/>
  <c r="Q1506" i="1"/>
  <c r="Q2516" i="1"/>
  <c r="Q3076" i="1"/>
  <c r="W818" i="1"/>
  <c r="Q818" i="1" s="1"/>
  <c r="W900" i="1"/>
  <c r="AD49" i="1" l="1"/>
  <c r="AC49" i="1"/>
  <c r="AB49" i="1"/>
  <c r="AE49" i="1"/>
  <c r="AE368" i="1"/>
  <c r="AD368" i="1"/>
  <c r="AC368" i="1"/>
  <c r="AB368" i="1"/>
  <c r="AE280" i="1"/>
  <c r="AD280" i="1"/>
  <c r="AC280" i="1"/>
  <c r="AB280" i="1"/>
  <c r="AE163" i="1"/>
  <c r="AD163" i="1"/>
  <c r="AC163" i="1"/>
  <c r="AB163" i="1"/>
  <c r="AD525" i="1"/>
  <c r="AC525" i="1"/>
  <c r="AB525" i="1"/>
  <c r="AE608" i="1"/>
  <c r="AD608" i="1"/>
  <c r="AC608" i="1"/>
  <c r="AB608" i="1"/>
  <c r="AE279" i="1"/>
  <c r="AD279" i="1"/>
  <c r="AC279" i="1"/>
  <c r="AB279" i="1"/>
  <c r="AE627" i="1"/>
  <c r="AD627" i="1"/>
  <c r="AC627" i="1"/>
  <c r="AB627" i="1"/>
  <c r="AD527" i="1"/>
  <c r="AC527" i="1"/>
  <c r="AB527" i="1"/>
  <c r="AE345" i="1"/>
  <c r="AD345" i="1"/>
  <c r="AC345" i="1"/>
  <c r="AB345" i="1"/>
  <c r="AE281" i="1"/>
  <c r="AD281" i="1"/>
  <c r="AC281" i="1"/>
  <c r="AB281" i="1"/>
  <c r="AE236" i="1"/>
  <c r="AD236" i="1"/>
  <c r="AC236" i="1"/>
  <c r="AB236" i="1"/>
  <c r="AE139" i="1"/>
  <c r="AD139" i="1"/>
  <c r="AC139" i="1"/>
  <c r="AB139" i="1"/>
  <c r="AD64" i="1"/>
  <c r="AC64" i="1"/>
  <c r="AB64" i="1"/>
  <c r="AE64" i="1"/>
  <c r="AE634" i="1"/>
  <c r="AD634" i="1"/>
  <c r="AC634" i="1"/>
  <c r="AB634" i="1"/>
  <c r="AE164" i="1"/>
  <c r="AD164" i="1"/>
  <c r="AC164" i="1"/>
  <c r="AB164" i="1"/>
  <c r="AD56" i="1"/>
  <c r="AC56" i="1"/>
  <c r="AB56" i="1"/>
  <c r="AE56" i="1"/>
  <c r="AE625" i="1"/>
  <c r="AD625" i="1"/>
  <c r="AC625" i="1"/>
  <c r="AB625" i="1"/>
  <c r="AE610" i="1"/>
  <c r="AD610" i="1"/>
  <c r="AC610" i="1"/>
  <c r="AB610" i="1"/>
  <c r="AE594" i="1"/>
  <c r="AD594" i="1"/>
  <c r="AC594" i="1"/>
  <c r="AB594" i="1"/>
  <c r="AE567" i="1"/>
  <c r="AD567" i="1"/>
  <c r="AC567" i="1"/>
  <c r="AB567" i="1"/>
  <c r="AD554" i="1"/>
  <c r="AC554" i="1"/>
  <c r="AB554" i="1"/>
  <c r="AE359" i="1"/>
  <c r="AD359" i="1"/>
  <c r="AC359" i="1"/>
  <c r="AB359" i="1"/>
  <c r="AE311" i="1"/>
  <c r="AD311" i="1"/>
  <c r="AC311" i="1"/>
  <c r="AB311" i="1"/>
  <c r="AE265" i="1"/>
  <c r="AD265" i="1"/>
  <c r="AC265" i="1"/>
  <c r="AB265" i="1"/>
  <c r="AE240" i="1"/>
  <c r="AD240" i="1"/>
  <c r="AC240" i="1"/>
  <c r="AB240" i="1"/>
  <c r="AE137" i="1"/>
  <c r="AD137" i="1"/>
  <c r="AC137" i="1"/>
  <c r="AB137" i="1"/>
  <c r="AD119" i="1"/>
  <c r="AC119" i="1"/>
  <c r="AB119" i="1"/>
  <c r="AE119" i="1"/>
  <c r="AD107" i="1"/>
  <c r="AC107" i="1"/>
  <c r="AB107" i="1"/>
  <c r="AE107" i="1"/>
  <c r="AD68" i="1"/>
  <c r="AC68" i="1"/>
  <c r="AB68" i="1"/>
  <c r="AE68" i="1"/>
  <c r="AD25" i="1"/>
  <c r="AC25" i="1"/>
  <c r="AB25" i="1"/>
  <c r="AE25" i="1"/>
  <c r="AD496" i="1"/>
  <c r="AC496" i="1"/>
  <c r="AB496" i="1"/>
  <c r="AD494" i="1"/>
  <c r="AC494" i="1"/>
  <c r="AB494" i="1"/>
  <c r="AE570" i="1"/>
  <c r="AD570" i="1"/>
  <c r="AC570" i="1"/>
  <c r="AB570" i="1"/>
  <c r="AE362" i="1"/>
  <c r="AD362" i="1"/>
  <c r="AC362" i="1"/>
  <c r="AB362" i="1"/>
  <c r="AD78" i="1"/>
  <c r="AC78" i="1"/>
  <c r="AB78" i="1"/>
  <c r="AE78" i="1"/>
  <c r="AE355" i="1"/>
  <c r="AD355" i="1"/>
  <c r="AC355" i="1"/>
  <c r="AB355" i="1"/>
  <c r="AC387" i="1"/>
  <c r="AB387" i="1"/>
  <c r="AE387" i="1"/>
  <c r="AD387" i="1"/>
  <c r="AE630" i="1"/>
  <c r="AD630" i="1"/>
  <c r="AC630" i="1"/>
  <c r="AB630" i="1"/>
  <c r="AE614" i="1"/>
  <c r="AD614" i="1"/>
  <c r="AC614" i="1"/>
  <c r="AB614" i="1"/>
  <c r="AE584" i="1"/>
  <c r="AD584" i="1"/>
  <c r="AC584" i="1"/>
  <c r="AB584" i="1"/>
  <c r="AE613" i="1"/>
  <c r="AD613" i="1"/>
  <c r="AC613" i="1"/>
  <c r="AB613" i="1"/>
  <c r="AE224" i="1"/>
  <c r="AD224" i="1"/>
  <c r="AC224" i="1"/>
  <c r="AB224" i="1"/>
  <c r="AD536" i="1"/>
  <c r="AC536" i="1"/>
  <c r="AB536" i="1"/>
  <c r="AD115" i="1"/>
  <c r="AC115" i="1"/>
  <c r="AB115" i="1"/>
  <c r="AE115" i="1"/>
  <c r="AD71" i="1"/>
  <c r="AC71" i="1"/>
  <c r="AB71" i="1"/>
  <c r="AE71" i="1"/>
  <c r="AE306" i="1"/>
  <c r="AD306" i="1"/>
  <c r="AC306" i="1"/>
  <c r="AB306" i="1"/>
  <c r="AD553" i="1"/>
  <c r="AC553" i="1"/>
  <c r="AB553" i="1"/>
  <c r="AD31" i="1"/>
  <c r="AC31" i="1"/>
  <c r="AB31" i="1"/>
  <c r="AE31" i="1"/>
  <c r="AE589" i="1"/>
  <c r="AD589" i="1"/>
  <c r="AC589" i="1"/>
  <c r="AB589" i="1"/>
  <c r="AC409" i="1"/>
  <c r="AB409" i="1"/>
  <c r="AE409" i="1"/>
  <c r="AD409" i="1"/>
  <c r="AE360" i="1"/>
  <c r="AD360" i="1"/>
  <c r="AC360" i="1"/>
  <c r="AB360" i="1"/>
  <c r="AE321" i="1"/>
  <c r="AD321" i="1"/>
  <c r="AC321" i="1"/>
  <c r="AB321" i="1"/>
  <c r="AE303" i="1"/>
  <c r="AD303" i="1"/>
  <c r="AC303" i="1"/>
  <c r="AB303" i="1"/>
  <c r="AE189" i="1"/>
  <c r="AD189" i="1"/>
  <c r="AC189" i="1"/>
  <c r="AB189" i="1"/>
  <c r="AD114" i="1"/>
  <c r="AC114" i="1"/>
  <c r="AB114" i="1"/>
  <c r="AE114" i="1"/>
  <c r="AD22" i="1"/>
  <c r="AC22" i="1"/>
  <c r="AB22" i="1"/>
  <c r="AE22" i="1"/>
  <c r="AC477" i="1"/>
  <c r="AB477" i="1"/>
  <c r="AE477" i="1"/>
  <c r="AD477" i="1"/>
  <c r="AC439" i="1"/>
  <c r="AB439" i="1"/>
  <c r="AE439" i="1"/>
  <c r="AD439" i="1"/>
  <c r="AC400" i="1"/>
  <c r="AB400" i="1"/>
  <c r="AE400" i="1"/>
  <c r="AD400" i="1"/>
  <c r="AE180" i="1"/>
  <c r="AD180" i="1"/>
  <c r="AC180" i="1"/>
  <c r="AB180" i="1"/>
  <c r="AE158" i="1"/>
  <c r="AD158" i="1"/>
  <c r="AC158" i="1"/>
  <c r="AB158" i="1"/>
  <c r="AD102" i="1"/>
  <c r="AC102" i="1"/>
  <c r="AB102" i="1"/>
  <c r="AE102" i="1"/>
  <c r="AD63" i="1"/>
  <c r="AC63" i="1"/>
  <c r="AB63" i="1"/>
  <c r="AE63" i="1"/>
  <c r="AE151" i="1"/>
  <c r="AD151" i="1"/>
  <c r="AC151" i="1"/>
  <c r="AB151" i="1"/>
  <c r="AE131" i="1"/>
  <c r="AD131" i="1"/>
  <c r="AC131" i="1"/>
  <c r="AB131" i="1"/>
  <c r="AD486" i="1"/>
  <c r="AC486" i="1"/>
  <c r="AB486" i="1"/>
  <c r="AD30" i="1"/>
  <c r="AC30" i="1"/>
  <c r="AB30" i="1"/>
  <c r="AE30" i="1"/>
  <c r="AE299" i="1"/>
  <c r="AD299" i="1"/>
  <c r="AC299" i="1"/>
  <c r="AB299" i="1"/>
  <c r="AE231" i="1"/>
  <c r="AD231" i="1"/>
  <c r="AC231" i="1"/>
  <c r="AB231" i="1"/>
  <c r="AD520" i="1"/>
  <c r="AC520" i="1"/>
  <c r="AB520" i="1"/>
  <c r="AC406" i="1"/>
  <c r="AB406" i="1"/>
  <c r="AE406" i="1"/>
  <c r="AD406" i="1"/>
  <c r="AE375" i="1"/>
  <c r="AD375" i="1"/>
  <c r="AC375" i="1"/>
  <c r="AB375" i="1"/>
  <c r="AE357" i="1"/>
  <c r="AD357" i="1"/>
  <c r="AC357" i="1"/>
  <c r="AB357" i="1"/>
  <c r="AE318" i="1"/>
  <c r="AD318" i="1"/>
  <c r="AC318" i="1"/>
  <c r="AB318" i="1"/>
  <c r="AE275" i="1"/>
  <c r="AD275" i="1"/>
  <c r="AC275" i="1"/>
  <c r="AB275" i="1"/>
  <c r="AC449" i="1"/>
  <c r="AB449" i="1"/>
  <c r="AE449" i="1"/>
  <c r="AD449" i="1"/>
  <c r="AC403" i="1"/>
  <c r="AB403" i="1"/>
  <c r="AE403" i="1"/>
  <c r="AD403" i="1"/>
  <c r="AE126" i="1"/>
  <c r="AD126" i="1"/>
  <c r="AC126" i="1"/>
  <c r="AB126" i="1"/>
  <c r="AD566" i="1"/>
  <c r="AC566" i="1"/>
  <c r="AB566" i="1"/>
  <c r="AC481" i="1"/>
  <c r="AB481" i="1"/>
  <c r="AE481" i="1"/>
  <c r="AD481" i="1"/>
  <c r="AC469" i="1"/>
  <c r="AB469" i="1"/>
  <c r="AE469" i="1"/>
  <c r="AD469" i="1"/>
  <c r="AC451" i="1"/>
  <c r="AB451" i="1"/>
  <c r="AE451" i="1"/>
  <c r="AD451" i="1"/>
  <c r="AC437" i="1"/>
  <c r="AB437" i="1"/>
  <c r="AE437" i="1"/>
  <c r="AD437" i="1"/>
  <c r="AC423" i="1"/>
  <c r="AB423" i="1"/>
  <c r="AE423" i="1"/>
  <c r="AD423" i="1"/>
  <c r="AC405" i="1"/>
  <c r="AB405" i="1"/>
  <c r="AE405" i="1"/>
  <c r="AD405" i="1"/>
  <c r="AE343" i="1"/>
  <c r="AD343" i="1"/>
  <c r="AC343" i="1"/>
  <c r="AB343" i="1"/>
  <c r="AE296" i="1"/>
  <c r="AD296" i="1"/>
  <c r="AC296" i="1"/>
  <c r="AB296" i="1"/>
  <c r="AE178" i="1"/>
  <c r="AD178" i="1"/>
  <c r="AC178" i="1"/>
  <c r="AB178" i="1"/>
  <c r="AE130" i="1"/>
  <c r="AD130" i="1"/>
  <c r="AC130" i="1"/>
  <c r="AB130" i="1"/>
  <c r="AC479" i="1"/>
  <c r="AB479" i="1"/>
  <c r="AE479" i="1"/>
  <c r="AD479" i="1"/>
  <c r="AC453" i="1"/>
  <c r="AB453" i="1"/>
  <c r="AE453" i="1"/>
  <c r="AD453" i="1"/>
  <c r="AE571" i="1"/>
  <c r="AD571" i="1"/>
  <c r="AC571" i="1"/>
  <c r="AB571" i="1"/>
  <c r="AC557" i="1"/>
  <c r="AB557" i="1"/>
  <c r="AD557" i="1"/>
  <c r="AB537" i="1"/>
  <c r="AD537" i="1"/>
  <c r="AC537" i="1"/>
  <c r="AD523" i="1"/>
  <c r="AC523" i="1"/>
  <c r="AB523" i="1"/>
  <c r="AE171" i="1"/>
  <c r="AD171" i="1"/>
  <c r="AC171" i="1"/>
  <c r="AB171" i="1"/>
  <c r="AE135" i="1"/>
  <c r="AD135" i="1"/>
  <c r="AC135" i="1"/>
  <c r="AB135" i="1"/>
  <c r="AC440" i="1"/>
  <c r="AB440" i="1"/>
  <c r="AE440" i="1"/>
  <c r="AD440" i="1"/>
  <c r="AE159" i="1"/>
  <c r="AD159" i="1"/>
  <c r="AC159" i="1"/>
  <c r="AB159" i="1"/>
  <c r="AE122" i="1"/>
  <c r="AD122" i="1"/>
  <c r="AC122" i="1"/>
  <c r="AB122" i="1"/>
  <c r="AE593" i="1"/>
  <c r="AD593" i="1"/>
  <c r="AC593" i="1"/>
  <c r="AB593" i="1"/>
  <c r="AD539" i="1"/>
  <c r="AC539" i="1"/>
  <c r="AB539" i="1"/>
  <c r="AE157" i="1"/>
  <c r="AD157" i="1"/>
  <c r="AC157" i="1"/>
  <c r="AB157" i="1"/>
  <c r="AC427" i="1"/>
  <c r="AB427" i="1"/>
  <c r="AE427" i="1"/>
  <c r="AD427" i="1"/>
  <c r="AE605" i="1"/>
  <c r="AD605" i="1"/>
  <c r="AC605" i="1"/>
  <c r="AB605" i="1"/>
  <c r="AD542" i="1"/>
  <c r="AC542" i="1"/>
  <c r="AB542" i="1"/>
  <c r="AE553" i="1"/>
  <c r="AE354" i="1"/>
  <c r="AD354" i="1"/>
  <c r="AC354" i="1"/>
  <c r="AB354" i="1"/>
  <c r="AE312" i="1"/>
  <c r="AD312" i="1"/>
  <c r="AC312" i="1"/>
  <c r="AB312" i="1"/>
  <c r="AE272" i="1"/>
  <c r="AD272" i="1"/>
  <c r="AC272" i="1"/>
  <c r="AB272" i="1"/>
  <c r="AE181" i="1"/>
  <c r="AD181" i="1"/>
  <c r="AC181" i="1"/>
  <c r="AB181" i="1"/>
  <c r="AE146" i="1"/>
  <c r="AD146" i="1"/>
  <c r="AC146" i="1"/>
  <c r="AB146" i="1"/>
  <c r="AE626" i="1"/>
  <c r="AD626" i="1"/>
  <c r="AC626" i="1"/>
  <c r="AB626" i="1"/>
  <c r="AE611" i="1"/>
  <c r="AD611" i="1"/>
  <c r="AC611" i="1"/>
  <c r="AB611" i="1"/>
  <c r="AE595" i="1"/>
  <c r="AD595" i="1"/>
  <c r="AC595" i="1"/>
  <c r="AB595" i="1"/>
  <c r="AE138" i="1"/>
  <c r="AD138" i="1"/>
  <c r="AC138" i="1"/>
  <c r="AB138" i="1"/>
  <c r="AD534" i="1"/>
  <c r="AC534" i="1"/>
  <c r="AB534" i="1"/>
  <c r="AC464" i="1"/>
  <c r="AB464" i="1"/>
  <c r="AE464" i="1"/>
  <c r="AD464" i="1"/>
  <c r="AC432" i="1"/>
  <c r="AB432" i="1"/>
  <c r="AE432" i="1"/>
  <c r="AD432" i="1"/>
  <c r="AC394" i="1"/>
  <c r="AB394" i="1"/>
  <c r="AE394" i="1"/>
  <c r="AD394" i="1"/>
  <c r="AE173" i="1"/>
  <c r="AD173" i="1"/>
  <c r="AC173" i="1"/>
  <c r="AB173" i="1"/>
  <c r="AD93" i="1"/>
  <c r="AC93" i="1"/>
  <c r="AB93" i="1"/>
  <c r="AE93" i="1"/>
  <c r="AD74" i="1"/>
  <c r="AC74" i="1"/>
  <c r="AB74" i="1"/>
  <c r="AE74" i="1"/>
  <c r="AD32" i="1"/>
  <c r="AC32" i="1"/>
  <c r="AB32" i="1"/>
  <c r="AE32" i="1"/>
  <c r="AC14" i="1"/>
  <c r="AB14" i="1"/>
  <c r="AD14" i="1"/>
  <c r="AE14" i="1"/>
  <c r="AD551" i="1"/>
  <c r="AC551" i="1"/>
  <c r="AB551" i="1"/>
  <c r="AC467" i="1"/>
  <c r="AB467" i="1"/>
  <c r="AE467" i="1"/>
  <c r="AD467" i="1"/>
  <c r="AC10" i="1"/>
  <c r="AB10" i="1"/>
  <c r="AD10" i="1"/>
  <c r="AE10" i="1"/>
  <c r="AD512" i="1"/>
  <c r="AC512" i="1"/>
  <c r="AB512" i="1"/>
  <c r="AE310" i="1"/>
  <c r="AD310" i="1"/>
  <c r="AC310" i="1"/>
  <c r="AB310" i="1"/>
  <c r="AE292" i="1"/>
  <c r="AD292" i="1"/>
  <c r="AC292" i="1"/>
  <c r="AB292" i="1"/>
  <c r="AE270" i="1"/>
  <c r="AD270" i="1"/>
  <c r="AC270" i="1"/>
  <c r="AB270" i="1"/>
  <c r="AE248" i="1"/>
  <c r="AD248" i="1"/>
  <c r="AB248" i="1"/>
  <c r="AC248" i="1"/>
  <c r="AE217" i="1"/>
  <c r="AD217" i="1"/>
  <c r="AC217" i="1"/>
  <c r="AB217" i="1"/>
  <c r="AD117" i="1"/>
  <c r="AC117" i="1"/>
  <c r="AB117" i="1"/>
  <c r="AE117" i="1"/>
  <c r="AE167" i="1"/>
  <c r="AD167" i="1"/>
  <c r="AC167" i="1"/>
  <c r="AB167" i="1"/>
  <c r="AD111" i="1"/>
  <c r="AC111" i="1"/>
  <c r="AB111" i="1"/>
  <c r="AE111" i="1"/>
  <c r="AD86" i="1"/>
  <c r="AC86" i="1"/>
  <c r="AB86" i="1"/>
  <c r="AE86" i="1"/>
  <c r="AC379" i="1"/>
  <c r="AB379" i="1"/>
  <c r="AE379" i="1"/>
  <c r="AD379" i="1"/>
  <c r="AE124" i="1"/>
  <c r="AD124" i="1"/>
  <c r="AC124" i="1"/>
  <c r="AB124" i="1"/>
  <c r="AD558" i="1"/>
  <c r="AC558" i="1"/>
  <c r="AB558" i="1"/>
  <c r="AD501" i="1"/>
  <c r="AC501" i="1"/>
  <c r="AB501" i="1"/>
  <c r="AC461" i="1"/>
  <c r="AB461" i="1"/>
  <c r="AE461" i="1"/>
  <c r="AD461" i="1"/>
  <c r="AE628" i="1"/>
  <c r="AD628" i="1"/>
  <c r="AC628" i="1"/>
  <c r="AB628" i="1"/>
  <c r="AB556" i="1"/>
  <c r="AD556" i="1"/>
  <c r="AC556" i="1"/>
  <c r="AD544" i="1"/>
  <c r="AC544" i="1"/>
  <c r="AB544" i="1"/>
  <c r="AC411" i="1"/>
  <c r="AB411" i="1"/>
  <c r="AE411" i="1"/>
  <c r="AD411" i="1"/>
  <c r="AD493" i="1"/>
  <c r="AC493" i="1"/>
  <c r="AB493" i="1"/>
  <c r="AD82" i="1"/>
  <c r="AC82" i="1"/>
  <c r="AB82" i="1"/>
  <c r="AE82" i="1"/>
  <c r="AC6" i="1"/>
  <c r="AB6" i="1"/>
  <c r="AD6" i="1"/>
  <c r="AE6" i="1"/>
  <c r="AD548" i="1"/>
  <c r="AC548" i="1"/>
  <c r="AB548" i="1"/>
  <c r="AE574" i="1"/>
  <c r="AD574" i="1"/>
  <c r="AC574" i="1"/>
  <c r="AB574" i="1"/>
  <c r="AE606" i="1"/>
  <c r="AD606" i="1"/>
  <c r="AC606" i="1"/>
  <c r="AB606" i="1"/>
  <c r="AE620" i="1"/>
  <c r="AD620" i="1"/>
  <c r="AC620" i="1"/>
  <c r="AB620" i="1"/>
  <c r="AD561" i="1"/>
  <c r="AC561" i="1"/>
  <c r="AB561" i="1"/>
  <c r="AC381" i="1"/>
  <c r="AB381" i="1"/>
  <c r="AE381" i="1"/>
  <c r="AD381" i="1"/>
  <c r="AE527" i="1"/>
  <c r="AD555" i="1"/>
  <c r="AC555" i="1"/>
  <c r="AB555" i="1"/>
  <c r="AD535" i="1"/>
  <c r="AC535" i="1"/>
  <c r="AB535" i="1"/>
  <c r="AD499" i="1"/>
  <c r="AC499" i="1"/>
  <c r="AB499" i="1"/>
  <c r="AC401" i="1"/>
  <c r="AB401" i="1"/>
  <c r="AE401" i="1"/>
  <c r="AD401" i="1"/>
  <c r="AE336" i="1"/>
  <c r="AD336" i="1"/>
  <c r="AC336" i="1"/>
  <c r="AB336" i="1"/>
  <c r="AE298" i="1"/>
  <c r="AD298" i="1"/>
  <c r="AC298" i="1"/>
  <c r="AB298" i="1"/>
  <c r="AE222" i="1"/>
  <c r="AD222" i="1"/>
  <c r="AC222" i="1"/>
  <c r="AB222" i="1"/>
  <c r="AE539" i="1"/>
  <c r="AE266" i="1"/>
  <c r="AD266" i="1"/>
  <c r="AC266" i="1"/>
  <c r="AB266" i="1"/>
  <c r="AE174" i="1"/>
  <c r="AD174" i="1"/>
  <c r="AC174" i="1"/>
  <c r="AB174" i="1"/>
  <c r="AD95" i="1"/>
  <c r="AC95" i="1"/>
  <c r="AB95" i="1"/>
  <c r="AE95" i="1"/>
  <c r="AE617" i="1"/>
  <c r="AD617" i="1"/>
  <c r="AC617" i="1"/>
  <c r="AB617" i="1"/>
  <c r="AE603" i="1"/>
  <c r="AD603" i="1"/>
  <c r="AC603" i="1"/>
  <c r="AB603" i="1"/>
  <c r="AE587" i="1"/>
  <c r="AD587" i="1"/>
  <c r="AC587" i="1"/>
  <c r="AB587" i="1"/>
  <c r="AD560" i="1"/>
  <c r="AC560" i="1"/>
  <c r="AB560" i="1"/>
  <c r="AD547" i="1"/>
  <c r="AC547" i="1"/>
  <c r="AB547" i="1"/>
  <c r="AC457" i="1"/>
  <c r="AB457" i="1"/>
  <c r="AE457" i="1"/>
  <c r="AD457" i="1"/>
  <c r="AC424" i="1"/>
  <c r="AB424" i="1"/>
  <c r="AE424" i="1"/>
  <c r="AD424" i="1"/>
  <c r="AC385" i="1"/>
  <c r="AB385" i="1"/>
  <c r="AE385" i="1"/>
  <c r="AD385" i="1"/>
  <c r="AE335" i="1"/>
  <c r="AD335" i="1"/>
  <c r="AC335" i="1"/>
  <c r="AB335" i="1"/>
  <c r="AE319" i="1"/>
  <c r="AD319" i="1"/>
  <c r="AC319" i="1"/>
  <c r="AB319" i="1"/>
  <c r="AE254" i="1"/>
  <c r="AD254" i="1"/>
  <c r="AB254" i="1"/>
  <c r="AC254" i="1"/>
  <c r="AE235" i="1"/>
  <c r="AD235" i="1"/>
  <c r="AC235" i="1"/>
  <c r="AB235" i="1"/>
  <c r="AE125" i="1"/>
  <c r="AD125" i="1"/>
  <c r="AC125" i="1"/>
  <c r="AB125" i="1"/>
  <c r="AD88" i="1"/>
  <c r="AC88" i="1"/>
  <c r="AB88" i="1"/>
  <c r="AE88" i="1"/>
  <c r="AD62" i="1"/>
  <c r="AC62" i="1"/>
  <c r="AB62" i="1"/>
  <c r="AE62" i="1"/>
  <c r="AD37" i="1"/>
  <c r="AC37" i="1"/>
  <c r="AB37" i="1"/>
  <c r="AE37" i="1"/>
  <c r="AE195" i="1"/>
  <c r="AD195" i="1"/>
  <c r="AC195" i="1"/>
  <c r="AB195" i="1"/>
  <c r="AD51" i="1"/>
  <c r="AC51" i="1"/>
  <c r="AB51" i="1"/>
  <c r="AE51" i="1"/>
  <c r="AE339" i="1"/>
  <c r="AD339" i="1"/>
  <c r="AC339" i="1"/>
  <c r="AB339" i="1"/>
  <c r="AE208" i="1"/>
  <c r="AD208" i="1"/>
  <c r="AC208" i="1"/>
  <c r="AB208" i="1"/>
  <c r="AE168" i="1"/>
  <c r="AD168" i="1"/>
  <c r="AC168" i="1"/>
  <c r="AB168" i="1"/>
  <c r="AD112" i="1"/>
  <c r="AC112" i="1"/>
  <c r="AB112" i="1"/>
  <c r="AE112" i="1"/>
  <c r="AD39" i="1"/>
  <c r="AC39" i="1"/>
  <c r="AB39" i="1"/>
  <c r="AE39" i="1"/>
  <c r="AE622" i="1"/>
  <c r="AD622" i="1"/>
  <c r="AC622" i="1"/>
  <c r="AB622" i="1"/>
  <c r="AD87" i="1"/>
  <c r="AC87" i="1"/>
  <c r="AB87" i="1"/>
  <c r="AE87" i="1"/>
  <c r="AD47" i="1"/>
  <c r="AC47" i="1"/>
  <c r="AB47" i="1"/>
  <c r="AE47" i="1"/>
  <c r="AE629" i="1"/>
  <c r="AD629" i="1"/>
  <c r="AC629" i="1"/>
  <c r="AB629" i="1"/>
  <c r="AC455" i="1"/>
  <c r="AB455" i="1"/>
  <c r="AE455" i="1"/>
  <c r="AD455" i="1"/>
  <c r="AE351" i="1"/>
  <c r="AD351" i="1"/>
  <c r="AC351" i="1"/>
  <c r="AB351" i="1"/>
  <c r="AE295" i="1"/>
  <c r="AD295" i="1"/>
  <c r="AC295" i="1"/>
  <c r="AB295" i="1"/>
  <c r="AD42" i="1"/>
  <c r="AC42" i="1"/>
  <c r="AB42" i="1"/>
  <c r="AE42" i="1"/>
  <c r="AD18" i="1"/>
  <c r="AC18" i="1"/>
  <c r="AB18" i="1"/>
  <c r="AE18" i="1"/>
  <c r="AC448" i="1"/>
  <c r="AB448" i="1"/>
  <c r="AE448" i="1"/>
  <c r="AD448" i="1"/>
  <c r="AE353" i="1"/>
  <c r="AD353" i="1"/>
  <c r="AC353" i="1"/>
  <c r="AB353" i="1"/>
  <c r="AE219" i="1"/>
  <c r="AD219" i="1"/>
  <c r="AC219" i="1"/>
  <c r="AB219" i="1"/>
  <c r="AE363" i="1"/>
  <c r="AD363" i="1"/>
  <c r="AC363" i="1"/>
  <c r="AB363" i="1"/>
  <c r="AE592" i="1"/>
  <c r="AD592" i="1"/>
  <c r="AC592" i="1"/>
  <c r="AB592" i="1"/>
  <c r="AC478" i="1"/>
  <c r="AB478" i="1"/>
  <c r="AE478" i="1"/>
  <c r="AD478" i="1"/>
  <c r="AC459" i="1"/>
  <c r="AB459" i="1"/>
  <c r="AE459" i="1"/>
  <c r="AD459" i="1"/>
  <c r="AC433" i="1"/>
  <c r="AB433" i="1"/>
  <c r="AE433" i="1"/>
  <c r="AD433" i="1"/>
  <c r="AE127" i="1"/>
  <c r="AD127" i="1"/>
  <c r="AC127" i="1"/>
  <c r="AB127" i="1"/>
  <c r="AD89" i="1"/>
  <c r="AC89" i="1"/>
  <c r="AB89" i="1"/>
  <c r="AE89" i="1"/>
  <c r="AD33" i="1"/>
  <c r="AC33" i="1"/>
  <c r="AB33" i="1"/>
  <c r="AE33" i="1"/>
  <c r="AC395" i="1"/>
  <c r="AB395" i="1"/>
  <c r="AE395" i="1"/>
  <c r="AD395" i="1"/>
  <c r="AE331" i="1"/>
  <c r="AD331" i="1"/>
  <c r="AC331" i="1"/>
  <c r="AB331" i="1"/>
  <c r="AB513" i="1"/>
  <c r="AD513" i="1"/>
  <c r="AC513" i="1"/>
  <c r="AD488" i="1"/>
  <c r="AC488" i="1"/>
  <c r="AB488" i="1"/>
  <c r="AC452" i="1"/>
  <c r="AB452" i="1"/>
  <c r="AE452" i="1"/>
  <c r="AD452" i="1"/>
  <c r="AC416" i="1"/>
  <c r="AB416" i="1"/>
  <c r="AE416" i="1"/>
  <c r="AD416" i="1"/>
  <c r="AC380" i="1"/>
  <c r="AB380" i="1"/>
  <c r="AE380" i="1"/>
  <c r="AD380" i="1"/>
  <c r="AE344" i="1"/>
  <c r="AD344" i="1"/>
  <c r="AC344" i="1"/>
  <c r="AB344" i="1"/>
  <c r="AE330" i="1"/>
  <c r="AD330" i="1"/>
  <c r="AC330" i="1"/>
  <c r="AB330" i="1"/>
  <c r="AE297" i="1"/>
  <c r="AD297" i="1"/>
  <c r="AC297" i="1"/>
  <c r="AB297" i="1"/>
  <c r="AE230" i="1"/>
  <c r="AD230" i="1"/>
  <c r="AC230" i="1"/>
  <c r="AB230" i="1"/>
  <c r="AC15" i="1"/>
  <c r="AB15" i="1"/>
  <c r="AD15" i="1"/>
  <c r="AE15" i="1"/>
  <c r="AE347" i="1"/>
  <c r="AD347" i="1"/>
  <c r="AC347" i="1"/>
  <c r="AB347" i="1"/>
  <c r="AD90" i="1"/>
  <c r="AC90" i="1"/>
  <c r="AB90" i="1"/>
  <c r="AE90" i="1"/>
  <c r="AE616" i="1"/>
  <c r="AD616" i="1"/>
  <c r="AC616" i="1"/>
  <c r="AB616" i="1"/>
  <c r="AE602" i="1"/>
  <c r="AD602" i="1"/>
  <c r="AC602" i="1"/>
  <c r="AB602" i="1"/>
  <c r="AE586" i="1"/>
  <c r="AD586" i="1"/>
  <c r="AC586" i="1"/>
  <c r="AB586" i="1"/>
  <c r="AD559" i="1"/>
  <c r="AC559" i="1"/>
  <c r="AB559" i="1"/>
  <c r="AC546" i="1"/>
  <c r="AB546" i="1"/>
  <c r="AD546" i="1"/>
  <c r="AD533" i="1"/>
  <c r="AC533" i="1"/>
  <c r="AB533" i="1"/>
  <c r="AC470" i="1"/>
  <c r="AB470" i="1"/>
  <c r="AE470" i="1"/>
  <c r="AD470" i="1"/>
  <c r="AC438" i="1"/>
  <c r="AB438" i="1"/>
  <c r="AE438" i="1"/>
  <c r="AD438" i="1"/>
  <c r="AE334" i="1"/>
  <c r="AD334" i="1"/>
  <c r="AC334" i="1"/>
  <c r="AB334" i="1"/>
  <c r="AE200" i="1"/>
  <c r="AD200" i="1"/>
  <c r="AC200" i="1"/>
  <c r="AB200" i="1"/>
  <c r="AE162" i="1"/>
  <c r="AD162" i="1"/>
  <c r="AC162" i="1"/>
  <c r="AB162" i="1"/>
  <c r="AD101" i="1"/>
  <c r="AC101" i="1"/>
  <c r="AB101" i="1"/>
  <c r="AE101" i="1"/>
  <c r="AC417" i="1"/>
  <c r="AB417" i="1"/>
  <c r="AE417" i="1"/>
  <c r="AD417" i="1"/>
  <c r="AE615" i="1"/>
  <c r="AD615" i="1"/>
  <c r="AC615" i="1"/>
  <c r="AB615" i="1"/>
  <c r="AE601" i="1"/>
  <c r="AD601" i="1"/>
  <c r="AC601" i="1"/>
  <c r="AB601" i="1"/>
  <c r="AE585" i="1"/>
  <c r="AD585" i="1"/>
  <c r="AC585" i="1"/>
  <c r="AB585" i="1"/>
  <c r="AB545" i="1"/>
  <c r="AD545" i="1"/>
  <c r="AC545" i="1"/>
  <c r="AD532" i="1"/>
  <c r="AC532" i="1"/>
  <c r="AB532" i="1"/>
  <c r="AE150" i="1"/>
  <c r="AD150" i="1"/>
  <c r="AC150" i="1"/>
  <c r="AB150" i="1"/>
  <c r="AD106" i="1"/>
  <c r="AC106" i="1"/>
  <c r="AB106" i="1"/>
  <c r="AE106" i="1"/>
  <c r="AD563" i="1"/>
  <c r="AC563" i="1"/>
  <c r="AB563" i="1"/>
  <c r="AE361" i="1"/>
  <c r="AD361" i="1"/>
  <c r="AC361" i="1"/>
  <c r="AB361" i="1"/>
  <c r="AE304" i="1"/>
  <c r="AD304" i="1"/>
  <c r="AC304" i="1"/>
  <c r="AB304" i="1"/>
  <c r="AE251" i="1"/>
  <c r="AD251" i="1"/>
  <c r="AB251" i="1"/>
  <c r="AC251" i="1"/>
  <c r="AD110" i="1"/>
  <c r="AC110" i="1"/>
  <c r="AB110" i="1"/>
  <c r="AE110" i="1"/>
  <c r="AD59" i="1"/>
  <c r="AC59" i="1"/>
  <c r="AB59" i="1"/>
  <c r="AE59" i="1"/>
  <c r="AD36" i="1"/>
  <c r="AC36" i="1"/>
  <c r="AB36" i="1"/>
  <c r="AE36" i="1"/>
  <c r="AE267" i="1"/>
  <c r="AD267" i="1"/>
  <c r="AC267" i="1"/>
  <c r="AB267" i="1"/>
  <c r="AC466" i="1"/>
  <c r="AB466" i="1"/>
  <c r="AE466" i="1"/>
  <c r="AD466" i="1"/>
  <c r="AD507" i="1"/>
  <c r="AC507" i="1"/>
  <c r="AB507" i="1"/>
  <c r="AE609" i="1"/>
  <c r="AD609" i="1"/>
  <c r="AC609" i="1"/>
  <c r="AB609" i="1"/>
  <c r="AE324" i="1"/>
  <c r="AD324" i="1"/>
  <c r="AC324" i="1"/>
  <c r="AB324" i="1"/>
  <c r="AE624" i="1"/>
  <c r="AD624" i="1"/>
  <c r="AC624" i="1"/>
  <c r="AB624" i="1"/>
  <c r="AE548" i="1"/>
  <c r="AE612" i="1"/>
  <c r="AD612" i="1"/>
  <c r="AC612" i="1"/>
  <c r="AB612" i="1"/>
  <c r="AD515" i="1"/>
  <c r="AC515" i="1"/>
  <c r="AB515" i="1"/>
  <c r="AC425" i="1"/>
  <c r="AB425" i="1"/>
  <c r="AE425" i="1"/>
  <c r="AD425" i="1"/>
  <c r="AE369" i="1"/>
  <c r="AD369" i="1"/>
  <c r="AC369" i="1"/>
  <c r="AB369" i="1"/>
  <c r="AE245" i="1"/>
  <c r="AD245" i="1"/>
  <c r="AC245" i="1"/>
  <c r="AB245" i="1"/>
  <c r="AD120" i="1"/>
  <c r="AC120" i="1"/>
  <c r="AE120" i="1"/>
  <c r="AB120" i="1"/>
  <c r="AD28" i="1"/>
  <c r="AC28" i="1"/>
  <c r="AB28" i="1"/>
  <c r="AE28" i="1"/>
  <c r="AD483" i="1"/>
  <c r="AC483" i="1"/>
  <c r="AB483" i="1"/>
  <c r="AC458" i="1"/>
  <c r="AB458" i="1"/>
  <c r="AE458" i="1"/>
  <c r="AD458" i="1"/>
  <c r="AC482" i="1"/>
  <c r="AB482" i="1"/>
  <c r="AD482" i="1"/>
  <c r="AC445" i="1"/>
  <c r="AB445" i="1"/>
  <c r="AE445" i="1"/>
  <c r="AD445" i="1"/>
  <c r="AD55" i="1"/>
  <c r="AC55" i="1"/>
  <c r="AB55" i="1"/>
  <c r="AE55" i="1"/>
  <c r="AC9" i="1"/>
  <c r="AB9" i="1"/>
  <c r="AD9" i="1"/>
  <c r="AE9" i="1"/>
  <c r="AE143" i="1"/>
  <c r="AD143" i="1"/>
  <c r="AC143" i="1"/>
  <c r="AB143" i="1"/>
  <c r="AD19" i="1"/>
  <c r="AC19" i="1"/>
  <c r="AB19" i="1"/>
  <c r="AE19" i="1"/>
  <c r="AE597" i="1"/>
  <c r="AD597" i="1"/>
  <c r="AC597" i="1"/>
  <c r="AB597" i="1"/>
  <c r="AE255" i="1"/>
  <c r="AD255" i="1"/>
  <c r="AB255" i="1"/>
  <c r="AC255" i="1"/>
  <c r="AE631" i="1"/>
  <c r="AD631" i="1"/>
  <c r="AC631" i="1"/>
  <c r="AB631" i="1"/>
  <c r="AE348" i="1"/>
  <c r="AD348" i="1"/>
  <c r="AC348" i="1"/>
  <c r="AB348" i="1"/>
  <c r="AE184" i="1"/>
  <c r="AD184" i="1"/>
  <c r="AC184" i="1"/>
  <c r="AB184" i="1"/>
  <c r="AC426" i="1"/>
  <c r="AB426" i="1"/>
  <c r="AE426" i="1"/>
  <c r="AD426" i="1"/>
  <c r="AD103" i="1"/>
  <c r="AC103" i="1"/>
  <c r="AB103" i="1"/>
  <c r="AE103" i="1"/>
  <c r="AE573" i="1"/>
  <c r="AD573" i="1"/>
  <c r="AC573" i="1"/>
  <c r="AB573" i="1"/>
  <c r="AD487" i="1"/>
  <c r="AC487" i="1"/>
  <c r="AB487" i="1"/>
  <c r="AC475" i="1"/>
  <c r="AB475" i="1"/>
  <c r="AE475" i="1"/>
  <c r="AD475" i="1"/>
  <c r="AC462" i="1"/>
  <c r="AB462" i="1"/>
  <c r="AE462" i="1"/>
  <c r="AD462" i="1"/>
  <c r="AC443" i="1"/>
  <c r="AB443" i="1"/>
  <c r="AE443" i="1"/>
  <c r="AD443" i="1"/>
  <c r="AC430" i="1"/>
  <c r="AB430" i="1"/>
  <c r="AE430" i="1"/>
  <c r="AD430" i="1"/>
  <c r="AC412" i="1"/>
  <c r="AB412" i="1"/>
  <c r="AE412" i="1"/>
  <c r="AD412" i="1"/>
  <c r="AC399" i="1"/>
  <c r="AB399" i="1"/>
  <c r="AE399" i="1"/>
  <c r="AD399" i="1"/>
  <c r="AE228" i="1"/>
  <c r="AD228" i="1"/>
  <c r="AC228" i="1"/>
  <c r="AB228" i="1"/>
  <c r="AE136" i="1"/>
  <c r="AD136" i="1"/>
  <c r="AC136" i="1"/>
  <c r="AB136" i="1"/>
  <c r="AD23" i="1"/>
  <c r="AC23" i="1"/>
  <c r="AB23" i="1"/>
  <c r="AE23" i="1"/>
  <c r="AE323" i="1"/>
  <c r="AD323" i="1"/>
  <c r="AC323" i="1"/>
  <c r="AB323" i="1"/>
  <c r="AE291" i="1"/>
  <c r="AD291" i="1"/>
  <c r="AC291" i="1"/>
  <c r="AB291" i="1"/>
  <c r="AE315" i="1"/>
  <c r="AD315" i="1"/>
  <c r="AC315" i="1"/>
  <c r="AB315" i="1"/>
  <c r="AC514" i="1"/>
  <c r="AB514" i="1"/>
  <c r="AD514" i="1"/>
  <c r="AE579" i="1"/>
  <c r="AD579" i="1"/>
  <c r="AC579" i="1"/>
  <c r="AB579" i="1"/>
  <c r="AB564" i="1"/>
  <c r="AD564" i="1"/>
  <c r="AC564" i="1"/>
  <c r="AD550" i="1"/>
  <c r="AC550" i="1"/>
  <c r="AB550" i="1"/>
  <c r="AC530" i="1"/>
  <c r="AB530" i="1"/>
  <c r="AD530" i="1"/>
  <c r="AD518" i="1"/>
  <c r="AC518" i="1"/>
  <c r="AB518" i="1"/>
  <c r="AC391" i="1"/>
  <c r="AB391" i="1"/>
  <c r="AE391" i="1"/>
  <c r="AD391" i="1"/>
  <c r="AE327" i="1"/>
  <c r="AD327" i="1"/>
  <c r="AC327" i="1"/>
  <c r="AB327" i="1"/>
  <c r="AE263" i="1"/>
  <c r="AD263" i="1"/>
  <c r="AB263" i="1"/>
  <c r="AC263" i="1"/>
  <c r="AE123" i="1"/>
  <c r="AD123" i="1"/>
  <c r="AC123" i="1"/>
  <c r="AB123" i="1"/>
  <c r="AE569" i="1"/>
  <c r="AD569" i="1"/>
  <c r="AC569" i="1"/>
  <c r="AB569" i="1"/>
  <c r="AC407" i="1"/>
  <c r="AB407" i="1"/>
  <c r="AE407" i="1"/>
  <c r="AD407" i="1"/>
  <c r="AD20" i="1"/>
  <c r="AC20" i="1"/>
  <c r="AB20" i="1"/>
  <c r="AE20" i="1"/>
  <c r="AD75" i="1"/>
  <c r="AC75" i="1"/>
  <c r="AB75" i="1"/>
  <c r="AE75" i="1"/>
  <c r="AD540" i="1"/>
  <c r="AC540" i="1"/>
  <c r="AB540" i="1"/>
  <c r="AC538" i="1"/>
  <c r="AB538" i="1"/>
  <c r="AD538" i="1"/>
  <c r="AD552" i="1"/>
  <c r="AC552" i="1"/>
  <c r="AB552" i="1"/>
  <c r="AD94" i="1"/>
  <c r="AC94" i="1"/>
  <c r="AB94" i="1"/>
  <c r="AE94" i="1"/>
  <c r="AE596" i="1"/>
  <c r="AD596" i="1"/>
  <c r="AC596" i="1"/>
  <c r="AB596" i="1"/>
  <c r="AD508" i="1"/>
  <c r="AC508" i="1"/>
  <c r="AB508" i="1"/>
  <c r="AE211" i="1"/>
  <c r="AD211" i="1"/>
  <c r="AC211" i="1"/>
  <c r="AB211" i="1"/>
  <c r="AE154" i="1"/>
  <c r="AD154" i="1"/>
  <c r="AC154" i="1"/>
  <c r="AB154" i="1"/>
  <c r="AE618" i="1"/>
  <c r="AD618" i="1"/>
  <c r="AC618" i="1"/>
  <c r="AB618" i="1"/>
  <c r="AE604" i="1"/>
  <c r="AD604" i="1"/>
  <c r="AC604" i="1"/>
  <c r="AB604" i="1"/>
  <c r="AE588" i="1"/>
  <c r="AD588" i="1"/>
  <c r="AC588" i="1"/>
  <c r="AB588" i="1"/>
  <c r="AE568" i="1"/>
  <c r="AD568" i="1"/>
  <c r="AC568" i="1"/>
  <c r="AB568" i="1"/>
  <c r="AE632" i="1"/>
  <c r="AD632" i="1"/>
  <c r="AC632" i="1"/>
  <c r="AB632" i="1"/>
  <c r="AC476" i="1"/>
  <c r="AB476" i="1"/>
  <c r="AE476" i="1"/>
  <c r="AD476" i="1"/>
  <c r="AE271" i="1"/>
  <c r="AD271" i="1"/>
  <c r="AC271" i="1"/>
  <c r="AB271" i="1"/>
  <c r="AD48" i="1"/>
  <c r="AC48" i="1"/>
  <c r="AB48" i="1"/>
  <c r="AE48" i="1"/>
  <c r="AD27" i="1"/>
  <c r="AC27" i="1"/>
  <c r="AB27" i="1"/>
  <c r="AE27" i="1"/>
  <c r="AD79" i="1"/>
  <c r="AC79" i="1"/>
  <c r="AB79" i="1"/>
  <c r="AE79" i="1"/>
  <c r="AE600" i="1"/>
  <c r="AD600" i="1"/>
  <c r="AC600" i="1"/>
  <c r="AB600" i="1"/>
  <c r="AC435" i="1"/>
  <c r="AB435" i="1"/>
  <c r="AE435" i="1"/>
  <c r="AD435" i="1"/>
  <c r="AC506" i="1"/>
  <c r="AB506" i="1"/>
  <c r="AD506" i="1"/>
  <c r="AE301" i="1"/>
  <c r="AD301" i="1"/>
  <c r="AC301" i="1"/>
  <c r="AB301" i="1"/>
  <c r="AE258" i="1"/>
  <c r="AD258" i="1"/>
  <c r="AB258" i="1"/>
  <c r="AC258" i="1"/>
  <c r="AE234" i="1"/>
  <c r="AD234" i="1"/>
  <c r="AC234" i="1"/>
  <c r="AB234" i="1"/>
  <c r="AE247" i="1"/>
  <c r="AD247" i="1"/>
  <c r="AB247" i="1"/>
  <c r="AC247" i="1"/>
  <c r="AE183" i="1"/>
  <c r="AD183" i="1"/>
  <c r="AC183" i="1"/>
  <c r="AB183" i="1"/>
  <c r="AD66" i="1"/>
  <c r="AC66" i="1"/>
  <c r="AB66" i="1"/>
  <c r="AE66" i="1"/>
  <c r="AD99" i="1"/>
  <c r="AC99" i="1"/>
  <c r="AB99" i="1"/>
  <c r="AE99" i="1"/>
  <c r="AB505" i="1"/>
  <c r="AD505" i="1"/>
  <c r="AC505" i="1"/>
  <c r="AC384" i="1"/>
  <c r="AB384" i="1"/>
  <c r="AE384" i="1"/>
  <c r="AD384" i="1"/>
  <c r="AE367" i="1"/>
  <c r="AD367" i="1"/>
  <c r="AC367" i="1"/>
  <c r="AB367" i="1"/>
  <c r="AD531" i="1"/>
  <c r="AC531" i="1"/>
  <c r="AB531" i="1"/>
  <c r="AC429" i="1"/>
  <c r="AB429" i="1"/>
  <c r="AE429" i="1"/>
  <c r="AD429" i="1"/>
  <c r="AD46" i="1"/>
  <c r="AC46" i="1"/>
  <c r="AB46" i="1"/>
  <c r="AE46" i="1"/>
  <c r="AE590" i="1"/>
  <c r="AD590" i="1"/>
  <c r="AC590" i="1"/>
  <c r="AB590" i="1"/>
  <c r="AE147" i="1"/>
  <c r="AD147" i="1"/>
  <c r="AC147" i="1"/>
  <c r="AB147" i="1"/>
  <c r="AE307" i="1"/>
  <c r="AD307" i="1"/>
  <c r="AC307" i="1"/>
  <c r="AB307" i="1"/>
  <c r="AC565" i="1"/>
  <c r="AB565" i="1"/>
  <c r="AD565" i="1"/>
  <c r="AD511" i="1"/>
  <c r="AC511" i="1"/>
  <c r="AB511" i="1"/>
  <c r="AD58" i="1"/>
  <c r="AC58" i="1"/>
  <c r="AB58" i="1"/>
  <c r="AE58" i="1"/>
  <c r="AE598" i="1"/>
  <c r="AD598" i="1"/>
  <c r="AC598" i="1"/>
  <c r="AB598" i="1"/>
  <c r="AD500" i="1"/>
  <c r="AC500" i="1"/>
  <c r="AB500" i="1"/>
  <c r="AD485" i="1"/>
  <c r="AC485" i="1"/>
  <c r="AB485" i="1"/>
  <c r="AD91" i="1"/>
  <c r="AC91" i="1"/>
  <c r="AB91" i="1"/>
  <c r="AE91" i="1"/>
  <c r="W1036" i="1"/>
  <c r="A4" i="3" l="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 i="3"/>
  <c r="W1908" i="1" l="1"/>
  <c r="W1907" i="1"/>
  <c r="Q1907" i="1" s="1"/>
  <c r="W1905" i="1"/>
  <c r="Q1905" i="1" s="1"/>
  <c r="X1902" i="1"/>
  <c r="L1902" i="1"/>
  <c r="I1902" i="1"/>
  <c r="W1587" i="1"/>
  <c r="Q1587" i="1" s="1"/>
  <c r="W1586" i="1"/>
  <c r="Q1586" i="1" s="1"/>
  <c r="Y1586" i="1"/>
  <c r="L1586" i="1"/>
  <c r="I1586" i="1"/>
  <c r="L1581" i="1"/>
  <c r="I1581" i="1"/>
  <c r="G1579" i="1"/>
  <c r="P1579" i="1" s="1"/>
  <c r="Q1579" i="1" s="1"/>
  <c r="L1579" i="1"/>
  <c r="I1579" i="1"/>
  <c r="G1578" i="1"/>
  <c r="P1578" i="1" s="1"/>
  <c r="Q1578" i="1" s="1"/>
  <c r="L1578" i="1"/>
  <c r="I1578" i="1"/>
  <c r="X1583" i="1"/>
  <c r="L1583" i="1"/>
  <c r="I1583" i="1"/>
  <c r="G1577" i="1"/>
  <c r="P1577" i="1" s="1"/>
  <c r="Q1577" i="1" s="1"/>
  <c r="L1577" i="1"/>
  <c r="I1577" i="1"/>
  <c r="X1584" i="1"/>
  <c r="Z1584" i="1"/>
  <c r="L1584" i="1"/>
  <c r="I1584" i="1"/>
  <c r="X1582" i="1"/>
  <c r="L1582" i="1"/>
  <c r="I1582" i="1"/>
  <c r="X1580" i="1"/>
  <c r="AA1580" i="1"/>
  <c r="L1580" i="1"/>
  <c r="I1580" i="1"/>
  <c r="O1571" i="1"/>
  <c r="P1571" i="1" s="1"/>
  <c r="Q1571" i="1" s="1"/>
  <c r="O1575" i="1"/>
  <c r="P1575" i="1" s="1"/>
  <c r="Q1575" i="1" s="1"/>
  <c r="O1574" i="1"/>
  <c r="P1574" i="1" s="1"/>
  <c r="Q1574" i="1" s="1"/>
  <c r="G1574" i="1"/>
  <c r="G1575" i="1"/>
  <c r="L1575" i="1"/>
  <c r="I1575" i="1"/>
  <c r="L1574" i="1"/>
  <c r="I1574" i="1"/>
  <c r="O1570" i="1"/>
  <c r="P1570" i="1" s="1"/>
  <c r="Q1570" i="1" s="1"/>
  <c r="X1570" i="1"/>
  <c r="L1570" i="1"/>
  <c r="I1570" i="1"/>
  <c r="L1571" i="1"/>
  <c r="I1571" i="1"/>
  <c r="X1572" i="1"/>
  <c r="AA1572" i="1"/>
  <c r="L1572" i="1"/>
  <c r="I1572" i="1"/>
  <c r="O1569" i="1"/>
  <c r="P1569" i="1" s="1"/>
  <c r="Q1569" i="1" s="1"/>
  <c r="X1569" i="1"/>
  <c r="L1569" i="1"/>
  <c r="I1569" i="1"/>
  <c r="W1568" i="1"/>
  <c r="V1568" i="1"/>
  <c r="O1568" i="1"/>
  <c r="P1568" i="1" s="1"/>
  <c r="Q1568" i="1" s="1"/>
  <c r="O1566" i="1"/>
  <c r="P1566" i="1" s="1"/>
  <c r="Q1566" i="1" s="1"/>
  <c r="X1566" i="1"/>
  <c r="L1566" i="1"/>
  <c r="I1566" i="1"/>
  <c r="O1565" i="1"/>
  <c r="G1565" i="1"/>
  <c r="L1565" i="1"/>
  <c r="I1565" i="1"/>
  <c r="X1562" i="1"/>
  <c r="L1562" i="1"/>
  <c r="I1562" i="1"/>
  <c r="X1561" i="1"/>
  <c r="L1561" i="1"/>
  <c r="I1561" i="1"/>
  <c r="G1560" i="1"/>
  <c r="P1560" i="1" s="1"/>
  <c r="Q1560" i="1" s="1"/>
  <c r="L1560" i="1"/>
  <c r="I1560" i="1"/>
  <c r="W1559" i="1"/>
  <c r="Q1559" i="1" s="1"/>
  <c r="X1558" i="1"/>
  <c r="L1558" i="1"/>
  <c r="I1558" i="1"/>
  <c r="W1554" i="1"/>
  <c r="Q1554" i="1" s="1"/>
  <c r="G1555" i="1"/>
  <c r="P1555" i="1" s="1"/>
  <c r="Q1555" i="1" s="1"/>
  <c r="G1556" i="1"/>
  <c r="P1556" i="1" s="1"/>
  <c r="Q1556" i="1" s="1"/>
  <c r="L1556" i="1"/>
  <c r="I1556" i="1"/>
  <c r="L1555" i="1"/>
  <c r="I1555" i="1"/>
  <c r="X1551" i="1"/>
  <c r="L1551" i="1"/>
  <c r="I1551" i="1"/>
  <c r="G1550" i="1"/>
  <c r="P1550" i="1" s="1"/>
  <c r="Q1550" i="1" s="1"/>
  <c r="G1549" i="1"/>
  <c r="P1549" i="1" s="1"/>
  <c r="Q1549" i="1" s="1"/>
  <c r="L1550" i="1"/>
  <c r="I1550" i="1"/>
  <c r="L1549" i="1"/>
  <c r="I1549" i="1"/>
  <c r="V1547" i="1"/>
  <c r="W1546" i="1"/>
  <c r="Q1546" i="1" s="1"/>
  <c r="V1546" i="1"/>
  <c r="V1545" i="1"/>
  <c r="W1544" i="1"/>
  <c r="Q1544" i="1" s="1"/>
  <c r="I1535" i="1"/>
  <c r="I1536" i="1"/>
  <c r="I1537" i="1"/>
  <c r="I1538" i="1"/>
  <c r="I1539" i="1"/>
  <c r="I1540" i="1"/>
  <c r="I1541" i="1"/>
  <c r="I1542" i="1"/>
  <c r="L1536" i="1"/>
  <c r="L1535" i="1"/>
  <c r="L1541" i="1"/>
  <c r="L1540" i="1"/>
  <c r="L1539" i="1"/>
  <c r="L1542" i="1"/>
  <c r="L1538" i="1"/>
  <c r="L1537" i="1"/>
  <c r="W1537" i="1"/>
  <c r="W1538" i="1"/>
  <c r="Z1538" i="1"/>
  <c r="G1534" i="1"/>
  <c r="P1534" i="1" s="1"/>
  <c r="Q1534" i="1" s="1"/>
  <c r="L1533" i="1"/>
  <c r="L1534" i="1"/>
  <c r="X1532" i="1"/>
  <c r="L1532" i="1"/>
  <c r="I1534" i="1"/>
  <c r="I1533" i="1"/>
  <c r="I1532" i="1"/>
  <c r="W1531" i="1"/>
  <c r="L1531" i="1"/>
  <c r="I1531" i="1"/>
  <c r="Y1532" i="1"/>
  <c r="M1530" i="1"/>
  <c r="O1530" i="1" s="1"/>
  <c r="P1530" i="1" s="1"/>
  <c r="Q1530" i="1" s="1"/>
  <c r="L1530" i="1"/>
  <c r="I1530" i="1"/>
  <c r="O1528" i="1"/>
  <c r="P1528" i="1" s="1"/>
  <c r="Q1528" i="1" s="1"/>
  <c r="O1529" i="1"/>
  <c r="P1529" i="1" s="1"/>
  <c r="Q1529" i="1" s="1"/>
  <c r="O1527" i="1"/>
  <c r="P1527" i="1" s="1"/>
  <c r="Q1527" i="1" s="1"/>
  <c r="O1526" i="1"/>
  <c r="O1525" i="1"/>
  <c r="P1525" i="1" s="1"/>
  <c r="Q1525" i="1" s="1"/>
  <c r="L1525" i="1"/>
  <c r="I1525" i="1"/>
  <c r="X1525" i="1"/>
  <c r="G1519" i="1"/>
  <c r="P1519" i="1" s="1"/>
  <c r="Q1519" i="1" s="1"/>
  <c r="L1519" i="1"/>
  <c r="I1519" i="1"/>
  <c r="V1518" i="1"/>
  <c r="X1518" i="1" s="1"/>
  <c r="L1518" i="1"/>
  <c r="I1518" i="1"/>
  <c r="W1517" i="1"/>
  <c r="V1517" i="1"/>
  <c r="O1517" i="1"/>
  <c r="W1516" i="1"/>
  <c r="V1516" i="1"/>
  <c r="O1516" i="1"/>
  <c r="P1516" i="1" s="1"/>
  <c r="Q1516" i="1" s="1"/>
  <c r="X1515" i="1"/>
  <c r="Y1515" i="1"/>
  <c r="L1515" i="1"/>
  <c r="I1515" i="1"/>
  <c r="V1514" i="1"/>
  <c r="O1514" i="1"/>
  <c r="P1514" i="1" s="1"/>
  <c r="Q1514" i="1" s="1"/>
  <c r="O1512" i="1"/>
  <c r="P1512" i="1" s="1"/>
  <c r="Q1512" i="1" s="1"/>
  <c r="L1511" i="1"/>
  <c r="I1511" i="1"/>
  <c r="W1510" i="1"/>
  <c r="Q1510" i="1" s="1"/>
  <c r="W1508" i="1"/>
  <c r="Q1508" i="1" s="1"/>
  <c r="G1498" i="1"/>
  <c r="P1498" i="1" s="1"/>
  <c r="Q1498" i="1" s="1"/>
  <c r="X1498" i="1"/>
  <c r="L1498" i="1"/>
  <c r="I1498" i="1"/>
  <c r="L1501" i="1"/>
  <c r="I1501" i="1"/>
  <c r="X1495" i="1"/>
  <c r="L1495" i="1"/>
  <c r="I1495" i="1"/>
  <c r="X1494" i="1"/>
  <c r="AA1494" i="1"/>
  <c r="L1494" i="1"/>
  <c r="I1494" i="1"/>
  <c r="X1497" i="1"/>
  <c r="L1497" i="1"/>
  <c r="I1497" i="1"/>
  <c r="X1496" i="1"/>
  <c r="AA1496" i="1"/>
  <c r="L1496" i="1"/>
  <c r="I1496" i="1"/>
  <c r="W1500" i="1"/>
  <c r="Q1500" i="1" s="1"/>
  <c r="W1505" i="1"/>
  <c r="Q1505" i="1" s="1"/>
  <c r="W1503" i="1"/>
  <c r="W1504" i="1"/>
  <c r="Q1504" i="1" s="1"/>
  <c r="W1499" i="1"/>
  <c r="Q1499" i="1" s="1"/>
  <c r="W1487" i="1"/>
  <c r="L1487" i="1"/>
  <c r="I1487" i="1"/>
  <c r="X1531" i="1" l="1"/>
  <c r="Q1531" i="1"/>
  <c r="X1487" i="1"/>
  <c r="Q1487" i="1"/>
  <c r="P1565" i="1"/>
  <c r="Q1565" i="1" s="1"/>
  <c r="X1537" i="1"/>
  <c r="Q1537" i="1"/>
  <c r="X1538" i="1"/>
  <c r="Q1538" i="1"/>
  <c r="X1586" i="1"/>
  <c r="AE1902" i="1"/>
  <c r="AD1902" i="1"/>
  <c r="AC1902" i="1"/>
  <c r="AB1902" i="1"/>
  <c r="Y1902" i="1"/>
  <c r="Z1902" i="1"/>
  <c r="AA1902" i="1"/>
  <c r="AE1586" i="1"/>
  <c r="Z1586" i="1"/>
  <c r="AA1586" i="1"/>
  <c r="AE1584" i="1"/>
  <c r="Y1584" i="1"/>
  <c r="Z1583" i="1"/>
  <c r="AE1583" i="1"/>
  <c r="AD1583" i="1"/>
  <c r="AC1583" i="1"/>
  <c r="AB1583" i="1"/>
  <c r="Y1583" i="1"/>
  <c r="AA1583" i="1"/>
  <c r="AA1584" i="1"/>
  <c r="Y1580" i="1"/>
  <c r="Z1582" i="1"/>
  <c r="AE1582" i="1"/>
  <c r="AD1582" i="1"/>
  <c r="AC1582" i="1"/>
  <c r="AB1582" i="1"/>
  <c r="Y1582" i="1"/>
  <c r="AA1582" i="1"/>
  <c r="Z1580" i="1"/>
  <c r="Z1572" i="1"/>
  <c r="AA1570" i="1"/>
  <c r="Z1570" i="1"/>
  <c r="Y1570" i="1"/>
  <c r="Y1572" i="1"/>
  <c r="AA1569" i="1"/>
  <c r="Z1569" i="1"/>
  <c r="Y1569" i="1"/>
  <c r="AE1566" i="1"/>
  <c r="AD1566" i="1"/>
  <c r="AC1566" i="1"/>
  <c r="AB1566" i="1"/>
  <c r="Y1566" i="1"/>
  <c r="Z1566" i="1"/>
  <c r="AA1566" i="1"/>
  <c r="AE1562" i="1"/>
  <c r="AD1562" i="1"/>
  <c r="AC1562" i="1"/>
  <c r="AB1562" i="1"/>
  <c r="Y1562" i="1"/>
  <c r="Z1562" i="1"/>
  <c r="AA1562" i="1"/>
  <c r="AE1561" i="1"/>
  <c r="AD1561" i="1"/>
  <c r="AC1561" i="1"/>
  <c r="AB1561" i="1"/>
  <c r="Y1561" i="1"/>
  <c r="Z1561" i="1"/>
  <c r="AA1561" i="1"/>
  <c r="AE1558" i="1"/>
  <c r="AD1558" i="1"/>
  <c r="AC1558" i="1"/>
  <c r="AB1558" i="1"/>
  <c r="Y1558" i="1"/>
  <c r="Z1558" i="1"/>
  <c r="AA1558" i="1"/>
  <c r="Y1551" i="1"/>
  <c r="AE1551" i="1"/>
  <c r="AD1551" i="1"/>
  <c r="AC1551" i="1"/>
  <c r="AB1551" i="1"/>
  <c r="Z1551" i="1"/>
  <c r="AA1551" i="1"/>
  <c r="AD1537" i="1"/>
  <c r="Y1538" i="1"/>
  <c r="AA1538" i="1"/>
  <c r="Y1537" i="1"/>
  <c r="Z1537" i="1"/>
  <c r="AA1537" i="1"/>
  <c r="AD1531" i="1"/>
  <c r="Y1531" i="1"/>
  <c r="AA1532" i="1"/>
  <c r="AA1518" i="1"/>
  <c r="Z1531" i="1"/>
  <c r="Z1532" i="1"/>
  <c r="AA1531" i="1"/>
  <c r="AA1525" i="1"/>
  <c r="Z1525" i="1"/>
  <c r="Y1525" i="1"/>
  <c r="AE1525" i="1"/>
  <c r="AD1518" i="1"/>
  <c r="Y1518" i="1"/>
  <c r="Z1518" i="1"/>
  <c r="AA1515" i="1"/>
  <c r="Z1515" i="1"/>
  <c r="Y1498" i="1"/>
  <c r="Z1498" i="1"/>
  <c r="AA1498" i="1"/>
  <c r="Y1496" i="1"/>
  <c r="AE1498" i="1"/>
  <c r="AD1498" i="1"/>
  <c r="AC1498" i="1"/>
  <c r="AB1498" i="1"/>
  <c r="AC1487" i="1"/>
  <c r="Y1497" i="1"/>
  <c r="AE1497" i="1"/>
  <c r="AC1497" i="1"/>
  <c r="AD1497" i="1"/>
  <c r="AB1497" i="1"/>
  <c r="AE1495" i="1"/>
  <c r="AD1495" i="1"/>
  <c r="AC1495" i="1"/>
  <c r="AB1495" i="1"/>
  <c r="Y1495" i="1"/>
  <c r="Z1495" i="1"/>
  <c r="Z1497" i="1"/>
  <c r="AA1497" i="1"/>
  <c r="AA1495" i="1"/>
  <c r="Z1494" i="1"/>
  <c r="Y1494" i="1"/>
  <c r="Z1496" i="1"/>
  <c r="Z1487" i="1"/>
  <c r="Y1487" i="1"/>
  <c r="AA1487" i="1"/>
  <c r="W1486" i="1"/>
  <c r="V1486" i="1"/>
  <c r="V1485" i="1"/>
  <c r="O1485" i="1"/>
  <c r="P1485" i="1" s="1"/>
  <c r="Q1485" i="1" s="1"/>
  <c r="W1485" i="1"/>
  <c r="W1484" i="1"/>
  <c r="V1484" i="1"/>
  <c r="W1483" i="1"/>
  <c r="V1483" i="1"/>
  <c r="O1483" i="1"/>
  <c r="P1483" i="1" s="1"/>
  <c r="V1482" i="1"/>
  <c r="O1482" i="1"/>
  <c r="P1482" i="1" s="1"/>
  <c r="Q1482" i="1" s="1"/>
  <c r="V1481" i="1"/>
  <c r="O1481" i="1"/>
  <c r="P1481" i="1" s="1"/>
  <c r="Q1481" i="1" s="1"/>
  <c r="V1480" i="1"/>
  <c r="O1480" i="1"/>
  <c r="P1480" i="1" s="1"/>
  <c r="Q1480" i="1" s="1"/>
  <c r="V1479" i="1"/>
  <c r="O1479" i="1"/>
  <c r="P1479" i="1" s="1"/>
  <c r="Q1479" i="1" s="1"/>
  <c r="O1478" i="1"/>
  <c r="P1478" i="1" s="1"/>
  <c r="Q1478" i="1" s="1"/>
  <c r="O1477" i="1"/>
  <c r="P1477" i="1" s="1"/>
  <c r="Q1477" i="1" s="1"/>
  <c r="V1476" i="1"/>
  <c r="O1476" i="1"/>
  <c r="P1476" i="1" s="1"/>
  <c r="Q1476" i="1" s="1"/>
  <c r="V1475" i="1"/>
  <c r="V1474" i="1"/>
  <c r="O1474" i="1"/>
  <c r="P1474" i="1" s="1"/>
  <c r="Q1474" i="1" s="1"/>
  <c r="O1475" i="1"/>
  <c r="P1475" i="1" s="1"/>
  <c r="Q1475" i="1" s="1"/>
  <c r="V1473" i="1"/>
  <c r="O1473" i="1"/>
  <c r="P1473" i="1" s="1"/>
  <c r="Q1473" i="1" s="1"/>
  <c r="V1472" i="1"/>
  <c r="O1472" i="1"/>
  <c r="P1472" i="1" s="1"/>
  <c r="Q1472" i="1" s="1"/>
  <c r="V1471" i="1"/>
  <c r="O1471" i="1"/>
  <c r="P1471" i="1" s="1"/>
  <c r="Q1471" i="1" s="1"/>
  <c r="Q1483" i="1" l="1"/>
  <c r="AB1586" i="1"/>
  <c r="AC1586" i="1"/>
  <c r="AD1586" i="1"/>
  <c r="AC1584" i="1"/>
  <c r="AB1584" i="1"/>
  <c r="AD1584" i="1"/>
  <c r="AE1580" i="1"/>
  <c r="AD1580" i="1"/>
  <c r="AC1580" i="1"/>
  <c r="AB1580" i="1"/>
  <c r="AE1570" i="1"/>
  <c r="AD1570" i="1"/>
  <c r="AC1570" i="1"/>
  <c r="AB1570" i="1"/>
  <c r="AE1572" i="1"/>
  <c r="AD1572" i="1"/>
  <c r="AC1572" i="1"/>
  <c r="AB1572" i="1"/>
  <c r="AE1569" i="1"/>
  <c r="AD1569" i="1"/>
  <c r="AC1569" i="1"/>
  <c r="AB1569" i="1"/>
  <c r="AE1537" i="1"/>
  <c r="AB1537" i="1"/>
  <c r="AC1537" i="1"/>
  <c r="AC1531" i="1"/>
  <c r="AE1531" i="1"/>
  <c r="AB1531" i="1"/>
  <c r="AE1538" i="1"/>
  <c r="AD1538" i="1"/>
  <c r="AC1538" i="1"/>
  <c r="AB1538" i="1"/>
  <c r="AE1518" i="1"/>
  <c r="AC1532" i="1"/>
  <c r="AD1532" i="1"/>
  <c r="AE1532" i="1"/>
  <c r="AB1532" i="1"/>
  <c r="AB1518" i="1"/>
  <c r="AC1518" i="1"/>
  <c r="AD1525" i="1"/>
  <c r="AC1525" i="1"/>
  <c r="AB1525" i="1"/>
  <c r="AD1487" i="1"/>
  <c r="AB1487" i="1"/>
  <c r="AE1515" i="1"/>
  <c r="AD1515" i="1"/>
  <c r="AC1515" i="1"/>
  <c r="AB1515" i="1"/>
  <c r="AE1487" i="1"/>
  <c r="AB1494" i="1"/>
  <c r="AE1494" i="1"/>
  <c r="AD1494" i="1"/>
  <c r="AC1494" i="1"/>
  <c r="AE1496" i="1"/>
  <c r="AD1496" i="1"/>
  <c r="AC1496" i="1"/>
  <c r="AB1496" i="1"/>
  <c r="G1470" i="1"/>
  <c r="O1469" i="1"/>
  <c r="P1469" i="1" s="1"/>
  <c r="Q1469" i="1" s="1"/>
  <c r="V1468" i="1"/>
  <c r="O1468" i="1"/>
  <c r="P1468" i="1" s="1"/>
  <c r="Q1468" i="1" s="1"/>
  <c r="O1467" i="1"/>
  <c r="P1467" i="1" s="1"/>
  <c r="Q1467" i="1" s="1"/>
  <c r="O1466" i="1"/>
  <c r="P1466" i="1" s="1"/>
  <c r="Q1466" i="1" s="1"/>
  <c r="W1467" i="1"/>
  <c r="V1467" i="1"/>
  <c r="O1460" i="1"/>
  <c r="P1460" i="1" s="1"/>
  <c r="Q1460" i="1" s="1"/>
  <c r="O1456" i="1"/>
  <c r="P1456" i="1" s="1"/>
  <c r="Q1456" i="1" s="1"/>
  <c r="X1456" i="1"/>
  <c r="L1456" i="1"/>
  <c r="I1456" i="1"/>
  <c r="G1456" i="1"/>
  <c r="O1458" i="1"/>
  <c r="P1458" i="1" s="1"/>
  <c r="W1458" i="1"/>
  <c r="V1458" i="1"/>
  <c r="V1465" i="1"/>
  <c r="O1465" i="1"/>
  <c r="P1465" i="1" s="1"/>
  <c r="Q1465" i="1" s="1"/>
  <c r="M1464" i="1"/>
  <c r="O1464" i="1" s="1"/>
  <c r="P1464" i="1" s="1"/>
  <c r="Q1464" i="1" s="1"/>
  <c r="W1462" i="1"/>
  <c r="V1462" i="1"/>
  <c r="O1462" i="1"/>
  <c r="P1462" i="1" s="1"/>
  <c r="M1463" i="1"/>
  <c r="O1463" i="1" s="1"/>
  <c r="P1463" i="1" s="1"/>
  <c r="Q1463" i="1" s="1"/>
  <c r="O1457" i="1"/>
  <c r="P1457" i="1" s="1"/>
  <c r="Q1457" i="1" s="1"/>
  <c r="O1454" i="1"/>
  <c r="P1454" i="1" s="1"/>
  <c r="Q1454" i="1" s="1"/>
  <c r="X1454" i="1"/>
  <c r="L1454" i="1"/>
  <c r="I1454" i="1"/>
  <c r="O1455" i="1"/>
  <c r="P1455" i="1" s="1"/>
  <c r="Q1455" i="1" s="1"/>
  <c r="O1453" i="1"/>
  <c r="P1453" i="1" s="1"/>
  <c r="Q1453" i="1" s="1"/>
  <c r="O1449" i="1"/>
  <c r="P1449" i="1" s="1"/>
  <c r="Q1449" i="1" s="1"/>
  <c r="M1448" i="1"/>
  <c r="O1448" i="1" s="1"/>
  <c r="P1448" i="1" s="1"/>
  <c r="W1448" i="1"/>
  <c r="V1448" i="1"/>
  <c r="O1447" i="1"/>
  <c r="P1447" i="1" s="1"/>
  <c r="Q1447" i="1" s="1"/>
  <c r="M1451" i="1"/>
  <c r="O1451" i="1" s="1"/>
  <c r="O1444" i="1"/>
  <c r="P1444" i="1" s="1"/>
  <c r="Q1444" i="1" s="1"/>
  <c r="O1446" i="1"/>
  <c r="P1446" i="1" s="1"/>
  <c r="Q1446" i="1" s="1"/>
  <c r="O1445" i="1"/>
  <c r="P1445" i="1" s="1"/>
  <c r="Q1445" i="1" s="1"/>
  <c r="O1443" i="1"/>
  <c r="P1443" i="1" s="1"/>
  <c r="Q1443" i="1" s="1"/>
  <c r="O1441" i="1"/>
  <c r="P1441" i="1" s="1"/>
  <c r="Q1441" i="1" s="1"/>
  <c r="O1440" i="1"/>
  <c r="P1440" i="1" s="1"/>
  <c r="Q1440" i="1" s="1"/>
  <c r="O1437" i="1"/>
  <c r="L1437" i="1"/>
  <c r="L1436" i="1"/>
  <c r="O1436" i="1"/>
  <c r="G1436" i="1"/>
  <c r="L1435" i="1"/>
  <c r="O1434" i="1"/>
  <c r="P1434" i="1" s="1"/>
  <c r="Q1434" i="1" s="1"/>
  <c r="L1434" i="1"/>
  <c r="I1437" i="1"/>
  <c r="I1436" i="1"/>
  <c r="I1435" i="1"/>
  <c r="I1434" i="1"/>
  <c r="W1435" i="1"/>
  <c r="X1436" i="1"/>
  <c r="Z1435" i="1"/>
  <c r="X1434" i="1"/>
  <c r="V1433" i="1"/>
  <c r="X1433" i="1" s="1"/>
  <c r="V1432" i="1"/>
  <c r="X1432" i="1" s="1"/>
  <c r="V1431" i="1"/>
  <c r="X1431" i="1" s="1"/>
  <c r="V1430" i="1"/>
  <c r="X1430" i="1" s="1"/>
  <c r="V1429" i="1"/>
  <c r="X1429" i="1" s="1"/>
  <c r="O1429" i="1"/>
  <c r="P1429" i="1" s="1"/>
  <c r="Q1429" i="1" s="1"/>
  <c r="O1430" i="1"/>
  <c r="P1430" i="1" s="1"/>
  <c r="Q1430" i="1" s="1"/>
  <c r="O1431" i="1"/>
  <c r="P1431" i="1" s="1"/>
  <c r="Q1431" i="1" s="1"/>
  <c r="O1432" i="1"/>
  <c r="P1432" i="1" s="1"/>
  <c r="Q1432" i="1" s="1"/>
  <c r="O1433" i="1"/>
  <c r="P1433" i="1" s="1"/>
  <c r="Q1433" i="1" s="1"/>
  <c r="L1429" i="1"/>
  <c r="L1430" i="1"/>
  <c r="L1431" i="1"/>
  <c r="L1432" i="1"/>
  <c r="L1433" i="1"/>
  <c r="I1429" i="1"/>
  <c r="I1431" i="1"/>
  <c r="I1432" i="1"/>
  <c r="I1433" i="1"/>
  <c r="I1430" i="1"/>
  <c r="I1428" i="1"/>
  <c r="L1428" i="1"/>
  <c r="V1428" i="1"/>
  <c r="X1428" i="1" s="1"/>
  <c r="M1428" i="1"/>
  <c r="O1428" i="1" s="1"/>
  <c r="G1428" i="1"/>
  <c r="X1437" i="1"/>
  <c r="O1427" i="1"/>
  <c r="P1427" i="1" s="1"/>
  <c r="Q1427" i="1" s="1"/>
  <c r="O1426" i="1"/>
  <c r="P1426" i="1" s="1"/>
  <c r="Q1426" i="1" s="1"/>
  <c r="O1425" i="1"/>
  <c r="P1425" i="1" s="1"/>
  <c r="Q1425" i="1" s="1"/>
  <c r="W1424" i="1"/>
  <c r="V1424" i="1"/>
  <c r="O1424" i="1"/>
  <c r="P1424" i="1" s="1"/>
  <c r="O1423" i="1"/>
  <c r="P1423" i="1" s="1"/>
  <c r="Q1423" i="1" s="1"/>
  <c r="G1423" i="1"/>
  <c r="W1422" i="1"/>
  <c r="V1422" i="1"/>
  <c r="O1422" i="1"/>
  <c r="P1422" i="1" s="1"/>
  <c r="Q1422" i="1" s="1"/>
  <c r="W1421" i="1"/>
  <c r="V1421" i="1"/>
  <c r="O1421" i="1"/>
  <c r="P1421" i="1" s="1"/>
  <c r="W1420" i="1"/>
  <c r="V1420" i="1"/>
  <c r="O1420" i="1"/>
  <c r="P1420" i="1" s="1"/>
  <c r="Q1448" i="1" l="1"/>
  <c r="Q1420" i="1"/>
  <c r="X1435" i="1"/>
  <c r="Q1435" i="1"/>
  <c r="P1437" i="1"/>
  <c r="Q1437" i="1" s="1"/>
  <c r="Q1421" i="1"/>
  <c r="Q1424" i="1"/>
  <c r="P1428" i="1"/>
  <c r="Q1428" i="1" s="1"/>
  <c r="P1436" i="1"/>
  <c r="Q1436" i="1" s="1"/>
  <c r="Q1462" i="1"/>
  <c r="Q1458" i="1"/>
  <c r="AA1430" i="1"/>
  <c r="AA1429" i="1"/>
  <c r="AA1456" i="1"/>
  <c r="Y1435" i="1"/>
  <c r="Z1434" i="1"/>
  <c r="AA1434" i="1"/>
  <c r="AA1433" i="1"/>
  <c r="AA1435" i="1"/>
  <c r="AA1454" i="1"/>
  <c r="Z1454" i="1"/>
  <c r="Y1454" i="1"/>
  <c r="AA1431" i="1"/>
  <c r="Y1434" i="1"/>
  <c r="Z1432" i="1"/>
  <c r="Y1432" i="1"/>
  <c r="AA1432" i="1"/>
  <c r="AD1430" i="1"/>
  <c r="Y1429" i="1"/>
  <c r="Y1430" i="1"/>
  <c r="Z1430" i="1"/>
  <c r="Z1429" i="1"/>
  <c r="Y1433" i="1"/>
  <c r="Y1431" i="1"/>
  <c r="Z1431" i="1"/>
  <c r="Z1433" i="1"/>
  <c r="O1415" i="1"/>
  <c r="P1415" i="1" s="1"/>
  <c r="Q1415" i="1" s="1"/>
  <c r="O1414" i="1"/>
  <c r="P1414" i="1" s="1"/>
  <c r="Q1414" i="1" s="1"/>
  <c r="O1413" i="1"/>
  <c r="X1413" i="1"/>
  <c r="L1413" i="1"/>
  <c r="I1413" i="1"/>
  <c r="X1414" i="1"/>
  <c r="L1414" i="1"/>
  <c r="I1414" i="1"/>
  <c r="X1415" i="1"/>
  <c r="L1415" i="1"/>
  <c r="I1415" i="1"/>
  <c r="U1419" i="1"/>
  <c r="R1419" i="1"/>
  <c r="V1419" i="1"/>
  <c r="O1419" i="1"/>
  <c r="P1419" i="1" s="1"/>
  <c r="Q1419" i="1" s="1"/>
  <c r="O1418" i="1"/>
  <c r="P1418" i="1" s="1"/>
  <c r="Q1418" i="1" s="1"/>
  <c r="V1418" i="1"/>
  <c r="U1417" i="1"/>
  <c r="R1417" i="1"/>
  <c r="W1417" i="1"/>
  <c r="V1417" i="1"/>
  <c r="O1417" i="1"/>
  <c r="P1417" i="1" s="1"/>
  <c r="V1416" i="1"/>
  <c r="O1416" i="1"/>
  <c r="P1416" i="1" s="1"/>
  <c r="Q1416" i="1" s="1"/>
  <c r="O1412" i="1"/>
  <c r="P1412" i="1" s="1"/>
  <c r="Q1412" i="1" s="1"/>
  <c r="V1411" i="1"/>
  <c r="O1411" i="1"/>
  <c r="P1411" i="1" s="1"/>
  <c r="Q1411" i="1" s="1"/>
  <c r="O1408" i="1"/>
  <c r="P1408" i="1" s="1"/>
  <c r="Q1408" i="1" s="1"/>
  <c r="L1408" i="1"/>
  <c r="I1408" i="1"/>
  <c r="X1408" i="1"/>
  <c r="V1409" i="1"/>
  <c r="W1409" i="1"/>
  <c r="O1409" i="1"/>
  <c r="P1409" i="1" s="1"/>
  <c r="O1410" i="1"/>
  <c r="P1410" i="1" s="1"/>
  <c r="Q1410" i="1" s="1"/>
  <c r="L1409" i="1"/>
  <c r="I1409" i="1"/>
  <c r="V1407" i="1"/>
  <c r="O1407" i="1"/>
  <c r="P1407" i="1" s="1"/>
  <c r="Q1407" i="1" s="1"/>
  <c r="W1403" i="1"/>
  <c r="Q1403" i="1" s="1"/>
  <c r="V1403" i="1"/>
  <c r="L1403" i="1"/>
  <c r="I1403" i="1"/>
  <c r="V1401" i="1"/>
  <c r="W1401" i="1"/>
  <c r="Q1401" i="1" s="1"/>
  <c r="Z1401" i="1"/>
  <c r="L1401" i="1"/>
  <c r="I1401" i="1"/>
  <c r="W1402" i="1"/>
  <c r="Q1402" i="1" s="1"/>
  <c r="V1402" i="1"/>
  <c r="L1402" i="1"/>
  <c r="I1402" i="1"/>
  <c r="L1394" i="1"/>
  <c r="I1394" i="1"/>
  <c r="X1394" i="1"/>
  <c r="W1398" i="1"/>
  <c r="V1398" i="1"/>
  <c r="O1398" i="1"/>
  <c r="P1398" i="1" s="1"/>
  <c r="O1400" i="1"/>
  <c r="P1400" i="1" s="1"/>
  <c r="Q1400" i="1" s="1"/>
  <c r="O1399" i="1"/>
  <c r="P1399" i="1" s="1"/>
  <c r="Q1399" i="1" s="1"/>
  <c r="V1400" i="1"/>
  <c r="W1400" i="1"/>
  <c r="W1399" i="1"/>
  <c r="V1399" i="1"/>
  <c r="W1397" i="1"/>
  <c r="V1397" i="1"/>
  <c r="O1397" i="1"/>
  <c r="P1397" i="1" s="1"/>
  <c r="Q1397" i="1" s="1"/>
  <c r="L1398" i="1"/>
  <c r="I1398" i="1"/>
  <c r="L1399" i="1"/>
  <c r="I1399" i="1"/>
  <c r="W1395" i="1"/>
  <c r="AA1395" i="1"/>
  <c r="L1395" i="1"/>
  <c r="I1395" i="1"/>
  <c r="W1391" i="1"/>
  <c r="Q1391" i="1" s="1"/>
  <c r="L1390" i="1"/>
  <c r="I1390" i="1"/>
  <c r="W1390" i="1"/>
  <c r="X1395" i="1" l="1"/>
  <c r="Q1395" i="1"/>
  <c r="AA1437" i="1"/>
  <c r="Q1398" i="1"/>
  <c r="Q1409" i="1"/>
  <c r="P1413" i="1"/>
  <c r="Q1413" i="1" s="1"/>
  <c r="AA1428" i="1"/>
  <c r="Z1437" i="1"/>
  <c r="Y1437" i="1"/>
  <c r="X1390" i="1"/>
  <c r="Q1390" i="1"/>
  <c r="Q1417" i="1"/>
  <c r="AA1436" i="1"/>
  <c r="Y1436" i="1"/>
  <c r="AD1436" i="1"/>
  <c r="AB1456" i="1"/>
  <c r="Z1436" i="1"/>
  <c r="Y1456" i="1"/>
  <c r="Z1456" i="1"/>
  <c r="AE1435" i="1"/>
  <c r="AB1435" i="1"/>
  <c r="AC1435" i="1"/>
  <c r="AE1454" i="1"/>
  <c r="AD1454" i="1"/>
  <c r="AC1454" i="1"/>
  <c r="AB1454" i="1"/>
  <c r="AD1435" i="1"/>
  <c r="AE1434" i="1"/>
  <c r="AD1434" i="1"/>
  <c r="AC1434" i="1"/>
  <c r="AB1434" i="1"/>
  <c r="Z1428" i="1"/>
  <c r="AD1428" i="1"/>
  <c r="Y1428" i="1"/>
  <c r="AC1429" i="1"/>
  <c r="AE1429" i="1"/>
  <c r="AB1429" i="1"/>
  <c r="AD1429" i="1"/>
  <c r="AE1430" i="1"/>
  <c r="AC1430" i="1"/>
  <c r="AB1430" i="1"/>
  <c r="AE1437" i="1"/>
  <c r="AD1437" i="1"/>
  <c r="AC1437" i="1"/>
  <c r="AB1437" i="1"/>
  <c r="AC1431" i="1"/>
  <c r="AB1431" i="1"/>
  <c r="AE1431" i="1"/>
  <c r="AD1431" i="1"/>
  <c r="AC1433" i="1"/>
  <c r="AB1433" i="1"/>
  <c r="AE1433" i="1"/>
  <c r="AD1433" i="1"/>
  <c r="AC1432" i="1"/>
  <c r="AE1432" i="1"/>
  <c r="AD1432" i="1"/>
  <c r="AB1432" i="1"/>
  <c r="X1409" i="1"/>
  <c r="AA1415" i="1"/>
  <c r="AE1415" i="1"/>
  <c r="Y1415" i="1"/>
  <c r="Z1415" i="1"/>
  <c r="X1399" i="1"/>
  <c r="AE1414" i="1"/>
  <c r="AD1414" i="1"/>
  <c r="AC1414" i="1"/>
  <c r="AB1414" i="1"/>
  <c r="Y1414" i="1"/>
  <c r="Z1414" i="1"/>
  <c r="AA1414" i="1"/>
  <c r="AB1403" i="1"/>
  <c r="X1403" i="1"/>
  <c r="X1402" i="1"/>
  <c r="X1401" i="1"/>
  <c r="AA1408" i="1"/>
  <c r="Z1408" i="1"/>
  <c r="Y1408" i="1"/>
  <c r="Z1409" i="1"/>
  <c r="Y1409" i="1"/>
  <c r="AA1409" i="1"/>
  <c r="AD1402" i="1"/>
  <c r="AB1401" i="1"/>
  <c r="Z1403" i="1"/>
  <c r="Y1403" i="1"/>
  <c r="Y1402" i="1"/>
  <c r="AA1403" i="1"/>
  <c r="AA1398" i="1"/>
  <c r="Y1401" i="1"/>
  <c r="AA1401" i="1"/>
  <c r="Z1402" i="1"/>
  <c r="AA1402" i="1"/>
  <c r="X1398" i="1"/>
  <c r="AE1394" i="1"/>
  <c r="AD1394" i="1"/>
  <c r="AC1394" i="1"/>
  <c r="AB1394" i="1"/>
  <c r="Z1394" i="1"/>
  <c r="Y1394" i="1"/>
  <c r="Y1395" i="1"/>
  <c r="AA1394" i="1"/>
  <c r="Z1395" i="1"/>
  <c r="Y1398" i="1"/>
  <c r="Y1399" i="1"/>
  <c r="Z1399" i="1"/>
  <c r="AA1399" i="1"/>
  <c r="Z1398" i="1"/>
  <c r="AD1395" i="1"/>
  <c r="AD1390" i="1"/>
  <c r="Z1390" i="1"/>
  <c r="Y1390" i="1"/>
  <c r="AA1390" i="1"/>
  <c r="AA1413" i="1" l="1"/>
  <c r="Z1413" i="1"/>
  <c r="Y1413" i="1"/>
  <c r="AC1436" i="1"/>
  <c r="AE1436" i="1"/>
  <c r="AB1436" i="1"/>
  <c r="AD1456" i="1"/>
  <c r="AC1456" i="1"/>
  <c r="AE1456" i="1"/>
  <c r="AB1428" i="1"/>
  <c r="AE1428" i="1"/>
  <c r="AC1428" i="1"/>
  <c r="AE1399" i="1"/>
  <c r="AC1415" i="1"/>
  <c r="AB1415" i="1"/>
  <c r="AC1402" i="1"/>
  <c r="AD1415" i="1"/>
  <c r="AE1402" i="1"/>
  <c r="AB1402" i="1"/>
  <c r="AE1413" i="1"/>
  <c r="AD1413" i="1"/>
  <c r="AC1413" i="1"/>
  <c r="AB1413" i="1"/>
  <c r="AE1403" i="1"/>
  <c r="AD1403" i="1"/>
  <c r="AC1403" i="1"/>
  <c r="AE1401" i="1"/>
  <c r="AC1401" i="1"/>
  <c r="AD1401" i="1"/>
  <c r="AD1409" i="1"/>
  <c r="AE1409" i="1"/>
  <c r="AC1409" i="1"/>
  <c r="AB1409" i="1"/>
  <c r="AB1408" i="1"/>
  <c r="AE1408" i="1"/>
  <c r="AD1408" i="1"/>
  <c r="AC1408" i="1"/>
  <c r="AE1395" i="1"/>
  <c r="AB1399" i="1"/>
  <c r="AC1399" i="1"/>
  <c r="AD1399" i="1"/>
  <c r="AE1398" i="1"/>
  <c r="AD1398" i="1"/>
  <c r="AC1398" i="1"/>
  <c r="AB1398" i="1"/>
  <c r="AB1395" i="1"/>
  <c r="AC1395" i="1"/>
  <c r="AE1390" i="1"/>
  <c r="AC1390" i="1"/>
  <c r="AB1390" i="1"/>
  <c r="O1881" i="1" l="1"/>
  <c r="P1881" i="1" s="1"/>
  <c r="Q1881" i="1" s="1"/>
  <c r="O1874" i="1"/>
  <c r="P1874" i="1" s="1"/>
  <c r="Q1874" i="1" s="1"/>
  <c r="O1870" i="1"/>
  <c r="P1870" i="1" s="1"/>
  <c r="Q1870" i="1" s="1"/>
  <c r="V1819" i="1"/>
  <c r="O1819" i="1"/>
  <c r="P1819" i="1" s="1"/>
  <c r="Q1819" i="1" s="1"/>
  <c r="O1818" i="1"/>
  <c r="P1818" i="1" s="1"/>
  <c r="Q1818" i="1" s="1"/>
  <c r="V1815" i="1"/>
  <c r="O1814" i="1"/>
  <c r="P1814" i="1" s="1"/>
  <c r="Q1814" i="1" s="1"/>
  <c r="O1813" i="1"/>
  <c r="O1811" i="1"/>
  <c r="P1811" i="1" s="1"/>
  <c r="Q1811" i="1" s="1"/>
  <c r="O1808" i="1"/>
  <c r="P1808" i="1" s="1"/>
  <c r="Q1808" i="1" s="1"/>
  <c r="O1807" i="1"/>
  <c r="P1807" i="1" s="1"/>
  <c r="Q1807" i="1" s="1"/>
  <c r="O1806" i="1"/>
  <c r="P1806" i="1" s="1"/>
  <c r="Q1806" i="1" s="1"/>
  <c r="V1804" i="1"/>
  <c r="V1800" i="1"/>
  <c r="O1798" i="1"/>
  <c r="P1798" i="1" s="1"/>
  <c r="Q1798" i="1" s="1"/>
  <c r="O1797" i="1"/>
  <c r="P1797" i="1" s="1"/>
  <c r="Q1797" i="1" s="1"/>
  <c r="O1796" i="1"/>
  <c r="P1796" i="1" s="1"/>
  <c r="Q1796" i="1" s="1"/>
  <c r="O1795" i="1"/>
  <c r="P1795" i="1" s="1"/>
  <c r="Q1795" i="1" s="1"/>
  <c r="O1794" i="1"/>
  <c r="P1794" i="1" s="1"/>
  <c r="Q1794" i="1" s="1"/>
  <c r="V1793" i="1"/>
  <c r="O1793" i="1"/>
  <c r="P1793" i="1" s="1"/>
  <c r="Q1793" i="1" s="1"/>
  <c r="O1792" i="1"/>
  <c r="P1792" i="1" s="1"/>
  <c r="Q1792" i="1" s="1"/>
  <c r="V1791" i="1"/>
  <c r="O1791" i="1"/>
  <c r="P1791" i="1" s="1"/>
  <c r="Q1791" i="1" s="1"/>
  <c r="V1763" i="1"/>
  <c r="O1763" i="1"/>
  <c r="P1763" i="1" s="1"/>
  <c r="Q1763" i="1" s="1"/>
  <c r="V1764" i="1"/>
  <c r="O1764" i="1"/>
  <c r="P1764" i="1" s="1"/>
  <c r="Q1764" i="1" s="1"/>
  <c r="V1766" i="1"/>
  <c r="V1765" i="1"/>
  <c r="O1765" i="1"/>
  <c r="P1765" i="1" s="1"/>
  <c r="Q1765" i="1" s="1"/>
  <c r="V1769" i="1"/>
  <c r="O1769" i="1"/>
  <c r="P1769" i="1" s="1"/>
  <c r="Q1769" i="1" s="1"/>
  <c r="V1773" i="1"/>
  <c r="O1773" i="1"/>
  <c r="P1773" i="1" s="1"/>
  <c r="Q1773" i="1" s="1"/>
  <c r="V1774" i="1"/>
  <c r="O1774" i="1"/>
  <c r="P1774" i="1" s="1"/>
  <c r="Q1774" i="1" s="1"/>
  <c r="V1775" i="1"/>
  <c r="O1775" i="1"/>
  <c r="P1775" i="1" s="1"/>
  <c r="Q1775" i="1" s="1"/>
  <c r="V1776" i="1"/>
  <c r="O1776" i="1"/>
  <c r="P1776" i="1" s="1"/>
  <c r="Q1776" i="1" s="1"/>
  <c r="V1779" i="1"/>
  <c r="O1779" i="1"/>
  <c r="P1779" i="1" s="1"/>
  <c r="Q1779" i="1" s="1"/>
  <c r="V1789" i="1"/>
  <c r="O1789" i="1"/>
  <c r="P1789" i="1" s="1"/>
  <c r="Q1789" i="1" s="1"/>
  <c r="O1788" i="1"/>
  <c r="P1788" i="1" s="1"/>
  <c r="Q1788" i="1" s="1"/>
  <c r="O1787" i="1"/>
  <c r="P1787" i="1" s="1"/>
  <c r="Q1787" i="1" s="1"/>
  <c r="O1786" i="1"/>
  <c r="P1786" i="1" s="1"/>
  <c r="Q1786" i="1" s="1"/>
  <c r="O1784" i="1"/>
  <c r="P1784" i="1" s="1"/>
  <c r="Q1784" i="1" s="1"/>
  <c r="O1783" i="1"/>
  <c r="P1783" i="1" s="1"/>
  <c r="Q1783" i="1" s="1"/>
  <c r="O1782" i="1"/>
  <c r="P1782" i="1" s="1"/>
  <c r="Q1782" i="1" s="1"/>
  <c r="O1771" i="1"/>
  <c r="P1771" i="1" s="1"/>
  <c r="Q1771" i="1" s="1"/>
  <c r="O1770" i="1"/>
  <c r="P1770" i="1" s="1"/>
  <c r="Q1770" i="1" s="1"/>
  <c r="O1766" i="1"/>
  <c r="P1766" i="1" s="1"/>
  <c r="Q1766" i="1" s="1"/>
  <c r="O1762" i="1"/>
  <c r="P1762" i="1" s="1"/>
  <c r="Q1762" i="1" s="1"/>
  <c r="O1761" i="1"/>
  <c r="P1761" i="1" s="1"/>
  <c r="Q1761" i="1" s="1"/>
  <c r="O1760" i="1"/>
  <c r="P1760" i="1" s="1"/>
  <c r="Q1760" i="1" s="1"/>
  <c r="O1759" i="1"/>
  <c r="P1759" i="1" s="1"/>
  <c r="Q1759" i="1" s="1"/>
  <c r="O1388" i="1" l="1"/>
  <c r="X1388" i="1"/>
  <c r="L1388" i="1"/>
  <c r="I1388" i="1"/>
  <c r="G1388" i="1"/>
  <c r="L1387" i="1"/>
  <c r="L1385" i="1"/>
  <c r="W1387" i="1"/>
  <c r="O1387" i="1"/>
  <c r="P1387" i="1" s="1"/>
  <c r="Q1387" i="1" s="1"/>
  <c r="X1389" i="1"/>
  <c r="W1389" i="1"/>
  <c r="V1389" i="1"/>
  <c r="O1389" i="1"/>
  <c r="L1389" i="1"/>
  <c r="I1389" i="1"/>
  <c r="V1387" i="1"/>
  <c r="I1387" i="1"/>
  <c r="W1386" i="1"/>
  <c r="V1386" i="1"/>
  <c r="O1386" i="1"/>
  <c r="I1386" i="1"/>
  <c r="X1387" i="1"/>
  <c r="X1386" i="1"/>
  <c r="G1385" i="1"/>
  <c r="X1385" i="1"/>
  <c r="O1385" i="1"/>
  <c r="P1385" i="1" s="1"/>
  <c r="Q1385" i="1" s="1"/>
  <c r="L1386" i="1"/>
  <c r="I1385" i="1"/>
  <c r="O1384" i="1"/>
  <c r="P1384" i="1" s="1"/>
  <c r="Q1384" i="1" s="1"/>
  <c r="L1384" i="1"/>
  <c r="I1384" i="1"/>
  <c r="V1379" i="1"/>
  <c r="X1379" i="1" s="1"/>
  <c r="M1379" i="1"/>
  <c r="O1379" i="1" s="1"/>
  <c r="P1379" i="1" s="1"/>
  <c r="Q1379" i="1" s="1"/>
  <c r="L1379" i="1"/>
  <c r="I1379" i="1"/>
  <c r="W1378" i="1"/>
  <c r="Q1378" i="1" s="1"/>
  <c r="V1378" i="1"/>
  <c r="L1378" i="1"/>
  <c r="I1378" i="1"/>
  <c r="W1381" i="1"/>
  <c r="W1382" i="1"/>
  <c r="Q1382" i="1" s="1"/>
  <c r="W1380" i="1"/>
  <c r="Q1380" i="1" s="1"/>
  <c r="V1380" i="1"/>
  <c r="W1383" i="1"/>
  <c r="V1383" i="1"/>
  <c r="O1383" i="1"/>
  <c r="P1383" i="1" s="1"/>
  <c r="Q1383" i="1" s="1"/>
  <c r="I1383" i="1"/>
  <c r="L1383" i="1"/>
  <c r="V1382" i="1"/>
  <c r="L1382" i="1"/>
  <c r="I1382" i="1"/>
  <c r="V1381" i="1"/>
  <c r="L1380" i="1"/>
  <c r="L1381" i="1"/>
  <c r="O1381" i="1"/>
  <c r="P1381" i="1" s="1"/>
  <c r="Q1381" i="1" s="1"/>
  <c r="I1381" i="1"/>
  <c r="I1380" i="1"/>
  <c r="Y1382" i="1"/>
  <c r="X1384" i="1"/>
  <c r="O1377" i="1"/>
  <c r="P1377" i="1" s="1"/>
  <c r="Q1377" i="1" s="1"/>
  <c r="O1376" i="1"/>
  <c r="P1376" i="1" s="1"/>
  <c r="Q1376" i="1" s="1"/>
  <c r="G1374" i="1"/>
  <c r="X1374" i="1"/>
  <c r="O1374" i="1"/>
  <c r="L1374" i="1"/>
  <c r="I1374" i="1"/>
  <c r="O1373" i="1"/>
  <c r="P1373" i="1" s="1"/>
  <c r="Q1373" i="1" s="1"/>
  <c r="G1373" i="1"/>
  <c r="X1373" i="1"/>
  <c r="L1373" i="1"/>
  <c r="I1373" i="1"/>
  <c r="O1363" i="1"/>
  <c r="P1363" i="1" s="1"/>
  <c r="Q1363" i="1" s="1"/>
  <c r="X1363" i="1"/>
  <c r="L1363" i="1"/>
  <c r="I1363" i="1"/>
  <c r="O1375" i="1"/>
  <c r="P1375" i="1" s="1"/>
  <c r="Q1375" i="1" s="1"/>
  <c r="X1375" i="1"/>
  <c r="L1375" i="1"/>
  <c r="I1375" i="1"/>
  <c r="U1362" i="1"/>
  <c r="V1362" i="1"/>
  <c r="V1355" i="1"/>
  <c r="W1355" i="1"/>
  <c r="Q1355" i="1" s="1"/>
  <c r="O1362" i="1"/>
  <c r="P1362" i="1" s="1"/>
  <c r="Q1362" i="1" s="1"/>
  <c r="L1362" i="1"/>
  <c r="I1362" i="1"/>
  <c r="O1372" i="1"/>
  <c r="P1372" i="1" s="1"/>
  <c r="Q1372" i="1" s="1"/>
  <c r="G1372" i="1"/>
  <c r="X1372" i="1"/>
  <c r="L1372" i="1"/>
  <c r="I1372" i="1"/>
  <c r="O1370" i="1"/>
  <c r="O1369" i="1"/>
  <c r="X1371" i="1"/>
  <c r="Y1371" i="1"/>
  <c r="L1371" i="1"/>
  <c r="I1371" i="1"/>
  <c r="X1370" i="1"/>
  <c r="L1370" i="1"/>
  <c r="I1370" i="1"/>
  <c r="X1369" i="1"/>
  <c r="L1369" i="1"/>
  <c r="I1369" i="1"/>
  <c r="O1368" i="1"/>
  <c r="X1368" i="1"/>
  <c r="L1368" i="1"/>
  <c r="I1368" i="1"/>
  <c r="O1367" i="1"/>
  <c r="O1366" i="1"/>
  <c r="P1366" i="1" s="1"/>
  <c r="Q1366" i="1" s="1"/>
  <c r="X1367" i="1"/>
  <c r="L1367" i="1"/>
  <c r="I1367" i="1"/>
  <c r="X1366" i="1"/>
  <c r="L1366" i="1"/>
  <c r="I1366" i="1"/>
  <c r="O1365" i="1"/>
  <c r="P1365" i="1" s="1"/>
  <c r="Q1365" i="1" s="1"/>
  <c r="X1365" i="1"/>
  <c r="L1365" i="1"/>
  <c r="I1365" i="1"/>
  <c r="O1364" i="1"/>
  <c r="P1364" i="1" s="1"/>
  <c r="Q1364" i="1" s="1"/>
  <c r="P1389" i="1" l="1"/>
  <c r="Q1389" i="1" s="1"/>
  <c r="P1369" i="1"/>
  <c r="Q1369" i="1" s="1"/>
  <c r="P1367" i="1"/>
  <c r="Q1367" i="1" s="1"/>
  <c r="P1370" i="1"/>
  <c r="Q1370" i="1" s="1"/>
  <c r="P1386" i="1"/>
  <c r="Q1386" i="1" s="1"/>
  <c r="P1388" i="1"/>
  <c r="Q1388" i="1" s="1"/>
  <c r="AA1368" i="1"/>
  <c r="P1368" i="1"/>
  <c r="Q1368" i="1" s="1"/>
  <c r="P1374" i="1"/>
  <c r="Q1374" i="1" s="1"/>
  <c r="Y1385" i="1"/>
  <c r="AA1386" i="1"/>
  <c r="Y1387" i="1"/>
  <c r="Z1387" i="1"/>
  <c r="Y1389" i="1"/>
  <c r="X1378" i="1"/>
  <c r="AE1387" i="1"/>
  <c r="AD1387" i="1"/>
  <c r="AC1387" i="1"/>
  <c r="AB1387" i="1"/>
  <c r="Z1386" i="1"/>
  <c r="AA1387" i="1"/>
  <c r="AA1381" i="1"/>
  <c r="AA1379" i="1"/>
  <c r="X1383" i="1"/>
  <c r="X1380" i="1"/>
  <c r="X1381" i="1"/>
  <c r="AA1373" i="1"/>
  <c r="AC1380" i="1"/>
  <c r="AA1378" i="1"/>
  <c r="AA1384" i="1"/>
  <c r="Y1380" i="1"/>
  <c r="Y1379" i="1"/>
  <c r="Z1379" i="1"/>
  <c r="Y1378" i="1"/>
  <c r="Z1378" i="1"/>
  <c r="Z1374" i="1"/>
  <c r="Y1384" i="1"/>
  <c r="Z1384" i="1"/>
  <c r="X1382" i="1"/>
  <c r="AB1383" i="1"/>
  <c r="AA1383" i="1"/>
  <c r="Y1383" i="1"/>
  <c r="Z1383" i="1"/>
  <c r="Z1382" i="1"/>
  <c r="AA1382" i="1"/>
  <c r="AD1381" i="1"/>
  <c r="AE1384" i="1"/>
  <c r="AD1384" i="1"/>
  <c r="AC1384" i="1"/>
  <c r="AB1384" i="1"/>
  <c r="Z1380" i="1"/>
  <c r="AA1380" i="1"/>
  <c r="Y1381" i="1"/>
  <c r="Z1362" i="1"/>
  <c r="Z1381" i="1"/>
  <c r="AA1363" i="1"/>
  <c r="Z1363" i="1"/>
  <c r="Y1363" i="1"/>
  <c r="AA1362" i="1"/>
  <c r="Y1372" i="1"/>
  <c r="AA1375" i="1"/>
  <c r="Z1375" i="1"/>
  <c r="Y1375" i="1"/>
  <c r="Y1362" i="1"/>
  <c r="X1362" i="1"/>
  <c r="AC1365" i="1"/>
  <c r="AA1365" i="1"/>
  <c r="Z1365" i="1"/>
  <c r="Y1365" i="1"/>
  <c r="AA1366" i="1"/>
  <c r="AC1366" i="1"/>
  <c r="Z1369" i="1"/>
  <c r="Z1371" i="1"/>
  <c r="AA1369" i="1"/>
  <c r="AA1371" i="1"/>
  <c r="Y1370" i="1"/>
  <c r="Z1370" i="1"/>
  <c r="AE1368" i="1"/>
  <c r="AA1367" i="1"/>
  <c r="Y1368" i="1"/>
  <c r="Z1368" i="1"/>
  <c r="Z1367" i="1"/>
  <c r="Y1366" i="1"/>
  <c r="Z1366" i="1"/>
  <c r="AA1370" i="1" l="1"/>
  <c r="Y1367" i="1"/>
  <c r="Y1369" i="1"/>
  <c r="AA1389" i="1"/>
  <c r="Y1386" i="1"/>
  <c r="Z1389" i="1"/>
  <c r="AE1385" i="1"/>
  <c r="AA1385" i="1"/>
  <c r="Z1385" i="1"/>
  <c r="AD1373" i="1"/>
  <c r="Y1388" i="1"/>
  <c r="Z1388" i="1"/>
  <c r="AA1388" i="1"/>
  <c r="AE1388" i="1"/>
  <c r="AD1388" i="1"/>
  <c r="AC1388" i="1"/>
  <c r="AB1388" i="1"/>
  <c r="Y1374" i="1"/>
  <c r="AB1389" i="1"/>
  <c r="AE1389" i="1"/>
  <c r="AD1389" i="1"/>
  <c r="AC1389" i="1"/>
  <c r="AE1378" i="1"/>
  <c r="AE1386" i="1"/>
  <c r="AD1386" i="1"/>
  <c r="AC1386" i="1"/>
  <c r="AB1386" i="1"/>
  <c r="Z1373" i="1"/>
  <c r="Y1373" i="1"/>
  <c r="AB1378" i="1"/>
  <c r="AC1378" i="1"/>
  <c r="AD1378" i="1"/>
  <c r="AB1380" i="1"/>
  <c r="AD1380" i="1"/>
  <c r="AE1380" i="1"/>
  <c r="AA1374" i="1"/>
  <c r="AC1383" i="1"/>
  <c r="AC1374" i="1"/>
  <c r="AA1372" i="1"/>
  <c r="AE1379" i="1"/>
  <c r="AD1379" i="1"/>
  <c r="AB1379" i="1"/>
  <c r="AC1379" i="1"/>
  <c r="AD1383" i="1"/>
  <c r="AE1381" i="1"/>
  <c r="AE1383" i="1"/>
  <c r="AC1381" i="1"/>
  <c r="AB1381" i="1"/>
  <c r="AB1382" i="1"/>
  <c r="AC1382" i="1"/>
  <c r="AE1382" i="1"/>
  <c r="AD1382" i="1"/>
  <c r="Z1372" i="1"/>
  <c r="AE1372" i="1"/>
  <c r="AE1363" i="1"/>
  <c r="AD1363" i="1"/>
  <c r="AC1363" i="1"/>
  <c r="AB1363" i="1"/>
  <c r="AE1375" i="1"/>
  <c r="AD1375" i="1"/>
  <c r="AC1375" i="1"/>
  <c r="AB1375" i="1"/>
  <c r="AE1362" i="1"/>
  <c r="AD1362" i="1"/>
  <c r="AC1362" i="1"/>
  <c r="AB1362" i="1"/>
  <c r="AD1366" i="1"/>
  <c r="AB1366" i="1"/>
  <c r="AB1365" i="1"/>
  <c r="AE1371" i="1"/>
  <c r="AD1371" i="1"/>
  <c r="AC1371" i="1"/>
  <c r="AB1371" i="1"/>
  <c r="AD1368" i="1"/>
  <c r="AB1368" i="1"/>
  <c r="AC1368" i="1"/>
  <c r="AE1365" i="1"/>
  <c r="AE1369" i="1"/>
  <c r="AD1369" i="1"/>
  <c r="AC1369" i="1"/>
  <c r="AB1369" i="1"/>
  <c r="AD1365" i="1"/>
  <c r="AE1366" i="1"/>
  <c r="AC1370" i="1"/>
  <c r="AB1370" i="1"/>
  <c r="AE1370" i="1"/>
  <c r="AD1370" i="1"/>
  <c r="AE1367" i="1"/>
  <c r="AD1367" i="1"/>
  <c r="AC1367" i="1"/>
  <c r="AB1367" i="1"/>
  <c r="AE1373" i="1" l="1"/>
  <c r="AB1385" i="1"/>
  <c r="AD1385" i="1"/>
  <c r="AC1385" i="1"/>
  <c r="AB1373" i="1"/>
  <c r="AC1373" i="1"/>
  <c r="AC1372" i="1"/>
  <c r="AB1372" i="1"/>
  <c r="AB1374" i="1"/>
  <c r="AE1374" i="1"/>
  <c r="AD1374" i="1"/>
  <c r="AD1372" i="1"/>
  <c r="X1364" i="1" l="1"/>
  <c r="AA1364" i="1"/>
  <c r="L1364" i="1"/>
  <c r="I1364" i="1"/>
  <c r="O1361" i="1"/>
  <c r="G1361" i="1"/>
  <c r="L1361" i="1"/>
  <c r="I1361" i="1"/>
  <c r="O1360" i="1"/>
  <c r="P1360" i="1" s="1"/>
  <c r="Q1360" i="1" s="1"/>
  <c r="L1360" i="1"/>
  <c r="I1360" i="1"/>
  <c r="X1360" i="1"/>
  <c r="O1359" i="1"/>
  <c r="P1359" i="1" s="1"/>
  <c r="Q1359" i="1" s="1"/>
  <c r="O1358" i="1"/>
  <c r="P1358" i="1" s="1"/>
  <c r="Q1358" i="1" s="1"/>
  <c r="X1359" i="1"/>
  <c r="L1359" i="1"/>
  <c r="I1359" i="1"/>
  <c r="X1358" i="1"/>
  <c r="L1358" i="1"/>
  <c r="I1358" i="1"/>
  <c r="O1350" i="1"/>
  <c r="P1350" i="1" s="1"/>
  <c r="Q1350" i="1" s="1"/>
  <c r="X1350" i="1"/>
  <c r="L1350" i="1"/>
  <c r="I1350" i="1"/>
  <c r="O1357" i="1"/>
  <c r="P1357" i="1" s="1"/>
  <c r="Q1357" i="1" s="1"/>
  <c r="O1356" i="1"/>
  <c r="P1356" i="1" s="1"/>
  <c r="Q1356" i="1" s="1"/>
  <c r="X1357" i="1"/>
  <c r="L1357" i="1"/>
  <c r="I1357" i="1"/>
  <c r="X1356" i="1"/>
  <c r="L1356" i="1"/>
  <c r="I1356" i="1"/>
  <c r="O1354" i="1"/>
  <c r="P1354" i="1" s="1"/>
  <c r="Q1354" i="1" s="1"/>
  <c r="L1354" i="1"/>
  <c r="I1354" i="1"/>
  <c r="G1353" i="1"/>
  <c r="G1348" i="1"/>
  <c r="O1353" i="1"/>
  <c r="P1353" i="1" s="1"/>
  <c r="Q1353" i="1" s="1"/>
  <c r="L1353" i="1"/>
  <c r="I1353" i="1"/>
  <c r="O1352" i="1"/>
  <c r="P1352" i="1" s="1"/>
  <c r="Q1352" i="1" s="1"/>
  <c r="O1351" i="1"/>
  <c r="P1351" i="1" s="1"/>
  <c r="Q1351" i="1" s="1"/>
  <c r="X1352" i="1"/>
  <c r="L1352" i="1"/>
  <c r="I1352" i="1"/>
  <c r="X1351" i="1"/>
  <c r="L1351" i="1"/>
  <c r="I1351" i="1"/>
  <c r="O1349" i="1"/>
  <c r="P1349" i="1" s="1"/>
  <c r="Q1349" i="1" s="1"/>
  <c r="X1349" i="1"/>
  <c r="L1349" i="1"/>
  <c r="I1349" i="1"/>
  <c r="X1355" i="1"/>
  <c r="L1355" i="1"/>
  <c r="I1355" i="1"/>
  <c r="O1340" i="1"/>
  <c r="P1340" i="1" s="1"/>
  <c r="Q1340" i="1" s="1"/>
  <c r="L1340" i="1"/>
  <c r="I1340" i="1"/>
  <c r="X1340" i="1"/>
  <c r="O1343" i="1"/>
  <c r="P1343" i="1" s="1"/>
  <c r="Q1343" i="1" s="1"/>
  <c r="O1347" i="1"/>
  <c r="O1346" i="1"/>
  <c r="O1345" i="1"/>
  <c r="X1347" i="1"/>
  <c r="L1347" i="1"/>
  <c r="I1347" i="1"/>
  <c r="X1346" i="1"/>
  <c r="L1346" i="1"/>
  <c r="I1346" i="1"/>
  <c r="X1345" i="1"/>
  <c r="L1345" i="1"/>
  <c r="I1345" i="1"/>
  <c r="O1342" i="1"/>
  <c r="P1342" i="1" s="1"/>
  <c r="Q1342" i="1" s="1"/>
  <c r="O1344" i="1"/>
  <c r="P1344" i="1" s="1"/>
  <c r="Q1344" i="1" s="1"/>
  <c r="X1344" i="1"/>
  <c r="L1344" i="1"/>
  <c r="I1344" i="1"/>
  <c r="O1348" i="1"/>
  <c r="P1348" i="1" s="1"/>
  <c r="Q1348" i="1" s="1"/>
  <c r="L1348" i="1"/>
  <c r="I1348" i="1"/>
  <c r="O1341" i="1"/>
  <c r="P1341" i="1" s="1"/>
  <c r="Q1341" i="1" s="1"/>
  <c r="L1341" i="1"/>
  <c r="I1341" i="1"/>
  <c r="X1342" i="1"/>
  <c r="L1342" i="1"/>
  <c r="I1342" i="1"/>
  <c r="M1332" i="1"/>
  <c r="O1332" i="1" s="1"/>
  <c r="P1332" i="1" s="1"/>
  <c r="Q1332" i="1" s="1"/>
  <c r="L1332" i="1"/>
  <c r="X1332" i="1"/>
  <c r="I1332" i="1"/>
  <c r="O1334" i="1"/>
  <c r="P1334" i="1" s="1"/>
  <c r="Q1334" i="1" s="1"/>
  <c r="L1334" i="1"/>
  <c r="I1334" i="1"/>
  <c r="O1333" i="1"/>
  <c r="P1333" i="1" s="1"/>
  <c r="Q1333" i="1" s="1"/>
  <c r="L1333" i="1"/>
  <c r="I1333" i="1"/>
  <c r="X1343" i="1"/>
  <c r="L1343" i="1"/>
  <c r="I1343" i="1"/>
  <c r="X1339" i="1"/>
  <c r="O1339" i="1"/>
  <c r="L1339" i="1"/>
  <c r="I1339" i="1"/>
  <c r="X1338" i="1"/>
  <c r="O1338" i="1"/>
  <c r="P1338" i="1" s="1"/>
  <c r="Q1338" i="1" s="1"/>
  <c r="L1338" i="1"/>
  <c r="I1338" i="1"/>
  <c r="X1337" i="1"/>
  <c r="O1337" i="1"/>
  <c r="P1337" i="1" s="1"/>
  <c r="Q1337" i="1" s="1"/>
  <c r="L1337" i="1"/>
  <c r="I1337" i="1"/>
  <c r="X1336" i="1"/>
  <c r="O1336" i="1"/>
  <c r="P1336" i="1" s="1"/>
  <c r="Q1336" i="1" s="1"/>
  <c r="L1336" i="1"/>
  <c r="I1336" i="1"/>
  <c r="X1335" i="1"/>
  <c r="O1335" i="1"/>
  <c r="P1335" i="1" s="1"/>
  <c r="Q1335" i="1" s="1"/>
  <c r="L1335" i="1"/>
  <c r="I1335" i="1"/>
  <c r="O1330" i="1"/>
  <c r="P1330" i="1" s="1"/>
  <c r="Q1330" i="1" s="1"/>
  <c r="L1330" i="1"/>
  <c r="I1330" i="1"/>
  <c r="W1331" i="1"/>
  <c r="Q1331" i="1" s="1"/>
  <c r="V1331" i="1"/>
  <c r="G1329" i="1"/>
  <c r="P1329" i="1" s="1"/>
  <c r="Q1329" i="1" s="1"/>
  <c r="L1329" i="1"/>
  <c r="I1329" i="1"/>
  <c r="G1328" i="1"/>
  <c r="P1328" i="1" s="1"/>
  <c r="Q1328" i="1" s="1"/>
  <c r="I1328" i="1"/>
  <c r="L1328" i="1"/>
  <c r="L1327" i="1"/>
  <c r="I1327" i="1"/>
  <c r="X1327" i="1"/>
  <c r="W1326" i="1"/>
  <c r="X1326" i="1" s="1"/>
  <c r="O1326" i="1"/>
  <c r="L1325" i="1"/>
  <c r="I1325" i="1"/>
  <c r="L1324" i="1"/>
  <c r="I1324" i="1"/>
  <c r="X1324" i="1"/>
  <c r="I1326" i="1"/>
  <c r="L1326" i="1"/>
  <c r="P1345" i="1" l="1"/>
  <c r="Q1345" i="1" s="1"/>
  <c r="P1326" i="1"/>
  <c r="Q1326" i="1" s="1"/>
  <c r="P1346" i="1"/>
  <c r="Q1346" i="1" s="1"/>
  <c r="P1339" i="1"/>
  <c r="Q1339" i="1" s="1"/>
  <c r="P1347" i="1"/>
  <c r="Q1347" i="1" s="1"/>
  <c r="P1361" i="1"/>
  <c r="Q1361" i="1" s="1"/>
  <c r="Y1350" i="1"/>
  <c r="Z1350" i="1"/>
  <c r="Y1364" i="1"/>
  <c r="Z1364" i="1"/>
  <c r="Y1360" i="1"/>
  <c r="AA1360" i="1"/>
  <c r="Z1360" i="1"/>
  <c r="AA1358" i="1"/>
  <c r="Y1358" i="1"/>
  <c r="AB1358" i="1"/>
  <c r="AA1351" i="1"/>
  <c r="AB1351" i="1"/>
  <c r="Y1351" i="1"/>
  <c r="AA1356" i="1"/>
  <c r="Y1356" i="1"/>
  <c r="AC1356" i="1"/>
  <c r="Y1357" i="1"/>
  <c r="AA1357" i="1"/>
  <c r="AA1359" i="1"/>
  <c r="Z1359" i="1"/>
  <c r="Y1359" i="1"/>
  <c r="AA1350" i="1"/>
  <c r="Z1358" i="1"/>
  <c r="Z1357" i="1"/>
  <c r="Z1356" i="1"/>
  <c r="Y1352" i="1"/>
  <c r="AA1352" i="1"/>
  <c r="Z1352" i="1"/>
  <c r="Z1351" i="1"/>
  <c r="AA1349" i="1"/>
  <c r="Z1349" i="1"/>
  <c r="Y1349" i="1"/>
  <c r="Z1355" i="1"/>
  <c r="AE1355" i="1"/>
  <c r="AD1355" i="1"/>
  <c r="AC1355" i="1"/>
  <c r="AB1355" i="1"/>
  <c r="Y1355" i="1"/>
  <c r="AA1355" i="1"/>
  <c r="AA1347" i="1"/>
  <c r="Z1340" i="1"/>
  <c r="Y1340" i="1"/>
  <c r="AA1340" i="1"/>
  <c r="Y1346" i="1"/>
  <c r="AA1345" i="1"/>
  <c r="Y1345" i="1"/>
  <c r="AD1346" i="1"/>
  <c r="Z1346" i="1"/>
  <c r="Y1347" i="1"/>
  <c r="Y1344" i="1"/>
  <c r="AA1344" i="1"/>
  <c r="Z1344" i="1"/>
  <c r="Z1342" i="1"/>
  <c r="AE1342" i="1"/>
  <c r="AD1342" i="1"/>
  <c r="AC1342" i="1"/>
  <c r="AB1342" i="1"/>
  <c r="Y1342" i="1"/>
  <c r="AA1342" i="1"/>
  <c r="Z1338" i="1"/>
  <c r="AA1338" i="1"/>
  <c r="Z1332" i="1"/>
  <c r="Y1332" i="1"/>
  <c r="AA1332" i="1"/>
  <c r="Y1337" i="1"/>
  <c r="AA1336" i="1"/>
  <c r="Z1336" i="1"/>
  <c r="Y1336" i="1"/>
  <c r="AE1337" i="1"/>
  <c r="AD1337" i="1"/>
  <c r="AC1337" i="1"/>
  <c r="AB1337" i="1"/>
  <c r="Y1335" i="1"/>
  <c r="AA1335" i="1"/>
  <c r="Z1335" i="1"/>
  <c r="Y1343" i="1"/>
  <c r="AA1343" i="1"/>
  <c r="Z1343" i="1"/>
  <c r="Z1337" i="1"/>
  <c r="AA1337" i="1"/>
  <c r="Y1339" i="1"/>
  <c r="Z1339" i="1"/>
  <c r="Y1338" i="1"/>
  <c r="Z1327" i="1"/>
  <c r="Y1327" i="1"/>
  <c r="AE1327" i="1"/>
  <c r="AD1327" i="1"/>
  <c r="AC1327" i="1"/>
  <c r="AB1327" i="1"/>
  <c r="AA1327" i="1"/>
  <c r="AA1324" i="1"/>
  <c r="Y1324" i="1"/>
  <c r="AE1324" i="1"/>
  <c r="AD1324" i="1"/>
  <c r="AC1324" i="1"/>
  <c r="AB1324" i="1"/>
  <c r="Z1324" i="1"/>
  <c r="AA1326" i="1"/>
  <c r="Z1326" i="1"/>
  <c r="AA1339" i="1" l="1"/>
  <c r="AA1346" i="1"/>
  <c r="Y1326" i="1"/>
  <c r="Z1347" i="1"/>
  <c r="Z1345" i="1"/>
  <c r="AE1356" i="1"/>
  <c r="AE1351" i="1"/>
  <c r="AD1351" i="1"/>
  <c r="AC1351" i="1"/>
  <c r="AD1364" i="1"/>
  <c r="AC1364" i="1"/>
  <c r="AB1364" i="1"/>
  <c r="AE1364" i="1"/>
  <c r="AB1356" i="1"/>
  <c r="AC1358" i="1"/>
  <c r="AD1358" i="1"/>
  <c r="AE1360" i="1"/>
  <c r="AD1360" i="1"/>
  <c r="AC1360" i="1"/>
  <c r="AB1360" i="1"/>
  <c r="AE1358" i="1"/>
  <c r="AD1356" i="1"/>
  <c r="AE1350" i="1"/>
  <c r="AD1350" i="1"/>
  <c r="AC1350" i="1"/>
  <c r="AB1350" i="1"/>
  <c r="AE1359" i="1"/>
  <c r="AD1359" i="1"/>
  <c r="AC1359" i="1"/>
  <c r="AB1359" i="1"/>
  <c r="AE1357" i="1"/>
  <c r="AD1357" i="1"/>
  <c r="AC1357" i="1"/>
  <c r="AB1357" i="1"/>
  <c r="AE1352" i="1"/>
  <c r="AD1352" i="1"/>
  <c r="AC1352" i="1"/>
  <c r="AB1352" i="1"/>
  <c r="AE1349" i="1"/>
  <c r="AD1349" i="1"/>
  <c r="AC1349" i="1"/>
  <c r="AB1349" i="1"/>
  <c r="AB1346" i="1"/>
  <c r="AC1346" i="1"/>
  <c r="AE1346" i="1"/>
  <c r="AE1340" i="1"/>
  <c r="AD1340" i="1"/>
  <c r="AC1340" i="1"/>
  <c r="AB1340" i="1"/>
  <c r="AE1347" i="1"/>
  <c r="AD1347" i="1"/>
  <c r="AC1347" i="1"/>
  <c r="AB1347" i="1"/>
  <c r="AE1345" i="1"/>
  <c r="AD1345" i="1"/>
  <c r="AC1345" i="1"/>
  <c r="AB1345" i="1"/>
  <c r="AE1344" i="1"/>
  <c r="AD1344" i="1"/>
  <c r="AC1344" i="1"/>
  <c r="AB1344" i="1"/>
  <c r="AE1332" i="1"/>
  <c r="AD1332" i="1"/>
  <c r="AC1332" i="1"/>
  <c r="AB1332" i="1"/>
  <c r="AC1339" i="1"/>
  <c r="AB1339" i="1"/>
  <c r="AD1339" i="1"/>
  <c r="AE1339" i="1"/>
  <c r="AE1335" i="1"/>
  <c r="AD1335" i="1"/>
  <c r="AC1335" i="1"/>
  <c r="AB1335" i="1"/>
  <c r="AE1338" i="1"/>
  <c r="AD1338" i="1"/>
  <c r="AC1338" i="1"/>
  <c r="AB1338" i="1"/>
  <c r="AB1336" i="1"/>
  <c r="AD1336" i="1"/>
  <c r="AE1336" i="1"/>
  <c r="AC1336" i="1"/>
  <c r="AE1343" i="1"/>
  <c r="AD1343" i="1"/>
  <c r="AC1343" i="1"/>
  <c r="AB1343" i="1"/>
  <c r="AE1326" i="1"/>
  <c r="AB1326" i="1"/>
  <c r="AC1326" i="1"/>
  <c r="AD1326" i="1"/>
  <c r="G1322" i="1" l="1"/>
  <c r="O1323" i="1"/>
  <c r="P1323" i="1" s="1"/>
  <c r="O1321" i="1"/>
  <c r="P1321" i="1" s="1"/>
  <c r="Q1321" i="1" s="1"/>
  <c r="O1320" i="1"/>
  <c r="P1320" i="1" s="1"/>
  <c r="Q1320" i="1" s="1"/>
  <c r="L1321" i="1"/>
  <c r="I1321" i="1"/>
  <c r="I1320" i="1"/>
  <c r="O1319" i="1"/>
  <c r="P1319" i="1" s="1"/>
  <c r="Q1319" i="1" s="1"/>
  <c r="G1319" i="1"/>
  <c r="I1319" i="1"/>
  <c r="W1323" i="1"/>
  <c r="V1323" i="1"/>
  <c r="X1322" i="1"/>
  <c r="M1322" i="1"/>
  <c r="O1322" i="1" s="1"/>
  <c r="P1322" i="1" s="1"/>
  <c r="Q1322" i="1" s="1"/>
  <c r="L1322" i="1"/>
  <c r="I1322" i="1"/>
  <c r="L1320" i="1"/>
  <c r="L1319" i="1"/>
  <c r="O1318" i="1"/>
  <c r="G1318" i="1"/>
  <c r="L1318" i="1"/>
  <c r="I1318" i="1"/>
  <c r="L1317" i="1"/>
  <c r="G1317" i="1"/>
  <c r="P1317" i="1" s="1"/>
  <c r="Q1317" i="1" s="1"/>
  <c r="I1317" i="1"/>
  <c r="X1314" i="1"/>
  <c r="L1314" i="1"/>
  <c r="I1314" i="1"/>
  <c r="X1313" i="1"/>
  <c r="AA1313" i="1"/>
  <c r="L1313" i="1"/>
  <c r="I1313" i="1"/>
  <c r="G1311" i="1"/>
  <c r="P1311" i="1" s="1"/>
  <c r="Q1311" i="1" s="1"/>
  <c r="G1310" i="1"/>
  <c r="P1310" i="1" s="1"/>
  <c r="Q1310" i="1" s="1"/>
  <c r="L1311" i="1"/>
  <c r="L1310" i="1"/>
  <c r="I1311" i="1"/>
  <c r="I1310" i="1"/>
  <c r="M1308" i="1"/>
  <c r="O1308" i="1" s="1"/>
  <c r="P1308" i="1" s="1"/>
  <c r="Q1308" i="1" s="1"/>
  <c r="G1308" i="1"/>
  <c r="G1305" i="1"/>
  <c r="P1305" i="1" s="1"/>
  <c r="Q1305" i="1" s="1"/>
  <c r="V1305" i="1"/>
  <c r="L1305" i="1"/>
  <c r="I1305" i="1"/>
  <c r="G1302" i="1"/>
  <c r="P1302" i="1" s="1"/>
  <c r="Q1302" i="1" s="1"/>
  <c r="G1301" i="1"/>
  <c r="P1301" i="1" s="1"/>
  <c r="Q1301" i="1" s="1"/>
  <c r="L1302" i="1"/>
  <c r="I1302" i="1"/>
  <c r="L1301" i="1"/>
  <c r="I1301" i="1"/>
  <c r="L1299" i="1"/>
  <c r="I1299" i="1"/>
  <c r="G1299" i="1"/>
  <c r="P1299" i="1" s="1"/>
  <c r="Q1299" i="1" s="1"/>
  <c r="W1300" i="1"/>
  <c r="Q1300" i="1" s="1"/>
  <c r="P1318" i="1" l="1"/>
  <c r="Q1318" i="1" s="1"/>
  <c r="Q1323" i="1"/>
  <c r="Y1322" i="1"/>
  <c r="Y1313" i="1"/>
  <c r="Z1313" i="1"/>
  <c r="Y1314" i="1"/>
  <c r="AE1314" i="1"/>
  <c r="AD1314" i="1"/>
  <c r="AC1314" i="1"/>
  <c r="AB1314" i="1"/>
  <c r="Z1314" i="1"/>
  <c r="AA1314" i="1"/>
  <c r="Z1305" i="1"/>
  <c r="Y1305" i="1"/>
  <c r="AA1305" i="1"/>
  <c r="AA1322" i="1" l="1"/>
  <c r="AB1322" i="1"/>
  <c r="Z1322" i="1"/>
  <c r="AE1313" i="1"/>
  <c r="AB1313" i="1"/>
  <c r="AD1313" i="1"/>
  <c r="AC1313" i="1"/>
  <c r="AE1322" i="1" l="1"/>
  <c r="AD1322" i="1"/>
  <c r="AC1322" i="1"/>
  <c r="I1298" i="1"/>
  <c r="I1297" i="1"/>
  <c r="L1297" i="1"/>
  <c r="L1298" i="1"/>
  <c r="X1298" i="1" l="1"/>
  <c r="Y1298" i="1"/>
  <c r="X1297" i="1"/>
  <c r="AA1297" i="1"/>
  <c r="Z1298" i="1" l="1"/>
  <c r="AA1298" i="1"/>
  <c r="Y1297" i="1"/>
  <c r="Z1297" i="1"/>
  <c r="W2860" i="1"/>
  <c r="W2859" i="1"/>
  <c r="I2860" i="1"/>
  <c r="L2860" i="1"/>
  <c r="L2859" i="1"/>
  <c r="I2859" i="1"/>
  <c r="AA2859" i="1"/>
  <c r="AA2860" i="1"/>
  <c r="T2857" i="1"/>
  <c r="L2857" i="1"/>
  <c r="I2857" i="1"/>
  <c r="X2857" i="1"/>
  <c r="Z2857" i="1"/>
  <c r="X2856" i="1"/>
  <c r="AA2856" i="1"/>
  <c r="L2856" i="1"/>
  <c r="I2856" i="1"/>
  <c r="X2853" i="1"/>
  <c r="L2853" i="1"/>
  <c r="I2853" i="1"/>
  <c r="X2852" i="1"/>
  <c r="AA2852" i="1"/>
  <c r="L2852" i="1"/>
  <c r="I2852" i="1"/>
  <c r="L2850" i="1"/>
  <c r="I2850" i="1"/>
  <c r="X2850" i="1"/>
  <c r="X2854" i="1"/>
  <c r="Y2854" i="1"/>
  <c r="L2854" i="1"/>
  <c r="I2854" i="1"/>
  <c r="X2851" i="1"/>
  <c r="AA2851" i="1"/>
  <c r="L2851" i="1"/>
  <c r="I2851" i="1"/>
  <c r="L2858" i="1"/>
  <c r="AC2858" i="1"/>
  <c r="I2858" i="1"/>
  <c r="AC2855" i="1"/>
  <c r="L2855" i="1"/>
  <c r="I2855" i="1"/>
  <c r="X2858" i="1"/>
  <c r="X2855" i="1"/>
  <c r="L2849" i="1"/>
  <c r="I2849" i="1"/>
  <c r="X2849" i="1"/>
  <c r="X2848" i="1"/>
  <c r="L2848" i="1"/>
  <c r="I2848" i="1"/>
  <c r="W2847" i="1"/>
  <c r="L2847" i="1"/>
  <c r="I2847" i="1"/>
  <c r="Y2848" i="1"/>
  <c r="AA2847" i="1"/>
  <c r="W2843" i="1"/>
  <c r="AA2843" i="1"/>
  <c r="L2843" i="1"/>
  <c r="I2843" i="1"/>
  <c r="X2846" i="1"/>
  <c r="AA2846" i="1"/>
  <c r="L2846" i="1"/>
  <c r="I2846" i="1"/>
  <c r="L2844" i="1"/>
  <c r="L2845" i="1"/>
  <c r="I2844" i="1"/>
  <c r="I2845" i="1"/>
  <c r="X2845" i="1"/>
  <c r="AA2845" i="1"/>
  <c r="L2842" i="1"/>
  <c r="I2842" i="1"/>
  <c r="L2841" i="1"/>
  <c r="I2841" i="1"/>
  <c r="L2840" i="1"/>
  <c r="I2840" i="1"/>
  <c r="W2836" i="1"/>
  <c r="AA2836" i="1"/>
  <c r="L2836" i="1"/>
  <c r="I2836" i="1"/>
  <c r="L2839" i="1"/>
  <c r="I2839" i="1"/>
  <c r="W2839" i="1"/>
  <c r="W2838" i="1"/>
  <c r="L2838" i="1"/>
  <c r="I2838" i="1"/>
  <c r="L2837" i="1"/>
  <c r="I2837" i="1"/>
  <c r="W2837" i="1"/>
  <c r="X2834" i="1"/>
  <c r="Z2834" i="1"/>
  <c r="L2834" i="1"/>
  <c r="I2834" i="1"/>
  <c r="I2835" i="1"/>
  <c r="L2835" i="1"/>
  <c r="W2835" i="1"/>
  <c r="W2833" i="1"/>
  <c r="Q2833" i="1" s="1"/>
  <c r="L2833" i="1"/>
  <c r="I2833" i="1"/>
  <c r="X2842" i="1"/>
  <c r="X2841" i="1"/>
  <c r="X2840" i="1"/>
  <c r="Y2840" i="1"/>
  <c r="AA2839" i="1"/>
  <c r="AA2838" i="1"/>
  <c r="Y2835" i="1"/>
  <c r="AA2833" i="1"/>
  <c r="X2844" i="1"/>
  <c r="Y2844" i="1"/>
  <c r="G1404" i="1"/>
  <c r="G1405" i="1"/>
  <c r="P1405" i="1" s="1"/>
  <c r="Q1405" i="1" s="1"/>
  <c r="I1406" i="1"/>
  <c r="I1405" i="1"/>
  <c r="I1404" i="1"/>
  <c r="W1406" i="1"/>
  <c r="W1405" i="1"/>
  <c r="X1405" i="1" s="1"/>
  <c r="W1404" i="1"/>
  <c r="X1404" i="1" s="1"/>
  <c r="L1404" i="1"/>
  <c r="L1405" i="1"/>
  <c r="L1406" i="1"/>
  <c r="AA1406" i="1"/>
  <c r="L3417" i="1"/>
  <c r="I3417" i="1"/>
  <c r="X3417" i="1"/>
  <c r="I3416" i="1"/>
  <c r="X3416" i="1"/>
  <c r="Z3416" i="1"/>
  <c r="L3416" i="1"/>
  <c r="I3415" i="1"/>
  <c r="L3415" i="1"/>
  <c r="I3414" i="1"/>
  <c r="O3414" i="1"/>
  <c r="L3414" i="1"/>
  <c r="G3414" i="1"/>
  <c r="L3410" i="1"/>
  <c r="L3411" i="1"/>
  <c r="L3412" i="1"/>
  <c r="L3413" i="1"/>
  <c r="I3411" i="1"/>
  <c r="I3412" i="1"/>
  <c r="I3413" i="1"/>
  <c r="I3410" i="1"/>
  <c r="L3409" i="1"/>
  <c r="I3409" i="1"/>
  <c r="X3415" i="1"/>
  <c r="Z3415" i="1"/>
  <c r="X3414" i="1"/>
  <c r="X3412" i="1"/>
  <c r="X3411" i="1"/>
  <c r="Z3411" i="1"/>
  <c r="X3410" i="1"/>
  <c r="AA3410" i="1"/>
  <c r="X3409" i="1"/>
  <c r="AA3409" i="1"/>
  <c r="W2678" i="1"/>
  <c r="L2678" i="1"/>
  <c r="I2678" i="1"/>
  <c r="Z2678" i="1"/>
  <c r="I2677" i="1"/>
  <c r="I2676" i="1"/>
  <c r="I2675" i="1"/>
  <c r="L2675" i="1"/>
  <c r="L2676" i="1"/>
  <c r="L2677" i="1"/>
  <c r="L2673" i="1"/>
  <c r="L2674" i="1"/>
  <c r="I2674" i="1"/>
  <c r="I2673" i="1"/>
  <c r="L2672" i="1"/>
  <c r="I2672" i="1"/>
  <c r="X2836" i="1" l="1"/>
  <c r="Q2836" i="1"/>
  <c r="AC2836" i="1" s="1"/>
  <c r="P1404" i="1"/>
  <c r="Q1404" i="1" s="1"/>
  <c r="P3414" i="1"/>
  <c r="Q3414" i="1" s="1"/>
  <c r="X2838" i="1"/>
  <c r="Q2838" i="1"/>
  <c r="X2847" i="1"/>
  <c r="Q2847" i="1"/>
  <c r="AE2847" i="1" s="1"/>
  <c r="X2859" i="1"/>
  <c r="Q2859" i="1"/>
  <c r="X2678" i="1"/>
  <c r="Q2678" i="1"/>
  <c r="X1406" i="1"/>
  <c r="Q1406" i="1"/>
  <c r="X2839" i="1"/>
  <c r="Q2839" i="1"/>
  <c r="X2860" i="1"/>
  <c r="Q2860" i="1"/>
  <c r="AE2860" i="1" s="1"/>
  <c r="X2837" i="1"/>
  <c r="Q2837" i="1"/>
  <c r="X2843" i="1"/>
  <c r="Q2843" i="1"/>
  <c r="X2835" i="1"/>
  <c r="Q2835" i="1"/>
  <c r="Z2860" i="1"/>
  <c r="Y2858" i="1"/>
  <c r="AE1298" i="1"/>
  <c r="AD1298" i="1"/>
  <c r="AC1298" i="1"/>
  <c r="AB1298" i="1"/>
  <c r="AB1297" i="1"/>
  <c r="AC1297" i="1"/>
  <c r="AE1297" i="1"/>
  <c r="AD1297" i="1"/>
  <c r="Y2860" i="1"/>
  <c r="AA2855" i="1"/>
  <c r="Y2853" i="1"/>
  <c r="AA2857" i="1"/>
  <c r="Z2853" i="1"/>
  <c r="Y2859" i="1"/>
  <c r="Z2859" i="1"/>
  <c r="AA2854" i="1"/>
  <c r="AE2851" i="1"/>
  <c r="AE2853" i="1"/>
  <c r="AD2853" i="1"/>
  <c r="AC2853" i="1"/>
  <c r="AB2853" i="1"/>
  <c r="Y2855" i="1"/>
  <c r="Y2851" i="1"/>
  <c r="AA2853" i="1"/>
  <c r="Y2850" i="1"/>
  <c r="AA2850" i="1"/>
  <c r="Y2852" i="1"/>
  <c r="Y2856" i="1"/>
  <c r="Z2858" i="1"/>
  <c r="Z2852" i="1"/>
  <c r="Z2856" i="1"/>
  <c r="AA2858" i="1"/>
  <c r="Y2857" i="1"/>
  <c r="Z2854" i="1"/>
  <c r="AE2850" i="1"/>
  <c r="AD2850" i="1"/>
  <c r="AC2850" i="1"/>
  <c r="AB2850" i="1"/>
  <c r="Z2850" i="1"/>
  <c r="Z2851" i="1"/>
  <c r="AE2858" i="1"/>
  <c r="AD2855" i="1"/>
  <c r="AB2858" i="1"/>
  <c r="AD2858" i="1"/>
  <c r="Y2842" i="1"/>
  <c r="Y2849" i="1"/>
  <c r="Z2855" i="1"/>
  <c r="AA2849" i="1"/>
  <c r="AB2855" i="1"/>
  <c r="AE2855" i="1"/>
  <c r="AE2849" i="1"/>
  <c r="AD2849" i="1"/>
  <c r="AC2849" i="1"/>
  <c r="AB2849" i="1"/>
  <c r="Z2849" i="1"/>
  <c r="Z2843" i="1"/>
  <c r="AA2848" i="1"/>
  <c r="Y2847" i="1"/>
  <c r="Z2840" i="1"/>
  <c r="AB2843" i="1"/>
  <c r="Z2848" i="1"/>
  <c r="AA2841" i="1"/>
  <c r="Z2847" i="1"/>
  <c r="AD2837" i="1"/>
  <c r="Y2843" i="1"/>
  <c r="Y2841" i="1"/>
  <c r="Y2846" i="1"/>
  <c r="Z2846" i="1"/>
  <c r="AD2845" i="1"/>
  <c r="Y2845" i="1"/>
  <c r="Z2845" i="1"/>
  <c r="AA2844" i="1"/>
  <c r="AA2834" i="1"/>
  <c r="Y2836" i="1"/>
  <c r="Z2836" i="1"/>
  <c r="Z2835" i="1"/>
  <c r="AA2835" i="1"/>
  <c r="Y2838" i="1"/>
  <c r="AA2840" i="1"/>
  <c r="AA3416" i="1"/>
  <c r="AE1405" i="1"/>
  <c r="Z2844" i="1"/>
  <c r="AC2839" i="1"/>
  <c r="Y2837" i="1"/>
  <c r="AA2837" i="1"/>
  <c r="Z2839" i="1"/>
  <c r="AC2833" i="1"/>
  <c r="Y2834" i="1"/>
  <c r="AE2838" i="1"/>
  <c r="X2833" i="1"/>
  <c r="Z2833" i="1"/>
  <c r="AE2841" i="1"/>
  <c r="AD2841" i="1"/>
  <c r="AC2841" i="1"/>
  <c r="AB2841" i="1"/>
  <c r="AE2842" i="1"/>
  <c r="AD2842" i="1"/>
  <c r="AC2842" i="1"/>
  <c r="AB2842" i="1"/>
  <c r="Z2837" i="1"/>
  <c r="Z2841" i="1"/>
  <c r="Z2838" i="1"/>
  <c r="Z2842" i="1"/>
  <c r="AC3414" i="1"/>
  <c r="Y2833" i="1"/>
  <c r="Y2839" i="1"/>
  <c r="AA2842" i="1"/>
  <c r="Z1404" i="1"/>
  <c r="Y1405" i="1"/>
  <c r="AA3415" i="1"/>
  <c r="Y3417" i="1"/>
  <c r="Z1405" i="1"/>
  <c r="AA3417" i="1"/>
  <c r="AA1405" i="1"/>
  <c r="Y1406" i="1"/>
  <c r="Z1406" i="1"/>
  <c r="Y1404" i="1"/>
  <c r="AE3417" i="1"/>
  <c r="AD3417" i="1"/>
  <c r="AC3417" i="1"/>
  <c r="AB3417" i="1"/>
  <c r="Z3417" i="1"/>
  <c r="Y3416" i="1"/>
  <c r="Y3409" i="1"/>
  <c r="Z3409" i="1"/>
  <c r="Y2678" i="1"/>
  <c r="AE3409" i="1"/>
  <c r="AC3410" i="1"/>
  <c r="Z3412" i="1"/>
  <c r="AA3412" i="1"/>
  <c r="Y3412" i="1"/>
  <c r="AA3411" i="1"/>
  <c r="AE3412" i="1"/>
  <c r="AD3412" i="1"/>
  <c r="AC3412" i="1"/>
  <c r="AB3412" i="1"/>
  <c r="Y3410" i="1"/>
  <c r="Z3410" i="1"/>
  <c r="Y3411" i="1"/>
  <c r="Y3415" i="1"/>
  <c r="AA2678" i="1"/>
  <c r="X2675" i="1"/>
  <c r="AA2675" i="1"/>
  <c r="X2674" i="1"/>
  <c r="X2673" i="1"/>
  <c r="Y2673" i="1"/>
  <c r="X2672" i="1"/>
  <c r="AA2672" i="1"/>
  <c r="X2677" i="1"/>
  <c r="AA2677" i="1"/>
  <c r="X2676" i="1"/>
  <c r="W2427" i="1"/>
  <c r="Q2427" i="1" s="1"/>
  <c r="V2427" i="1"/>
  <c r="L2427" i="1"/>
  <c r="Y2427" i="1"/>
  <c r="I2427" i="1"/>
  <c r="L2425" i="1"/>
  <c r="L2426" i="1"/>
  <c r="I2426" i="1"/>
  <c r="I2425" i="1"/>
  <c r="X2426" i="1"/>
  <c r="X2425" i="1"/>
  <c r="AA2425" i="1"/>
  <c r="W1055" i="1"/>
  <c r="W1054" i="1"/>
  <c r="W1056" i="1"/>
  <c r="L1056" i="1"/>
  <c r="L1055" i="1"/>
  <c r="L1054" i="1"/>
  <c r="I1054" i="1"/>
  <c r="I1055" i="1"/>
  <c r="I1056" i="1"/>
  <c r="AA1056" i="1"/>
  <c r="AA1055" i="1"/>
  <c r="X1056" i="1" l="1"/>
  <c r="Q1056" i="1"/>
  <c r="AD1056" i="1" s="1"/>
  <c r="AA1404" i="1"/>
  <c r="X1054" i="1"/>
  <c r="Q1054" i="1"/>
  <c r="X1055" i="1"/>
  <c r="Q1055" i="1"/>
  <c r="AB2851" i="1"/>
  <c r="AD2860" i="1"/>
  <c r="AD2851" i="1"/>
  <c r="AB2860" i="1"/>
  <c r="AC2843" i="1"/>
  <c r="AC2851" i="1"/>
  <c r="AC2860" i="1"/>
  <c r="AE2843" i="1"/>
  <c r="AC2859" i="1"/>
  <c r="AB2859" i="1"/>
  <c r="AE2859" i="1"/>
  <c r="AD2859" i="1"/>
  <c r="AB2852" i="1"/>
  <c r="AD2852" i="1"/>
  <c r="AE2852" i="1"/>
  <c r="AC2852" i="1"/>
  <c r="AE2857" i="1"/>
  <c r="AD2857" i="1"/>
  <c r="AC2857" i="1"/>
  <c r="AB2857" i="1"/>
  <c r="AB2856" i="1"/>
  <c r="AE2856" i="1"/>
  <c r="AD2856" i="1"/>
  <c r="AC2856" i="1"/>
  <c r="AB2836" i="1"/>
  <c r="AD2843" i="1"/>
  <c r="AC2854" i="1"/>
  <c r="AE2854" i="1"/>
  <c r="AD2854" i="1"/>
  <c r="AB2854" i="1"/>
  <c r="AE2837" i="1"/>
  <c r="AB2839" i="1"/>
  <c r="AB2837" i="1"/>
  <c r="AC2837" i="1"/>
  <c r="AE2845" i="1"/>
  <c r="AD2847" i="1"/>
  <c r="AC2847" i="1"/>
  <c r="AB2847" i="1"/>
  <c r="AB2848" i="1"/>
  <c r="AC2848" i="1"/>
  <c r="AD2848" i="1"/>
  <c r="AE2848" i="1"/>
  <c r="AB2845" i="1"/>
  <c r="AB2833" i="1"/>
  <c r="AD2836" i="1"/>
  <c r="AB1405" i="1"/>
  <c r="AD1405" i="1"/>
  <c r="AC2845" i="1"/>
  <c r="AA3414" i="1"/>
  <c r="AC1405" i="1"/>
  <c r="AD2839" i="1"/>
  <c r="AE2836" i="1"/>
  <c r="AB3409" i="1"/>
  <c r="AB2846" i="1"/>
  <c r="AD2846" i="1"/>
  <c r="AE2846" i="1"/>
  <c r="AC2846" i="1"/>
  <c r="AC2838" i="1"/>
  <c r="AB2838" i="1"/>
  <c r="AD2833" i="1"/>
  <c r="AE2833" i="1"/>
  <c r="AD2838" i="1"/>
  <c r="Y3414" i="1"/>
  <c r="Z3414" i="1"/>
  <c r="AE2834" i="1"/>
  <c r="AD2834" i="1"/>
  <c r="AC2834" i="1"/>
  <c r="AB2834" i="1"/>
  <c r="AE2839" i="1"/>
  <c r="AE2844" i="1"/>
  <c r="AD2844" i="1"/>
  <c r="AC2844" i="1"/>
  <c r="AB2844" i="1"/>
  <c r="AE2840" i="1"/>
  <c r="AD2840" i="1"/>
  <c r="AC2840" i="1"/>
  <c r="AB2840" i="1"/>
  <c r="AE2835" i="1"/>
  <c r="AC2835" i="1"/>
  <c r="AD2835" i="1"/>
  <c r="AB2835" i="1"/>
  <c r="AD3409" i="1"/>
  <c r="AC1406" i="1"/>
  <c r="AB1406" i="1"/>
  <c r="AE1406" i="1"/>
  <c r="AD1406" i="1"/>
  <c r="AE1404" i="1"/>
  <c r="AD1404" i="1"/>
  <c r="AC1404" i="1"/>
  <c r="AB1404" i="1"/>
  <c r="AB3416" i="1"/>
  <c r="AE3416" i="1"/>
  <c r="AD3416" i="1"/>
  <c r="AC3416" i="1"/>
  <c r="AB3410" i="1"/>
  <c r="AC3409" i="1"/>
  <c r="AE3410" i="1"/>
  <c r="AD3410" i="1"/>
  <c r="AD3414" i="1"/>
  <c r="AE3414" i="1"/>
  <c r="AB3414" i="1"/>
  <c r="AC3415" i="1"/>
  <c r="AE3415" i="1"/>
  <c r="AD3415" i="1"/>
  <c r="AB3415" i="1"/>
  <c r="AE3411" i="1"/>
  <c r="AD3411" i="1"/>
  <c r="AC3411" i="1"/>
  <c r="AB3411" i="1"/>
  <c r="AC2678" i="1"/>
  <c r="AE2678" i="1"/>
  <c r="AD2678" i="1"/>
  <c r="AB2678" i="1"/>
  <c r="X2427" i="1"/>
  <c r="AE2677" i="1"/>
  <c r="Z2426" i="1"/>
  <c r="Y2677" i="1"/>
  <c r="Y2676" i="1"/>
  <c r="Z2676" i="1"/>
  <c r="Y2674" i="1"/>
  <c r="Z2674" i="1"/>
  <c r="AE2675" i="1"/>
  <c r="Z2673" i="1"/>
  <c r="AA2673" i="1"/>
  <c r="Y2675" i="1"/>
  <c r="AE2674" i="1"/>
  <c r="AD2674" i="1"/>
  <c r="AC2674" i="1"/>
  <c r="AB2674" i="1"/>
  <c r="AD2676" i="1"/>
  <c r="AE2676" i="1"/>
  <c r="AC2676" i="1"/>
  <c r="AB2676" i="1"/>
  <c r="AA2676" i="1"/>
  <c r="AA2674" i="1"/>
  <c r="Z2677" i="1"/>
  <c r="Z2675" i="1"/>
  <c r="Y2672" i="1"/>
  <c r="Z2672" i="1"/>
  <c r="AC1054" i="1"/>
  <c r="AC2425" i="1"/>
  <c r="AA2426" i="1"/>
  <c r="AA2427" i="1"/>
  <c r="Y1054" i="1"/>
  <c r="Z2427" i="1"/>
  <c r="Z1054" i="1"/>
  <c r="Y2425" i="1"/>
  <c r="AA1054" i="1"/>
  <c r="Z2425" i="1"/>
  <c r="Y2426" i="1"/>
  <c r="Y1055" i="1"/>
  <c r="Z1055" i="1"/>
  <c r="AE1055" i="1"/>
  <c r="Y1056" i="1"/>
  <c r="Z1056" i="1"/>
  <c r="L1589" i="1"/>
  <c r="L1590" i="1"/>
  <c r="I1590" i="1"/>
  <c r="I1589" i="1"/>
  <c r="X1590" i="1"/>
  <c r="X1589" i="1"/>
  <c r="X1012" i="1"/>
  <c r="L1012" i="1"/>
  <c r="I1012" i="1"/>
  <c r="I1008" i="1"/>
  <c r="L1008" i="1"/>
  <c r="X1008" i="1"/>
  <c r="I1009" i="1"/>
  <c r="L1009" i="1"/>
  <c r="R1009" i="1"/>
  <c r="U1009" i="1"/>
  <c r="V1009" i="1"/>
  <c r="X1009" i="1" s="1"/>
  <c r="G790" i="1"/>
  <c r="P790" i="1" s="1"/>
  <c r="Q790" i="1" s="1"/>
  <c r="L790" i="1"/>
  <c r="L791" i="1"/>
  <c r="L792" i="1"/>
  <c r="I792" i="1"/>
  <c r="I791" i="1"/>
  <c r="I790" i="1"/>
  <c r="L789" i="1"/>
  <c r="L788" i="1"/>
  <c r="L787" i="1"/>
  <c r="I787" i="1"/>
  <c r="V784" i="1"/>
  <c r="L785" i="1"/>
  <c r="L786" i="1"/>
  <c r="L784" i="1"/>
  <c r="I786" i="1"/>
  <c r="I785" i="1"/>
  <c r="I784" i="1"/>
  <c r="L783" i="1"/>
  <c r="X786" i="1"/>
  <c r="AA786" i="1"/>
  <c r="X785" i="1"/>
  <c r="V782" i="1"/>
  <c r="X782" i="1" s="1"/>
  <c r="L782" i="1"/>
  <c r="I783" i="1"/>
  <c r="I782" i="1"/>
  <c r="X787" i="1"/>
  <c r="Y787" i="1"/>
  <c r="X783" i="1"/>
  <c r="G781" i="1"/>
  <c r="P781" i="1" s="1"/>
  <c r="Q781" i="1" s="1"/>
  <c r="X781" i="1"/>
  <c r="L781" i="1"/>
  <c r="I781" i="1"/>
  <c r="X776" i="1"/>
  <c r="L776" i="1"/>
  <c r="I776" i="1"/>
  <c r="X777" i="1"/>
  <c r="L777" i="1"/>
  <c r="I777" i="1"/>
  <c r="L779" i="1"/>
  <c r="L780" i="1"/>
  <c r="X780" i="1"/>
  <c r="AA780" i="1"/>
  <c r="I780" i="1"/>
  <c r="X779" i="1"/>
  <c r="I779" i="1"/>
  <c r="I788" i="1"/>
  <c r="I789" i="1"/>
  <c r="L778" i="1"/>
  <c r="I778" i="1"/>
  <c r="X788" i="1"/>
  <c r="AA788" i="1"/>
  <c r="X778" i="1"/>
  <c r="I775" i="1"/>
  <c r="L775" i="1"/>
  <c r="X789" i="1"/>
  <c r="X775" i="1"/>
  <c r="Y775" i="1"/>
  <c r="L774" i="1"/>
  <c r="L773" i="1"/>
  <c r="I774" i="1"/>
  <c r="I773" i="1"/>
  <c r="X774" i="1"/>
  <c r="X773" i="1"/>
  <c r="Y773" i="1"/>
  <c r="L772" i="1"/>
  <c r="I772" i="1"/>
  <c r="X772" i="1"/>
  <c r="L771" i="1"/>
  <c r="I771" i="1"/>
  <c r="V770" i="1"/>
  <c r="X770" i="1" s="1"/>
  <c r="L770" i="1"/>
  <c r="I770" i="1"/>
  <c r="X771" i="1"/>
  <c r="AA771" i="1"/>
  <c r="O3357" i="1"/>
  <c r="P3357" i="1" s="1"/>
  <c r="Q3357" i="1" s="1"/>
  <c r="O3356" i="1"/>
  <c r="O3355" i="1"/>
  <c r="G3358" i="1"/>
  <c r="M3358" i="1"/>
  <c r="O3358" i="1" s="1"/>
  <c r="P3358" i="1" s="1"/>
  <c r="Q3358" i="1" s="1"/>
  <c r="G3357" i="1"/>
  <c r="G3356" i="1"/>
  <c r="G3355" i="1"/>
  <c r="G3354" i="1"/>
  <c r="G3352" i="1"/>
  <c r="G3351" i="1"/>
  <c r="O3351" i="1"/>
  <c r="O3352" i="1"/>
  <c r="P3352" i="1" s="1"/>
  <c r="Q3352" i="1" s="1"/>
  <c r="X3357" i="1"/>
  <c r="L3357" i="1"/>
  <c r="I3357" i="1"/>
  <c r="X3356" i="1"/>
  <c r="L3356" i="1"/>
  <c r="I3356" i="1"/>
  <c r="X3355" i="1"/>
  <c r="L3355" i="1"/>
  <c r="I3355" i="1"/>
  <c r="O3354" i="1"/>
  <c r="P3354" i="1" s="1"/>
  <c r="Q3354" i="1" s="1"/>
  <c r="X3352" i="1"/>
  <c r="L3352" i="1"/>
  <c r="I3352" i="1"/>
  <c r="X3351" i="1"/>
  <c r="L3351" i="1"/>
  <c r="I3351" i="1"/>
  <c r="O3353" i="1"/>
  <c r="P3353" i="1" s="1"/>
  <c r="Q3353" i="1" s="1"/>
  <c r="L3353" i="1"/>
  <c r="I3353" i="1"/>
  <c r="X3354" i="1"/>
  <c r="L3354" i="1"/>
  <c r="I3354" i="1"/>
  <c r="X3358" i="1"/>
  <c r="L3358" i="1"/>
  <c r="I3358" i="1"/>
  <c r="O3350" i="1"/>
  <c r="P3350" i="1" s="1"/>
  <c r="Q3350" i="1" s="1"/>
  <c r="O3349" i="1"/>
  <c r="L3350" i="1"/>
  <c r="I3350" i="1"/>
  <c r="P3351" i="1" l="1"/>
  <c r="Q3351" i="1" s="1"/>
  <c r="P3355" i="1"/>
  <c r="Q3355" i="1" s="1"/>
  <c r="P3356" i="1"/>
  <c r="Q3356" i="1" s="1"/>
  <c r="AA782" i="1"/>
  <c r="AD2677" i="1"/>
  <c r="AB2677" i="1"/>
  <c r="AC2677" i="1"/>
  <c r="AB2675" i="1"/>
  <c r="AB1054" i="1"/>
  <c r="AE1054" i="1"/>
  <c r="AD2675" i="1"/>
  <c r="AE2425" i="1"/>
  <c r="AB2425" i="1"/>
  <c r="AD2425" i="1"/>
  <c r="AD1054" i="1"/>
  <c r="AC2675" i="1"/>
  <c r="AC2672" i="1"/>
  <c r="AB2672" i="1"/>
  <c r="AD2672" i="1"/>
  <c r="AE2672" i="1"/>
  <c r="AB2673" i="1"/>
  <c r="AE2673" i="1"/>
  <c r="AD2673" i="1"/>
  <c r="AC2673" i="1"/>
  <c r="AC1055" i="1"/>
  <c r="AB1055" i="1"/>
  <c r="AC1056" i="1"/>
  <c r="AE2426" i="1"/>
  <c r="AD2426" i="1"/>
  <c r="AC2426" i="1"/>
  <c r="AB2426" i="1"/>
  <c r="Y1009" i="1"/>
  <c r="AE2427" i="1"/>
  <c r="AD2427" i="1"/>
  <c r="AC2427" i="1"/>
  <c r="AB2427" i="1"/>
  <c r="AA1590" i="1"/>
  <c r="AB1056" i="1"/>
  <c r="Z1009" i="1"/>
  <c r="AD1055" i="1"/>
  <c r="AE1056" i="1"/>
  <c r="AA1009" i="1"/>
  <c r="AA1589" i="1"/>
  <c r="AE1590" i="1"/>
  <c r="AD1590" i="1"/>
  <c r="AC1590" i="1"/>
  <c r="AB1590" i="1"/>
  <c r="AC1009" i="1"/>
  <c r="AB1009" i="1"/>
  <c r="AD1009" i="1"/>
  <c r="AE1589" i="1"/>
  <c r="AD1589" i="1"/>
  <c r="AC1589" i="1"/>
  <c r="AB1589" i="1"/>
  <c r="AB1008" i="1"/>
  <c r="AC1008" i="1"/>
  <c r="AE1008" i="1"/>
  <c r="Y1589" i="1"/>
  <c r="Y1590" i="1"/>
  <c r="Z1589" i="1"/>
  <c r="Z1590" i="1"/>
  <c r="AA1008" i="1"/>
  <c r="Z1008" i="1"/>
  <c r="Y1008" i="1"/>
  <c r="Z1012" i="1"/>
  <c r="AE1012" i="1"/>
  <c r="AD1012" i="1"/>
  <c r="AC1012" i="1"/>
  <c r="AB1012" i="1"/>
  <c r="AE1009" i="1"/>
  <c r="AD1008" i="1"/>
  <c r="AA1012" i="1"/>
  <c r="Y1012" i="1"/>
  <c r="Y784" i="1"/>
  <c r="AD786" i="1"/>
  <c r="Z776" i="1"/>
  <c r="Y783" i="1"/>
  <c r="Z783" i="1"/>
  <c r="Z784" i="1"/>
  <c r="Y785" i="1"/>
  <c r="AA784" i="1"/>
  <c r="Z787" i="1"/>
  <c r="AA787" i="1"/>
  <c r="AE787" i="1"/>
  <c r="X784" i="1"/>
  <c r="AE784" i="1" s="1"/>
  <c r="AA783" i="1"/>
  <c r="AE785" i="1"/>
  <c r="AD785" i="1"/>
  <c r="AC785" i="1"/>
  <c r="AB785" i="1"/>
  <c r="AE783" i="1"/>
  <c r="AB783" i="1"/>
  <c r="AD783" i="1"/>
  <c r="AC783" i="1"/>
  <c r="AD784" i="1"/>
  <c r="AC784" i="1"/>
  <c r="AB784" i="1"/>
  <c r="Z785" i="1"/>
  <c r="AA785" i="1"/>
  <c r="Y786" i="1"/>
  <c r="Y782" i="1"/>
  <c r="Z786" i="1"/>
  <c r="Z782" i="1"/>
  <c r="Y781" i="1"/>
  <c r="AA781" i="1"/>
  <c r="Z781" i="1"/>
  <c r="Z789" i="1"/>
  <c r="AA779" i="1"/>
  <c r="AE776" i="1"/>
  <c r="AD776" i="1"/>
  <c r="AC776" i="1"/>
  <c r="AB776" i="1"/>
  <c r="AA770" i="1"/>
  <c r="Y788" i="1"/>
  <c r="Y779" i="1"/>
  <c r="Y776" i="1"/>
  <c r="AA776" i="1"/>
  <c r="AD788" i="1"/>
  <c r="AE777" i="1"/>
  <c r="AD777" i="1"/>
  <c r="AC777" i="1"/>
  <c r="AB777" i="1"/>
  <c r="AE779" i="1"/>
  <c r="AD779" i="1"/>
  <c r="AC779" i="1"/>
  <c r="AB779" i="1"/>
  <c r="Z779" i="1"/>
  <c r="Y777" i="1"/>
  <c r="Z777" i="1"/>
  <c r="Y780" i="1"/>
  <c r="AA777" i="1"/>
  <c r="Y778" i="1"/>
  <c r="Z780" i="1"/>
  <c r="Z778" i="1"/>
  <c r="Z774" i="1"/>
  <c r="AA778" i="1"/>
  <c r="AE778" i="1"/>
  <c r="AD778" i="1"/>
  <c r="AC778" i="1"/>
  <c r="AB778" i="1"/>
  <c r="Z788" i="1"/>
  <c r="Z773" i="1"/>
  <c r="AE774" i="1"/>
  <c r="AD774" i="1"/>
  <c r="AC774" i="1"/>
  <c r="AB774" i="1"/>
  <c r="AE789" i="1"/>
  <c r="AD789" i="1"/>
  <c r="AC789" i="1"/>
  <c r="AB789" i="1"/>
  <c r="Z775" i="1"/>
  <c r="AA773" i="1"/>
  <c r="Y774" i="1"/>
  <c r="AA775" i="1"/>
  <c r="Y789" i="1"/>
  <c r="AA774" i="1"/>
  <c r="AA789" i="1"/>
  <c r="AC772" i="1"/>
  <c r="AB772" i="1"/>
  <c r="AE772" i="1"/>
  <c r="AD772" i="1"/>
  <c r="Y772" i="1"/>
  <c r="Z772" i="1"/>
  <c r="AA772" i="1"/>
  <c r="Z3355" i="1"/>
  <c r="Z771" i="1"/>
  <c r="Z3356" i="1"/>
  <c r="Y770" i="1"/>
  <c r="Z770" i="1"/>
  <c r="Y771" i="1"/>
  <c r="AA3357" i="1"/>
  <c r="Y3352" i="1"/>
  <c r="AA3354" i="1"/>
  <c r="Y3358" i="1"/>
  <c r="G3349" i="1"/>
  <c r="I3349" i="1"/>
  <c r="L3349" i="1"/>
  <c r="X3353" i="1"/>
  <c r="AA3353" i="1"/>
  <c r="X3350" i="1"/>
  <c r="X3349" i="1"/>
  <c r="P3349" i="1" l="1"/>
  <c r="Q3349" i="1" s="1"/>
  <c r="AB787" i="1"/>
  <c r="AC786" i="1"/>
  <c r="AE786" i="1"/>
  <c r="AB786" i="1"/>
  <c r="AD787" i="1"/>
  <c r="AC787" i="1"/>
  <c r="AC788" i="1"/>
  <c r="AC782" i="1"/>
  <c r="AB782" i="1"/>
  <c r="AD782" i="1"/>
  <c r="AE782" i="1"/>
  <c r="AE781" i="1"/>
  <c r="AD781" i="1"/>
  <c r="AC781" i="1"/>
  <c r="AB781" i="1"/>
  <c r="AB788" i="1"/>
  <c r="AE788" i="1"/>
  <c r="AC780" i="1"/>
  <c r="AB780" i="1"/>
  <c r="AE780" i="1"/>
  <c r="AD780" i="1"/>
  <c r="AE775" i="1"/>
  <c r="AB775" i="1"/>
  <c r="AD775" i="1"/>
  <c r="AC775" i="1"/>
  <c r="AE773" i="1"/>
  <c r="AD773" i="1"/>
  <c r="AC773" i="1"/>
  <c r="AB773" i="1"/>
  <c r="Z3351" i="1"/>
  <c r="AE3352" i="1"/>
  <c r="AA3355" i="1"/>
  <c r="AD3356" i="1"/>
  <c r="AA3352" i="1"/>
  <c r="AB3354" i="1"/>
  <c r="AA3356" i="1"/>
  <c r="AA3351" i="1"/>
  <c r="Y3356" i="1"/>
  <c r="Z3352" i="1"/>
  <c r="AD3355" i="1"/>
  <c r="Y3351" i="1"/>
  <c r="Y3355" i="1"/>
  <c r="Z3354" i="1"/>
  <c r="Y3354" i="1"/>
  <c r="AC770" i="1"/>
  <c r="AB770" i="1"/>
  <c r="AD770" i="1"/>
  <c r="AE770" i="1"/>
  <c r="AE771" i="1"/>
  <c r="AD771" i="1"/>
  <c r="AB771" i="1"/>
  <c r="AC771" i="1"/>
  <c r="Z3357" i="1"/>
  <c r="AA3358" i="1"/>
  <c r="Y3357" i="1"/>
  <c r="AC3357" i="1"/>
  <c r="AE3358" i="1"/>
  <c r="Z3358" i="1"/>
  <c r="AE3351" i="1"/>
  <c r="AD3351" i="1"/>
  <c r="AC3351" i="1"/>
  <c r="AB3351" i="1"/>
  <c r="Z3353" i="1"/>
  <c r="AE3350" i="1"/>
  <c r="AD3350" i="1"/>
  <c r="AC3350" i="1"/>
  <c r="AB3350" i="1"/>
  <c r="Z3349" i="1"/>
  <c r="Y3350" i="1"/>
  <c r="Z3350" i="1"/>
  <c r="AA3350" i="1"/>
  <c r="Y3353" i="1"/>
  <c r="L705" i="1"/>
  <c r="L706" i="1"/>
  <c r="I706" i="1"/>
  <c r="I705" i="1"/>
  <c r="I704" i="1"/>
  <c r="I703" i="1"/>
  <c r="L702" i="1"/>
  <c r="L703" i="1"/>
  <c r="L704" i="1"/>
  <c r="I702" i="1"/>
  <c r="X702" i="1"/>
  <c r="AA702" i="1"/>
  <c r="L699" i="1"/>
  <c r="L700" i="1"/>
  <c r="L701" i="1"/>
  <c r="I701" i="1"/>
  <c r="I700" i="1"/>
  <c r="I699" i="1"/>
  <c r="X703" i="1"/>
  <c r="AA703" i="1"/>
  <c r="X701" i="1"/>
  <c r="X700" i="1"/>
  <c r="Y700" i="1"/>
  <c r="X699" i="1"/>
  <c r="AA699" i="1"/>
  <c r="L698" i="1"/>
  <c r="I698" i="1"/>
  <c r="O696" i="1"/>
  <c r="P696" i="1" s="1"/>
  <c r="Q696" i="1" s="1"/>
  <c r="AC695" i="1"/>
  <c r="AA697" i="1"/>
  <c r="L695" i="1"/>
  <c r="L696" i="1"/>
  <c r="L697" i="1"/>
  <c r="I697" i="1"/>
  <c r="I696" i="1"/>
  <c r="I695" i="1"/>
  <c r="X698" i="1"/>
  <c r="AA698" i="1"/>
  <c r="X697" i="1"/>
  <c r="X696" i="1"/>
  <c r="X695" i="1"/>
  <c r="X705" i="1"/>
  <c r="AA705" i="1"/>
  <c r="X704" i="1"/>
  <c r="X706" i="1"/>
  <c r="L694" i="1"/>
  <c r="I693" i="1"/>
  <c r="I694" i="1"/>
  <c r="L693" i="1"/>
  <c r="I692" i="1"/>
  <c r="L692" i="1"/>
  <c r="L691" i="1"/>
  <c r="I691" i="1"/>
  <c r="L690" i="1"/>
  <c r="I690" i="1"/>
  <c r="L689" i="1"/>
  <c r="I689" i="1"/>
  <c r="L688" i="1"/>
  <c r="Z688" i="1"/>
  <c r="I688" i="1"/>
  <c r="X691" i="1"/>
  <c r="X690" i="1"/>
  <c r="X689" i="1"/>
  <c r="X688" i="1"/>
  <c r="I687" i="1"/>
  <c r="L687" i="1"/>
  <c r="Z686" i="1"/>
  <c r="L686" i="1"/>
  <c r="I686" i="1"/>
  <c r="L685" i="1"/>
  <c r="I685" i="1"/>
  <c r="Z684" i="1"/>
  <c r="L684" i="1"/>
  <c r="I684" i="1"/>
  <c r="X687" i="1"/>
  <c r="X686" i="1"/>
  <c r="X685" i="1"/>
  <c r="X684" i="1"/>
  <c r="V683" i="1"/>
  <c r="X683" i="1" s="1"/>
  <c r="L683" i="1"/>
  <c r="I683" i="1"/>
  <c r="I682" i="1"/>
  <c r="AA682" i="1"/>
  <c r="L682" i="1"/>
  <c r="L680" i="1"/>
  <c r="I680" i="1"/>
  <c r="I681" i="1"/>
  <c r="L681" i="1"/>
  <c r="I677" i="1"/>
  <c r="I678" i="1"/>
  <c r="I679" i="1"/>
  <c r="L678" i="1"/>
  <c r="L679" i="1"/>
  <c r="X679" i="1"/>
  <c r="X678" i="1"/>
  <c r="X680" i="1"/>
  <c r="I676" i="1"/>
  <c r="X681" i="1"/>
  <c r="L676" i="1"/>
  <c r="L677" i="1"/>
  <c r="X693" i="1"/>
  <c r="X692" i="1"/>
  <c r="X676" i="1"/>
  <c r="L675" i="1"/>
  <c r="I675" i="1"/>
  <c r="L674" i="1"/>
  <c r="I674" i="1"/>
  <c r="L673" i="1"/>
  <c r="I673" i="1"/>
  <c r="X677" i="1"/>
  <c r="X675" i="1"/>
  <c r="Y675" i="1"/>
  <c r="X674" i="1"/>
  <c r="AA674" i="1"/>
  <c r="X673" i="1"/>
  <c r="X682" i="1"/>
  <c r="X694" i="1"/>
  <c r="L668" i="1"/>
  <c r="L669" i="1"/>
  <c r="L670" i="1"/>
  <c r="L671" i="1"/>
  <c r="L672" i="1"/>
  <c r="I672" i="1"/>
  <c r="I671" i="1"/>
  <c r="I670" i="1"/>
  <c r="I669" i="1"/>
  <c r="I668" i="1"/>
  <c r="AA3349" i="1" l="1"/>
  <c r="Y3349" i="1"/>
  <c r="AE3356" i="1"/>
  <c r="AB3356" i="1"/>
  <c r="AC3356" i="1"/>
  <c r="AE3354" i="1"/>
  <c r="AC3355" i="1"/>
  <c r="AC3352" i="1"/>
  <c r="AD3352" i="1"/>
  <c r="AC3354" i="1"/>
  <c r="AD3354" i="1"/>
  <c r="AB3352" i="1"/>
  <c r="AE3355" i="1"/>
  <c r="AB3355" i="1"/>
  <c r="AB3358" i="1"/>
  <c r="AE3357" i="1"/>
  <c r="AD3357" i="1"/>
  <c r="AB3357" i="1"/>
  <c r="AC3358" i="1"/>
  <c r="Y689" i="1"/>
  <c r="AD3358" i="1"/>
  <c r="AD3349" i="1"/>
  <c r="AE3349" i="1"/>
  <c r="AC3349" i="1"/>
  <c r="AB3349" i="1"/>
  <c r="AC3353" i="1"/>
  <c r="AB3353" i="1"/>
  <c r="AE3353" i="1"/>
  <c r="AD3353" i="1"/>
  <c r="AA693" i="1"/>
  <c r="AD698" i="1"/>
  <c r="Z701" i="1"/>
  <c r="Y693" i="1"/>
  <c r="Y695" i="1"/>
  <c r="Y698" i="1"/>
  <c r="Z695" i="1"/>
  <c r="Z698" i="1"/>
  <c r="Y687" i="1"/>
  <c r="AA695" i="1"/>
  <c r="AA688" i="1"/>
  <c r="AC700" i="1"/>
  <c r="Y702" i="1"/>
  <c r="Z702" i="1"/>
  <c r="AA694" i="1"/>
  <c r="Z700" i="1"/>
  <c r="Y697" i="1"/>
  <c r="AA690" i="1"/>
  <c r="AA681" i="1"/>
  <c r="AE701" i="1"/>
  <c r="AD701" i="1"/>
  <c r="AC701" i="1"/>
  <c r="AB701" i="1"/>
  <c r="Z687" i="1"/>
  <c r="AA700" i="1"/>
  <c r="Y701" i="1"/>
  <c r="AA689" i="1"/>
  <c r="AA701" i="1"/>
  <c r="Y703" i="1"/>
  <c r="Z703" i="1"/>
  <c r="Y699" i="1"/>
  <c r="Z699" i="1"/>
  <c r="Y688" i="1"/>
  <c r="AD696" i="1"/>
  <c r="Y696" i="1"/>
  <c r="AA696" i="1"/>
  <c r="Z696" i="1"/>
  <c r="Y706" i="1"/>
  <c r="Z706" i="1"/>
  <c r="AB695" i="1"/>
  <c r="AD695" i="1"/>
  <c r="AE704" i="1"/>
  <c r="AD704" i="1"/>
  <c r="AC704" i="1"/>
  <c r="AB704" i="1"/>
  <c r="AE706" i="1"/>
  <c r="AD706" i="1"/>
  <c r="AC706" i="1"/>
  <c r="AB706" i="1"/>
  <c r="Z677" i="1"/>
  <c r="AA706" i="1"/>
  <c r="Y704" i="1"/>
  <c r="AE695" i="1"/>
  <c r="Z691" i="1"/>
  <c r="Z704" i="1"/>
  <c r="AA691" i="1"/>
  <c r="AA704" i="1"/>
  <c r="Y705" i="1"/>
  <c r="Y677" i="1"/>
  <c r="Z705" i="1"/>
  <c r="Z697" i="1"/>
  <c r="Z689" i="1"/>
  <c r="AC688" i="1"/>
  <c r="Z692" i="1"/>
  <c r="Y690" i="1"/>
  <c r="Z690" i="1"/>
  <c r="Y691" i="1"/>
  <c r="AE689" i="1"/>
  <c r="AD689" i="1"/>
  <c r="AC689" i="1"/>
  <c r="AB689" i="1"/>
  <c r="AE690" i="1"/>
  <c r="AD690" i="1"/>
  <c r="AC690" i="1"/>
  <c r="AB690" i="1"/>
  <c r="AE691" i="1"/>
  <c r="AD691" i="1"/>
  <c r="AC691" i="1"/>
  <c r="AB691" i="1"/>
  <c r="Y680" i="1"/>
  <c r="Y692" i="1"/>
  <c r="AA680" i="1"/>
  <c r="AA692" i="1"/>
  <c r="Y676" i="1"/>
  <c r="Y681" i="1"/>
  <c r="Y678" i="1"/>
  <c r="Y685" i="1"/>
  <c r="Z676" i="1"/>
  <c r="Z681" i="1"/>
  <c r="Z685" i="1"/>
  <c r="AA676" i="1"/>
  <c r="AE692" i="1"/>
  <c r="AE685" i="1"/>
  <c r="AD685" i="1"/>
  <c r="AC685" i="1"/>
  <c r="AB685" i="1"/>
  <c r="AE680" i="1"/>
  <c r="AD680" i="1"/>
  <c r="AE687" i="1"/>
  <c r="AD687" i="1"/>
  <c r="AC687" i="1"/>
  <c r="AB687" i="1"/>
  <c r="Z678" i="1"/>
  <c r="Y684" i="1"/>
  <c r="Y686" i="1"/>
  <c r="AA684" i="1"/>
  <c r="AA685" i="1"/>
  <c r="AA686" i="1"/>
  <c r="AA687" i="1"/>
  <c r="Z680" i="1"/>
  <c r="AE693" i="1"/>
  <c r="Y682" i="1"/>
  <c r="Z682" i="1"/>
  <c r="AE676" i="1"/>
  <c r="AB676" i="1"/>
  <c r="AD676" i="1"/>
  <c r="AC676" i="1"/>
  <c r="AE681" i="1"/>
  <c r="AD681" i="1"/>
  <c r="AC681" i="1"/>
  <c r="AB681" i="1"/>
  <c r="AE679" i="1"/>
  <c r="AD679" i="1"/>
  <c r="AC679" i="1"/>
  <c r="AB679" i="1"/>
  <c r="AE678" i="1"/>
  <c r="AD678" i="1"/>
  <c r="AC678" i="1"/>
  <c r="AB678" i="1"/>
  <c r="Z679" i="1"/>
  <c r="Y679" i="1"/>
  <c r="Y683" i="1"/>
  <c r="AB692" i="1"/>
  <c r="Z693" i="1"/>
  <c r="AA678" i="1"/>
  <c r="AA679" i="1"/>
  <c r="Z683" i="1"/>
  <c r="AC692" i="1"/>
  <c r="AB680" i="1"/>
  <c r="AD692" i="1"/>
  <c r="AB693" i="1"/>
  <c r="AC680" i="1"/>
  <c r="AC693" i="1"/>
  <c r="AD693" i="1"/>
  <c r="Z675" i="1"/>
  <c r="AA675" i="1"/>
  <c r="AD673" i="1"/>
  <c r="AC673" i="1"/>
  <c r="AB673" i="1"/>
  <c r="AE673" i="1"/>
  <c r="AE677" i="1"/>
  <c r="AD677" i="1"/>
  <c r="AC677" i="1"/>
  <c r="AB677" i="1"/>
  <c r="AE683" i="1"/>
  <c r="AD683" i="1"/>
  <c r="AC683" i="1"/>
  <c r="AB683" i="1"/>
  <c r="AA683" i="1"/>
  <c r="Y673" i="1"/>
  <c r="AA677" i="1"/>
  <c r="Z673" i="1"/>
  <c r="Y694" i="1"/>
  <c r="AA673" i="1"/>
  <c r="Y674" i="1"/>
  <c r="Z694" i="1"/>
  <c r="Z674" i="1"/>
  <c r="I667" i="1"/>
  <c r="I666" i="1"/>
  <c r="L667" i="1"/>
  <c r="V667" i="1"/>
  <c r="X667" i="1" s="1"/>
  <c r="L666" i="1"/>
  <c r="X672" i="1"/>
  <c r="X671" i="1"/>
  <c r="Y671" i="1"/>
  <c r="X670" i="1"/>
  <c r="AA670" i="1"/>
  <c r="X669" i="1"/>
  <c r="Z669" i="1"/>
  <c r="X668" i="1"/>
  <c r="Y667" i="1"/>
  <c r="X666" i="1"/>
  <c r="AA666" i="1"/>
  <c r="L660" i="1"/>
  <c r="I660" i="1"/>
  <c r="L658" i="1"/>
  <c r="L659" i="1"/>
  <c r="I658" i="1"/>
  <c r="I659" i="1"/>
  <c r="X660" i="1"/>
  <c r="AA660" i="1"/>
  <c r="X659" i="1"/>
  <c r="AA659" i="1"/>
  <c r="X658" i="1"/>
  <c r="Y658" i="1"/>
  <c r="L655" i="1"/>
  <c r="O654" i="1"/>
  <c r="O653" i="1"/>
  <c r="P653" i="1" s="1"/>
  <c r="Q653" i="1" s="1"/>
  <c r="L654" i="1"/>
  <c r="L656" i="1"/>
  <c r="I654" i="1"/>
  <c r="I655" i="1"/>
  <c r="I656" i="1"/>
  <c r="I657" i="1"/>
  <c r="L657" i="1"/>
  <c r="L652" i="1"/>
  <c r="L653" i="1"/>
  <c r="I653" i="1"/>
  <c r="I652" i="1"/>
  <c r="O651" i="1"/>
  <c r="P651" i="1" s="1"/>
  <c r="Q651" i="1" s="1"/>
  <c r="L651" i="1"/>
  <c r="I651" i="1"/>
  <c r="AA649" i="1"/>
  <c r="L650" i="1"/>
  <c r="L649" i="1"/>
  <c r="L648" i="1"/>
  <c r="I650" i="1"/>
  <c r="I649" i="1"/>
  <c r="I648" i="1"/>
  <c r="X654" i="1"/>
  <c r="X653" i="1"/>
  <c r="X652" i="1"/>
  <c r="X651" i="1"/>
  <c r="X650" i="1"/>
  <c r="AA650" i="1"/>
  <c r="X649" i="1"/>
  <c r="X657" i="1"/>
  <c r="AA657" i="1"/>
  <c r="X656" i="1"/>
  <c r="X655" i="1"/>
  <c r="Z655" i="1"/>
  <c r="L647" i="1"/>
  <c r="I647" i="1"/>
  <c r="O646" i="1"/>
  <c r="P646" i="1" s="1"/>
  <c r="Q646" i="1" s="1"/>
  <c r="L646" i="1"/>
  <c r="I646" i="1"/>
  <c r="L645" i="1"/>
  <c r="I645" i="1"/>
  <c r="L644" i="1"/>
  <c r="I644" i="1"/>
  <c r="X647" i="1"/>
  <c r="X646" i="1"/>
  <c r="X645" i="1"/>
  <c r="AA645" i="1"/>
  <c r="X644" i="1"/>
  <c r="AA644" i="1"/>
  <c r="X648" i="1"/>
  <c r="Y648" i="1"/>
  <c r="X643" i="1"/>
  <c r="L643" i="1"/>
  <c r="I643" i="1"/>
  <c r="X642" i="1"/>
  <c r="AA642" i="1"/>
  <c r="L642" i="1"/>
  <c r="I642" i="1"/>
  <c r="G635" i="1"/>
  <c r="P635" i="1" s="1"/>
  <c r="G636" i="1"/>
  <c r="P636" i="1" s="1"/>
  <c r="G639" i="1"/>
  <c r="P639" i="1" s="1"/>
  <c r="Q639" i="1" s="1"/>
  <c r="G638" i="1"/>
  <c r="P638" i="1" s="1"/>
  <c r="Q638" i="1" s="1"/>
  <c r="L639" i="1"/>
  <c r="I639" i="1"/>
  <c r="L638" i="1"/>
  <c r="I638" i="1"/>
  <c r="L637" i="1"/>
  <c r="L640" i="1"/>
  <c r="L641" i="1"/>
  <c r="I637" i="1"/>
  <c r="I641" i="1"/>
  <c r="I640" i="1"/>
  <c r="G633" i="1"/>
  <c r="P633" i="1" s="1"/>
  <c r="L633" i="1"/>
  <c r="I633" i="1"/>
  <c r="L634" i="1"/>
  <c r="I634" i="1"/>
  <c r="L635" i="1"/>
  <c r="I635" i="1"/>
  <c r="L636" i="1"/>
  <c r="I636" i="1"/>
  <c r="X641" i="1"/>
  <c r="Y641" i="1"/>
  <c r="X640" i="1"/>
  <c r="AA640" i="1"/>
  <c r="L613" i="1"/>
  <c r="I613" i="1"/>
  <c r="L612" i="1"/>
  <c r="L610" i="1"/>
  <c r="L611" i="1"/>
  <c r="L609" i="1"/>
  <c r="I609" i="1"/>
  <c r="I610" i="1"/>
  <c r="I611" i="1"/>
  <c r="I612" i="1"/>
  <c r="L607" i="1"/>
  <c r="I607" i="1"/>
  <c r="L608" i="1"/>
  <c r="I608" i="1"/>
  <c r="L606" i="1"/>
  <c r="I606" i="1"/>
  <c r="L604" i="1"/>
  <c r="I604" i="1"/>
  <c r="L605" i="1"/>
  <c r="I605" i="1"/>
  <c r="I603" i="1"/>
  <c r="L603" i="1"/>
  <c r="L602" i="1"/>
  <c r="I602" i="1"/>
  <c r="L601" i="1"/>
  <c r="I601" i="1"/>
  <c r="V614" i="1"/>
  <c r="L614" i="1"/>
  <c r="I614" i="1"/>
  <c r="L597" i="1"/>
  <c r="L600" i="1"/>
  <c r="L599" i="1"/>
  <c r="L598" i="1"/>
  <c r="G599" i="1"/>
  <c r="L596" i="1"/>
  <c r="L594" i="1"/>
  <c r="L595" i="1"/>
  <c r="I595" i="1"/>
  <c r="I596" i="1"/>
  <c r="I597" i="1"/>
  <c r="I598" i="1"/>
  <c r="I599" i="1"/>
  <c r="I600" i="1"/>
  <c r="I594" i="1"/>
  <c r="L593" i="1"/>
  <c r="I593" i="1"/>
  <c r="L592" i="1"/>
  <c r="I592" i="1"/>
  <c r="I591" i="1"/>
  <c r="L591" i="1"/>
  <c r="L589" i="1"/>
  <c r="L590" i="1"/>
  <c r="I590" i="1"/>
  <c r="I589" i="1"/>
  <c r="L588" i="1"/>
  <c r="I588" i="1"/>
  <c r="L587" i="1"/>
  <c r="I587" i="1"/>
  <c r="L586" i="1"/>
  <c r="I586" i="1"/>
  <c r="I585" i="1"/>
  <c r="L585" i="1"/>
  <c r="I584" i="1"/>
  <c r="L584" i="1"/>
  <c r="O583" i="1"/>
  <c r="L583" i="1"/>
  <c r="I583" i="1"/>
  <c r="L620" i="1"/>
  <c r="I620" i="1"/>
  <c r="G619" i="1"/>
  <c r="O619" i="1"/>
  <c r="L619" i="1"/>
  <c r="I619" i="1"/>
  <c r="I618" i="1"/>
  <c r="L618" i="1"/>
  <c r="L616" i="1"/>
  <c r="L617" i="1"/>
  <c r="I617" i="1"/>
  <c r="I616" i="1"/>
  <c r="V615" i="1"/>
  <c r="L615" i="1"/>
  <c r="I615" i="1"/>
  <c r="G582" i="1"/>
  <c r="P582" i="1" s="1"/>
  <c r="L582" i="1"/>
  <c r="I582" i="1"/>
  <c r="L569" i="1"/>
  <c r="I569" i="1"/>
  <c r="Q636" i="1" l="1"/>
  <c r="AA636" i="1"/>
  <c r="Z636" i="1"/>
  <c r="Y636" i="1"/>
  <c r="Q635" i="1"/>
  <c r="AA635" i="1"/>
  <c r="Z635" i="1"/>
  <c r="Y635" i="1"/>
  <c r="Q633" i="1"/>
  <c r="AA633" i="1"/>
  <c r="Z633" i="1"/>
  <c r="Y633" i="1"/>
  <c r="Q582" i="1"/>
  <c r="AA582" i="1"/>
  <c r="Z582" i="1"/>
  <c r="Y582" i="1"/>
  <c r="P619" i="1"/>
  <c r="P583" i="1"/>
  <c r="P599" i="1"/>
  <c r="P654" i="1"/>
  <c r="Q654" i="1" s="1"/>
  <c r="AB696" i="1"/>
  <c r="AC698" i="1"/>
  <c r="AB698" i="1"/>
  <c r="AE698" i="1"/>
  <c r="AE700" i="1"/>
  <c r="AB700" i="1"/>
  <c r="AC702" i="1"/>
  <c r="AB702" i="1"/>
  <c r="AE702" i="1"/>
  <c r="AD702" i="1"/>
  <c r="AE696" i="1"/>
  <c r="AC696" i="1"/>
  <c r="AD700" i="1"/>
  <c r="AC703" i="1"/>
  <c r="AB703" i="1"/>
  <c r="AE703" i="1"/>
  <c r="AD703" i="1"/>
  <c r="AE699" i="1"/>
  <c r="AD699" i="1"/>
  <c r="AC699" i="1"/>
  <c r="AB699" i="1"/>
  <c r="AE688" i="1"/>
  <c r="AD688" i="1"/>
  <c r="AB688" i="1"/>
  <c r="AC697" i="1"/>
  <c r="AB697" i="1"/>
  <c r="AE697" i="1"/>
  <c r="AD697" i="1"/>
  <c r="AC705" i="1"/>
  <c r="AB705" i="1"/>
  <c r="AD705" i="1"/>
  <c r="AE705" i="1"/>
  <c r="AE686" i="1"/>
  <c r="AD686" i="1"/>
  <c r="AC686" i="1"/>
  <c r="AB686" i="1"/>
  <c r="AE684" i="1"/>
  <c r="AD684" i="1"/>
  <c r="AC684" i="1"/>
  <c r="AB684" i="1"/>
  <c r="Y670" i="1"/>
  <c r="AE682" i="1"/>
  <c r="AB682" i="1"/>
  <c r="AD682" i="1"/>
  <c r="AC682" i="1"/>
  <c r="AB694" i="1"/>
  <c r="AD694" i="1"/>
  <c r="AE694" i="1"/>
  <c r="AC694" i="1"/>
  <c r="Y668" i="1"/>
  <c r="Z668" i="1"/>
  <c r="Z671" i="1"/>
  <c r="AA671" i="1"/>
  <c r="AE675" i="1"/>
  <c r="AD675" i="1"/>
  <c r="AB675" i="1"/>
  <c r="AC675" i="1"/>
  <c r="AB674" i="1"/>
  <c r="AC674" i="1"/>
  <c r="AD674" i="1"/>
  <c r="AE674" i="1"/>
  <c r="Y672" i="1"/>
  <c r="Y669" i="1"/>
  <c r="AD671" i="1"/>
  <c r="Z672" i="1"/>
  <c r="AA669" i="1"/>
  <c r="AA672" i="1"/>
  <c r="AC670" i="1"/>
  <c r="AA668" i="1"/>
  <c r="AE669" i="1"/>
  <c r="AD666" i="1"/>
  <c r="Y666" i="1"/>
  <c r="AE667" i="1"/>
  <c r="Z667" i="1"/>
  <c r="AA667" i="1"/>
  <c r="AE668" i="1"/>
  <c r="AD668" i="1"/>
  <c r="AC668" i="1"/>
  <c r="AB668" i="1"/>
  <c r="AE672" i="1"/>
  <c r="AD672" i="1"/>
  <c r="AC672" i="1"/>
  <c r="AB672" i="1"/>
  <c r="Z649" i="1"/>
  <c r="Z666" i="1"/>
  <c r="Z670" i="1"/>
  <c r="Y651" i="1"/>
  <c r="Z651" i="1"/>
  <c r="Y649" i="1"/>
  <c r="AB659" i="1"/>
  <c r="AD649" i="1"/>
  <c r="Y659" i="1"/>
  <c r="AD657" i="1"/>
  <c r="Z659" i="1"/>
  <c r="Y657" i="1"/>
  <c r="Z657" i="1"/>
  <c r="AD660" i="1"/>
  <c r="AE658" i="1"/>
  <c r="Z658" i="1"/>
  <c r="AA658" i="1"/>
  <c r="AA653" i="1"/>
  <c r="Y653" i="1"/>
  <c r="AD653" i="1"/>
  <c r="AA651" i="1"/>
  <c r="Y660" i="1"/>
  <c r="AD650" i="1"/>
  <c r="Z660" i="1"/>
  <c r="AA655" i="1"/>
  <c r="Z656" i="1"/>
  <c r="Z653" i="1"/>
  <c r="AE654" i="1"/>
  <c r="Y656" i="1"/>
  <c r="AA656" i="1"/>
  <c r="AA652" i="1"/>
  <c r="Z652" i="1"/>
  <c r="Y652" i="1"/>
  <c r="AE656" i="1"/>
  <c r="AD656" i="1"/>
  <c r="AC656" i="1"/>
  <c r="AB656" i="1"/>
  <c r="Z648" i="1"/>
  <c r="Y650" i="1"/>
  <c r="Y654" i="1"/>
  <c r="Z650" i="1"/>
  <c r="Z654" i="1"/>
  <c r="Y655" i="1"/>
  <c r="Y646" i="1"/>
  <c r="Z646" i="1"/>
  <c r="Z645" i="1"/>
  <c r="AE647" i="1"/>
  <c r="AD647" i="1"/>
  <c r="AC647" i="1"/>
  <c r="AB647" i="1"/>
  <c r="AA648" i="1"/>
  <c r="AA646" i="1"/>
  <c r="Y647" i="1"/>
  <c r="Z647" i="1"/>
  <c r="Y644" i="1"/>
  <c r="AA647" i="1"/>
  <c r="Z644" i="1"/>
  <c r="Y645" i="1"/>
  <c r="Y642" i="1"/>
  <c r="Z642" i="1"/>
  <c r="AE643" i="1"/>
  <c r="AD643" i="1"/>
  <c r="AC643" i="1"/>
  <c r="AB643" i="1"/>
  <c r="Y643" i="1"/>
  <c r="Z643" i="1"/>
  <c r="AA643" i="1"/>
  <c r="Z640" i="1"/>
  <c r="Z641" i="1"/>
  <c r="AA641" i="1"/>
  <c r="Y640" i="1"/>
  <c r="AE582" i="1" l="1"/>
  <c r="AD582" i="1"/>
  <c r="AC582" i="1"/>
  <c r="AB582" i="1"/>
  <c r="AE635" i="1"/>
  <c r="AD635" i="1"/>
  <c r="AC635" i="1"/>
  <c r="AB635" i="1"/>
  <c r="Q599" i="1"/>
  <c r="AA599" i="1"/>
  <c r="Z599" i="1"/>
  <c r="Y599" i="1"/>
  <c r="Q583" i="1"/>
  <c r="AA583" i="1"/>
  <c r="Z583" i="1"/>
  <c r="Y583" i="1"/>
  <c r="Q619" i="1"/>
  <c r="AA619" i="1"/>
  <c r="Z619" i="1"/>
  <c r="Y619" i="1"/>
  <c r="AE633" i="1"/>
  <c r="AD633" i="1"/>
  <c r="AC633" i="1"/>
  <c r="AB633" i="1"/>
  <c r="AE636" i="1"/>
  <c r="AD636" i="1"/>
  <c r="AC636" i="1"/>
  <c r="AB636" i="1"/>
  <c r="AA654" i="1"/>
  <c r="AC649" i="1"/>
  <c r="AB649" i="1"/>
  <c r="AB653" i="1"/>
  <c r="AE653" i="1"/>
  <c r="AE649" i="1"/>
  <c r="AC657" i="1"/>
  <c r="AC653" i="1"/>
  <c r="AD669" i="1"/>
  <c r="AE650" i="1"/>
  <c r="AB670" i="1"/>
  <c r="AC669" i="1"/>
  <c r="AB669" i="1"/>
  <c r="AD670" i="1"/>
  <c r="AE670" i="1"/>
  <c r="AB671" i="1"/>
  <c r="AC671" i="1"/>
  <c r="AE671" i="1"/>
  <c r="AB666" i="1"/>
  <c r="AE666" i="1"/>
  <c r="AC666" i="1"/>
  <c r="AD667" i="1"/>
  <c r="AB667" i="1"/>
  <c r="AC667" i="1"/>
  <c r="AD659" i="1"/>
  <c r="AE657" i="1"/>
  <c r="AE659" i="1"/>
  <c r="AC659" i="1"/>
  <c r="AB657" i="1"/>
  <c r="AB660" i="1"/>
  <c r="AE660" i="1"/>
  <c r="AC660" i="1"/>
  <c r="AB658" i="1"/>
  <c r="AC658" i="1"/>
  <c r="AD658" i="1"/>
  <c r="AB650" i="1"/>
  <c r="AC650" i="1"/>
  <c r="AB654" i="1"/>
  <c r="AC654" i="1"/>
  <c r="AD654" i="1"/>
  <c r="AC655" i="1"/>
  <c r="AE655" i="1"/>
  <c r="AD655" i="1"/>
  <c r="AB655" i="1"/>
  <c r="AC651" i="1"/>
  <c r="AE651" i="1"/>
  <c r="AD651" i="1"/>
  <c r="AB651" i="1"/>
  <c r="AE652" i="1"/>
  <c r="AD652" i="1"/>
  <c r="AC652" i="1"/>
  <c r="AB652" i="1"/>
  <c r="AB645" i="1"/>
  <c r="AE645" i="1"/>
  <c r="AD645" i="1"/>
  <c r="AC645" i="1"/>
  <c r="AE646" i="1"/>
  <c r="AD646" i="1"/>
  <c r="AC646" i="1"/>
  <c r="AB646" i="1"/>
  <c r="AC644" i="1"/>
  <c r="AB644" i="1"/>
  <c r="AE644" i="1"/>
  <c r="AD644" i="1"/>
  <c r="AE648" i="1"/>
  <c r="AD648" i="1"/>
  <c r="AC648" i="1"/>
  <c r="AB648" i="1"/>
  <c r="AE642" i="1"/>
  <c r="AD642" i="1"/>
  <c r="AC642" i="1"/>
  <c r="AB642" i="1"/>
  <c r="AE641" i="1"/>
  <c r="AD641" i="1"/>
  <c r="AC641" i="1"/>
  <c r="AB641" i="1"/>
  <c r="AE640" i="1"/>
  <c r="AD640" i="1"/>
  <c r="AB640" i="1"/>
  <c r="AC640" i="1"/>
  <c r="G580" i="1"/>
  <c r="P580" i="1" s="1"/>
  <c r="G581" i="1"/>
  <c r="O581" i="1"/>
  <c r="I578" i="1"/>
  <c r="I579" i="1"/>
  <c r="I580" i="1"/>
  <c r="I581" i="1"/>
  <c r="L581" i="1"/>
  <c r="L580" i="1"/>
  <c r="L578" i="1"/>
  <c r="L579" i="1"/>
  <c r="O578" i="1"/>
  <c r="G576" i="1"/>
  <c r="I577" i="1"/>
  <c r="I576" i="1"/>
  <c r="L575" i="1"/>
  <c r="L576" i="1"/>
  <c r="L577" i="1"/>
  <c r="I575" i="1"/>
  <c r="L568" i="1"/>
  <c r="I568" i="1"/>
  <c r="L573" i="1"/>
  <c r="L564" i="1"/>
  <c r="I564" i="1"/>
  <c r="L563" i="1"/>
  <c r="I563" i="1"/>
  <c r="O572" i="1"/>
  <c r="P572" i="1" s="1"/>
  <c r="L572" i="1"/>
  <c r="I572" i="1"/>
  <c r="I573" i="1"/>
  <c r="I574" i="1"/>
  <c r="L574" i="1"/>
  <c r="L571" i="1"/>
  <c r="I571" i="1"/>
  <c r="L565" i="1"/>
  <c r="L566" i="1"/>
  <c r="L567" i="1"/>
  <c r="L570" i="1"/>
  <c r="I570" i="1"/>
  <c r="I567" i="1"/>
  <c r="I566" i="1"/>
  <c r="I565" i="1"/>
  <c r="L562" i="1"/>
  <c r="I562" i="1"/>
  <c r="G562" i="1"/>
  <c r="L556" i="1"/>
  <c r="L557" i="1"/>
  <c r="L558" i="1"/>
  <c r="L559" i="1"/>
  <c r="L560" i="1"/>
  <c r="L561" i="1"/>
  <c r="I561" i="1"/>
  <c r="I560" i="1"/>
  <c r="I559" i="1"/>
  <c r="I558" i="1"/>
  <c r="I557" i="1"/>
  <c r="I556" i="1"/>
  <c r="L555" i="1"/>
  <c r="I555" i="1"/>
  <c r="I554" i="1"/>
  <c r="I553" i="1"/>
  <c r="L553" i="1"/>
  <c r="L554" i="1"/>
  <c r="L552" i="1"/>
  <c r="I552" i="1"/>
  <c r="I551" i="1"/>
  <c r="L551" i="1"/>
  <c r="L550" i="1"/>
  <c r="I550" i="1"/>
  <c r="L548" i="1"/>
  <c r="L549" i="1"/>
  <c r="I549" i="1"/>
  <c r="I548" i="1"/>
  <c r="L539" i="1"/>
  <c r="I539" i="1"/>
  <c r="L538" i="1"/>
  <c r="I538" i="1"/>
  <c r="I547" i="1"/>
  <c r="L547" i="1"/>
  <c r="I546" i="1"/>
  <c r="I545" i="1"/>
  <c r="I544" i="1"/>
  <c r="I543" i="1"/>
  <c r="L543" i="1"/>
  <c r="L544" i="1"/>
  <c r="L545" i="1"/>
  <c r="L546" i="1"/>
  <c r="L542" i="1"/>
  <c r="I542" i="1"/>
  <c r="L541" i="1"/>
  <c r="I541" i="1"/>
  <c r="L540" i="1"/>
  <c r="L537" i="1"/>
  <c r="L536" i="1"/>
  <c r="L535" i="1"/>
  <c r="L534" i="1"/>
  <c r="L533" i="1"/>
  <c r="L532" i="1"/>
  <c r="L531" i="1"/>
  <c r="V534" i="1"/>
  <c r="V530" i="1"/>
  <c r="I531" i="1"/>
  <c r="I532" i="1"/>
  <c r="I533" i="1"/>
  <c r="I534" i="1"/>
  <c r="I535" i="1"/>
  <c r="I536" i="1"/>
  <c r="I537" i="1"/>
  <c r="I540" i="1"/>
  <c r="V522" i="1"/>
  <c r="V521" i="1"/>
  <c r="L530" i="1"/>
  <c r="I530" i="1"/>
  <c r="W529" i="1"/>
  <c r="L529" i="1"/>
  <c r="I529" i="1"/>
  <c r="G528" i="1"/>
  <c r="I528" i="1"/>
  <c r="I527" i="1"/>
  <c r="I526" i="1"/>
  <c r="I525" i="1"/>
  <c r="I524" i="1"/>
  <c r="I523" i="1"/>
  <c r="L524" i="1"/>
  <c r="L525" i="1"/>
  <c r="L526" i="1"/>
  <c r="L527" i="1"/>
  <c r="L528" i="1"/>
  <c r="L523" i="1"/>
  <c r="I521" i="1"/>
  <c r="I522" i="1"/>
  <c r="I505" i="1"/>
  <c r="L505" i="1"/>
  <c r="L506" i="1"/>
  <c r="I506" i="1"/>
  <c r="L507" i="1"/>
  <c r="I507" i="1"/>
  <c r="I520" i="1"/>
  <c r="I519" i="1"/>
  <c r="W519" i="1"/>
  <c r="L520" i="1"/>
  <c r="L521" i="1"/>
  <c r="L522" i="1"/>
  <c r="L519" i="1"/>
  <c r="W517" i="1"/>
  <c r="W516" i="1"/>
  <c r="L499" i="1"/>
  <c r="I499" i="1"/>
  <c r="L518" i="1"/>
  <c r="I518" i="1"/>
  <c r="I517" i="1"/>
  <c r="I516" i="1"/>
  <c r="G516" i="1"/>
  <c r="P516" i="1" s="1"/>
  <c r="L517" i="1"/>
  <c r="L516" i="1"/>
  <c r="V509" i="1"/>
  <c r="V512" i="1"/>
  <c r="V511" i="1"/>
  <c r="L512" i="1"/>
  <c r="I512" i="1"/>
  <c r="L515" i="1"/>
  <c r="I515" i="1"/>
  <c r="L513" i="1"/>
  <c r="L514" i="1"/>
  <c r="L511" i="1"/>
  <c r="L510" i="1"/>
  <c r="L509" i="1"/>
  <c r="G509" i="1"/>
  <c r="P509" i="1" s="1"/>
  <c r="L508" i="1"/>
  <c r="I514" i="1"/>
  <c r="I513" i="1"/>
  <c r="I511" i="1"/>
  <c r="I510" i="1"/>
  <c r="I509" i="1"/>
  <c r="I508" i="1"/>
  <c r="V503" i="1"/>
  <c r="V498" i="1"/>
  <c r="V497" i="1"/>
  <c r="Q572" i="1" l="1"/>
  <c r="AA572" i="1"/>
  <c r="Z572" i="1"/>
  <c r="Y572" i="1"/>
  <c r="Q516" i="1"/>
  <c r="AA516" i="1"/>
  <c r="Z516" i="1"/>
  <c r="Y516" i="1"/>
  <c r="Q580" i="1"/>
  <c r="AA580" i="1"/>
  <c r="Z580" i="1"/>
  <c r="Y580" i="1"/>
  <c r="AE583" i="1"/>
  <c r="AD583" i="1"/>
  <c r="AC583" i="1"/>
  <c r="AB583" i="1"/>
  <c r="Q509" i="1"/>
  <c r="AA509" i="1"/>
  <c r="Z509" i="1"/>
  <c r="Y509" i="1"/>
  <c r="AE619" i="1"/>
  <c r="AD619" i="1"/>
  <c r="AC619" i="1"/>
  <c r="AB619" i="1"/>
  <c r="AE599" i="1"/>
  <c r="AD599" i="1"/>
  <c r="AC599" i="1"/>
  <c r="AB599" i="1"/>
  <c r="P578" i="1"/>
  <c r="Q517" i="1"/>
  <c r="P528" i="1"/>
  <c r="P562" i="1"/>
  <c r="P581" i="1"/>
  <c r="Q529" i="1"/>
  <c r="Q519" i="1"/>
  <c r="P576" i="1"/>
  <c r="L503" i="1"/>
  <c r="L504" i="1"/>
  <c r="L502" i="1"/>
  <c r="G502" i="1"/>
  <c r="P502" i="1" s="1"/>
  <c r="O498" i="1"/>
  <c r="L497" i="1"/>
  <c r="L498" i="1"/>
  <c r="L500" i="1"/>
  <c r="L501" i="1"/>
  <c r="I497" i="1"/>
  <c r="I498" i="1"/>
  <c r="I500" i="1"/>
  <c r="I501" i="1"/>
  <c r="I502" i="1"/>
  <c r="I503" i="1"/>
  <c r="I504" i="1"/>
  <c r="G504" i="1"/>
  <c r="P504" i="1" s="1"/>
  <c r="G503" i="1"/>
  <c r="L496" i="1"/>
  <c r="I496" i="1"/>
  <c r="L494" i="1"/>
  <c r="L495" i="1"/>
  <c r="I494" i="1"/>
  <c r="I495" i="1"/>
  <c r="G495" i="1"/>
  <c r="L493" i="1"/>
  <c r="I493" i="1"/>
  <c r="I492" i="1"/>
  <c r="I491" i="1"/>
  <c r="W490" i="1"/>
  <c r="W491" i="1"/>
  <c r="W492" i="1"/>
  <c r="W489" i="1"/>
  <c r="L491" i="1"/>
  <c r="L492" i="1"/>
  <c r="O489" i="1"/>
  <c r="L490" i="1"/>
  <c r="I490" i="1"/>
  <c r="L489" i="1"/>
  <c r="I489" i="1"/>
  <c r="L488" i="1"/>
  <c r="I488" i="1"/>
  <c r="L487" i="1"/>
  <c r="I487" i="1"/>
  <c r="L486" i="1"/>
  <c r="I486" i="1"/>
  <c r="I485" i="1"/>
  <c r="L485" i="1"/>
  <c r="L482" i="1"/>
  <c r="I482" i="1"/>
  <c r="L483" i="1"/>
  <c r="I483" i="1"/>
  <c r="I484" i="1"/>
  <c r="L484" i="1"/>
  <c r="L481" i="1"/>
  <c r="I481" i="1"/>
  <c r="I479" i="1"/>
  <c r="L479" i="1"/>
  <c r="L478" i="1"/>
  <c r="I478" i="1"/>
  <c r="L477" i="1"/>
  <c r="I477" i="1"/>
  <c r="V480" i="1"/>
  <c r="L480" i="1"/>
  <c r="I480" i="1"/>
  <c r="I476" i="1"/>
  <c r="L476" i="1"/>
  <c r="L462" i="1"/>
  <c r="I462" i="1"/>
  <c r="L461" i="1"/>
  <c r="I461" i="1"/>
  <c r="L460" i="1"/>
  <c r="I460" i="1"/>
  <c r="I459" i="1"/>
  <c r="I458" i="1"/>
  <c r="L459" i="1"/>
  <c r="L458" i="1"/>
  <c r="L457" i="1"/>
  <c r="I457" i="1"/>
  <c r="L456" i="1"/>
  <c r="I456" i="1"/>
  <c r="L455" i="1"/>
  <c r="I455" i="1"/>
  <c r="L453" i="1"/>
  <c r="L454" i="1"/>
  <c r="I452" i="1"/>
  <c r="I453" i="1"/>
  <c r="I454" i="1"/>
  <c r="I451" i="1"/>
  <c r="L452" i="1"/>
  <c r="L451" i="1"/>
  <c r="L450" i="1"/>
  <c r="I450" i="1"/>
  <c r="I449" i="1"/>
  <c r="L449" i="1"/>
  <c r="L448" i="1"/>
  <c r="I448" i="1"/>
  <c r="L444" i="1"/>
  <c r="I444" i="1"/>
  <c r="G444" i="1"/>
  <c r="P444" i="1" s="1"/>
  <c r="L446" i="1"/>
  <c r="I446" i="1"/>
  <c r="G446" i="1"/>
  <c r="P446" i="1" s="1"/>
  <c r="L445" i="1"/>
  <c r="L447" i="1"/>
  <c r="G447" i="1"/>
  <c r="P447" i="1" s="1"/>
  <c r="I443" i="1"/>
  <c r="I445" i="1"/>
  <c r="I447" i="1"/>
  <c r="L443" i="1"/>
  <c r="L442" i="1"/>
  <c r="I442" i="1"/>
  <c r="L441" i="1"/>
  <c r="I441" i="1"/>
  <c r="I440" i="1"/>
  <c r="L440" i="1"/>
  <c r="L438" i="1"/>
  <c r="L439" i="1"/>
  <c r="I438" i="1"/>
  <c r="I439" i="1"/>
  <c r="L437" i="1"/>
  <c r="I437" i="1"/>
  <c r="L436" i="1"/>
  <c r="I436" i="1"/>
  <c r="I435" i="1"/>
  <c r="L435" i="1"/>
  <c r="O434" i="1"/>
  <c r="L434" i="1"/>
  <c r="I434" i="1"/>
  <c r="I433" i="1"/>
  <c r="L433" i="1"/>
  <c r="G431" i="1"/>
  <c r="P431" i="1" s="1"/>
  <c r="L432" i="1"/>
  <c r="I432" i="1"/>
  <c r="L431" i="1"/>
  <c r="I431" i="1"/>
  <c r="G415" i="1"/>
  <c r="G428" i="1"/>
  <c r="L430" i="1"/>
  <c r="I430" i="1"/>
  <c r="L422" i="1"/>
  <c r="I422" i="1"/>
  <c r="I427" i="1"/>
  <c r="I426" i="1"/>
  <c r="I425" i="1"/>
  <c r="I424" i="1"/>
  <c r="I423" i="1"/>
  <c r="L427" i="1"/>
  <c r="L425" i="1"/>
  <c r="L423" i="1"/>
  <c r="L424" i="1"/>
  <c r="L426" i="1"/>
  <c r="L428" i="1"/>
  <c r="I428" i="1"/>
  <c r="I429" i="1"/>
  <c r="L429" i="1"/>
  <c r="L419" i="1"/>
  <c r="I419" i="1"/>
  <c r="G419" i="1"/>
  <c r="L421" i="1"/>
  <c r="I421" i="1"/>
  <c r="G421" i="1"/>
  <c r="P421" i="1" s="1"/>
  <c r="L420" i="1"/>
  <c r="I420" i="1"/>
  <c r="G420" i="1"/>
  <c r="P420" i="1" s="1"/>
  <c r="L418" i="1"/>
  <c r="I418" i="1"/>
  <c r="I417" i="1"/>
  <c r="L417" i="1"/>
  <c r="I411" i="1"/>
  <c r="I412" i="1"/>
  <c r="L412" i="1"/>
  <c r="L411" i="1"/>
  <c r="L410" i="1"/>
  <c r="I410" i="1"/>
  <c r="I415" i="1"/>
  <c r="I416" i="1"/>
  <c r="L415" i="1"/>
  <c r="L416" i="1"/>
  <c r="I414" i="1"/>
  <c r="I413" i="1"/>
  <c r="G414" i="1"/>
  <c r="G413" i="1"/>
  <c r="L414" i="1"/>
  <c r="L413" i="1"/>
  <c r="I409" i="1"/>
  <c r="L409" i="1"/>
  <c r="L408" i="1"/>
  <c r="I408" i="1"/>
  <c r="G408" i="1"/>
  <c r="P408" i="1" s="1"/>
  <c r="L406" i="1"/>
  <c r="L407" i="1"/>
  <c r="I407" i="1"/>
  <c r="I406" i="1"/>
  <c r="I405" i="1"/>
  <c r="L405" i="1"/>
  <c r="L404" i="1"/>
  <c r="I404" i="1"/>
  <c r="L403" i="1"/>
  <c r="I403" i="1"/>
  <c r="Q431" i="1" l="1"/>
  <c r="AA431" i="1"/>
  <c r="Z431" i="1"/>
  <c r="Y431" i="1"/>
  <c r="Q444" i="1"/>
  <c r="AA444" i="1"/>
  <c r="Z444" i="1"/>
  <c r="Y444" i="1"/>
  <c r="Q502" i="1"/>
  <c r="Y502" i="1"/>
  <c r="AA502" i="1"/>
  <c r="Z502" i="1"/>
  <c r="Q562" i="1"/>
  <c r="Z562" i="1"/>
  <c r="Y562" i="1"/>
  <c r="AA562" i="1"/>
  <c r="Q421" i="1"/>
  <c r="AA421" i="1"/>
  <c r="Z421" i="1"/>
  <c r="Y421" i="1"/>
  <c r="Q447" i="1"/>
  <c r="AA447" i="1"/>
  <c r="Z447" i="1"/>
  <c r="Y447" i="1"/>
  <c r="AD517" i="1"/>
  <c r="AC517" i="1"/>
  <c r="AB517" i="1"/>
  <c r="AE517" i="1"/>
  <c r="Q504" i="1"/>
  <c r="AA504" i="1"/>
  <c r="Z504" i="1"/>
  <c r="Y504" i="1"/>
  <c r="Q578" i="1"/>
  <c r="AA578" i="1"/>
  <c r="Z578" i="1"/>
  <c r="Y578" i="1"/>
  <c r="AD516" i="1"/>
  <c r="AC516" i="1"/>
  <c r="AB516" i="1"/>
  <c r="AE516" i="1"/>
  <c r="Q576" i="1"/>
  <c r="AA576" i="1"/>
  <c r="Z576" i="1"/>
  <c r="Y576" i="1"/>
  <c r="Q528" i="1"/>
  <c r="AA528" i="1"/>
  <c r="Z528" i="1"/>
  <c r="Y528" i="1"/>
  <c r="Q446" i="1"/>
  <c r="AA446" i="1"/>
  <c r="Z446" i="1"/>
  <c r="Y446" i="1"/>
  <c r="X480" i="1"/>
  <c r="AE480" i="1" s="1"/>
  <c r="AA480" i="1"/>
  <c r="AD519" i="1"/>
  <c r="AC519" i="1"/>
  <c r="AB519" i="1"/>
  <c r="AE519" i="1"/>
  <c r="Q408" i="1"/>
  <c r="AA408" i="1"/>
  <c r="Z408" i="1"/>
  <c r="Y408" i="1"/>
  <c r="AB529" i="1"/>
  <c r="AD529" i="1"/>
  <c r="AC529" i="1"/>
  <c r="AE529" i="1"/>
  <c r="Q420" i="1"/>
  <c r="AA420" i="1"/>
  <c r="Z420" i="1"/>
  <c r="Y420" i="1"/>
  <c r="Q581" i="1"/>
  <c r="AA581" i="1"/>
  <c r="Z581" i="1"/>
  <c r="Y581" i="1"/>
  <c r="AD509" i="1"/>
  <c r="AC509" i="1"/>
  <c r="AB509" i="1"/>
  <c r="AE509" i="1"/>
  <c r="AE580" i="1"/>
  <c r="AD580" i="1"/>
  <c r="AC580" i="1"/>
  <c r="AB580" i="1"/>
  <c r="AE572" i="1"/>
  <c r="AD572" i="1"/>
  <c r="AC572" i="1"/>
  <c r="AB572" i="1"/>
  <c r="P419" i="1"/>
  <c r="P428" i="1"/>
  <c r="Q492" i="1"/>
  <c r="P413" i="1"/>
  <c r="P415" i="1"/>
  <c r="Q491" i="1"/>
  <c r="P414" i="1"/>
  <c r="Q490" i="1"/>
  <c r="P434" i="1"/>
  <c r="P489" i="1"/>
  <c r="P498" i="1"/>
  <c r="P495" i="1"/>
  <c r="P503" i="1"/>
  <c r="L402" i="1"/>
  <c r="O402" i="1"/>
  <c r="P402" i="1" s="1"/>
  <c r="L401" i="1"/>
  <c r="L400" i="1"/>
  <c r="I401" i="1"/>
  <c r="I402" i="1"/>
  <c r="I400" i="1"/>
  <c r="L397" i="1"/>
  <c r="I397" i="1"/>
  <c r="L399" i="1"/>
  <c r="I399" i="1"/>
  <c r="O398" i="1"/>
  <c r="L398" i="1"/>
  <c r="I398" i="1"/>
  <c r="L393" i="1"/>
  <c r="L394" i="1"/>
  <c r="L395" i="1"/>
  <c r="L396" i="1"/>
  <c r="I391" i="1"/>
  <c r="I392" i="1"/>
  <c r="I393" i="1"/>
  <c r="I394" i="1"/>
  <c r="I395" i="1"/>
  <c r="I396" i="1"/>
  <c r="G392" i="1"/>
  <c r="P392" i="1" s="1"/>
  <c r="L391" i="1"/>
  <c r="L392" i="1"/>
  <c r="G390" i="1"/>
  <c r="P390" i="1" s="1"/>
  <c r="L390" i="1"/>
  <c r="I390" i="1"/>
  <c r="G389" i="1"/>
  <c r="O389" i="1"/>
  <c r="P389" i="1" s="1"/>
  <c r="L389" i="1"/>
  <c r="I389" i="1"/>
  <c r="L388" i="1"/>
  <c r="I388" i="1"/>
  <c r="I387" i="1"/>
  <c r="L387" i="1"/>
  <c r="L384" i="1"/>
  <c r="L386" i="1"/>
  <c r="G386" i="1"/>
  <c r="P386" i="1" s="1"/>
  <c r="I386" i="1"/>
  <c r="V385" i="1"/>
  <c r="L385" i="1"/>
  <c r="I384" i="1"/>
  <c r="I385" i="1"/>
  <c r="I463" i="1"/>
  <c r="G383" i="1"/>
  <c r="P383" i="1" s="1"/>
  <c r="L383" i="1"/>
  <c r="I383" i="1"/>
  <c r="G471" i="1"/>
  <c r="P471" i="1" s="1"/>
  <c r="L473" i="1"/>
  <c r="I473" i="1"/>
  <c r="L472" i="1"/>
  <c r="I472" i="1"/>
  <c r="L470" i="1"/>
  <c r="I470" i="1"/>
  <c r="L469" i="1"/>
  <c r="I469" i="1"/>
  <c r="L468" i="1"/>
  <c r="I468" i="1"/>
  <c r="V466" i="1"/>
  <c r="L466" i="1"/>
  <c r="I466" i="1"/>
  <c r="G465" i="1"/>
  <c r="P465" i="1" s="1"/>
  <c r="V465" i="1"/>
  <c r="L465" i="1"/>
  <c r="I465" i="1"/>
  <c r="V464" i="1"/>
  <c r="G463" i="1"/>
  <c r="P463" i="1" s="1"/>
  <c r="V463" i="1"/>
  <c r="L463" i="1"/>
  <c r="L464" i="1"/>
  <c r="L467" i="1"/>
  <c r="L471" i="1"/>
  <c r="L474" i="1"/>
  <c r="L475" i="1"/>
  <c r="I471" i="1"/>
  <c r="I467" i="1"/>
  <c r="I464" i="1"/>
  <c r="I474" i="1"/>
  <c r="I475" i="1"/>
  <c r="W1296" i="1"/>
  <c r="Q1296" i="1" s="1"/>
  <c r="X1292" i="1"/>
  <c r="L1292" i="1"/>
  <c r="I1292" i="1"/>
  <c r="L1295" i="1"/>
  <c r="I1295" i="1"/>
  <c r="G1291" i="1"/>
  <c r="P1291" i="1" s="1"/>
  <c r="Q1291" i="1" s="1"/>
  <c r="L1291" i="1"/>
  <c r="I1291" i="1"/>
  <c r="G1289" i="1"/>
  <c r="P1289" i="1" s="1"/>
  <c r="Q1289" i="1" s="1"/>
  <c r="L1289" i="1"/>
  <c r="I1289" i="1"/>
  <c r="O1288" i="1"/>
  <c r="P1288" i="1" s="1"/>
  <c r="Q1288" i="1" s="1"/>
  <c r="O1287" i="1"/>
  <c r="P1287" i="1" s="1"/>
  <c r="Q1287" i="1" s="1"/>
  <c r="L1287" i="1"/>
  <c r="I1287" i="1"/>
  <c r="L1288" i="1"/>
  <c r="I1288" i="1"/>
  <c r="O1290" i="1"/>
  <c r="P1290" i="1" s="1"/>
  <c r="Q1290" i="1" s="1"/>
  <c r="L1290" i="1"/>
  <c r="I1290" i="1"/>
  <c r="O1282" i="1"/>
  <c r="P1282" i="1" s="1"/>
  <c r="Q1282" i="1" s="1"/>
  <c r="G1282" i="1"/>
  <c r="L1282" i="1"/>
  <c r="I1282" i="1"/>
  <c r="O1284" i="1"/>
  <c r="P1284" i="1" s="1"/>
  <c r="Q1284" i="1" s="1"/>
  <c r="L1284" i="1"/>
  <c r="I1284" i="1"/>
  <c r="O1281" i="1"/>
  <c r="L1281" i="1"/>
  <c r="I1281" i="1"/>
  <c r="G1281" i="1"/>
  <c r="L1280" i="1"/>
  <c r="I1280" i="1"/>
  <c r="G1280" i="1"/>
  <c r="P1280" i="1" s="1"/>
  <c r="Q1280" i="1" s="1"/>
  <c r="O1285" i="1"/>
  <c r="P1285" i="1" s="1"/>
  <c r="Q1285" i="1" s="1"/>
  <c r="O1286" i="1"/>
  <c r="P1286" i="1" s="1"/>
  <c r="Q1286" i="1" s="1"/>
  <c r="O1283" i="1"/>
  <c r="P1283" i="1" s="1"/>
  <c r="Q1283" i="1" s="1"/>
  <c r="G1277" i="1"/>
  <c r="P1277" i="1" s="1"/>
  <c r="Q1277" i="1" s="1"/>
  <c r="X1276" i="1"/>
  <c r="L1276" i="1"/>
  <c r="I1276" i="1"/>
  <c r="L1277" i="1"/>
  <c r="I1277" i="1"/>
  <c r="T1285" i="1"/>
  <c r="W1274" i="1"/>
  <c r="Q1274" i="1" s="1"/>
  <c r="W1275" i="1"/>
  <c r="Q1275" i="1" s="1"/>
  <c r="W1272" i="1"/>
  <c r="Q1272" i="1" s="1"/>
  <c r="V1272" i="1"/>
  <c r="G1269" i="1"/>
  <c r="P1269" i="1" s="1"/>
  <c r="Q1269" i="1" s="1"/>
  <c r="G1268" i="1"/>
  <c r="P1268" i="1" s="1"/>
  <c r="Q1268" i="1" s="1"/>
  <c r="L1269" i="1"/>
  <c r="I1269" i="1"/>
  <c r="L1268" i="1"/>
  <c r="I1268" i="1"/>
  <c r="L1270" i="1"/>
  <c r="I1270" i="1"/>
  <c r="L1259" i="1"/>
  <c r="I1259" i="1"/>
  <c r="G1259" i="1"/>
  <c r="P1259" i="1" s="1"/>
  <c r="Q1259" i="1" s="1"/>
  <c r="X1258" i="1"/>
  <c r="AA1258" i="1"/>
  <c r="L1258" i="1"/>
  <c r="I1258" i="1"/>
  <c r="X1257" i="1"/>
  <c r="L1257" i="1"/>
  <c r="I1257" i="1"/>
  <c r="X1256" i="1"/>
  <c r="AA1256" i="1"/>
  <c r="L1256" i="1"/>
  <c r="I1256" i="1"/>
  <c r="X1255" i="1"/>
  <c r="L1255" i="1"/>
  <c r="I1255" i="1"/>
  <c r="X1254" i="1"/>
  <c r="AA1254" i="1"/>
  <c r="L1254" i="1"/>
  <c r="I1254" i="1"/>
  <c r="Q489" i="1" l="1"/>
  <c r="AA489" i="1"/>
  <c r="Z489" i="1"/>
  <c r="Y489" i="1"/>
  <c r="Q428" i="1"/>
  <c r="AA428" i="1"/>
  <c r="Z428" i="1"/>
  <c r="Y428" i="1"/>
  <c r="Q390" i="1"/>
  <c r="AA390" i="1"/>
  <c r="Z390" i="1"/>
  <c r="Y390" i="1"/>
  <c r="Q434" i="1"/>
  <c r="AA434" i="1"/>
  <c r="Z434" i="1"/>
  <c r="Y434" i="1"/>
  <c r="Q419" i="1"/>
  <c r="AA419" i="1"/>
  <c r="Z419" i="1"/>
  <c r="Y419" i="1"/>
  <c r="AE581" i="1"/>
  <c r="AD581" i="1"/>
  <c r="AC581" i="1"/>
  <c r="AB581" i="1"/>
  <c r="Q471" i="1"/>
  <c r="AA471" i="1"/>
  <c r="Z471" i="1"/>
  <c r="Y471" i="1"/>
  <c r="AC490" i="1"/>
  <c r="AB490" i="1"/>
  <c r="AD490" i="1"/>
  <c r="AE490" i="1"/>
  <c r="Q413" i="1"/>
  <c r="AA413" i="1"/>
  <c r="Z413" i="1"/>
  <c r="Y413" i="1"/>
  <c r="Q402" i="1"/>
  <c r="AA402" i="1"/>
  <c r="Z402" i="1"/>
  <c r="Y402" i="1"/>
  <c r="Q414" i="1"/>
  <c r="AA414" i="1"/>
  <c r="Z414" i="1"/>
  <c r="Y414" i="1"/>
  <c r="AD528" i="1"/>
  <c r="AC528" i="1"/>
  <c r="AB528" i="1"/>
  <c r="AE528" i="1"/>
  <c r="AD504" i="1"/>
  <c r="AC504" i="1"/>
  <c r="AB504" i="1"/>
  <c r="AE504" i="1"/>
  <c r="AC447" i="1"/>
  <c r="AB447" i="1"/>
  <c r="AE447" i="1"/>
  <c r="AD447" i="1"/>
  <c r="AD562" i="1"/>
  <c r="AC562" i="1"/>
  <c r="AB562" i="1"/>
  <c r="AE562" i="1"/>
  <c r="AC444" i="1"/>
  <c r="AB444" i="1"/>
  <c r="AE444" i="1"/>
  <c r="AD444" i="1"/>
  <c r="Q386" i="1"/>
  <c r="AA386" i="1"/>
  <c r="Z386" i="1"/>
  <c r="Y386" i="1"/>
  <c r="Q392" i="1"/>
  <c r="AA392" i="1"/>
  <c r="Z392" i="1"/>
  <c r="Y392" i="1"/>
  <c r="AD491" i="1"/>
  <c r="AC491" i="1"/>
  <c r="AB491" i="1"/>
  <c r="AE491" i="1"/>
  <c r="Q383" i="1"/>
  <c r="AA383" i="1"/>
  <c r="Z383" i="1"/>
  <c r="Y383" i="1"/>
  <c r="Q389" i="1"/>
  <c r="AA389" i="1"/>
  <c r="Z389" i="1"/>
  <c r="Y389" i="1"/>
  <c r="Q503" i="1"/>
  <c r="Z503" i="1"/>
  <c r="Y503" i="1"/>
  <c r="AA503" i="1"/>
  <c r="Q415" i="1"/>
  <c r="AA415" i="1"/>
  <c r="Z415" i="1"/>
  <c r="Y415" i="1"/>
  <c r="AC420" i="1"/>
  <c r="AB420" i="1"/>
  <c r="AE420" i="1"/>
  <c r="AD420" i="1"/>
  <c r="AC408" i="1"/>
  <c r="AB408" i="1"/>
  <c r="AE408" i="1"/>
  <c r="AD408" i="1"/>
  <c r="Q465" i="1"/>
  <c r="AA465" i="1"/>
  <c r="Z465" i="1"/>
  <c r="Y465" i="1"/>
  <c r="Q495" i="1"/>
  <c r="Z495" i="1"/>
  <c r="Y495" i="1"/>
  <c r="AA495" i="1"/>
  <c r="Q463" i="1"/>
  <c r="AA463" i="1"/>
  <c r="Z463" i="1"/>
  <c r="Y463" i="1"/>
  <c r="Q498" i="1"/>
  <c r="AA498" i="1"/>
  <c r="Z498" i="1"/>
  <c r="Y498" i="1"/>
  <c r="AD492" i="1"/>
  <c r="AC492" i="1"/>
  <c r="AB492" i="1"/>
  <c r="AE492" i="1"/>
  <c r="AC446" i="1"/>
  <c r="AB446" i="1"/>
  <c r="AE446" i="1"/>
  <c r="AD446" i="1"/>
  <c r="AE576" i="1"/>
  <c r="AD576" i="1"/>
  <c r="AC576" i="1"/>
  <c r="AB576" i="1"/>
  <c r="AE578" i="1"/>
  <c r="AD578" i="1"/>
  <c r="AC578" i="1"/>
  <c r="AB578" i="1"/>
  <c r="AC421" i="1"/>
  <c r="AB421" i="1"/>
  <c r="AE421" i="1"/>
  <c r="AD421" i="1"/>
  <c r="AD502" i="1"/>
  <c r="AC502" i="1"/>
  <c r="AB502" i="1"/>
  <c r="AE502" i="1"/>
  <c r="AC431" i="1"/>
  <c r="AB431" i="1"/>
  <c r="AE431" i="1"/>
  <c r="AD431" i="1"/>
  <c r="P398" i="1"/>
  <c r="P1281" i="1"/>
  <c r="Q1281" i="1" s="1"/>
  <c r="Y1292" i="1"/>
  <c r="AE1292" i="1"/>
  <c r="AD1292" i="1"/>
  <c r="AC1292" i="1"/>
  <c r="AB1292" i="1"/>
  <c r="Z1292" i="1"/>
  <c r="AA1292" i="1"/>
  <c r="Z1276" i="1"/>
  <c r="AA1276" i="1"/>
  <c r="AE1276" i="1"/>
  <c r="AD1276" i="1"/>
  <c r="AC1276" i="1"/>
  <c r="AB1276" i="1"/>
  <c r="Y1276" i="1"/>
  <c r="Y1256" i="1"/>
  <c r="Z1256" i="1"/>
  <c r="Y1258" i="1"/>
  <c r="Y1255" i="1"/>
  <c r="Z1258" i="1"/>
  <c r="Y1254" i="1"/>
  <c r="Z1254" i="1"/>
  <c r="Y1257" i="1"/>
  <c r="AE1255" i="1"/>
  <c r="AD1255" i="1"/>
  <c r="AB1255" i="1"/>
  <c r="AC1255" i="1"/>
  <c r="AE1257" i="1"/>
  <c r="AD1257" i="1"/>
  <c r="AC1257" i="1"/>
  <c r="AB1257" i="1"/>
  <c r="Z1255" i="1"/>
  <c r="Z1257" i="1"/>
  <c r="AA1255" i="1"/>
  <c r="AA1257" i="1"/>
  <c r="AC463" i="1" l="1"/>
  <c r="AB463" i="1"/>
  <c r="AE463" i="1"/>
  <c r="AD463" i="1"/>
  <c r="AC465" i="1"/>
  <c r="AB465" i="1"/>
  <c r="AE465" i="1"/>
  <c r="AD465" i="1"/>
  <c r="AD503" i="1"/>
  <c r="AC503" i="1"/>
  <c r="AB503" i="1"/>
  <c r="AE503" i="1"/>
  <c r="AC383" i="1"/>
  <c r="AB383" i="1"/>
  <c r="AE383" i="1"/>
  <c r="AD383" i="1"/>
  <c r="AC392" i="1"/>
  <c r="AB392" i="1"/>
  <c r="AE392" i="1"/>
  <c r="AD392" i="1"/>
  <c r="AC402" i="1"/>
  <c r="AB402" i="1"/>
  <c r="AE402" i="1"/>
  <c r="AD402" i="1"/>
  <c r="AC434" i="1"/>
  <c r="AB434" i="1"/>
  <c r="AE434" i="1"/>
  <c r="AD434" i="1"/>
  <c r="AC428" i="1"/>
  <c r="AB428" i="1"/>
  <c r="AE428" i="1"/>
  <c r="AD428" i="1"/>
  <c r="Q398" i="1"/>
  <c r="AA398" i="1"/>
  <c r="Z398" i="1"/>
  <c r="Y398" i="1"/>
  <c r="AC498" i="1"/>
  <c r="AB498" i="1"/>
  <c r="AD498" i="1"/>
  <c r="AE498" i="1"/>
  <c r="AD495" i="1"/>
  <c r="AC495" i="1"/>
  <c r="AB495" i="1"/>
  <c r="AE495" i="1"/>
  <c r="AC415" i="1"/>
  <c r="AB415" i="1"/>
  <c r="AE415" i="1"/>
  <c r="AD415" i="1"/>
  <c r="AC389" i="1"/>
  <c r="AB389" i="1"/>
  <c r="AE389" i="1"/>
  <c r="AD389" i="1"/>
  <c r="AC386" i="1"/>
  <c r="AB386" i="1"/>
  <c r="AE386" i="1"/>
  <c r="AD386" i="1"/>
  <c r="AC414" i="1"/>
  <c r="AB414" i="1"/>
  <c r="AE414" i="1"/>
  <c r="AD414" i="1"/>
  <c r="AC413" i="1"/>
  <c r="AB413" i="1"/>
  <c r="AE413" i="1"/>
  <c r="AD413" i="1"/>
  <c r="AC471" i="1"/>
  <c r="AB471" i="1"/>
  <c r="AE471" i="1"/>
  <c r="AD471" i="1"/>
  <c r="AC419" i="1"/>
  <c r="AB419" i="1"/>
  <c r="AE419" i="1"/>
  <c r="AD419" i="1"/>
  <c r="AC390" i="1"/>
  <c r="AB390" i="1"/>
  <c r="AE390" i="1"/>
  <c r="AD390" i="1"/>
  <c r="AB489" i="1"/>
  <c r="AD489" i="1"/>
  <c r="AC489" i="1"/>
  <c r="AE489" i="1"/>
  <c r="AE1254" i="1"/>
  <c r="AC1254" i="1"/>
  <c r="AD1254" i="1"/>
  <c r="AB1254" i="1"/>
  <c r="AE1258" i="1"/>
  <c r="AD1258" i="1"/>
  <c r="AC1258" i="1"/>
  <c r="AB1258" i="1"/>
  <c r="AC1256" i="1"/>
  <c r="AE1256" i="1"/>
  <c r="AD1256" i="1"/>
  <c r="AB1256" i="1"/>
  <c r="AC398" i="1" l="1"/>
  <c r="AB398" i="1"/>
  <c r="AE398" i="1"/>
  <c r="AD398" i="1"/>
  <c r="X1216" i="1"/>
  <c r="L1216" i="1"/>
  <c r="I1216" i="1"/>
  <c r="X1217" i="1"/>
  <c r="AA1217" i="1"/>
  <c r="L1217" i="1"/>
  <c r="I1217" i="1"/>
  <c r="X1218" i="1"/>
  <c r="L1218" i="1"/>
  <c r="I1218" i="1"/>
  <c r="G1252" i="1"/>
  <c r="P1252" i="1" s="1"/>
  <c r="Q1252" i="1" s="1"/>
  <c r="G1253" i="1"/>
  <c r="P1253" i="1" s="1"/>
  <c r="Q1253" i="1" s="1"/>
  <c r="L1252" i="1"/>
  <c r="I1252" i="1"/>
  <c r="W1251" i="1"/>
  <c r="Q1251" i="1" s="1"/>
  <c r="W1249" i="1"/>
  <c r="L1249" i="1"/>
  <c r="I1249" i="1"/>
  <c r="W1250" i="1"/>
  <c r="Q1250" i="1" s="1"/>
  <c r="X1244" i="1"/>
  <c r="L1244" i="1"/>
  <c r="I1244" i="1"/>
  <c r="G1240" i="1"/>
  <c r="P1240" i="1" s="1"/>
  <c r="Q1240" i="1" s="1"/>
  <c r="L1253" i="1"/>
  <c r="I1253" i="1"/>
  <c r="G1239" i="1"/>
  <c r="P1239" i="1" s="1"/>
  <c r="Q1239" i="1" s="1"/>
  <c r="G1233" i="1"/>
  <c r="P1233" i="1" s="1"/>
  <c r="Q1233" i="1" s="1"/>
  <c r="L1240" i="1"/>
  <c r="I1240" i="1"/>
  <c r="L1239" i="1"/>
  <c r="I1239" i="1"/>
  <c r="W1248" i="1"/>
  <c r="Q1248" i="1" s="1"/>
  <c r="W1247" i="1"/>
  <c r="Q1247" i="1" s="1"/>
  <c r="W1246" i="1"/>
  <c r="Q1246" i="1" s="1"/>
  <c r="W1245" i="1"/>
  <c r="Q1245" i="1" s="1"/>
  <c r="W1242" i="1"/>
  <c r="Q1242" i="1" s="1"/>
  <c r="W1243" i="1"/>
  <c r="Q1243" i="1" s="1"/>
  <c r="G1235" i="1"/>
  <c r="P1235" i="1" s="1"/>
  <c r="Q1235" i="1" s="1"/>
  <c r="L1235" i="1"/>
  <c r="I1235" i="1"/>
  <c r="W1241" i="1"/>
  <c r="Q1241" i="1" s="1"/>
  <c r="W1238" i="1"/>
  <c r="Q1238" i="1" s="1"/>
  <c r="G1234" i="1"/>
  <c r="P1234" i="1" s="1"/>
  <c r="Q1234" i="1" s="1"/>
  <c r="L1234" i="1"/>
  <c r="I1234" i="1"/>
  <c r="W1237" i="1"/>
  <c r="Q1237" i="1" s="1"/>
  <c r="G1232" i="1"/>
  <c r="P1232" i="1" s="1"/>
  <c r="Q1232" i="1" s="1"/>
  <c r="L1233" i="1"/>
  <c r="I1233" i="1"/>
  <c r="L1232" i="1"/>
  <c r="I1232" i="1"/>
  <c r="X1229" i="1"/>
  <c r="AA1229" i="1"/>
  <c r="L1229" i="1"/>
  <c r="I1229" i="1"/>
  <c r="G1230" i="1"/>
  <c r="P1230" i="1" s="1"/>
  <c r="Q1230" i="1" s="1"/>
  <c r="G1227" i="1"/>
  <c r="P1227" i="1" s="1"/>
  <c r="Q1227" i="1" s="1"/>
  <c r="L1230" i="1"/>
  <c r="I1230" i="1"/>
  <c r="L1227" i="1"/>
  <c r="I1227" i="1"/>
  <c r="G1226" i="1"/>
  <c r="P1226" i="1" s="1"/>
  <c r="Q1226" i="1" s="1"/>
  <c r="G1225" i="1"/>
  <c r="P1225" i="1" s="1"/>
  <c r="Q1225" i="1" s="1"/>
  <c r="L1226" i="1"/>
  <c r="I1226" i="1"/>
  <c r="W1231" i="1"/>
  <c r="Q1231" i="1" s="1"/>
  <c r="W1228" i="1"/>
  <c r="Q1228" i="1" s="1"/>
  <c r="L1225" i="1"/>
  <c r="I1225" i="1"/>
  <c r="G1221" i="1"/>
  <c r="P1221" i="1" s="1"/>
  <c r="Q1221" i="1" s="1"/>
  <c r="L1221" i="1"/>
  <c r="I1221" i="1"/>
  <c r="W1219" i="1"/>
  <c r="Q1219" i="1" s="1"/>
  <c r="V1219" i="1"/>
  <c r="G1215" i="1"/>
  <c r="O1215" i="1"/>
  <c r="P1215" i="1" s="1"/>
  <c r="Q1215" i="1" s="1"/>
  <c r="L1215" i="1"/>
  <c r="I1215" i="1"/>
  <c r="W1212" i="1"/>
  <c r="Y1212" i="1"/>
  <c r="L1212" i="1"/>
  <c r="I1212" i="1"/>
  <c r="L1214" i="1"/>
  <c r="I1214" i="1"/>
  <c r="L1213" i="1"/>
  <c r="I1213" i="1"/>
  <c r="W1211" i="1"/>
  <c r="Y1211" i="1"/>
  <c r="L1211" i="1"/>
  <c r="I1211" i="1"/>
  <c r="L1210" i="1"/>
  <c r="I1210" i="1"/>
  <c r="L1209" i="1"/>
  <c r="I1209" i="1"/>
  <c r="X1208" i="1"/>
  <c r="L1208" i="1"/>
  <c r="I1208" i="1"/>
  <c r="W1206" i="1"/>
  <c r="Y1206" i="1"/>
  <c r="L1206" i="1"/>
  <c r="I1206" i="1"/>
  <c r="L1207" i="1"/>
  <c r="I1207" i="1"/>
  <c r="X1204" i="1"/>
  <c r="L1204" i="1"/>
  <c r="I1204" i="1"/>
  <c r="G1204" i="1"/>
  <c r="P1204" i="1" s="1"/>
  <c r="Q1204" i="1" s="1"/>
  <c r="X1205" i="1"/>
  <c r="AA1205" i="1"/>
  <c r="L1205" i="1"/>
  <c r="I1205" i="1"/>
  <c r="G1203" i="1"/>
  <c r="P1203" i="1" s="1"/>
  <c r="Q1203" i="1" s="1"/>
  <c r="X1203" i="1"/>
  <c r="L1203" i="1"/>
  <c r="I1203" i="1"/>
  <c r="G1202" i="1"/>
  <c r="X1202" i="1"/>
  <c r="L1202" i="1"/>
  <c r="I1202" i="1"/>
  <c r="X1249" i="1" l="1"/>
  <c r="Q1249" i="1"/>
  <c r="X1211" i="1"/>
  <c r="Q1211" i="1"/>
  <c r="X1212" i="1"/>
  <c r="Q1212" i="1"/>
  <c r="P1202" i="1"/>
  <c r="Q1202" i="1" s="1"/>
  <c r="X1206" i="1"/>
  <c r="AE1206" i="1" s="1"/>
  <c r="Q1206" i="1"/>
  <c r="Y1217" i="1"/>
  <c r="Z1217" i="1"/>
  <c r="AE1218" i="1"/>
  <c r="AD1218" i="1"/>
  <c r="AC1218" i="1"/>
  <c r="AB1218" i="1"/>
  <c r="AE1216" i="1"/>
  <c r="AD1216" i="1"/>
  <c r="AC1216" i="1"/>
  <c r="AB1216" i="1"/>
  <c r="Y1218" i="1"/>
  <c r="Y1216" i="1"/>
  <c r="Z1218" i="1"/>
  <c r="Z1216" i="1"/>
  <c r="AA1218" i="1"/>
  <c r="AA1216" i="1"/>
  <c r="AE1249" i="1"/>
  <c r="Y1249" i="1"/>
  <c r="Z1249" i="1"/>
  <c r="AA1249" i="1"/>
  <c r="AE1244" i="1"/>
  <c r="AD1244" i="1"/>
  <c r="AC1244" i="1"/>
  <c r="AB1244" i="1"/>
  <c r="Y1244" i="1"/>
  <c r="Z1244" i="1"/>
  <c r="AA1244" i="1"/>
  <c r="Z1229" i="1"/>
  <c r="AE1229" i="1"/>
  <c r="Y1229" i="1"/>
  <c r="Z1211" i="1"/>
  <c r="Z1212" i="1"/>
  <c r="AC1212" i="1"/>
  <c r="AA1212" i="1"/>
  <c r="AE1211" i="1"/>
  <c r="AA1211" i="1"/>
  <c r="AE1208" i="1"/>
  <c r="AD1208" i="1"/>
  <c r="AC1208" i="1"/>
  <c r="AB1208" i="1"/>
  <c r="Z1206" i="1"/>
  <c r="Y1208" i="1"/>
  <c r="AA1206" i="1"/>
  <c r="Z1208" i="1"/>
  <c r="AA1208" i="1"/>
  <c r="AB1205" i="1"/>
  <c r="Y1205" i="1"/>
  <c r="Z1205" i="1"/>
  <c r="AA1204" i="1"/>
  <c r="Z1204" i="1"/>
  <c r="Y1204" i="1"/>
  <c r="Z1203" i="1"/>
  <c r="Y1203" i="1"/>
  <c r="AE1203" i="1"/>
  <c r="AD1203" i="1"/>
  <c r="AC1203" i="1"/>
  <c r="AB1203" i="1"/>
  <c r="AA1203" i="1"/>
  <c r="Y1202" i="1"/>
  <c r="Z1202" i="1"/>
  <c r="AA1202" i="1" l="1"/>
  <c r="AE1217" i="1"/>
  <c r="AD1217" i="1"/>
  <c r="AC1217" i="1"/>
  <c r="AB1217" i="1"/>
  <c r="AB1249" i="1"/>
  <c r="AC1249" i="1"/>
  <c r="AD1249" i="1"/>
  <c r="AC1229" i="1"/>
  <c r="AD1229" i="1"/>
  <c r="AB1229" i="1"/>
  <c r="AC1206" i="1"/>
  <c r="AD1212" i="1"/>
  <c r="AE1212" i="1"/>
  <c r="AB1211" i="1"/>
  <c r="AB1212" i="1"/>
  <c r="AC1211" i="1"/>
  <c r="AD1211" i="1"/>
  <c r="AD1206" i="1"/>
  <c r="AB1206" i="1"/>
  <c r="AC1205" i="1"/>
  <c r="AD1205" i="1"/>
  <c r="AE1205" i="1"/>
  <c r="AE1204" i="1"/>
  <c r="AD1204" i="1"/>
  <c r="AC1204" i="1"/>
  <c r="AB1204" i="1"/>
  <c r="AC1202" i="1"/>
  <c r="AB1202" i="1"/>
  <c r="AE1202" i="1"/>
  <c r="AD1202" i="1"/>
  <c r="O1199" i="1" l="1"/>
  <c r="P1199" i="1" s="1"/>
  <c r="Q1199" i="1" s="1"/>
  <c r="O1198" i="1"/>
  <c r="P1198" i="1" s="1"/>
  <c r="Q1198" i="1" s="1"/>
  <c r="O1197" i="1"/>
  <c r="P1197" i="1" s="1"/>
  <c r="Q1197" i="1" s="1"/>
  <c r="O1196" i="1"/>
  <c r="P1196" i="1" s="1"/>
  <c r="Q1196" i="1" s="1"/>
  <c r="O1195" i="1"/>
  <c r="P1195" i="1" s="1"/>
  <c r="Q1195" i="1" s="1"/>
  <c r="X1200" i="1"/>
  <c r="L1200" i="1"/>
  <c r="I1200" i="1"/>
  <c r="O1194" i="1"/>
  <c r="P1194" i="1" s="1"/>
  <c r="Q1194" i="1" s="1"/>
  <c r="O1193" i="1"/>
  <c r="P1193" i="1" s="1"/>
  <c r="Q1193" i="1" s="1"/>
  <c r="V1192" i="1"/>
  <c r="O1192" i="1"/>
  <c r="P1192" i="1" s="1"/>
  <c r="Q1192" i="1" s="1"/>
  <c r="V1191" i="1"/>
  <c r="O1191" i="1"/>
  <c r="P1191" i="1" s="1"/>
  <c r="Q1191" i="1" s="1"/>
  <c r="V1190" i="1"/>
  <c r="O1190" i="1"/>
  <c r="P1190" i="1" s="1"/>
  <c r="Q1190" i="1" s="1"/>
  <c r="O1186" i="1"/>
  <c r="P1186" i="1" s="1"/>
  <c r="Q1186" i="1" s="1"/>
  <c r="X1174" i="1"/>
  <c r="L1174" i="1"/>
  <c r="I1174" i="1"/>
  <c r="X1175" i="1"/>
  <c r="AA1175" i="1"/>
  <c r="L1175" i="1"/>
  <c r="I1175" i="1"/>
  <c r="O1187" i="1"/>
  <c r="P1187" i="1" s="1"/>
  <c r="Q1187" i="1" s="1"/>
  <c r="X1187" i="1"/>
  <c r="L1187" i="1"/>
  <c r="I1187" i="1"/>
  <c r="O1185" i="1"/>
  <c r="P1185" i="1" s="1"/>
  <c r="Q1185" i="1" s="1"/>
  <c r="O1189" i="1"/>
  <c r="P1189" i="1" s="1"/>
  <c r="Q1189" i="1" s="1"/>
  <c r="O1188" i="1"/>
  <c r="X1178" i="1"/>
  <c r="L1178" i="1"/>
  <c r="I1178" i="1"/>
  <c r="X1179" i="1"/>
  <c r="AA1179" i="1"/>
  <c r="L1179" i="1"/>
  <c r="I1179" i="1"/>
  <c r="I1180" i="1"/>
  <c r="X1180" i="1"/>
  <c r="L1180" i="1"/>
  <c r="O1169" i="1"/>
  <c r="O1168" i="1"/>
  <c r="P1168" i="1" s="1"/>
  <c r="Q1168" i="1" s="1"/>
  <c r="O1165" i="1"/>
  <c r="P1165" i="1" s="1"/>
  <c r="Q1165" i="1" s="1"/>
  <c r="X1165" i="1"/>
  <c r="L1165" i="1"/>
  <c r="I1165" i="1"/>
  <c r="O1184" i="1"/>
  <c r="P1184" i="1" s="1"/>
  <c r="Q1184" i="1" s="1"/>
  <c r="O1177" i="1"/>
  <c r="P1177" i="1" s="1"/>
  <c r="Q1177" i="1" s="1"/>
  <c r="V1183" i="1"/>
  <c r="O1183" i="1"/>
  <c r="P1183" i="1" s="1"/>
  <c r="Q1183" i="1" s="1"/>
  <c r="V1182" i="1"/>
  <c r="O1182" i="1"/>
  <c r="P1182" i="1" s="1"/>
  <c r="Q1182" i="1" s="1"/>
  <c r="R1181" i="1"/>
  <c r="U1181" i="1"/>
  <c r="V1181" i="1"/>
  <c r="X1181" i="1" s="1"/>
  <c r="O1181" i="1"/>
  <c r="P1181" i="1" s="1"/>
  <c r="Q1181" i="1" s="1"/>
  <c r="O1201" i="1"/>
  <c r="P1201" i="1" s="1"/>
  <c r="Q1201" i="1" s="1"/>
  <c r="L1201" i="1"/>
  <c r="L1181" i="1"/>
  <c r="I1181" i="1"/>
  <c r="X1201" i="1"/>
  <c r="I1201" i="1"/>
  <c r="V1176" i="1"/>
  <c r="X1176" i="1" s="1"/>
  <c r="L1177" i="1"/>
  <c r="I1177" i="1"/>
  <c r="X1189" i="1"/>
  <c r="L1189" i="1"/>
  <c r="I1189" i="1"/>
  <c r="X1188" i="1"/>
  <c r="L1188" i="1"/>
  <c r="I1188" i="1"/>
  <c r="L1186" i="1"/>
  <c r="I1186" i="1"/>
  <c r="L1185" i="1"/>
  <c r="I1185" i="1"/>
  <c r="W1164" i="1"/>
  <c r="V1164" i="1"/>
  <c r="U1164" i="1"/>
  <c r="R1164" i="1"/>
  <c r="O1164" i="1"/>
  <c r="P1164" i="1" s="1"/>
  <c r="Q1164" i="1" s="1"/>
  <c r="O1163" i="1"/>
  <c r="P1163" i="1" s="1"/>
  <c r="Q1163" i="1" s="1"/>
  <c r="O1162" i="1"/>
  <c r="P1162" i="1" s="1"/>
  <c r="Q1162" i="1" s="1"/>
  <c r="O1161" i="1"/>
  <c r="P1161" i="1" s="1"/>
  <c r="Q1161" i="1" s="1"/>
  <c r="O1156" i="1"/>
  <c r="W1160" i="1"/>
  <c r="V1160" i="1"/>
  <c r="U1160" i="1"/>
  <c r="R1160" i="1"/>
  <c r="O1160" i="1"/>
  <c r="P1160" i="1" s="1"/>
  <c r="W1159" i="1"/>
  <c r="V1159" i="1"/>
  <c r="U1159" i="1"/>
  <c r="R1159" i="1"/>
  <c r="O1159" i="1"/>
  <c r="P1159" i="1" s="1"/>
  <c r="W1158" i="1"/>
  <c r="V1158" i="1"/>
  <c r="O1158" i="1"/>
  <c r="P1158" i="1" s="1"/>
  <c r="U1158" i="1"/>
  <c r="R1158" i="1"/>
  <c r="W1157" i="1"/>
  <c r="V1157" i="1"/>
  <c r="U1157" i="1"/>
  <c r="R1157" i="1"/>
  <c r="O1157" i="1"/>
  <c r="P1157" i="1" s="1"/>
  <c r="Q1157" i="1" s="1"/>
  <c r="V1167" i="1"/>
  <c r="X1167" i="1" s="1"/>
  <c r="O1167" i="1"/>
  <c r="P1167" i="1" s="1"/>
  <c r="Q1167" i="1" s="1"/>
  <c r="V1166" i="1"/>
  <c r="X1166" i="1" s="1"/>
  <c r="O1166" i="1"/>
  <c r="P1166" i="1" s="1"/>
  <c r="Q1166" i="1" s="1"/>
  <c r="L1156" i="1"/>
  <c r="I1156" i="1"/>
  <c r="X1156" i="1"/>
  <c r="W1154" i="1"/>
  <c r="T1154" i="1"/>
  <c r="L1164" i="1"/>
  <c r="I1164" i="1"/>
  <c r="L1167" i="1"/>
  <c r="I1167" i="1"/>
  <c r="L1166" i="1"/>
  <c r="I1166" i="1"/>
  <c r="L1154" i="1"/>
  <c r="I1154" i="1"/>
  <c r="X1169" i="1"/>
  <c r="L1169" i="1"/>
  <c r="I1169" i="1"/>
  <c r="L1168" i="1"/>
  <c r="I1168" i="1"/>
  <c r="X1152" i="1"/>
  <c r="L1152" i="1"/>
  <c r="I1152" i="1"/>
  <c r="G1152" i="1"/>
  <c r="P1152" i="1" s="1"/>
  <c r="Q1152" i="1" s="1"/>
  <c r="G1150" i="1"/>
  <c r="P1150" i="1" s="1"/>
  <c r="Q1150" i="1" s="1"/>
  <c r="I1150" i="1"/>
  <c r="I1151" i="1"/>
  <c r="I1153" i="1"/>
  <c r="L1150" i="1"/>
  <c r="Z1176" i="1"/>
  <c r="L1176" i="1"/>
  <c r="I1176" i="1"/>
  <c r="W1151" i="1"/>
  <c r="Q1151" i="1" s="1"/>
  <c r="T1151" i="1"/>
  <c r="Q1159" i="1" l="1"/>
  <c r="P1188" i="1"/>
  <c r="Q1188" i="1" s="1"/>
  <c r="AD1188" i="1" s="1"/>
  <c r="P1156" i="1"/>
  <c r="Q1156" i="1" s="1"/>
  <c r="Q1158" i="1"/>
  <c r="Q1160" i="1"/>
  <c r="P1169" i="1"/>
  <c r="Q1169" i="1" s="1"/>
  <c r="X1154" i="1"/>
  <c r="Q1154" i="1"/>
  <c r="Y1200" i="1"/>
  <c r="Z1180" i="1"/>
  <c r="AE1200" i="1"/>
  <c r="AB1200" i="1"/>
  <c r="AD1200" i="1"/>
  <c r="AC1200" i="1"/>
  <c r="Z1178" i="1"/>
  <c r="Z1174" i="1"/>
  <c r="Z1200" i="1"/>
  <c r="AA1200" i="1"/>
  <c r="AE1174" i="1"/>
  <c r="AD1174" i="1"/>
  <c r="AC1174" i="1"/>
  <c r="AB1174" i="1"/>
  <c r="Y1174" i="1"/>
  <c r="AA1174" i="1"/>
  <c r="Y1175" i="1"/>
  <c r="Z1175" i="1"/>
  <c r="Z1187" i="1"/>
  <c r="Y1187" i="1"/>
  <c r="AA1187" i="1"/>
  <c r="Y1180" i="1"/>
  <c r="AB1189" i="1"/>
  <c r="Y1189" i="1"/>
  <c r="AE1178" i="1"/>
  <c r="AD1178" i="1"/>
  <c r="AC1178" i="1"/>
  <c r="AB1178" i="1"/>
  <c r="Y1178" i="1"/>
  <c r="AA1178" i="1"/>
  <c r="X1164" i="1"/>
  <c r="Y1179" i="1"/>
  <c r="Z1179" i="1"/>
  <c r="AE1180" i="1"/>
  <c r="AD1180" i="1"/>
  <c r="AC1180" i="1"/>
  <c r="AB1180" i="1"/>
  <c r="AA1180" i="1"/>
  <c r="AA1165" i="1"/>
  <c r="Z1165" i="1"/>
  <c r="Y1165" i="1"/>
  <c r="AA1181" i="1"/>
  <c r="Y1181" i="1"/>
  <c r="AE1181" i="1"/>
  <c r="AA1201" i="1"/>
  <c r="Z1201" i="1"/>
  <c r="Y1201" i="1"/>
  <c r="Z1189" i="1"/>
  <c r="Z1181" i="1"/>
  <c r="AD1164" i="1"/>
  <c r="Y1188" i="1"/>
  <c r="AA1189" i="1"/>
  <c r="Y1169" i="1"/>
  <c r="Z1188" i="1"/>
  <c r="AA1167" i="1"/>
  <c r="AD1166" i="1"/>
  <c r="Y1166" i="1"/>
  <c r="Y1156" i="1"/>
  <c r="AE1156" i="1"/>
  <c r="Z1156" i="1"/>
  <c r="Y1164" i="1"/>
  <c r="AA1176" i="1"/>
  <c r="Y1167" i="1"/>
  <c r="Z1167" i="1"/>
  <c r="Z1166" i="1"/>
  <c r="Z1164" i="1"/>
  <c r="Y1154" i="1"/>
  <c r="AA1166" i="1"/>
  <c r="AA1164" i="1"/>
  <c r="AE1154" i="1"/>
  <c r="AD1154" i="1"/>
  <c r="AC1154" i="1"/>
  <c r="AB1154" i="1"/>
  <c r="Z1154" i="1"/>
  <c r="AA1154" i="1"/>
  <c r="Z1169" i="1"/>
  <c r="Y1176" i="1"/>
  <c r="Y1152" i="1"/>
  <c r="AA1152" i="1"/>
  <c r="Z1152" i="1"/>
  <c r="AD1176" i="1"/>
  <c r="AA1169" i="1" l="1"/>
  <c r="AA1156" i="1"/>
  <c r="AA1188" i="1"/>
  <c r="AB1164" i="1"/>
  <c r="AC1164" i="1"/>
  <c r="AE1175" i="1"/>
  <c r="AD1175" i="1"/>
  <c r="AC1175" i="1"/>
  <c r="AB1175" i="1"/>
  <c r="AE1187" i="1"/>
  <c r="AD1187" i="1"/>
  <c r="AC1187" i="1"/>
  <c r="AB1187" i="1"/>
  <c r="AD1189" i="1"/>
  <c r="AE1189" i="1"/>
  <c r="AC1189" i="1"/>
  <c r="AE1179" i="1"/>
  <c r="AD1179" i="1"/>
  <c r="AC1179" i="1"/>
  <c r="AB1179" i="1"/>
  <c r="AE1164" i="1"/>
  <c r="AE1165" i="1"/>
  <c r="AD1165" i="1"/>
  <c r="AC1165" i="1"/>
  <c r="AB1165" i="1"/>
  <c r="AD1181" i="1"/>
  <c r="AC1181" i="1"/>
  <c r="AB1181" i="1"/>
  <c r="AE1188" i="1"/>
  <c r="AC1188" i="1"/>
  <c r="AE1201" i="1"/>
  <c r="AD1201" i="1"/>
  <c r="AC1201" i="1"/>
  <c r="AB1201" i="1"/>
  <c r="AB1188" i="1"/>
  <c r="AD1156" i="1"/>
  <c r="AC1156" i="1"/>
  <c r="AB1156" i="1"/>
  <c r="AC1166" i="1"/>
  <c r="AB1166" i="1"/>
  <c r="AE1166" i="1"/>
  <c r="AE1167" i="1"/>
  <c r="AB1167" i="1"/>
  <c r="AD1167" i="1"/>
  <c r="AC1167" i="1"/>
  <c r="AE1176" i="1"/>
  <c r="AB1169" i="1"/>
  <c r="AE1169" i="1"/>
  <c r="AD1169" i="1"/>
  <c r="AC1169" i="1"/>
  <c r="AB1176" i="1"/>
  <c r="AC1176" i="1"/>
  <c r="AE1152" i="1"/>
  <c r="AD1152" i="1"/>
  <c r="AC1152" i="1"/>
  <c r="AB1152" i="1"/>
  <c r="G1144" i="1" l="1"/>
  <c r="P1144" i="1" s="1"/>
  <c r="Q1144" i="1" s="1"/>
  <c r="L1144" i="1"/>
  <c r="I1144" i="1"/>
  <c r="G1146" i="1" l="1"/>
  <c r="P1146" i="1" s="1"/>
  <c r="Q1146" i="1" s="1"/>
  <c r="L1146" i="1"/>
  <c r="I1146" i="1"/>
  <c r="W1139" i="1"/>
  <c r="R1139" i="1"/>
  <c r="L1139" i="1"/>
  <c r="I1139" i="1"/>
  <c r="W1138" i="1"/>
  <c r="G1137" i="1"/>
  <c r="P1137" i="1" s="1"/>
  <c r="Q1137" i="1" s="1"/>
  <c r="L1137" i="1"/>
  <c r="I1137" i="1"/>
  <c r="X1134" i="1"/>
  <c r="L1134" i="1"/>
  <c r="I1134" i="1"/>
  <c r="V1133" i="1"/>
  <c r="X1133" i="1" s="1"/>
  <c r="G1133" i="1"/>
  <c r="P1133" i="1" s="1"/>
  <c r="Q1133" i="1" s="1"/>
  <c r="L1133" i="1"/>
  <c r="I1133" i="1"/>
  <c r="G1136" i="1"/>
  <c r="P1136" i="1" s="1"/>
  <c r="Q1136" i="1" s="1"/>
  <c r="L1135" i="1"/>
  <c r="I1135" i="1"/>
  <c r="I1136" i="1"/>
  <c r="L1136" i="1"/>
  <c r="X1132" i="1"/>
  <c r="L1132" i="1"/>
  <c r="I1132" i="1"/>
  <c r="X1131" i="1"/>
  <c r="L1131" i="1"/>
  <c r="I1131" i="1"/>
  <c r="V1130" i="1"/>
  <c r="X1130" i="1" s="1"/>
  <c r="W1128" i="1"/>
  <c r="Q1128" i="1" s="1"/>
  <c r="V1128" i="1"/>
  <c r="O1127" i="1"/>
  <c r="O1126" i="1"/>
  <c r="P1126" i="1" s="1"/>
  <c r="Q1126" i="1" s="1"/>
  <c r="O1125" i="1"/>
  <c r="L1125" i="1"/>
  <c r="L1126" i="1"/>
  <c r="L1127" i="1"/>
  <c r="O1124" i="1"/>
  <c r="L1124" i="1"/>
  <c r="L1123" i="1"/>
  <c r="O1122" i="1"/>
  <c r="L1122" i="1"/>
  <c r="O1121" i="1"/>
  <c r="L1121" i="1"/>
  <c r="O1119" i="1"/>
  <c r="P1119" i="1" s="1"/>
  <c r="Q1119" i="1" s="1"/>
  <c r="I1119" i="1"/>
  <c r="I1120" i="1"/>
  <c r="I1121" i="1"/>
  <c r="I1122" i="1"/>
  <c r="I1123" i="1"/>
  <c r="I1124" i="1"/>
  <c r="I1125" i="1"/>
  <c r="I1126" i="1"/>
  <c r="I1127" i="1"/>
  <c r="I1128" i="1"/>
  <c r="L1120" i="1"/>
  <c r="L1119" i="1"/>
  <c r="O1108" i="1"/>
  <c r="P1108" i="1" s="1"/>
  <c r="Q1108" i="1" s="1"/>
  <c r="O1096" i="1"/>
  <c r="P1096" i="1" s="1"/>
  <c r="Q1096" i="1" s="1"/>
  <c r="O1095" i="1"/>
  <c r="O1094" i="1"/>
  <c r="P1094" i="1" s="1"/>
  <c r="Q1094" i="1" s="1"/>
  <c r="O1092" i="1"/>
  <c r="P1092" i="1" s="1"/>
  <c r="Q1092" i="1" s="1"/>
  <c r="W1092" i="1"/>
  <c r="V1092" i="1"/>
  <c r="L1092" i="1"/>
  <c r="I1092" i="1"/>
  <c r="O1101" i="1"/>
  <c r="O1109" i="1"/>
  <c r="P1109" i="1" s="1"/>
  <c r="Q1109" i="1" s="1"/>
  <c r="O1107" i="1"/>
  <c r="W1091" i="1"/>
  <c r="V1091" i="1"/>
  <c r="O1091" i="1"/>
  <c r="P1091" i="1" s="1"/>
  <c r="O1098" i="1"/>
  <c r="P1098" i="1" s="1"/>
  <c r="Q1098" i="1" s="1"/>
  <c r="X1099" i="1"/>
  <c r="L1099" i="1"/>
  <c r="I1099" i="1"/>
  <c r="X1127" i="1"/>
  <c r="X1126" i="1"/>
  <c r="X1125" i="1"/>
  <c r="O1097" i="1"/>
  <c r="G1097" i="1"/>
  <c r="O1102" i="1"/>
  <c r="L1102" i="1"/>
  <c r="V1103" i="1"/>
  <c r="X1103" i="1" s="1"/>
  <c r="O1103" i="1"/>
  <c r="P1103" i="1" s="1"/>
  <c r="Q1103" i="1" s="1"/>
  <c r="I1102" i="1"/>
  <c r="I1103" i="1"/>
  <c r="I1104" i="1"/>
  <c r="L1103" i="1"/>
  <c r="X1102" i="1"/>
  <c r="X1122" i="1"/>
  <c r="X1121" i="1"/>
  <c r="X1120" i="1"/>
  <c r="AA1120" i="1"/>
  <c r="X1119" i="1"/>
  <c r="X1124" i="1"/>
  <c r="X1123" i="1"/>
  <c r="AA1123" i="1"/>
  <c r="O1110" i="1"/>
  <c r="X1110" i="1"/>
  <c r="L1110" i="1"/>
  <c r="I1110" i="1"/>
  <c r="O1118" i="1"/>
  <c r="L1118" i="1"/>
  <c r="I1118" i="1"/>
  <c r="X1100" i="1"/>
  <c r="O1100" i="1"/>
  <c r="P1100" i="1" s="1"/>
  <c r="Q1100" i="1" s="1"/>
  <c r="L1100" i="1"/>
  <c r="I1100" i="1"/>
  <c r="O1117" i="1"/>
  <c r="O1116" i="1"/>
  <c r="P1116" i="1" s="1"/>
  <c r="Q1116" i="1" s="1"/>
  <c r="O1115" i="1"/>
  <c r="P1115" i="1" s="1"/>
  <c r="Q1115" i="1" s="1"/>
  <c r="L1117" i="1"/>
  <c r="I1117" i="1"/>
  <c r="L1116" i="1"/>
  <c r="I1116" i="1"/>
  <c r="L1115" i="1"/>
  <c r="O1114" i="1"/>
  <c r="L1114" i="1"/>
  <c r="O1113" i="1"/>
  <c r="L1113" i="1"/>
  <c r="I1113" i="1"/>
  <c r="I1114" i="1"/>
  <c r="I1115" i="1"/>
  <c r="O1112" i="1"/>
  <c r="P1112" i="1" s="1"/>
  <c r="Q1112" i="1" s="1"/>
  <c r="O1111" i="1"/>
  <c r="P1111" i="1" s="1"/>
  <c r="Q1111" i="1" s="1"/>
  <c r="L1112" i="1"/>
  <c r="I1112" i="1"/>
  <c r="L1111" i="1"/>
  <c r="I1111" i="1"/>
  <c r="X1109" i="1"/>
  <c r="L1109" i="1"/>
  <c r="I1109" i="1"/>
  <c r="X1108" i="1"/>
  <c r="L1108" i="1"/>
  <c r="I1108" i="1"/>
  <c r="X1107" i="1"/>
  <c r="L1107" i="1"/>
  <c r="I1107" i="1"/>
  <c r="X1106" i="1"/>
  <c r="O1106" i="1"/>
  <c r="P1106" i="1" s="1"/>
  <c r="Q1106" i="1" s="1"/>
  <c r="L1106" i="1"/>
  <c r="I1106" i="1"/>
  <c r="X1105" i="1"/>
  <c r="O1105" i="1"/>
  <c r="L1105" i="1"/>
  <c r="I1105" i="1"/>
  <c r="X1104" i="1"/>
  <c r="O1104" i="1"/>
  <c r="L1104" i="1"/>
  <c r="X1101" i="1"/>
  <c r="L1101" i="1"/>
  <c r="I1101" i="1"/>
  <c r="X1114" i="1"/>
  <c r="X1113" i="1"/>
  <c r="X1112" i="1"/>
  <c r="X1111" i="1"/>
  <c r="X1118" i="1"/>
  <c r="X1117" i="1"/>
  <c r="X1116" i="1"/>
  <c r="AA1093" i="1"/>
  <c r="X1093" i="1"/>
  <c r="X1094" i="1"/>
  <c r="X1095" i="1"/>
  <c r="X1096" i="1"/>
  <c r="X1097" i="1"/>
  <c r="X1098" i="1"/>
  <c r="X1115" i="1"/>
  <c r="X1129" i="1"/>
  <c r="X1141" i="1"/>
  <c r="X1142" i="1"/>
  <c r="X1143" i="1"/>
  <c r="X1147" i="1"/>
  <c r="O1090" i="1"/>
  <c r="P1090" i="1" s="1"/>
  <c r="Q1090" i="1" s="1"/>
  <c r="O1089" i="1"/>
  <c r="P1089" i="1" s="1"/>
  <c r="Q1089" i="1" s="1"/>
  <c r="I1077" i="1"/>
  <c r="L1077" i="1"/>
  <c r="X1077" i="1"/>
  <c r="O1076" i="1"/>
  <c r="P1076" i="1" s="1"/>
  <c r="Q1076" i="1" s="1"/>
  <c r="W1075" i="1"/>
  <c r="Q1075" i="1" s="1"/>
  <c r="V1075" i="1"/>
  <c r="W1073" i="1"/>
  <c r="Q1073" i="1" s="1"/>
  <c r="V1073" i="1"/>
  <c r="W1072" i="1"/>
  <c r="Q1072" i="1" s="1"/>
  <c r="O1071" i="1"/>
  <c r="P1071" i="1" s="1"/>
  <c r="Q1071" i="1" s="1"/>
  <c r="O1069" i="1"/>
  <c r="P1069" i="1" s="1"/>
  <c r="Q1069" i="1" s="1"/>
  <c r="O1068" i="1"/>
  <c r="P1068" i="1" s="1"/>
  <c r="Q1068" i="1" s="1"/>
  <c r="P1118" i="1" l="1"/>
  <c r="Q1118" i="1" s="1"/>
  <c r="X1138" i="1"/>
  <c r="Q1138" i="1"/>
  <c r="P1114" i="1"/>
  <c r="Q1114" i="1" s="1"/>
  <c r="P1117" i="1"/>
  <c r="Q1117" i="1" s="1"/>
  <c r="P1124" i="1"/>
  <c r="Q1124" i="1" s="1"/>
  <c r="P1107" i="1"/>
  <c r="Q1107" i="1" s="1"/>
  <c r="P1104" i="1"/>
  <c r="Q1104" i="1" s="1"/>
  <c r="P1095" i="1"/>
  <c r="Q1095" i="1" s="1"/>
  <c r="P1110" i="1"/>
  <c r="Q1110" i="1" s="1"/>
  <c r="P1101" i="1"/>
  <c r="Q1101" i="1" s="1"/>
  <c r="P1121" i="1"/>
  <c r="Q1121" i="1" s="1"/>
  <c r="X1139" i="1"/>
  <c r="Q1139" i="1"/>
  <c r="AD1139" i="1" s="1"/>
  <c r="P1102" i="1"/>
  <c r="Q1102" i="1" s="1"/>
  <c r="P1125" i="1"/>
  <c r="Q1125" i="1" s="1"/>
  <c r="P1105" i="1"/>
  <c r="Q1105" i="1" s="1"/>
  <c r="P1122" i="1"/>
  <c r="Q1122" i="1" s="1"/>
  <c r="P1113" i="1"/>
  <c r="Q1113" i="1" s="1"/>
  <c r="P1097" i="1"/>
  <c r="Q1097" i="1" s="1"/>
  <c r="Q1091" i="1"/>
  <c r="P1127" i="1"/>
  <c r="Q1127" i="1" s="1"/>
  <c r="AD1127" i="1" s="1"/>
  <c r="AD1138" i="1"/>
  <c r="AD1128" i="1"/>
  <c r="Y1139" i="1"/>
  <c r="Z1139" i="1"/>
  <c r="AA1139" i="1"/>
  <c r="AA1097" i="1"/>
  <c r="Y1134" i="1"/>
  <c r="Z1134" i="1"/>
  <c r="AE1134" i="1"/>
  <c r="AD1134" i="1"/>
  <c r="AC1134" i="1"/>
  <c r="AB1134" i="1"/>
  <c r="AE1133" i="1"/>
  <c r="Y1133" i="1"/>
  <c r="Z1133" i="1"/>
  <c r="AA1134" i="1"/>
  <c r="AA1133" i="1"/>
  <c r="Y1132" i="1"/>
  <c r="AE1132" i="1"/>
  <c r="AD1132" i="1"/>
  <c r="AC1132" i="1"/>
  <c r="AB1132" i="1"/>
  <c r="Y1131" i="1"/>
  <c r="Z1132" i="1"/>
  <c r="X1128" i="1"/>
  <c r="Z1131" i="1"/>
  <c r="AA1132" i="1"/>
  <c r="AE1131" i="1"/>
  <c r="AD1131" i="1"/>
  <c r="AC1131" i="1"/>
  <c r="AB1131" i="1"/>
  <c r="X1092" i="1"/>
  <c r="AA1131" i="1"/>
  <c r="AC1119" i="1"/>
  <c r="Z1119" i="1"/>
  <c r="AE1125" i="1"/>
  <c r="Z1125" i="1"/>
  <c r="AB1098" i="1"/>
  <c r="Z1098" i="1"/>
  <c r="Z1092" i="1"/>
  <c r="AA1092" i="1"/>
  <c r="Y1092" i="1"/>
  <c r="AA1125" i="1"/>
  <c r="Y1099" i="1"/>
  <c r="Y1126" i="1"/>
  <c r="Y1128" i="1"/>
  <c r="Z1122" i="1"/>
  <c r="AE1099" i="1"/>
  <c r="AD1099" i="1"/>
  <c r="AC1099" i="1"/>
  <c r="AB1099" i="1"/>
  <c r="Y1116" i="1"/>
  <c r="Z1116" i="1"/>
  <c r="AE1126" i="1"/>
  <c r="AD1126" i="1"/>
  <c r="AC1126" i="1"/>
  <c r="AB1126" i="1"/>
  <c r="Z1126" i="1"/>
  <c r="Z1099" i="1"/>
  <c r="AA1126" i="1"/>
  <c r="Y1127" i="1"/>
  <c r="AA1099" i="1"/>
  <c r="Z1124" i="1"/>
  <c r="Z1103" i="1"/>
  <c r="AE1103" i="1"/>
  <c r="AD1103" i="1"/>
  <c r="AC1103" i="1"/>
  <c r="AB1103" i="1"/>
  <c r="Y1119" i="1"/>
  <c r="AA1122" i="1"/>
  <c r="Y1103" i="1"/>
  <c r="AA1119" i="1"/>
  <c r="Y1120" i="1"/>
  <c r="AA1103" i="1"/>
  <c r="Y1102" i="1"/>
  <c r="Z1101" i="1"/>
  <c r="Z1120" i="1"/>
  <c r="Z1102" i="1"/>
  <c r="AA1129" i="1"/>
  <c r="Y1123" i="1"/>
  <c r="Y1121" i="1"/>
  <c r="Z1123" i="1"/>
  <c r="Z1121" i="1"/>
  <c r="AA1130" i="1"/>
  <c r="Y1130" i="1"/>
  <c r="Y1107" i="1"/>
  <c r="AE1110" i="1"/>
  <c r="Y1093" i="1"/>
  <c r="Z1110" i="1"/>
  <c r="Z1129" i="1"/>
  <c r="Y1098" i="1"/>
  <c r="Z1107" i="1"/>
  <c r="Y1110" i="1"/>
  <c r="Y1129" i="1"/>
  <c r="Z1128" i="1"/>
  <c r="AC1101" i="1"/>
  <c r="Y1109" i="1"/>
  <c r="AA1111" i="1"/>
  <c r="Y1111" i="1"/>
  <c r="AE1111" i="1"/>
  <c r="AE1129" i="1"/>
  <c r="AC1129" i="1"/>
  <c r="Z1100" i="1"/>
  <c r="AA1100" i="1"/>
  <c r="Y1100" i="1"/>
  <c r="Y1096" i="1"/>
  <c r="AA1101" i="1"/>
  <c r="AA1104" i="1"/>
  <c r="Z1138" i="1"/>
  <c r="Y1138" i="1"/>
  <c r="Y1108" i="1"/>
  <c r="Z1115" i="1"/>
  <c r="Y1115" i="1"/>
  <c r="AD1115" i="1"/>
  <c r="AD1117" i="1"/>
  <c r="Z1117" i="1"/>
  <c r="AA1117" i="1"/>
  <c r="AE1116" i="1"/>
  <c r="Y1112" i="1"/>
  <c r="Z1112" i="1"/>
  <c r="AE1112" i="1"/>
  <c r="Z1113" i="1"/>
  <c r="AA1113" i="1"/>
  <c r="AE1108" i="1"/>
  <c r="AD1108" i="1"/>
  <c r="AC1108" i="1"/>
  <c r="AB1108" i="1"/>
  <c r="AE1109" i="1"/>
  <c r="AD1109" i="1"/>
  <c r="AC1109" i="1"/>
  <c r="AB1109" i="1"/>
  <c r="Y1106" i="1"/>
  <c r="AA1106" i="1"/>
  <c r="Z1106" i="1"/>
  <c r="AA1094" i="1"/>
  <c r="Z1130" i="1"/>
  <c r="AA1098" i="1"/>
  <c r="Z1094" i="1"/>
  <c r="AE1093" i="1"/>
  <c r="AA1116" i="1"/>
  <c r="AA1112" i="1"/>
  <c r="Z1108" i="1"/>
  <c r="Z1109" i="1"/>
  <c r="Y1094" i="1"/>
  <c r="AA1108" i="1"/>
  <c r="AA1109" i="1"/>
  <c r="Y1118" i="1"/>
  <c r="Y1114" i="1"/>
  <c r="Y1105" i="1"/>
  <c r="AD1129" i="1"/>
  <c r="Z1118" i="1"/>
  <c r="Z1114" i="1"/>
  <c r="Z1105" i="1"/>
  <c r="AB1129" i="1"/>
  <c r="Y1095" i="1"/>
  <c r="Z1093" i="1"/>
  <c r="Z1111" i="1"/>
  <c r="Y1104" i="1"/>
  <c r="AD1130" i="1"/>
  <c r="AE1130" i="1"/>
  <c r="AC1130" i="1"/>
  <c r="AB1130" i="1"/>
  <c r="AD1096" i="1"/>
  <c r="AE1096" i="1"/>
  <c r="AB1096" i="1"/>
  <c r="AC1096" i="1"/>
  <c r="AD1094" i="1"/>
  <c r="AE1094" i="1"/>
  <c r="AB1094" i="1"/>
  <c r="AC1094" i="1"/>
  <c r="AE1138" i="1"/>
  <c r="AA1077" i="1"/>
  <c r="AA1138" i="1"/>
  <c r="AA1128" i="1"/>
  <c r="AA1115" i="1"/>
  <c r="AA1096" i="1"/>
  <c r="AA1095" i="1"/>
  <c r="Z1096" i="1"/>
  <c r="Y1077" i="1"/>
  <c r="AB1077" i="1"/>
  <c r="AC1077" i="1"/>
  <c r="AD1077" i="1"/>
  <c r="AE1077" i="1"/>
  <c r="Z1077" i="1"/>
  <c r="AA1124" i="1" l="1"/>
  <c r="Y1117" i="1"/>
  <c r="Z1095" i="1"/>
  <c r="Y1122" i="1"/>
  <c r="AA1127" i="1"/>
  <c r="Z1127" i="1"/>
  <c r="AA1105" i="1"/>
  <c r="AA1121" i="1"/>
  <c r="Z1104" i="1"/>
  <c r="AA1114" i="1"/>
  <c r="Y1125" i="1"/>
  <c r="Y1101" i="1"/>
  <c r="AA1107" i="1"/>
  <c r="Y1113" i="1"/>
  <c r="AA1102" i="1"/>
  <c r="AA1110" i="1"/>
  <c r="Y1124" i="1"/>
  <c r="AA1118" i="1"/>
  <c r="AC1138" i="1"/>
  <c r="AC1128" i="1"/>
  <c r="AB1128" i="1"/>
  <c r="AB1138" i="1"/>
  <c r="AD1098" i="1"/>
  <c r="AC1098" i="1"/>
  <c r="AE1097" i="1"/>
  <c r="AE1098" i="1"/>
  <c r="Y1097" i="1"/>
  <c r="Z1097" i="1"/>
  <c r="AE1128" i="1"/>
  <c r="AE1139" i="1"/>
  <c r="AB1139" i="1"/>
  <c r="AC1139" i="1"/>
  <c r="AB1133" i="1"/>
  <c r="AC1133" i="1"/>
  <c r="AD1133" i="1"/>
  <c r="AD1125" i="1"/>
  <c r="AD1111" i="1"/>
  <c r="AC1111" i="1"/>
  <c r="AD1119" i="1"/>
  <c r="AC1115" i="1"/>
  <c r="AB1115" i="1"/>
  <c r="AC1125" i="1"/>
  <c r="AE1119" i="1"/>
  <c r="AB1111" i="1"/>
  <c r="AC1127" i="1"/>
  <c r="AB1127" i="1"/>
  <c r="AE1127" i="1"/>
  <c r="AB1125" i="1"/>
  <c r="AB1119" i="1"/>
  <c r="AE1092" i="1"/>
  <c r="AD1092" i="1"/>
  <c r="AC1092" i="1"/>
  <c r="AB1092" i="1"/>
  <c r="AB1110" i="1"/>
  <c r="AC1112" i="1"/>
  <c r="AB1112" i="1"/>
  <c r="AD1123" i="1"/>
  <c r="AE1123" i="1"/>
  <c r="AC1123" i="1"/>
  <c r="AB1123" i="1"/>
  <c r="AE1122" i="1"/>
  <c r="AD1122" i="1"/>
  <c r="AC1122" i="1"/>
  <c r="AB1122" i="1"/>
  <c r="AB1101" i="1"/>
  <c r="AC1102" i="1"/>
  <c r="AB1102" i="1"/>
  <c r="AE1102" i="1"/>
  <c r="AD1102" i="1"/>
  <c r="AB1124" i="1"/>
  <c r="AE1124" i="1"/>
  <c r="AD1124" i="1"/>
  <c r="AC1124" i="1"/>
  <c r="AD1121" i="1"/>
  <c r="AE1121" i="1"/>
  <c r="AC1121" i="1"/>
  <c r="AB1121" i="1"/>
  <c r="AC1120" i="1"/>
  <c r="AB1120" i="1"/>
  <c r="AE1120" i="1"/>
  <c r="AD1120" i="1"/>
  <c r="AC1110" i="1"/>
  <c r="AD1110" i="1"/>
  <c r="AE1101" i="1"/>
  <c r="AE1115" i="1"/>
  <c r="AD1101" i="1"/>
  <c r="AE1100" i="1"/>
  <c r="AD1100" i="1"/>
  <c r="AC1100" i="1"/>
  <c r="AB1100" i="1"/>
  <c r="AC1116" i="1"/>
  <c r="AB1116" i="1"/>
  <c r="AD1116" i="1"/>
  <c r="AE1117" i="1"/>
  <c r="AC1117" i="1"/>
  <c r="AB1117" i="1"/>
  <c r="AD1112" i="1"/>
  <c r="AE1113" i="1"/>
  <c r="AB1113" i="1"/>
  <c r="AC1113" i="1"/>
  <c r="AD1113" i="1"/>
  <c r="AD1095" i="1"/>
  <c r="AC1095" i="1"/>
  <c r="AE1104" i="1"/>
  <c r="AD1104" i="1"/>
  <c r="AC1104" i="1"/>
  <c r="AB1104" i="1"/>
  <c r="AC1114" i="1"/>
  <c r="AB1114" i="1"/>
  <c r="AD1114" i="1"/>
  <c r="AE1114" i="1"/>
  <c r="AE1095" i="1"/>
  <c r="AC1118" i="1"/>
  <c r="AD1118" i="1"/>
  <c r="AB1118" i="1"/>
  <c r="AE1118" i="1"/>
  <c r="AB1107" i="1"/>
  <c r="AC1107" i="1"/>
  <c r="AE1107" i="1"/>
  <c r="AD1107" i="1"/>
  <c r="AD1093" i="1"/>
  <c r="AB1093" i="1"/>
  <c r="AC1093" i="1"/>
  <c r="AB1095" i="1"/>
  <c r="AC1105" i="1"/>
  <c r="AB1105" i="1"/>
  <c r="AD1105" i="1"/>
  <c r="AE1105" i="1"/>
  <c r="AE1106" i="1"/>
  <c r="AD1106" i="1"/>
  <c r="AC1106" i="1"/>
  <c r="AB1106" i="1"/>
  <c r="AC1097" i="1" l="1"/>
  <c r="AB1097" i="1"/>
  <c r="AD1097" i="1"/>
  <c r="W1067" i="1"/>
  <c r="Q1067" i="1" s="1"/>
  <c r="L1455" i="1"/>
  <c r="W1066" i="1"/>
  <c r="Q1066" i="1" s="1"/>
  <c r="W1064" i="1"/>
  <c r="L1064" i="1"/>
  <c r="I1064" i="1"/>
  <c r="W1065" i="1"/>
  <c r="Q1065" i="1" s="1"/>
  <c r="W1063" i="1"/>
  <c r="Q1063" i="1" s="1"/>
  <c r="W1062" i="1"/>
  <c r="Q1062" i="1" s="1"/>
  <c r="V1060" i="1"/>
  <c r="W1059" i="1"/>
  <c r="Q1059" i="1" s="1"/>
  <c r="X1064" i="1" l="1"/>
  <c r="Q1064" i="1"/>
  <c r="AE1064" i="1" s="1"/>
  <c r="Z1064" i="1"/>
  <c r="Y1064" i="1"/>
  <c r="AA1064" i="1"/>
  <c r="O1053" i="1"/>
  <c r="P1053" i="1" s="1"/>
  <c r="Q1053" i="1" s="1"/>
  <c r="L1053" i="1"/>
  <c r="I1053" i="1"/>
  <c r="W1043" i="1"/>
  <c r="L1043" i="1"/>
  <c r="I1043" i="1"/>
  <c r="W1040" i="1"/>
  <c r="Q1040" i="1" s="1"/>
  <c r="W1037" i="1"/>
  <c r="T1037" i="1"/>
  <c r="G1036" i="1"/>
  <c r="P1036" i="1" s="1"/>
  <c r="Q1036" i="1" s="1"/>
  <c r="T1038" i="1"/>
  <c r="W1038" i="1"/>
  <c r="Q1038" i="1" s="1"/>
  <c r="X1043" i="1" l="1"/>
  <c r="Q1043" i="1"/>
  <c r="AD1043" i="1" s="1"/>
  <c r="AB1064" i="1"/>
  <c r="AC1064" i="1"/>
  <c r="AD1064" i="1"/>
  <c r="Z1043" i="1"/>
  <c r="Y1043" i="1"/>
  <c r="AA1043" i="1"/>
  <c r="AE1043" i="1" l="1"/>
  <c r="AB1043" i="1"/>
  <c r="AC1043" i="1"/>
  <c r="W1035" i="1"/>
  <c r="Q1035" i="1" s="1"/>
  <c r="U1005" i="1"/>
  <c r="R1005" i="1"/>
  <c r="T1005" i="1"/>
  <c r="V1005" i="1"/>
  <c r="X1005" i="1" s="1"/>
  <c r="O1005" i="1"/>
  <c r="P1005" i="1" s="1"/>
  <c r="Q1005" i="1" s="1"/>
  <c r="L1005" i="1"/>
  <c r="I1005" i="1"/>
  <c r="V1006" i="1"/>
  <c r="X1006" i="1" s="1"/>
  <c r="T1006" i="1"/>
  <c r="R1006" i="1"/>
  <c r="U1006" i="1"/>
  <c r="O1006" i="1"/>
  <c r="P1006" i="1" s="1"/>
  <c r="Q1006" i="1" s="1"/>
  <c r="I1006" i="1"/>
  <c r="L1006" i="1"/>
  <c r="O1007" i="1"/>
  <c r="P1007" i="1" s="1"/>
  <c r="Q1007" i="1" s="1"/>
  <c r="Z1006" i="1" l="1"/>
  <c r="AA1005" i="1"/>
  <c r="Z1005" i="1"/>
  <c r="Y1005" i="1"/>
  <c r="AA1006" i="1"/>
  <c r="Y1006" i="1"/>
  <c r="V1011" i="1"/>
  <c r="G1033" i="1"/>
  <c r="P1033" i="1" s="1"/>
  <c r="Q1033" i="1" s="1"/>
  <c r="AB1005" i="1" l="1"/>
  <c r="AC1005" i="1"/>
  <c r="AE1005" i="1"/>
  <c r="AD1005" i="1"/>
  <c r="AD1006" i="1"/>
  <c r="AC1006" i="1"/>
  <c r="AB1006" i="1"/>
  <c r="AE1006" i="1"/>
  <c r="U1004" i="1"/>
  <c r="T1004" i="1"/>
  <c r="S1004" i="1" s="1"/>
  <c r="R1004" i="1"/>
  <c r="I1003" i="1"/>
  <c r="L1003" i="1"/>
  <c r="L1004" i="1"/>
  <c r="X1003" i="1"/>
  <c r="AA1003" i="1"/>
  <c r="I1002" i="1"/>
  <c r="L1002" i="1"/>
  <c r="X1002" i="1"/>
  <c r="X662" i="1"/>
  <c r="X663" i="1"/>
  <c r="X664" i="1"/>
  <c r="X665" i="1"/>
  <c r="X710" i="1"/>
  <c r="X712" i="1"/>
  <c r="X713" i="1"/>
  <c r="X714" i="1"/>
  <c r="X715" i="1"/>
  <c r="X716" i="1"/>
  <c r="X717" i="1"/>
  <c r="X722" i="1"/>
  <c r="X723" i="1"/>
  <c r="X724" i="1"/>
  <c r="X728" i="1"/>
  <c r="X729" i="1"/>
  <c r="X730" i="1"/>
  <c r="X731" i="1"/>
  <c r="X732" i="1"/>
  <c r="X737" i="1"/>
  <c r="X738" i="1"/>
  <c r="X739" i="1"/>
  <c r="X740" i="1"/>
  <c r="X741" i="1"/>
  <c r="X742" i="1"/>
  <c r="X743" i="1"/>
  <c r="X744" i="1"/>
  <c r="X745" i="1"/>
  <c r="X748" i="1"/>
  <c r="X749" i="1"/>
  <c r="X753" i="1"/>
  <c r="X754" i="1"/>
  <c r="X761" i="1"/>
  <c r="X762" i="1"/>
  <c r="X764" i="1"/>
  <c r="X766" i="1"/>
  <c r="X767" i="1"/>
  <c r="X768" i="1"/>
  <c r="X769" i="1"/>
  <c r="X794" i="1"/>
  <c r="X795" i="1"/>
  <c r="X797" i="1"/>
  <c r="X803" i="1"/>
  <c r="X804" i="1"/>
  <c r="X805" i="1"/>
  <c r="X807" i="1"/>
  <c r="X808" i="1"/>
  <c r="X809" i="1"/>
  <c r="X811" i="1"/>
  <c r="X812" i="1"/>
  <c r="X815" i="1"/>
  <c r="X816" i="1"/>
  <c r="X817" i="1"/>
  <c r="X821" i="1"/>
  <c r="X822" i="1"/>
  <c r="X823" i="1"/>
  <c r="X824" i="1"/>
  <c r="X825" i="1"/>
  <c r="X828" i="1"/>
  <c r="X830" i="1"/>
  <c r="X831" i="1"/>
  <c r="X833" i="1"/>
  <c r="X834" i="1"/>
  <c r="X835" i="1"/>
  <c r="X836" i="1"/>
  <c r="X837" i="1"/>
  <c r="X839" i="1"/>
  <c r="X844" i="1"/>
  <c r="X849" i="1"/>
  <c r="X850" i="1"/>
  <c r="X851" i="1"/>
  <c r="X853" i="1"/>
  <c r="X854" i="1"/>
  <c r="X856" i="1"/>
  <c r="X859" i="1"/>
  <c r="X860" i="1"/>
  <c r="X861" i="1"/>
  <c r="X862" i="1"/>
  <c r="X863" i="1"/>
  <c r="X864" i="1"/>
  <c r="X865" i="1"/>
  <c r="X867" i="1"/>
  <c r="X868" i="1"/>
  <c r="X869" i="1"/>
  <c r="X871" i="1"/>
  <c r="X872" i="1"/>
  <c r="X873" i="1"/>
  <c r="X874" i="1"/>
  <c r="X875" i="1"/>
  <c r="X876" i="1"/>
  <c r="X877" i="1"/>
  <c r="X878" i="1"/>
  <c r="X879" i="1"/>
  <c r="X880" i="1"/>
  <c r="X881" i="1"/>
  <c r="X882" i="1"/>
  <c r="X883" i="1"/>
  <c r="X884" i="1"/>
  <c r="X885" i="1"/>
  <c r="X886" i="1"/>
  <c r="X887" i="1"/>
  <c r="X888" i="1"/>
  <c r="X889" i="1"/>
  <c r="X890" i="1"/>
  <c r="X891" i="1"/>
  <c r="X893" i="1"/>
  <c r="X894" i="1"/>
  <c r="X895" i="1"/>
  <c r="X896" i="1"/>
  <c r="X898" i="1"/>
  <c r="X902" i="1"/>
  <c r="X904" i="1"/>
  <c r="X906" i="1"/>
  <c r="X908" i="1"/>
  <c r="X909" i="1"/>
  <c r="X910" i="1"/>
  <c r="X912" i="1"/>
  <c r="X918" i="1"/>
  <c r="X924" i="1"/>
  <c r="X926" i="1"/>
  <c r="X927" i="1"/>
  <c r="X930" i="1"/>
  <c r="X934" i="1"/>
  <c r="X935" i="1"/>
  <c r="X938" i="1"/>
  <c r="X942" i="1"/>
  <c r="X952" i="1"/>
  <c r="X953" i="1"/>
  <c r="X954" i="1"/>
  <c r="X959" i="1"/>
  <c r="X960" i="1"/>
  <c r="X961" i="1"/>
  <c r="X969" i="1"/>
  <c r="X974" i="1"/>
  <c r="X984" i="1"/>
  <c r="X985" i="1"/>
  <c r="X986" i="1"/>
  <c r="X991" i="1"/>
  <c r="X993" i="1"/>
  <c r="X997" i="1"/>
  <c r="X998" i="1"/>
  <c r="X1000" i="1"/>
  <c r="X1001" i="1"/>
  <c r="X1004" i="1"/>
  <c r="X1007" i="1"/>
  <c r="X1010" i="1"/>
  <c r="X1011" i="1"/>
  <c r="X1013" i="1"/>
  <c r="X1014" i="1"/>
  <c r="X1015" i="1"/>
  <c r="X1016" i="1"/>
  <c r="X1017" i="1"/>
  <c r="X1018" i="1"/>
  <c r="X1019" i="1"/>
  <c r="X1020" i="1"/>
  <c r="X1021" i="1"/>
  <c r="X1022" i="1"/>
  <c r="X1023" i="1"/>
  <c r="X1024" i="1"/>
  <c r="X1025" i="1"/>
  <c r="X1026" i="1"/>
  <c r="X1028" i="1"/>
  <c r="X1029" i="1"/>
  <c r="X1030" i="1"/>
  <c r="X1031" i="1"/>
  <c r="X1032" i="1"/>
  <c r="X1033" i="1"/>
  <c r="X1034" i="1"/>
  <c r="X1035" i="1"/>
  <c r="X1036" i="1"/>
  <c r="X1037" i="1"/>
  <c r="X1038" i="1"/>
  <c r="X1039" i="1"/>
  <c r="X1040" i="1"/>
  <c r="X1041" i="1"/>
  <c r="X1042" i="1"/>
  <c r="X1044" i="1"/>
  <c r="X1045" i="1"/>
  <c r="X1046" i="1"/>
  <c r="X1047" i="1"/>
  <c r="X1048" i="1"/>
  <c r="X1049" i="1"/>
  <c r="X1050" i="1"/>
  <c r="X1051" i="1"/>
  <c r="X1052" i="1"/>
  <c r="X1057" i="1"/>
  <c r="X1058" i="1"/>
  <c r="X1059" i="1"/>
  <c r="X1060" i="1"/>
  <c r="X1061" i="1"/>
  <c r="X1062" i="1"/>
  <c r="X1063" i="1"/>
  <c r="X1065" i="1"/>
  <c r="X1066" i="1"/>
  <c r="X1067" i="1"/>
  <c r="X1068" i="1"/>
  <c r="X1069" i="1"/>
  <c r="X1070" i="1"/>
  <c r="X1071" i="1"/>
  <c r="X1072" i="1"/>
  <c r="X1073" i="1"/>
  <c r="X1074" i="1"/>
  <c r="X1075" i="1"/>
  <c r="X1076" i="1"/>
  <c r="X1078" i="1"/>
  <c r="X1079" i="1"/>
  <c r="X1080" i="1"/>
  <c r="X1081" i="1"/>
  <c r="X1082" i="1"/>
  <c r="X1083" i="1"/>
  <c r="X1084" i="1"/>
  <c r="X1085" i="1"/>
  <c r="X1086" i="1"/>
  <c r="X1087" i="1"/>
  <c r="X1088" i="1"/>
  <c r="X1089" i="1"/>
  <c r="X1090" i="1"/>
  <c r="X1091" i="1"/>
  <c r="X1151" i="1"/>
  <c r="X1153" i="1"/>
  <c r="X1155" i="1"/>
  <c r="X1157" i="1"/>
  <c r="X1158" i="1"/>
  <c r="X1159" i="1"/>
  <c r="X1160" i="1"/>
  <c r="X1161" i="1"/>
  <c r="X1163" i="1"/>
  <c r="X1170" i="1"/>
  <c r="X1171" i="1"/>
  <c r="X1172" i="1"/>
  <c r="X1173" i="1"/>
  <c r="X1182" i="1"/>
  <c r="X1183" i="1"/>
  <c r="X1190" i="1"/>
  <c r="X1191" i="1"/>
  <c r="X1192" i="1"/>
  <c r="X1195" i="1"/>
  <c r="X1197" i="1"/>
  <c r="X1199" i="1"/>
  <c r="X1219" i="1"/>
  <c r="X1220" i="1"/>
  <c r="X1222" i="1"/>
  <c r="X1223" i="1"/>
  <c r="X1224" i="1"/>
  <c r="X1228" i="1"/>
  <c r="X1231" i="1"/>
  <c r="X1236" i="1"/>
  <c r="X1237" i="1"/>
  <c r="X1238" i="1"/>
  <c r="X1241" i="1"/>
  <c r="X1242" i="1"/>
  <c r="X1243" i="1"/>
  <c r="X1245" i="1"/>
  <c r="X1246" i="1"/>
  <c r="X1247" i="1"/>
  <c r="X1248" i="1"/>
  <c r="X1250" i="1"/>
  <c r="X1251" i="1"/>
  <c r="X1260" i="1"/>
  <c r="X1261" i="1"/>
  <c r="X1262" i="1"/>
  <c r="X1263" i="1"/>
  <c r="X1264" i="1"/>
  <c r="X1265" i="1"/>
  <c r="X1266" i="1"/>
  <c r="X1267" i="1"/>
  <c r="X1271" i="1"/>
  <c r="X1272" i="1"/>
  <c r="X1273" i="1"/>
  <c r="X1274" i="1"/>
  <c r="X1275" i="1"/>
  <c r="X1278" i="1"/>
  <c r="X1279" i="1"/>
  <c r="X1283" i="1"/>
  <c r="X1285" i="1"/>
  <c r="X1286" i="1"/>
  <c r="X1293" i="1"/>
  <c r="X1294" i="1"/>
  <c r="X1296" i="1"/>
  <c r="X1300" i="1"/>
  <c r="X1304" i="1"/>
  <c r="X1306" i="1"/>
  <c r="X1307" i="1"/>
  <c r="X1308" i="1"/>
  <c r="X1309" i="1"/>
  <c r="X1312" i="1"/>
  <c r="X1315" i="1"/>
  <c r="X1316" i="1"/>
  <c r="X1323" i="1"/>
  <c r="X1331" i="1"/>
  <c r="X1376" i="1"/>
  <c r="X1377" i="1"/>
  <c r="X1391" i="1"/>
  <c r="X1393" i="1"/>
  <c r="X1396" i="1"/>
  <c r="X1397" i="1"/>
  <c r="X1400" i="1"/>
  <c r="X1407" i="1"/>
  <c r="X1410" i="1"/>
  <c r="X1411" i="1"/>
  <c r="X1412" i="1"/>
  <c r="X1416" i="1"/>
  <c r="X1417" i="1"/>
  <c r="X1418" i="1"/>
  <c r="X1419" i="1"/>
  <c r="X1420" i="1"/>
  <c r="X1421" i="1"/>
  <c r="X1422" i="1"/>
  <c r="X1423" i="1"/>
  <c r="X1424" i="1"/>
  <c r="X1425" i="1"/>
  <c r="X1426" i="1"/>
  <c r="X1427" i="1"/>
  <c r="X1438" i="1"/>
  <c r="X1439" i="1"/>
  <c r="X1440" i="1"/>
  <c r="X1441" i="1"/>
  <c r="X1442" i="1"/>
  <c r="X1443" i="1"/>
  <c r="X1444" i="1"/>
  <c r="X1445" i="1"/>
  <c r="X1446" i="1"/>
  <c r="X1447" i="1"/>
  <c r="X1448" i="1"/>
  <c r="X1449" i="1"/>
  <c r="X1450" i="1"/>
  <c r="X1451" i="1"/>
  <c r="X1452" i="1"/>
  <c r="X1453" i="1"/>
  <c r="X1455"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8" i="1"/>
  <c r="X1489" i="1"/>
  <c r="X1490" i="1"/>
  <c r="X1491" i="1"/>
  <c r="X1492" i="1"/>
  <c r="X1499" i="1"/>
  <c r="X1500" i="1"/>
  <c r="X1503" i="1"/>
  <c r="X1504" i="1"/>
  <c r="X1505" i="1"/>
  <c r="X1506" i="1"/>
  <c r="X1507" i="1"/>
  <c r="X1508" i="1"/>
  <c r="X1509" i="1"/>
  <c r="X1510" i="1"/>
  <c r="X1512" i="1"/>
  <c r="X1513" i="1"/>
  <c r="X1514" i="1"/>
  <c r="X1516" i="1"/>
  <c r="X1517" i="1"/>
  <c r="X1523" i="1"/>
  <c r="X1524" i="1"/>
  <c r="X1527" i="1"/>
  <c r="X1528" i="1"/>
  <c r="X1529" i="1"/>
  <c r="X1543" i="1"/>
  <c r="X1544" i="1"/>
  <c r="X1545" i="1"/>
  <c r="X1546" i="1"/>
  <c r="X1547" i="1"/>
  <c r="X1548" i="1"/>
  <c r="X1552" i="1"/>
  <c r="X1553" i="1"/>
  <c r="X1554" i="1"/>
  <c r="X1557" i="1"/>
  <c r="X1559" i="1"/>
  <c r="X1563" i="1"/>
  <c r="X1564" i="1"/>
  <c r="X1567" i="1"/>
  <c r="X1568" i="1"/>
  <c r="X1573" i="1"/>
  <c r="X1576" i="1"/>
  <c r="X1585" i="1"/>
  <c r="X1587" i="1"/>
  <c r="X1588" i="1"/>
  <c r="X1591" i="1"/>
  <c r="X1592" i="1"/>
  <c r="X1593" i="1"/>
  <c r="X1594" i="1"/>
  <c r="X1595" i="1"/>
  <c r="X1596" i="1"/>
  <c r="X1599" i="1"/>
  <c r="X1600" i="1"/>
  <c r="X1601" i="1"/>
  <c r="X1603" i="1"/>
  <c r="X1604" i="1"/>
  <c r="X1605" i="1"/>
  <c r="X1606" i="1"/>
  <c r="X1607" i="1"/>
  <c r="X1608" i="1"/>
  <c r="X1609" i="1"/>
  <c r="X1611" i="1"/>
  <c r="X1612" i="1"/>
  <c r="X1613" i="1"/>
  <c r="X1614" i="1"/>
  <c r="X1615" i="1"/>
  <c r="X1616" i="1"/>
  <c r="X1617" i="1"/>
  <c r="X1618" i="1"/>
  <c r="X1619" i="1"/>
  <c r="X1620" i="1"/>
  <c r="X1621" i="1"/>
  <c r="X1622" i="1"/>
  <c r="X1623" i="1"/>
  <c r="X1624" i="1"/>
  <c r="X1625" i="1"/>
  <c r="X1626" i="1"/>
  <c r="X1627" i="1"/>
  <c r="X1628" i="1"/>
  <c r="X1629" i="1"/>
  <c r="X1630" i="1"/>
  <c r="X1631" i="1"/>
  <c r="X1633" i="1"/>
  <c r="X1634" i="1"/>
  <c r="X1637" i="1"/>
  <c r="X1638" i="1"/>
  <c r="X1639" i="1"/>
  <c r="X1640" i="1"/>
  <c r="X1643" i="1"/>
  <c r="X1644" i="1"/>
  <c r="X1645" i="1"/>
  <c r="X1646" i="1"/>
  <c r="X1647" i="1"/>
  <c r="X1650" i="1"/>
  <c r="X1651" i="1"/>
  <c r="X1652" i="1"/>
  <c r="X1654" i="1"/>
  <c r="X1656" i="1"/>
  <c r="X1662" i="1"/>
  <c r="X1663" i="1"/>
  <c r="X1665" i="1"/>
  <c r="X1666" i="1"/>
  <c r="X1670" i="1"/>
  <c r="X1671" i="1"/>
  <c r="X1672" i="1"/>
  <c r="X1676" i="1"/>
  <c r="X1679" i="1"/>
  <c r="X1680" i="1"/>
  <c r="X1681" i="1"/>
  <c r="X1682" i="1"/>
  <c r="X1683" i="1"/>
  <c r="X1685" i="1"/>
  <c r="X1688" i="1"/>
  <c r="X1689" i="1"/>
  <c r="X1690" i="1"/>
  <c r="X1691" i="1"/>
  <c r="X1692" i="1"/>
  <c r="X1693" i="1"/>
  <c r="X1695" i="1"/>
  <c r="X1696" i="1"/>
  <c r="X1697" i="1"/>
  <c r="X1704" i="1"/>
  <c r="X1709" i="1"/>
  <c r="X1711" i="1"/>
  <c r="X1717" i="1"/>
  <c r="X1718" i="1"/>
  <c r="X1719" i="1"/>
  <c r="X1721" i="1"/>
  <c r="X1722" i="1"/>
  <c r="X1723" i="1"/>
  <c r="X1730" i="1"/>
  <c r="X1735" i="1"/>
  <c r="X1737" i="1"/>
  <c r="X1739" i="1"/>
  <c r="X1740" i="1"/>
  <c r="X1767" i="1"/>
  <c r="X1768" i="1"/>
  <c r="X1770" i="1"/>
  <c r="X1771" i="1"/>
  <c r="X1772" i="1"/>
  <c r="X1777" i="1"/>
  <c r="X1780" i="1"/>
  <c r="X1783" i="1"/>
  <c r="X1784" i="1"/>
  <c r="X1786" i="1"/>
  <c r="X1787" i="1"/>
  <c r="X1788" i="1"/>
  <c r="X1790" i="1"/>
  <c r="X1792" i="1"/>
  <c r="X1794" i="1"/>
  <c r="X1795" i="1"/>
  <c r="X1796" i="1"/>
  <c r="X1797" i="1"/>
  <c r="X1798" i="1"/>
  <c r="X1799" i="1"/>
  <c r="X1801" i="1"/>
  <c r="X1802" i="1"/>
  <c r="X1803" i="1"/>
  <c r="X1805" i="1"/>
  <c r="X1806" i="1"/>
  <c r="X1807" i="1"/>
  <c r="X1809" i="1"/>
  <c r="X1810" i="1"/>
  <c r="X1811" i="1"/>
  <c r="X1812" i="1"/>
  <c r="X1813" i="1"/>
  <c r="X1814" i="1"/>
  <c r="X1816" i="1"/>
  <c r="X1817" i="1"/>
  <c r="X1818" i="1"/>
  <c r="X1820" i="1"/>
  <c r="X1821" i="1"/>
  <c r="X1822" i="1"/>
  <c r="X1824" i="1"/>
  <c r="X1825" i="1"/>
  <c r="X1826" i="1"/>
  <c r="X1827" i="1"/>
  <c r="X1828" i="1"/>
  <c r="X1829" i="1"/>
  <c r="X1830" i="1"/>
  <c r="X1831" i="1"/>
  <c r="X1832" i="1"/>
  <c r="X1833" i="1"/>
  <c r="X1834" i="1"/>
  <c r="X1835" i="1"/>
  <c r="X1836" i="1"/>
  <c r="X1837" i="1"/>
  <c r="X1838" i="1"/>
  <c r="X1839" i="1"/>
  <c r="X1840" i="1"/>
  <c r="X1841" i="1"/>
  <c r="X1842" i="1"/>
  <c r="X1843" i="1"/>
  <c r="X1844" i="1"/>
  <c r="X1847" i="1"/>
  <c r="X1848" i="1"/>
  <c r="X1849" i="1"/>
  <c r="X1850" i="1"/>
  <c r="X1852" i="1"/>
  <c r="X1853" i="1"/>
  <c r="X1854" i="1"/>
  <c r="X1855" i="1"/>
  <c r="X1856" i="1"/>
  <c r="X1857" i="1"/>
  <c r="X1858" i="1"/>
  <c r="X1859" i="1"/>
  <c r="X1860" i="1"/>
  <c r="X1861" i="1"/>
  <c r="X1862" i="1"/>
  <c r="X1863" i="1"/>
  <c r="X1864" i="1"/>
  <c r="X1865" i="1"/>
  <c r="X1868" i="1"/>
  <c r="X1869" i="1"/>
  <c r="X1870" i="1"/>
  <c r="X1871" i="1"/>
  <c r="X1872" i="1"/>
  <c r="X1873" i="1"/>
  <c r="X1874" i="1"/>
  <c r="X1875" i="1"/>
  <c r="X1876" i="1"/>
  <c r="X1877" i="1"/>
  <c r="X1878" i="1"/>
  <c r="X1880" i="1"/>
  <c r="X1881" i="1"/>
  <c r="X1882" i="1"/>
  <c r="X1883" i="1"/>
  <c r="X1884" i="1"/>
  <c r="X1885" i="1"/>
  <c r="X1886" i="1"/>
  <c r="X1887" i="1"/>
  <c r="X1888" i="1"/>
  <c r="X1889" i="1"/>
  <c r="X1890" i="1"/>
  <c r="X1891" i="1"/>
  <c r="X1892" i="1"/>
  <c r="X1893" i="1"/>
  <c r="X1894" i="1"/>
  <c r="X1895" i="1"/>
  <c r="X1896" i="1"/>
  <c r="X1897" i="1"/>
  <c r="X1898" i="1"/>
  <c r="X1899" i="1"/>
  <c r="X1900" i="1"/>
  <c r="X1903" i="1"/>
  <c r="X1904" i="1"/>
  <c r="X1905" i="1"/>
  <c r="X1906" i="1"/>
  <c r="X1907" i="1"/>
  <c r="X1908" i="1"/>
  <c r="X1909" i="1"/>
  <c r="X1910" i="1"/>
  <c r="X1911" i="1"/>
  <c r="X1912" i="1"/>
  <c r="X1913" i="1"/>
  <c r="X1914" i="1"/>
  <c r="X1915" i="1"/>
  <c r="X1916" i="1"/>
  <c r="X1918" i="1"/>
  <c r="X1919" i="1"/>
  <c r="X1920" i="1"/>
  <c r="X1921" i="1"/>
  <c r="X1928" i="1"/>
  <c r="X1930" i="1"/>
  <c r="X1931" i="1"/>
  <c r="X1933" i="1"/>
  <c r="X1934" i="1"/>
  <c r="X1937" i="1"/>
  <c r="X1948" i="1"/>
  <c r="X1952" i="1"/>
  <c r="X1953" i="1"/>
  <c r="X1954" i="1"/>
  <c r="X1955" i="1"/>
  <c r="X1958" i="1"/>
  <c r="X1959" i="1"/>
  <c r="X1961" i="1"/>
  <c r="X1962" i="1"/>
  <c r="X1963" i="1"/>
  <c r="X1964" i="1"/>
  <c r="X1965" i="1"/>
  <c r="X1966" i="1"/>
  <c r="X1967" i="1"/>
  <c r="X1969" i="1"/>
  <c r="X1972" i="1"/>
  <c r="X1973" i="1"/>
  <c r="X1974" i="1"/>
  <c r="X1978" i="1"/>
  <c r="X1979" i="1"/>
  <c r="X1982" i="1"/>
  <c r="X1983" i="1"/>
  <c r="X1984" i="1"/>
  <c r="X1985" i="1"/>
  <c r="X1986" i="1"/>
  <c r="X1987" i="1"/>
  <c r="X1988" i="1"/>
  <c r="X1989" i="1"/>
  <c r="X1990" i="1"/>
  <c r="X2000" i="1"/>
  <c r="X2002" i="1"/>
  <c r="X2003" i="1"/>
  <c r="X2008" i="1"/>
  <c r="X2009" i="1"/>
  <c r="X2010" i="1"/>
  <c r="X2011" i="1"/>
  <c r="X2012" i="1"/>
  <c r="X2013" i="1"/>
  <c r="X2014" i="1"/>
  <c r="X2015" i="1"/>
  <c r="X2016" i="1"/>
  <c r="X2021" i="1"/>
  <c r="X2022" i="1"/>
  <c r="X2023" i="1"/>
  <c r="X2025" i="1"/>
  <c r="X2026" i="1"/>
  <c r="X2027" i="1"/>
  <c r="X2030" i="1"/>
  <c r="X2031" i="1"/>
  <c r="X2034" i="1"/>
  <c r="X2035" i="1"/>
  <c r="X2036" i="1"/>
  <c r="X2037" i="1"/>
  <c r="X2038" i="1"/>
  <c r="X2040" i="1"/>
  <c r="X2041" i="1"/>
  <c r="X2042" i="1"/>
  <c r="X2043" i="1"/>
  <c r="X2044" i="1"/>
  <c r="X2045" i="1"/>
  <c r="X2046" i="1"/>
  <c r="X2047" i="1"/>
  <c r="X2048" i="1"/>
  <c r="X2049" i="1"/>
  <c r="X2051" i="1"/>
  <c r="X2052" i="1"/>
  <c r="X2053" i="1"/>
  <c r="X2057" i="1"/>
  <c r="X2060" i="1"/>
  <c r="X2064" i="1"/>
  <c r="X2066" i="1"/>
  <c r="X2068" i="1"/>
  <c r="X2070" i="1"/>
  <c r="X2073" i="1"/>
  <c r="X2076"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2" i="1"/>
  <c r="X2153" i="1"/>
  <c r="X2154" i="1"/>
  <c r="X2155" i="1"/>
  <c r="X2156" i="1"/>
  <c r="X2157" i="1"/>
  <c r="X2160" i="1"/>
  <c r="X2163" i="1"/>
  <c r="X2167" i="1"/>
  <c r="X2176" i="1"/>
  <c r="X2188" i="1"/>
  <c r="X2192" i="1"/>
  <c r="X2194" i="1"/>
  <c r="X2195" i="1"/>
  <c r="X2196" i="1"/>
  <c r="X2197" i="1"/>
  <c r="X2198" i="1"/>
  <c r="X2199" i="1"/>
  <c r="X2200" i="1"/>
  <c r="X2201" i="1"/>
  <c r="X2202" i="1"/>
  <c r="X2203" i="1"/>
  <c r="X2205" i="1"/>
  <c r="X2207" i="1"/>
  <c r="X2208" i="1"/>
  <c r="X2228" i="1"/>
  <c r="X2247" i="1"/>
  <c r="X2248" i="1"/>
  <c r="X2249" i="1"/>
  <c r="X2250" i="1"/>
  <c r="X2251" i="1"/>
  <c r="X2252" i="1"/>
  <c r="X2255" i="1"/>
  <c r="X2256" i="1"/>
  <c r="X2257" i="1"/>
  <c r="X2272" i="1"/>
  <c r="X2289" i="1"/>
  <c r="X2290" i="1"/>
  <c r="X2291" i="1"/>
  <c r="X2295" i="1"/>
  <c r="X2296" i="1"/>
  <c r="X2297" i="1"/>
  <c r="X2298" i="1"/>
  <c r="X2299" i="1"/>
  <c r="X2300" i="1"/>
  <c r="X2301" i="1"/>
  <c r="X2302" i="1"/>
  <c r="X2303"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5" i="1"/>
  <c r="X2356" i="1"/>
  <c r="X2357" i="1"/>
  <c r="X2358" i="1"/>
  <c r="X2359" i="1"/>
  <c r="X2360" i="1"/>
  <c r="X2365" i="1"/>
  <c r="X2367" i="1"/>
  <c r="X2370" i="1"/>
  <c r="X2371" i="1"/>
  <c r="X2372" i="1"/>
  <c r="X2374" i="1"/>
  <c r="X2376" i="1"/>
  <c r="X2377" i="1"/>
  <c r="X2378" i="1"/>
  <c r="X2379" i="1"/>
  <c r="X2380" i="1"/>
  <c r="X2381" i="1"/>
  <c r="X2382" i="1"/>
  <c r="X2387" i="1"/>
  <c r="X2404" i="1"/>
  <c r="X2415" i="1"/>
  <c r="X2428" i="1"/>
  <c r="X2429" i="1"/>
  <c r="X2430" i="1"/>
  <c r="X2431" i="1"/>
  <c r="X2432" i="1"/>
  <c r="X2433" i="1"/>
  <c r="X2434" i="1"/>
  <c r="X2444" i="1"/>
  <c r="X2457" i="1"/>
  <c r="X2458" i="1"/>
  <c r="X2459" i="1"/>
  <c r="X2469" i="1"/>
  <c r="X2470" i="1"/>
  <c r="X2471" i="1"/>
  <c r="X2480" i="1"/>
  <c r="X2482" i="1"/>
  <c r="X2483" i="1"/>
  <c r="X2485" i="1"/>
  <c r="X2487" i="1"/>
  <c r="X2488" i="1"/>
  <c r="X2489" i="1"/>
  <c r="X2490" i="1"/>
  <c r="X2491" i="1"/>
  <c r="X2492" i="1"/>
  <c r="X2493" i="1"/>
  <c r="X2494" i="1"/>
  <c r="X2496" i="1"/>
  <c r="X2499" i="1"/>
  <c r="X2502" i="1"/>
  <c r="X2503" i="1"/>
  <c r="X2506" i="1"/>
  <c r="X2509" i="1"/>
  <c r="X2514" i="1"/>
  <c r="X2519" i="1"/>
  <c r="X2521" i="1"/>
  <c r="X2522" i="1"/>
  <c r="X2523" i="1"/>
  <c r="X2524" i="1"/>
  <c r="X2525" i="1"/>
  <c r="X2526" i="1"/>
  <c r="X2527" i="1"/>
  <c r="X2528" i="1"/>
  <c r="X2529" i="1"/>
  <c r="X2530" i="1"/>
  <c r="X2531" i="1"/>
  <c r="X2532" i="1"/>
  <c r="X2533" i="1"/>
  <c r="X2539" i="1"/>
  <c r="X2542" i="1"/>
  <c r="X2544" i="1"/>
  <c r="X2546" i="1"/>
  <c r="X2548" i="1"/>
  <c r="X2549" i="1"/>
  <c r="X2550" i="1"/>
  <c r="X2563" i="1"/>
  <c r="X2564" i="1"/>
  <c r="X2565" i="1"/>
  <c r="X2568" i="1"/>
  <c r="X2569" i="1"/>
  <c r="X2570" i="1"/>
  <c r="X2571" i="1"/>
  <c r="X2572" i="1"/>
  <c r="X2573" i="1"/>
  <c r="X2575" i="1"/>
  <c r="X2576" i="1"/>
  <c r="X2577" i="1"/>
  <c r="X2578" i="1"/>
  <c r="X2580" i="1"/>
  <c r="X2582" i="1"/>
  <c r="X2586" i="1"/>
  <c r="X2587" i="1"/>
  <c r="X2590" i="1"/>
  <c r="X2594" i="1"/>
  <c r="X2595" i="1"/>
  <c r="X2597" i="1"/>
  <c r="X2601" i="1"/>
  <c r="X2602" i="1"/>
  <c r="X2604" i="1"/>
  <c r="X2606" i="1"/>
  <c r="X2607" i="1"/>
  <c r="X2608" i="1"/>
  <c r="X2609" i="1"/>
  <c r="X2614" i="1"/>
  <c r="X2618" i="1"/>
  <c r="X2619" i="1"/>
  <c r="X2620" i="1"/>
  <c r="X2621" i="1"/>
  <c r="X2622" i="1"/>
  <c r="X2623" i="1"/>
  <c r="X2624"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2" i="1"/>
  <c r="X2653" i="1"/>
  <c r="X2654" i="1"/>
  <c r="X2655" i="1"/>
  <c r="X2656" i="1"/>
  <c r="X2657" i="1"/>
  <c r="X2658" i="1"/>
  <c r="X2662" i="1"/>
  <c r="X2667" i="1"/>
  <c r="X2668" i="1"/>
  <c r="X2669" i="1"/>
  <c r="X2670" i="1"/>
  <c r="X2679" i="1"/>
  <c r="X2680" i="1"/>
  <c r="X2681" i="1"/>
  <c r="X2684" i="1"/>
  <c r="X2693" i="1"/>
  <c r="X2694" i="1"/>
  <c r="X2695" i="1"/>
  <c r="X2696" i="1"/>
  <c r="X2697" i="1"/>
  <c r="X2698" i="1"/>
  <c r="X2701" i="1"/>
  <c r="X2704" i="1"/>
  <c r="X2705" i="1"/>
  <c r="X2706" i="1"/>
  <c r="X2707" i="1"/>
  <c r="X2708" i="1"/>
  <c r="X2709" i="1"/>
  <c r="X2719" i="1"/>
  <c r="X2720" i="1"/>
  <c r="X2722" i="1"/>
  <c r="X2723" i="1"/>
  <c r="X2725" i="1"/>
  <c r="X2727" i="1"/>
  <c r="X2731" i="1"/>
  <c r="X2732" i="1"/>
  <c r="X2733" i="1"/>
  <c r="X2734" i="1"/>
  <c r="X2737" i="1"/>
  <c r="X2738" i="1"/>
  <c r="X2739" i="1"/>
  <c r="X2740" i="1"/>
  <c r="X2741" i="1"/>
  <c r="X2742" i="1"/>
  <c r="X2744" i="1"/>
  <c r="X2745" i="1"/>
  <c r="X2746" i="1"/>
  <c r="X2747" i="1"/>
  <c r="X2748" i="1"/>
  <c r="X2749" i="1"/>
  <c r="X2750" i="1"/>
  <c r="X2752" i="1"/>
  <c r="X2753" i="1"/>
  <c r="X2757" i="1"/>
  <c r="X2758" i="1"/>
  <c r="X2762" i="1"/>
  <c r="X2763" i="1"/>
  <c r="X2764" i="1"/>
  <c r="X2765" i="1"/>
  <c r="X2766" i="1"/>
  <c r="X2767" i="1"/>
  <c r="X2768" i="1"/>
  <c r="X2771" i="1"/>
  <c r="X2775" i="1"/>
  <c r="X2776" i="1"/>
  <c r="X2777" i="1"/>
  <c r="X2778" i="1"/>
  <c r="X2779" i="1"/>
  <c r="X2780" i="1"/>
  <c r="X2781" i="1"/>
  <c r="X2782" i="1"/>
  <c r="X2783" i="1"/>
  <c r="X2787" i="1"/>
  <c r="X2788" i="1"/>
  <c r="X2789" i="1"/>
  <c r="X2790" i="1"/>
  <c r="X2794" i="1"/>
  <c r="X2795" i="1"/>
  <c r="X2796" i="1"/>
  <c r="X2797" i="1"/>
  <c r="X2799" i="1"/>
  <c r="X2800" i="1"/>
  <c r="X2801" i="1"/>
  <c r="X2802" i="1"/>
  <c r="X2805" i="1"/>
  <c r="X2806" i="1"/>
  <c r="X2807" i="1"/>
  <c r="X2808" i="1"/>
  <c r="X2809" i="1"/>
  <c r="X2815" i="1"/>
  <c r="X2816" i="1"/>
  <c r="X2819" i="1"/>
  <c r="X2826" i="1"/>
  <c r="X2831" i="1"/>
  <c r="X2861" i="1"/>
  <c r="X2863" i="1"/>
  <c r="X2864" i="1"/>
  <c r="X2865" i="1"/>
  <c r="X2866" i="1"/>
  <c r="X2867" i="1"/>
  <c r="X2868" i="1"/>
  <c r="X2869" i="1"/>
  <c r="X2870" i="1"/>
  <c r="X2872" i="1"/>
  <c r="X2875" i="1"/>
  <c r="X2876" i="1"/>
  <c r="X2879" i="1"/>
  <c r="X2886" i="1"/>
  <c r="X2888" i="1"/>
  <c r="X2889" i="1"/>
  <c r="X2894" i="1"/>
  <c r="X2895" i="1"/>
  <c r="X2896" i="1"/>
  <c r="X2897" i="1"/>
  <c r="X2898" i="1"/>
  <c r="X2899" i="1"/>
  <c r="X2900" i="1"/>
  <c r="X2901" i="1"/>
  <c r="X2902" i="1"/>
  <c r="X2903" i="1"/>
  <c r="X2904" i="1"/>
  <c r="X2905" i="1"/>
  <c r="X2906" i="1"/>
  <c r="X2907" i="1"/>
  <c r="X2908" i="1"/>
  <c r="X2909" i="1"/>
  <c r="X2912" i="1"/>
  <c r="X2913" i="1"/>
  <c r="X2914" i="1"/>
  <c r="X2915" i="1"/>
  <c r="X2916" i="1"/>
  <c r="X2917" i="1"/>
  <c r="X2918" i="1"/>
  <c r="X2919" i="1"/>
  <c r="X2920" i="1"/>
  <c r="X2921" i="1"/>
  <c r="X2922" i="1"/>
  <c r="X2923" i="1"/>
  <c r="X2924" i="1"/>
  <c r="X2926" i="1"/>
  <c r="X2927" i="1"/>
  <c r="X2928" i="1"/>
  <c r="X2929" i="1"/>
  <c r="X2930" i="1"/>
  <c r="X2932" i="1"/>
  <c r="X2933" i="1"/>
  <c r="X2935" i="1"/>
  <c r="X2936" i="1"/>
  <c r="X2937" i="1"/>
  <c r="X2939" i="1"/>
  <c r="X2940" i="1"/>
  <c r="X2944" i="1"/>
  <c r="X2947" i="1"/>
  <c r="X2948" i="1"/>
  <c r="X2949" i="1"/>
  <c r="X2950" i="1"/>
  <c r="X2951" i="1"/>
  <c r="X2952" i="1"/>
  <c r="X2953" i="1"/>
  <c r="X2954" i="1"/>
  <c r="X2955" i="1"/>
  <c r="X2956" i="1"/>
  <c r="X2959" i="1"/>
  <c r="X2960" i="1"/>
  <c r="X2961" i="1"/>
  <c r="X2962" i="1"/>
  <c r="X2963" i="1"/>
  <c r="X2964" i="1"/>
  <c r="X2965" i="1"/>
  <c r="X2966" i="1"/>
  <c r="X2967" i="1"/>
  <c r="X2968" i="1"/>
  <c r="X2970" i="1"/>
  <c r="X2971" i="1"/>
  <c r="X2972" i="1"/>
  <c r="X2975" i="1"/>
  <c r="X2976" i="1"/>
  <c r="X2980" i="1"/>
  <c r="X2981" i="1"/>
  <c r="X2982" i="1"/>
  <c r="X2983" i="1"/>
  <c r="X2984" i="1"/>
  <c r="X2985" i="1"/>
  <c r="X2986" i="1"/>
  <c r="X2987" i="1"/>
  <c r="X2988" i="1"/>
  <c r="X2989" i="1"/>
  <c r="X2990" i="1"/>
  <c r="X2991" i="1"/>
  <c r="X2992" i="1"/>
  <c r="X2993" i="1"/>
  <c r="X2994" i="1"/>
  <c r="X2995" i="1"/>
  <c r="X2996" i="1"/>
  <c r="X2997" i="1"/>
  <c r="X2998" i="1"/>
  <c r="X2999" i="1"/>
  <c r="X3000" i="1"/>
  <c r="X3003" i="1"/>
  <c r="X3005" i="1"/>
  <c r="X3006" i="1"/>
  <c r="X3009" i="1"/>
  <c r="X3010" i="1"/>
  <c r="X3012" i="1"/>
  <c r="X3013" i="1"/>
  <c r="X3014" i="1"/>
  <c r="X3015" i="1"/>
  <c r="X3018" i="1"/>
  <c r="X3019" i="1"/>
  <c r="X3020" i="1"/>
  <c r="X3022" i="1"/>
  <c r="X3023" i="1"/>
  <c r="X3025" i="1"/>
  <c r="X3026" i="1"/>
  <c r="X3027" i="1"/>
  <c r="X3028" i="1"/>
  <c r="X3030" i="1"/>
  <c r="X3031" i="1"/>
  <c r="X3033" i="1"/>
  <c r="X3034" i="1"/>
  <c r="X3035" i="1"/>
  <c r="X3036" i="1"/>
  <c r="X3037" i="1"/>
  <c r="X3039" i="1"/>
  <c r="X3040" i="1"/>
  <c r="X3046" i="1"/>
  <c r="X3048" i="1"/>
  <c r="X3049" i="1"/>
  <c r="X3050" i="1"/>
  <c r="X3051" i="1"/>
  <c r="X3052" i="1"/>
  <c r="X3053" i="1"/>
  <c r="X3054" i="1"/>
  <c r="X3055" i="1"/>
  <c r="X3056" i="1"/>
  <c r="X3058" i="1"/>
  <c r="X3059" i="1"/>
  <c r="X3062" i="1"/>
  <c r="X3063" i="1"/>
  <c r="X3064" i="1"/>
  <c r="X3065" i="1"/>
  <c r="X3067" i="1"/>
  <c r="X3068" i="1"/>
  <c r="X3069" i="1"/>
  <c r="X3070" i="1"/>
  <c r="X3071" i="1"/>
  <c r="X3072" i="1"/>
  <c r="X3073" i="1"/>
  <c r="X3074" i="1"/>
  <c r="X3078" i="1"/>
  <c r="X3079" i="1"/>
  <c r="X3080" i="1"/>
  <c r="X3082" i="1"/>
  <c r="X3083" i="1"/>
  <c r="X3084" i="1"/>
  <c r="X3085" i="1"/>
  <c r="X3086" i="1"/>
  <c r="X3087" i="1"/>
  <c r="X3088" i="1"/>
  <c r="X3089" i="1"/>
  <c r="X3091" i="1"/>
  <c r="X3092" i="1"/>
  <c r="X3093" i="1"/>
  <c r="X3094" i="1"/>
  <c r="X3095" i="1"/>
  <c r="X3096" i="1"/>
  <c r="X3097" i="1"/>
  <c r="X3098" i="1"/>
  <c r="X3099" i="1"/>
  <c r="X3101" i="1"/>
  <c r="X3103" i="1"/>
  <c r="X3104" i="1"/>
  <c r="X3105" i="1"/>
  <c r="X3106" i="1"/>
  <c r="X3107" i="1"/>
  <c r="X3108" i="1"/>
  <c r="X3110" i="1"/>
  <c r="X3111" i="1"/>
  <c r="X3118" i="1"/>
  <c r="X3119" i="1"/>
  <c r="X3120" i="1"/>
  <c r="X3122" i="1"/>
  <c r="X3124" i="1"/>
  <c r="X3125" i="1"/>
  <c r="X3126" i="1"/>
  <c r="X3128" i="1"/>
  <c r="X3129" i="1"/>
  <c r="X3131" i="1"/>
  <c r="X3132" i="1"/>
  <c r="X3133" i="1"/>
  <c r="X3134" i="1"/>
  <c r="X3135" i="1"/>
  <c r="X3136" i="1"/>
  <c r="X3137" i="1"/>
  <c r="X3139" i="1"/>
  <c r="X3140" i="1"/>
  <c r="X3141" i="1"/>
  <c r="X3143" i="1"/>
  <c r="X3144" i="1"/>
  <c r="X3145" i="1"/>
  <c r="X3146" i="1"/>
  <c r="X3147" i="1"/>
  <c r="X3148" i="1"/>
  <c r="X3149" i="1"/>
  <c r="X3150" i="1"/>
  <c r="X3151" i="1"/>
  <c r="X3152" i="1"/>
  <c r="X3153" i="1"/>
  <c r="X3154" i="1"/>
  <c r="X3155" i="1"/>
  <c r="X3156" i="1"/>
  <c r="X3157" i="1"/>
  <c r="X3158" i="1"/>
  <c r="X3160" i="1"/>
  <c r="X3161" i="1"/>
  <c r="X3162" i="1"/>
  <c r="X3164" i="1"/>
  <c r="X3165" i="1"/>
  <c r="X3166" i="1"/>
  <c r="X3167" i="1"/>
  <c r="X3171" i="1"/>
  <c r="X3172" i="1"/>
  <c r="X3175" i="1"/>
  <c r="X3176" i="1"/>
  <c r="X3177" i="1"/>
  <c r="X3178" i="1"/>
  <c r="X3179" i="1"/>
  <c r="X3180" i="1"/>
  <c r="X3183" i="1"/>
  <c r="X3193" i="1"/>
  <c r="X3196" i="1"/>
  <c r="X3202" i="1"/>
  <c r="X3203" i="1"/>
  <c r="X3204" i="1"/>
  <c r="X3205" i="1"/>
  <c r="X3207" i="1"/>
  <c r="X3211" i="1"/>
  <c r="X3212" i="1"/>
  <c r="X3214" i="1"/>
  <c r="X3215" i="1"/>
  <c r="X3216" i="1"/>
  <c r="X3217" i="1"/>
  <c r="X3220" i="1"/>
  <c r="X3222" i="1"/>
  <c r="X3223" i="1"/>
  <c r="X3227" i="1"/>
  <c r="X3228" i="1"/>
  <c r="X3229" i="1"/>
  <c r="X3230" i="1"/>
  <c r="X3231" i="1"/>
  <c r="X3234" i="1"/>
  <c r="X3236" i="1"/>
  <c r="X3237" i="1"/>
  <c r="X3238" i="1"/>
  <c r="X3239" i="1"/>
  <c r="X3243" i="1"/>
  <c r="X3244" i="1"/>
  <c r="X3245" i="1"/>
  <c r="X3246" i="1"/>
  <c r="X3247" i="1"/>
  <c r="X3248" i="1"/>
  <c r="X3250" i="1"/>
  <c r="X3251" i="1"/>
  <c r="X3252" i="1"/>
  <c r="X3253" i="1"/>
  <c r="X3254" i="1"/>
  <c r="X3255" i="1"/>
  <c r="X3256" i="1"/>
  <c r="X3257" i="1"/>
  <c r="X3258" i="1"/>
  <c r="X3259" i="1"/>
  <c r="X3260" i="1"/>
  <c r="X3261" i="1"/>
  <c r="X3263" i="1"/>
  <c r="X3264" i="1"/>
  <c r="X3265" i="1"/>
  <c r="X3266" i="1"/>
  <c r="X3267" i="1"/>
  <c r="X3268" i="1"/>
  <c r="X3269" i="1"/>
  <c r="X3270" i="1"/>
  <c r="X3271" i="1"/>
  <c r="X3272" i="1"/>
  <c r="X3273" i="1"/>
  <c r="X3275" i="1"/>
  <c r="X3276" i="1"/>
  <c r="X3277" i="1"/>
  <c r="X3278" i="1"/>
  <c r="X3279" i="1"/>
  <c r="X3280" i="1"/>
  <c r="X3281" i="1"/>
  <c r="X3282" i="1"/>
  <c r="X3286" i="1"/>
  <c r="X3287" i="1"/>
  <c r="X3288" i="1"/>
  <c r="X3289" i="1"/>
  <c r="X3290" i="1"/>
  <c r="X3292" i="1"/>
  <c r="X3298" i="1"/>
  <c r="X3299" i="1"/>
  <c r="X3300" i="1"/>
  <c r="X3301" i="1"/>
  <c r="X3303" i="1"/>
  <c r="X3304" i="1"/>
  <c r="X3305" i="1"/>
  <c r="X3307" i="1"/>
  <c r="X3312" i="1"/>
  <c r="X3314" i="1"/>
  <c r="X3315" i="1"/>
  <c r="X3316" i="1"/>
  <c r="X3318" i="1"/>
  <c r="X3320" i="1"/>
  <c r="X3321" i="1"/>
  <c r="X3322" i="1"/>
  <c r="X3323" i="1"/>
  <c r="X3324" i="1"/>
  <c r="X3335" i="1"/>
  <c r="X3336" i="1"/>
  <c r="X3337" i="1"/>
  <c r="X3338" i="1"/>
  <c r="X3339" i="1"/>
  <c r="X3340" i="1"/>
  <c r="X3341" i="1"/>
  <c r="X3342" i="1"/>
  <c r="X3343" i="1"/>
  <c r="X3344" i="1"/>
  <c r="X3346" i="1"/>
  <c r="X3347" i="1"/>
  <c r="X3348" i="1"/>
  <c r="X3359" i="1"/>
  <c r="X3360" i="1"/>
  <c r="X3361" i="1"/>
  <c r="X3362" i="1"/>
  <c r="X3363" i="1"/>
  <c r="X3364" i="1"/>
  <c r="X3365" i="1"/>
  <c r="X3366" i="1"/>
  <c r="X3367" i="1"/>
  <c r="X3368" i="1"/>
  <c r="X3369" i="1"/>
  <c r="X3370" i="1"/>
  <c r="X3371" i="1"/>
  <c r="X3373" i="1"/>
  <c r="X3374" i="1"/>
  <c r="X3375" i="1"/>
  <c r="X3376" i="1"/>
  <c r="X3377" i="1"/>
  <c r="X3378" i="1"/>
  <c r="X3379" i="1"/>
  <c r="X3381" i="1"/>
  <c r="X3383" i="1"/>
  <c r="X3384" i="1"/>
  <c r="X3385" i="1"/>
  <c r="X3386" i="1"/>
  <c r="X3389" i="1"/>
  <c r="X3390" i="1"/>
  <c r="X3391" i="1"/>
  <c r="X3392" i="1"/>
  <c r="X3394" i="1"/>
  <c r="X3395" i="1"/>
  <c r="X3396" i="1"/>
  <c r="X3397" i="1"/>
  <c r="X3401" i="1"/>
  <c r="X3404" i="1"/>
  <c r="X3405"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7" i="1"/>
  <c r="X3498"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2" i="1"/>
  <c r="AD2667" i="1"/>
  <c r="Y2751" i="1"/>
  <c r="AB3048" i="1"/>
  <c r="Y3144" i="1"/>
  <c r="Y3151" i="1"/>
  <c r="AC3160" i="1"/>
  <c r="Z3166" i="1"/>
  <c r="Y3167" i="1"/>
  <c r="Y3175" i="1"/>
  <c r="Y3185" i="1"/>
  <c r="Z3198" i="1"/>
  <c r="Z3206" i="1"/>
  <c r="Y3207" i="1"/>
  <c r="Y3223" i="1"/>
  <c r="Y3239" i="1"/>
  <c r="Y3247" i="1"/>
  <c r="Y3249" i="1"/>
  <c r="Y3255" i="1"/>
  <c r="Z3260" i="1"/>
  <c r="Z3270" i="1"/>
  <c r="Y3271" i="1"/>
  <c r="Y3281" i="1"/>
  <c r="Y3295" i="1"/>
  <c r="Z3302" i="1"/>
  <c r="Y3303" i="1"/>
  <c r="Y3319" i="1"/>
  <c r="AC3322" i="1"/>
  <c r="Y3323" i="1"/>
  <c r="Y3335" i="1"/>
  <c r="Y3393" i="1"/>
  <c r="Y3395" i="1"/>
  <c r="Y3397" i="1"/>
  <c r="Y3418" i="1"/>
  <c r="Y3420" i="1"/>
  <c r="Z3425" i="1"/>
  <c r="P2" i="1"/>
  <c r="Q2" i="1" s="1"/>
  <c r="I998" i="1"/>
  <c r="L998" i="1"/>
  <c r="I997" i="1"/>
  <c r="L997" i="1"/>
  <c r="V999" i="1"/>
  <c r="X999" i="1" s="1"/>
  <c r="W996" i="1"/>
  <c r="W994" i="1"/>
  <c r="Q994" i="1" s="1"/>
  <c r="W995" i="1"/>
  <c r="Q995" i="1" s="1"/>
  <c r="L994" i="1"/>
  <c r="I994" i="1"/>
  <c r="V992" i="1"/>
  <c r="X992" i="1" s="1"/>
  <c r="T991" i="1"/>
  <c r="S991" i="1" s="1"/>
  <c r="W983" i="1"/>
  <c r="G975" i="1"/>
  <c r="P975" i="1" s="1"/>
  <c r="Q975" i="1" s="1"/>
  <c r="L975" i="1"/>
  <c r="I975" i="1"/>
  <c r="W981" i="1"/>
  <c r="Q981" i="1" s="1"/>
  <c r="W980" i="1"/>
  <c r="O978" i="1"/>
  <c r="G978" i="1"/>
  <c r="W978" i="1"/>
  <c r="X978" i="1" s="1"/>
  <c r="L978" i="1"/>
  <c r="I978" i="1"/>
  <c r="W979" i="1"/>
  <c r="L979" i="1"/>
  <c r="I979" i="1"/>
  <c r="V982" i="1"/>
  <c r="X982" i="1" s="1"/>
  <c r="W977" i="1"/>
  <c r="V976" i="1"/>
  <c r="X976" i="1" s="1"/>
  <c r="G971" i="1"/>
  <c r="P971" i="1" s="1"/>
  <c r="Q971" i="1" s="1"/>
  <c r="L971" i="1"/>
  <c r="I971" i="1"/>
  <c r="W973" i="1"/>
  <c r="X973" i="1" s="1"/>
  <c r="W972" i="1"/>
  <c r="G970" i="1"/>
  <c r="P970" i="1" s="1"/>
  <c r="Q970" i="1" s="1"/>
  <c r="L970" i="1"/>
  <c r="I970" i="1"/>
  <c r="W968" i="1"/>
  <c r="W966" i="1"/>
  <c r="X966" i="1" s="1"/>
  <c r="W967" i="1"/>
  <c r="O963" i="1"/>
  <c r="P963" i="1" s="1"/>
  <c r="Q963" i="1" s="1"/>
  <c r="G962" i="1"/>
  <c r="P962" i="1" s="1"/>
  <c r="Q962" i="1" s="1"/>
  <c r="L962" i="1"/>
  <c r="I962" i="1"/>
  <c r="V964" i="1"/>
  <c r="X964" i="1" s="1"/>
  <c r="L964" i="1"/>
  <c r="I964" i="1"/>
  <c r="V963" i="1"/>
  <c r="X963" i="1" s="1"/>
  <c r="L963" i="1"/>
  <c r="I963" i="1"/>
  <c r="G966" i="1"/>
  <c r="P966" i="1" s="1"/>
  <c r="Q966" i="1" s="1"/>
  <c r="V965" i="1"/>
  <c r="X965" i="1" s="1"/>
  <c r="G957" i="1"/>
  <c r="P957" i="1" s="1"/>
  <c r="Q957" i="1" s="1"/>
  <c r="L957" i="1"/>
  <c r="I957" i="1"/>
  <c r="O960" i="1"/>
  <c r="P960" i="1" s="1"/>
  <c r="Q960" i="1" s="1"/>
  <c r="V958" i="1"/>
  <c r="X958" i="1" s="1"/>
  <c r="G956" i="1"/>
  <c r="P956" i="1" s="1"/>
  <c r="Q956" i="1" s="1"/>
  <c r="L956" i="1"/>
  <c r="I956" i="1"/>
  <c r="G955" i="1"/>
  <c r="P955" i="1" s="1"/>
  <c r="Q955" i="1" s="1"/>
  <c r="L955" i="1"/>
  <c r="I955" i="1"/>
  <c r="G948" i="1"/>
  <c r="P948" i="1" s="1"/>
  <c r="Q948" i="1" s="1"/>
  <c r="L948" i="1"/>
  <c r="I948" i="1"/>
  <c r="W951" i="1"/>
  <c r="Q951" i="1" s="1"/>
  <c r="W950" i="1"/>
  <c r="Q950" i="1" s="1"/>
  <c r="W949" i="1"/>
  <c r="Q949" i="1" s="1"/>
  <c r="G946" i="1"/>
  <c r="P946" i="1" s="1"/>
  <c r="Q946" i="1" s="1"/>
  <c r="L946" i="1"/>
  <c r="I946" i="1"/>
  <c r="L945" i="1"/>
  <c r="I945" i="1"/>
  <c r="G945" i="1"/>
  <c r="P945" i="1" s="1"/>
  <c r="Q945" i="1" s="1"/>
  <c r="W947" i="1"/>
  <c r="G941" i="1"/>
  <c r="P941" i="1" s="1"/>
  <c r="Q941" i="1" s="1"/>
  <c r="I941" i="1"/>
  <c r="L941" i="1"/>
  <c r="L940" i="1"/>
  <c r="I940" i="1"/>
  <c r="G940" i="1"/>
  <c r="P940" i="1" s="1"/>
  <c r="Q940" i="1" s="1"/>
  <c r="W944" i="1"/>
  <c r="W943" i="1"/>
  <c r="W939" i="1"/>
  <c r="O934" i="1"/>
  <c r="P934" i="1" s="1"/>
  <c r="Q934" i="1" s="1"/>
  <c r="W932" i="1"/>
  <c r="W933" i="1"/>
  <c r="Q933" i="1" s="1"/>
  <c r="P978" i="1" l="1"/>
  <c r="Q978" i="1" s="1"/>
  <c r="X944" i="1"/>
  <c r="Q944" i="1"/>
  <c r="X972" i="1"/>
  <c r="Q972" i="1"/>
  <c r="X980" i="1"/>
  <c r="Q980" i="1"/>
  <c r="X967" i="1"/>
  <c r="Q967" i="1"/>
  <c r="X979" i="1"/>
  <c r="Q979" i="1"/>
  <c r="X932" i="1"/>
  <c r="Q932" i="1"/>
  <c r="X968" i="1"/>
  <c r="Q968" i="1"/>
  <c r="X996" i="1"/>
  <c r="Q996" i="1"/>
  <c r="X939" i="1"/>
  <c r="Q939" i="1"/>
  <c r="X983" i="1"/>
  <c r="Q983" i="1"/>
  <c r="X943" i="1"/>
  <c r="Q943" i="1"/>
  <c r="AC943" i="1" s="1"/>
  <c r="X947" i="1"/>
  <c r="Q947" i="1"/>
  <c r="X977" i="1"/>
  <c r="Q977" i="1"/>
  <c r="Y1147" i="1"/>
  <c r="Z1147" i="1"/>
  <c r="AA1147" i="1"/>
  <c r="Y1143" i="1"/>
  <c r="Z1143" i="1"/>
  <c r="AA1143" i="1"/>
  <c r="Y1142" i="1"/>
  <c r="Z1142" i="1"/>
  <c r="AA1142" i="1"/>
  <c r="Y1141" i="1"/>
  <c r="Z1141" i="1"/>
  <c r="AA1141" i="1"/>
  <c r="Z3164" i="1"/>
  <c r="AB1003" i="1"/>
  <c r="Y3379" i="1"/>
  <c r="Y1003" i="1"/>
  <c r="Z1003" i="1"/>
  <c r="AB977" i="1"/>
  <c r="AA1002" i="1"/>
  <c r="AC3230" i="1"/>
  <c r="Z3230" i="1"/>
  <c r="Y3177" i="1"/>
  <c r="AB3177" i="1"/>
  <c r="AD1002" i="1"/>
  <c r="AE1002" i="1"/>
  <c r="AB1002" i="1"/>
  <c r="AC1002" i="1"/>
  <c r="Y3389" i="1"/>
  <c r="Z3244" i="1"/>
  <c r="Z3152" i="1"/>
  <c r="Z1002" i="1"/>
  <c r="Y1002" i="1"/>
  <c r="AB3281" i="1"/>
  <c r="AB3144" i="1"/>
  <c r="Y3375" i="1"/>
  <c r="AC1014" i="1"/>
  <c r="AB1014" i="1"/>
  <c r="AD1014" i="1"/>
  <c r="AE1014" i="1"/>
  <c r="AB3566" i="1"/>
  <c r="AC3566" i="1"/>
  <c r="AE3566" i="1"/>
  <c r="AD3566" i="1"/>
  <c r="AB3498" i="1"/>
  <c r="AC3498" i="1"/>
  <c r="AE3498" i="1"/>
  <c r="AD3498" i="1"/>
  <c r="AB3204" i="1"/>
  <c r="AC3204" i="1"/>
  <c r="AD3204" i="1"/>
  <c r="AE3204" i="1"/>
  <c r="AC3045" i="1"/>
  <c r="AD3045" i="1"/>
  <c r="AB3045" i="1"/>
  <c r="AC1251" i="1"/>
  <c r="AD1251" i="1"/>
  <c r="AE1251" i="1"/>
  <c r="AB1251" i="1"/>
  <c r="AC1155" i="1"/>
  <c r="AD1155" i="1"/>
  <c r="AE1155" i="1"/>
  <c r="AB1155" i="1"/>
  <c r="AB969" i="1"/>
  <c r="AC969" i="1"/>
  <c r="AD969" i="1"/>
  <c r="AE969" i="1"/>
  <c r="AC866" i="1"/>
  <c r="AB866" i="1"/>
  <c r="AD866" i="1"/>
  <c r="AC805" i="1"/>
  <c r="AB805" i="1"/>
  <c r="AD805" i="1"/>
  <c r="AE805" i="1"/>
  <c r="AE739" i="1"/>
  <c r="AB739" i="1"/>
  <c r="AC739" i="1"/>
  <c r="AD739" i="1"/>
  <c r="AB3573" i="1"/>
  <c r="AC3573" i="1"/>
  <c r="AE3573" i="1"/>
  <c r="AD3573" i="1"/>
  <c r="AB3565" i="1"/>
  <c r="AC3565" i="1"/>
  <c r="AE3565" i="1"/>
  <c r="AD3565" i="1"/>
  <c r="AB3556" i="1"/>
  <c r="AC3556" i="1"/>
  <c r="AE3556" i="1"/>
  <c r="AD3556" i="1"/>
  <c r="AB3542" i="1"/>
  <c r="AC3542" i="1"/>
  <c r="AE3542" i="1"/>
  <c r="AD3542" i="1"/>
  <c r="AB3534" i="1"/>
  <c r="AC3534" i="1"/>
  <c r="AE3534" i="1"/>
  <c r="AD3534" i="1"/>
  <c r="AB3526" i="1"/>
  <c r="AC3526" i="1"/>
  <c r="AE3526" i="1"/>
  <c r="AD3526" i="1"/>
  <c r="AB3516" i="1"/>
  <c r="AC3516" i="1"/>
  <c r="AE3516" i="1"/>
  <c r="AD3516" i="1"/>
  <c r="AB3505" i="1"/>
  <c r="AC3505" i="1"/>
  <c r="AE3505" i="1"/>
  <c r="AD3505" i="1"/>
  <c r="AB3496" i="1"/>
  <c r="AC3496" i="1"/>
  <c r="AD3496" i="1"/>
  <c r="AB3486" i="1"/>
  <c r="AC3486" i="1"/>
  <c r="AE3486" i="1"/>
  <c r="AD3486" i="1"/>
  <c r="AB3478" i="1"/>
  <c r="AC3478" i="1"/>
  <c r="AE3478" i="1"/>
  <c r="AD3478" i="1"/>
  <c r="AB3469" i="1"/>
  <c r="AC3469" i="1"/>
  <c r="AE3469" i="1"/>
  <c r="AD3469" i="1"/>
  <c r="AB3461" i="1"/>
  <c r="AC3461" i="1"/>
  <c r="AE3461" i="1"/>
  <c r="AD3461" i="1"/>
  <c r="AB3446" i="1"/>
  <c r="AC3446" i="1"/>
  <c r="AE3446" i="1"/>
  <c r="AD3446" i="1"/>
  <c r="AB3438" i="1"/>
  <c r="AC3438" i="1"/>
  <c r="AE3438" i="1"/>
  <c r="AD3438" i="1"/>
  <c r="AB3396" i="1"/>
  <c r="AD3396" i="1"/>
  <c r="AE3396" i="1"/>
  <c r="AC3396" i="1"/>
  <c r="AB3369" i="1"/>
  <c r="AD3369" i="1"/>
  <c r="AE3369" i="1"/>
  <c r="AC3369" i="1"/>
  <c r="AB3361" i="1"/>
  <c r="AD3361" i="1"/>
  <c r="AE3361" i="1"/>
  <c r="AC3361" i="1"/>
  <c r="AB3344" i="1"/>
  <c r="AD3344" i="1"/>
  <c r="AE3344" i="1"/>
  <c r="AC3344" i="1"/>
  <c r="AB3300" i="1"/>
  <c r="AC3300" i="1"/>
  <c r="AD3300" i="1"/>
  <c r="AE3300" i="1"/>
  <c r="AB3248" i="1"/>
  <c r="AC3248" i="1"/>
  <c r="AD3248" i="1"/>
  <c r="AE3248" i="1"/>
  <c r="AB3202" i="1"/>
  <c r="AC3202" i="1"/>
  <c r="AD3202" i="1"/>
  <c r="AE3202" i="1"/>
  <c r="AD3161" i="1"/>
  <c r="AE3161" i="1"/>
  <c r="AB3161" i="1"/>
  <c r="AC3161" i="1"/>
  <c r="AD3120" i="1"/>
  <c r="AE3120" i="1"/>
  <c r="AB3120" i="1"/>
  <c r="AC3120" i="1"/>
  <c r="AC3093" i="1"/>
  <c r="AD3093" i="1"/>
  <c r="AE3093" i="1"/>
  <c r="AB3093" i="1"/>
  <c r="AC3074" i="1"/>
  <c r="AD3074" i="1"/>
  <c r="AE3074" i="1"/>
  <c r="AB3074" i="1"/>
  <c r="AC3068" i="1"/>
  <c r="AD3068" i="1"/>
  <c r="AE3068" i="1"/>
  <c r="AB3068" i="1"/>
  <c r="AC3056" i="1"/>
  <c r="AD3056" i="1"/>
  <c r="AE3056" i="1"/>
  <c r="AB3056" i="1"/>
  <c r="AC3044" i="1"/>
  <c r="AD3044" i="1"/>
  <c r="AB3044" i="1"/>
  <c r="AC3033" i="1"/>
  <c r="AD3033" i="1"/>
  <c r="AE3033" i="1"/>
  <c r="AB3033" i="1"/>
  <c r="AC2972" i="1"/>
  <c r="AD2972" i="1"/>
  <c r="AE2972" i="1"/>
  <c r="AB2972" i="1"/>
  <c r="AC2912" i="1"/>
  <c r="AD2912" i="1"/>
  <c r="AE2912" i="1"/>
  <c r="AB2912" i="1"/>
  <c r="AC2808" i="1"/>
  <c r="AD2808" i="1"/>
  <c r="AE2808" i="1"/>
  <c r="AB2808" i="1"/>
  <c r="AE2780" i="1"/>
  <c r="AC2780" i="1"/>
  <c r="AD2780" i="1"/>
  <c r="AB2780" i="1"/>
  <c r="AC1267" i="1"/>
  <c r="AD1267" i="1"/>
  <c r="AE1267" i="1"/>
  <c r="AB1267" i="1"/>
  <c r="AC833" i="1"/>
  <c r="AD833" i="1"/>
  <c r="AB833" i="1"/>
  <c r="AE833" i="1"/>
  <c r="AB3506" i="1"/>
  <c r="AC3506" i="1"/>
  <c r="AE3506" i="1"/>
  <c r="AD3506" i="1"/>
  <c r="AB3379" i="1"/>
  <c r="AD3379" i="1"/>
  <c r="AE3379" i="1"/>
  <c r="AC3379" i="1"/>
  <c r="AC1265" i="1"/>
  <c r="AD1265" i="1"/>
  <c r="AE1265" i="1"/>
  <c r="AB1265" i="1"/>
  <c r="AC865" i="1"/>
  <c r="AB865" i="1"/>
  <c r="AD865" i="1"/>
  <c r="AE865" i="1"/>
  <c r="AC849" i="1"/>
  <c r="AD849" i="1"/>
  <c r="AB849" i="1"/>
  <c r="AE849" i="1"/>
  <c r="AC803" i="1"/>
  <c r="AB803" i="1"/>
  <c r="AE803" i="1"/>
  <c r="AD803" i="1"/>
  <c r="AE738" i="1"/>
  <c r="AB738" i="1"/>
  <c r="AC738" i="1"/>
  <c r="AD738" i="1"/>
  <c r="AB3572" i="1"/>
  <c r="AC3572" i="1"/>
  <c r="AE3572" i="1"/>
  <c r="AD3572" i="1"/>
  <c r="AB3564" i="1"/>
  <c r="AC3564" i="1"/>
  <c r="AE3564" i="1"/>
  <c r="AD3564" i="1"/>
  <c r="AB3541" i="1"/>
  <c r="AC3541" i="1"/>
  <c r="AE3541" i="1"/>
  <c r="AD3541" i="1"/>
  <c r="AB3533" i="1"/>
  <c r="AC3533" i="1"/>
  <c r="AE3533" i="1"/>
  <c r="AD3533" i="1"/>
  <c r="AB3525" i="1"/>
  <c r="AC3525" i="1"/>
  <c r="AE3525" i="1"/>
  <c r="AD3525" i="1"/>
  <c r="AB3514" i="1"/>
  <c r="AC3514" i="1"/>
  <c r="AE3514" i="1"/>
  <c r="AD3514" i="1"/>
  <c r="AB3504" i="1"/>
  <c r="AC3504" i="1"/>
  <c r="AE3504" i="1"/>
  <c r="AD3504" i="1"/>
  <c r="AB3485" i="1"/>
  <c r="AC3485" i="1"/>
  <c r="AE3485" i="1"/>
  <c r="AD3485" i="1"/>
  <c r="AB3477" i="1"/>
  <c r="AC3477" i="1"/>
  <c r="AE3477" i="1"/>
  <c r="AD3477" i="1"/>
  <c r="AB3468" i="1"/>
  <c r="AC3468" i="1"/>
  <c r="AE3468" i="1"/>
  <c r="AD3468" i="1"/>
  <c r="AB3460" i="1"/>
  <c r="AC3460" i="1"/>
  <c r="AE3460" i="1"/>
  <c r="AD3460" i="1"/>
  <c r="AB3445" i="1"/>
  <c r="AC3445" i="1"/>
  <c r="AE3445" i="1"/>
  <c r="AD3445" i="1"/>
  <c r="AB3437" i="1"/>
  <c r="AC3437" i="1"/>
  <c r="AE3437" i="1"/>
  <c r="AD3437" i="1"/>
  <c r="AB3405" i="1"/>
  <c r="AD3405" i="1"/>
  <c r="AE3405" i="1"/>
  <c r="AC3405" i="1"/>
  <c r="AB3376" i="1"/>
  <c r="AD3376" i="1"/>
  <c r="AE3376" i="1"/>
  <c r="AC3376" i="1"/>
  <c r="AB3368" i="1"/>
  <c r="AD3368" i="1"/>
  <c r="AE3368" i="1"/>
  <c r="AC3368" i="1"/>
  <c r="AB3360" i="1"/>
  <c r="AD3360" i="1"/>
  <c r="AE3360" i="1"/>
  <c r="AC3360" i="1"/>
  <c r="AB3340" i="1"/>
  <c r="AD3340" i="1"/>
  <c r="AE3340" i="1"/>
  <c r="AC3340" i="1"/>
  <c r="AB3280" i="1"/>
  <c r="AC3280" i="1"/>
  <c r="AD3280" i="1"/>
  <c r="AE3280" i="1"/>
  <c r="AB3266" i="1"/>
  <c r="AC3266" i="1"/>
  <c r="AD3266" i="1"/>
  <c r="AE3266" i="1"/>
  <c r="AB3254" i="1"/>
  <c r="AC3254" i="1"/>
  <c r="AD3254" i="1"/>
  <c r="AE3254" i="1"/>
  <c r="AB3230" i="1"/>
  <c r="AB3222" i="1"/>
  <c r="AC3222" i="1"/>
  <c r="AD3222" i="1"/>
  <c r="AE3222" i="1"/>
  <c r="AB3193" i="1"/>
  <c r="AC3193" i="1"/>
  <c r="AD3193" i="1"/>
  <c r="AE3193" i="1"/>
  <c r="AB3172" i="1"/>
  <c r="AC3172" i="1"/>
  <c r="AD3172" i="1"/>
  <c r="AE3172" i="1"/>
  <c r="AC3061" i="1"/>
  <c r="AD3061" i="1"/>
  <c r="AB3061" i="1"/>
  <c r="AC2996" i="1"/>
  <c r="AD2996" i="1"/>
  <c r="AE2996" i="1"/>
  <c r="AB2996" i="1"/>
  <c r="AC2964" i="1"/>
  <c r="AD2964" i="1"/>
  <c r="AE2964" i="1"/>
  <c r="AB2964" i="1"/>
  <c r="AB1081" i="1"/>
  <c r="AC1081" i="1"/>
  <c r="AE1081" i="1"/>
  <c r="AD1081" i="1"/>
  <c r="AB3470" i="1"/>
  <c r="AC3470" i="1"/>
  <c r="AE3470" i="1"/>
  <c r="AD3470" i="1"/>
  <c r="AB3332" i="1"/>
  <c r="AD3332" i="1"/>
  <c r="AC3332" i="1"/>
  <c r="AC1192" i="1"/>
  <c r="AD1192" i="1"/>
  <c r="AE1192" i="1"/>
  <c r="AB1192" i="1"/>
  <c r="AB1030" i="1"/>
  <c r="AC1030" i="1"/>
  <c r="AE1030" i="1"/>
  <c r="AD1030" i="1"/>
  <c r="AC1010" i="1"/>
  <c r="AB1010" i="1"/>
  <c r="AD1010" i="1"/>
  <c r="AE1010" i="1"/>
  <c r="AB986" i="1"/>
  <c r="AC986" i="1"/>
  <c r="AD986" i="1"/>
  <c r="AE986" i="1"/>
  <c r="AC795" i="1"/>
  <c r="AD795" i="1"/>
  <c r="AE795" i="1"/>
  <c r="AB795" i="1"/>
  <c r="AD662" i="1"/>
  <c r="AE662" i="1"/>
  <c r="AC662" i="1"/>
  <c r="AB662" i="1"/>
  <c r="AB3540" i="1"/>
  <c r="AC3540" i="1"/>
  <c r="AE3540" i="1"/>
  <c r="AD3540" i="1"/>
  <c r="AB3532" i="1"/>
  <c r="AC3532" i="1"/>
  <c r="AE3532" i="1"/>
  <c r="AD3532" i="1"/>
  <c r="AB3512" i="1"/>
  <c r="AC3512" i="1"/>
  <c r="AE3512" i="1"/>
  <c r="AD3512" i="1"/>
  <c r="AB3494" i="1"/>
  <c r="AC3494" i="1"/>
  <c r="AE3494" i="1"/>
  <c r="AD3494" i="1"/>
  <c r="AB3484" i="1"/>
  <c r="AC3484" i="1"/>
  <c r="AE3484" i="1"/>
  <c r="AD3484" i="1"/>
  <c r="AB3476" i="1"/>
  <c r="AC3476" i="1"/>
  <c r="AE3476" i="1"/>
  <c r="AD3476" i="1"/>
  <c r="AB3444" i="1"/>
  <c r="AC3444" i="1"/>
  <c r="AE3444" i="1"/>
  <c r="AD3444" i="1"/>
  <c r="AB3434" i="1"/>
  <c r="AC3434" i="1"/>
  <c r="AE3434" i="1"/>
  <c r="AD3434" i="1"/>
  <c r="AB3421" i="1"/>
  <c r="AD3421" i="1"/>
  <c r="AE3421" i="1"/>
  <c r="AC3421" i="1"/>
  <c r="AB3404" i="1"/>
  <c r="AD3404" i="1"/>
  <c r="AE3404" i="1"/>
  <c r="AC3404" i="1"/>
  <c r="AB3385" i="1"/>
  <c r="AD3385" i="1"/>
  <c r="AE3385" i="1"/>
  <c r="AC3385" i="1"/>
  <c r="AB3375" i="1"/>
  <c r="AD3375" i="1"/>
  <c r="AE3375" i="1"/>
  <c r="AC3375" i="1"/>
  <c r="AB3367" i="1"/>
  <c r="AD3367" i="1"/>
  <c r="AE3367" i="1"/>
  <c r="AC3367" i="1"/>
  <c r="AB3359" i="1"/>
  <c r="AD3359" i="1"/>
  <c r="AE3359" i="1"/>
  <c r="AC3359" i="1"/>
  <c r="AB3321" i="1"/>
  <c r="AD3321" i="1"/>
  <c r="AE3321" i="1"/>
  <c r="AC3321" i="1"/>
  <c r="AB3286" i="1"/>
  <c r="AC3286" i="1"/>
  <c r="AD3286" i="1"/>
  <c r="AE3286" i="1"/>
  <c r="AB3253" i="1"/>
  <c r="AC3253" i="1"/>
  <c r="AD3253" i="1"/>
  <c r="AE3253" i="1"/>
  <c r="AB3246" i="1"/>
  <c r="AC3246" i="1"/>
  <c r="AD3246" i="1"/>
  <c r="AE3246" i="1"/>
  <c r="AD3152" i="1"/>
  <c r="AE3152" i="1"/>
  <c r="AB3152" i="1"/>
  <c r="AC3152" i="1"/>
  <c r="AD3134" i="1"/>
  <c r="AE3134" i="1"/>
  <c r="AB3134" i="1"/>
  <c r="AC3134" i="1"/>
  <c r="AC2816" i="1"/>
  <c r="AD2816" i="1"/>
  <c r="AE2816" i="1"/>
  <c r="AB2816" i="1"/>
  <c r="AE2740" i="1"/>
  <c r="AC2740" i="1"/>
  <c r="AB2740" i="1"/>
  <c r="AB3574" i="1"/>
  <c r="AC3574" i="1"/>
  <c r="AE3574" i="1"/>
  <c r="AD3574" i="1"/>
  <c r="AC1158" i="1"/>
  <c r="AD1158" i="1"/>
  <c r="AE1158" i="1"/>
  <c r="AB1158" i="1"/>
  <c r="AB985" i="1"/>
  <c r="AC985" i="1"/>
  <c r="AE985" i="1"/>
  <c r="AD985" i="1"/>
  <c r="AC893" i="1"/>
  <c r="AE893" i="1"/>
  <c r="AB893" i="1"/>
  <c r="AD893" i="1"/>
  <c r="AC837" i="1"/>
  <c r="AD837" i="1"/>
  <c r="AE837" i="1"/>
  <c r="AB837" i="1"/>
  <c r="AC809" i="1"/>
  <c r="AD809" i="1"/>
  <c r="AE809" i="1"/>
  <c r="AB809" i="1"/>
  <c r="AE748" i="1"/>
  <c r="AB748" i="1"/>
  <c r="AD748" i="1"/>
  <c r="AC748" i="1"/>
  <c r="AB3578" i="1"/>
  <c r="AC3578" i="1"/>
  <c r="AE3578" i="1"/>
  <c r="AD3578" i="1"/>
  <c r="AB3570" i="1"/>
  <c r="AC3570" i="1"/>
  <c r="AE3570" i="1"/>
  <c r="AD3570" i="1"/>
  <c r="AB3562" i="1"/>
  <c r="AC3562" i="1"/>
  <c r="AE3562" i="1"/>
  <c r="AD3562" i="1"/>
  <c r="AB3550" i="1"/>
  <c r="AC3550" i="1"/>
  <c r="AE3550" i="1"/>
  <c r="AD3550" i="1"/>
  <c r="AB3522" i="1"/>
  <c r="AC3522" i="1"/>
  <c r="AE3522" i="1"/>
  <c r="AD3522" i="1"/>
  <c r="AB3502" i="1"/>
  <c r="AC3502" i="1"/>
  <c r="AE3502" i="1"/>
  <c r="AD3502" i="1"/>
  <c r="AB3466" i="1"/>
  <c r="AC3466" i="1"/>
  <c r="AE3466" i="1"/>
  <c r="AD3466" i="1"/>
  <c r="AB3458" i="1"/>
  <c r="AC3458" i="1"/>
  <c r="AE3458" i="1"/>
  <c r="AD3458" i="1"/>
  <c r="AB3433" i="1"/>
  <c r="AC3433" i="1"/>
  <c r="AE3433" i="1"/>
  <c r="AD3433" i="1"/>
  <c r="AB3384" i="1"/>
  <c r="AD3384" i="1"/>
  <c r="AE3384" i="1"/>
  <c r="AC3384" i="1"/>
  <c r="AB3278" i="1"/>
  <c r="AC3278" i="1"/>
  <c r="AD3278" i="1"/>
  <c r="AE3278" i="1"/>
  <c r="AB3245" i="1"/>
  <c r="AC3245" i="1"/>
  <c r="AD3245" i="1"/>
  <c r="AE3245" i="1"/>
  <c r="AB3237" i="1"/>
  <c r="AC3237" i="1"/>
  <c r="AD3237" i="1"/>
  <c r="AE3237" i="1"/>
  <c r="AB3228" i="1"/>
  <c r="AC3228" i="1"/>
  <c r="AD3228" i="1"/>
  <c r="AE3228" i="1"/>
  <c r="AD3140" i="1"/>
  <c r="AE3140" i="1"/>
  <c r="AB3140" i="1"/>
  <c r="AC3140" i="1"/>
  <c r="AD3126" i="1"/>
  <c r="AE3126" i="1"/>
  <c r="AB3126" i="1"/>
  <c r="AC3126" i="1"/>
  <c r="AC3088" i="1"/>
  <c r="AD3088" i="1"/>
  <c r="AE3088" i="1"/>
  <c r="AB3088" i="1"/>
  <c r="AC3065" i="1"/>
  <c r="AD3065" i="1"/>
  <c r="AE3065" i="1"/>
  <c r="AB3065" i="1"/>
  <c r="AE3000" i="1"/>
  <c r="AB3000" i="1"/>
  <c r="AC2944" i="1"/>
  <c r="AD2944" i="1"/>
  <c r="AE2944" i="1"/>
  <c r="AB2944" i="1"/>
  <c r="AC2876" i="1"/>
  <c r="AD2876" i="1"/>
  <c r="AE2876" i="1"/>
  <c r="AB2876" i="1"/>
  <c r="AE2732" i="1"/>
  <c r="AC2732" i="1"/>
  <c r="AD2732" i="1"/>
  <c r="AB2732" i="1"/>
  <c r="AC851" i="1"/>
  <c r="AD851" i="1"/>
  <c r="AE851" i="1"/>
  <c r="AB851" i="1"/>
  <c r="AB3462" i="1"/>
  <c r="AC3462" i="1"/>
  <c r="AE3462" i="1"/>
  <c r="AD3462" i="1"/>
  <c r="AB3389" i="1"/>
  <c r="AD3389" i="1"/>
  <c r="AE3389" i="1"/>
  <c r="AC3389" i="1"/>
  <c r="AB3268" i="1"/>
  <c r="AC3268" i="1"/>
  <c r="AD3268" i="1"/>
  <c r="AE3268" i="1"/>
  <c r="AB3212" i="1"/>
  <c r="AC3212" i="1"/>
  <c r="AD3212" i="1"/>
  <c r="AE3212" i="1"/>
  <c r="AB3164" i="1"/>
  <c r="AC3164" i="1"/>
  <c r="AD3164" i="1"/>
  <c r="AE3164" i="1"/>
  <c r="AD3129" i="1"/>
  <c r="AE3129" i="1"/>
  <c r="AB3129" i="1"/>
  <c r="AC3129" i="1"/>
  <c r="AB1031" i="1"/>
  <c r="AD1031" i="1"/>
  <c r="AC1031" i="1"/>
  <c r="AE1031" i="1"/>
  <c r="AB1076" i="1"/>
  <c r="AC1076" i="1"/>
  <c r="AE1076" i="1"/>
  <c r="AD1076" i="1"/>
  <c r="AB1047" i="1"/>
  <c r="AC1047" i="1"/>
  <c r="AE1047" i="1"/>
  <c r="AD1047" i="1"/>
  <c r="AC1262" i="1"/>
  <c r="AD1262" i="1"/>
  <c r="AE1262" i="1"/>
  <c r="AB1262" i="1"/>
  <c r="AC1173" i="1"/>
  <c r="AD1173" i="1"/>
  <c r="AE1173" i="1"/>
  <c r="AB1173" i="1"/>
  <c r="AB1070" i="1"/>
  <c r="AC1070" i="1"/>
  <c r="AE1070" i="1"/>
  <c r="AD1070" i="1"/>
  <c r="AB999" i="1"/>
  <c r="AC999" i="1"/>
  <c r="AD999" i="1"/>
  <c r="AE999" i="1"/>
  <c r="AC910" i="1"/>
  <c r="AB910" i="1"/>
  <c r="AD910" i="1"/>
  <c r="AE910" i="1"/>
  <c r="AD823" i="1"/>
  <c r="AE823" i="1"/>
  <c r="AB823" i="1"/>
  <c r="AC823" i="1"/>
  <c r="AE743" i="1"/>
  <c r="AC743" i="1"/>
  <c r="AD743" i="1"/>
  <c r="AB743" i="1"/>
  <c r="AB3577" i="1"/>
  <c r="AC3577" i="1"/>
  <c r="AE3577" i="1"/>
  <c r="AD3577" i="1"/>
  <c r="AB3569" i="1"/>
  <c r="AC3569" i="1"/>
  <c r="AE3569" i="1"/>
  <c r="AD3569" i="1"/>
  <c r="AB3560" i="1"/>
  <c r="AC3560" i="1"/>
  <c r="AE3560" i="1"/>
  <c r="AD3560" i="1"/>
  <c r="AB3549" i="1"/>
  <c r="AC3549" i="1"/>
  <c r="AE3549" i="1"/>
  <c r="AD3549" i="1"/>
  <c r="AB3538" i="1"/>
  <c r="AC3538" i="1"/>
  <c r="AE3538" i="1"/>
  <c r="AD3538" i="1"/>
  <c r="AB3530" i="1"/>
  <c r="AC3530" i="1"/>
  <c r="AE3530" i="1"/>
  <c r="AD3530" i="1"/>
  <c r="AB3521" i="1"/>
  <c r="AC3521" i="1"/>
  <c r="AE3521" i="1"/>
  <c r="AD3521" i="1"/>
  <c r="AB3510" i="1"/>
  <c r="AC3510" i="1"/>
  <c r="AE3510" i="1"/>
  <c r="AD3510" i="1"/>
  <c r="AB3501" i="1"/>
  <c r="AC3501" i="1"/>
  <c r="AE3501" i="1"/>
  <c r="AD3501" i="1"/>
  <c r="AB3490" i="1"/>
  <c r="AC3490" i="1"/>
  <c r="AE3490" i="1"/>
  <c r="AD3490" i="1"/>
  <c r="AB3482" i="1"/>
  <c r="AC3482" i="1"/>
  <c r="AE3482" i="1"/>
  <c r="AD3482" i="1"/>
  <c r="AB3473" i="1"/>
  <c r="AC3473" i="1"/>
  <c r="AE3473" i="1"/>
  <c r="AD3473" i="1"/>
  <c r="AB3465" i="1"/>
  <c r="AC3465" i="1"/>
  <c r="AE3465" i="1"/>
  <c r="AD3465" i="1"/>
  <c r="AB3457" i="1"/>
  <c r="AC3457" i="1"/>
  <c r="AE3457" i="1"/>
  <c r="AD3457" i="1"/>
  <c r="AB3442" i="1"/>
  <c r="AC3442" i="1"/>
  <c r="AE3442" i="1"/>
  <c r="AD3442" i="1"/>
  <c r="AB3432" i="1"/>
  <c r="AC3432" i="1"/>
  <c r="AE3432" i="1"/>
  <c r="AD3432" i="1"/>
  <c r="AB3392" i="1"/>
  <c r="AD3392" i="1"/>
  <c r="AE3392" i="1"/>
  <c r="AC3392" i="1"/>
  <c r="AB3373" i="1"/>
  <c r="AD3373" i="1"/>
  <c r="AE3373" i="1"/>
  <c r="AC3373" i="1"/>
  <c r="AB3365" i="1"/>
  <c r="AD3365" i="1"/>
  <c r="AE3365" i="1"/>
  <c r="AC3365" i="1"/>
  <c r="AB3312" i="1"/>
  <c r="AC3312" i="1"/>
  <c r="AD3312" i="1"/>
  <c r="AE3312" i="1"/>
  <c r="AB3277" i="1"/>
  <c r="AC3277" i="1"/>
  <c r="AD3277" i="1"/>
  <c r="AE3277" i="1"/>
  <c r="AB3244" i="1"/>
  <c r="AC3244" i="1"/>
  <c r="AD3244" i="1"/>
  <c r="AE3244" i="1"/>
  <c r="AB3236" i="1"/>
  <c r="AC3236" i="1"/>
  <c r="AD3236" i="1"/>
  <c r="AE3236" i="1"/>
  <c r="AD3158" i="1"/>
  <c r="AE3158" i="1"/>
  <c r="AB3158" i="1"/>
  <c r="AC3158" i="1"/>
  <c r="AD3150" i="1"/>
  <c r="AE3150" i="1"/>
  <c r="AB3150" i="1"/>
  <c r="AC3150" i="1"/>
  <c r="AD3132" i="1"/>
  <c r="AE3132" i="1"/>
  <c r="AB3132" i="1"/>
  <c r="AC3132" i="1"/>
  <c r="AD3125" i="1"/>
  <c r="AE3125" i="1"/>
  <c r="AB3125" i="1"/>
  <c r="AC3125" i="1"/>
  <c r="AC3084" i="1"/>
  <c r="AD3084" i="1"/>
  <c r="AE3084" i="1"/>
  <c r="AB3084" i="1"/>
  <c r="AC3052" i="1"/>
  <c r="AD3052" i="1"/>
  <c r="AE3052" i="1"/>
  <c r="AB3052" i="1"/>
  <c r="AC3036" i="1"/>
  <c r="AD3036" i="1"/>
  <c r="AE3036" i="1"/>
  <c r="AB3036" i="1"/>
  <c r="AC2900" i="1"/>
  <c r="AD2900" i="1"/>
  <c r="AE2900" i="1"/>
  <c r="AB2900" i="1"/>
  <c r="AE2744" i="1"/>
  <c r="AC2744" i="1"/>
  <c r="AD2744" i="1"/>
  <c r="AB2744" i="1"/>
  <c r="AC1236" i="1"/>
  <c r="AD1236" i="1"/>
  <c r="AE1236" i="1"/>
  <c r="AB1236" i="1"/>
  <c r="AB1051" i="1"/>
  <c r="AC1051" i="1"/>
  <c r="AE1051" i="1"/>
  <c r="AD1051" i="1"/>
  <c r="AB3557" i="1"/>
  <c r="AC3557" i="1"/>
  <c r="AE3557" i="1"/>
  <c r="AD3557" i="1"/>
  <c r="AB3301" i="1"/>
  <c r="AC3301" i="1"/>
  <c r="AD3301" i="1"/>
  <c r="AE3301" i="1"/>
  <c r="AC1296" i="1"/>
  <c r="AD1296" i="1"/>
  <c r="AB1296" i="1"/>
  <c r="AE1296" i="1"/>
  <c r="AC1246" i="1"/>
  <c r="AD1246" i="1"/>
  <c r="AE1246" i="1"/>
  <c r="AB1246" i="1"/>
  <c r="AB1069" i="1"/>
  <c r="AC1069" i="1"/>
  <c r="AE1069" i="1"/>
  <c r="AD1069" i="1"/>
  <c r="AB1016" i="1"/>
  <c r="AC1016" i="1"/>
  <c r="AD1016" i="1"/>
  <c r="AE1016" i="1"/>
  <c r="AB991" i="1"/>
  <c r="AC991" i="1"/>
  <c r="AD991" i="1"/>
  <c r="AE991" i="1"/>
  <c r="AC918" i="1"/>
  <c r="AB918" i="1"/>
  <c r="AD918" i="1"/>
  <c r="AE918" i="1"/>
  <c r="AC909" i="1"/>
  <c r="AE909" i="1"/>
  <c r="AB909" i="1"/>
  <c r="AD909" i="1"/>
  <c r="AC822" i="1"/>
  <c r="AD822" i="1"/>
  <c r="AB822" i="1"/>
  <c r="AE822" i="1"/>
  <c r="AE742" i="1"/>
  <c r="AB742" i="1"/>
  <c r="AC742" i="1"/>
  <c r="AD742" i="1"/>
  <c r="AE722" i="1"/>
  <c r="AB722" i="1"/>
  <c r="AC722" i="1"/>
  <c r="AD722" i="1"/>
  <c r="AD710" i="1"/>
  <c r="AE710" i="1"/>
  <c r="AB710" i="1"/>
  <c r="AC710" i="1"/>
  <c r="AB3576" i="1"/>
  <c r="AC3576" i="1"/>
  <c r="AE3576" i="1"/>
  <c r="AD3576" i="1"/>
  <c r="AB3568" i="1"/>
  <c r="AC3568" i="1"/>
  <c r="AE3568" i="1"/>
  <c r="AD3568" i="1"/>
  <c r="AB3548" i="1"/>
  <c r="AC3548" i="1"/>
  <c r="AE3548" i="1"/>
  <c r="AD3548" i="1"/>
  <c r="AB3537" i="1"/>
  <c r="AC3537" i="1"/>
  <c r="AE3537" i="1"/>
  <c r="AD3537" i="1"/>
  <c r="AB3529" i="1"/>
  <c r="AC3529" i="1"/>
  <c r="AE3529" i="1"/>
  <c r="AD3529" i="1"/>
  <c r="AB3520" i="1"/>
  <c r="AC3520" i="1"/>
  <c r="AE3520" i="1"/>
  <c r="AD3520" i="1"/>
  <c r="AB3509" i="1"/>
  <c r="AC3509" i="1"/>
  <c r="AE3509" i="1"/>
  <c r="AD3509" i="1"/>
  <c r="AB3500" i="1"/>
  <c r="AC3500" i="1"/>
  <c r="AD3500" i="1"/>
  <c r="AB3489" i="1"/>
  <c r="AC3489" i="1"/>
  <c r="AE3489" i="1"/>
  <c r="AD3489" i="1"/>
  <c r="AB3481" i="1"/>
  <c r="AC3481" i="1"/>
  <c r="AE3481" i="1"/>
  <c r="AD3481" i="1"/>
  <c r="AB3472" i="1"/>
  <c r="AC3472" i="1"/>
  <c r="AE3472" i="1"/>
  <c r="AD3472" i="1"/>
  <c r="AB3464" i="1"/>
  <c r="AC3464" i="1"/>
  <c r="AE3464" i="1"/>
  <c r="AD3464" i="1"/>
  <c r="AB3456" i="1"/>
  <c r="AC3456" i="1"/>
  <c r="AE3456" i="1"/>
  <c r="AD3456" i="1"/>
  <c r="AB3441" i="1"/>
  <c r="AC3441" i="1"/>
  <c r="AE3441" i="1"/>
  <c r="AD3441" i="1"/>
  <c r="AB3391" i="1"/>
  <c r="AD3391" i="1"/>
  <c r="AE3391" i="1"/>
  <c r="AC3391" i="1"/>
  <c r="AB3381" i="1"/>
  <c r="AD3381" i="1"/>
  <c r="AE3381" i="1"/>
  <c r="AC3381" i="1"/>
  <c r="AB3364" i="1"/>
  <c r="AD3364" i="1"/>
  <c r="AE3364" i="1"/>
  <c r="AC3364" i="1"/>
  <c r="AB3276" i="1"/>
  <c r="AC3276" i="1"/>
  <c r="AD3276" i="1"/>
  <c r="AE3276" i="1"/>
  <c r="AB3257" i="1"/>
  <c r="AC3257" i="1"/>
  <c r="AD3257" i="1"/>
  <c r="AE3257" i="1"/>
  <c r="AD3157" i="1"/>
  <c r="AE3157" i="1"/>
  <c r="AC3157" i="1"/>
  <c r="AB3157" i="1"/>
  <c r="AD3149" i="1"/>
  <c r="AE3149" i="1"/>
  <c r="AC3149" i="1"/>
  <c r="AB3149" i="1"/>
  <c r="AC2992" i="1"/>
  <c r="AD2992" i="1"/>
  <c r="AE2992" i="1"/>
  <c r="AB2992" i="1"/>
  <c r="AE2764" i="1"/>
  <c r="AC2764" i="1"/>
  <c r="AD2764" i="1"/>
  <c r="AB2764" i="1"/>
  <c r="AB989" i="1"/>
  <c r="AC989" i="1"/>
  <c r="AD989" i="1"/>
  <c r="AB3517" i="1"/>
  <c r="AC3517" i="1"/>
  <c r="AE3517" i="1"/>
  <c r="AD3517" i="1"/>
  <c r="AB3429" i="1"/>
  <c r="AD3429" i="1"/>
  <c r="AC3429" i="1"/>
  <c r="AE3429" i="1"/>
  <c r="AB3262" i="1"/>
  <c r="AC3262" i="1"/>
  <c r="AD3262" i="1"/>
  <c r="AB1082" i="1"/>
  <c r="AC1082" i="1"/>
  <c r="AE1082" i="1"/>
  <c r="AD1082" i="1"/>
  <c r="AB1052" i="1"/>
  <c r="AC1052" i="1"/>
  <c r="AE1052" i="1"/>
  <c r="AD1052" i="1"/>
  <c r="AC1026" i="1"/>
  <c r="AD1026" i="1"/>
  <c r="AE1026" i="1"/>
  <c r="AB1026" i="1"/>
  <c r="AC1015" i="1"/>
  <c r="AB1015" i="1"/>
  <c r="AD1015" i="1"/>
  <c r="AE1015" i="1"/>
  <c r="AB997" i="1"/>
  <c r="AC997" i="1"/>
  <c r="AD997" i="1"/>
  <c r="AE997" i="1"/>
  <c r="AB990" i="1"/>
  <c r="AC990" i="1"/>
  <c r="AD990" i="1"/>
  <c r="AC834" i="1"/>
  <c r="AD834" i="1"/>
  <c r="AB834" i="1"/>
  <c r="AE834" i="1"/>
  <c r="AB821" i="1"/>
  <c r="AC821" i="1"/>
  <c r="AE821" i="1"/>
  <c r="AD821" i="1"/>
  <c r="AE754" i="1"/>
  <c r="AB754" i="1"/>
  <c r="AC754" i="1"/>
  <c r="AD754" i="1"/>
  <c r="AB3558" i="1"/>
  <c r="AC3558" i="1"/>
  <c r="AE3558" i="1"/>
  <c r="AD3558" i="1"/>
  <c r="AB3536" i="1"/>
  <c r="AC3536" i="1"/>
  <c r="AE3536" i="1"/>
  <c r="AD3536" i="1"/>
  <c r="AB3528" i="1"/>
  <c r="AC3528" i="1"/>
  <c r="AE3528" i="1"/>
  <c r="AD3528" i="1"/>
  <c r="AB3518" i="1"/>
  <c r="AC3518" i="1"/>
  <c r="AE3518" i="1"/>
  <c r="AD3518" i="1"/>
  <c r="AB3488" i="1"/>
  <c r="AC3488" i="1"/>
  <c r="AE3488" i="1"/>
  <c r="AD3488" i="1"/>
  <c r="AB3480" i="1"/>
  <c r="AC3480" i="1"/>
  <c r="AE3480" i="1"/>
  <c r="AD3480" i="1"/>
  <c r="AB3440" i="1"/>
  <c r="AC3440" i="1"/>
  <c r="AE3440" i="1"/>
  <c r="AD3440" i="1"/>
  <c r="AB3430" i="1"/>
  <c r="AD3430" i="1"/>
  <c r="AE3430" i="1"/>
  <c r="AC3430" i="1"/>
  <c r="AB3371" i="1"/>
  <c r="AD3371" i="1"/>
  <c r="AE3371" i="1"/>
  <c r="AC3371" i="1"/>
  <c r="AB3363" i="1"/>
  <c r="AD3363" i="1"/>
  <c r="AE3363" i="1"/>
  <c r="AC3363" i="1"/>
  <c r="AB3324" i="1"/>
  <c r="AD3324" i="1"/>
  <c r="AE3324" i="1"/>
  <c r="AC3324" i="1"/>
  <c r="AB3269" i="1"/>
  <c r="AC3269" i="1"/>
  <c r="AD3269" i="1"/>
  <c r="AE3269" i="1"/>
  <c r="AB3234" i="1"/>
  <c r="AC3234" i="1"/>
  <c r="AD3234" i="1"/>
  <c r="AE3234" i="1"/>
  <c r="AB3205" i="1"/>
  <c r="AC3205" i="1"/>
  <c r="AD3205" i="1"/>
  <c r="AE3205" i="1"/>
  <c r="AB3196" i="1"/>
  <c r="AC3196" i="1"/>
  <c r="AD3196" i="1"/>
  <c r="AE3196" i="1"/>
  <c r="AB3180" i="1"/>
  <c r="AC3180" i="1"/>
  <c r="AD3180" i="1"/>
  <c r="AE3180" i="1"/>
  <c r="AD3148" i="1"/>
  <c r="AE3148" i="1"/>
  <c r="AB3148" i="1"/>
  <c r="AC3148" i="1"/>
  <c r="AD3097" i="1"/>
  <c r="AE3097" i="1"/>
  <c r="AB3097" i="1"/>
  <c r="AC3097" i="1"/>
  <c r="AC3070" i="1"/>
  <c r="AD3070" i="1"/>
  <c r="AE3070" i="1"/>
  <c r="AB3070" i="1"/>
  <c r="AC3020" i="1"/>
  <c r="AE3020" i="1"/>
  <c r="AC2976" i="1"/>
  <c r="AD2976" i="1"/>
  <c r="AE2976" i="1"/>
  <c r="AB2976" i="1"/>
  <c r="AC2940" i="1"/>
  <c r="AE2940" i="1"/>
  <c r="AB2940" i="1"/>
  <c r="AC2868" i="1"/>
  <c r="AD2868" i="1"/>
  <c r="AE2868" i="1"/>
  <c r="AB2868" i="1"/>
  <c r="Y1283" i="1"/>
  <c r="AA1283" i="1"/>
  <c r="Z1283" i="1"/>
  <c r="Y1197" i="1"/>
  <c r="AA1197" i="1"/>
  <c r="Z1197" i="1"/>
  <c r="AA1088" i="1"/>
  <c r="Y1088" i="1"/>
  <c r="Z1088" i="1"/>
  <c r="AB1042" i="1"/>
  <c r="AC1042" i="1"/>
  <c r="AE1042" i="1"/>
  <c r="AD1042" i="1"/>
  <c r="Y1017" i="1"/>
  <c r="Z1017" i="1"/>
  <c r="AA1017" i="1"/>
  <c r="AB974" i="1"/>
  <c r="AC974" i="1"/>
  <c r="AD974" i="1"/>
  <c r="AE974" i="1"/>
  <c r="Y923" i="1"/>
  <c r="Z923" i="1"/>
  <c r="AA923" i="1"/>
  <c r="AC830" i="1"/>
  <c r="AD830" i="1"/>
  <c r="AB830" i="1"/>
  <c r="AE830" i="1"/>
  <c r="AE731" i="1"/>
  <c r="AB731" i="1"/>
  <c r="AC731" i="1"/>
  <c r="AD731" i="1"/>
  <c r="Y3555" i="1"/>
  <c r="Z3555" i="1"/>
  <c r="AA3555" i="1"/>
  <c r="Y3523" i="1"/>
  <c r="Z3523" i="1"/>
  <c r="AA3523" i="1"/>
  <c r="Y3487" i="1"/>
  <c r="Z3487" i="1"/>
  <c r="AA3487" i="1"/>
  <c r="Y3467" i="1"/>
  <c r="Z3467" i="1"/>
  <c r="AA3467" i="1"/>
  <c r="AA3402" i="1"/>
  <c r="Y3402" i="1"/>
  <c r="Z3402" i="1"/>
  <c r="AA3362" i="1"/>
  <c r="Y3362" i="1"/>
  <c r="Z3362" i="1"/>
  <c r="AA3316" i="1"/>
  <c r="Y3316" i="1"/>
  <c r="AB3265" i="1"/>
  <c r="AC3265" i="1"/>
  <c r="AD3265" i="1"/>
  <c r="AE3265" i="1"/>
  <c r="AB3210" i="1"/>
  <c r="AC3210" i="1"/>
  <c r="AD3210" i="1"/>
  <c r="AA3183" i="1"/>
  <c r="Z3183" i="1"/>
  <c r="AD3137" i="1"/>
  <c r="AE3137" i="1"/>
  <c r="AB3137" i="1"/>
  <c r="Z3078" i="1"/>
  <c r="AA3078" i="1"/>
  <c r="Y3078" i="1"/>
  <c r="AC3018" i="1"/>
  <c r="AD3018" i="1"/>
  <c r="AE3018" i="1"/>
  <c r="AB3018" i="1"/>
  <c r="AC2961" i="1"/>
  <c r="AD2961" i="1"/>
  <c r="AE2961" i="1"/>
  <c r="AB2961" i="1"/>
  <c r="AE2748" i="1"/>
  <c r="AC2748" i="1"/>
  <c r="AD2748" i="1"/>
  <c r="AB2748" i="1"/>
  <c r="AC2569" i="1"/>
  <c r="AD2569" i="1"/>
  <c r="AE2569" i="1"/>
  <c r="AB2569" i="1"/>
  <c r="AC2470" i="1"/>
  <c r="AE2470" i="1"/>
  <c r="AB2470" i="1"/>
  <c r="AD2470" i="1"/>
  <c r="AB2131" i="1"/>
  <c r="AC2131" i="1"/>
  <c r="AD2131" i="1"/>
  <c r="AE2131" i="1"/>
  <c r="AB1842" i="1"/>
  <c r="AC1842" i="1"/>
  <c r="AD1842" i="1"/>
  <c r="AE1842" i="1"/>
  <c r="AC1782" i="1"/>
  <c r="AD1782" i="1"/>
  <c r="AC1665" i="1"/>
  <c r="AD1665" i="1"/>
  <c r="AE1665" i="1"/>
  <c r="AB1665" i="1"/>
  <c r="Y1614" i="1"/>
  <c r="Z1614" i="1"/>
  <c r="AA1614" i="1"/>
  <c r="Z1466" i="1"/>
  <c r="Y1466" i="1"/>
  <c r="AA1466" i="1"/>
  <c r="AB1376" i="1"/>
  <c r="AC1376" i="1"/>
  <c r="AD1376" i="1"/>
  <c r="AE1376" i="1"/>
  <c r="Y1279" i="1"/>
  <c r="AA1279" i="1"/>
  <c r="Z1279" i="1"/>
  <c r="Y1261" i="1"/>
  <c r="AA1261" i="1"/>
  <c r="Z1261" i="1"/>
  <c r="Y1241" i="1"/>
  <c r="AA1241" i="1"/>
  <c r="Z1241" i="1"/>
  <c r="Y1228" i="1"/>
  <c r="AA1228" i="1"/>
  <c r="Z1228" i="1"/>
  <c r="Y1190" i="1"/>
  <c r="AA1190" i="1"/>
  <c r="Z1190" i="1"/>
  <c r="Y1160" i="1"/>
  <c r="AA1160" i="1"/>
  <c r="Z1160" i="1"/>
  <c r="AA1087" i="1"/>
  <c r="Y1087" i="1"/>
  <c r="Z1087" i="1"/>
  <c r="AA1072" i="1"/>
  <c r="Y1072" i="1"/>
  <c r="Z1072" i="1"/>
  <c r="AA1067" i="1"/>
  <c r="Y1067" i="1"/>
  <c r="Z1067" i="1"/>
  <c r="AA1061" i="1"/>
  <c r="Y1061" i="1"/>
  <c r="Z1061" i="1"/>
  <c r="AA1042" i="1"/>
  <c r="Y1042" i="1"/>
  <c r="Z1042" i="1"/>
  <c r="AA1036" i="1"/>
  <c r="Y1022" i="1"/>
  <c r="Z1022" i="1"/>
  <c r="AA1022" i="1"/>
  <c r="Y1004" i="1"/>
  <c r="Z1004" i="1"/>
  <c r="AA1004" i="1"/>
  <c r="Y982" i="1"/>
  <c r="Z982" i="1"/>
  <c r="AA982" i="1"/>
  <c r="Y974" i="1"/>
  <c r="Z974" i="1"/>
  <c r="AA974" i="1"/>
  <c r="Y964" i="1"/>
  <c r="Z964" i="1"/>
  <c r="AA964" i="1"/>
  <c r="Y954" i="1"/>
  <c r="Z954" i="1"/>
  <c r="AA954" i="1"/>
  <c r="Y944" i="1"/>
  <c r="Z944" i="1"/>
  <c r="AA944" i="1"/>
  <c r="Y938" i="1"/>
  <c r="Z938" i="1"/>
  <c r="AA938" i="1"/>
  <c r="AA930" i="1"/>
  <c r="Y930" i="1"/>
  <c r="Z930" i="1"/>
  <c r="AA900" i="1"/>
  <c r="Y890" i="1"/>
  <c r="AA890" i="1"/>
  <c r="Z890" i="1"/>
  <c r="Y869" i="1"/>
  <c r="Z869" i="1"/>
  <c r="AA869" i="1"/>
  <c r="Y863" i="1"/>
  <c r="Z863" i="1"/>
  <c r="AA863" i="1"/>
  <c r="Y856" i="1"/>
  <c r="Z856" i="1"/>
  <c r="AA856" i="1"/>
  <c r="Y840" i="1"/>
  <c r="Z840" i="1"/>
  <c r="AA840" i="1"/>
  <c r="Y830" i="1"/>
  <c r="Z830" i="1"/>
  <c r="AA830" i="1"/>
  <c r="AA818" i="1"/>
  <c r="Y811" i="1"/>
  <c r="AA811" i="1"/>
  <c r="Z811" i="1"/>
  <c r="Y798" i="1"/>
  <c r="AA798" i="1"/>
  <c r="Z798" i="1"/>
  <c r="Y769" i="1"/>
  <c r="AA769" i="1"/>
  <c r="Z769" i="1"/>
  <c r="Y762" i="1"/>
  <c r="Z762" i="1"/>
  <c r="AA762" i="1"/>
  <c r="Y731" i="1"/>
  <c r="Z731" i="1"/>
  <c r="AA731" i="1"/>
  <c r="Y664" i="1"/>
  <c r="Z664" i="1"/>
  <c r="AA664" i="1"/>
  <c r="AA3347" i="1"/>
  <c r="Z3347" i="1"/>
  <c r="AA3338" i="1"/>
  <c r="Y3338" i="1"/>
  <c r="Z3338" i="1"/>
  <c r="AA3329" i="1"/>
  <c r="Z3329" i="1"/>
  <c r="AA3320" i="1"/>
  <c r="Y3320" i="1"/>
  <c r="Z3320" i="1"/>
  <c r="AA3315" i="1"/>
  <c r="Y3315" i="1"/>
  <c r="Z3315" i="1"/>
  <c r="AA3306" i="1"/>
  <c r="Y3306" i="1"/>
  <c r="Z3306" i="1"/>
  <c r="AA3297" i="1"/>
  <c r="Z3297" i="1"/>
  <c r="AA3288" i="1"/>
  <c r="Y3288" i="1"/>
  <c r="Z3288" i="1"/>
  <c r="AA3283" i="1"/>
  <c r="Y3283" i="1"/>
  <c r="Z3283" i="1"/>
  <c r="AA3274" i="1"/>
  <c r="Y3274" i="1"/>
  <c r="Z3274" i="1"/>
  <c r="AA3265" i="1"/>
  <c r="Z3265" i="1"/>
  <c r="AA3256" i="1"/>
  <c r="Y3256" i="1"/>
  <c r="Z3256" i="1"/>
  <c r="AA3251" i="1"/>
  <c r="Y3251" i="1"/>
  <c r="Z3251" i="1"/>
  <c r="AA3242" i="1"/>
  <c r="Y3242" i="1"/>
  <c r="Z3242" i="1"/>
  <c r="AA3233" i="1"/>
  <c r="Z3233" i="1"/>
  <c r="AA3224" i="1"/>
  <c r="Y3224" i="1"/>
  <c r="Z3224" i="1"/>
  <c r="AA3219" i="1"/>
  <c r="Y3219" i="1"/>
  <c r="Z3219" i="1"/>
  <c r="Y3210" i="1"/>
  <c r="Z3210" i="1"/>
  <c r="AA3201" i="1"/>
  <c r="Z3201" i="1"/>
  <c r="AA3192" i="1"/>
  <c r="Y3192" i="1"/>
  <c r="Z3192" i="1"/>
  <c r="AA3187" i="1"/>
  <c r="Y3187" i="1"/>
  <c r="Z3187" i="1"/>
  <c r="AA3178" i="1"/>
  <c r="Y3178" i="1"/>
  <c r="Z3178" i="1"/>
  <c r="AA3160" i="1"/>
  <c r="Y3160" i="1"/>
  <c r="Z3160" i="1"/>
  <c r="AA3155" i="1"/>
  <c r="Y3155" i="1"/>
  <c r="Z3155" i="1"/>
  <c r="Z3137" i="1"/>
  <c r="AA3137" i="1"/>
  <c r="Y3137" i="1"/>
  <c r="Z3128" i="1"/>
  <c r="AA3128" i="1"/>
  <c r="Z3091" i="1"/>
  <c r="AA3091" i="1"/>
  <c r="Y3091" i="1"/>
  <c r="Z3082" i="1"/>
  <c r="AA3082" i="1"/>
  <c r="Y3082" i="1"/>
  <c r="Z3073" i="1"/>
  <c r="AA3073" i="1"/>
  <c r="Y3073" i="1"/>
  <c r="Z3064" i="1"/>
  <c r="AA3064" i="1"/>
  <c r="Y3064" i="1"/>
  <c r="Y3059" i="1"/>
  <c r="Z3059" i="1"/>
  <c r="AA3059" i="1"/>
  <c r="AC3054" i="1"/>
  <c r="AD3054" i="1"/>
  <c r="AE3054" i="1"/>
  <c r="AB3054" i="1"/>
  <c r="Y3041" i="1"/>
  <c r="Z3041" i="1"/>
  <c r="Y3032" i="1"/>
  <c r="Z3032" i="1"/>
  <c r="AA3032" i="1"/>
  <c r="Y3027" i="1"/>
  <c r="Z3027" i="1"/>
  <c r="AA3027" i="1"/>
  <c r="AC3022" i="1"/>
  <c r="AD3022" i="1"/>
  <c r="AE3022" i="1"/>
  <c r="AB3022" i="1"/>
  <c r="Y3013" i="1"/>
  <c r="Z3013" i="1"/>
  <c r="AA3013" i="1"/>
  <c r="Y3008" i="1"/>
  <c r="Z3008" i="1"/>
  <c r="AA3008" i="1"/>
  <c r="Y3003" i="1"/>
  <c r="Z3003" i="1"/>
  <c r="AA3003" i="1"/>
  <c r="AC2998" i="1"/>
  <c r="AD2998" i="1"/>
  <c r="AE2998" i="1"/>
  <c r="AB2998" i="1"/>
  <c r="AC2965" i="1"/>
  <c r="AD2965" i="1"/>
  <c r="AE2965" i="1"/>
  <c r="AB2965" i="1"/>
  <c r="Y2952" i="1"/>
  <c r="Z2952" i="1"/>
  <c r="AA2952" i="1"/>
  <c r="Y2947" i="1"/>
  <c r="Z2947" i="1"/>
  <c r="AA2947" i="1"/>
  <c r="Y2888" i="1"/>
  <c r="Z2888" i="1"/>
  <c r="AA2888" i="1"/>
  <c r="Y2883" i="1"/>
  <c r="Z2883" i="1"/>
  <c r="AC2869" i="1"/>
  <c r="AD2869" i="1"/>
  <c r="AE2869" i="1"/>
  <c r="AB2869" i="1"/>
  <c r="Y2831" i="1"/>
  <c r="Z2831" i="1"/>
  <c r="AA2831" i="1"/>
  <c r="AC2826" i="1"/>
  <c r="AD2826" i="1"/>
  <c r="AE2826" i="1"/>
  <c r="AB2826" i="1"/>
  <c r="AC2806" i="1"/>
  <c r="AD2806" i="1"/>
  <c r="AE2806" i="1"/>
  <c r="AB2806" i="1"/>
  <c r="AA2783" i="1"/>
  <c r="Z2783" i="1"/>
  <c r="Y2783" i="1"/>
  <c r="AA2767" i="1"/>
  <c r="Z2767" i="1"/>
  <c r="Y2767" i="1"/>
  <c r="AE2762" i="1"/>
  <c r="AB2762" i="1"/>
  <c r="AC2762" i="1"/>
  <c r="AD2762" i="1"/>
  <c r="AE2757" i="1"/>
  <c r="AB2757" i="1"/>
  <c r="AC2757" i="1"/>
  <c r="AD2757" i="1"/>
  <c r="AA2748" i="1"/>
  <c r="Y2748" i="1"/>
  <c r="Z2748" i="1"/>
  <c r="AC2727" i="1"/>
  <c r="AE2727" i="1"/>
  <c r="AB2727" i="1"/>
  <c r="AD2727" i="1"/>
  <c r="AC2703" i="1"/>
  <c r="AB2703" i="1"/>
  <c r="AD2703" i="1"/>
  <c r="Y2669" i="1"/>
  <c r="AA2669" i="1"/>
  <c r="Z2669" i="1"/>
  <c r="AC2657" i="1"/>
  <c r="AE2657" i="1"/>
  <c r="AB2657" i="1"/>
  <c r="AD2657" i="1"/>
  <c r="AC2634" i="1"/>
  <c r="AE2634" i="1"/>
  <c r="AB2634" i="1"/>
  <c r="AC2628" i="1"/>
  <c r="AD2628" i="1"/>
  <c r="AE2628" i="1"/>
  <c r="AB2628" i="1"/>
  <c r="AC2606" i="1"/>
  <c r="AD2606" i="1"/>
  <c r="AE2606" i="1"/>
  <c r="AB2606" i="1"/>
  <c r="AC2601" i="1"/>
  <c r="AD2601" i="1"/>
  <c r="AE2601" i="1"/>
  <c r="AB2601" i="1"/>
  <c r="AC2573" i="1"/>
  <c r="AE2573" i="1"/>
  <c r="AB2573" i="1"/>
  <c r="AC2545" i="1"/>
  <c r="AB2545" i="1"/>
  <c r="AD2545" i="1"/>
  <c r="AC2514" i="1"/>
  <c r="AB2514" i="1"/>
  <c r="AD2514" i="1"/>
  <c r="AE2514" i="1"/>
  <c r="AC2509" i="1"/>
  <c r="AE2509" i="1"/>
  <c r="AB2509" i="1"/>
  <c r="AD2509" i="1"/>
  <c r="AC2485" i="1"/>
  <c r="AE2485" i="1"/>
  <c r="AB2485" i="1"/>
  <c r="AD2485" i="1"/>
  <c r="AC2465" i="1"/>
  <c r="AB2465" i="1"/>
  <c r="AD2465" i="1"/>
  <c r="AB2432" i="1"/>
  <c r="AC2432" i="1"/>
  <c r="AD2432" i="1"/>
  <c r="AE2432" i="1"/>
  <c r="AB2391" i="1"/>
  <c r="AC2391" i="1"/>
  <c r="AD2391" i="1"/>
  <c r="AB2355" i="1"/>
  <c r="AC2355" i="1"/>
  <c r="AD2355" i="1"/>
  <c r="AE2355" i="1"/>
  <c r="AB2346" i="1"/>
  <c r="AC2346" i="1"/>
  <c r="AD2346" i="1"/>
  <c r="AE2346" i="1"/>
  <c r="AB2337" i="1"/>
  <c r="AC2337" i="1"/>
  <c r="AD2337" i="1"/>
  <c r="AE2337" i="1"/>
  <c r="AB2311" i="1"/>
  <c r="AC2311" i="1"/>
  <c r="AD2311" i="1"/>
  <c r="AE2311" i="1"/>
  <c r="AB2302" i="1"/>
  <c r="AC2302" i="1"/>
  <c r="AD2302" i="1"/>
  <c r="AE2302" i="1"/>
  <c r="AE2290" i="1"/>
  <c r="AB2290" i="1"/>
  <c r="AC2290" i="1"/>
  <c r="AD2290" i="1"/>
  <c r="AB2253" i="1"/>
  <c r="AC2253" i="1"/>
  <c r="AD2253" i="1"/>
  <c r="AC2194" i="1"/>
  <c r="AE2194" i="1"/>
  <c r="AB2194" i="1"/>
  <c r="AD2194" i="1"/>
  <c r="AB2145" i="1"/>
  <c r="AC2145" i="1"/>
  <c r="AE2145" i="1"/>
  <c r="AD2145" i="1"/>
  <c r="AB2126" i="1"/>
  <c r="AC2126" i="1"/>
  <c r="AD2126" i="1"/>
  <c r="AE2126" i="1"/>
  <c r="AB2117" i="1"/>
  <c r="AC2117" i="1"/>
  <c r="AD2117" i="1"/>
  <c r="AE2117" i="1"/>
  <c r="AB2111" i="1"/>
  <c r="AC2111" i="1"/>
  <c r="AD2111" i="1"/>
  <c r="AE2111" i="1"/>
  <c r="AB2097" i="1"/>
  <c r="AC2097" i="1"/>
  <c r="AD2097" i="1"/>
  <c r="AE2097" i="1"/>
  <c r="AB2083" i="1"/>
  <c r="AC2083" i="1"/>
  <c r="AD2083" i="1"/>
  <c r="AE2083" i="1"/>
  <c r="AB2057" i="1"/>
  <c r="AC2057" i="1"/>
  <c r="AD2057" i="1"/>
  <c r="AE2057" i="1"/>
  <c r="AB2047" i="1"/>
  <c r="AC2047" i="1"/>
  <c r="AD2047" i="1"/>
  <c r="AE2047" i="1"/>
  <c r="AB2033" i="1"/>
  <c r="AC2033" i="1"/>
  <c r="AD2033" i="1"/>
  <c r="AE2027" i="1"/>
  <c r="AB2027" i="1"/>
  <c r="AC2027" i="1"/>
  <c r="AD2027" i="1"/>
  <c r="AE2009" i="1"/>
  <c r="AB2009" i="1"/>
  <c r="AC2009" i="1"/>
  <c r="AD2009" i="1"/>
  <c r="AC1985" i="1"/>
  <c r="AD1985" i="1"/>
  <c r="AE1985" i="1"/>
  <c r="AB1985" i="1"/>
  <c r="AC1934" i="1"/>
  <c r="AD1934" i="1"/>
  <c r="AE1934" i="1"/>
  <c r="AB1934" i="1"/>
  <c r="AC1918" i="1"/>
  <c r="AD1918" i="1"/>
  <c r="AE1918" i="1"/>
  <c r="AB1918" i="1"/>
  <c r="AB1913" i="1"/>
  <c r="AC1913" i="1"/>
  <c r="AD1913" i="1"/>
  <c r="AE1913" i="1"/>
  <c r="AB1895" i="1"/>
  <c r="AC1895" i="1"/>
  <c r="AD1895" i="1"/>
  <c r="AE1895" i="1"/>
  <c r="AB1886" i="1"/>
  <c r="AC1886" i="1"/>
  <c r="AD1886" i="1"/>
  <c r="AE1886" i="1"/>
  <c r="AB1877" i="1"/>
  <c r="AC1877" i="1"/>
  <c r="AD1877" i="1"/>
  <c r="AE1877" i="1"/>
  <c r="AB1867" i="1"/>
  <c r="AC1867" i="1"/>
  <c r="AD1867" i="1"/>
  <c r="AB1846" i="1"/>
  <c r="AC1846" i="1"/>
  <c r="AD1846" i="1"/>
  <c r="AB1837" i="1"/>
  <c r="AC1837" i="1"/>
  <c r="AD1837" i="1"/>
  <c r="AE1837" i="1"/>
  <c r="AB1823" i="1"/>
  <c r="AC1823" i="1"/>
  <c r="AD1823" i="1"/>
  <c r="AB1814" i="1"/>
  <c r="AC1814" i="1"/>
  <c r="AD1814" i="1"/>
  <c r="AE1814" i="1"/>
  <c r="AB1809" i="1"/>
  <c r="AC1809" i="1"/>
  <c r="AD1809" i="1"/>
  <c r="AE1809" i="1"/>
  <c r="AB1795" i="1"/>
  <c r="AC1795" i="1"/>
  <c r="AD1795" i="1"/>
  <c r="AE1795" i="1"/>
  <c r="AE1786" i="1"/>
  <c r="AB1786" i="1"/>
  <c r="AC1786" i="1"/>
  <c r="AD1786" i="1"/>
  <c r="AE1777" i="1"/>
  <c r="AB1777" i="1"/>
  <c r="AC1777" i="1"/>
  <c r="AD1777" i="1"/>
  <c r="AB1763" i="1"/>
  <c r="AC1763" i="1"/>
  <c r="AD1763" i="1"/>
  <c r="Y1754" i="1"/>
  <c r="Z1754" i="1"/>
  <c r="Y1688" i="1"/>
  <c r="AA1688" i="1"/>
  <c r="Z1688" i="1"/>
  <c r="Y1673" i="1"/>
  <c r="Z1673" i="1"/>
  <c r="Y1641" i="1"/>
  <c r="Z1641" i="1"/>
  <c r="AA1641" i="1"/>
  <c r="AC1634" i="1"/>
  <c r="AD1634" i="1"/>
  <c r="AE1634" i="1"/>
  <c r="AB1634" i="1"/>
  <c r="AC1613" i="1"/>
  <c r="AD1613" i="1"/>
  <c r="AE1613" i="1"/>
  <c r="AB1613" i="1"/>
  <c r="Y1605" i="1"/>
  <c r="Z1605" i="1"/>
  <c r="AA1605" i="1"/>
  <c r="Y1598" i="1"/>
  <c r="Z1598" i="1"/>
  <c r="Y1573" i="1"/>
  <c r="Z1573" i="1"/>
  <c r="AA1573" i="1"/>
  <c r="Z1509" i="1"/>
  <c r="Y1509" i="1"/>
  <c r="AA1509" i="1"/>
  <c r="Z1488" i="1"/>
  <c r="Y1488" i="1"/>
  <c r="AA1488" i="1"/>
  <c r="Z1465" i="1"/>
  <c r="Y1465" i="1"/>
  <c r="AA1465" i="1"/>
  <c r="Z1449" i="1"/>
  <c r="Y1449" i="1"/>
  <c r="AA1449" i="1"/>
  <c r="Z1442" i="1"/>
  <c r="Y1442" i="1"/>
  <c r="AA1442" i="1"/>
  <c r="Z1418" i="1"/>
  <c r="Y1418" i="1"/>
  <c r="AA1418" i="1"/>
  <c r="Z1407" i="1"/>
  <c r="Y1407" i="1"/>
  <c r="AA1407" i="1"/>
  <c r="Y3329" i="1"/>
  <c r="Y3193" i="1"/>
  <c r="Y3183" i="1"/>
  <c r="Y3140" i="1"/>
  <c r="Y3128" i="1"/>
  <c r="X951" i="1"/>
  <c r="Y1304" i="1"/>
  <c r="AA1304" i="1"/>
  <c r="Z1304" i="1"/>
  <c r="Y1163" i="1"/>
  <c r="AA1163" i="1"/>
  <c r="Z1163" i="1"/>
  <c r="AA1068" i="1"/>
  <c r="Y1068" i="1"/>
  <c r="Z1068" i="1"/>
  <c r="AB982" i="1"/>
  <c r="AC982" i="1"/>
  <c r="AD982" i="1"/>
  <c r="AE982" i="1"/>
  <c r="Y806" i="1"/>
  <c r="Z806" i="1"/>
  <c r="AA806" i="1"/>
  <c r="Y723" i="1"/>
  <c r="Z723" i="1"/>
  <c r="AA723" i="1"/>
  <c r="Y3559" i="1"/>
  <c r="Z3559" i="1"/>
  <c r="AA3559" i="1"/>
  <c r="Y3535" i="1"/>
  <c r="Z3535" i="1"/>
  <c r="AA3535" i="1"/>
  <c r="Y3503" i="1"/>
  <c r="Z3503" i="1"/>
  <c r="AA3503" i="1"/>
  <c r="Y3475" i="1"/>
  <c r="Z3475" i="1"/>
  <c r="AA3475" i="1"/>
  <c r="Y3455" i="1"/>
  <c r="Z3455" i="1"/>
  <c r="AA3455" i="1"/>
  <c r="AA3431" i="1"/>
  <c r="Y3431" i="1"/>
  <c r="Z3431" i="1"/>
  <c r="AA3419" i="1"/>
  <c r="Y3419" i="1"/>
  <c r="Z3419" i="1"/>
  <c r="AA3394" i="1"/>
  <c r="Y3394" i="1"/>
  <c r="Z3394" i="1"/>
  <c r="AA3378" i="1"/>
  <c r="Y3378" i="1"/>
  <c r="Z3378" i="1"/>
  <c r="AA3348" i="1"/>
  <c r="Y3348" i="1"/>
  <c r="Z3348" i="1"/>
  <c r="AA3325" i="1"/>
  <c r="Z3325" i="1"/>
  <c r="AA3252" i="1"/>
  <c r="Y3252" i="1"/>
  <c r="AB3178" i="1"/>
  <c r="AC3178" i="1"/>
  <c r="AD3178" i="1"/>
  <c r="AE3178" i="1"/>
  <c r="Z3133" i="1"/>
  <c r="AA3133" i="1"/>
  <c r="Y3133" i="1"/>
  <c r="AC3073" i="1"/>
  <c r="AD3073" i="1"/>
  <c r="AE3073" i="1"/>
  <c r="AB3073" i="1"/>
  <c r="Y3037" i="1"/>
  <c r="Z3037" i="1"/>
  <c r="AA3037" i="1"/>
  <c r="AC2994" i="1"/>
  <c r="AD2994" i="1"/>
  <c r="AE2994" i="1"/>
  <c r="AB2994" i="1"/>
  <c r="Y2712" i="1"/>
  <c r="Z2712" i="1"/>
  <c r="AB2461" i="1"/>
  <c r="AC2461" i="1"/>
  <c r="AD2461" i="1"/>
  <c r="AB2333" i="1"/>
  <c r="AC2333" i="1"/>
  <c r="AD2333" i="1"/>
  <c r="AE2333" i="1"/>
  <c r="AB2102" i="1"/>
  <c r="AC2102" i="1"/>
  <c r="AD2102" i="1"/>
  <c r="AE2102" i="1"/>
  <c r="AE2038" i="1"/>
  <c r="AC2038" i="1"/>
  <c r="AD2038" i="1"/>
  <c r="AB2038" i="1"/>
  <c r="AE2014" i="1"/>
  <c r="AC2014" i="1"/>
  <c r="AD2014" i="1"/>
  <c r="AB2014" i="1"/>
  <c r="AC1965" i="1"/>
  <c r="AD1965" i="1"/>
  <c r="AE1965" i="1"/>
  <c r="AB1965" i="1"/>
  <c r="AB1863" i="1"/>
  <c r="AC1863" i="1"/>
  <c r="AD1863" i="1"/>
  <c r="AE1863" i="1"/>
  <c r="AB1759" i="1"/>
  <c r="AC1759" i="1"/>
  <c r="AD1759" i="1"/>
  <c r="Y1682" i="1"/>
  <c r="AA1682" i="1"/>
  <c r="Z1682" i="1"/>
  <c r="Y963" i="1"/>
  <c r="Z963" i="1"/>
  <c r="AA963" i="1"/>
  <c r="AC1272" i="1"/>
  <c r="AD1272" i="1"/>
  <c r="AE1272" i="1"/>
  <c r="AB1272" i="1"/>
  <c r="Y1173" i="1"/>
  <c r="AA1173" i="1"/>
  <c r="Z1173" i="1"/>
  <c r="AA1076" i="1"/>
  <c r="Y1076" i="1"/>
  <c r="Z1076" i="1"/>
  <c r="AA1047" i="1"/>
  <c r="Y1047" i="1"/>
  <c r="Z1047" i="1"/>
  <c r="Y1010" i="1"/>
  <c r="Z1010" i="1"/>
  <c r="AA1010" i="1"/>
  <c r="AB953" i="1"/>
  <c r="AC953" i="1"/>
  <c r="AD953" i="1"/>
  <c r="AE953" i="1"/>
  <c r="AC883" i="1"/>
  <c r="AD883" i="1"/>
  <c r="AE883" i="1"/>
  <c r="AB883" i="1"/>
  <c r="AC817" i="1"/>
  <c r="AB817" i="1"/>
  <c r="AD817" i="1"/>
  <c r="AE817" i="1"/>
  <c r="Y805" i="1"/>
  <c r="Z805" i="1"/>
  <c r="AA805" i="1"/>
  <c r="AE730" i="1"/>
  <c r="AB730" i="1"/>
  <c r="AD730" i="1"/>
  <c r="AC730" i="1"/>
  <c r="Y3578" i="1"/>
  <c r="Z3578" i="1"/>
  <c r="AA3578" i="1"/>
  <c r="Y3570" i="1"/>
  <c r="Z3570" i="1"/>
  <c r="AA3570" i="1"/>
  <c r="Y3562" i="1"/>
  <c r="Z3562" i="1"/>
  <c r="AA3562" i="1"/>
  <c r="Y3542" i="1"/>
  <c r="Z3542" i="1"/>
  <c r="AA3542" i="1"/>
  <c r="Y3534" i="1"/>
  <c r="Z3534" i="1"/>
  <c r="AA3534" i="1"/>
  <c r="Y3530" i="1"/>
  <c r="Z3530" i="1"/>
  <c r="AA3530" i="1"/>
  <c r="Y3518" i="1"/>
  <c r="Z3518" i="1"/>
  <c r="AA3518" i="1"/>
  <c r="Y3510" i="1"/>
  <c r="Z3510" i="1"/>
  <c r="AA3510" i="1"/>
  <c r="Y3502" i="1"/>
  <c r="Z3502" i="1"/>
  <c r="AA3502" i="1"/>
  <c r="Y3498" i="1"/>
  <c r="Z3498" i="1"/>
  <c r="AA3498" i="1"/>
  <c r="Y3490" i="1"/>
  <c r="Z3490" i="1"/>
  <c r="AA3490" i="1"/>
  <c r="Y3478" i="1"/>
  <c r="Z3478" i="1"/>
  <c r="AA3478" i="1"/>
  <c r="Y3470" i="1"/>
  <c r="Z3470" i="1"/>
  <c r="AA3470" i="1"/>
  <c r="Y3462" i="1"/>
  <c r="Z3462" i="1"/>
  <c r="AA3462" i="1"/>
  <c r="Y3446" i="1"/>
  <c r="Z3446" i="1"/>
  <c r="AA3446" i="1"/>
  <c r="Y3438" i="1"/>
  <c r="Z3438" i="1"/>
  <c r="AA3438" i="1"/>
  <c r="AA3430" i="1"/>
  <c r="Z3430" i="1"/>
  <c r="AA3397" i="1"/>
  <c r="Z3397" i="1"/>
  <c r="Z3393" i="1"/>
  <c r="AA3389" i="1"/>
  <c r="Z3389" i="1"/>
  <c r="AA3381" i="1"/>
  <c r="Z3381" i="1"/>
  <c r="AA3373" i="1"/>
  <c r="Z3373" i="1"/>
  <c r="AA3365" i="1"/>
  <c r="Z3365" i="1"/>
  <c r="AA3361" i="1"/>
  <c r="Z3361" i="1"/>
  <c r="AB3314" i="1"/>
  <c r="AC3314" i="1"/>
  <c r="AD3314" i="1"/>
  <c r="AE3314" i="1"/>
  <c r="AB3305" i="1"/>
  <c r="AC3305" i="1"/>
  <c r="AD3305" i="1"/>
  <c r="AE3305" i="1"/>
  <c r="AA3287" i="1"/>
  <c r="Z3287" i="1"/>
  <c r="AA3278" i="1"/>
  <c r="Y3278" i="1"/>
  <c r="AB3264" i="1"/>
  <c r="AC3264" i="1"/>
  <c r="AD3264" i="1"/>
  <c r="AE3264" i="1"/>
  <c r="AA3260" i="1"/>
  <c r="Y3260" i="1"/>
  <c r="AA3255" i="1"/>
  <c r="Z3255" i="1"/>
  <c r="AA3246" i="1"/>
  <c r="Y3246" i="1"/>
  <c r="AA3237" i="1"/>
  <c r="Y3237" i="1"/>
  <c r="Z3237" i="1"/>
  <c r="AA3228" i="1"/>
  <c r="Y3228" i="1"/>
  <c r="AA3223" i="1"/>
  <c r="Z3223" i="1"/>
  <c r="AA3205" i="1"/>
  <c r="Y3205" i="1"/>
  <c r="Z3205" i="1"/>
  <c r="AA3196" i="1"/>
  <c r="Y3196" i="1"/>
  <c r="AA3191" i="1"/>
  <c r="Z3191" i="1"/>
  <c r="AA3182" i="1"/>
  <c r="Y3182" i="1"/>
  <c r="AA3173" i="1"/>
  <c r="Y3173" i="1"/>
  <c r="Z3173" i="1"/>
  <c r="AA3164" i="1"/>
  <c r="Y3164" i="1"/>
  <c r="AD3154" i="1"/>
  <c r="AE3154" i="1"/>
  <c r="AB3154" i="1"/>
  <c r="AC3154" i="1"/>
  <c r="AA3150" i="1"/>
  <c r="Y3150" i="1"/>
  <c r="Z3150" i="1"/>
  <c r="AD3136" i="1"/>
  <c r="AE3136" i="1"/>
  <c r="AB3136" i="1"/>
  <c r="AC3136" i="1"/>
  <c r="Z3132" i="1"/>
  <c r="AA3132" i="1"/>
  <c r="Z3127" i="1"/>
  <c r="AA3127" i="1"/>
  <c r="Y3127" i="1"/>
  <c r="AD3122" i="1"/>
  <c r="AE3122" i="1"/>
  <c r="AB3122" i="1"/>
  <c r="AC3122" i="1"/>
  <c r="Z3100" i="1"/>
  <c r="AA3100" i="1"/>
  <c r="Y3100" i="1"/>
  <c r="Z3095" i="1"/>
  <c r="AA3095" i="1"/>
  <c r="Y3095" i="1"/>
  <c r="Z3077" i="1"/>
  <c r="AA3077" i="1"/>
  <c r="Y3077" i="1"/>
  <c r="AC3072" i="1"/>
  <c r="AD3072" i="1"/>
  <c r="AE3072" i="1"/>
  <c r="AB3072" i="1"/>
  <c r="Z3068" i="1"/>
  <c r="AA3068" i="1"/>
  <c r="Y3068" i="1"/>
  <c r="Z3063" i="1"/>
  <c r="AA3063" i="1"/>
  <c r="Y3063" i="1"/>
  <c r="AC3058" i="1"/>
  <c r="AD3058" i="1"/>
  <c r="AE3058" i="1"/>
  <c r="AB3058" i="1"/>
  <c r="AC3049" i="1"/>
  <c r="AD3049" i="1"/>
  <c r="AE3049" i="1"/>
  <c r="AB3049" i="1"/>
  <c r="Y3045" i="1"/>
  <c r="Z3045" i="1"/>
  <c r="AC3040" i="1"/>
  <c r="AD3040" i="1"/>
  <c r="AE3040" i="1"/>
  <c r="Y3036" i="1"/>
  <c r="Z3036" i="1"/>
  <c r="AA3036" i="1"/>
  <c r="Y3031" i="1"/>
  <c r="Z3031" i="1"/>
  <c r="AA3031" i="1"/>
  <c r="AC3026" i="1"/>
  <c r="AD3026" i="1"/>
  <c r="AE3026" i="1"/>
  <c r="AB3026" i="1"/>
  <c r="AC3012" i="1"/>
  <c r="AD3012" i="1"/>
  <c r="AE3012" i="1"/>
  <c r="AB3012" i="1"/>
  <c r="Y3007" i="1"/>
  <c r="Z3007" i="1"/>
  <c r="AA3007" i="1"/>
  <c r="AC2981" i="1"/>
  <c r="AD2981" i="1"/>
  <c r="AE2981" i="1"/>
  <c r="AB2981" i="1"/>
  <c r="Y2976" i="1"/>
  <c r="Z2976" i="1"/>
  <c r="AA2976" i="1"/>
  <c r="AC2969" i="1"/>
  <c r="AD2969" i="1"/>
  <c r="AB2969" i="1"/>
  <c r="AC2960" i="1"/>
  <c r="AD2960" i="1"/>
  <c r="AE2960" i="1"/>
  <c r="AB2960" i="1"/>
  <c r="Y2951" i="1"/>
  <c r="Z2951" i="1"/>
  <c r="AA2951" i="1"/>
  <c r="AC2937" i="1"/>
  <c r="AD2937" i="1"/>
  <c r="AE2937" i="1"/>
  <c r="AB2937" i="1"/>
  <c r="AC2932" i="1"/>
  <c r="AD2932" i="1"/>
  <c r="AE2932" i="1"/>
  <c r="AB2932" i="1"/>
  <c r="AC2926" i="1"/>
  <c r="AD2926" i="1"/>
  <c r="AE2926" i="1"/>
  <c r="AB2926" i="1"/>
  <c r="Y2915" i="1"/>
  <c r="Z2915" i="1"/>
  <c r="AA2915" i="1"/>
  <c r="Y2892" i="1"/>
  <c r="Z2892" i="1"/>
  <c r="AA2892" i="1"/>
  <c r="Y2887" i="1"/>
  <c r="Z2887" i="1"/>
  <c r="AA2887" i="1"/>
  <c r="AC2864" i="1"/>
  <c r="AD2864" i="1"/>
  <c r="AE2864" i="1"/>
  <c r="AB2864" i="1"/>
  <c r="Y2816" i="1"/>
  <c r="Z2816" i="1"/>
  <c r="AA2816" i="1"/>
  <c r="AC2800" i="1"/>
  <c r="AD2800" i="1"/>
  <c r="AE2800" i="1"/>
  <c r="AB2800" i="1"/>
  <c r="AA2772" i="1"/>
  <c r="Y2772" i="1"/>
  <c r="Z2772" i="1"/>
  <c r="AE2766" i="1"/>
  <c r="AB2766" i="1"/>
  <c r="AC2766" i="1"/>
  <c r="AE2747" i="1"/>
  <c r="AB2747" i="1"/>
  <c r="AC2747" i="1"/>
  <c r="AD2747" i="1"/>
  <c r="AE2737" i="1"/>
  <c r="AB2737" i="1"/>
  <c r="AC2737" i="1"/>
  <c r="AD2737" i="1"/>
  <c r="AA2732" i="1"/>
  <c r="Y2732" i="1"/>
  <c r="Z2732" i="1"/>
  <c r="Y2716" i="1"/>
  <c r="Z2716" i="1"/>
  <c r="AC2697" i="1"/>
  <c r="AE2697" i="1"/>
  <c r="AB2697" i="1"/>
  <c r="AD2697" i="1"/>
  <c r="AC2680" i="1"/>
  <c r="AE2680" i="1"/>
  <c r="AB2680" i="1"/>
  <c r="AC2668" i="1"/>
  <c r="AE2668" i="1"/>
  <c r="AB2668" i="1"/>
  <c r="AD2668" i="1"/>
  <c r="AC2662" i="1"/>
  <c r="AE2662" i="1"/>
  <c r="AB2662" i="1"/>
  <c r="AD2662" i="1"/>
  <c r="AC2638" i="1"/>
  <c r="AD2638" i="1"/>
  <c r="AE2638" i="1"/>
  <c r="AB2638" i="1"/>
  <c r="AC2610" i="1"/>
  <c r="AD2610" i="1"/>
  <c r="AB2610" i="1"/>
  <c r="AC2594" i="1"/>
  <c r="AD2594" i="1"/>
  <c r="AE2594" i="1"/>
  <c r="AB2594" i="1"/>
  <c r="AC2577" i="1"/>
  <c r="AD2577" i="1"/>
  <c r="AE2577" i="1"/>
  <c r="AB2577" i="1"/>
  <c r="AC2568" i="1"/>
  <c r="AD2568" i="1"/>
  <c r="AE2568" i="1"/>
  <c r="AB2568" i="1"/>
  <c r="AC2562" i="1"/>
  <c r="AD2562" i="1"/>
  <c r="AB2562" i="1"/>
  <c r="AC2550" i="1"/>
  <c r="AD2550" i="1"/>
  <c r="AE2550" i="1"/>
  <c r="AB2550" i="1"/>
  <c r="AC2540" i="1"/>
  <c r="AB2540" i="1"/>
  <c r="AD2540" i="1"/>
  <c r="AC2526" i="1"/>
  <c r="AB2526" i="1"/>
  <c r="AD2526" i="1"/>
  <c r="AE2526" i="1"/>
  <c r="AC2480" i="1"/>
  <c r="AB2480" i="1"/>
  <c r="AD2480" i="1"/>
  <c r="AE2480" i="1"/>
  <c r="AC2469" i="1"/>
  <c r="AB2469" i="1"/>
  <c r="AD2469" i="1"/>
  <c r="AE2469" i="1"/>
  <c r="AB2460" i="1"/>
  <c r="AC2460" i="1"/>
  <c r="AD2460" i="1"/>
  <c r="AB2450" i="1"/>
  <c r="AC2450" i="1"/>
  <c r="AD2450" i="1"/>
  <c r="AB2430" i="1"/>
  <c r="AC2430" i="1"/>
  <c r="AD2430" i="1"/>
  <c r="AE2430" i="1"/>
  <c r="AB2395" i="1"/>
  <c r="AC2395" i="1"/>
  <c r="AD2395" i="1"/>
  <c r="AB2378" i="1"/>
  <c r="AC2378" i="1"/>
  <c r="AD2378" i="1"/>
  <c r="AE2378" i="1"/>
  <c r="AB2367" i="1"/>
  <c r="AC2367" i="1"/>
  <c r="AD2367" i="1"/>
  <c r="AE2367" i="1"/>
  <c r="AB2350" i="1"/>
  <c r="AC2350" i="1"/>
  <c r="AD2350" i="1"/>
  <c r="AE2350" i="1"/>
  <c r="AB2341" i="1"/>
  <c r="AC2341" i="1"/>
  <c r="AD2341" i="1"/>
  <c r="AE2341" i="1"/>
  <c r="AB2327" i="1"/>
  <c r="AC2327" i="1"/>
  <c r="AD2327" i="1"/>
  <c r="AE2327" i="1"/>
  <c r="AB2315" i="1"/>
  <c r="AC2315" i="1"/>
  <c r="AD2315" i="1"/>
  <c r="AE2315" i="1"/>
  <c r="AE2257" i="1"/>
  <c r="AB2257" i="1"/>
  <c r="AC2257" i="1"/>
  <c r="AD2257" i="1"/>
  <c r="AC2198" i="1"/>
  <c r="AE2198" i="1"/>
  <c r="AB2198" i="1"/>
  <c r="AD2198" i="1"/>
  <c r="AB2135" i="1"/>
  <c r="AC2135" i="1"/>
  <c r="AD2135" i="1"/>
  <c r="AE2135" i="1"/>
  <c r="AB2130" i="1"/>
  <c r="AC2130" i="1"/>
  <c r="AD2130" i="1"/>
  <c r="AE2130" i="1"/>
  <c r="AB2121" i="1"/>
  <c r="AC2121" i="1"/>
  <c r="AD2121" i="1"/>
  <c r="AE2121" i="1"/>
  <c r="AB2115" i="1"/>
  <c r="AC2115" i="1"/>
  <c r="AD2115" i="1"/>
  <c r="AE2115" i="1"/>
  <c r="AB2101" i="1"/>
  <c r="AC2101" i="1"/>
  <c r="AD2101" i="1"/>
  <c r="AE2101" i="1"/>
  <c r="AB2087" i="1"/>
  <c r="AC2087" i="1"/>
  <c r="AD2087" i="1"/>
  <c r="AE2087" i="1"/>
  <c r="AB2073" i="1"/>
  <c r="AC2073" i="1"/>
  <c r="AD2073" i="1"/>
  <c r="AE2073" i="1"/>
  <c r="AC2042" i="1"/>
  <c r="AD2042" i="1"/>
  <c r="AE2042" i="1"/>
  <c r="AB2042" i="1"/>
  <c r="AE2037" i="1"/>
  <c r="AB2037" i="1"/>
  <c r="AC2037" i="1"/>
  <c r="AD2037" i="1"/>
  <c r="AE2022" i="1"/>
  <c r="AC2022" i="1"/>
  <c r="AD2022" i="1"/>
  <c r="AB2022" i="1"/>
  <c r="AE2013" i="1"/>
  <c r="AB2013" i="1"/>
  <c r="AC2013" i="1"/>
  <c r="AD2013" i="1"/>
  <c r="AC1989" i="1"/>
  <c r="AD1989" i="1"/>
  <c r="AE1989" i="1"/>
  <c r="AB1989" i="1"/>
  <c r="AC1959" i="1"/>
  <c r="AD1959" i="1"/>
  <c r="AE1959" i="1"/>
  <c r="AB1959" i="1"/>
  <c r="AC1941" i="1"/>
  <c r="AD1941" i="1"/>
  <c r="AB1941" i="1"/>
  <c r="AB1911" i="1"/>
  <c r="AC1911" i="1"/>
  <c r="AD1911" i="1"/>
  <c r="AE1911" i="1"/>
  <c r="AB1899" i="1"/>
  <c r="AC1899" i="1"/>
  <c r="AD1899" i="1"/>
  <c r="AE1899" i="1"/>
  <c r="AB1890" i="1"/>
  <c r="AC1890" i="1"/>
  <c r="AD1890" i="1"/>
  <c r="AE1890" i="1"/>
  <c r="AB1881" i="1"/>
  <c r="AC1881" i="1"/>
  <c r="AD1881" i="1"/>
  <c r="AE1881" i="1"/>
  <c r="AB1862" i="1"/>
  <c r="AC1862" i="1"/>
  <c r="AD1862" i="1"/>
  <c r="AE1862" i="1"/>
  <c r="AB1851" i="1"/>
  <c r="AC1851" i="1"/>
  <c r="AD1851" i="1"/>
  <c r="AB1841" i="1"/>
  <c r="AC1841" i="1"/>
  <c r="AD1841" i="1"/>
  <c r="AE1841" i="1"/>
  <c r="AB1827" i="1"/>
  <c r="AC1827" i="1"/>
  <c r="AD1827" i="1"/>
  <c r="AE1827" i="1"/>
  <c r="AB1818" i="1"/>
  <c r="AC1818" i="1"/>
  <c r="AD1818" i="1"/>
  <c r="AE1818" i="1"/>
  <c r="AB1790" i="1"/>
  <c r="AC1790" i="1"/>
  <c r="AD1790" i="1"/>
  <c r="AE1790" i="1"/>
  <c r="AC1781" i="1"/>
  <c r="AD1781" i="1"/>
  <c r="AE1767" i="1"/>
  <c r="AB1767" i="1"/>
  <c r="AC1767" i="1"/>
  <c r="AD1767" i="1"/>
  <c r="Y1726" i="1"/>
  <c r="Z1726" i="1"/>
  <c r="Y1672" i="1"/>
  <c r="AA1672" i="1"/>
  <c r="Z1672" i="1"/>
  <c r="Y1626" i="1"/>
  <c r="Z1626" i="1"/>
  <c r="AA1626" i="1"/>
  <c r="Y1619" i="1"/>
  <c r="Z1619" i="1"/>
  <c r="AA1619" i="1"/>
  <c r="Y1587" i="1"/>
  <c r="Z1587" i="1"/>
  <c r="AA1587" i="1"/>
  <c r="Y1568" i="1"/>
  <c r="Z1568" i="1"/>
  <c r="AA1568" i="1"/>
  <c r="Z1508" i="1"/>
  <c r="Y1508" i="1"/>
  <c r="AA1508" i="1"/>
  <c r="Z1448" i="1"/>
  <c r="Y1448" i="1"/>
  <c r="AA1448" i="1"/>
  <c r="AB1441" i="1"/>
  <c r="AD1441" i="1"/>
  <c r="AE1441" i="1"/>
  <c r="AC1441" i="1"/>
  <c r="Y3430" i="1"/>
  <c r="Y3403" i="1"/>
  <c r="Y3297" i="1"/>
  <c r="Z3276" i="1"/>
  <c r="Y3265" i="1"/>
  <c r="Z3254" i="1"/>
  <c r="Z3236" i="1"/>
  <c r="Z3222" i="1"/>
  <c r="Y966" i="1"/>
  <c r="Z966" i="1"/>
  <c r="AA966" i="1"/>
  <c r="Y1247" i="1"/>
  <c r="AA1247" i="1"/>
  <c r="Z1247" i="1"/>
  <c r="AA1057" i="1"/>
  <c r="Y1057" i="1"/>
  <c r="Z1057" i="1"/>
  <c r="Y992" i="1"/>
  <c r="Z992" i="1"/>
  <c r="AA992" i="1"/>
  <c r="AB938" i="1"/>
  <c r="AC938" i="1"/>
  <c r="AD938" i="1"/>
  <c r="AE938" i="1"/>
  <c r="AC869" i="1"/>
  <c r="AB869" i="1"/>
  <c r="AD869" i="1"/>
  <c r="AE869" i="1"/>
  <c r="Y850" i="1"/>
  <c r="AA850" i="1"/>
  <c r="Z850" i="1"/>
  <c r="Y819" i="1"/>
  <c r="Z819" i="1"/>
  <c r="AA819" i="1"/>
  <c r="Y794" i="1"/>
  <c r="AA794" i="1"/>
  <c r="Z794" i="1"/>
  <c r="Y3579" i="1"/>
  <c r="Z3579" i="1"/>
  <c r="AA3579" i="1"/>
  <c r="Y3551" i="1"/>
  <c r="Z3551" i="1"/>
  <c r="AA3551" i="1"/>
  <c r="Y3499" i="1"/>
  <c r="Z3499" i="1"/>
  <c r="Y3471" i="1"/>
  <c r="Z3471" i="1"/>
  <c r="AA3471" i="1"/>
  <c r="Y3443" i="1"/>
  <c r="Z3443" i="1"/>
  <c r="AA3443" i="1"/>
  <c r="AA3423" i="1"/>
  <c r="Y3423" i="1"/>
  <c r="Z3423" i="1"/>
  <c r="AA3390" i="1"/>
  <c r="Y3390" i="1"/>
  <c r="Z3390" i="1"/>
  <c r="AA3374" i="1"/>
  <c r="Y3374" i="1"/>
  <c r="Z3374" i="1"/>
  <c r="AA3334" i="1"/>
  <c r="Y3334" i="1"/>
  <c r="Z3334" i="1"/>
  <c r="AB3288" i="1"/>
  <c r="AC3288" i="1"/>
  <c r="AD3288" i="1"/>
  <c r="AE3288" i="1"/>
  <c r="AA3261" i="1"/>
  <c r="Y3261" i="1"/>
  <c r="Z3261" i="1"/>
  <c r="AA3229" i="1"/>
  <c r="Y3229" i="1"/>
  <c r="Z3229" i="1"/>
  <c r="AA3188" i="1"/>
  <c r="Y3188" i="1"/>
  <c r="AA3174" i="1"/>
  <c r="Y3174" i="1"/>
  <c r="AA3151" i="1"/>
  <c r="Z3151" i="1"/>
  <c r="Z3101" i="1"/>
  <c r="AA3101" i="1"/>
  <c r="Y3101" i="1"/>
  <c r="Z3092" i="1"/>
  <c r="AA3092" i="1"/>
  <c r="Y3092" i="1"/>
  <c r="Z3069" i="1"/>
  <c r="AA3069" i="1"/>
  <c r="Y3069" i="1"/>
  <c r="Y3055" i="1"/>
  <c r="Z3055" i="1"/>
  <c r="AA3055" i="1"/>
  <c r="Y3004" i="1"/>
  <c r="Z3004" i="1"/>
  <c r="AA3004" i="1"/>
  <c r="Y2899" i="1"/>
  <c r="Z2899" i="1"/>
  <c r="AA2899" i="1"/>
  <c r="AA2763" i="1"/>
  <c r="Z2763" i="1"/>
  <c r="Y2763" i="1"/>
  <c r="AC2669" i="1"/>
  <c r="AE2669" i="1"/>
  <c r="AB2669" i="1"/>
  <c r="AD2669" i="1"/>
  <c r="AB2374" i="1"/>
  <c r="AC2374" i="1"/>
  <c r="AD2374" i="1"/>
  <c r="AE2374" i="1"/>
  <c r="AE2249" i="1"/>
  <c r="AB2249" i="1"/>
  <c r="AC2249" i="1"/>
  <c r="AD2249" i="1"/>
  <c r="AD2043" i="1"/>
  <c r="AE2043" i="1"/>
  <c r="AB2043" i="1"/>
  <c r="AC2043" i="1"/>
  <c r="AB1905" i="1"/>
  <c r="AC1905" i="1"/>
  <c r="AD1905" i="1"/>
  <c r="AE1905" i="1"/>
  <c r="AB1873" i="1"/>
  <c r="AC1873" i="1"/>
  <c r="AD1873" i="1"/>
  <c r="AE1873" i="1"/>
  <c r="AB1791" i="1"/>
  <c r="AC1791" i="1"/>
  <c r="AD1791" i="1"/>
  <c r="Y1642" i="1"/>
  <c r="Z1642" i="1"/>
  <c r="AA1642" i="1"/>
  <c r="Y1621" i="1"/>
  <c r="Z1621" i="1"/>
  <c r="AA1621" i="1"/>
  <c r="Z1410" i="1"/>
  <c r="Y1410" i="1"/>
  <c r="AA1410" i="1"/>
  <c r="Y1246" i="1"/>
  <c r="AA1246" i="1"/>
  <c r="Z1246" i="1"/>
  <c r="AA1041" i="1"/>
  <c r="Y1041" i="1"/>
  <c r="Z1041" i="1"/>
  <c r="Y997" i="1"/>
  <c r="Z997" i="1"/>
  <c r="AA997" i="1"/>
  <c r="Z929" i="1"/>
  <c r="AA929" i="1"/>
  <c r="Y929" i="1"/>
  <c r="Z913" i="1"/>
  <c r="Y913" i="1"/>
  <c r="AC853" i="1"/>
  <c r="AB853" i="1"/>
  <c r="AD853" i="1"/>
  <c r="AE853" i="1"/>
  <c r="Y834" i="1"/>
  <c r="Z834" i="1"/>
  <c r="AA834" i="1"/>
  <c r="AE767" i="1"/>
  <c r="AC767" i="1"/>
  <c r="AD767" i="1"/>
  <c r="AB767" i="1"/>
  <c r="Y3574" i="1"/>
  <c r="Z3574" i="1"/>
  <c r="AA3574" i="1"/>
  <c r="Y3566" i="1"/>
  <c r="Z3566" i="1"/>
  <c r="AA3566" i="1"/>
  <c r="Y3558" i="1"/>
  <c r="Z3558" i="1"/>
  <c r="AA3558" i="1"/>
  <c r="Y3550" i="1"/>
  <c r="Z3550" i="1"/>
  <c r="AA3550" i="1"/>
  <c r="Y3538" i="1"/>
  <c r="Z3538" i="1"/>
  <c r="AA3538" i="1"/>
  <c r="Y3526" i="1"/>
  <c r="Z3526" i="1"/>
  <c r="AA3526" i="1"/>
  <c r="Y3522" i="1"/>
  <c r="Z3522" i="1"/>
  <c r="AA3522" i="1"/>
  <c r="Y3514" i="1"/>
  <c r="Z3514" i="1"/>
  <c r="AA3514" i="1"/>
  <c r="Y3506" i="1"/>
  <c r="Z3506" i="1"/>
  <c r="AA3506" i="1"/>
  <c r="Y3494" i="1"/>
  <c r="Z3494" i="1"/>
  <c r="AA3494" i="1"/>
  <c r="Y3486" i="1"/>
  <c r="Z3486" i="1"/>
  <c r="AA3486" i="1"/>
  <c r="Y3482" i="1"/>
  <c r="Z3482" i="1"/>
  <c r="AA3482" i="1"/>
  <c r="Y3466" i="1"/>
  <c r="Z3466" i="1"/>
  <c r="AA3466" i="1"/>
  <c r="Y3458" i="1"/>
  <c r="Z3458" i="1"/>
  <c r="AA3458" i="1"/>
  <c r="Y3442" i="1"/>
  <c r="Z3442" i="1"/>
  <c r="AA3442" i="1"/>
  <c r="Y3434" i="1"/>
  <c r="Z3434" i="1"/>
  <c r="AA3434" i="1"/>
  <c r="AA3418" i="1"/>
  <c r="Z3418" i="1"/>
  <c r="AA3405" i="1"/>
  <c r="Z3405" i="1"/>
  <c r="AA3385" i="1"/>
  <c r="Z3385" i="1"/>
  <c r="AA3369" i="1"/>
  <c r="Z3369" i="1"/>
  <c r="AB3346" i="1"/>
  <c r="AD3346" i="1"/>
  <c r="AE3346" i="1"/>
  <c r="AA3333" i="1"/>
  <c r="Z3333" i="1"/>
  <c r="AA3324" i="1"/>
  <c r="Y3324" i="1"/>
  <c r="Z3324" i="1"/>
  <c r="Z3319" i="1"/>
  <c r="AA3301" i="1"/>
  <c r="Y3301" i="1"/>
  <c r="Z3301" i="1"/>
  <c r="AB3282" i="1"/>
  <c r="AC3282" i="1"/>
  <c r="AD3282" i="1"/>
  <c r="AE3282" i="1"/>
  <c r="AB3273" i="1"/>
  <c r="AC3273" i="1"/>
  <c r="AD3273" i="1"/>
  <c r="AE3273" i="1"/>
  <c r="AA3269" i="1"/>
  <c r="Y3269" i="1"/>
  <c r="Z3269" i="1"/>
  <c r="AB3250" i="1"/>
  <c r="AC3250" i="1"/>
  <c r="AD3250" i="1"/>
  <c r="AE3250" i="1"/>
  <c r="Z3159" i="1"/>
  <c r="Y3159" i="1"/>
  <c r="X933" i="1"/>
  <c r="Y960" i="1"/>
  <c r="Z960" i="1"/>
  <c r="AA960" i="1"/>
  <c r="X995" i="1"/>
  <c r="AA2" i="1"/>
  <c r="Z2" i="1"/>
  <c r="Y1316" i="1"/>
  <c r="AA1316" i="1"/>
  <c r="Z1316" i="1"/>
  <c r="Y1294" i="1"/>
  <c r="AA1294" i="1"/>
  <c r="Z1294" i="1"/>
  <c r="Y1278" i="1"/>
  <c r="AA1278" i="1"/>
  <c r="Z1278" i="1"/>
  <c r="Y1272" i="1"/>
  <c r="AA1272" i="1"/>
  <c r="Z1272" i="1"/>
  <c r="Y1264" i="1"/>
  <c r="AA1264" i="1"/>
  <c r="Z1264" i="1"/>
  <c r="Y1245" i="1"/>
  <c r="AA1245" i="1"/>
  <c r="Z1245" i="1"/>
  <c r="Y1238" i="1"/>
  <c r="AA1238" i="1"/>
  <c r="Z1238" i="1"/>
  <c r="Y1220" i="1"/>
  <c r="AA1220" i="1"/>
  <c r="Z1220" i="1"/>
  <c r="Y1195" i="1"/>
  <c r="AA1195" i="1"/>
  <c r="Z1195" i="1"/>
  <c r="Y1172" i="1"/>
  <c r="AA1172" i="1"/>
  <c r="Z1172" i="1"/>
  <c r="Y1161" i="1"/>
  <c r="AA1161" i="1"/>
  <c r="Z1161" i="1"/>
  <c r="AA1091" i="1"/>
  <c r="Y1091" i="1"/>
  <c r="Z1091" i="1"/>
  <c r="AA1086" i="1"/>
  <c r="Y1086" i="1"/>
  <c r="Z1086" i="1"/>
  <c r="AA1075" i="1"/>
  <c r="Y1075" i="1"/>
  <c r="Z1075" i="1"/>
  <c r="AA1066" i="1"/>
  <c r="Y1066" i="1"/>
  <c r="Z1066" i="1"/>
  <c r="AA1060" i="1"/>
  <c r="Y1060" i="1"/>
  <c r="Z1060" i="1"/>
  <c r="AA1046" i="1"/>
  <c r="Y1046" i="1"/>
  <c r="Z1046" i="1"/>
  <c r="Y1040" i="1"/>
  <c r="AA1040" i="1"/>
  <c r="Z1040" i="1"/>
  <c r="Y1035" i="1"/>
  <c r="Z1035" i="1"/>
  <c r="AA1035" i="1"/>
  <c r="Y1025" i="1"/>
  <c r="Z1025" i="1"/>
  <c r="AA1025" i="1"/>
  <c r="Y1020" i="1"/>
  <c r="Z1020" i="1"/>
  <c r="AA1020" i="1"/>
  <c r="Y1001" i="1"/>
  <c r="Z1001" i="1"/>
  <c r="AA1001" i="1"/>
  <c r="Y996" i="1"/>
  <c r="Z996" i="1"/>
  <c r="AA996" i="1"/>
  <c r="Y980" i="1"/>
  <c r="Z980" i="1"/>
  <c r="AA980" i="1"/>
  <c r="Y961" i="1"/>
  <c r="Z961" i="1"/>
  <c r="AA961" i="1"/>
  <c r="Y953" i="1"/>
  <c r="Z953" i="1"/>
  <c r="AA953" i="1"/>
  <c r="Y943" i="1"/>
  <c r="Z943" i="1"/>
  <c r="AA943" i="1"/>
  <c r="Y928" i="1"/>
  <c r="Z928" i="1"/>
  <c r="AA928" i="1"/>
  <c r="AA906" i="1"/>
  <c r="Y906" i="1"/>
  <c r="Z906" i="1"/>
  <c r="Z897" i="1"/>
  <c r="AA897" i="1"/>
  <c r="Y897" i="1"/>
  <c r="Y883" i="1"/>
  <c r="Z883" i="1"/>
  <c r="AA883" i="1"/>
  <c r="Y862" i="1"/>
  <c r="AA862" i="1"/>
  <c r="Z862" i="1"/>
  <c r="Y853" i="1"/>
  <c r="Z853" i="1"/>
  <c r="AA853" i="1"/>
  <c r="Y839" i="1"/>
  <c r="Z839" i="1"/>
  <c r="AA839" i="1"/>
  <c r="Y828" i="1"/>
  <c r="AA828" i="1"/>
  <c r="Z828" i="1"/>
  <c r="Y817" i="1"/>
  <c r="Z817" i="1"/>
  <c r="AA817" i="1"/>
  <c r="Y797" i="1"/>
  <c r="AA797" i="1"/>
  <c r="Z797" i="1"/>
  <c r="Y767" i="1"/>
  <c r="AA767" i="1"/>
  <c r="Z767" i="1"/>
  <c r="Y730" i="1"/>
  <c r="Z730" i="1"/>
  <c r="AA730" i="1"/>
  <c r="Y716" i="1"/>
  <c r="Z716" i="1"/>
  <c r="AA716" i="1"/>
  <c r="AA3346" i="1"/>
  <c r="Y3346" i="1"/>
  <c r="Z3346" i="1"/>
  <c r="AA3328" i="1"/>
  <c r="Y3328" i="1"/>
  <c r="Z3328" i="1"/>
  <c r="AA3323" i="1"/>
  <c r="Z3323" i="1"/>
  <c r="AA3314" i="1"/>
  <c r="Y3314" i="1"/>
  <c r="Z3314" i="1"/>
  <c r="AA3305" i="1"/>
  <c r="Z3305" i="1"/>
  <c r="AA3296" i="1"/>
  <c r="Y3296" i="1"/>
  <c r="Z3296" i="1"/>
  <c r="AA3291" i="1"/>
  <c r="Y3291" i="1"/>
  <c r="Z3291" i="1"/>
  <c r="AA3282" i="1"/>
  <c r="Y3282" i="1"/>
  <c r="Z3282" i="1"/>
  <c r="AA3273" i="1"/>
  <c r="Z3273" i="1"/>
  <c r="AA3264" i="1"/>
  <c r="Y3264" i="1"/>
  <c r="Z3264" i="1"/>
  <c r="AA3259" i="1"/>
  <c r="Y3259" i="1"/>
  <c r="Z3259" i="1"/>
  <c r="AA3250" i="1"/>
  <c r="Y3250" i="1"/>
  <c r="Z3250" i="1"/>
  <c r="AA3241" i="1"/>
  <c r="Z3241" i="1"/>
  <c r="AA3232" i="1"/>
  <c r="Y3232" i="1"/>
  <c r="Z3232" i="1"/>
  <c r="AA3227" i="1"/>
  <c r="Y3227" i="1"/>
  <c r="Z3227" i="1"/>
  <c r="AA3218" i="1"/>
  <c r="Y3218" i="1"/>
  <c r="Z3218" i="1"/>
  <c r="AA3200" i="1"/>
  <c r="Y3200" i="1"/>
  <c r="Z3200" i="1"/>
  <c r="AA3195" i="1"/>
  <c r="Y3195" i="1"/>
  <c r="Z3195" i="1"/>
  <c r="AA3186" i="1"/>
  <c r="Y3186" i="1"/>
  <c r="Z3186" i="1"/>
  <c r="AA3177" i="1"/>
  <c r="AA3168" i="1"/>
  <c r="Y3168" i="1"/>
  <c r="Z3168" i="1"/>
  <c r="AA3154" i="1"/>
  <c r="Y3154" i="1"/>
  <c r="Z3136" i="1"/>
  <c r="AA3136" i="1"/>
  <c r="Z3131" i="1"/>
  <c r="AA3131" i="1"/>
  <c r="Y3131" i="1"/>
  <c r="Z3122" i="1"/>
  <c r="AA3122" i="1"/>
  <c r="Y3122" i="1"/>
  <c r="Z3099" i="1"/>
  <c r="AA3099" i="1"/>
  <c r="Y3099" i="1"/>
  <c r="Z3081" i="1"/>
  <c r="AA3081" i="1"/>
  <c r="Y3081" i="1"/>
  <c r="Z3072" i="1"/>
  <c r="AA3072" i="1"/>
  <c r="Y3072" i="1"/>
  <c r="Z3067" i="1"/>
  <c r="AA3067" i="1"/>
  <c r="Y3067" i="1"/>
  <c r="AC3062" i="1"/>
  <c r="AD3062" i="1"/>
  <c r="AE3062" i="1"/>
  <c r="AB3062" i="1"/>
  <c r="Y3049" i="1"/>
  <c r="Z3049" i="1"/>
  <c r="AA3049" i="1"/>
  <c r="Y3040" i="1"/>
  <c r="Z3040" i="1"/>
  <c r="AA3040" i="1"/>
  <c r="Y3035" i="1"/>
  <c r="Z3035" i="1"/>
  <c r="AA3035" i="1"/>
  <c r="AC3030" i="1"/>
  <c r="AD3030" i="1"/>
  <c r="AE3030" i="1"/>
  <c r="AB3030" i="1"/>
  <c r="Y3012" i="1"/>
  <c r="Z3012" i="1"/>
  <c r="AA3012" i="1"/>
  <c r="AC3006" i="1"/>
  <c r="AD3006" i="1"/>
  <c r="AE3006" i="1"/>
  <c r="AB3006" i="1"/>
  <c r="AC2997" i="1"/>
  <c r="AD2997" i="1"/>
  <c r="AE2997" i="1"/>
  <c r="AB2997" i="1"/>
  <c r="Y2975" i="1"/>
  <c r="Z2975" i="1"/>
  <c r="AA2975" i="1"/>
  <c r="Y2960" i="1"/>
  <c r="Z2960" i="1"/>
  <c r="AA2960" i="1"/>
  <c r="AC2950" i="1"/>
  <c r="AD2950" i="1"/>
  <c r="AE2950" i="1"/>
  <c r="AB2950" i="1"/>
  <c r="Y2932" i="1"/>
  <c r="Z2932" i="1"/>
  <c r="AA2932" i="1"/>
  <c r="Y2903" i="1"/>
  <c r="Z2903" i="1"/>
  <c r="AA2903" i="1"/>
  <c r="Y2891" i="1"/>
  <c r="Z2891" i="1"/>
  <c r="AA2891" i="1"/>
  <c r="AC2886" i="1"/>
  <c r="AD2886" i="1"/>
  <c r="AE2886" i="1"/>
  <c r="AB2886" i="1"/>
  <c r="Y2864" i="1"/>
  <c r="Z2864" i="1"/>
  <c r="AA2864" i="1"/>
  <c r="Y2815" i="1"/>
  <c r="Z2815" i="1"/>
  <c r="AA2815" i="1"/>
  <c r="AC2805" i="1"/>
  <c r="AD2805" i="1"/>
  <c r="AE2805" i="1"/>
  <c r="AB2805" i="1"/>
  <c r="Y2800" i="1"/>
  <c r="Z2800" i="1"/>
  <c r="AA2800" i="1"/>
  <c r="AE2781" i="1"/>
  <c r="AB2781" i="1"/>
  <c r="AC2781" i="1"/>
  <c r="AD2781" i="1"/>
  <c r="AA2771" i="1"/>
  <c r="Z2771" i="1"/>
  <c r="Y2771" i="1"/>
  <c r="AE2741" i="1"/>
  <c r="AB2741" i="1"/>
  <c r="AC2741" i="1"/>
  <c r="AD2741" i="1"/>
  <c r="AE2731" i="1"/>
  <c r="AB2731" i="1"/>
  <c r="AC2731" i="1"/>
  <c r="AD2731" i="1"/>
  <c r="AC2725" i="1"/>
  <c r="AE2725" i="1"/>
  <c r="AB2725" i="1"/>
  <c r="AD2725" i="1"/>
  <c r="Y2680" i="1"/>
  <c r="AA2680" i="1"/>
  <c r="Z2680" i="1"/>
  <c r="AC2654" i="1"/>
  <c r="AD2654" i="1"/>
  <c r="AE2654" i="1"/>
  <c r="AB2654" i="1"/>
  <c r="AC2644" i="1"/>
  <c r="AD2644" i="1"/>
  <c r="AE2644" i="1"/>
  <c r="AB2644" i="1"/>
  <c r="AC2582" i="1"/>
  <c r="AD2582" i="1"/>
  <c r="AE2582" i="1"/>
  <c r="AB2582" i="1"/>
  <c r="AC2572" i="1"/>
  <c r="AD2572" i="1"/>
  <c r="AE2572" i="1"/>
  <c r="AB2572" i="1"/>
  <c r="AC2544" i="1"/>
  <c r="AB2544" i="1"/>
  <c r="AD2544" i="1"/>
  <c r="AE2544" i="1"/>
  <c r="AC2530" i="1"/>
  <c r="AB2530" i="1"/>
  <c r="AD2530" i="1"/>
  <c r="AE2530" i="1"/>
  <c r="AC2464" i="1"/>
  <c r="AB2464" i="1"/>
  <c r="AD2464" i="1"/>
  <c r="AB2454" i="1"/>
  <c r="AC2454" i="1"/>
  <c r="AD2454" i="1"/>
  <c r="AB2390" i="1"/>
  <c r="AC2390" i="1"/>
  <c r="AD2390" i="1"/>
  <c r="AB2345" i="1"/>
  <c r="AC2345" i="1"/>
  <c r="AD2345" i="1"/>
  <c r="AE2345" i="1"/>
  <c r="AB2331" i="1"/>
  <c r="AC2331" i="1"/>
  <c r="AD2331" i="1"/>
  <c r="AE2331" i="1"/>
  <c r="AB2319" i="1"/>
  <c r="AC2319" i="1"/>
  <c r="AD2319" i="1"/>
  <c r="AE2319" i="1"/>
  <c r="AB2310" i="1"/>
  <c r="AC2310" i="1"/>
  <c r="AD2310" i="1"/>
  <c r="AE2310" i="1"/>
  <c r="AB2301" i="1"/>
  <c r="AC2301" i="1"/>
  <c r="AD2301" i="1"/>
  <c r="AE2301" i="1"/>
  <c r="AB2295" i="1"/>
  <c r="AC2295" i="1"/>
  <c r="AD2295" i="1"/>
  <c r="AE2295" i="1"/>
  <c r="AE2289" i="1"/>
  <c r="AB2289" i="1"/>
  <c r="AC2289" i="1"/>
  <c r="AD2289" i="1"/>
  <c r="AE2247" i="1"/>
  <c r="AB2247" i="1"/>
  <c r="AC2247" i="1"/>
  <c r="AD2247" i="1"/>
  <c r="AC2207" i="1"/>
  <c r="AE2207" i="1"/>
  <c r="AB2207" i="1"/>
  <c r="AD2207" i="1"/>
  <c r="AC2202" i="1"/>
  <c r="AE2202" i="1"/>
  <c r="AD2202" i="1"/>
  <c r="AB2202" i="1"/>
  <c r="AB2157" i="1"/>
  <c r="AC2157" i="1"/>
  <c r="AE2157" i="1"/>
  <c r="AD2157" i="1"/>
  <c r="AB2139" i="1"/>
  <c r="AC2139" i="1"/>
  <c r="AE2139" i="1"/>
  <c r="AD2139" i="1"/>
  <c r="AB2125" i="1"/>
  <c r="AC2125" i="1"/>
  <c r="AD2125" i="1"/>
  <c r="AE2125" i="1"/>
  <c r="AB2110" i="1"/>
  <c r="AC2110" i="1"/>
  <c r="AD2110" i="1"/>
  <c r="AE2110" i="1"/>
  <c r="AB2105" i="1"/>
  <c r="AC2105" i="1"/>
  <c r="AD2105" i="1"/>
  <c r="AE2105" i="1"/>
  <c r="AB2091" i="1"/>
  <c r="AC2091" i="1"/>
  <c r="AD2091" i="1"/>
  <c r="AE2091" i="1"/>
  <c r="AB2082" i="1"/>
  <c r="AC2082" i="1"/>
  <c r="AD2082" i="1"/>
  <c r="AE2082" i="1"/>
  <c r="AB2046" i="1"/>
  <c r="AC2046" i="1"/>
  <c r="AD2046" i="1"/>
  <c r="AE2046" i="1"/>
  <c r="AE2026" i="1"/>
  <c r="AC2026" i="1"/>
  <c r="AD2026" i="1"/>
  <c r="AB2026" i="1"/>
  <c r="AD2003" i="1"/>
  <c r="AE2003" i="1"/>
  <c r="AB2003" i="1"/>
  <c r="AC2003" i="1"/>
  <c r="AC1979" i="1"/>
  <c r="AD1979" i="1"/>
  <c r="AE1979" i="1"/>
  <c r="AB1979" i="1"/>
  <c r="AC1974" i="1"/>
  <c r="AD1974" i="1"/>
  <c r="AE1974" i="1"/>
  <c r="AB1974" i="1"/>
  <c r="AC1963" i="1"/>
  <c r="AD1963" i="1"/>
  <c r="AE1963" i="1"/>
  <c r="AB1963" i="1"/>
  <c r="AC1933" i="1"/>
  <c r="AD1933" i="1"/>
  <c r="AE1933" i="1"/>
  <c r="AB1933" i="1"/>
  <c r="AB1903" i="1"/>
  <c r="AC1903" i="1"/>
  <c r="AD1903" i="1"/>
  <c r="AE1903" i="1"/>
  <c r="AB1894" i="1"/>
  <c r="AC1894" i="1"/>
  <c r="AD1894" i="1"/>
  <c r="AE1894" i="1"/>
  <c r="AB1885" i="1"/>
  <c r="AC1885" i="1"/>
  <c r="AD1885" i="1"/>
  <c r="AE1885" i="1"/>
  <c r="AB1866" i="1"/>
  <c r="AC1866" i="1"/>
  <c r="AD1866" i="1"/>
  <c r="AB1855" i="1"/>
  <c r="AC1855" i="1"/>
  <c r="AD1855" i="1"/>
  <c r="AE1855" i="1"/>
  <c r="AB1845" i="1"/>
  <c r="AC1845" i="1"/>
  <c r="AD1845" i="1"/>
  <c r="AB1831" i="1"/>
  <c r="AC1831" i="1"/>
  <c r="AD1831" i="1"/>
  <c r="AE1831" i="1"/>
  <c r="AB1822" i="1"/>
  <c r="AC1822" i="1"/>
  <c r="AD1822" i="1"/>
  <c r="AE1822" i="1"/>
  <c r="AB1803" i="1"/>
  <c r="AC1803" i="1"/>
  <c r="AD1803" i="1"/>
  <c r="AE1803" i="1"/>
  <c r="AB1794" i="1"/>
  <c r="AC1794" i="1"/>
  <c r="AD1794" i="1"/>
  <c r="AE1794" i="1"/>
  <c r="AB1785" i="1"/>
  <c r="AC1785" i="1"/>
  <c r="AD1785" i="1"/>
  <c r="AE1771" i="1"/>
  <c r="AB1771" i="1"/>
  <c r="AC1771" i="1"/>
  <c r="AD1771" i="1"/>
  <c r="AB1762" i="1"/>
  <c r="AC1762" i="1"/>
  <c r="AD1762" i="1"/>
  <c r="Y1725" i="1"/>
  <c r="Z1725" i="1"/>
  <c r="Y1694" i="1"/>
  <c r="Z1694" i="1"/>
  <c r="Y1647" i="1"/>
  <c r="Z1647" i="1"/>
  <c r="AA1647" i="1"/>
  <c r="Y1625" i="1"/>
  <c r="Z1625" i="1"/>
  <c r="AA1625" i="1"/>
  <c r="AC1618" i="1"/>
  <c r="AD1618" i="1"/>
  <c r="AE1618" i="1"/>
  <c r="AB1618" i="1"/>
  <c r="Y1603" i="1"/>
  <c r="Z1603" i="1"/>
  <c r="AA1603" i="1"/>
  <c r="AC1567" i="1"/>
  <c r="AD1567" i="1"/>
  <c r="AE1567" i="1"/>
  <c r="AB1567" i="1"/>
  <c r="AB1507" i="1"/>
  <c r="AE1507" i="1"/>
  <c r="AD1485" i="1"/>
  <c r="AE1485" i="1"/>
  <c r="AB1485" i="1"/>
  <c r="AC1485" i="1"/>
  <c r="Z1471" i="1"/>
  <c r="Y1471" i="1"/>
  <c r="AA1471" i="1"/>
  <c r="Z1423" i="1"/>
  <c r="Y1423" i="1"/>
  <c r="AA1423" i="1"/>
  <c r="Z1416" i="1"/>
  <c r="Y1416" i="1"/>
  <c r="AA1416" i="1"/>
  <c r="Z1391" i="1"/>
  <c r="Y1391" i="1"/>
  <c r="AA1391" i="1"/>
  <c r="Y3387" i="1"/>
  <c r="Y3369" i="1"/>
  <c r="Y3365" i="1"/>
  <c r="Y3361" i="1"/>
  <c r="Y3347" i="1"/>
  <c r="Z3316" i="1"/>
  <c r="Z3308" i="1"/>
  <c r="Y3287" i="1"/>
  <c r="Z3228" i="1"/>
  <c r="Y3201" i="1"/>
  <c r="Y3191" i="1"/>
  <c r="Z3182" i="1"/>
  <c r="AD2680" i="1"/>
  <c r="AC1228" i="1"/>
  <c r="AD1228" i="1"/>
  <c r="AE1228" i="1"/>
  <c r="AB1228" i="1"/>
  <c r="AA1078" i="1"/>
  <c r="Y1078" i="1"/>
  <c r="Z1078" i="1"/>
  <c r="AA1048" i="1"/>
  <c r="Y1048" i="1"/>
  <c r="Z1048" i="1"/>
  <c r="AB1022" i="1"/>
  <c r="AC1022" i="1"/>
  <c r="AE1022" i="1"/>
  <c r="AD1022" i="1"/>
  <c r="Y987" i="1"/>
  <c r="Z987" i="1"/>
  <c r="Y947" i="1"/>
  <c r="Z947" i="1"/>
  <c r="AA947" i="1"/>
  <c r="Y824" i="1"/>
  <c r="Z824" i="1"/>
  <c r="AA824" i="1"/>
  <c r="Y3575" i="1"/>
  <c r="Z3575" i="1"/>
  <c r="AA3575" i="1"/>
  <c r="Y3543" i="1"/>
  <c r="Z3543" i="1"/>
  <c r="AA3543" i="1"/>
  <c r="Y3511" i="1"/>
  <c r="Z3511" i="1"/>
  <c r="AA3511" i="1"/>
  <c r="Y3479" i="1"/>
  <c r="Z3479" i="1"/>
  <c r="AA3479" i="1"/>
  <c r="Y3447" i="1"/>
  <c r="Z3447" i="1"/>
  <c r="AA3447" i="1"/>
  <c r="AA3398" i="1"/>
  <c r="Y3398" i="1"/>
  <c r="Z3398" i="1"/>
  <c r="AB3338" i="1"/>
  <c r="AD3338" i="1"/>
  <c r="AE3338" i="1"/>
  <c r="AA3279" i="1"/>
  <c r="Z3279" i="1"/>
  <c r="AA3247" i="1"/>
  <c r="Z3247" i="1"/>
  <c r="AA3220" i="1"/>
  <c r="Y3220" i="1"/>
  <c r="AA3197" i="1"/>
  <c r="Y3197" i="1"/>
  <c r="Z3197" i="1"/>
  <c r="AD3128" i="1"/>
  <c r="AE3128" i="1"/>
  <c r="AB3128" i="1"/>
  <c r="AC3128" i="1"/>
  <c r="Y3060" i="1"/>
  <c r="Z3060" i="1"/>
  <c r="AA3060" i="1"/>
  <c r="Y3023" i="1"/>
  <c r="Z3023" i="1"/>
  <c r="AA3023" i="1"/>
  <c r="Y2911" i="1"/>
  <c r="Z2911" i="1"/>
  <c r="AA2911" i="1"/>
  <c r="AC2865" i="1"/>
  <c r="AD2865" i="1"/>
  <c r="AE2865" i="1"/>
  <c r="AB2865" i="1"/>
  <c r="AC2578" i="1"/>
  <c r="AD2578" i="1"/>
  <c r="AE2578" i="1"/>
  <c r="AB2578" i="1"/>
  <c r="AB2342" i="1"/>
  <c r="AC2342" i="1"/>
  <c r="AD2342" i="1"/>
  <c r="AE2342" i="1"/>
  <c r="AB2154" i="1"/>
  <c r="AC2154" i="1"/>
  <c r="AE2154" i="1"/>
  <c r="AD2154" i="1"/>
  <c r="AB2029" i="1"/>
  <c r="AC2029" i="1"/>
  <c r="AD2029" i="1"/>
  <c r="AC1954" i="1"/>
  <c r="AD1954" i="1"/>
  <c r="AE1954" i="1"/>
  <c r="AB1954" i="1"/>
  <c r="AB1833" i="1"/>
  <c r="AC1833" i="1"/>
  <c r="AD1833" i="1"/>
  <c r="AE1833" i="1"/>
  <c r="AC1238" i="1"/>
  <c r="AD1238" i="1"/>
  <c r="AE1238" i="1"/>
  <c r="AB1238" i="1"/>
  <c r="AA1082" i="1"/>
  <c r="Y1082" i="1"/>
  <c r="Z1082" i="1"/>
  <c r="AD1035" i="1"/>
  <c r="AE1035" i="1"/>
  <c r="AB1035" i="1"/>
  <c r="AC1035" i="1"/>
  <c r="Y991" i="1"/>
  <c r="Z991" i="1"/>
  <c r="AA991" i="1"/>
  <c r="Y981" i="1"/>
  <c r="Z981" i="1"/>
  <c r="AA981" i="1"/>
  <c r="Y919" i="1"/>
  <c r="AA919" i="1"/>
  <c r="Z919" i="1"/>
  <c r="Y849" i="1"/>
  <c r="Z849" i="1"/>
  <c r="AA849" i="1"/>
  <c r="Y829" i="1"/>
  <c r="Z829" i="1"/>
  <c r="AA829" i="1"/>
  <c r="Y810" i="1"/>
  <c r="Z810" i="1"/>
  <c r="AA810" i="1"/>
  <c r="Z748" i="1"/>
  <c r="AA748" i="1"/>
  <c r="Y748" i="1"/>
  <c r="AC1315" i="1"/>
  <c r="AD1315" i="1"/>
  <c r="AB1315" i="1"/>
  <c r="AE1315" i="1"/>
  <c r="Y1293" i="1"/>
  <c r="AA1293" i="1"/>
  <c r="Z1293" i="1"/>
  <c r="AC1275" i="1"/>
  <c r="AD1275" i="1"/>
  <c r="AE1275" i="1"/>
  <c r="AB1275" i="1"/>
  <c r="Y1263" i="1"/>
  <c r="AA1263" i="1"/>
  <c r="Z1263" i="1"/>
  <c r="Y1251" i="1"/>
  <c r="AA1251" i="1"/>
  <c r="Z1251" i="1"/>
  <c r="Y1237" i="1"/>
  <c r="AA1237" i="1"/>
  <c r="Z1237" i="1"/>
  <c r="AC1171" i="1"/>
  <c r="AD1171" i="1"/>
  <c r="AE1171" i="1"/>
  <c r="AB1171" i="1"/>
  <c r="Y1158" i="1"/>
  <c r="AA1158" i="1"/>
  <c r="Z1158" i="1"/>
  <c r="AC1090" i="1"/>
  <c r="AE1090" i="1"/>
  <c r="AB1090" i="1"/>
  <c r="AD1090" i="1"/>
  <c r="AA1081" i="1"/>
  <c r="Y1081" i="1"/>
  <c r="Z1081" i="1"/>
  <c r="AB1074" i="1"/>
  <c r="AC1074" i="1"/>
  <c r="AE1074" i="1"/>
  <c r="AD1074" i="1"/>
  <c r="AB1065" i="1"/>
  <c r="AC1065" i="1"/>
  <c r="AE1065" i="1"/>
  <c r="AD1065" i="1"/>
  <c r="AA1051" i="1"/>
  <c r="Y1051" i="1"/>
  <c r="Z1051" i="1"/>
  <c r="AB1039" i="1"/>
  <c r="AD1039" i="1"/>
  <c r="AC1039" i="1"/>
  <c r="AE1039" i="1"/>
  <c r="Y1030" i="1"/>
  <c r="Z1030" i="1"/>
  <c r="AA1030" i="1"/>
  <c r="AD1019" i="1"/>
  <c r="AE1019" i="1"/>
  <c r="AB1019" i="1"/>
  <c r="AC1019" i="1"/>
  <c r="Y985" i="1"/>
  <c r="AA985" i="1"/>
  <c r="Z985" i="1"/>
  <c r="AB959" i="1"/>
  <c r="AC959" i="1"/>
  <c r="AD959" i="1"/>
  <c r="AE959" i="1"/>
  <c r="Y910" i="1"/>
  <c r="Z910" i="1"/>
  <c r="AA910" i="1"/>
  <c r="AC882" i="1"/>
  <c r="AB882" i="1"/>
  <c r="AD882" i="1"/>
  <c r="AE882" i="1"/>
  <c r="AC861" i="1"/>
  <c r="AB861" i="1"/>
  <c r="AD861" i="1"/>
  <c r="AE861" i="1"/>
  <c r="Y852" i="1"/>
  <c r="Z852" i="1"/>
  <c r="AA852" i="1"/>
  <c r="Y838" i="1"/>
  <c r="AA838" i="1"/>
  <c r="Z838" i="1"/>
  <c r="Y827" i="1"/>
  <c r="Z827" i="1"/>
  <c r="AA827" i="1"/>
  <c r="AC815" i="1"/>
  <c r="AB815" i="1"/>
  <c r="AE815" i="1"/>
  <c r="AD815" i="1"/>
  <c r="Y809" i="1"/>
  <c r="Z809" i="1"/>
  <c r="AA809" i="1"/>
  <c r="Y796" i="1"/>
  <c r="AA796" i="1"/>
  <c r="Z796" i="1"/>
  <c r="AE766" i="1"/>
  <c r="AB766" i="1"/>
  <c r="AC766" i="1"/>
  <c r="AD766" i="1"/>
  <c r="Y743" i="1"/>
  <c r="Z743" i="1"/>
  <c r="AA743" i="1"/>
  <c r="Y738" i="1"/>
  <c r="Z738" i="1"/>
  <c r="AA738" i="1"/>
  <c r="Y729" i="1"/>
  <c r="Z729" i="1"/>
  <c r="AA729" i="1"/>
  <c r="AA710" i="1"/>
  <c r="Z710" i="1"/>
  <c r="Y710" i="1"/>
  <c r="Y662" i="1"/>
  <c r="Z662" i="1"/>
  <c r="AA662" i="1"/>
  <c r="Y3577" i="1"/>
  <c r="Z3577" i="1"/>
  <c r="AA3577" i="1"/>
  <c r="Y3573" i="1"/>
  <c r="Z3573" i="1"/>
  <c r="AA3573" i="1"/>
  <c r="Y3569" i="1"/>
  <c r="Z3569" i="1"/>
  <c r="AA3569" i="1"/>
  <c r="Y3565" i="1"/>
  <c r="Z3565" i="1"/>
  <c r="AA3565" i="1"/>
  <c r="Y3557" i="1"/>
  <c r="Z3557" i="1"/>
  <c r="AA3557" i="1"/>
  <c r="Y3549" i="1"/>
  <c r="Z3549" i="1"/>
  <c r="AA3549" i="1"/>
  <c r="Y3541" i="1"/>
  <c r="Z3541" i="1"/>
  <c r="AA3541" i="1"/>
  <c r="Y3537" i="1"/>
  <c r="Z3537" i="1"/>
  <c r="AA3537" i="1"/>
  <c r="Y3533" i="1"/>
  <c r="Z3533" i="1"/>
  <c r="AA3533" i="1"/>
  <c r="Y3529" i="1"/>
  <c r="Z3529" i="1"/>
  <c r="AA3529" i="1"/>
  <c r="Y3525" i="1"/>
  <c r="Z3525" i="1"/>
  <c r="AA3525" i="1"/>
  <c r="Y3521" i="1"/>
  <c r="Z3521" i="1"/>
  <c r="AA3521" i="1"/>
  <c r="Y3517" i="1"/>
  <c r="Z3517" i="1"/>
  <c r="AA3517" i="1"/>
  <c r="Y3509" i="1"/>
  <c r="Z3509" i="1"/>
  <c r="AA3509" i="1"/>
  <c r="Y3505" i="1"/>
  <c r="Z3505" i="1"/>
  <c r="AA3505" i="1"/>
  <c r="Y3501" i="1"/>
  <c r="Z3501" i="1"/>
  <c r="AA3501" i="1"/>
  <c r="Y3489" i="1"/>
  <c r="Z3489" i="1"/>
  <c r="AA3489" i="1"/>
  <c r="Y3485" i="1"/>
  <c r="Z3485" i="1"/>
  <c r="AA3485" i="1"/>
  <c r="Y3481" i="1"/>
  <c r="Z3481" i="1"/>
  <c r="AA3481" i="1"/>
  <c r="Y3477" i="1"/>
  <c r="Z3477" i="1"/>
  <c r="AA3477" i="1"/>
  <c r="Y3473" i="1"/>
  <c r="Z3473" i="1"/>
  <c r="AA3473" i="1"/>
  <c r="Y3469" i="1"/>
  <c r="Z3469" i="1"/>
  <c r="AA3469" i="1"/>
  <c r="Y3465" i="1"/>
  <c r="Z3465" i="1"/>
  <c r="AA3465" i="1"/>
  <c r="Y3461" i="1"/>
  <c r="Z3461" i="1"/>
  <c r="AA3461" i="1"/>
  <c r="Y3457" i="1"/>
  <c r="Z3457" i="1"/>
  <c r="AA3457" i="1"/>
  <c r="Y3445" i="1"/>
  <c r="Z3445" i="1"/>
  <c r="AA3445" i="1"/>
  <c r="Y3441" i="1"/>
  <c r="Z3441" i="1"/>
  <c r="AA3441" i="1"/>
  <c r="Y3437" i="1"/>
  <c r="Z3437" i="1"/>
  <c r="AA3437" i="1"/>
  <c r="Y3433" i="1"/>
  <c r="Z3433" i="1"/>
  <c r="AA3433" i="1"/>
  <c r="AA3429" i="1"/>
  <c r="Y3429" i="1"/>
  <c r="Z3429" i="1"/>
  <c r="AA3425" i="1"/>
  <c r="Y3425" i="1"/>
  <c r="AA3421" i="1"/>
  <c r="Y3421" i="1"/>
  <c r="Z3421" i="1"/>
  <c r="AA3408" i="1"/>
  <c r="Y3408" i="1"/>
  <c r="Z3408" i="1"/>
  <c r="AA3404" i="1"/>
  <c r="Y3404" i="1"/>
  <c r="Z3404" i="1"/>
  <c r="AA3400" i="1"/>
  <c r="Y3400" i="1"/>
  <c r="Z3400" i="1"/>
  <c r="AA3396" i="1"/>
  <c r="Y3396" i="1"/>
  <c r="Z3396" i="1"/>
  <c r="AA3392" i="1"/>
  <c r="Y3392" i="1"/>
  <c r="Z3392" i="1"/>
  <c r="AA3384" i="1"/>
  <c r="Y3384" i="1"/>
  <c r="Z3384" i="1"/>
  <c r="AA3380" i="1"/>
  <c r="Y3380" i="1"/>
  <c r="Z3380" i="1"/>
  <c r="AA3376" i="1"/>
  <c r="Y3376" i="1"/>
  <c r="Z3376" i="1"/>
  <c r="AA3372" i="1"/>
  <c r="Y3372" i="1"/>
  <c r="Z3372" i="1"/>
  <c r="AA3368" i="1"/>
  <c r="Y3368" i="1"/>
  <c r="Z3368" i="1"/>
  <c r="AA3364" i="1"/>
  <c r="Y3364" i="1"/>
  <c r="Z3364" i="1"/>
  <c r="AA3360" i="1"/>
  <c r="Y3360" i="1"/>
  <c r="Z3360" i="1"/>
  <c r="Y3332" i="1"/>
  <c r="Z3332" i="1"/>
  <c r="AB3322" i="1"/>
  <c r="AD3322" i="1"/>
  <c r="AE3322" i="1"/>
  <c r="AA3309" i="1"/>
  <c r="Y3309" i="1"/>
  <c r="Z3309" i="1"/>
  <c r="AB3304" i="1"/>
  <c r="AC3304" i="1"/>
  <c r="AD3304" i="1"/>
  <c r="AE3304" i="1"/>
  <c r="AA3300" i="1"/>
  <c r="Y3300" i="1"/>
  <c r="AA3295" i="1"/>
  <c r="Z3295" i="1"/>
  <c r="AA3286" i="1"/>
  <c r="Y3286" i="1"/>
  <c r="AA3277" i="1"/>
  <c r="Y3277" i="1"/>
  <c r="Z3277" i="1"/>
  <c r="AB3272" i="1"/>
  <c r="AC3272" i="1"/>
  <c r="AD3272" i="1"/>
  <c r="AE3272" i="1"/>
  <c r="AA3268" i="1"/>
  <c r="Y3268" i="1"/>
  <c r="AA3263" i="1"/>
  <c r="Z3263" i="1"/>
  <c r="AB3258" i="1"/>
  <c r="AC3258" i="1"/>
  <c r="AD3258" i="1"/>
  <c r="AE3258" i="1"/>
  <c r="AA3254" i="1"/>
  <c r="Y3254" i="1"/>
  <c r="AA3245" i="1"/>
  <c r="Y3245" i="1"/>
  <c r="Z3245" i="1"/>
  <c r="AA3236" i="1"/>
  <c r="Y3236" i="1"/>
  <c r="AA3222" i="1"/>
  <c r="Y3222" i="1"/>
  <c r="AA3213" i="1"/>
  <c r="Y3213" i="1"/>
  <c r="Z3213" i="1"/>
  <c r="AA3204" i="1"/>
  <c r="Y3204" i="1"/>
  <c r="AA3199" i="1"/>
  <c r="Z3199" i="1"/>
  <c r="AA3190" i="1"/>
  <c r="Y3190" i="1"/>
  <c r="AA3181" i="1"/>
  <c r="Y3181" i="1"/>
  <c r="Z3181" i="1"/>
  <c r="AB3176" i="1"/>
  <c r="AC3176" i="1"/>
  <c r="AD3176" i="1"/>
  <c r="AE3176" i="1"/>
  <c r="AA3172" i="1"/>
  <c r="Y3172" i="1"/>
  <c r="AA3167" i="1"/>
  <c r="Z3167" i="1"/>
  <c r="AA3158" i="1"/>
  <c r="Y3158" i="1"/>
  <c r="Z3158" i="1"/>
  <c r="AA3149" i="1"/>
  <c r="Z3149" i="1"/>
  <c r="Z3140" i="1"/>
  <c r="AA3140" i="1"/>
  <c r="Z3135" i="1"/>
  <c r="AA3135" i="1"/>
  <c r="Y3135" i="1"/>
  <c r="Z3126" i="1"/>
  <c r="AA3126" i="1"/>
  <c r="Y3126" i="1"/>
  <c r="AD3098" i="1"/>
  <c r="AE3098" i="1"/>
  <c r="AB3098" i="1"/>
  <c r="AC3098" i="1"/>
  <c r="AC3080" i="1"/>
  <c r="AD3080" i="1"/>
  <c r="AE3080" i="1"/>
  <c r="AB3080" i="1"/>
  <c r="Z3076" i="1"/>
  <c r="AA3076" i="1"/>
  <c r="Y3076" i="1"/>
  <c r="Z3071" i="1"/>
  <c r="AA3071" i="1"/>
  <c r="Y3071" i="1"/>
  <c r="AC3057" i="1"/>
  <c r="AD3057" i="1"/>
  <c r="AB3057" i="1"/>
  <c r="AC3048" i="1"/>
  <c r="AD3048" i="1"/>
  <c r="AE3048" i="1"/>
  <c r="Y3044" i="1"/>
  <c r="Z3044" i="1"/>
  <c r="Y3039" i="1"/>
  <c r="Z3039" i="1"/>
  <c r="AA3039" i="1"/>
  <c r="AC3034" i="1"/>
  <c r="AD3034" i="1"/>
  <c r="AE3034" i="1"/>
  <c r="AB3034" i="1"/>
  <c r="Y3021" i="1"/>
  <c r="Z3021" i="1"/>
  <c r="AA3021" i="1"/>
  <c r="Y3011" i="1"/>
  <c r="Z3011" i="1"/>
  <c r="Y2992" i="1"/>
  <c r="Z2992" i="1"/>
  <c r="AA2992" i="1"/>
  <c r="AC2980" i="1"/>
  <c r="AD2980" i="1"/>
  <c r="AE2980" i="1"/>
  <c r="AB2980" i="1"/>
  <c r="AC2968" i="1"/>
  <c r="AD2968" i="1"/>
  <c r="AE2968" i="1"/>
  <c r="AB2968" i="1"/>
  <c r="Y2964" i="1"/>
  <c r="Z2964" i="1"/>
  <c r="AA2964" i="1"/>
  <c r="Y2959" i="1"/>
  <c r="Z2959" i="1"/>
  <c r="AA2959" i="1"/>
  <c r="AC2954" i="1"/>
  <c r="AD2954" i="1"/>
  <c r="AE2954" i="1"/>
  <c r="AB2954" i="1"/>
  <c r="AC2936" i="1"/>
  <c r="AD2936" i="1"/>
  <c r="AE2936" i="1"/>
  <c r="AB2936" i="1"/>
  <c r="Y2931" i="1"/>
  <c r="Z2931" i="1"/>
  <c r="AA2931" i="1"/>
  <c r="AC2913" i="1"/>
  <c r="AD2913" i="1"/>
  <c r="AE2913" i="1"/>
  <c r="AB2913" i="1"/>
  <c r="AC2881" i="1"/>
  <c r="AD2881" i="1"/>
  <c r="AB2881" i="1"/>
  <c r="AC2872" i="1"/>
  <c r="AD2872" i="1"/>
  <c r="AE2872" i="1"/>
  <c r="AB2872" i="1"/>
  <c r="Y2868" i="1"/>
  <c r="Z2868" i="1"/>
  <c r="AA2868" i="1"/>
  <c r="Y2863" i="1"/>
  <c r="Z2863" i="1"/>
  <c r="AA2863" i="1"/>
  <c r="Y2820" i="1"/>
  <c r="Z2820" i="1"/>
  <c r="AA2820" i="1"/>
  <c r="AC2809" i="1"/>
  <c r="AD2809" i="1"/>
  <c r="AE2809" i="1"/>
  <c r="AB2809" i="1"/>
  <c r="Y2799" i="1"/>
  <c r="Z2799" i="1"/>
  <c r="AA2799" i="1"/>
  <c r="AA2775" i="1"/>
  <c r="Z2775" i="1"/>
  <c r="Y2775" i="1"/>
  <c r="AE2765" i="1"/>
  <c r="AC2765" i="1"/>
  <c r="AA2756" i="1"/>
  <c r="Y2756" i="1"/>
  <c r="Z2756" i="1"/>
  <c r="AE2750" i="1"/>
  <c r="AB2750" i="1"/>
  <c r="AC2750" i="1"/>
  <c r="AE2745" i="1"/>
  <c r="AB2745" i="1"/>
  <c r="AC2684" i="1"/>
  <c r="AE2684" i="1"/>
  <c r="AB2684" i="1"/>
  <c r="AD2684" i="1"/>
  <c r="AC2679" i="1"/>
  <c r="AE2679" i="1"/>
  <c r="AB2679" i="1"/>
  <c r="AD2679" i="1"/>
  <c r="AC2637" i="1"/>
  <c r="AD2637" i="1"/>
  <c r="AE2637" i="1"/>
  <c r="AB2637" i="1"/>
  <c r="AC2632" i="1"/>
  <c r="AD2632" i="1"/>
  <c r="AE2632" i="1"/>
  <c r="AB2632" i="1"/>
  <c r="AC2620" i="1"/>
  <c r="AD2620" i="1"/>
  <c r="AE2620" i="1"/>
  <c r="AB2620" i="1"/>
  <c r="AC2614" i="1"/>
  <c r="AD2614" i="1"/>
  <c r="AE2614" i="1"/>
  <c r="AB2614" i="1"/>
  <c r="AC2609" i="1"/>
  <c r="AD2609" i="1"/>
  <c r="AE2609" i="1"/>
  <c r="AB2609" i="1"/>
  <c r="AC2576" i="1"/>
  <c r="AD2576" i="1"/>
  <c r="AE2576" i="1"/>
  <c r="AB2576" i="1"/>
  <c r="AC2561" i="1"/>
  <c r="AD2561" i="1"/>
  <c r="AB2561" i="1"/>
  <c r="AC2549" i="1"/>
  <c r="AD2549" i="1"/>
  <c r="AE2549" i="1"/>
  <c r="AB2549" i="1"/>
  <c r="AC2468" i="1"/>
  <c r="AB2468" i="1"/>
  <c r="AD2468" i="1"/>
  <c r="AB2449" i="1"/>
  <c r="AC2449" i="1"/>
  <c r="AD2449" i="1"/>
  <c r="AB2444" i="1"/>
  <c r="AC2444" i="1"/>
  <c r="AD2444" i="1"/>
  <c r="AE2444" i="1"/>
  <c r="AB2429" i="1"/>
  <c r="AC2429" i="1"/>
  <c r="AD2429" i="1"/>
  <c r="AE2429" i="1"/>
  <c r="AB2415" i="1"/>
  <c r="AC2415" i="1"/>
  <c r="AD2415" i="1"/>
  <c r="AE2415" i="1"/>
  <c r="AB2394" i="1"/>
  <c r="AC2394" i="1"/>
  <c r="AD2394" i="1"/>
  <c r="AB2377" i="1"/>
  <c r="AC2377" i="1"/>
  <c r="AD2377" i="1"/>
  <c r="AE2377" i="1"/>
  <c r="AB2358" i="1"/>
  <c r="AC2358" i="1"/>
  <c r="AD2358" i="1"/>
  <c r="AE2358" i="1"/>
  <c r="AB2349" i="1"/>
  <c r="AC2349" i="1"/>
  <c r="AD2349" i="1"/>
  <c r="AE2349" i="1"/>
  <c r="AB2335" i="1"/>
  <c r="AC2335" i="1"/>
  <c r="AD2335" i="1"/>
  <c r="AE2335" i="1"/>
  <c r="AB2326" i="1"/>
  <c r="AC2326" i="1"/>
  <c r="AD2326" i="1"/>
  <c r="AE2326" i="1"/>
  <c r="AB2314" i="1"/>
  <c r="AC2314" i="1"/>
  <c r="AD2314" i="1"/>
  <c r="AE2314" i="1"/>
  <c r="AE2251" i="1"/>
  <c r="AB2251" i="1"/>
  <c r="AC2251" i="1"/>
  <c r="AD2251" i="1"/>
  <c r="AC2197" i="1"/>
  <c r="AE2197" i="1"/>
  <c r="AB2197" i="1"/>
  <c r="AD2197" i="1"/>
  <c r="AB2149" i="1"/>
  <c r="AC2149" i="1"/>
  <c r="AE2149" i="1"/>
  <c r="AD2149" i="1"/>
  <c r="AB2143" i="1"/>
  <c r="AC2143" i="1"/>
  <c r="AE2143" i="1"/>
  <c r="AD2143" i="1"/>
  <c r="AB2129" i="1"/>
  <c r="AC2129" i="1"/>
  <c r="AD2129" i="1"/>
  <c r="AE2129" i="1"/>
  <c r="AB2114" i="1"/>
  <c r="AC2114" i="1"/>
  <c r="AD2114" i="1"/>
  <c r="AE2114" i="1"/>
  <c r="AB2095" i="1"/>
  <c r="AC2095" i="1"/>
  <c r="AD2095" i="1"/>
  <c r="AE2095" i="1"/>
  <c r="AB2086" i="1"/>
  <c r="AC2086" i="1"/>
  <c r="AD2086" i="1"/>
  <c r="AE2086" i="1"/>
  <c r="AB2066" i="1"/>
  <c r="AC2066" i="1"/>
  <c r="AD2066" i="1"/>
  <c r="AE2066" i="1"/>
  <c r="AE2041" i="1"/>
  <c r="AB2041" i="1"/>
  <c r="AC2041" i="1"/>
  <c r="AD2041" i="1"/>
  <c r="AE2031" i="1"/>
  <c r="AB2031" i="1"/>
  <c r="AC2031" i="1"/>
  <c r="AD2031" i="1"/>
  <c r="AE2021" i="1"/>
  <c r="AB2021" i="1"/>
  <c r="AC2021" i="1"/>
  <c r="AD2021" i="1"/>
  <c r="AC1983" i="1"/>
  <c r="AD1983" i="1"/>
  <c r="AE1983" i="1"/>
  <c r="AB1983" i="1"/>
  <c r="AC1967" i="1"/>
  <c r="AD1967" i="1"/>
  <c r="AE1967" i="1"/>
  <c r="AB1967" i="1"/>
  <c r="AC1958" i="1"/>
  <c r="AD1958" i="1"/>
  <c r="AE1958" i="1"/>
  <c r="AB1958" i="1"/>
  <c r="AC1945" i="1"/>
  <c r="AD1945" i="1"/>
  <c r="AB1945" i="1"/>
  <c r="AC1931" i="1"/>
  <c r="AD1931" i="1"/>
  <c r="AE1931" i="1"/>
  <c r="AB1931" i="1"/>
  <c r="AC1921" i="1"/>
  <c r="AD1921" i="1"/>
  <c r="AE1921" i="1"/>
  <c r="AB1921" i="1"/>
  <c r="AB1898" i="1"/>
  <c r="AC1898" i="1"/>
  <c r="AD1898" i="1"/>
  <c r="AE1898" i="1"/>
  <c r="AB1889" i="1"/>
  <c r="AC1889" i="1"/>
  <c r="AD1889" i="1"/>
  <c r="AE1889" i="1"/>
  <c r="AB1875" i="1"/>
  <c r="AC1875" i="1"/>
  <c r="AD1875" i="1"/>
  <c r="AE1875" i="1"/>
  <c r="AB1870" i="1"/>
  <c r="AC1870" i="1"/>
  <c r="AD1870" i="1"/>
  <c r="AE1870" i="1"/>
  <c r="AB1861" i="1"/>
  <c r="AC1861" i="1"/>
  <c r="AD1861" i="1"/>
  <c r="AE1861" i="1"/>
  <c r="AB1835" i="1"/>
  <c r="AC1835" i="1"/>
  <c r="AD1835" i="1"/>
  <c r="AE1835" i="1"/>
  <c r="AB1826" i="1"/>
  <c r="AC1826" i="1"/>
  <c r="AD1826" i="1"/>
  <c r="AE1826" i="1"/>
  <c r="AB1807" i="1"/>
  <c r="AC1807" i="1"/>
  <c r="AD1807" i="1"/>
  <c r="AE1807" i="1"/>
  <c r="AB1798" i="1"/>
  <c r="AC1798" i="1"/>
  <c r="AD1798" i="1"/>
  <c r="AE1798" i="1"/>
  <c r="AB1789" i="1"/>
  <c r="AC1789" i="1"/>
  <c r="AD1789" i="1"/>
  <c r="AB1775" i="1"/>
  <c r="AC1775" i="1"/>
  <c r="AD1775" i="1"/>
  <c r="AB1766" i="1"/>
  <c r="AC1766" i="1"/>
  <c r="AD1766" i="1"/>
  <c r="AB1757" i="1"/>
  <c r="AC1757" i="1"/>
  <c r="AD1757" i="1"/>
  <c r="AC1724" i="1"/>
  <c r="AB1724" i="1"/>
  <c r="AD1724" i="1"/>
  <c r="Y1710" i="1"/>
  <c r="Z1710" i="1"/>
  <c r="Y1700" i="1"/>
  <c r="Z1700" i="1"/>
  <c r="Y1693" i="1"/>
  <c r="AA1693" i="1"/>
  <c r="Z1693" i="1"/>
  <c r="Y1678" i="1"/>
  <c r="Z1678" i="1"/>
  <c r="Y1662" i="1"/>
  <c r="Z1662" i="1"/>
  <c r="AA1662" i="1"/>
  <c r="Y1646" i="1"/>
  <c r="Z1646" i="1"/>
  <c r="AA1646" i="1"/>
  <c r="Y1610" i="1"/>
  <c r="Z1610" i="1"/>
  <c r="AA1610" i="1"/>
  <c r="Y1594" i="1"/>
  <c r="Z1594" i="1"/>
  <c r="AA1594" i="1"/>
  <c r="Y1552" i="1"/>
  <c r="Z1552" i="1"/>
  <c r="AA1552" i="1"/>
  <c r="Z1529" i="1"/>
  <c r="Y1529" i="1"/>
  <c r="AA1529" i="1"/>
  <c r="Z1514" i="1"/>
  <c r="Y1514" i="1"/>
  <c r="AA1514" i="1"/>
  <c r="Z1492" i="1"/>
  <c r="Y1492" i="1"/>
  <c r="AA1492" i="1"/>
  <c r="Z1477" i="1"/>
  <c r="AA1477" i="1"/>
  <c r="Y1477" i="1"/>
  <c r="Z1422" i="1"/>
  <c r="Y1422" i="1"/>
  <c r="AA1422" i="1"/>
  <c r="AB1412" i="1"/>
  <c r="AD1412" i="1"/>
  <c r="AE1412" i="1"/>
  <c r="AC1412" i="1"/>
  <c r="Y3407" i="1"/>
  <c r="Y3391" i="1"/>
  <c r="Y3373" i="1"/>
  <c r="AC3338" i="1"/>
  <c r="Y3321" i="1"/>
  <c r="Z3294" i="1"/>
  <c r="Y3241" i="1"/>
  <c r="Z3220" i="1"/>
  <c r="Y3199" i="1"/>
  <c r="Z3190" i="1"/>
  <c r="Z3180" i="1"/>
  <c r="AC3137" i="1"/>
  <c r="Y3132" i="1"/>
  <c r="Y978" i="1"/>
  <c r="Z978" i="1"/>
  <c r="AA978" i="1"/>
  <c r="Y1266" i="1"/>
  <c r="AA1266" i="1"/>
  <c r="Z1266" i="1"/>
  <c r="AC1160" i="1"/>
  <c r="AD1160" i="1"/>
  <c r="AE1160" i="1"/>
  <c r="AB1160" i="1"/>
  <c r="AA1083" i="1"/>
  <c r="Y1083" i="1"/>
  <c r="Z1083" i="1"/>
  <c r="AE1036" i="1"/>
  <c r="Y998" i="1"/>
  <c r="Z998" i="1"/>
  <c r="AA998" i="1"/>
  <c r="Y965" i="1"/>
  <c r="Z965" i="1"/>
  <c r="AA965" i="1"/>
  <c r="Y859" i="1"/>
  <c r="Z859" i="1"/>
  <c r="AA859" i="1"/>
  <c r="Y812" i="1"/>
  <c r="Z812" i="1"/>
  <c r="AA812" i="1"/>
  <c r="Y799" i="1"/>
  <c r="AA799" i="1"/>
  <c r="Z799" i="1"/>
  <c r="Z740" i="1"/>
  <c r="AA740" i="1"/>
  <c r="Y740" i="1"/>
  <c r="Y713" i="1"/>
  <c r="Z713" i="1"/>
  <c r="AA713" i="1"/>
  <c r="Y3567" i="1"/>
  <c r="Z3567" i="1"/>
  <c r="AA3567" i="1"/>
  <c r="Y3547" i="1"/>
  <c r="Z3547" i="1"/>
  <c r="AA3547" i="1"/>
  <c r="Y3527" i="1"/>
  <c r="Z3527" i="1"/>
  <c r="AA3527" i="1"/>
  <c r="Y3507" i="1"/>
  <c r="Z3507" i="1"/>
  <c r="AA3507" i="1"/>
  <c r="Y3459" i="1"/>
  <c r="Z3459" i="1"/>
  <c r="AA3459" i="1"/>
  <c r="AA3386" i="1"/>
  <c r="Y3386" i="1"/>
  <c r="Z3386" i="1"/>
  <c r="AA3370" i="1"/>
  <c r="Y3370" i="1"/>
  <c r="Z3370" i="1"/>
  <c r="AA3302" i="1"/>
  <c r="Y3302" i="1"/>
  <c r="AB3256" i="1"/>
  <c r="AC3256" i="1"/>
  <c r="AD3256" i="1"/>
  <c r="AE3256" i="1"/>
  <c r="AD3160" i="1"/>
  <c r="AE3160" i="1"/>
  <c r="AB3160" i="1"/>
  <c r="AC3050" i="1"/>
  <c r="AD3050" i="1"/>
  <c r="AE3050" i="1"/>
  <c r="AB3050" i="1"/>
  <c r="Y2999" i="1"/>
  <c r="Z2999" i="1"/>
  <c r="AA2999" i="1"/>
  <c r="Y2948" i="1"/>
  <c r="Z2948" i="1"/>
  <c r="AA2948" i="1"/>
  <c r="AC2888" i="1"/>
  <c r="AD2888" i="1"/>
  <c r="AE2888" i="1"/>
  <c r="AB2888" i="1"/>
  <c r="AC2586" i="1"/>
  <c r="AD2586" i="1"/>
  <c r="AE2586" i="1"/>
  <c r="AB2586" i="1"/>
  <c r="AC2496" i="1"/>
  <c r="AB2496" i="1"/>
  <c r="AD2496" i="1"/>
  <c r="AE2496" i="1"/>
  <c r="AB2307" i="1"/>
  <c r="AC2307" i="1"/>
  <c r="AD2307" i="1"/>
  <c r="AE2307" i="1"/>
  <c r="AC2199" i="1"/>
  <c r="AE2199" i="1"/>
  <c r="AB2199" i="1"/>
  <c r="AD2199" i="1"/>
  <c r="AB2141" i="1"/>
  <c r="AC2141" i="1"/>
  <c r="AE2141" i="1"/>
  <c r="AD2141" i="1"/>
  <c r="AB2107" i="1"/>
  <c r="AC2107" i="1"/>
  <c r="AD2107" i="1"/>
  <c r="AE2107" i="1"/>
  <c r="AE2023" i="1"/>
  <c r="AB2023" i="1"/>
  <c r="AC2023" i="1"/>
  <c r="AD2023" i="1"/>
  <c r="AB1857" i="1"/>
  <c r="AC1857" i="1"/>
  <c r="AD1857" i="1"/>
  <c r="AE1857" i="1"/>
  <c r="AB1773" i="1"/>
  <c r="AC1773" i="1"/>
  <c r="AD1773" i="1"/>
  <c r="AC1650" i="1"/>
  <c r="AD1650" i="1"/>
  <c r="AE1650" i="1"/>
  <c r="AB1650" i="1"/>
  <c r="AB1426" i="1"/>
  <c r="AD1426" i="1"/>
  <c r="AE1426" i="1"/>
  <c r="AC1426" i="1"/>
  <c r="AC1278" i="1"/>
  <c r="AD1278" i="1"/>
  <c r="AB1278" i="1"/>
  <c r="AE1278" i="1"/>
  <c r="AC1220" i="1"/>
  <c r="AD1220" i="1"/>
  <c r="AE1220" i="1"/>
  <c r="AB1220" i="1"/>
  <c r="AC1161" i="1"/>
  <c r="AD1161" i="1"/>
  <c r="AE1161" i="1"/>
  <c r="AB1161" i="1"/>
  <c r="AB1066" i="1"/>
  <c r="AC1066" i="1"/>
  <c r="AE1066" i="1"/>
  <c r="AD1066" i="1"/>
  <c r="Y1026" i="1"/>
  <c r="AA1026" i="1"/>
  <c r="Z1026" i="1"/>
  <c r="AB1001" i="1"/>
  <c r="AC1001" i="1"/>
  <c r="AE1001" i="1"/>
  <c r="AD1001" i="1"/>
  <c r="Y868" i="1"/>
  <c r="Z868" i="1"/>
  <c r="AA868" i="1"/>
  <c r="AC839" i="1"/>
  <c r="AD839" i="1"/>
  <c r="AB839" i="1"/>
  <c r="AE839" i="1"/>
  <c r="Y823" i="1"/>
  <c r="Z823" i="1"/>
  <c r="AA823" i="1"/>
  <c r="AC797" i="1"/>
  <c r="AD797" i="1"/>
  <c r="AE797" i="1"/>
  <c r="AB797" i="1"/>
  <c r="Y761" i="1"/>
  <c r="AA761" i="1"/>
  <c r="Z761" i="1"/>
  <c r="Y739" i="1"/>
  <c r="Z739" i="1"/>
  <c r="AA739" i="1"/>
  <c r="Y663" i="1"/>
  <c r="Z663" i="1"/>
  <c r="AA663" i="1"/>
  <c r="X994" i="1"/>
  <c r="AD2" i="1"/>
  <c r="AC2" i="1"/>
  <c r="AB2" i="1"/>
  <c r="Y1271" i="1"/>
  <c r="AA1271" i="1"/>
  <c r="Z1271" i="1"/>
  <c r="AC1243" i="1"/>
  <c r="AD1243" i="1"/>
  <c r="AE1243" i="1"/>
  <c r="AB1243" i="1"/>
  <c r="Y1219" i="1"/>
  <c r="AA1219" i="1"/>
  <c r="Z1219" i="1"/>
  <c r="AC1153" i="1"/>
  <c r="AD1153" i="1"/>
  <c r="AE1153" i="1"/>
  <c r="AB1153" i="1"/>
  <c r="AB1085" i="1"/>
  <c r="AC1085" i="1"/>
  <c r="AE1085" i="1"/>
  <c r="AD1085" i="1"/>
  <c r="AA1070" i="1"/>
  <c r="Y1070" i="1"/>
  <c r="Z1070" i="1"/>
  <c r="AB1059" i="1"/>
  <c r="AC1059" i="1"/>
  <c r="AE1059" i="1"/>
  <c r="AD1059" i="1"/>
  <c r="AB1045" i="1"/>
  <c r="AC1045" i="1"/>
  <c r="AE1045" i="1"/>
  <c r="AD1045" i="1"/>
  <c r="AC1034" i="1"/>
  <c r="AD1034" i="1"/>
  <c r="AE1034" i="1"/>
  <c r="AB1034" i="1"/>
  <c r="AB1024" i="1"/>
  <c r="AC1024" i="1"/>
  <c r="AD1024" i="1"/>
  <c r="AE1024" i="1"/>
  <c r="Y1015" i="1"/>
  <c r="Z1015" i="1"/>
  <c r="AA1015" i="1"/>
  <c r="Y1000" i="1"/>
  <c r="Z1000" i="1"/>
  <c r="AA1000" i="1"/>
  <c r="Y995" i="1"/>
  <c r="AA995" i="1"/>
  <c r="Z995" i="1"/>
  <c r="Y990" i="1"/>
  <c r="Z990" i="1"/>
  <c r="Y979" i="1"/>
  <c r="Z979" i="1"/>
  <c r="AA979" i="1"/>
  <c r="Y969" i="1"/>
  <c r="Z969" i="1"/>
  <c r="AA969" i="1"/>
  <c r="Y952" i="1"/>
  <c r="Z952" i="1"/>
  <c r="AA952" i="1"/>
  <c r="AB942" i="1"/>
  <c r="AC942" i="1"/>
  <c r="AD942" i="1"/>
  <c r="AE942" i="1"/>
  <c r="AC926" i="1"/>
  <c r="AE926" i="1"/>
  <c r="AB926" i="1"/>
  <c r="AD926" i="1"/>
  <c r="Z918" i="1"/>
  <c r="AA918" i="1"/>
  <c r="Y918" i="1"/>
  <c r="Y895" i="1"/>
  <c r="Z895" i="1"/>
  <c r="AA895" i="1"/>
  <c r="Y866" i="1"/>
  <c r="Z866" i="1"/>
  <c r="Y833" i="1"/>
  <c r="AA833" i="1"/>
  <c r="Z833" i="1"/>
  <c r="Y822" i="1"/>
  <c r="Z822" i="1"/>
  <c r="AA822" i="1"/>
  <c r="Y803" i="1"/>
  <c r="AA803" i="1"/>
  <c r="Z803" i="1"/>
  <c r="Y754" i="1"/>
  <c r="Z754" i="1"/>
  <c r="AA754" i="1"/>
  <c r="AD715" i="1"/>
  <c r="AE715" i="1"/>
  <c r="AC715" i="1"/>
  <c r="AB715" i="1"/>
  <c r="AA934" i="1"/>
  <c r="Y934" i="1"/>
  <c r="Y1315" i="1"/>
  <c r="AA1315" i="1"/>
  <c r="Z1315" i="1"/>
  <c r="Y1286" i="1"/>
  <c r="AA1286" i="1"/>
  <c r="Z1286" i="1"/>
  <c r="Y1275" i="1"/>
  <c r="AA1275" i="1"/>
  <c r="Z1275" i="1"/>
  <c r="Y1250" i="1"/>
  <c r="AA1250" i="1"/>
  <c r="Z1250" i="1"/>
  <c r="Y1243" i="1"/>
  <c r="AA1243" i="1"/>
  <c r="Z1243" i="1"/>
  <c r="Y1199" i="1"/>
  <c r="AA1199" i="1"/>
  <c r="Z1199" i="1"/>
  <c r="Y1183" i="1"/>
  <c r="AA1183" i="1"/>
  <c r="Z1183" i="1"/>
  <c r="Y1171" i="1"/>
  <c r="AA1171" i="1"/>
  <c r="Z1171" i="1"/>
  <c r="Y1157" i="1"/>
  <c r="AA1157" i="1"/>
  <c r="Z1157" i="1"/>
  <c r="AA1153" i="1"/>
  <c r="Z1153" i="1"/>
  <c r="Y1153" i="1"/>
  <c r="AA1090" i="1"/>
  <c r="Y1090" i="1"/>
  <c r="Z1090" i="1"/>
  <c r="AA1085" i="1"/>
  <c r="Y1085" i="1"/>
  <c r="Z1085" i="1"/>
  <c r="AA1080" i="1"/>
  <c r="Y1080" i="1"/>
  <c r="Z1080" i="1"/>
  <c r="AA1074" i="1"/>
  <c r="Y1074" i="1"/>
  <c r="Z1074" i="1"/>
  <c r="AA1065" i="1"/>
  <c r="Y1065" i="1"/>
  <c r="Z1065" i="1"/>
  <c r="AA1059" i="1"/>
  <c r="Y1059" i="1"/>
  <c r="Z1059" i="1"/>
  <c r="AA1050" i="1"/>
  <c r="Y1050" i="1"/>
  <c r="Z1050" i="1"/>
  <c r="AA1045" i="1"/>
  <c r="Y1045" i="1"/>
  <c r="Z1045" i="1"/>
  <c r="Y1039" i="1"/>
  <c r="Z1039" i="1"/>
  <c r="AA1039" i="1"/>
  <c r="Y1034" i="1"/>
  <c r="Z1034" i="1"/>
  <c r="AA1034" i="1"/>
  <c r="Y1029" i="1"/>
  <c r="Z1029" i="1"/>
  <c r="AA1029" i="1"/>
  <c r="Y1024" i="1"/>
  <c r="AA1024" i="1"/>
  <c r="Z1024" i="1"/>
  <c r="Y1019" i="1"/>
  <c r="Z1019" i="1"/>
  <c r="AA1019" i="1"/>
  <c r="Y994" i="1"/>
  <c r="Z994" i="1"/>
  <c r="AA994" i="1"/>
  <c r="Y984" i="1"/>
  <c r="Z984" i="1"/>
  <c r="AA984" i="1"/>
  <c r="Y968" i="1"/>
  <c r="Z968" i="1"/>
  <c r="AA968" i="1"/>
  <c r="Y959" i="1"/>
  <c r="Z959" i="1"/>
  <c r="AA959" i="1"/>
  <c r="Y951" i="1"/>
  <c r="Z951" i="1"/>
  <c r="AA951" i="1"/>
  <c r="Y942" i="1"/>
  <c r="Z942" i="1"/>
  <c r="AA942" i="1"/>
  <c r="Y933" i="1"/>
  <c r="Z933" i="1"/>
  <c r="AA933" i="1"/>
  <c r="Z926" i="1"/>
  <c r="AA926" i="1"/>
  <c r="Y926" i="1"/>
  <c r="Y917" i="1"/>
  <c r="Z917" i="1"/>
  <c r="AA917" i="1"/>
  <c r="Y882" i="1"/>
  <c r="AA882" i="1"/>
  <c r="Z882" i="1"/>
  <c r="Y861" i="1"/>
  <c r="Z861" i="1"/>
  <c r="AA861" i="1"/>
  <c r="Y844" i="1"/>
  <c r="Z844" i="1"/>
  <c r="AA844" i="1"/>
  <c r="Y832" i="1"/>
  <c r="Z832" i="1"/>
  <c r="AA832" i="1"/>
  <c r="Y826" i="1"/>
  <c r="Z826" i="1"/>
  <c r="AA826" i="1"/>
  <c r="Y815" i="1"/>
  <c r="AA815" i="1"/>
  <c r="Z815" i="1"/>
  <c r="Y808" i="1"/>
  <c r="Z808" i="1"/>
  <c r="AA808" i="1"/>
  <c r="Y802" i="1"/>
  <c r="Z802" i="1"/>
  <c r="AA802" i="1"/>
  <c r="Y766" i="1"/>
  <c r="AA766" i="1"/>
  <c r="Z766" i="1"/>
  <c r="Z752" i="1"/>
  <c r="Y752" i="1"/>
  <c r="Y737" i="1"/>
  <c r="Z737" i="1"/>
  <c r="AA737" i="1"/>
  <c r="Y728" i="1"/>
  <c r="Z728" i="1"/>
  <c r="AA728" i="1"/>
  <c r="Y715" i="1"/>
  <c r="Z715" i="1"/>
  <c r="AA715" i="1"/>
  <c r="AA3345" i="1"/>
  <c r="Z3345" i="1"/>
  <c r="AA3331" i="1"/>
  <c r="Z3331" i="1"/>
  <c r="AA3322" i="1"/>
  <c r="Y3322" i="1"/>
  <c r="Z3322" i="1"/>
  <c r="AA3313" i="1"/>
  <c r="Z3313" i="1"/>
  <c r="AA3304" i="1"/>
  <c r="Y3304" i="1"/>
  <c r="Z3304" i="1"/>
  <c r="AA3299" i="1"/>
  <c r="Y3299" i="1"/>
  <c r="Z3299" i="1"/>
  <c r="AA3281" i="1"/>
  <c r="Z3281" i="1"/>
  <c r="AA3272" i="1"/>
  <c r="Y3272" i="1"/>
  <c r="Z3272" i="1"/>
  <c r="AA3267" i="1"/>
  <c r="Y3267" i="1"/>
  <c r="Z3267" i="1"/>
  <c r="AA3258" i="1"/>
  <c r="Y3258" i="1"/>
  <c r="Z3258" i="1"/>
  <c r="AA3249" i="1"/>
  <c r="Z3249" i="1"/>
  <c r="AA3240" i="1"/>
  <c r="Y3240" i="1"/>
  <c r="Z3240" i="1"/>
  <c r="AA3235" i="1"/>
  <c r="Y3235" i="1"/>
  <c r="Z3235" i="1"/>
  <c r="AA3226" i="1"/>
  <c r="Y3226" i="1"/>
  <c r="Z3226" i="1"/>
  <c r="AA3208" i="1"/>
  <c r="Y3208" i="1"/>
  <c r="Z3208" i="1"/>
  <c r="AA3194" i="1"/>
  <c r="Y3194" i="1"/>
  <c r="Z3194" i="1"/>
  <c r="AA3185" i="1"/>
  <c r="Z3185" i="1"/>
  <c r="AA3176" i="1"/>
  <c r="Y3176" i="1"/>
  <c r="Z3176" i="1"/>
  <c r="AA3171" i="1"/>
  <c r="Y3171" i="1"/>
  <c r="Z3171" i="1"/>
  <c r="Z3144" i="1"/>
  <c r="AA3144" i="1"/>
  <c r="Z3130" i="1"/>
  <c r="AA3130" i="1"/>
  <c r="Y3130" i="1"/>
  <c r="Z3098" i="1"/>
  <c r="AA3098" i="1"/>
  <c r="Y3098" i="1"/>
  <c r="Z3080" i="1"/>
  <c r="AA3080" i="1"/>
  <c r="Y3080" i="1"/>
  <c r="Z3075" i="1"/>
  <c r="AA3075" i="1"/>
  <c r="Y3075" i="1"/>
  <c r="Z3066" i="1"/>
  <c r="AA3066" i="1"/>
  <c r="Y3066" i="1"/>
  <c r="Y3057" i="1"/>
  <c r="Z3057" i="1"/>
  <c r="Y3048" i="1"/>
  <c r="Z3048" i="1"/>
  <c r="AA3048" i="1"/>
  <c r="Y3043" i="1"/>
  <c r="Z3043" i="1"/>
  <c r="AA3043" i="1"/>
  <c r="AC3038" i="1"/>
  <c r="AD3038" i="1"/>
  <c r="AB3038" i="1"/>
  <c r="Y3016" i="1"/>
  <c r="Z3016" i="1"/>
  <c r="AA3016" i="1"/>
  <c r="AC3005" i="1"/>
  <c r="AD3005" i="1"/>
  <c r="AE3005" i="1"/>
  <c r="AB3005" i="1"/>
  <c r="Y2991" i="1"/>
  <c r="Z2991" i="1"/>
  <c r="AA2991" i="1"/>
  <c r="Y2980" i="1"/>
  <c r="Z2980" i="1"/>
  <c r="AA2980" i="1"/>
  <c r="Y2968" i="1"/>
  <c r="Z2968" i="1"/>
  <c r="AA2968" i="1"/>
  <c r="Y2963" i="1"/>
  <c r="Z2963" i="1"/>
  <c r="AA2963" i="1"/>
  <c r="AC2949" i="1"/>
  <c r="AD2949" i="1"/>
  <c r="AE2949" i="1"/>
  <c r="AB2949" i="1"/>
  <c r="Y2936" i="1"/>
  <c r="Z2936" i="1"/>
  <c r="AA2936" i="1"/>
  <c r="Y2872" i="1"/>
  <c r="Z2872" i="1"/>
  <c r="AA2872" i="1"/>
  <c r="Y2867" i="1"/>
  <c r="Z2867" i="1"/>
  <c r="AA2867" i="1"/>
  <c r="Y2819" i="1"/>
  <c r="Z2819" i="1"/>
  <c r="AA2819" i="1"/>
  <c r="AA2760" i="1"/>
  <c r="Y2760" i="1"/>
  <c r="Z2760" i="1"/>
  <c r="Y2684" i="1"/>
  <c r="AA2684" i="1"/>
  <c r="Z2684" i="1"/>
  <c r="AC2641" i="1"/>
  <c r="AD2641" i="1"/>
  <c r="AE2641" i="1"/>
  <c r="AB2641" i="1"/>
  <c r="AC2604" i="1"/>
  <c r="AD2604" i="1"/>
  <c r="AE2604" i="1"/>
  <c r="AB2604" i="1"/>
  <c r="AC2590" i="1"/>
  <c r="AD2590" i="1"/>
  <c r="AE2590" i="1"/>
  <c r="AB2590" i="1"/>
  <c r="AC2529" i="1"/>
  <c r="AE2529" i="1"/>
  <c r="AB2529" i="1"/>
  <c r="AD2529" i="1"/>
  <c r="AC2524" i="1"/>
  <c r="AB2524" i="1"/>
  <c r="AD2524" i="1"/>
  <c r="AE2524" i="1"/>
  <c r="AC2506" i="1"/>
  <c r="AB2506" i="1"/>
  <c r="AD2506" i="1"/>
  <c r="AE2506" i="1"/>
  <c r="AB2458" i="1"/>
  <c r="AC2458" i="1"/>
  <c r="AD2458" i="1"/>
  <c r="AE2458" i="1"/>
  <c r="AB2453" i="1"/>
  <c r="AC2453" i="1"/>
  <c r="AD2453" i="1"/>
  <c r="AB2434" i="1"/>
  <c r="AC2434" i="1"/>
  <c r="AD2434" i="1"/>
  <c r="AE2434" i="1"/>
  <c r="AB2381" i="1"/>
  <c r="AC2381" i="1"/>
  <c r="AD2381" i="1"/>
  <c r="AE2381" i="1"/>
  <c r="AB2371" i="1"/>
  <c r="AC2371" i="1"/>
  <c r="AD2371" i="1"/>
  <c r="AE2371" i="1"/>
  <c r="AB2365" i="1"/>
  <c r="AC2365" i="1"/>
  <c r="AD2365" i="1"/>
  <c r="AE2365" i="1"/>
  <c r="AB2353" i="1"/>
  <c r="AC2353" i="1"/>
  <c r="AD2353" i="1"/>
  <c r="AE2353" i="1"/>
  <c r="AB2339" i="1"/>
  <c r="AC2339" i="1"/>
  <c r="AD2339" i="1"/>
  <c r="AE2339" i="1"/>
  <c r="AB2330" i="1"/>
  <c r="AC2330" i="1"/>
  <c r="AD2330" i="1"/>
  <c r="AE2330" i="1"/>
  <c r="AB2318" i="1"/>
  <c r="AC2318" i="1"/>
  <c r="AD2318" i="1"/>
  <c r="AE2318" i="1"/>
  <c r="AB2309" i="1"/>
  <c r="AC2309" i="1"/>
  <c r="AD2309" i="1"/>
  <c r="AE2309" i="1"/>
  <c r="AE2255" i="1"/>
  <c r="AB2255" i="1"/>
  <c r="AC2255" i="1"/>
  <c r="AD2255" i="1"/>
  <c r="AC2201" i="1"/>
  <c r="AE2201" i="1"/>
  <c r="AB2201" i="1"/>
  <c r="AD2201" i="1"/>
  <c r="AB2147" i="1"/>
  <c r="AC2147" i="1"/>
  <c r="AE2147" i="1"/>
  <c r="AD2147" i="1"/>
  <c r="AB2138" i="1"/>
  <c r="AC2138" i="1"/>
  <c r="AD2138" i="1"/>
  <c r="AE2138" i="1"/>
  <c r="AB2133" i="1"/>
  <c r="AC2133" i="1"/>
  <c r="AD2133" i="1"/>
  <c r="AE2133" i="1"/>
  <c r="AB2119" i="1"/>
  <c r="AC2119" i="1"/>
  <c r="AD2119" i="1"/>
  <c r="AE2119" i="1"/>
  <c r="AB2109" i="1"/>
  <c r="AC2109" i="1"/>
  <c r="AD2109" i="1"/>
  <c r="AE2109" i="1"/>
  <c r="AB2099" i="1"/>
  <c r="AC2099" i="1"/>
  <c r="AD2099" i="1"/>
  <c r="AE2099" i="1"/>
  <c r="AB2090" i="1"/>
  <c r="AC2090" i="1"/>
  <c r="AD2090" i="1"/>
  <c r="AE2090" i="1"/>
  <c r="AB2081" i="1"/>
  <c r="AC2081" i="1"/>
  <c r="AD2081" i="1"/>
  <c r="AE2081" i="1"/>
  <c r="AB2045" i="1"/>
  <c r="AC2045" i="1"/>
  <c r="AD2045" i="1"/>
  <c r="AE2045" i="1"/>
  <c r="AE2035" i="1"/>
  <c r="AB2035" i="1"/>
  <c r="AC2035" i="1"/>
  <c r="AD2035" i="1"/>
  <c r="AE2025" i="1"/>
  <c r="AB2025" i="1"/>
  <c r="AC2025" i="1"/>
  <c r="AD2025" i="1"/>
  <c r="AE2011" i="1"/>
  <c r="AB2011" i="1"/>
  <c r="AC2011" i="1"/>
  <c r="AD2011" i="1"/>
  <c r="AD2002" i="1"/>
  <c r="AE2002" i="1"/>
  <c r="AB2002" i="1"/>
  <c r="AC2002" i="1"/>
  <c r="AC1987" i="1"/>
  <c r="AD1987" i="1"/>
  <c r="AE1987" i="1"/>
  <c r="AB1987" i="1"/>
  <c r="AC1973" i="1"/>
  <c r="AD1973" i="1"/>
  <c r="AE1973" i="1"/>
  <c r="AB1973" i="1"/>
  <c r="AC1962" i="1"/>
  <c r="AD1962" i="1"/>
  <c r="AE1962" i="1"/>
  <c r="AB1962" i="1"/>
  <c r="AC1937" i="1"/>
  <c r="AD1937" i="1"/>
  <c r="AE1937" i="1"/>
  <c r="AB1937" i="1"/>
  <c r="AB1907" i="1"/>
  <c r="AC1907" i="1"/>
  <c r="AD1907" i="1"/>
  <c r="AE1907" i="1"/>
  <c r="AB1893" i="1"/>
  <c r="AC1893" i="1"/>
  <c r="AD1893" i="1"/>
  <c r="AE1893" i="1"/>
  <c r="AB1865" i="1"/>
  <c r="AC1865" i="1"/>
  <c r="AD1865" i="1"/>
  <c r="AE1865" i="1"/>
  <c r="AB1854" i="1"/>
  <c r="AC1854" i="1"/>
  <c r="AD1854" i="1"/>
  <c r="AE1854" i="1"/>
  <c r="AB1849" i="1"/>
  <c r="AC1849" i="1"/>
  <c r="AD1849" i="1"/>
  <c r="AE1849" i="1"/>
  <c r="AB1839" i="1"/>
  <c r="AC1839" i="1"/>
  <c r="AD1839" i="1"/>
  <c r="AE1839" i="1"/>
  <c r="AB1830" i="1"/>
  <c r="AC1830" i="1"/>
  <c r="AD1830" i="1"/>
  <c r="AE1830" i="1"/>
  <c r="AB1821" i="1"/>
  <c r="AC1821" i="1"/>
  <c r="AD1821" i="1"/>
  <c r="AE1821" i="1"/>
  <c r="AB1811" i="1"/>
  <c r="AC1811" i="1"/>
  <c r="AD1811" i="1"/>
  <c r="AE1811" i="1"/>
  <c r="AB1802" i="1"/>
  <c r="AC1802" i="1"/>
  <c r="AD1802" i="1"/>
  <c r="AE1802" i="1"/>
  <c r="AB1793" i="1"/>
  <c r="AC1793" i="1"/>
  <c r="AD1793" i="1"/>
  <c r="AB1779" i="1"/>
  <c r="AC1779" i="1"/>
  <c r="AD1779" i="1"/>
  <c r="AE1770" i="1"/>
  <c r="AB1770" i="1"/>
  <c r="AC1770" i="1"/>
  <c r="AD1770" i="1"/>
  <c r="AB1761" i="1"/>
  <c r="AC1761" i="1"/>
  <c r="AD1761" i="1"/>
  <c r="Y1749" i="1"/>
  <c r="Z1749" i="1"/>
  <c r="Y1732" i="1"/>
  <c r="Z1732" i="1"/>
  <c r="Y1716" i="1"/>
  <c r="Z1716" i="1"/>
  <c r="Y1709" i="1"/>
  <c r="AA1709" i="1"/>
  <c r="Z1709" i="1"/>
  <c r="AC1692" i="1"/>
  <c r="AE1692" i="1"/>
  <c r="AD1692" i="1"/>
  <c r="AB1692" i="1"/>
  <c r="Y1677" i="1"/>
  <c r="Z1677" i="1"/>
  <c r="Y1653" i="1"/>
  <c r="Z1653" i="1"/>
  <c r="AA1653" i="1"/>
  <c r="AC1645" i="1"/>
  <c r="AD1645" i="1"/>
  <c r="AE1645" i="1"/>
  <c r="AB1645" i="1"/>
  <c r="Y1631" i="1"/>
  <c r="Z1631" i="1"/>
  <c r="AA1631" i="1"/>
  <c r="Y1609" i="1"/>
  <c r="Z1609" i="1"/>
  <c r="AA1609" i="1"/>
  <c r="Y1593" i="1"/>
  <c r="Z1593" i="1"/>
  <c r="AA1593" i="1"/>
  <c r="AD1528" i="1"/>
  <c r="AB1528" i="1"/>
  <c r="AC1528" i="1"/>
  <c r="AE1528" i="1"/>
  <c r="AD1513" i="1"/>
  <c r="AB1513" i="1"/>
  <c r="AC1513" i="1"/>
  <c r="AE1513" i="1"/>
  <c r="AD1491" i="1"/>
  <c r="AE1491" i="1"/>
  <c r="AB1491" i="1"/>
  <c r="AC1491" i="1"/>
  <c r="AD1469" i="1"/>
  <c r="AE1469" i="1"/>
  <c r="AB1469" i="1"/>
  <c r="AC1469" i="1"/>
  <c r="Z1455" i="1"/>
  <c r="Y1455" i="1"/>
  <c r="AA1455" i="1"/>
  <c r="Z1397" i="1"/>
  <c r="Y1397" i="1"/>
  <c r="AA1397" i="1"/>
  <c r="Y2" i="1"/>
  <c r="Y3381" i="1"/>
  <c r="AC3346" i="1"/>
  <c r="Y3333" i="1"/>
  <c r="Y3325" i="1"/>
  <c r="Z3286" i="1"/>
  <c r="Y3279" i="1"/>
  <c r="Y3263" i="1"/>
  <c r="Y3257" i="1"/>
  <c r="Z3252" i="1"/>
  <c r="Z3246" i="1"/>
  <c r="Y3233" i="1"/>
  <c r="Z3188" i="1"/>
  <c r="Z3174" i="1"/>
  <c r="Z3154" i="1"/>
  <c r="Y3149" i="1"/>
  <c r="AB3040" i="1"/>
  <c r="Y1273" i="1"/>
  <c r="AA1273" i="1"/>
  <c r="Z1273" i="1"/>
  <c r="AA1062" i="1"/>
  <c r="Y1062" i="1"/>
  <c r="Z1062" i="1"/>
  <c r="Y1011" i="1"/>
  <c r="AA1011" i="1"/>
  <c r="Z1011" i="1"/>
  <c r="AB954" i="1"/>
  <c r="AC954" i="1"/>
  <c r="AD954" i="1"/>
  <c r="AE954" i="1"/>
  <c r="AC890" i="1"/>
  <c r="AB890" i="1"/>
  <c r="AD890" i="1"/>
  <c r="AE890" i="1"/>
  <c r="Y841" i="1"/>
  <c r="Z841" i="1"/>
  <c r="AA841" i="1"/>
  <c r="AA749" i="1"/>
  <c r="Y749" i="1"/>
  <c r="Z749" i="1"/>
  <c r="Y3571" i="1"/>
  <c r="Z3571" i="1"/>
  <c r="AA3571" i="1"/>
  <c r="Y3531" i="1"/>
  <c r="Z3531" i="1"/>
  <c r="AA3531" i="1"/>
  <c r="Y3491" i="1"/>
  <c r="Z3491" i="1"/>
  <c r="AA3491" i="1"/>
  <c r="Y3463" i="1"/>
  <c r="Z3463" i="1"/>
  <c r="AA3463" i="1"/>
  <c r="Y3439" i="1"/>
  <c r="Z3439" i="1"/>
  <c r="AA3439" i="1"/>
  <c r="Y3382" i="1"/>
  <c r="Z3382" i="1"/>
  <c r="AB3320" i="1"/>
  <c r="AD3320" i="1"/>
  <c r="AE3320" i="1"/>
  <c r="AA3270" i="1"/>
  <c r="Y3270" i="1"/>
  <c r="AA3238" i="1"/>
  <c r="Y3238" i="1"/>
  <c r="AA3156" i="1"/>
  <c r="Y3156" i="1"/>
  <c r="Z3156" i="1"/>
  <c r="Z3124" i="1"/>
  <c r="AA3124" i="1"/>
  <c r="Y3124" i="1"/>
  <c r="AC3064" i="1"/>
  <c r="AD3064" i="1"/>
  <c r="AE3064" i="1"/>
  <c r="AB3064" i="1"/>
  <c r="AC3013" i="1"/>
  <c r="AD3013" i="1"/>
  <c r="AE3013" i="1"/>
  <c r="AB3013" i="1"/>
  <c r="AC2952" i="1"/>
  <c r="AD2952" i="1"/>
  <c r="AE2952" i="1"/>
  <c r="AB2952" i="1"/>
  <c r="Y2879" i="1"/>
  <c r="Z2879" i="1"/>
  <c r="AA2879" i="1"/>
  <c r="AC2681" i="1"/>
  <c r="AE2681" i="1"/>
  <c r="AB2681" i="1"/>
  <c r="AD2681" i="1"/>
  <c r="AC2532" i="1"/>
  <c r="AB2532" i="1"/>
  <c r="AD2532" i="1"/>
  <c r="AE2532" i="1"/>
  <c r="AB2379" i="1"/>
  <c r="AC2379" i="1"/>
  <c r="AD2379" i="1"/>
  <c r="AE2379" i="1"/>
  <c r="AB2122" i="1"/>
  <c r="AC2122" i="1"/>
  <c r="AD2122" i="1"/>
  <c r="AE2122" i="1"/>
  <c r="AB2093" i="1"/>
  <c r="AC2093" i="1"/>
  <c r="AD2093" i="1"/>
  <c r="AE2093" i="1"/>
  <c r="AB2079" i="1"/>
  <c r="AC2079" i="1"/>
  <c r="AD2079" i="1"/>
  <c r="AE2079" i="1"/>
  <c r="AC1990" i="1"/>
  <c r="AD1990" i="1"/>
  <c r="AE1990" i="1"/>
  <c r="AB1990" i="1"/>
  <c r="AB1891" i="1"/>
  <c r="AC1891" i="1"/>
  <c r="AD1891" i="1"/>
  <c r="AE1891" i="1"/>
  <c r="AB1819" i="1"/>
  <c r="AC1819" i="1"/>
  <c r="AD1819" i="1"/>
  <c r="AC1713" i="1"/>
  <c r="AB1713" i="1"/>
  <c r="AD1713" i="1"/>
  <c r="Y1689" i="1"/>
  <c r="AA1689" i="1"/>
  <c r="Z1689" i="1"/>
  <c r="Y1657" i="1"/>
  <c r="Z1657" i="1"/>
  <c r="AA1657" i="1"/>
  <c r="Y1599" i="1"/>
  <c r="Z1599" i="1"/>
  <c r="AA1599" i="1"/>
  <c r="Y1323" i="1"/>
  <c r="AA1323" i="1"/>
  <c r="Z1323" i="1"/>
  <c r="Y1265" i="1"/>
  <c r="AA1265" i="1"/>
  <c r="Z1265" i="1"/>
  <c r="Y1159" i="1"/>
  <c r="AA1159" i="1"/>
  <c r="Z1159" i="1"/>
  <c r="AC1091" i="1"/>
  <c r="AE1091" i="1"/>
  <c r="AB1091" i="1"/>
  <c r="AD1091" i="1"/>
  <c r="AA1071" i="1"/>
  <c r="Y1071" i="1"/>
  <c r="Z1071" i="1"/>
  <c r="AA1052" i="1"/>
  <c r="Y1052" i="1"/>
  <c r="Z1052" i="1"/>
  <c r="Y1031" i="1"/>
  <c r="Z1031" i="1"/>
  <c r="AA1031" i="1"/>
  <c r="Y1016" i="1"/>
  <c r="AA1016" i="1"/>
  <c r="Z1016" i="1"/>
  <c r="AB961" i="1"/>
  <c r="AC961" i="1"/>
  <c r="AD961" i="1"/>
  <c r="AE961" i="1"/>
  <c r="AC862" i="1"/>
  <c r="AB862" i="1"/>
  <c r="AD862" i="1"/>
  <c r="AE862" i="1"/>
  <c r="X949" i="1"/>
  <c r="AC1285" i="1"/>
  <c r="AD1285" i="1"/>
  <c r="AB1285" i="1"/>
  <c r="AE1285" i="1"/>
  <c r="Y1267" i="1"/>
  <c r="AA1267" i="1"/>
  <c r="Z1267" i="1"/>
  <c r="Y1262" i="1"/>
  <c r="AA1262" i="1"/>
  <c r="Z1262" i="1"/>
  <c r="AC1248" i="1"/>
  <c r="AD1248" i="1"/>
  <c r="AE1248" i="1"/>
  <c r="AB1248" i="1"/>
  <c r="Y1242" i="1"/>
  <c r="AA1242" i="1"/>
  <c r="Z1242" i="1"/>
  <c r="Y1236" i="1"/>
  <c r="AA1236" i="1"/>
  <c r="Z1236" i="1"/>
  <c r="Y1192" i="1"/>
  <c r="AA1192" i="1"/>
  <c r="Z1192" i="1"/>
  <c r="AC1182" i="1"/>
  <c r="AD1182" i="1"/>
  <c r="AE1182" i="1"/>
  <c r="AB1182" i="1"/>
  <c r="Y1170" i="1"/>
  <c r="AA1170" i="1"/>
  <c r="Z1170" i="1"/>
  <c r="AA1151" i="1"/>
  <c r="Y1151" i="1"/>
  <c r="Z1151" i="1"/>
  <c r="AC1089" i="1"/>
  <c r="AE1089" i="1"/>
  <c r="AB1089" i="1"/>
  <c r="AD1089" i="1"/>
  <c r="AA1084" i="1"/>
  <c r="Y1084" i="1"/>
  <c r="Z1084" i="1"/>
  <c r="AA1079" i="1"/>
  <c r="Y1079" i="1"/>
  <c r="Z1079" i="1"/>
  <c r="AB1073" i="1"/>
  <c r="AC1073" i="1"/>
  <c r="AE1073" i="1"/>
  <c r="AD1073" i="1"/>
  <c r="AA1069" i="1"/>
  <c r="Y1069" i="1"/>
  <c r="Z1069" i="1"/>
  <c r="AB1063" i="1"/>
  <c r="AC1063" i="1"/>
  <c r="AE1063" i="1"/>
  <c r="AD1063" i="1"/>
  <c r="AA1058" i="1"/>
  <c r="Y1058" i="1"/>
  <c r="Z1058" i="1"/>
  <c r="AA1049" i="1"/>
  <c r="Y1049" i="1"/>
  <c r="Z1049" i="1"/>
  <c r="AB1044" i="1"/>
  <c r="AC1044" i="1"/>
  <c r="AE1044" i="1"/>
  <c r="AD1044" i="1"/>
  <c r="AC1038" i="1"/>
  <c r="AE1038" i="1"/>
  <c r="AB1038" i="1"/>
  <c r="AD1038" i="1"/>
  <c r="Y1033" i="1"/>
  <c r="Z1033" i="1"/>
  <c r="AA1033" i="1"/>
  <c r="Y1028" i="1"/>
  <c r="Z1028" i="1"/>
  <c r="AA1028" i="1"/>
  <c r="AB1023" i="1"/>
  <c r="AC1023" i="1"/>
  <c r="AD1023" i="1"/>
  <c r="AE1023" i="1"/>
  <c r="AC1018" i="1"/>
  <c r="AD1018" i="1"/>
  <c r="AE1018" i="1"/>
  <c r="AB1018" i="1"/>
  <c r="Y1014" i="1"/>
  <c r="Z1014" i="1"/>
  <c r="AA1014" i="1"/>
  <c r="AC1007" i="1"/>
  <c r="AB1007" i="1"/>
  <c r="AD1007" i="1"/>
  <c r="AE1007" i="1"/>
  <c r="Y999" i="1"/>
  <c r="Z999" i="1"/>
  <c r="AA999" i="1"/>
  <c r="AB993" i="1"/>
  <c r="AC993" i="1"/>
  <c r="AE993" i="1"/>
  <c r="AD993" i="1"/>
  <c r="Y989" i="1"/>
  <c r="Z989" i="1"/>
  <c r="Y977" i="1"/>
  <c r="Z977" i="1"/>
  <c r="AA977" i="1"/>
  <c r="Y967" i="1"/>
  <c r="Z967" i="1"/>
  <c r="AA967" i="1"/>
  <c r="AB958" i="1"/>
  <c r="AC958" i="1"/>
  <c r="AD958" i="1"/>
  <c r="AE958" i="1"/>
  <c r="Y950" i="1"/>
  <c r="Z950" i="1"/>
  <c r="AA950" i="1"/>
  <c r="Y932" i="1"/>
  <c r="Z932" i="1"/>
  <c r="AA932" i="1"/>
  <c r="Y925" i="1"/>
  <c r="Z925" i="1"/>
  <c r="AA925" i="1"/>
  <c r="Y916" i="1"/>
  <c r="Z916" i="1"/>
  <c r="AA916" i="1"/>
  <c r="Y909" i="1"/>
  <c r="Z909" i="1"/>
  <c r="AA909" i="1"/>
  <c r="Y903" i="1"/>
  <c r="Z903" i="1"/>
  <c r="AA903" i="1"/>
  <c r="Y893" i="1"/>
  <c r="Z893" i="1"/>
  <c r="AA893" i="1"/>
  <c r="AC879" i="1"/>
  <c r="AD879" i="1"/>
  <c r="AE879" i="1"/>
  <c r="AB879" i="1"/>
  <c r="Y865" i="1"/>
  <c r="Z865" i="1"/>
  <c r="AA865" i="1"/>
  <c r="Y860" i="1"/>
  <c r="Z860" i="1"/>
  <c r="AA860" i="1"/>
  <c r="Y851" i="1"/>
  <c r="Z851" i="1"/>
  <c r="AA851" i="1"/>
  <c r="Y843" i="1"/>
  <c r="Z843" i="1"/>
  <c r="AA843" i="1"/>
  <c r="Y837" i="1"/>
  <c r="Z837" i="1"/>
  <c r="AA837" i="1"/>
  <c r="AC831" i="1"/>
  <c r="AD831" i="1"/>
  <c r="AB831" i="1"/>
  <c r="AE831" i="1"/>
  <c r="AB825" i="1"/>
  <c r="AC825" i="1"/>
  <c r="AD825" i="1"/>
  <c r="AE825" i="1"/>
  <c r="Y821" i="1"/>
  <c r="Z821" i="1"/>
  <c r="AA821" i="1"/>
  <c r="Y814" i="1"/>
  <c r="Z814" i="1"/>
  <c r="AA814" i="1"/>
  <c r="AC807" i="1"/>
  <c r="AB807" i="1"/>
  <c r="AE807" i="1"/>
  <c r="AD807" i="1"/>
  <c r="Y801" i="1"/>
  <c r="Z801" i="1"/>
  <c r="AA801" i="1"/>
  <c r="Y795" i="1"/>
  <c r="AA795" i="1"/>
  <c r="Z795" i="1"/>
  <c r="AE764" i="1"/>
  <c r="AB764" i="1"/>
  <c r="AD764" i="1"/>
  <c r="AC764" i="1"/>
  <c r="AC751" i="1"/>
  <c r="AD751" i="1"/>
  <c r="AB751" i="1"/>
  <c r="Y742" i="1"/>
  <c r="Z742" i="1"/>
  <c r="AA742" i="1"/>
  <c r="AE732" i="1"/>
  <c r="AB732" i="1"/>
  <c r="AC732" i="1"/>
  <c r="AD732" i="1"/>
  <c r="Z724" i="1"/>
  <c r="AA724" i="1"/>
  <c r="Y724" i="1"/>
  <c r="AD714" i="1"/>
  <c r="AE714" i="1"/>
  <c r="AB714" i="1"/>
  <c r="AC714" i="1"/>
  <c r="Y3576" i="1"/>
  <c r="Z3576" i="1"/>
  <c r="AA3576" i="1"/>
  <c r="Y3572" i="1"/>
  <c r="Z3572" i="1"/>
  <c r="AA3572" i="1"/>
  <c r="Y3568" i="1"/>
  <c r="Z3568" i="1"/>
  <c r="AA3568" i="1"/>
  <c r="Y3564" i="1"/>
  <c r="Z3564" i="1"/>
  <c r="AA3564" i="1"/>
  <c r="Y3560" i="1"/>
  <c r="Z3560" i="1"/>
  <c r="AA3560" i="1"/>
  <c r="Y3556" i="1"/>
  <c r="Z3556" i="1"/>
  <c r="AA3556" i="1"/>
  <c r="Y3548" i="1"/>
  <c r="Z3548" i="1"/>
  <c r="AA3548" i="1"/>
  <c r="Y3540" i="1"/>
  <c r="Z3540" i="1"/>
  <c r="AA3540" i="1"/>
  <c r="Y3536" i="1"/>
  <c r="Z3536" i="1"/>
  <c r="AA3536" i="1"/>
  <c r="Y3532" i="1"/>
  <c r="Z3532" i="1"/>
  <c r="AA3532" i="1"/>
  <c r="Y3528" i="1"/>
  <c r="Z3528" i="1"/>
  <c r="AA3528" i="1"/>
  <c r="Y3520" i="1"/>
  <c r="Z3520" i="1"/>
  <c r="AA3520" i="1"/>
  <c r="Y3516" i="1"/>
  <c r="Z3516" i="1"/>
  <c r="AA3516" i="1"/>
  <c r="Y3512" i="1"/>
  <c r="Z3512" i="1"/>
  <c r="AA3512" i="1"/>
  <c r="Y3504" i="1"/>
  <c r="Z3504" i="1"/>
  <c r="AA3504" i="1"/>
  <c r="Y3500" i="1"/>
  <c r="Z3500" i="1"/>
  <c r="Y3496" i="1"/>
  <c r="Z3496" i="1"/>
  <c r="Y3488" i="1"/>
  <c r="Z3488" i="1"/>
  <c r="AA3488" i="1"/>
  <c r="Y3484" i="1"/>
  <c r="Z3484" i="1"/>
  <c r="AA3484" i="1"/>
  <c r="Y3480" i="1"/>
  <c r="Z3480" i="1"/>
  <c r="AA3480" i="1"/>
  <c r="Y3476" i="1"/>
  <c r="Z3476" i="1"/>
  <c r="AA3476" i="1"/>
  <c r="Y3472" i="1"/>
  <c r="Z3472" i="1"/>
  <c r="AA3472" i="1"/>
  <c r="Y3468" i="1"/>
  <c r="Z3468" i="1"/>
  <c r="AA3468" i="1"/>
  <c r="Y3464" i="1"/>
  <c r="Z3464" i="1"/>
  <c r="AA3464" i="1"/>
  <c r="Y3460" i="1"/>
  <c r="Z3460" i="1"/>
  <c r="AA3460" i="1"/>
  <c r="Y3456" i="1"/>
  <c r="Z3456" i="1"/>
  <c r="AA3456" i="1"/>
  <c r="Y3444" i="1"/>
  <c r="Z3444" i="1"/>
  <c r="AA3444" i="1"/>
  <c r="Y3440" i="1"/>
  <c r="Z3440" i="1"/>
  <c r="AA3440" i="1"/>
  <c r="Y3432" i="1"/>
  <c r="Z3432" i="1"/>
  <c r="AA3432" i="1"/>
  <c r="AA3420" i="1"/>
  <c r="Z3420" i="1"/>
  <c r="AA3407" i="1"/>
  <c r="Z3407" i="1"/>
  <c r="AA3403" i="1"/>
  <c r="Z3403" i="1"/>
  <c r="AA3395" i="1"/>
  <c r="Z3395" i="1"/>
  <c r="AA3391" i="1"/>
  <c r="Z3391" i="1"/>
  <c r="AA3387" i="1"/>
  <c r="Z3387" i="1"/>
  <c r="AA3379" i="1"/>
  <c r="Z3379" i="1"/>
  <c r="AA3375" i="1"/>
  <c r="Z3375" i="1"/>
  <c r="AA3371" i="1"/>
  <c r="Z3371" i="1"/>
  <c r="AA3367" i="1"/>
  <c r="Z3367" i="1"/>
  <c r="AA3363" i="1"/>
  <c r="Z3363" i="1"/>
  <c r="AA3359" i="1"/>
  <c r="Z3359" i="1"/>
  <c r="AA3340" i="1"/>
  <c r="Y3340" i="1"/>
  <c r="Z3340" i="1"/>
  <c r="AA3335" i="1"/>
  <c r="Z3335" i="1"/>
  <c r="AA3326" i="1"/>
  <c r="Y3326" i="1"/>
  <c r="Z3326" i="1"/>
  <c r="AA3317" i="1"/>
  <c r="Y3317" i="1"/>
  <c r="Z3317" i="1"/>
  <c r="Y3308" i="1"/>
  <c r="AA3303" i="1"/>
  <c r="Z3303" i="1"/>
  <c r="AA3294" i="1"/>
  <c r="Y3294" i="1"/>
  <c r="AA3285" i="1"/>
  <c r="Y3285" i="1"/>
  <c r="Z3285" i="1"/>
  <c r="AA3276" i="1"/>
  <c r="Y3276" i="1"/>
  <c r="AA3271" i="1"/>
  <c r="Z3271" i="1"/>
  <c r="Y3262" i="1"/>
  <c r="AA3253" i="1"/>
  <c r="Y3253" i="1"/>
  <c r="Z3253" i="1"/>
  <c r="AA3244" i="1"/>
  <c r="Y3244" i="1"/>
  <c r="AA3239" i="1"/>
  <c r="Z3239" i="1"/>
  <c r="AA3230" i="1"/>
  <c r="Y3230" i="1"/>
  <c r="AA3221" i="1"/>
  <c r="Y3221" i="1"/>
  <c r="Z3221" i="1"/>
  <c r="AA3212" i="1"/>
  <c r="Y3212" i="1"/>
  <c r="AA3207" i="1"/>
  <c r="Z3207" i="1"/>
  <c r="AA3198" i="1"/>
  <c r="Y3198" i="1"/>
  <c r="AA3189" i="1"/>
  <c r="Y3189" i="1"/>
  <c r="Z3189" i="1"/>
  <c r="AA3180" i="1"/>
  <c r="Y3180" i="1"/>
  <c r="AA3175" i="1"/>
  <c r="Z3175" i="1"/>
  <c r="AA3166" i="1"/>
  <c r="Y3166" i="1"/>
  <c r="AA3157" i="1"/>
  <c r="Y3157" i="1"/>
  <c r="Z3157" i="1"/>
  <c r="AA3148" i="1"/>
  <c r="Y3148" i="1"/>
  <c r="Z3148" i="1"/>
  <c r="Z3143" i="1"/>
  <c r="AA3143" i="1"/>
  <c r="Y3143" i="1"/>
  <c r="Z3134" i="1"/>
  <c r="AA3134" i="1"/>
  <c r="Y3134" i="1"/>
  <c r="Z3125" i="1"/>
  <c r="AA3125" i="1"/>
  <c r="Y3125" i="1"/>
  <c r="Z3093" i="1"/>
  <c r="AA3093" i="1"/>
  <c r="Z3084" i="1"/>
  <c r="AA3084" i="1"/>
  <c r="Y3084" i="1"/>
  <c r="Z3079" i="1"/>
  <c r="AA3079" i="1"/>
  <c r="Z3070" i="1"/>
  <c r="AA3070" i="1"/>
  <c r="Y3070" i="1"/>
  <c r="Y3061" i="1"/>
  <c r="Z3061" i="1"/>
  <c r="Y3052" i="1"/>
  <c r="Z3052" i="1"/>
  <c r="AA3052" i="1"/>
  <c r="Y3047" i="1"/>
  <c r="Z3047" i="1"/>
  <c r="AC3042" i="1"/>
  <c r="AD3042" i="1"/>
  <c r="AB3042" i="1"/>
  <c r="Y3029" i="1"/>
  <c r="Z3029" i="1"/>
  <c r="AA3029" i="1"/>
  <c r="AA3020" i="1"/>
  <c r="Y3015" i="1"/>
  <c r="Z3015" i="1"/>
  <c r="AA3015" i="1"/>
  <c r="Y2996" i="1"/>
  <c r="Z2996" i="1"/>
  <c r="AA2996" i="1"/>
  <c r="AC2990" i="1"/>
  <c r="AD2990" i="1"/>
  <c r="AE2990" i="1"/>
  <c r="AB2990" i="1"/>
  <c r="Y2979" i="1"/>
  <c r="Z2979" i="1"/>
  <c r="AC2962" i="1"/>
  <c r="AD2962" i="1"/>
  <c r="AE2962" i="1"/>
  <c r="AB2962" i="1"/>
  <c r="AC2953" i="1"/>
  <c r="AD2953" i="1"/>
  <c r="AE2953" i="1"/>
  <c r="AB2953" i="1"/>
  <c r="Y2940" i="1"/>
  <c r="Z2940" i="1"/>
  <c r="AA2940" i="1"/>
  <c r="Y2935" i="1"/>
  <c r="Z2935" i="1"/>
  <c r="AA2935" i="1"/>
  <c r="AC2889" i="1"/>
  <c r="AD2889" i="1"/>
  <c r="AE2889" i="1"/>
  <c r="AB2889" i="1"/>
  <c r="Y2876" i="1"/>
  <c r="Z2876" i="1"/>
  <c r="AA2876" i="1"/>
  <c r="Y2871" i="1"/>
  <c r="Z2871" i="1"/>
  <c r="AC2866" i="1"/>
  <c r="AD2866" i="1"/>
  <c r="AE2866" i="1"/>
  <c r="AB2866" i="1"/>
  <c r="Y2804" i="1"/>
  <c r="Z2804" i="1"/>
  <c r="AA2804" i="1"/>
  <c r="AC2797" i="1"/>
  <c r="AD2797" i="1"/>
  <c r="AE2797" i="1"/>
  <c r="AB2797" i="1"/>
  <c r="AA2780" i="1"/>
  <c r="Y2780" i="1"/>
  <c r="Z2780" i="1"/>
  <c r="AA2759" i="1"/>
  <c r="Z2759" i="1"/>
  <c r="Y2759" i="1"/>
  <c r="AE2749" i="1"/>
  <c r="AB2749" i="1"/>
  <c r="AC2749" i="1"/>
  <c r="AD2749" i="1"/>
  <c r="AA2740" i="1"/>
  <c r="Y2740" i="1"/>
  <c r="Z2740" i="1"/>
  <c r="Y2700" i="1"/>
  <c r="AA2700" i="1"/>
  <c r="Z2700" i="1"/>
  <c r="AC2695" i="1"/>
  <c r="AE2695" i="1"/>
  <c r="AB2695" i="1"/>
  <c r="AD2695" i="1"/>
  <c r="AC2670" i="1"/>
  <c r="AE2670" i="1"/>
  <c r="AB2670" i="1"/>
  <c r="AD2670" i="1"/>
  <c r="AC2636" i="1"/>
  <c r="AD2636" i="1"/>
  <c r="AE2636" i="1"/>
  <c r="AB2636" i="1"/>
  <c r="AC2608" i="1"/>
  <c r="AD2608" i="1"/>
  <c r="AE2608" i="1"/>
  <c r="AB2608" i="1"/>
  <c r="AC2597" i="1"/>
  <c r="AD2597" i="1"/>
  <c r="AE2597" i="1"/>
  <c r="AB2597" i="1"/>
  <c r="AC2580" i="1"/>
  <c r="AD2580" i="1"/>
  <c r="AE2580" i="1"/>
  <c r="AB2580" i="1"/>
  <c r="AC2570" i="1"/>
  <c r="AD2570" i="1"/>
  <c r="AE2570" i="1"/>
  <c r="AB2570" i="1"/>
  <c r="AB2548" i="1"/>
  <c r="AC2548" i="1"/>
  <c r="AD2548" i="1"/>
  <c r="AE2548" i="1"/>
  <c r="AC2542" i="1"/>
  <c r="AB2542" i="1"/>
  <c r="AD2542" i="1"/>
  <c r="AE2542" i="1"/>
  <c r="AC2533" i="1"/>
  <c r="AE2533" i="1"/>
  <c r="AB2533" i="1"/>
  <c r="AD2533" i="1"/>
  <c r="AC2482" i="1"/>
  <c r="AB2482" i="1"/>
  <c r="AD2482" i="1"/>
  <c r="AE2482" i="1"/>
  <c r="AB2462" i="1"/>
  <c r="AC2462" i="1"/>
  <c r="AD2462" i="1"/>
  <c r="AB2448" i="1"/>
  <c r="AC2448" i="1"/>
  <c r="AD2448" i="1"/>
  <c r="AB2393" i="1"/>
  <c r="AC2393" i="1"/>
  <c r="AD2393" i="1"/>
  <c r="AB2387" i="1"/>
  <c r="AC2387" i="1"/>
  <c r="AD2387" i="1"/>
  <c r="AE2387" i="1"/>
  <c r="AB2357" i="1"/>
  <c r="AC2357" i="1"/>
  <c r="AD2357" i="1"/>
  <c r="AE2357" i="1"/>
  <c r="AB2343" i="1"/>
  <c r="AC2343" i="1"/>
  <c r="AD2343" i="1"/>
  <c r="AE2343" i="1"/>
  <c r="AB2334" i="1"/>
  <c r="AC2334" i="1"/>
  <c r="AD2334" i="1"/>
  <c r="AE2334" i="1"/>
  <c r="AB2325" i="1"/>
  <c r="AC2325" i="1"/>
  <c r="AD2325" i="1"/>
  <c r="AE2325" i="1"/>
  <c r="AB2313" i="1"/>
  <c r="AC2313" i="1"/>
  <c r="AD2313" i="1"/>
  <c r="AE2313" i="1"/>
  <c r="AB2299" i="1"/>
  <c r="AC2299" i="1"/>
  <c r="AD2299" i="1"/>
  <c r="AE2299" i="1"/>
  <c r="AE2250" i="1"/>
  <c r="AB2250" i="1"/>
  <c r="AC2250" i="1"/>
  <c r="AD2250" i="1"/>
  <c r="AB2155" i="1"/>
  <c r="AC2155" i="1"/>
  <c r="AE2155" i="1"/>
  <c r="AD2155" i="1"/>
  <c r="AB2142" i="1"/>
  <c r="AC2142" i="1"/>
  <c r="AE2142" i="1"/>
  <c r="AD2142" i="1"/>
  <c r="AB2123" i="1"/>
  <c r="AC2123" i="1"/>
  <c r="AD2123" i="1"/>
  <c r="AE2123" i="1"/>
  <c r="AB2113" i="1"/>
  <c r="AC2113" i="1"/>
  <c r="AD2113" i="1"/>
  <c r="AE2113" i="1"/>
  <c r="AB2103" i="1"/>
  <c r="AC2103" i="1"/>
  <c r="AD2103" i="1"/>
  <c r="AE2103" i="1"/>
  <c r="AB2094" i="1"/>
  <c r="AC2094" i="1"/>
  <c r="AD2094" i="1"/>
  <c r="AE2094" i="1"/>
  <c r="AB2085" i="1"/>
  <c r="AC2085" i="1"/>
  <c r="AD2085" i="1"/>
  <c r="AE2085" i="1"/>
  <c r="AB2065" i="1"/>
  <c r="AC2065" i="1"/>
  <c r="AD2065" i="1"/>
  <c r="AB2049" i="1"/>
  <c r="AC2049" i="1"/>
  <c r="AD2049" i="1"/>
  <c r="AE2049" i="1"/>
  <c r="AE2030" i="1"/>
  <c r="AC2030" i="1"/>
  <c r="AD2030" i="1"/>
  <c r="AB2030" i="1"/>
  <c r="AE2015" i="1"/>
  <c r="AB2015" i="1"/>
  <c r="AC2015" i="1"/>
  <c r="AD2015" i="1"/>
  <c r="AC1982" i="1"/>
  <c r="AD1982" i="1"/>
  <c r="AE1982" i="1"/>
  <c r="AB1982" i="1"/>
  <c r="AC1966" i="1"/>
  <c r="AD1966" i="1"/>
  <c r="AE1966" i="1"/>
  <c r="AB1966" i="1"/>
  <c r="AC1955" i="1"/>
  <c r="AD1955" i="1"/>
  <c r="AE1955" i="1"/>
  <c r="AB1955" i="1"/>
  <c r="AC1943" i="1"/>
  <c r="AD1943" i="1"/>
  <c r="AB1943" i="1"/>
  <c r="AC1930" i="1"/>
  <c r="AD1930" i="1"/>
  <c r="AE1930" i="1"/>
  <c r="AB1930" i="1"/>
  <c r="AB1897" i="1"/>
  <c r="AC1897" i="1"/>
  <c r="AD1897" i="1"/>
  <c r="AE1897" i="1"/>
  <c r="AB1883" i="1"/>
  <c r="AC1883" i="1"/>
  <c r="AD1883" i="1"/>
  <c r="AE1883" i="1"/>
  <c r="AB1874" i="1"/>
  <c r="AC1874" i="1"/>
  <c r="AD1874" i="1"/>
  <c r="AE1874" i="1"/>
  <c r="AB1869" i="1"/>
  <c r="AC1869" i="1"/>
  <c r="AD1869" i="1"/>
  <c r="AE1869" i="1"/>
  <c r="AB1858" i="1"/>
  <c r="AC1858" i="1"/>
  <c r="AD1858" i="1"/>
  <c r="AE1858" i="1"/>
  <c r="AB1843" i="1"/>
  <c r="AC1843" i="1"/>
  <c r="AD1843" i="1"/>
  <c r="AE1843" i="1"/>
  <c r="AB1834" i="1"/>
  <c r="AC1834" i="1"/>
  <c r="AD1834" i="1"/>
  <c r="AE1834" i="1"/>
  <c r="AB1825" i="1"/>
  <c r="AC1825" i="1"/>
  <c r="AD1825" i="1"/>
  <c r="AE1825" i="1"/>
  <c r="AB1806" i="1"/>
  <c r="AC1806" i="1"/>
  <c r="AD1806" i="1"/>
  <c r="AE1806" i="1"/>
  <c r="AB1797" i="1"/>
  <c r="AC1797" i="1"/>
  <c r="AD1797" i="1"/>
  <c r="AE1797" i="1"/>
  <c r="AE1783" i="1"/>
  <c r="AB1783" i="1"/>
  <c r="AC1783" i="1"/>
  <c r="AD1783" i="1"/>
  <c r="AB1774" i="1"/>
  <c r="AC1774" i="1"/>
  <c r="AD1774" i="1"/>
  <c r="AB1765" i="1"/>
  <c r="AC1765" i="1"/>
  <c r="AD1765" i="1"/>
  <c r="Y1748" i="1"/>
  <c r="Z1748" i="1"/>
  <c r="Y1738" i="1"/>
  <c r="Z1738" i="1"/>
  <c r="AA1730" i="1"/>
  <c r="Y1730" i="1"/>
  <c r="Z1730" i="1"/>
  <c r="AC1708" i="1"/>
  <c r="AD1708" i="1"/>
  <c r="AB1708" i="1"/>
  <c r="Y1698" i="1"/>
  <c r="Z1698" i="1"/>
  <c r="Y1684" i="1"/>
  <c r="Z1684" i="1"/>
  <c r="AC1676" i="1"/>
  <c r="AD1676" i="1"/>
  <c r="AE1676" i="1"/>
  <c r="AB1676" i="1"/>
  <c r="Y1668" i="1"/>
  <c r="Y1637" i="1"/>
  <c r="Z1637" i="1"/>
  <c r="AA1637" i="1"/>
  <c r="Y1630" i="1"/>
  <c r="Z1630" i="1"/>
  <c r="AA1630" i="1"/>
  <c r="Y1559" i="1"/>
  <c r="Z1559" i="1"/>
  <c r="AA1559" i="1"/>
  <c r="Y1547" i="1"/>
  <c r="Z1547" i="1"/>
  <c r="AA1547" i="1"/>
  <c r="Z1504" i="1"/>
  <c r="Y1504" i="1"/>
  <c r="AA1504" i="1"/>
  <c r="Z1482" i="1"/>
  <c r="Y1482" i="1"/>
  <c r="AA1482" i="1"/>
  <c r="Z1475" i="1"/>
  <c r="Y1475" i="1"/>
  <c r="AA1475" i="1"/>
  <c r="Z1453" i="1"/>
  <c r="Y1453" i="1"/>
  <c r="AA1453" i="1"/>
  <c r="AE2" i="1"/>
  <c r="Y3405" i="1"/>
  <c r="Y3385" i="1"/>
  <c r="AC3320" i="1"/>
  <c r="Z3300" i="1"/>
  <c r="Y3273" i="1"/>
  <c r="Z3268" i="1"/>
  <c r="Z3212" i="1"/>
  <c r="Z3196" i="1"/>
  <c r="Z3172" i="1"/>
  <c r="Y3136" i="1"/>
  <c r="Y3093" i="1"/>
  <c r="Y3079" i="1"/>
  <c r="AC1190" i="1"/>
  <c r="AD1190" i="1"/>
  <c r="AE1190" i="1"/>
  <c r="AB1190" i="1"/>
  <c r="AB1072" i="1"/>
  <c r="AC1072" i="1"/>
  <c r="AE1072" i="1"/>
  <c r="AD1072" i="1"/>
  <c r="Y1032" i="1"/>
  <c r="AA1032" i="1"/>
  <c r="Z1032" i="1"/>
  <c r="AB1004" i="1"/>
  <c r="AC1004" i="1"/>
  <c r="AD1004" i="1"/>
  <c r="AE1004" i="1"/>
  <c r="AC930" i="1"/>
  <c r="AB930" i="1"/>
  <c r="AE930" i="1"/>
  <c r="AD930" i="1"/>
  <c r="AC863" i="1"/>
  <c r="AD863" i="1"/>
  <c r="AE863" i="1"/>
  <c r="AB863" i="1"/>
  <c r="Y835" i="1"/>
  <c r="Z835" i="1"/>
  <c r="AA835" i="1"/>
  <c r="AE762" i="1"/>
  <c r="AB762" i="1"/>
  <c r="AC762" i="1"/>
  <c r="AD762" i="1"/>
  <c r="AA665" i="1"/>
  <c r="Y665" i="1"/>
  <c r="Z665" i="1"/>
  <c r="Y3563" i="1"/>
  <c r="Z3563" i="1"/>
  <c r="AA3563" i="1"/>
  <c r="Y3539" i="1"/>
  <c r="Z3539" i="1"/>
  <c r="AA3539" i="1"/>
  <c r="Y3495" i="1"/>
  <c r="Z3495" i="1"/>
  <c r="AA3495" i="1"/>
  <c r="Y3483" i="1"/>
  <c r="Z3483" i="1"/>
  <c r="AA3483" i="1"/>
  <c r="AA3406" i="1"/>
  <c r="Y3406" i="1"/>
  <c r="Z3406" i="1"/>
  <c r="AA3366" i="1"/>
  <c r="Y3366" i="1"/>
  <c r="Z3366" i="1"/>
  <c r="AA3206" i="1"/>
  <c r="Y3206" i="1"/>
  <c r="AA3165" i="1"/>
  <c r="Y3165" i="1"/>
  <c r="Z3165" i="1"/>
  <c r="Z3142" i="1"/>
  <c r="AA3142" i="1"/>
  <c r="Y3142" i="1"/>
  <c r="AC3082" i="1"/>
  <c r="AD3082" i="1"/>
  <c r="AE3082" i="1"/>
  <c r="AB3082" i="1"/>
  <c r="AC3041" i="1"/>
  <c r="AD3041" i="1"/>
  <c r="AB3041" i="1"/>
  <c r="Y3028" i="1"/>
  <c r="Z3028" i="1"/>
  <c r="AA3028" i="1"/>
  <c r="Y2884" i="1"/>
  <c r="Z2884" i="1"/>
  <c r="AA2884" i="1"/>
  <c r="Y2807" i="1"/>
  <c r="Z2807" i="1"/>
  <c r="AA2807" i="1"/>
  <c r="Y2728" i="1"/>
  <c r="Z2728" i="1"/>
  <c r="AB2351" i="1"/>
  <c r="AC2351" i="1"/>
  <c r="AD2351" i="1"/>
  <c r="AE2351" i="1"/>
  <c r="AB1882" i="1"/>
  <c r="AC1882" i="1"/>
  <c r="AD1882" i="1"/>
  <c r="AE1882" i="1"/>
  <c r="AB1805" i="1"/>
  <c r="AC1805" i="1"/>
  <c r="AD1805" i="1"/>
  <c r="AE1805" i="1"/>
  <c r="Z1523" i="1"/>
  <c r="Y1523" i="1"/>
  <c r="AA1523" i="1"/>
  <c r="X981" i="1"/>
  <c r="Y1296" i="1"/>
  <c r="AA1296" i="1"/>
  <c r="Z1296" i="1"/>
  <c r="Y1260" i="1"/>
  <c r="AA1260" i="1"/>
  <c r="Z1260" i="1"/>
  <c r="Y1155" i="1"/>
  <c r="AA1155" i="1"/>
  <c r="Z1155" i="1"/>
  <c r="AB1086" i="1"/>
  <c r="AC1086" i="1"/>
  <c r="AE1086" i="1"/>
  <c r="AD1086" i="1"/>
  <c r="AB1060" i="1"/>
  <c r="AC1060" i="1"/>
  <c r="AE1060" i="1"/>
  <c r="AD1060" i="1"/>
  <c r="Y1021" i="1"/>
  <c r="Z1021" i="1"/>
  <c r="AA1021" i="1"/>
  <c r="Y986" i="1"/>
  <c r="Z986" i="1"/>
  <c r="AA986" i="1"/>
  <c r="Y972" i="1"/>
  <c r="Z972" i="1"/>
  <c r="AA972" i="1"/>
  <c r="AC906" i="1"/>
  <c r="AB906" i="1"/>
  <c r="AD906" i="1"/>
  <c r="AE906" i="1"/>
  <c r="Y722" i="1"/>
  <c r="Z722" i="1"/>
  <c r="AA722" i="1"/>
  <c r="Y1312" i="1"/>
  <c r="AA1312" i="1"/>
  <c r="Z1312" i="1"/>
  <c r="Y1274" i="1"/>
  <c r="AA1274" i="1"/>
  <c r="Z1274" i="1"/>
  <c r="X950" i="1"/>
  <c r="Y1309" i="1"/>
  <c r="AA1309" i="1"/>
  <c r="Z1309" i="1"/>
  <c r="Y1285" i="1"/>
  <c r="AA1285" i="1"/>
  <c r="Z1285" i="1"/>
  <c r="Y1248" i="1"/>
  <c r="AA1248" i="1"/>
  <c r="Z1248" i="1"/>
  <c r="Y1231" i="1"/>
  <c r="AA1231" i="1"/>
  <c r="Z1231" i="1"/>
  <c r="Y1191" i="1"/>
  <c r="AA1191" i="1"/>
  <c r="Z1191" i="1"/>
  <c r="Y1182" i="1"/>
  <c r="AA1182" i="1"/>
  <c r="Z1182" i="1"/>
  <c r="AA1089" i="1"/>
  <c r="Y1089" i="1"/>
  <c r="Z1089" i="1"/>
  <c r="AA1073" i="1"/>
  <c r="Y1073" i="1"/>
  <c r="Z1073" i="1"/>
  <c r="AA1063" i="1"/>
  <c r="Y1063" i="1"/>
  <c r="Z1063" i="1"/>
  <c r="AA1044" i="1"/>
  <c r="Y1044" i="1"/>
  <c r="Z1044" i="1"/>
  <c r="Y1038" i="1"/>
  <c r="Z1038" i="1"/>
  <c r="AA1038" i="1"/>
  <c r="Y1023" i="1"/>
  <c r="Z1023" i="1"/>
  <c r="AA1023" i="1"/>
  <c r="Y1018" i="1"/>
  <c r="Z1018" i="1"/>
  <c r="AA1018" i="1"/>
  <c r="Y1013" i="1"/>
  <c r="Z1013" i="1"/>
  <c r="AA1013" i="1"/>
  <c r="Y1007" i="1"/>
  <c r="AA1007" i="1"/>
  <c r="Z1007" i="1"/>
  <c r="Y993" i="1"/>
  <c r="Z993" i="1"/>
  <c r="AA993" i="1"/>
  <c r="Y988" i="1"/>
  <c r="Z988" i="1"/>
  <c r="Y983" i="1"/>
  <c r="Z983" i="1"/>
  <c r="AA983" i="1"/>
  <c r="Y976" i="1"/>
  <c r="Z976" i="1"/>
  <c r="AA976" i="1"/>
  <c r="Y958" i="1"/>
  <c r="Z958" i="1"/>
  <c r="AA958" i="1"/>
  <c r="Y949" i="1"/>
  <c r="Z949" i="1"/>
  <c r="AA949" i="1"/>
  <c r="Y939" i="1"/>
  <c r="Z939" i="1"/>
  <c r="AA939" i="1"/>
  <c r="Z931" i="1"/>
  <c r="AA931" i="1"/>
  <c r="Y931" i="1"/>
  <c r="Y924" i="1"/>
  <c r="Z924" i="1"/>
  <c r="AA924" i="1"/>
  <c r="Y915" i="1"/>
  <c r="Z915" i="1"/>
  <c r="AA915" i="1"/>
  <c r="Y908" i="1"/>
  <c r="Z908" i="1"/>
  <c r="AA908" i="1"/>
  <c r="Y892" i="1"/>
  <c r="AA892" i="1"/>
  <c r="Z892" i="1"/>
  <c r="Y879" i="1"/>
  <c r="Z879" i="1"/>
  <c r="AA879" i="1"/>
  <c r="Y864" i="1"/>
  <c r="Z864" i="1"/>
  <c r="AA864" i="1"/>
  <c r="Y842" i="1"/>
  <c r="Z842" i="1"/>
  <c r="AA842" i="1"/>
  <c r="Y836" i="1"/>
  <c r="Z836" i="1"/>
  <c r="AA836" i="1"/>
  <c r="Y831" i="1"/>
  <c r="Z831" i="1"/>
  <c r="AA831" i="1"/>
  <c r="Y825" i="1"/>
  <c r="AA825" i="1"/>
  <c r="Z825" i="1"/>
  <c r="Y820" i="1"/>
  <c r="AA820" i="1"/>
  <c r="Z820" i="1"/>
  <c r="Y813" i="1"/>
  <c r="Z813" i="1"/>
  <c r="AA813" i="1"/>
  <c r="Y807" i="1"/>
  <c r="AA807" i="1"/>
  <c r="Z807" i="1"/>
  <c r="Y800" i="1"/>
  <c r="Z800" i="1"/>
  <c r="AA800" i="1"/>
  <c r="Z764" i="1"/>
  <c r="AA764" i="1"/>
  <c r="Y764" i="1"/>
  <c r="Y751" i="1"/>
  <c r="Z751" i="1"/>
  <c r="AA741" i="1"/>
  <c r="Z741" i="1"/>
  <c r="Y741" i="1"/>
  <c r="Z732" i="1"/>
  <c r="AA732" i="1"/>
  <c r="Y732" i="1"/>
  <c r="AA714" i="1"/>
  <c r="Y714" i="1"/>
  <c r="Z714" i="1"/>
  <c r="AA3344" i="1"/>
  <c r="Y3344" i="1"/>
  <c r="Z3344" i="1"/>
  <c r="AA3330" i="1"/>
  <c r="Y3330" i="1"/>
  <c r="Z3330" i="1"/>
  <c r="AA3321" i="1"/>
  <c r="Z3321" i="1"/>
  <c r="AA3312" i="1"/>
  <c r="Y3312" i="1"/>
  <c r="Z3312" i="1"/>
  <c r="AA3307" i="1"/>
  <c r="Y3307" i="1"/>
  <c r="Z3307" i="1"/>
  <c r="AA3280" i="1"/>
  <c r="Y3280" i="1"/>
  <c r="Z3280" i="1"/>
  <c r="AA3275" i="1"/>
  <c r="Y3275" i="1"/>
  <c r="Z3275" i="1"/>
  <c r="AA3266" i="1"/>
  <c r="Y3266" i="1"/>
  <c r="Z3266" i="1"/>
  <c r="AA3257" i="1"/>
  <c r="Z3257" i="1"/>
  <c r="AA3248" i="1"/>
  <c r="Y3248" i="1"/>
  <c r="Z3248" i="1"/>
  <c r="AA3243" i="1"/>
  <c r="Y3243" i="1"/>
  <c r="Z3243" i="1"/>
  <c r="AA3234" i="1"/>
  <c r="Y3234" i="1"/>
  <c r="Z3234" i="1"/>
  <c r="AA3225" i="1"/>
  <c r="Z3225" i="1"/>
  <c r="AA3211" i="1"/>
  <c r="Y3211" i="1"/>
  <c r="Z3211" i="1"/>
  <c r="AA3202" i="1"/>
  <c r="Y3202" i="1"/>
  <c r="Z3202" i="1"/>
  <c r="AA3193" i="1"/>
  <c r="Z3193" i="1"/>
  <c r="AA3184" i="1"/>
  <c r="Y3184" i="1"/>
  <c r="Z3184" i="1"/>
  <c r="AA3179" i="1"/>
  <c r="Y3179" i="1"/>
  <c r="Z3179" i="1"/>
  <c r="AA3161" i="1"/>
  <c r="Y3161" i="1"/>
  <c r="Z3161" i="1"/>
  <c r="AA3152" i="1"/>
  <c r="Y3152" i="1"/>
  <c r="Z3138" i="1"/>
  <c r="AA3138" i="1"/>
  <c r="Y3138" i="1"/>
  <c r="Z3129" i="1"/>
  <c r="AA3129" i="1"/>
  <c r="Y3129" i="1"/>
  <c r="Z3120" i="1"/>
  <c r="AA3120" i="1"/>
  <c r="Y3120" i="1"/>
  <c r="Z3097" i="1"/>
  <c r="AA3097" i="1"/>
  <c r="Y3097" i="1"/>
  <c r="Z3088" i="1"/>
  <c r="AA3088" i="1"/>
  <c r="Y3088" i="1"/>
  <c r="Z3083" i="1"/>
  <c r="AA3083" i="1"/>
  <c r="Y3083" i="1"/>
  <c r="Z3074" i="1"/>
  <c r="AA3074" i="1"/>
  <c r="Y3074" i="1"/>
  <c r="Z3065" i="1"/>
  <c r="AA3065" i="1"/>
  <c r="Y3065" i="1"/>
  <c r="Y3056" i="1"/>
  <c r="Z3056" i="1"/>
  <c r="AA3056" i="1"/>
  <c r="Y3051" i="1"/>
  <c r="Z3051" i="1"/>
  <c r="AA3051" i="1"/>
  <c r="AC3046" i="1"/>
  <c r="AD3046" i="1"/>
  <c r="AE3046" i="1"/>
  <c r="AB3046" i="1"/>
  <c r="Y3033" i="1"/>
  <c r="Z3033" i="1"/>
  <c r="AA3033" i="1"/>
  <c r="Y3019" i="1"/>
  <c r="Z3019" i="1"/>
  <c r="AA3019" i="1"/>
  <c r="Y3000" i="1"/>
  <c r="Z3000" i="1"/>
  <c r="AA3000" i="1"/>
  <c r="Y2995" i="1"/>
  <c r="Z2995" i="1"/>
  <c r="AA2995" i="1"/>
  <c r="Y2972" i="1"/>
  <c r="Z2972" i="1"/>
  <c r="AA2972" i="1"/>
  <c r="AC2966" i="1"/>
  <c r="AD2966" i="1"/>
  <c r="AE2966" i="1"/>
  <c r="AB2966" i="1"/>
  <c r="Y2944" i="1"/>
  <c r="Z2944" i="1"/>
  <c r="AA2944" i="1"/>
  <c r="Y2939" i="1"/>
  <c r="Z2939" i="1"/>
  <c r="AA2939" i="1"/>
  <c r="Y2912" i="1"/>
  <c r="Z2912" i="1"/>
  <c r="AA2912" i="1"/>
  <c r="Y2900" i="1"/>
  <c r="Z2900" i="1"/>
  <c r="AA2900" i="1"/>
  <c r="Y2880" i="1"/>
  <c r="Z2880" i="1"/>
  <c r="AA2880" i="1"/>
  <c r="Y2875" i="1"/>
  <c r="Z2875" i="1"/>
  <c r="AA2875" i="1"/>
  <c r="AC2870" i="1"/>
  <c r="AD2870" i="1"/>
  <c r="AE2870" i="1"/>
  <c r="AB2870" i="1"/>
  <c r="Y2823" i="1"/>
  <c r="Z2823" i="1"/>
  <c r="AA2823" i="1"/>
  <c r="Y2808" i="1"/>
  <c r="Z2808" i="1"/>
  <c r="AA2808" i="1"/>
  <c r="Y2803" i="1"/>
  <c r="Z2803" i="1"/>
  <c r="AA2803" i="1"/>
  <c r="AA2779" i="1"/>
  <c r="Z2779" i="1"/>
  <c r="Y2779" i="1"/>
  <c r="AA2764" i="1"/>
  <c r="Y2764" i="1"/>
  <c r="Z2764" i="1"/>
  <c r="AE2758" i="1"/>
  <c r="AB2758" i="1"/>
  <c r="AC2758" i="1"/>
  <c r="AD2758" i="1"/>
  <c r="AA2744" i="1"/>
  <c r="Y2744" i="1"/>
  <c r="Z2744" i="1"/>
  <c r="AE2739" i="1"/>
  <c r="AB2739" i="1"/>
  <c r="AC2739" i="1"/>
  <c r="AD2739" i="1"/>
  <c r="AE2733" i="1"/>
  <c r="AB2733" i="1"/>
  <c r="AC2733" i="1"/>
  <c r="AD2733" i="1"/>
  <c r="AC2699" i="1"/>
  <c r="AB2699" i="1"/>
  <c r="AD2699" i="1"/>
  <c r="Y2688" i="1"/>
  <c r="AA2688" i="1"/>
  <c r="Z2688" i="1"/>
  <c r="AC2640" i="1"/>
  <c r="AD2640" i="1"/>
  <c r="AE2640" i="1"/>
  <c r="AB2640" i="1"/>
  <c r="AC2624" i="1"/>
  <c r="AD2624" i="1"/>
  <c r="AE2624" i="1"/>
  <c r="AB2624" i="1"/>
  <c r="AC2618" i="1"/>
  <c r="AD2618" i="1"/>
  <c r="AE2618" i="1"/>
  <c r="AB2618" i="1"/>
  <c r="AC2602" i="1"/>
  <c r="AD2602" i="1"/>
  <c r="AE2602" i="1"/>
  <c r="AB2602" i="1"/>
  <c r="AC2564" i="1"/>
  <c r="AD2564" i="1"/>
  <c r="AE2564" i="1"/>
  <c r="AB2564" i="1"/>
  <c r="AC2546" i="1"/>
  <c r="AB2546" i="1"/>
  <c r="AD2546" i="1"/>
  <c r="AE2546" i="1"/>
  <c r="AC2528" i="1"/>
  <c r="AB2528" i="1"/>
  <c r="AD2528" i="1"/>
  <c r="AE2528" i="1"/>
  <c r="AC2466" i="1"/>
  <c r="AB2466" i="1"/>
  <c r="AD2466" i="1"/>
  <c r="AB2457" i="1"/>
  <c r="AC2457" i="1"/>
  <c r="AD2457" i="1"/>
  <c r="AE2457" i="1"/>
  <c r="AB2452" i="1"/>
  <c r="AC2452" i="1"/>
  <c r="AD2452" i="1"/>
  <c r="AB2433" i="1"/>
  <c r="AC2433" i="1"/>
  <c r="AD2433" i="1"/>
  <c r="AE2433" i="1"/>
  <c r="AB2347" i="1"/>
  <c r="AC2347" i="1"/>
  <c r="AD2347" i="1"/>
  <c r="AE2347" i="1"/>
  <c r="AB2338" i="1"/>
  <c r="AC2338" i="1"/>
  <c r="AD2338" i="1"/>
  <c r="AE2338" i="1"/>
  <c r="AB2329" i="1"/>
  <c r="AC2329" i="1"/>
  <c r="AD2329" i="1"/>
  <c r="AE2329" i="1"/>
  <c r="AB2317" i="1"/>
  <c r="AC2317" i="1"/>
  <c r="AD2317" i="1"/>
  <c r="AE2317" i="1"/>
  <c r="AB2303" i="1"/>
  <c r="AC2303" i="1"/>
  <c r="AD2303" i="1"/>
  <c r="AE2303" i="1"/>
  <c r="AB2254" i="1"/>
  <c r="AC2254" i="1"/>
  <c r="AD2254" i="1"/>
  <c r="AC2205" i="1"/>
  <c r="AE2205" i="1"/>
  <c r="AB2205" i="1"/>
  <c r="AD2205" i="1"/>
  <c r="AC2195" i="1"/>
  <c r="AE2195" i="1"/>
  <c r="AB2195" i="1"/>
  <c r="AD2195" i="1"/>
  <c r="AB2146" i="1"/>
  <c r="AC2146" i="1"/>
  <c r="AE2146" i="1"/>
  <c r="AD2146" i="1"/>
  <c r="AB2137" i="1"/>
  <c r="AC2137" i="1"/>
  <c r="AD2137" i="1"/>
  <c r="AE2137" i="1"/>
  <c r="AB2127" i="1"/>
  <c r="AC2127" i="1"/>
  <c r="AD2127" i="1"/>
  <c r="AE2127" i="1"/>
  <c r="AB2118" i="1"/>
  <c r="AC2118" i="1"/>
  <c r="AD2118" i="1"/>
  <c r="AE2118" i="1"/>
  <c r="AB2098" i="1"/>
  <c r="AC2098" i="1"/>
  <c r="AD2098" i="1"/>
  <c r="AE2098" i="1"/>
  <c r="AB2089" i="1"/>
  <c r="AC2089" i="1"/>
  <c r="AD2089" i="1"/>
  <c r="AE2089" i="1"/>
  <c r="AB2070" i="1"/>
  <c r="AC2070" i="1"/>
  <c r="AD2070" i="1"/>
  <c r="AE2070" i="1"/>
  <c r="AB2063" i="1"/>
  <c r="AC2063" i="1"/>
  <c r="AD2063" i="1"/>
  <c r="AE2034" i="1"/>
  <c r="AC2034" i="1"/>
  <c r="AD2034" i="1"/>
  <c r="AB2034" i="1"/>
  <c r="AE2010" i="1"/>
  <c r="AC2010" i="1"/>
  <c r="AD2010" i="1"/>
  <c r="AB2010" i="1"/>
  <c r="AC1986" i="1"/>
  <c r="AD1986" i="1"/>
  <c r="AE1986" i="1"/>
  <c r="AB1986" i="1"/>
  <c r="AC1961" i="1"/>
  <c r="AD1961" i="1"/>
  <c r="AE1961" i="1"/>
  <c r="AB1961" i="1"/>
  <c r="AC1935" i="1"/>
  <c r="AD1935" i="1"/>
  <c r="AB1935" i="1"/>
  <c r="AC1919" i="1"/>
  <c r="AD1919" i="1"/>
  <c r="AE1919" i="1"/>
  <c r="AB1919" i="1"/>
  <c r="AB1914" i="1"/>
  <c r="AC1914" i="1"/>
  <c r="AD1914" i="1"/>
  <c r="AE1914" i="1"/>
  <c r="AB1900" i="1"/>
  <c r="AC1900" i="1"/>
  <c r="AD1900" i="1"/>
  <c r="AE1900" i="1"/>
  <c r="AB1887" i="1"/>
  <c r="AC1887" i="1"/>
  <c r="AD1887" i="1"/>
  <c r="AE1887" i="1"/>
  <c r="AB1878" i="1"/>
  <c r="AC1878" i="1"/>
  <c r="AD1878" i="1"/>
  <c r="AE1878" i="1"/>
  <c r="AB1853" i="1"/>
  <c r="AC1853" i="1"/>
  <c r="AD1853" i="1"/>
  <c r="AE1853" i="1"/>
  <c r="AB1838" i="1"/>
  <c r="AC1838" i="1"/>
  <c r="AD1838" i="1"/>
  <c r="AE1838" i="1"/>
  <c r="AB1829" i="1"/>
  <c r="AC1829" i="1"/>
  <c r="AD1829" i="1"/>
  <c r="AE1829" i="1"/>
  <c r="AB1815" i="1"/>
  <c r="AC1815" i="1"/>
  <c r="AD1815" i="1"/>
  <c r="AB1810" i="1"/>
  <c r="AC1810" i="1"/>
  <c r="AD1810" i="1"/>
  <c r="AE1810" i="1"/>
  <c r="AB1801" i="1"/>
  <c r="AC1801" i="1"/>
  <c r="AD1801" i="1"/>
  <c r="AE1801" i="1"/>
  <c r="AB1787" i="1"/>
  <c r="AC1787" i="1"/>
  <c r="AD1787" i="1"/>
  <c r="AE1787" i="1"/>
  <c r="AB1769" i="1"/>
  <c r="AC1769" i="1"/>
  <c r="AD1769" i="1"/>
  <c r="AB1755" i="1"/>
  <c r="AC1755" i="1"/>
  <c r="AD1755" i="1"/>
  <c r="Y1721" i="1"/>
  <c r="AA1721" i="1"/>
  <c r="Z1721" i="1"/>
  <c r="Y1714" i="1"/>
  <c r="Z1714" i="1"/>
  <c r="AC1697" i="1"/>
  <c r="AE1697" i="1"/>
  <c r="AB1697" i="1"/>
  <c r="AD1697" i="1"/>
  <c r="Y1666" i="1"/>
  <c r="Z1666" i="1"/>
  <c r="AA1666" i="1"/>
  <c r="Y1651" i="1"/>
  <c r="Z1651" i="1"/>
  <c r="AA1651" i="1"/>
  <c r="AC1629" i="1"/>
  <c r="AD1629" i="1"/>
  <c r="AE1629" i="1"/>
  <c r="AB1629" i="1"/>
  <c r="Y1615" i="1"/>
  <c r="Z1615" i="1"/>
  <c r="AA1615" i="1"/>
  <c r="AC1546" i="1"/>
  <c r="AD1546" i="1"/>
  <c r="AE1546" i="1"/>
  <c r="AB1546" i="1"/>
  <c r="Z1524" i="1"/>
  <c r="Y1524" i="1"/>
  <c r="AA1524" i="1"/>
  <c r="Z1481" i="1"/>
  <c r="Y1481" i="1"/>
  <c r="AA1481" i="1"/>
  <c r="AD1474" i="1"/>
  <c r="AE1474" i="1"/>
  <c r="AB1474" i="1"/>
  <c r="AC1474" i="1"/>
  <c r="Z1444" i="1"/>
  <c r="Y1444" i="1"/>
  <c r="AA1444" i="1"/>
  <c r="Z1427" i="1"/>
  <c r="Y1427" i="1"/>
  <c r="AA1427" i="1"/>
  <c r="Y1377" i="1"/>
  <c r="Z1377" i="1"/>
  <c r="AA1377" i="1"/>
  <c r="Y3371" i="1"/>
  <c r="Y3367" i="1"/>
  <c r="Y3363" i="1"/>
  <c r="Y3359" i="1"/>
  <c r="Y3345" i="1"/>
  <c r="Y3331" i="1"/>
  <c r="Y3313" i="1"/>
  <c r="Y3305" i="1"/>
  <c r="Z3278" i="1"/>
  <c r="Z3262" i="1"/>
  <c r="Z3238" i="1"/>
  <c r="Y3225" i="1"/>
  <c r="Z3204" i="1"/>
  <c r="Y3005" i="1"/>
  <c r="Z3005" i="1"/>
  <c r="AA3005" i="1"/>
  <c r="Y3001" i="1"/>
  <c r="Z3001" i="1"/>
  <c r="AA3001" i="1"/>
  <c r="Y2997" i="1"/>
  <c r="Z2997" i="1"/>
  <c r="AA2997" i="1"/>
  <c r="Y2981" i="1"/>
  <c r="Z2981" i="1"/>
  <c r="AA2981" i="1"/>
  <c r="Y2969" i="1"/>
  <c r="Z2969" i="1"/>
  <c r="Y2965" i="1"/>
  <c r="Z2965" i="1"/>
  <c r="AA2965" i="1"/>
  <c r="Y2961" i="1"/>
  <c r="Z2961" i="1"/>
  <c r="AA2961" i="1"/>
  <c r="Y2957" i="1"/>
  <c r="Z2957" i="1"/>
  <c r="AA2957" i="1"/>
  <c r="Y2953" i="1"/>
  <c r="Z2953" i="1"/>
  <c r="AA2953" i="1"/>
  <c r="Y2949" i="1"/>
  <c r="Z2949" i="1"/>
  <c r="AA2949" i="1"/>
  <c r="Y2945" i="1"/>
  <c r="Z2945" i="1"/>
  <c r="AA2945" i="1"/>
  <c r="Y2941" i="1"/>
  <c r="Z2941" i="1"/>
  <c r="AA2941" i="1"/>
  <c r="Y2937" i="1"/>
  <c r="Z2937" i="1"/>
  <c r="AA2937" i="1"/>
  <c r="Y2925" i="1"/>
  <c r="Z2925" i="1"/>
  <c r="AA2925" i="1"/>
  <c r="Y2913" i="1"/>
  <c r="Z2913" i="1"/>
  <c r="AA2913" i="1"/>
  <c r="Y2893" i="1"/>
  <c r="Z2893" i="1"/>
  <c r="AA2893" i="1"/>
  <c r="Y2889" i="1"/>
  <c r="Z2889" i="1"/>
  <c r="AA2889" i="1"/>
  <c r="Y2885" i="1"/>
  <c r="Z2885" i="1"/>
  <c r="AA2885" i="1"/>
  <c r="Y2881" i="1"/>
  <c r="Z2881" i="1"/>
  <c r="Y2877" i="1"/>
  <c r="Z2877" i="1"/>
  <c r="AA2877" i="1"/>
  <c r="Y2873" i="1"/>
  <c r="Z2873" i="1"/>
  <c r="AA2873" i="1"/>
  <c r="Y2869" i="1"/>
  <c r="Z2869" i="1"/>
  <c r="AA2869" i="1"/>
  <c r="Y2865" i="1"/>
  <c r="Z2865" i="1"/>
  <c r="AA2865" i="1"/>
  <c r="Y2829" i="1"/>
  <c r="Z2829" i="1"/>
  <c r="AA2829" i="1"/>
  <c r="Y2825" i="1"/>
  <c r="Z2825" i="1"/>
  <c r="AA2825" i="1"/>
  <c r="Y2821" i="1"/>
  <c r="Z2821" i="1"/>
  <c r="AA2821" i="1"/>
  <c r="Y2817" i="1"/>
  <c r="Z2817" i="1"/>
  <c r="AA2817" i="1"/>
  <c r="Y2813" i="1"/>
  <c r="Z2813" i="1"/>
  <c r="AA2813" i="1"/>
  <c r="Y2809" i="1"/>
  <c r="Z2809" i="1"/>
  <c r="AA2809" i="1"/>
  <c r="Y2805" i="1"/>
  <c r="Z2805" i="1"/>
  <c r="AA2805" i="1"/>
  <c r="Y2797" i="1"/>
  <c r="Z2797" i="1"/>
  <c r="AA2797" i="1"/>
  <c r="AA2781" i="1"/>
  <c r="Y2781" i="1"/>
  <c r="Z2781" i="1"/>
  <c r="AA2773" i="1"/>
  <c r="Y2773" i="1"/>
  <c r="Z2773" i="1"/>
  <c r="AA2769" i="1"/>
  <c r="Y2769" i="1"/>
  <c r="Z2769" i="1"/>
  <c r="AA2765" i="1"/>
  <c r="Z2765" i="1"/>
  <c r="AA2757" i="1"/>
  <c r="Y2757" i="1"/>
  <c r="Z2757" i="1"/>
  <c r="AA2749" i="1"/>
  <c r="Y2749" i="1"/>
  <c r="Z2749" i="1"/>
  <c r="AA2745" i="1"/>
  <c r="Y2745" i="1"/>
  <c r="Z2745" i="1"/>
  <c r="AA2741" i="1"/>
  <c r="Y2741" i="1"/>
  <c r="Z2741" i="1"/>
  <c r="AA2737" i="1"/>
  <c r="Y2737" i="1"/>
  <c r="Z2737" i="1"/>
  <c r="AA2733" i="1"/>
  <c r="Y2733" i="1"/>
  <c r="Z2733" i="1"/>
  <c r="AA2729" i="1"/>
  <c r="Y2729" i="1"/>
  <c r="Z2729" i="1"/>
  <c r="AA2725" i="1"/>
  <c r="Z2725" i="1"/>
  <c r="Y2725" i="1"/>
  <c r="Y2721" i="1"/>
  <c r="Z2721" i="1"/>
  <c r="Z2717" i="1"/>
  <c r="Y2717" i="1"/>
  <c r="Y2713" i="1"/>
  <c r="Z2713" i="1"/>
  <c r="Y2697" i="1"/>
  <c r="AA2697" i="1"/>
  <c r="Z2697" i="1"/>
  <c r="Y2689" i="1"/>
  <c r="AA2689" i="1"/>
  <c r="Z2689" i="1"/>
  <c r="Y2685" i="1"/>
  <c r="AA2685" i="1"/>
  <c r="Z2685" i="1"/>
  <c r="Y2681" i="1"/>
  <c r="AA2681" i="1"/>
  <c r="Z2681" i="1"/>
  <c r="Y2670" i="1"/>
  <c r="AA2670" i="1"/>
  <c r="Z2670" i="1"/>
  <c r="Y2666" i="1"/>
  <c r="AA2666" i="1"/>
  <c r="Z2666" i="1"/>
  <c r="Y2662" i="1"/>
  <c r="AA2662" i="1"/>
  <c r="Z2662" i="1"/>
  <c r="Y2654" i="1"/>
  <c r="AA2654" i="1"/>
  <c r="Z2654" i="1"/>
  <c r="Y2638" i="1"/>
  <c r="Z2638" i="1"/>
  <c r="AA2638" i="1"/>
  <c r="Y2634" i="1"/>
  <c r="Z2634" i="1"/>
  <c r="AA2634" i="1"/>
  <c r="Y2618" i="1"/>
  <c r="Z2618" i="1"/>
  <c r="AA2618" i="1"/>
  <c r="Y2614" i="1"/>
  <c r="Z2614" i="1"/>
  <c r="AA2614" i="1"/>
  <c r="Y2610" i="1"/>
  <c r="Z2610" i="1"/>
  <c r="Y2606" i="1"/>
  <c r="Z2606" i="1"/>
  <c r="AA2606" i="1"/>
  <c r="Y2602" i="1"/>
  <c r="Z2602" i="1"/>
  <c r="AA2602" i="1"/>
  <c r="Y2594" i="1"/>
  <c r="Z2594" i="1"/>
  <c r="AA2594" i="1"/>
  <c r="Y2590" i="1"/>
  <c r="Z2590" i="1"/>
  <c r="AA2590" i="1"/>
  <c r="Y2586" i="1"/>
  <c r="Z2586" i="1"/>
  <c r="AA2586" i="1"/>
  <c r="Y2582" i="1"/>
  <c r="Z2582" i="1"/>
  <c r="AA2582" i="1"/>
  <c r="Y2578" i="1"/>
  <c r="Z2578" i="1"/>
  <c r="AA2578" i="1"/>
  <c r="Y2574" i="1"/>
  <c r="Z2574" i="1"/>
  <c r="AA2574" i="1"/>
  <c r="Y2570" i="1"/>
  <c r="Z2570" i="1"/>
  <c r="AA2570" i="1"/>
  <c r="Y2562" i="1"/>
  <c r="Z2562" i="1"/>
  <c r="Y2550" i="1"/>
  <c r="Z2550" i="1"/>
  <c r="AA2550" i="1"/>
  <c r="Y2546" i="1"/>
  <c r="Z2546" i="1"/>
  <c r="AA2546" i="1"/>
  <c r="Y2542" i="1"/>
  <c r="Z2542" i="1"/>
  <c r="AA2542" i="1"/>
  <c r="Y2530" i="1"/>
  <c r="Z2530" i="1"/>
  <c r="AA2530" i="1"/>
  <c r="Y2526" i="1"/>
  <c r="Z2526" i="1"/>
  <c r="AA2526" i="1"/>
  <c r="Y2518" i="1"/>
  <c r="Z2518" i="1"/>
  <c r="AA2518" i="1"/>
  <c r="Y2514" i="1"/>
  <c r="Z2514" i="1"/>
  <c r="AA2514" i="1"/>
  <c r="Y2510" i="1"/>
  <c r="Z2510" i="1"/>
  <c r="AA2510" i="1"/>
  <c r="Y2506" i="1"/>
  <c r="Z2506" i="1"/>
  <c r="AA2506" i="1"/>
  <c r="Y2486" i="1"/>
  <c r="Z2486" i="1"/>
  <c r="AA2486" i="1"/>
  <c r="Y2482" i="1"/>
  <c r="Z2482" i="1"/>
  <c r="AA2482" i="1"/>
  <c r="AA2478" i="1"/>
  <c r="Y2478" i="1"/>
  <c r="Z2478" i="1"/>
  <c r="AA2474" i="1"/>
  <c r="Y2474" i="1"/>
  <c r="Z2474" i="1"/>
  <c r="AA2470" i="1"/>
  <c r="Y2470" i="1"/>
  <c r="Z2470" i="1"/>
  <c r="Y2466" i="1"/>
  <c r="Z2466" i="1"/>
  <c r="Y2462" i="1"/>
  <c r="Z2462" i="1"/>
  <c r="AA2458" i="1"/>
  <c r="Y2458" i="1"/>
  <c r="Z2458" i="1"/>
  <c r="Y2454" i="1"/>
  <c r="Z2454" i="1"/>
  <c r="Y2450" i="1"/>
  <c r="Z2450" i="1"/>
  <c r="AA2446" i="1"/>
  <c r="Y2446" i="1"/>
  <c r="Z2446" i="1"/>
  <c r="AA2442" i="1"/>
  <c r="Y2442" i="1"/>
  <c r="Z2442" i="1"/>
  <c r="AA2434" i="1"/>
  <c r="Y2434" i="1"/>
  <c r="Z2434" i="1"/>
  <c r="AA2430" i="1"/>
  <c r="Y2430" i="1"/>
  <c r="Z2430" i="1"/>
  <c r="AA2415" i="1"/>
  <c r="Y2415" i="1"/>
  <c r="Z2415" i="1"/>
  <c r="Y2395" i="1"/>
  <c r="Z2395" i="1"/>
  <c r="Y2391" i="1"/>
  <c r="Z2391" i="1"/>
  <c r="AA2387" i="1"/>
  <c r="Y2387" i="1"/>
  <c r="Z2387" i="1"/>
  <c r="AA2379" i="1"/>
  <c r="Y2379" i="1"/>
  <c r="Z2379" i="1"/>
  <c r="AA2371" i="1"/>
  <c r="Y2371" i="1"/>
  <c r="Z2371" i="1"/>
  <c r="AA2367" i="1"/>
  <c r="Y2367" i="1"/>
  <c r="Z2367" i="1"/>
  <c r="AA2363" i="1"/>
  <c r="Y2363" i="1"/>
  <c r="Z2363" i="1"/>
  <c r="AA2355" i="1"/>
  <c r="Y2355" i="1"/>
  <c r="Z2355" i="1"/>
  <c r="AA2351" i="1"/>
  <c r="Y2351" i="1"/>
  <c r="Z2351" i="1"/>
  <c r="AA2347" i="1"/>
  <c r="Y2347" i="1"/>
  <c r="Z2347" i="1"/>
  <c r="AA2343" i="1"/>
  <c r="Y2343" i="1"/>
  <c r="Z2343" i="1"/>
  <c r="AA2339" i="1"/>
  <c r="Y2339" i="1"/>
  <c r="Z2339" i="1"/>
  <c r="AA2335" i="1"/>
  <c r="Y2335" i="1"/>
  <c r="Z2335" i="1"/>
  <c r="AA2331" i="1"/>
  <c r="Y2331" i="1"/>
  <c r="Z2331" i="1"/>
  <c r="AA2327" i="1"/>
  <c r="Y2327" i="1"/>
  <c r="Z2327" i="1"/>
  <c r="AA2319" i="1"/>
  <c r="Y2319" i="1"/>
  <c r="Z2319" i="1"/>
  <c r="AA2315" i="1"/>
  <c r="Y2315" i="1"/>
  <c r="Z2315" i="1"/>
  <c r="AA2311" i="1"/>
  <c r="Y2311" i="1"/>
  <c r="Z2311" i="1"/>
  <c r="AA2307" i="1"/>
  <c r="Y2307" i="1"/>
  <c r="Z2307" i="1"/>
  <c r="AA2303" i="1"/>
  <c r="Y2303" i="1"/>
  <c r="Z2303" i="1"/>
  <c r="AA2299" i="1"/>
  <c r="Y2299" i="1"/>
  <c r="Z2299" i="1"/>
  <c r="AA2295" i="1"/>
  <c r="Y2295" i="1"/>
  <c r="Z2295" i="1"/>
  <c r="AA2255" i="1"/>
  <c r="Z2255" i="1"/>
  <c r="Y2255" i="1"/>
  <c r="AA2251" i="1"/>
  <c r="Z2251" i="1"/>
  <c r="Y2251" i="1"/>
  <c r="AA2247" i="1"/>
  <c r="Z2247" i="1"/>
  <c r="Y2247" i="1"/>
  <c r="AA2207" i="1"/>
  <c r="Y2207" i="1"/>
  <c r="Z2207" i="1"/>
  <c r="AA2199" i="1"/>
  <c r="Y2199" i="1"/>
  <c r="Z2199" i="1"/>
  <c r="Z2195" i="1"/>
  <c r="AA2195" i="1"/>
  <c r="Y2195" i="1"/>
  <c r="Z2155" i="1"/>
  <c r="AA2155" i="1"/>
  <c r="Y2155" i="1"/>
  <c r="Z2147" i="1"/>
  <c r="AA2147" i="1"/>
  <c r="Y2147" i="1"/>
  <c r="Z2143" i="1"/>
  <c r="AA2143" i="1"/>
  <c r="Y2143" i="1"/>
  <c r="Z2139" i="1"/>
  <c r="AA2139" i="1"/>
  <c r="Y2139" i="1"/>
  <c r="Z2135" i="1"/>
  <c r="AA2135" i="1"/>
  <c r="Y2135" i="1"/>
  <c r="Z2131" i="1"/>
  <c r="AA2131" i="1"/>
  <c r="Y2131" i="1"/>
  <c r="Z2127" i="1"/>
  <c r="AA2127" i="1"/>
  <c r="Y2127" i="1"/>
  <c r="Z2123" i="1"/>
  <c r="AA2123" i="1"/>
  <c r="Y2123" i="1"/>
  <c r="Z2119" i="1"/>
  <c r="AA2119" i="1"/>
  <c r="Y2119" i="1"/>
  <c r="Z2115" i="1"/>
  <c r="AA2115" i="1"/>
  <c r="Y2115" i="1"/>
  <c r="Z2111" i="1"/>
  <c r="AA2111" i="1"/>
  <c r="Y2111" i="1"/>
  <c r="Z2107" i="1"/>
  <c r="AA2107" i="1"/>
  <c r="Y2107" i="1"/>
  <c r="Z2103" i="1"/>
  <c r="AA2103" i="1"/>
  <c r="Y2103" i="1"/>
  <c r="Z2099" i="1"/>
  <c r="AA2099" i="1"/>
  <c r="Y2099" i="1"/>
  <c r="Z2095" i="1"/>
  <c r="AA2095" i="1"/>
  <c r="Y2095" i="1"/>
  <c r="Z2091" i="1"/>
  <c r="AA2091" i="1"/>
  <c r="Y2091" i="1"/>
  <c r="Z2087" i="1"/>
  <c r="AA2087" i="1"/>
  <c r="Y2087" i="1"/>
  <c r="Z2083" i="1"/>
  <c r="AA2083" i="1"/>
  <c r="Y2083" i="1"/>
  <c r="Z2079" i="1"/>
  <c r="AA2079" i="1"/>
  <c r="Y2079" i="1"/>
  <c r="Z2063" i="1"/>
  <c r="Y2063" i="1"/>
  <c r="AA2047" i="1"/>
  <c r="Y2047" i="1"/>
  <c r="Z2047" i="1"/>
  <c r="AA2043" i="1"/>
  <c r="Y2043" i="1"/>
  <c r="Z2043" i="1"/>
  <c r="AA2035" i="1"/>
  <c r="Y2035" i="1"/>
  <c r="Z2035" i="1"/>
  <c r="AA2031" i="1"/>
  <c r="Y2031" i="1"/>
  <c r="Z2031" i="1"/>
  <c r="AA2027" i="1"/>
  <c r="Y2027" i="1"/>
  <c r="Z2027" i="1"/>
  <c r="AA2023" i="1"/>
  <c r="Y2023" i="1"/>
  <c r="Z2023" i="1"/>
  <c r="AA2015" i="1"/>
  <c r="Y2015" i="1"/>
  <c r="Z2015" i="1"/>
  <c r="AA2011" i="1"/>
  <c r="Y2011" i="1"/>
  <c r="Z2011" i="1"/>
  <c r="AA2003" i="1"/>
  <c r="Y2003" i="1"/>
  <c r="Z2003" i="1"/>
  <c r="AA1987" i="1"/>
  <c r="Y1987" i="1"/>
  <c r="Z1987" i="1"/>
  <c r="AA1983" i="1"/>
  <c r="Y1983" i="1"/>
  <c r="Z1983" i="1"/>
  <c r="AA1979" i="1"/>
  <c r="Y1979" i="1"/>
  <c r="Z1979" i="1"/>
  <c r="AA1967" i="1"/>
  <c r="Y1967" i="1"/>
  <c r="Z1967" i="1"/>
  <c r="AA1963" i="1"/>
  <c r="Y1963" i="1"/>
  <c r="Z1963" i="1"/>
  <c r="AA1959" i="1"/>
  <c r="Y1959" i="1"/>
  <c r="Z1959" i="1"/>
  <c r="AA1955" i="1"/>
  <c r="Y1955" i="1"/>
  <c r="Z1955" i="1"/>
  <c r="Y1947" i="1"/>
  <c r="Z1947" i="1"/>
  <c r="Y1943" i="1"/>
  <c r="Z1943" i="1"/>
  <c r="Y1935" i="1"/>
  <c r="Z1935" i="1"/>
  <c r="AA1931" i="1"/>
  <c r="Y1931" i="1"/>
  <c r="Z1931" i="1"/>
  <c r="AA1919" i="1"/>
  <c r="Y1919" i="1"/>
  <c r="Z1919" i="1"/>
  <c r="AA1911" i="1"/>
  <c r="Y1911" i="1"/>
  <c r="Z1911" i="1"/>
  <c r="AA1907" i="1"/>
  <c r="Y1907" i="1"/>
  <c r="Z1907" i="1"/>
  <c r="AA1903" i="1"/>
  <c r="Y1903" i="1"/>
  <c r="Z1903" i="1"/>
  <c r="AA1899" i="1"/>
  <c r="Y1899" i="1"/>
  <c r="Z1899" i="1"/>
  <c r="AA1895" i="1"/>
  <c r="Y1895" i="1"/>
  <c r="Z1895" i="1"/>
  <c r="AA1891" i="1"/>
  <c r="Y1891" i="1"/>
  <c r="Z1891" i="1"/>
  <c r="AA1887" i="1"/>
  <c r="Y1887" i="1"/>
  <c r="Z1887" i="1"/>
  <c r="AA1883" i="1"/>
  <c r="Y1883" i="1"/>
  <c r="Z1883" i="1"/>
  <c r="AA1875" i="1"/>
  <c r="Y1875" i="1"/>
  <c r="Z1875" i="1"/>
  <c r="Y1867" i="1"/>
  <c r="Z1867" i="1"/>
  <c r="AA1863" i="1"/>
  <c r="Y1863" i="1"/>
  <c r="Z1863" i="1"/>
  <c r="AA1855" i="1"/>
  <c r="Y1855" i="1"/>
  <c r="Z1855" i="1"/>
  <c r="Y1851" i="1"/>
  <c r="Z1851" i="1"/>
  <c r="AA1843" i="1"/>
  <c r="Y1843" i="1"/>
  <c r="Z1843" i="1"/>
  <c r="AA1839" i="1"/>
  <c r="Y1839" i="1"/>
  <c r="Z1839" i="1"/>
  <c r="AA1835" i="1"/>
  <c r="Y1835" i="1"/>
  <c r="Z1835" i="1"/>
  <c r="AA1831" i="1"/>
  <c r="Y1831" i="1"/>
  <c r="Z1831" i="1"/>
  <c r="AA1827" i="1"/>
  <c r="Y1827" i="1"/>
  <c r="Z1827" i="1"/>
  <c r="Y1823" i="1"/>
  <c r="Z1823" i="1"/>
  <c r="Y1819" i="1"/>
  <c r="Z1819" i="1"/>
  <c r="Y1815" i="1"/>
  <c r="Z1815" i="1"/>
  <c r="AA1811" i="1"/>
  <c r="Y1811" i="1"/>
  <c r="Z1811" i="1"/>
  <c r="AA1807" i="1"/>
  <c r="Y1807" i="1"/>
  <c r="Z1807" i="1"/>
  <c r="AA1803" i="1"/>
  <c r="Y1803" i="1"/>
  <c r="Z1803" i="1"/>
  <c r="AA1795" i="1"/>
  <c r="Y1795" i="1"/>
  <c r="Z1795" i="1"/>
  <c r="Y1791" i="1"/>
  <c r="Z1791" i="1"/>
  <c r="AA1787" i="1"/>
  <c r="Z1787" i="1"/>
  <c r="Y1787" i="1"/>
  <c r="AA1783" i="1"/>
  <c r="Z1783" i="1"/>
  <c r="Y1783" i="1"/>
  <c r="Z1779" i="1"/>
  <c r="Y1779" i="1"/>
  <c r="Z1775" i="1"/>
  <c r="Y1775" i="1"/>
  <c r="AA1771" i="1"/>
  <c r="Z1771" i="1"/>
  <c r="Y1771" i="1"/>
  <c r="AA1767" i="1"/>
  <c r="Z1767" i="1"/>
  <c r="Y1767" i="1"/>
  <c r="Z1763" i="1"/>
  <c r="Y1763" i="1"/>
  <c r="Z1759" i="1"/>
  <c r="Y1759" i="1"/>
  <c r="Z1755" i="1"/>
  <c r="Y1755" i="1"/>
  <c r="Y1742" i="1"/>
  <c r="Z1742" i="1"/>
  <c r="AA1737" i="1"/>
  <c r="Z1737" i="1"/>
  <c r="Y1737" i="1"/>
  <c r="Y1715" i="1"/>
  <c r="Z1715" i="1"/>
  <c r="Y1699" i="1"/>
  <c r="Z1699" i="1"/>
  <c r="Y1683" i="1"/>
  <c r="AA1683" i="1"/>
  <c r="Z1683" i="1"/>
  <c r="Y1652" i="1"/>
  <c r="Z1652" i="1"/>
  <c r="AA1652" i="1"/>
  <c r="Y1636" i="1"/>
  <c r="Z1636" i="1"/>
  <c r="AA1636" i="1"/>
  <c r="Y1620" i="1"/>
  <c r="Z1620" i="1"/>
  <c r="AA1620" i="1"/>
  <c r="Y1604" i="1"/>
  <c r="Z1604" i="1"/>
  <c r="AA1604" i="1"/>
  <c r="Y1548" i="1"/>
  <c r="Z1548" i="1"/>
  <c r="AA1548" i="1"/>
  <c r="Z1516" i="1"/>
  <c r="Y1516" i="1"/>
  <c r="AA1516" i="1"/>
  <c r="Z1476" i="1"/>
  <c r="Y1476" i="1"/>
  <c r="AA1476" i="1"/>
  <c r="Z1460" i="1"/>
  <c r="Y1460" i="1"/>
  <c r="AA1460" i="1"/>
  <c r="Z1443" i="1"/>
  <c r="Y1443" i="1"/>
  <c r="AA1443" i="1"/>
  <c r="Z1417" i="1"/>
  <c r="Y1417" i="1"/>
  <c r="AA1417" i="1"/>
  <c r="Y2661" i="1"/>
  <c r="AA2661" i="1"/>
  <c r="Z2661" i="1"/>
  <c r="Y2657" i="1"/>
  <c r="AA2657" i="1"/>
  <c r="Z2657" i="1"/>
  <c r="Y2641" i="1"/>
  <c r="AA2641" i="1"/>
  <c r="Z2641" i="1"/>
  <c r="Y2637" i="1"/>
  <c r="Z2637" i="1"/>
  <c r="AA2637" i="1"/>
  <c r="Y2625" i="1"/>
  <c r="Z2625" i="1"/>
  <c r="AA2625" i="1"/>
  <c r="Y2613" i="1"/>
  <c r="Z2613" i="1"/>
  <c r="AA2613" i="1"/>
  <c r="Y2609" i="1"/>
  <c r="Z2609" i="1"/>
  <c r="AA2609" i="1"/>
  <c r="Y2605" i="1"/>
  <c r="Z2605" i="1"/>
  <c r="AA2605" i="1"/>
  <c r="Y2601" i="1"/>
  <c r="Z2601" i="1"/>
  <c r="AA2601" i="1"/>
  <c r="Y2597" i="1"/>
  <c r="Z2597" i="1"/>
  <c r="AA2597" i="1"/>
  <c r="Y2577" i="1"/>
  <c r="Z2577" i="1"/>
  <c r="AA2577" i="1"/>
  <c r="Y2573" i="1"/>
  <c r="Z2573" i="1"/>
  <c r="AA2573" i="1"/>
  <c r="Y2569" i="1"/>
  <c r="Z2569" i="1"/>
  <c r="AA2569" i="1"/>
  <c r="Y2561" i="1"/>
  <c r="Z2561" i="1"/>
  <c r="Y2549" i="1"/>
  <c r="Z2549" i="1"/>
  <c r="AA2549" i="1"/>
  <c r="Y2545" i="1"/>
  <c r="Z2545" i="1"/>
  <c r="Y2533" i="1"/>
  <c r="Z2533" i="1"/>
  <c r="AA2533" i="1"/>
  <c r="Y2529" i="1"/>
  <c r="Z2529" i="1"/>
  <c r="AA2529" i="1"/>
  <c r="Y2517" i="1"/>
  <c r="Z2517" i="1"/>
  <c r="AA2517" i="1"/>
  <c r="Y2513" i="1"/>
  <c r="Z2513" i="1"/>
  <c r="AA2513" i="1"/>
  <c r="Y2509" i="1"/>
  <c r="Z2509" i="1"/>
  <c r="AA2509" i="1"/>
  <c r="Y2505" i="1"/>
  <c r="Z2505" i="1"/>
  <c r="AA2505" i="1"/>
  <c r="Y2485" i="1"/>
  <c r="Z2485" i="1"/>
  <c r="AA2485" i="1"/>
  <c r="Y2481" i="1"/>
  <c r="Z2481" i="1"/>
  <c r="AA2481" i="1"/>
  <c r="AA2473" i="1"/>
  <c r="Y2473" i="1"/>
  <c r="Z2473" i="1"/>
  <c r="AA2469" i="1"/>
  <c r="Y2469" i="1"/>
  <c r="Z2469" i="1"/>
  <c r="Y2465" i="1"/>
  <c r="Z2465" i="1"/>
  <c r="Y2461" i="1"/>
  <c r="Z2461" i="1"/>
  <c r="AA2457" i="1"/>
  <c r="Y2457" i="1"/>
  <c r="Z2457" i="1"/>
  <c r="Y2453" i="1"/>
  <c r="Z2453" i="1"/>
  <c r="Y2449" i="1"/>
  <c r="Z2449" i="1"/>
  <c r="AA2433" i="1"/>
  <c r="Y2433" i="1"/>
  <c r="Z2433" i="1"/>
  <c r="AA2429" i="1"/>
  <c r="Y2429" i="1"/>
  <c r="Z2429" i="1"/>
  <c r="AA2414" i="1"/>
  <c r="Y2414" i="1"/>
  <c r="Z2414" i="1"/>
  <c r="Y2394" i="1"/>
  <c r="Z2394" i="1"/>
  <c r="Y2390" i="1"/>
  <c r="Z2390" i="1"/>
  <c r="Y2386" i="1"/>
  <c r="Z2386" i="1"/>
  <c r="AA2378" i="1"/>
  <c r="Y2378" i="1"/>
  <c r="Z2378" i="1"/>
  <c r="AA2374" i="1"/>
  <c r="Y2374" i="1"/>
  <c r="Z2374" i="1"/>
  <c r="AA2362" i="1"/>
  <c r="Y2362" i="1"/>
  <c r="Z2362" i="1"/>
  <c r="AA2358" i="1"/>
  <c r="Y2358" i="1"/>
  <c r="Z2358" i="1"/>
  <c r="AA2354" i="1"/>
  <c r="Y2354" i="1"/>
  <c r="Z2354" i="1"/>
  <c r="AA2350" i="1"/>
  <c r="Y2350" i="1"/>
  <c r="Z2350" i="1"/>
  <c r="AA2346" i="1"/>
  <c r="Y2346" i="1"/>
  <c r="Z2346" i="1"/>
  <c r="AA2342" i="1"/>
  <c r="Y2342" i="1"/>
  <c r="Z2342" i="1"/>
  <c r="AA2338" i="1"/>
  <c r="Y2338" i="1"/>
  <c r="Z2338" i="1"/>
  <c r="AA2334" i="1"/>
  <c r="Y2334" i="1"/>
  <c r="Z2334" i="1"/>
  <c r="AA2330" i="1"/>
  <c r="Y2330" i="1"/>
  <c r="Z2330" i="1"/>
  <c r="AA2326" i="1"/>
  <c r="Y2326" i="1"/>
  <c r="Z2326" i="1"/>
  <c r="AA2318" i="1"/>
  <c r="Y2318" i="1"/>
  <c r="Z2318" i="1"/>
  <c r="AA2314" i="1"/>
  <c r="Y2314" i="1"/>
  <c r="Z2314" i="1"/>
  <c r="AA2310" i="1"/>
  <c r="Y2310" i="1"/>
  <c r="Z2310" i="1"/>
  <c r="AA2302" i="1"/>
  <c r="Y2302" i="1"/>
  <c r="Z2302" i="1"/>
  <c r="Y2294" i="1"/>
  <c r="Z2294" i="1"/>
  <c r="AA2290" i="1"/>
  <c r="Y2290" i="1"/>
  <c r="Z2290" i="1"/>
  <c r="Y2254" i="1"/>
  <c r="Z2254" i="1"/>
  <c r="AA2250" i="1"/>
  <c r="Y2250" i="1"/>
  <c r="Z2250" i="1"/>
  <c r="AA2202" i="1"/>
  <c r="Y2202" i="1"/>
  <c r="Z2202" i="1"/>
  <c r="AA2198" i="1"/>
  <c r="Y2198" i="1"/>
  <c r="Z2198" i="1"/>
  <c r="Z2194" i="1"/>
  <c r="AA2194" i="1"/>
  <c r="Y2194" i="1"/>
  <c r="Z2154" i="1"/>
  <c r="AA2154" i="1"/>
  <c r="Y2154" i="1"/>
  <c r="Z2146" i="1"/>
  <c r="AA2146" i="1"/>
  <c r="Y2146" i="1"/>
  <c r="Z2142" i="1"/>
  <c r="AA2142" i="1"/>
  <c r="Y2142" i="1"/>
  <c r="Z2138" i="1"/>
  <c r="AA2138" i="1"/>
  <c r="Y2138" i="1"/>
  <c r="Z2130" i="1"/>
  <c r="AA2130" i="1"/>
  <c r="Y2130" i="1"/>
  <c r="Z2126" i="1"/>
  <c r="AA2126" i="1"/>
  <c r="Y2126" i="1"/>
  <c r="Z2122" i="1"/>
  <c r="AA2122" i="1"/>
  <c r="Y2122" i="1"/>
  <c r="Z2118" i="1"/>
  <c r="AA2118" i="1"/>
  <c r="Y2118" i="1"/>
  <c r="Z2114" i="1"/>
  <c r="AA2114" i="1"/>
  <c r="Y2114" i="1"/>
  <c r="Z2110" i="1"/>
  <c r="AA2110" i="1"/>
  <c r="Y2110" i="1"/>
  <c r="Z2102" i="1"/>
  <c r="AA2102" i="1"/>
  <c r="Y2102" i="1"/>
  <c r="Z2098" i="1"/>
  <c r="AA2098" i="1"/>
  <c r="Y2098" i="1"/>
  <c r="Z2094" i="1"/>
  <c r="AA2094" i="1"/>
  <c r="Y2094" i="1"/>
  <c r="Z2090" i="1"/>
  <c r="AA2090" i="1"/>
  <c r="Y2090" i="1"/>
  <c r="Z2086" i="1"/>
  <c r="AA2086" i="1"/>
  <c r="Y2086" i="1"/>
  <c r="Z2082" i="1"/>
  <c r="AA2082" i="1"/>
  <c r="Y2082" i="1"/>
  <c r="Z2070" i="1"/>
  <c r="AA2070" i="1"/>
  <c r="Y2070" i="1"/>
  <c r="Z2066" i="1"/>
  <c r="AA2066" i="1"/>
  <c r="Y2066" i="1"/>
  <c r="AA2046" i="1"/>
  <c r="Y2046" i="1"/>
  <c r="Z2046" i="1"/>
  <c r="AA2042" i="1"/>
  <c r="Y2042" i="1"/>
  <c r="Z2042" i="1"/>
  <c r="AA2038" i="1"/>
  <c r="Y2038" i="1"/>
  <c r="Z2038" i="1"/>
  <c r="AA2034" i="1"/>
  <c r="Y2034" i="1"/>
  <c r="Z2034" i="1"/>
  <c r="AA2030" i="1"/>
  <c r="Y2030" i="1"/>
  <c r="Z2030" i="1"/>
  <c r="AA2026" i="1"/>
  <c r="Y2026" i="1"/>
  <c r="Z2026" i="1"/>
  <c r="AA2022" i="1"/>
  <c r="Y2022" i="1"/>
  <c r="Z2022" i="1"/>
  <c r="AA2014" i="1"/>
  <c r="Y2014" i="1"/>
  <c r="Z2014" i="1"/>
  <c r="AA2010" i="1"/>
  <c r="Y2010" i="1"/>
  <c r="Z2010" i="1"/>
  <c r="AA2002" i="1"/>
  <c r="Y2002" i="1"/>
  <c r="Z2002" i="1"/>
  <c r="AA1990" i="1"/>
  <c r="Y1990" i="1"/>
  <c r="Z1990" i="1"/>
  <c r="AA1986" i="1"/>
  <c r="Y1986" i="1"/>
  <c r="Z1986" i="1"/>
  <c r="AA1982" i="1"/>
  <c r="Y1982" i="1"/>
  <c r="Z1982" i="1"/>
  <c r="AA1974" i="1"/>
  <c r="Y1974" i="1"/>
  <c r="Z1974" i="1"/>
  <c r="AA1966" i="1"/>
  <c r="Y1966" i="1"/>
  <c r="Z1966" i="1"/>
  <c r="AA1962" i="1"/>
  <c r="Y1962" i="1"/>
  <c r="Z1962" i="1"/>
  <c r="AA1958" i="1"/>
  <c r="Y1958" i="1"/>
  <c r="Z1958" i="1"/>
  <c r="AA1954" i="1"/>
  <c r="Y1954" i="1"/>
  <c r="Z1954" i="1"/>
  <c r="Y1946" i="1"/>
  <c r="Z1946" i="1"/>
  <c r="Y1942" i="1"/>
  <c r="Z1942" i="1"/>
  <c r="AA1934" i="1"/>
  <c r="Y1934" i="1"/>
  <c r="Z1934" i="1"/>
  <c r="AA1930" i="1"/>
  <c r="Y1930" i="1"/>
  <c r="Z1930" i="1"/>
  <c r="AA1922" i="1"/>
  <c r="Y1922" i="1"/>
  <c r="Z1922" i="1"/>
  <c r="AA1918" i="1"/>
  <c r="Y1918" i="1"/>
  <c r="Z1918" i="1"/>
  <c r="AA1914" i="1"/>
  <c r="Y1914" i="1"/>
  <c r="Z1914" i="1"/>
  <c r="AA1901" i="1"/>
  <c r="Y1901" i="1"/>
  <c r="Z1901" i="1"/>
  <c r="AA1898" i="1"/>
  <c r="Y1898" i="1"/>
  <c r="Z1898" i="1"/>
  <c r="AA1894" i="1"/>
  <c r="Y1894" i="1"/>
  <c r="Z1894" i="1"/>
  <c r="AA1890" i="1"/>
  <c r="Y1890" i="1"/>
  <c r="Z1890" i="1"/>
  <c r="AA1886" i="1"/>
  <c r="Y1886" i="1"/>
  <c r="Z1886" i="1"/>
  <c r="AA1882" i="1"/>
  <c r="Y1882" i="1"/>
  <c r="Z1882" i="1"/>
  <c r="AA1878" i="1"/>
  <c r="Y1878" i="1"/>
  <c r="Z1878" i="1"/>
  <c r="AA1874" i="1"/>
  <c r="Y1874" i="1"/>
  <c r="Z1874" i="1"/>
  <c r="AA1870" i="1"/>
  <c r="Y1870" i="1"/>
  <c r="Z1870" i="1"/>
  <c r="Y1866" i="1"/>
  <c r="Z1866" i="1"/>
  <c r="AA1862" i="1"/>
  <c r="Y1862" i="1"/>
  <c r="Z1862" i="1"/>
  <c r="AA1858" i="1"/>
  <c r="Y1858" i="1"/>
  <c r="Z1858" i="1"/>
  <c r="AA1854" i="1"/>
  <c r="Y1854" i="1"/>
  <c r="Z1854" i="1"/>
  <c r="Y1846" i="1"/>
  <c r="Z1846" i="1"/>
  <c r="AA1842" i="1"/>
  <c r="Y1842" i="1"/>
  <c r="Z1842" i="1"/>
  <c r="AA1838" i="1"/>
  <c r="Y1838" i="1"/>
  <c r="Z1838" i="1"/>
  <c r="AA1834" i="1"/>
  <c r="Y1834" i="1"/>
  <c r="Z1834" i="1"/>
  <c r="AA1830" i="1"/>
  <c r="Y1830" i="1"/>
  <c r="Z1830" i="1"/>
  <c r="AA1826" i="1"/>
  <c r="Y1826" i="1"/>
  <c r="Z1826" i="1"/>
  <c r="AA1822" i="1"/>
  <c r="Y1822" i="1"/>
  <c r="Z1822" i="1"/>
  <c r="AA1818" i="1"/>
  <c r="Y1818" i="1"/>
  <c r="Z1818" i="1"/>
  <c r="AA1814" i="1"/>
  <c r="Y1814" i="1"/>
  <c r="Z1814" i="1"/>
  <c r="AA1810" i="1"/>
  <c r="Y1810" i="1"/>
  <c r="Z1810" i="1"/>
  <c r="AA1806" i="1"/>
  <c r="Y1806" i="1"/>
  <c r="Z1806" i="1"/>
  <c r="AA1802" i="1"/>
  <c r="Y1802" i="1"/>
  <c r="Z1802" i="1"/>
  <c r="AA1798" i="1"/>
  <c r="Y1798" i="1"/>
  <c r="Z1798" i="1"/>
  <c r="AA1794" i="1"/>
  <c r="Y1794" i="1"/>
  <c r="Z1794" i="1"/>
  <c r="AA1790" i="1"/>
  <c r="Y1790" i="1"/>
  <c r="Z1790" i="1"/>
  <c r="AA1786" i="1"/>
  <c r="Y1786" i="1"/>
  <c r="Z1786" i="1"/>
  <c r="Y1774" i="1"/>
  <c r="Z1774" i="1"/>
  <c r="AA1770" i="1"/>
  <c r="Y1770" i="1"/>
  <c r="Z1770" i="1"/>
  <c r="Y1766" i="1"/>
  <c r="Z1766" i="1"/>
  <c r="Y1762" i="1"/>
  <c r="Z1762" i="1"/>
  <c r="Y1753" i="1"/>
  <c r="Z1753" i="1"/>
  <c r="AA1735" i="1"/>
  <c r="Y1735" i="1"/>
  <c r="Z1735" i="1"/>
  <c r="Y1719" i="1"/>
  <c r="AA1719" i="1"/>
  <c r="Z1719" i="1"/>
  <c r="Y1703" i="1"/>
  <c r="Z1703" i="1"/>
  <c r="Y1687" i="1"/>
  <c r="Z1687" i="1"/>
  <c r="Y1656" i="1"/>
  <c r="Z1656" i="1"/>
  <c r="AA1656" i="1"/>
  <c r="Y1640" i="1"/>
  <c r="Z1640" i="1"/>
  <c r="AA1640" i="1"/>
  <c r="Y1624" i="1"/>
  <c r="Z1624" i="1"/>
  <c r="AA1624" i="1"/>
  <c r="Y1608" i="1"/>
  <c r="Z1608" i="1"/>
  <c r="AA1608" i="1"/>
  <c r="Y1592" i="1"/>
  <c r="Z1592" i="1"/>
  <c r="AA1592" i="1"/>
  <c r="Y1557" i="1"/>
  <c r="Z1557" i="1"/>
  <c r="AA1557" i="1"/>
  <c r="Z1480" i="1"/>
  <c r="Y1480" i="1"/>
  <c r="AA1480" i="1"/>
  <c r="Z1464" i="1"/>
  <c r="Y1464" i="1"/>
  <c r="AA1464" i="1"/>
  <c r="Z1447" i="1"/>
  <c r="Y1447" i="1"/>
  <c r="AA1447" i="1"/>
  <c r="Z1421" i="1"/>
  <c r="Y1421" i="1"/>
  <c r="AA1421" i="1"/>
  <c r="Z1396" i="1"/>
  <c r="Y1396" i="1"/>
  <c r="AA1396" i="1"/>
  <c r="Y1752" i="1"/>
  <c r="Z1752" i="1"/>
  <c r="Y1747" i="1"/>
  <c r="Z1747" i="1"/>
  <c r="Y1734" i="1"/>
  <c r="Z1734" i="1"/>
  <c r="Y1724" i="1"/>
  <c r="Z1724" i="1"/>
  <c r="Y1718" i="1"/>
  <c r="AA1718" i="1"/>
  <c r="Z1718" i="1"/>
  <c r="Y1713" i="1"/>
  <c r="Z1713" i="1"/>
  <c r="Y1708" i="1"/>
  <c r="Z1708" i="1"/>
  <c r="Y1697" i="1"/>
  <c r="AA1697" i="1"/>
  <c r="Z1697" i="1"/>
  <c r="Y1692" i="1"/>
  <c r="AA1692" i="1"/>
  <c r="Z1692" i="1"/>
  <c r="Y1686" i="1"/>
  <c r="Z1686" i="1"/>
  <c r="Y1676" i="1"/>
  <c r="AA1676" i="1"/>
  <c r="Z1676" i="1"/>
  <c r="Y1670" i="1"/>
  <c r="AA1670" i="1"/>
  <c r="Z1670" i="1"/>
  <c r="Y1665" i="1"/>
  <c r="Z1665" i="1"/>
  <c r="AA1665" i="1"/>
  <c r="Y1655" i="1"/>
  <c r="Z1655" i="1"/>
  <c r="AA1655" i="1"/>
  <c r="Y1650" i="1"/>
  <c r="Z1650" i="1"/>
  <c r="AA1650" i="1"/>
  <c r="Y1645" i="1"/>
  <c r="Z1645" i="1"/>
  <c r="AA1645" i="1"/>
  <c r="Y1639" i="1"/>
  <c r="Z1639" i="1"/>
  <c r="AA1639" i="1"/>
  <c r="Y1634" i="1"/>
  <c r="Z1634" i="1"/>
  <c r="AA1634" i="1"/>
  <c r="Y1629" i="1"/>
  <c r="Z1629" i="1"/>
  <c r="AA1629" i="1"/>
  <c r="Y1623" i="1"/>
  <c r="Z1623" i="1"/>
  <c r="AA1623" i="1"/>
  <c r="Y1618" i="1"/>
  <c r="Z1618" i="1"/>
  <c r="AA1618" i="1"/>
  <c r="Y1613" i="1"/>
  <c r="Z1613" i="1"/>
  <c r="AA1613" i="1"/>
  <c r="Y1591" i="1"/>
  <c r="Z1591" i="1"/>
  <c r="AA1591" i="1"/>
  <c r="Y1567" i="1"/>
  <c r="Z1567" i="1"/>
  <c r="AA1567" i="1"/>
  <c r="Y1554" i="1"/>
  <c r="Z1554" i="1"/>
  <c r="AA1554" i="1"/>
  <c r="Y1546" i="1"/>
  <c r="Z1546" i="1"/>
  <c r="AA1546" i="1"/>
  <c r="Z1528" i="1"/>
  <c r="Y1528" i="1"/>
  <c r="AA1528" i="1"/>
  <c r="Z1513" i="1"/>
  <c r="Y1513" i="1"/>
  <c r="AA1513" i="1"/>
  <c r="Z1507" i="1"/>
  <c r="Y1507" i="1"/>
  <c r="AA1507" i="1"/>
  <c r="Z1500" i="1"/>
  <c r="Y1500" i="1"/>
  <c r="AA1500" i="1"/>
  <c r="Z1491" i="1"/>
  <c r="Y1491" i="1"/>
  <c r="AA1491" i="1"/>
  <c r="Z1485" i="1"/>
  <c r="AA1485" i="1"/>
  <c r="Y1485" i="1"/>
  <c r="Z1479" i="1"/>
  <c r="Y1479" i="1"/>
  <c r="AA1479" i="1"/>
  <c r="Z1474" i="1"/>
  <c r="Y1474" i="1"/>
  <c r="AA1474" i="1"/>
  <c r="Z1469" i="1"/>
  <c r="AA1469" i="1"/>
  <c r="Y1469" i="1"/>
  <c r="Z1463" i="1"/>
  <c r="Y1463" i="1"/>
  <c r="AA1463" i="1"/>
  <c r="Z1446" i="1"/>
  <c r="Y1446" i="1"/>
  <c r="AA1446" i="1"/>
  <c r="Z1441" i="1"/>
  <c r="Y1441" i="1"/>
  <c r="AA1441" i="1"/>
  <c r="Z1426" i="1"/>
  <c r="Y1426" i="1"/>
  <c r="AA1426" i="1"/>
  <c r="Z1420" i="1"/>
  <c r="Y1420" i="1"/>
  <c r="AA1420" i="1"/>
  <c r="Z1412" i="1"/>
  <c r="Y1412" i="1"/>
  <c r="AA1412" i="1"/>
  <c r="Z1393" i="1"/>
  <c r="Y1393" i="1"/>
  <c r="AA1393" i="1"/>
  <c r="Y1376" i="1"/>
  <c r="Z1376" i="1"/>
  <c r="AA1376" i="1"/>
  <c r="AA2755" i="1"/>
  <c r="Z2755" i="1"/>
  <c r="Y2755" i="1"/>
  <c r="AA2751" i="1"/>
  <c r="Z2751" i="1"/>
  <c r="AA2747" i="1"/>
  <c r="Z2747" i="1"/>
  <c r="Y2747" i="1"/>
  <c r="AA2743" i="1"/>
  <c r="Z2743" i="1"/>
  <c r="Y2743" i="1"/>
  <c r="AA2739" i="1"/>
  <c r="Z2739" i="1"/>
  <c r="Y2739" i="1"/>
  <c r="AA2735" i="1"/>
  <c r="Z2735" i="1"/>
  <c r="Y2735" i="1"/>
  <c r="AA2731" i="1"/>
  <c r="Z2731" i="1"/>
  <c r="Y2731" i="1"/>
  <c r="AA2727" i="1"/>
  <c r="Y2727" i="1"/>
  <c r="Z2727" i="1"/>
  <c r="Y2711" i="1"/>
  <c r="Z2711" i="1"/>
  <c r="Y2703" i="1"/>
  <c r="Z2703" i="1"/>
  <c r="Y2699" i="1"/>
  <c r="Z2699" i="1"/>
  <c r="Y2695" i="1"/>
  <c r="AA2695" i="1"/>
  <c r="Z2695" i="1"/>
  <c r="Y2691" i="1"/>
  <c r="AA2691" i="1"/>
  <c r="Z2691" i="1"/>
  <c r="Y2687" i="1"/>
  <c r="AA2687" i="1"/>
  <c r="Z2687" i="1"/>
  <c r="Y2683" i="1"/>
  <c r="AA2683" i="1"/>
  <c r="Z2683" i="1"/>
  <c r="Y2679" i="1"/>
  <c r="AA2679" i="1"/>
  <c r="Z2679" i="1"/>
  <c r="Y2668" i="1"/>
  <c r="AA2668" i="1"/>
  <c r="Z2668" i="1"/>
  <c r="Y2660" i="1"/>
  <c r="Z2660" i="1"/>
  <c r="Y2644" i="1"/>
  <c r="AA2644" i="1"/>
  <c r="Z2644" i="1"/>
  <c r="Y2640" i="1"/>
  <c r="AA2640" i="1"/>
  <c r="Z2640" i="1"/>
  <c r="Y2636" i="1"/>
  <c r="Z2636" i="1"/>
  <c r="AA2636" i="1"/>
  <c r="Y2632" i="1"/>
  <c r="Z2632" i="1"/>
  <c r="AA2632" i="1"/>
  <c r="Y2628" i="1"/>
  <c r="Z2628" i="1"/>
  <c r="AA2628" i="1"/>
  <c r="Y2624" i="1"/>
  <c r="Z2624" i="1"/>
  <c r="AA2624" i="1"/>
  <c r="Y2620" i="1"/>
  <c r="Z2620" i="1"/>
  <c r="AA2620" i="1"/>
  <c r="Y2612" i="1"/>
  <c r="Z2612" i="1"/>
  <c r="Y2608" i="1"/>
  <c r="Z2608" i="1"/>
  <c r="AA2608" i="1"/>
  <c r="Y2604" i="1"/>
  <c r="Z2604" i="1"/>
  <c r="AA2604" i="1"/>
  <c r="Y2600" i="1"/>
  <c r="Z2600" i="1"/>
  <c r="AA2600" i="1"/>
  <c r="Y2580" i="1"/>
  <c r="Z2580" i="1"/>
  <c r="AA2580" i="1"/>
  <c r="Y2576" i="1"/>
  <c r="Z2576" i="1"/>
  <c r="AA2576" i="1"/>
  <c r="Y2572" i="1"/>
  <c r="Z2572" i="1"/>
  <c r="AA2572" i="1"/>
  <c r="Y2568" i="1"/>
  <c r="Z2568" i="1"/>
  <c r="AA2568" i="1"/>
  <c r="Y2564" i="1"/>
  <c r="Z2564" i="1"/>
  <c r="AA2564" i="1"/>
  <c r="Y2548" i="1"/>
  <c r="Z2548" i="1"/>
  <c r="AA2548" i="1"/>
  <c r="Y2544" i="1"/>
  <c r="Z2544" i="1"/>
  <c r="AA2544" i="1"/>
  <c r="Y2540" i="1"/>
  <c r="Z2540" i="1"/>
  <c r="Y2532" i="1"/>
  <c r="Z2532" i="1"/>
  <c r="AA2532" i="1"/>
  <c r="Y2528" i="1"/>
  <c r="Z2528" i="1"/>
  <c r="AA2528" i="1"/>
  <c r="Y2524" i="1"/>
  <c r="Z2524" i="1"/>
  <c r="AA2524" i="1"/>
  <c r="Y2520" i="1"/>
  <c r="Z2520" i="1"/>
  <c r="AA2520" i="1"/>
  <c r="Y2516" i="1"/>
  <c r="Z2516" i="1"/>
  <c r="AA2516" i="1"/>
  <c r="Y2512" i="1"/>
  <c r="Z2512" i="1"/>
  <c r="AA2512" i="1"/>
  <c r="Y2508" i="1"/>
  <c r="Z2508" i="1"/>
  <c r="Y2504" i="1"/>
  <c r="Z2504" i="1"/>
  <c r="AA2504" i="1"/>
  <c r="Y2496" i="1"/>
  <c r="Z2496" i="1"/>
  <c r="AA2496" i="1"/>
  <c r="Y2484" i="1"/>
  <c r="Z2484" i="1"/>
  <c r="AA2484" i="1"/>
  <c r="AA2480" i="1"/>
  <c r="Y2480" i="1"/>
  <c r="Z2480" i="1"/>
  <c r="AA2476" i="1"/>
  <c r="Y2476" i="1"/>
  <c r="Z2476" i="1"/>
  <c r="AA2472" i="1"/>
  <c r="Y2472" i="1"/>
  <c r="Z2472" i="1"/>
  <c r="Y2468" i="1"/>
  <c r="Z2468" i="1"/>
  <c r="Y2464" i="1"/>
  <c r="Z2464" i="1"/>
  <c r="Y2460" i="1"/>
  <c r="Z2460" i="1"/>
  <c r="Y2452" i="1"/>
  <c r="Z2452" i="1"/>
  <c r="Y2448" i="1"/>
  <c r="Z2448" i="1"/>
  <c r="AA2444" i="1"/>
  <c r="Y2444" i="1"/>
  <c r="Z2444" i="1"/>
  <c r="AA2436" i="1"/>
  <c r="Y2436" i="1"/>
  <c r="Z2436" i="1"/>
  <c r="AA2432" i="1"/>
  <c r="Y2432" i="1"/>
  <c r="Z2432" i="1"/>
  <c r="Y2417" i="1"/>
  <c r="Z2417" i="1"/>
  <c r="AA2413" i="1"/>
  <c r="Y2413" i="1"/>
  <c r="Z2413" i="1"/>
  <c r="Y2393" i="1"/>
  <c r="Z2393" i="1"/>
  <c r="Y2389" i="1"/>
  <c r="Z2389" i="1"/>
  <c r="Y2385" i="1"/>
  <c r="Z2385" i="1"/>
  <c r="AA2381" i="1"/>
  <c r="Y2381" i="1"/>
  <c r="Z2381" i="1"/>
  <c r="AA2377" i="1"/>
  <c r="Y2377" i="1"/>
  <c r="Z2377" i="1"/>
  <c r="AA2373" i="1"/>
  <c r="Y2373" i="1"/>
  <c r="Z2373" i="1"/>
  <c r="AA2369" i="1"/>
  <c r="Y2369" i="1"/>
  <c r="Z2369" i="1"/>
  <c r="AA2365" i="1"/>
  <c r="Y2365" i="1"/>
  <c r="Z2365" i="1"/>
  <c r="AA2361" i="1"/>
  <c r="Y2361" i="1"/>
  <c r="Z2361" i="1"/>
  <c r="AA2357" i="1"/>
  <c r="Y2357" i="1"/>
  <c r="Z2357" i="1"/>
  <c r="AA2353" i="1"/>
  <c r="Y2353" i="1"/>
  <c r="Z2353" i="1"/>
  <c r="AA2349" i="1"/>
  <c r="Y2349" i="1"/>
  <c r="Z2349" i="1"/>
  <c r="AA2345" i="1"/>
  <c r="Y2345" i="1"/>
  <c r="Z2345" i="1"/>
  <c r="AA2341" i="1"/>
  <c r="Y2341" i="1"/>
  <c r="Z2341" i="1"/>
  <c r="AA2337" i="1"/>
  <c r="Y2337" i="1"/>
  <c r="Z2337" i="1"/>
  <c r="AA2333" i="1"/>
  <c r="Y2333" i="1"/>
  <c r="Z2333" i="1"/>
  <c r="AA2329" i="1"/>
  <c r="Y2329" i="1"/>
  <c r="Z2329" i="1"/>
  <c r="AA2325" i="1"/>
  <c r="Y2325" i="1"/>
  <c r="Z2325" i="1"/>
  <c r="AA2317" i="1"/>
  <c r="Y2317" i="1"/>
  <c r="Z2317" i="1"/>
  <c r="AA2313" i="1"/>
  <c r="Y2313" i="1"/>
  <c r="Z2313" i="1"/>
  <c r="AA2309" i="1"/>
  <c r="Y2309" i="1"/>
  <c r="Z2309" i="1"/>
  <c r="AA2301" i="1"/>
  <c r="Y2301" i="1"/>
  <c r="Z2301" i="1"/>
  <c r="AA2293" i="1"/>
  <c r="Y2293" i="1"/>
  <c r="Z2293" i="1"/>
  <c r="AA2289" i="1"/>
  <c r="Y2289" i="1"/>
  <c r="Z2289" i="1"/>
  <c r="AA2257" i="1"/>
  <c r="Y2257" i="1"/>
  <c r="Z2257" i="1"/>
  <c r="Y2253" i="1"/>
  <c r="Z2253" i="1"/>
  <c r="AA2249" i="1"/>
  <c r="Y2249" i="1"/>
  <c r="Z2249" i="1"/>
  <c r="AA2205" i="1"/>
  <c r="Y2205" i="1"/>
  <c r="Z2205" i="1"/>
  <c r="AA2201" i="1"/>
  <c r="Y2201" i="1"/>
  <c r="Z2201" i="1"/>
  <c r="AA2197" i="1"/>
  <c r="Y2197" i="1"/>
  <c r="Z2197" i="1"/>
  <c r="Z2157" i="1"/>
  <c r="AA2157" i="1"/>
  <c r="Y2157" i="1"/>
  <c r="Z2149" i="1"/>
  <c r="AA2149" i="1"/>
  <c r="Y2149" i="1"/>
  <c r="Z2145" i="1"/>
  <c r="AA2145" i="1"/>
  <c r="Y2145" i="1"/>
  <c r="Z2141" i="1"/>
  <c r="AA2141" i="1"/>
  <c r="Y2141" i="1"/>
  <c r="Z2137" i="1"/>
  <c r="AA2137" i="1"/>
  <c r="Y2137" i="1"/>
  <c r="Z2133" i="1"/>
  <c r="AA2133" i="1"/>
  <c r="Y2133" i="1"/>
  <c r="Z2129" i="1"/>
  <c r="AA2129" i="1"/>
  <c r="Y2129" i="1"/>
  <c r="Z2125" i="1"/>
  <c r="AA2125" i="1"/>
  <c r="Y2125" i="1"/>
  <c r="Z2121" i="1"/>
  <c r="AA2121" i="1"/>
  <c r="Y2121" i="1"/>
  <c r="Z2117" i="1"/>
  <c r="AA2117" i="1"/>
  <c r="Y2117" i="1"/>
  <c r="Z2113" i="1"/>
  <c r="AA2113" i="1"/>
  <c r="Y2113" i="1"/>
  <c r="Z2109" i="1"/>
  <c r="AA2109" i="1"/>
  <c r="Y2109" i="1"/>
  <c r="Z2105" i="1"/>
  <c r="AA2105" i="1"/>
  <c r="Y2105" i="1"/>
  <c r="Z2101" i="1"/>
  <c r="AA2101" i="1"/>
  <c r="Y2101" i="1"/>
  <c r="Z2097" i="1"/>
  <c r="AA2097" i="1"/>
  <c r="Y2097" i="1"/>
  <c r="Z2093" i="1"/>
  <c r="AA2093" i="1"/>
  <c r="Y2093" i="1"/>
  <c r="Z2089" i="1"/>
  <c r="AA2089" i="1"/>
  <c r="Y2089" i="1"/>
  <c r="Z2085" i="1"/>
  <c r="AA2085" i="1"/>
  <c r="Y2085" i="1"/>
  <c r="Z2081" i="1"/>
  <c r="AA2081" i="1"/>
  <c r="Y2081" i="1"/>
  <c r="Z2073" i="1"/>
  <c r="AA2073" i="1"/>
  <c r="Y2073" i="1"/>
  <c r="Z2065" i="1"/>
  <c r="Y2065" i="1"/>
  <c r="Z2057" i="1"/>
  <c r="AA2057" i="1"/>
  <c r="Y2057" i="1"/>
  <c r="Z2049" i="1"/>
  <c r="AA2049" i="1"/>
  <c r="Y2049" i="1"/>
  <c r="AA2045" i="1"/>
  <c r="Y2045" i="1"/>
  <c r="Z2045" i="1"/>
  <c r="AA2041" i="1"/>
  <c r="Z2041" i="1"/>
  <c r="Y2041" i="1"/>
  <c r="AA2037" i="1"/>
  <c r="Z2037" i="1"/>
  <c r="Y2037" i="1"/>
  <c r="Z2033" i="1"/>
  <c r="Y2033" i="1"/>
  <c r="Z2029" i="1"/>
  <c r="Y2029" i="1"/>
  <c r="AA2025" i="1"/>
  <c r="Z2025" i="1"/>
  <c r="Y2025" i="1"/>
  <c r="AA2021" i="1"/>
  <c r="Z2021" i="1"/>
  <c r="Y2021" i="1"/>
  <c r="AA2013" i="1"/>
  <c r="Z2013" i="1"/>
  <c r="Y2013" i="1"/>
  <c r="AA2009" i="1"/>
  <c r="Y2009" i="1"/>
  <c r="Z2009" i="1"/>
  <c r="AA1989" i="1"/>
  <c r="Y1989" i="1"/>
  <c r="Z1989" i="1"/>
  <c r="AA1985" i="1"/>
  <c r="Y1985" i="1"/>
  <c r="Z1985" i="1"/>
  <c r="AA1973" i="1"/>
  <c r="Y1973" i="1"/>
  <c r="Z1973" i="1"/>
  <c r="AA1965" i="1"/>
  <c r="Y1965" i="1"/>
  <c r="Z1965" i="1"/>
  <c r="AA1961" i="1"/>
  <c r="Y1961" i="1"/>
  <c r="Z1961" i="1"/>
  <c r="Y1945" i="1"/>
  <c r="Z1945" i="1"/>
  <c r="Y1941" i="1"/>
  <c r="Z1941" i="1"/>
  <c r="AA1937" i="1"/>
  <c r="Y1937" i="1"/>
  <c r="Z1937" i="1"/>
  <c r="AA1933" i="1"/>
  <c r="Y1933" i="1"/>
  <c r="Z1933" i="1"/>
  <c r="AA1929" i="1"/>
  <c r="Y1929" i="1"/>
  <c r="Z1929" i="1"/>
  <c r="AA1921" i="1"/>
  <c r="Y1921" i="1"/>
  <c r="Z1921" i="1"/>
  <c r="AA1917" i="1"/>
  <c r="Y1917" i="1"/>
  <c r="Z1917" i="1"/>
  <c r="AA1913" i="1"/>
  <c r="Y1913" i="1"/>
  <c r="Z1913" i="1"/>
  <c r="AA1905" i="1"/>
  <c r="Y1905" i="1"/>
  <c r="Z1905" i="1"/>
  <c r="AA1900" i="1"/>
  <c r="Y1900" i="1"/>
  <c r="Z1900" i="1"/>
  <c r="AA1897" i="1"/>
  <c r="Y1897" i="1"/>
  <c r="Z1897" i="1"/>
  <c r="AA1893" i="1"/>
  <c r="Y1893" i="1"/>
  <c r="Z1893" i="1"/>
  <c r="AA1889" i="1"/>
  <c r="Y1889" i="1"/>
  <c r="Z1889" i="1"/>
  <c r="AA1885" i="1"/>
  <c r="Y1885" i="1"/>
  <c r="Z1885" i="1"/>
  <c r="AA1881" i="1"/>
  <c r="Y1881" i="1"/>
  <c r="Z1881" i="1"/>
  <c r="AA1877" i="1"/>
  <c r="Y1877" i="1"/>
  <c r="Z1877" i="1"/>
  <c r="AA1873" i="1"/>
  <c r="Y1873" i="1"/>
  <c r="Z1873" i="1"/>
  <c r="AA1869" i="1"/>
  <c r="Y1869" i="1"/>
  <c r="Z1869" i="1"/>
  <c r="AA1865" i="1"/>
  <c r="Y1865" i="1"/>
  <c r="Z1865" i="1"/>
  <c r="AA1861" i="1"/>
  <c r="Y1861" i="1"/>
  <c r="Z1861" i="1"/>
  <c r="AA1857" i="1"/>
  <c r="Y1857" i="1"/>
  <c r="Z1857" i="1"/>
  <c r="AA1853" i="1"/>
  <c r="Y1853" i="1"/>
  <c r="Z1853" i="1"/>
  <c r="AA1849" i="1"/>
  <c r="Y1849" i="1"/>
  <c r="Z1849" i="1"/>
  <c r="Y1845" i="1"/>
  <c r="Z1845" i="1"/>
  <c r="AA1841" i="1"/>
  <c r="Y1841" i="1"/>
  <c r="Z1841" i="1"/>
  <c r="AA1837" i="1"/>
  <c r="Y1837" i="1"/>
  <c r="Z1837" i="1"/>
  <c r="AA1833" i="1"/>
  <c r="Y1833" i="1"/>
  <c r="Z1833" i="1"/>
  <c r="AA1829" i="1"/>
  <c r="Y1829" i="1"/>
  <c r="Z1829" i="1"/>
  <c r="AA1825" i="1"/>
  <c r="Y1825" i="1"/>
  <c r="Z1825" i="1"/>
  <c r="AA1821" i="1"/>
  <c r="Y1821" i="1"/>
  <c r="Z1821" i="1"/>
  <c r="AA1809" i="1"/>
  <c r="Y1809" i="1"/>
  <c r="Z1809" i="1"/>
  <c r="AA1805" i="1"/>
  <c r="Y1805" i="1"/>
  <c r="Z1805" i="1"/>
  <c r="AA1801" i="1"/>
  <c r="Y1801" i="1"/>
  <c r="Z1801" i="1"/>
  <c r="AA1797" i="1"/>
  <c r="Y1797" i="1"/>
  <c r="Z1797" i="1"/>
  <c r="Y1793" i="1"/>
  <c r="Z1793" i="1"/>
  <c r="Y1789" i="1"/>
  <c r="Y1785" i="1"/>
  <c r="Z1785" i="1"/>
  <c r="AA1777" i="1"/>
  <c r="Y1777" i="1"/>
  <c r="Z1777" i="1"/>
  <c r="Y1773" i="1"/>
  <c r="Z1773" i="1"/>
  <c r="Y1769" i="1"/>
  <c r="Z1769" i="1"/>
  <c r="Y1765" i="1"/>
  <c r="Z1765" i="1"/>
  <c r="Y1761" i="1"/>
  <c r="Z1761" i="1"/>
  <c r="Y1757" i="1"/>
  <c r="Z1757" i="1"/>
  <c r="Y1746" i="1"/>
  <c r="Z1746" i="1"/>
  <c r="AC1733" i="1"/>
  <c r="AB1733" i="1"/>
  <c r="AD1733" i="1"/>
  <c r="AC1728" i="1"/>
  <c r="AB1728" i="1"/>
  <c r="AD1728" i="1"/>
  <c r="Y1723" i="1"/>
  <c r="AA1723" i="1"/>
  <c r="Z1723" i="1"/>
  <c r="AC1717" i="1"/>
  <c r="AE1717" i="1"/>
  <c r="AB1717" i="1"/>
  <c r="AD1717" i="1"/>
  <c r="AC1712" i="1"/>
  <c r="AD1712" i="1"/>
  <c r="AB1712" i="1"/>
  <c r="AC1701" i="1"/>
  <c r="AB1701" i="1"/>
  <c r="AD1701" i="1"/>
  <c r="AC1696" i="1"/>
  <c r="AE1696" i="1"/>
  <c r="AD1696" i="1"/>
  <c r="AB1696" i="1"/>
  <c r="Y1691" i="1"/>
  <c r="AA1691" i="1"/>
  <c r="Z1691" i="1"/>
  <c r="AC1685" i="1"/>
  <c r="AD1685" i="1"/>
  <c r="AE1685" i="1"/>
  <c r="AB1685" i="1"/>
  <c r="AC1680" i="1"/>
  <c r="AD1680" i="1"/>
  <c r="AE1680" i="1"/>
  <c r="AB1680" i="1"/>
  <c r="Y1675" i="1"/>
  <c r="Z1675" i="1"/>
  <c r="AC1669" i="1"/>
  <c r="AD1669" i="1"/>
  <c r="AB1669" i="1"/>
  <c r="AC1654" i="1"/>
  <c r="AD1654" i="1"/>
  <c r="AE1654" i="1"/>
  <c r="AB1654" i="1"/>
  <c r="Y1644" i="1"/>
  <c r="Z1644" i="1"/>
  <c r="AA1644" i="1"/>
  <c r="AC1638" i="1"/>
  <c r="AD1638" i="1"/>
  <c r="AE1638" i="1"/>
  <c r="AB1638" i="1"/>
  <c r="AC1633" i="1"/>
  <c r="AD1633" i="1"/>
  <c r="AE1633" i="1"/>
  <c r="AB1633" i="1"/>
  <c r="Y1628" i="1"/>
  <c r="Z1628" i="1"/>
  <c r="AA1628" i="1"/>
  <c r="AC1622" i="1"/>
  <c r="AD1622" i="1"/>
  <c r="AE1622" i="1"/>
  <c r="AB1622" i="1"/>
  <c r="AC1617" i="1"/>
  <c r="AD1617" i="1"/>
  <c r="AE1617" i="1"/>
  <c r="AB1617" i="1"/>
  <c r="Y1612" i="1"/>
  <c r="Z1612" i="1"/>
  <c r="AA1612" i="1"/>
  <c r="AC1606" i="1"/>
  <c r="AD1606" i="1"/>
  <c r="AE1606" i="1"/>
  <c r="AB1606" i="1"/>
  <c r="AC1601" i="1"/>
  <c r="AD1601" i="1"/>
  <c r="AE1601" i="1"/>
  <c r="AB1601" i="1"/>
  <c r="Y1596" i="1"/>
  <c r="Z1596" i="1"/>
  <c r="AA1596" i="1"/>
  <c r="AC1588" i="1"/>
  <c r="AD1588" i="1"/>
  <c r="AE1588" i="1"/>
  <c r="AB1588" i="1"/>
  <c r="AC1585" i="1"/>
  <c r="AD1585" i="1"/>
  <c r="AE1585" i="1"/>
  <c r="AB1585" i="1"/>
  <c r="Y1564" i="1"/>
  <c r="Z1564" i="1"/>
  <c r="AA1564" i="1"/>
  <c r="AC1553" i="1"/>
  <c r="AD1553" i="1"/>
  <c r="AE1553" i="1"/>
  <c r="AB1553" i="1"/>
  <c r="AC1545" i="1"/>
  <c r="AD1545" i="1"/>
  <c r="AE1545" i="1"/>
  <c r="AB1545" i="1"/>
  <c r="Z1527" i="1"/>
  <c r="Y1527" i="1"/>
  <c r="AA1527" i="1"/>
  <c r="AD1512" i="1"/>
  <c r="AB1512" i="1"/>
  <c r="AC1512" i="1"/>
  <c r="AE1512" i="1"/>
  <c r="Z1506" i="1"/>
  <c r="Y1506" i="1"/>
  <c r="AA1506" i="1"/>
  <c r="AD1499" i="1"/>
  <c r="AB1499" i="1"/>
  <c r="AC1499" i="1"/>
  <c r="AE1499" i="1"/>
  <c r="AD1490" i="1"/>
  <c r="AE1490" i="1"/>
  <c r="AB1490" i="1"/>
  <c r="AC1490" i="1"/>
  <c r="AD1478" i="1"/>
  <c r="AE1478" i="1"/>
  <c r="AB1478" i="1"/>
  <c r="AC1478" i="1"/>
  <c r="AD1473" i="1"/>
  <c r="AE1473" i="1"/>
  <c r="AB1473" i="1"/>
  <c r="AC1473" i="1"/>
  <c r="Z1468" i="1"/>
  <c r="Y1468" i="1"/>
  <c r="AA1468" i="1"/>
  <c r="AD1462" i="1"/>
  <c r="AE1462" i="1"/>
  <c r="AB1462" i="1"/>
  <c r="AC1462" i="1"/>
  <c r="AD1458" i="1"/>
  <c r="AE1458" i="1"/>
  <c r="AB1458" i="1"/>
  <c r="AC1458" i="1"/>
  <c r="AB1445" i="1"/>
  <c r="AD1445" i="1"/>
  <c r="AE1445" i="1"/>
  <c r="AC1445" i="1"/>
  <c r="AB1440" i="1"/>
  <c r="AD1440" i="1"/>
  <c r="AE1440" i="1"/>
  <c r="AC1440" i="1"/>
  <c r="Z1425" i="1"/>
  <c r="Y1425" i="1"/>
  <c r="AA1425" i="1"/>
  <c r="AB1419" i="1"/>
  <c r="AD1419" i="1"/>
  <c r="AE1419" i="1"/>
  <c r="AC1419" i="1"/>
  <c r="AB1411" i="1"/>
  <c r="AD1411" i="1"/>
  <c r="AE1411" i="1"/>
  <c r="AC1411" i="1"/>
  <c r="Y1331" i="1"/>
  <c r="Z1331" i="1"/>
  <c r="AA1331" i="1"/>
  <c r="AE2742" i="1"/>
  <c r="AB2742" i="1"/>
  <c r="AC2742" i="1"/>
  <c r="AD2742" i="1"/>
  <c r="AE2738" i="1"/>
  <c r="AB2738" i="1"/>
  <c r="AC2738" i="1"/>
  <c r="AD2738" i="1"/>
  <c r="AC2722" i="1"/>
  <c r="AE2722" i="1"/>
  <c r="AB2722" i="1"/>
  <c r="AD2722" i="1"/>
  <c r="AC2718" i="1"/>
  <c r="AB2718" i="1"/>
  <c r="AD2718" i="1"/>
  <c r="AC2714" i="1"/>
  <c r="AB2714" i="1"/>
  <c r="AD2714" i="1"/>
  <c r="AC2702" i="1"/>
  <c r="AB2702" i="1"/>
  <c r="AD2702" i="1"/>
  <c r="AC2698" i="1"/>
  <c r="AE2698" i="1"/>
  <c r="AB2698" i="1"/>
  <c r="AD2698" i="1"/>
  <c r="AC2667" i="1"/>
  <c r="AE2667" i="1"/>
  <c r="AB2667" i="1"/>
  <c r="AC2639" i="1"/>
  <c r="AD2639" i="1"/>
  <c r="AE2639" i="1"/>
  <c r="AB2639" i="1"/>
  <c r="AC2635" i="1"/>
  <c r="AD2635" i="1"/>
  <c r="AE2635" i="1"/>
  <c r="AB2635" i="1"/>
  <c r="AC2631" i="1"/>
  <c r="AD2631" i="1"/>
  <c r="AE2631" i="1"/>
  <c r="AB2631" i="1"/>
  <c r="AC2627" i="1"/>
  <c r="AD2627" i="1"/>
  <c r="AE2627" i="1"/>
  <c r="AB2627" i="1"/>
  <c r="AC2623" i="1"/>
  <c r="AD2623" i="1"/>
  <c r="AE2623" i="1"/>
  <c r="AB2623" i="1"/>
  <c r="AC2619" i="1"/>
  <c r="AD2619" i="1"/>
  <c r="AE2619" i="1"/>
  <c r="AB2619" i="1"/>
  <c r="AC2615" i="1"/>
  <c r="AD2615" i="1"/>
  <c r="AB2615" i="1"/>
  <c r="AC2607" i="1"/>
  <c r="AD2607" i="1"/>
  <c r="AE2607" i="1"/>
  <c r="AB2607" i="1"/>
  <c r="AC2595" i="1"/>
  <c r="AD2595" i="1"/>
  <c r="AE2595" i="1"/>
  <c r="AB2595" i="1"/>
  <c r="AC2575" i="1"/>
  <c r="AD2575" i="1"/>
  <c r="AE2575" i="1"/>
  <c r="AB2575" i="1"/>
  <c r="AC2571" i="1"/>
  <c r="AD2571" i="1"/>
  <c r="AE2571" i="1"/>
  <c r="AB2571" i="1"/>
  <c r="AC2563" i="1"/>
  <c r="AD2563" i="1"/>
  <c r="AE2563" i="1"/>
  <c r="AB2563" i="1"/>
  <c r="AC2531" i="1"/>
  <c r="AB2531" i="1"/>
  <c r="AD2531" i="1"/>
  <c r="AE2531" i="1"/>
  <c r="AC2527" i="1"/>
  <c r="AB2527" i="1"/>
  <c r="AD2527" i="1"/>
  <c r="AE2527" i="1"/>
  <c r="AC2523" i="1"/>
  <c r="AB2523" i="1"/>
  <c r="AD2523" i="1"/>
  <c r="AE2523" i="1"/>
  <c r="AC2503" i="1"/>
  <c r="AB2503" i="1"/>
  <c r="AD2503" i="1"/>
  <c r="AE2503" i="1"/>
  <c r="AC2487" i="1"/>
  <c r="AB2487" i="1"/>
  <c r="AD2487" i="1"/>
  <c r="AE2487" i="1"/>
  <c r="AC2483" i="1"/>
  <c r="AB2483" i="1"/>
  <c r="AD2483" i="1"/>
  <c r="AE2483" i="1"/>
  <c r="AC2471" i="1"/>
  <c r="AB2471" i="1"/>
  <c r="AD2471" i="1"/>
  <c r="AE2471" i="1"/>
  <c r="AC2467" i="1"/>
  <c r="AD2467" i="1"/>
  <c r="AB2467" i="1"/>
  <c r="AB2463" i="1"/>
  <c r="AC2463" i="1"/>
  <c r="AD2463" i="1"/>
  <c r="AB2459" i="1"/>
  <c r="AC2459" i="1"/>
  <c r="AD2459" i="1"/>
  <c r="AE2459" i="1"/>
  <c r="AB2455" i="1"/>
  <c r="AC2455" i="1"/>
  <c r="AD2455" i="1"/>
  <c r="AB2451" i="1"/>
  <c r="AC2451" i="1"/>
  <c r="AD2451" i="1"/>
  <c r="AB2447" i="1"/>
  <c r="AC2447" i="1"/>
  <c r="AD2447" i="1"/>
  <c r="AB2404" i="1"/>
  <c r="AC2404" i="1"/>
  <c r="AD2404" i="1"/>
  <c r="AE2404" i="1"/>
  <c r="AB2392" i="1"/>
  <c r="AC2392" i="1"/>
  <c r="AD2392" i="1"/>
  <c r="AB2380" i="1"/>
  <c r="AC2380" i="1"/>
  <c r="AD2380" i="1"/>
  <c r="AE2380" i="1"/>
  <c r="AB2376" i="1"/>
  <c r="AC2376" i="1"/>
  <c r="AD2376" i="1"/>
  <c r="AE2376" i="1"/>
  <c r="AB2372" i="1"/>
  <c r="AC2372" i="1"/>
  <c r="AD2372" i="1"/>
  <c r="AE2372" i="1"/>
  <c r="AB2356" i="1"/>
  <c r="AC2356" i="1"/>
  <c r="AD2356" i="1"/>
  <c r="AE2356" i="1"/>
  <c r="AB2352" i="1"/>
  <c r="AC2352" i="1"/>
  <c r="AD2352" i="1"/>
  <c r="AE2352" i="1"/>
  <c r="AB2348" i="1"/>
  <c r="AC2348" i="1"/>
  <c r="AD2348" i="1"/>
  <c r="AE2348" i="1"/>
  <c r="AB2344" i="1"/>
  <c r="AC2344" i="1"/>
  <c r="AD2344" i="1"/>
  <c r="AE2344" i="1"/>
  <c r="AB2340" i="1"/>
  <c r="AC2340" i="1"/>
  <c r="AD2340" i="1"/>
  <c r="AE2340" i="1"/>
  <c r="AB2336" i="1"/>
  <c r="AC2336" i="1"/>
  <c r="AD2336" i="1"/>
  <c r="AE2336" i="1"/>
  <c r="AB2332" i="1"/>
  <c r="AC2332" i="1"/>
  <c r="AD2332" i="1"/>
  <c r="AE2332" i="1"/>
  <c r="AB2328" i="1"/>
  <c r="AC2328" i="1"/>
  <c r="AD2328" i="1"/>
  <c r="AE2328" i="1"/>
  <c r="AB2324" i="1"/>
  <c r="AC2324" i="1"/>
  <c r="AD2324" i="1"/>
  <c r="AE2324" i="1"/>
  <c r="AB2316" i="1"/>
  <c r="AC2316" i="1"/>
  <c r="AD2316" i="1"/>
  <c r="AE2316" i="1"/>
  <c r="AB2312" i="1"/>
  <c r="AC2312" i="1"/>
  <c r="AD2312" i="1"/>
  <c r="AE2312" i="1"/>
  <c r="AB2308" i="1"/>
  <c r="AC2308" i="1"/>
  <c r="AD2308" i="1"/>
  <c r="AE2308" i="1"/>
  <c r="AB2300" i="1"/>
  <c r="AC2300" i="1"/>
  <c r="AD2300" i="1"/>
  <c r="AE2300" i="1"/>
  <c r="AB2296" i="1"/>
  <c r="AC2296" i="1"/>
  <c r="AD2296" i="1"/>
  <c r="AE2296" i="1"/>
  <c r="AE2272" i="1"/>
  <c r="AC2272" i="1"/>
  <c r="AD2272" i="1"/>
  <c r="AB2272" i="1"/>
  <c r="AE2256" i="1"/>
  <c r="AC2256" i="1"/>
  <c r="AD2256" i="1"/>
  <c r="AB2256" i="1"/>
  <c r="AE2252" i="1"/>
  <c r="AC2252" i="1"/>
  <c r="AD2252" i="1"/>
  <c r="AB2252" i="1"/>
  <c r="AE2248" i="1"/>
  <c r="AC2248" i="1"/>
  <c r="AD2248" i="1"/>
  <c r="AB2248" i="1"/>
  <c r="AC2228" i="1"/>
  <c r="AE2228" i="1"/>
  <c r="AB2228" i="1"/>
  <c r="AD2228" i="1"/>
  <c r="AC2208" i="1"/>
  <c r="AE2208" i="1"/>
  <c r="AB2208" i="1"/>
  <c r="AD2208" i="1"/>
  <c r="AC2200" i="1"/>
  <c r="AE2200" i="1"/>
  <c r="AB2200" i="1"/>
  <c r="AD2200" i="1"/>
  <c r="AC2196" i="1"/>
  <c r="AE2196" i="1"/>
  <c r="AB2196" i="1"/>
  <c r="AD2196" i="1"/>
  <c r="AC2192" i="1"/>
  <c r="AE2192" i="1"/>
  <c r="AB2192" i="1"/>
  <c r="AD2192" i="1"/>
  <c r="AC2188" i="1"/>
  <c r="AE2188" i="1"/>
  <c r="AB2188" i="1"/>
  <c r="AD2188" i="1"/>
  <c r="AB2156" i="1"/>
  <c r="AC2156" i="1"/>
  <c r="AE2156" i="1"/>
  <c r="AD2156" i="1"/>
  <c r="AB2144" i="1"/>
  <c r="AC2144" i="1"/>
  <c r="AE2144" i="1"/>
  <c r="AD2144" i="1"/>
  <c r="AB2140" i="1"/>
  <c r="AC2140" i="1"/>
  <c r="AE2140" i="1"/>
  <c r="AD2140" i="1"/>
  <c r="AB2136" i="1"/>
  <c r="AC2136" i="1"/>
  <c r="AD2136" i="1"/>
  <c r="AE2136" i="1"/>
  <c r="AB2132" i="1"/>
  <c r="AC2132" i="1"/>
  <c r="AD2132" i="1"/>
  <c r="AE2132" i="1"/>
  <c r="AB2128" i="1"/>
  <c r="AC2128" i="1"/>
  <c r="AD2128" i="1"/>
  <c r="AE2128" i="1"/>
  <c r="AB2124" i="1"/>
  <c r="AC2124" i="1"/>
  <c r="AD2124" i="1"/>
  <c r="AE2124" i="1"/>
  <c r="AB2120" i="1"/>
  <c r="AC2120" i="1"/>
  <c r="AD2120" i="1"/>
  <c r="AE2120" i="1"/>
  <c r="AB2112" i="1"/>
  <c r="AC2112" i="1"/>
  <c r="AD2112" i="1"/>
  <c r="AE2112" i="1"/>
  <c r="AB2108" i="1"/>
  <c r="AC2108" i="1"/>
  <c r="AD2108" i="1"/>
  <c r="AE2108" i="1"/>
  <c r="AB2104" i="1"/>
  <c r="AC2104" i="1"/>
  <c r="AD2104" i="1"/>
  <c r="AE2104" i="1"/>
  <c r="AB2100" i="1"/>
  <c r="AC2100" i="1"/>
  <c r="AD2100" i="1"/>
  <c r="AE2100" i="1"/>
  <c r="AB2096" i="1"/>
  <c r="AC2096" i="1"/>
  <c r="AD2096" i="1"/>
  <c r="AE2096" i="1"/>
  <c r="AB2092" i="1"/>
  <c r="AC2092" i="1"/>
  <c r="AD2092" i="1"/>
  <c r="AE2092" i="1"/>
  <c r="AB2088" i="1"/>
  <c r="AC2088" i="1"/>
  <c r="AD2088" i="1"/>
  <c r="AE2088" i="1"/>
  <c r="AB2084" i="1"/>
  <c r="AC2084" i="1"/>
  <c r="AD2084" i="1"/>
  <c r="AE2084" i="1"/>
  <c r="AB2080" i="1"/>
  <c r="AC2080" i="1"/>
  <c r="AD2080" i="1"/>
  <c r="AE2080" i="1"/>
  <c r="AB2076" i="1"/>
  <c r="AC2076" i="1"/>
  <c r="AD2076" i="1"/>
  <c r="AE2076" i="1"/>
  <c r="AB2068" i="1"/>
  <c r="AC2068" i="1"/>
  <c r="AD2068" i="1"/>
  <c r="AE2068" i="1"/>
  <c r="AB2060" i="1"/>
  <c r="AC2060" i="1"/>
  <c r="AD2060" i="1"/>
  <c r="AE2060" i="1"/>
  <c r="AB2048" i="1"/>
  <c r="AC2048" i="1"/>
  <c r="AD2048" i="1"/>
  <c r="AE2048" i="1"/>
  <c r="AE2044" i="1"/>
  <c r="AB2044" i="1"/>
  <c r="AC2044" i="1"/>
  <c r="AD2044" i="1"/>
  <c r="AE2040" i="1"/>
  <c r="AB2040" i="1"/>
  <c r="AC2040" i="1"/>
  <c r="AD2040" i="1"/>
  <c r="AE2036" i="1"/>
  <c r="AB2036" i="1"/>
  <c r="AC2036" i="1"/>
  <c r="AD2036" i="1"/>
  <c r="AB2032" i="1"/>
  <c r="AC2032" i="1"/>
  <c r="AD2032" i="1"/>
  <c r="AB2024" i="1"/>
  <c r="AC2024" i="1"/>
  <c r="AD2024" i="1"/>
  <c r="AE2016" i="1"/>
  <c r="AB2016" i="1"/>
  <c r="AC2016" i="1"/>
  <c r="AD2016" i="1"/>
  <c r="AE2012" i="1"/>
  <c r="AB2012" i="1"/>
  <c r="AC2012" i="1"/>
  <c r="AD2012" i="1"/>
  <c r="AE2008" i="1"/>
  <c r="AB2008" i="1"/>
  <c r="AC2008" i="1"/>
  <c r="AD2008" i="1"/>
  <c r="AD2000" i="1"/>
  <c r="AE2000" i="1"/>
  <c r="AB2000" i="1"/>
  <c r="AC2000" i="1"/>
  <c r="AC1988" i="1"/>
  <c r="AD1988" i="1"/>
  <c r="AE1988" i="1"/>
  <c r="AB1988" i="1"/>
  <c r="AC1984" i="1"/>
  <c r="AD1984" i="1"/>
  <c r="AE1984" i="1"/>
  <c r="AB1984" i="1"/>
  <c r="AC1964" i="1"/>
  <c r="AD1964" i="1"/>
  <c r="AE1964" i="1"/>
  <c r="AB1964" i="1"/>
  <c r="AC1952" i="1"/>
  <c r="AD1952" i="1"/>
  <c r="AE1952" i="1"/>
  <c r="AB1952" i="1"/>
  <c r="AC1948" i="1"/>
  <c r="AD1948" i="1"/>
  <c r="AE1948" i="1"/>
  <c r="AB1948" i="1"/>
  <c r="AC1928" i="1"/>
  <c r="AD1928" i="1"/>
  <c r="AE1928" i="1"/>
  <c r="AB1928" i="1"/>
  <c r="AC1920" i="1"/>
  <c r="AD1920" i="1"/>
  <c r="AE1920" i="1"/>
  <c r="AB1920" i="1"/>
  <c r="AC1916" i="1"/>
  <c r="AD1916" i="1"/>
  <c r="AE1916" i="1"/>
  <c r="AB1916" i="1"/>
  <c r="AB1904" i="1"/>
  <c r="AC1904" i="1"/>
  <c r="AD1904" i="1"/>
  <c r="AE1904" i="1"/>
  <c r="AB1896" i="1"/>
  <c r="AC1896" i="1"/>
  <c r="AD1896" i="1"/>
  <c r="AE1896" i="1"/>
  <c r="AB1892" i="1"/>
  <c r="AC1892" i="1"/>
  <c r="AD1892" i="1"/>
  <c r="AE1892" i="1"/>
  <c r="AB1888" i="1"/>
  <c r="AC1888" i="1"/>
  <c r="AD1888" i="1"/>
  <c r="AE1888" i="1"/>
  <c r="AB1884" i="1"/>
  <c r="AC1884" i="1"/>
  <c r="AD1884" i="1"/>
  <c r="AE1884" i="1"/>
  <c r="AB1880" i="1"/>
  <c r="AC1880" i="1"/>
  <c r="AD1880" i="1"/>
  <c r="AE1880" i="1"/>
  <c r="AB1876" i="1"/>
  <c r="AC1876" i="1"/>
  <c r="AD1876" i="1"/>
  <c r="AE1876" i="1"/>
  <c r="AB1872" i="1"/>
  <c r="AC1872" i="1"/>
  <c r="AD1872" i="1"/>
  <c r="AE1872" i="1"/>
  <c r="AB1864" i="1"/>
  <c r="AC1864" i="1"/>
  <c r="AD1864" i="1"/>
  <c r="AE1864" i="1"/>
  <c r="AB1856" i="1"/>
  <c r="AC1856" i="1"/>
  <c r="AD1856" i="1"/>
  <c r="AE1856" i="1"/>
  <c r="AB1852" i="1"/>
  <c r="AC1852" i="1"/>
  <c r="AD1852" i="1"/>
  <c r="AE1852" i="1"/>
  <c r="AB1848" i="1"/>
  <c r="AC1848" i="1"/>
  <c r="AD1848" i="1"/>
  <c r="AE1848" i="1"/>
  <c r="AB1844" i="1"/>
  <c r="AC1844" i="1"/>
  <c r="AD1844" i="1"/>
  <c r="AE1844" i="1"/>
  <c r="AB1840" i="1"/>
  <c r="AC1840" i="1"/>
  <c r="AD1840" i="1"/>
  <c r="AE1840" i="1"/>
  <c r="AB1836" i="1"/>
  <c r="AC1836" i="1"/>
  <c r="AD1836" i="1"/>
  <c r="AE1836" i="1"/>
  <c r="AB1832" i="1"/>
  <c r="AC1832" i="1"/>
  <c r="AD1832" i="1"/>
  <c r="AE1832" i="1"/>
  <c r="AB1828" i="1"/>
  <c r="AC1828" i="1"/>
  <c r="AD1828" i="1"/>
  <c r="AE1828" i="1"/>
  <c r="AB1824" i="1"/>
  <c r="AC1824" i="1"/>
  <c r="AD1824" i="1"/>
  <c r="AE1824" i="1"/>
  <c r="AB1820" i="1"/>
  <c r="AC1820" i="1"/>
  <c r="AD1820" i="1"/>
  <c r="AE1820" i="1"/>
  <c r="AB1816" i="1"/>
  <c r="AC1816" i="1"/>
  <c r="AD1816" i="1"/>
  <c r="AE1816" i="1"/>
  <c r="AB1812" i="1"/>
  <c r="AC1812" i="1"/>
  <c r="AD1812" i="1"/>
  <c r="AE1812" i="1"/>
  <c r="AB1808" i="1"/>
  <c r="AC1808" i="1"/>
  <c r="AD1808" i="1"/>
  <c r="AB1804" i="1"/>
  <c r="AC1804" i="1"/>
  <c r="AD1804" i="1"/>
  <c r="AB1800" i="1"/>
  <c r="AC1800" i="1"/>
  <c r="AD1800" i="1"/>
  <c r="AB1796" i="1"/>
  <c r="AC1796" i="1"/>
  <c r="AD1796" i="1"/>
  <c r="AE1796" i="1"/>
  <c r="AB1792" i="1"/>
  <c r="AC1792" i="1"/>
  <c r="AD1792" i="1"/>
  <c r="AE1792" i="1"/>
  <c r="AB1788" i="1"/>
  <c r="AC1788" i="1"/>
  <c r="AD1788" i="1"/>
  <c r="AE1788" i="1"/>
  <c r="AE1784" i="1"/>
  <c r="AC1784" i="1"/>
  <c r="AD1784" i="1"/>
  <c r="AB1784" i="1"/>
  <c r="AC1776" i="1"/>
  <c r="AD1776" i="1"/>
  <c r="AB1776" i="1"/>
  <c r="AE1772" i="1"/>
  <c r="AC1772" i="1"/>
  <c r="AD1772" i="1"/>
  <c r="AB1772" i="1"/>
  <c r="AE1768" i="1"/>
  <c r="AC1768" i="1"/>
  <c r="AD1768" i="1"/>
  <c r="AB1768" i="1"/>
  <c r="AC1764" i="1"/>
  <c r="AD1764" i="1"/>
  <c r="AB1764" i="1"/>
  <c r="AC1760" i="1"/>
  <c r="AD1760" i="1"/>
  <c r="AB1760" i="1"/>
  <c r="AC1756" i="1"/>
  <c r="AD1756" i="1"/>
  <c r="AB1756" i="1"/>
  <c r="Y1750" i="1"/>
  <c r="Z1750" i="1"/>
  <c r="Z1745" i="1"/>
  <c r="Y1745" i="1"/>
  <c r="Y1733" i="1"/>
  <c r="Z1733" i="1"/>
  <c r="Y1728" i="1"/>
  <c r="Z1728" i="1"/>
  <c r="Y1722" i="1"/>
  <c r="AA1722" i="1"/>
  <c r="Z1722" i="1"/>
  <c r="Y1717" i="1"/>
  <c r="AA1717" i="1"/>
  <c r="Z1717" i="1"/>
  <c r="Y1712" i="1"/>
  <c r="Z1712" i="1"/>
  <c r="Y1701" i="1"/>
  <c r="Z1701" i="1"/>
  <c r="Y1696" i="1"/>
  <c r="AA1696" i="1"/>
  <c r="Z1696" i="1"/>
  <c r="Y1690" i="1"/>
  <c r="AA1690" i="1"/>
  <c r="Z1690" i="1"/>
  <c r="Y1685" i="1"/>
  <c r="AA1685" i="1"/>
  <c r="Z1685" i="1"/>
  <c r="Y1680" i="1"/>
  <c r="AA1680" i="1"/>
  <c r="Z1680" i="1"/>
  <c r="Y1674" i="1"/>
  <c r="Z1674" i="1"/>
  <c r="Y1669" i="1"/>
  <c r="Y1654" i="1"/>
  <c r="Z1654" i="1"/>
  <c r="AA1654" i="1"/>
  <c r="Y1649" i="1"/>
  <c r="Z1649" i="1"/>
  <c r="AA1649" i="1"/>
  <c r="Y1643" i="1"/>
  <c r="Z1643" i="1"/>
  <c r="AA1643" i="1"/>
  <c r="Y1638" i="1"/>
  <c r="Z1638" i="1"/>
  <c r="AA1638" i="1"/>
  <c r="Y1633" i="1"/>
  <c r="Z1633" i="1"/>
  <c r="AA1633" i="1"/>
  <c r="Y1627" i="1"/>
  <c r="Z1627" i="1"/>
  <c r="AA1627" i="1"/>
  <c r="Y1622" i="1"/>
  <c r="Z1622" i="1"/>
  <c r="AA1622" i="1"/>
  <c r="Y1617" i="1"/>
  <c r="Z1617" i="1"/>
  <c r="AA1617" i="1"/>
  <c r="Y1611" i="1"/>
  <c r="Z1611" i="1"/>
  <c r="AA1611" i="1"/>
  <c r="Y1606" i="1"/>
  <c r="Z1606" i="1"/>
  <c r="AA1606" i="1"/>
  <c r="Y1601" i="1"/>
  <c r="Z1601" i="1"/>
  <c r="AA1601" i="1"/>
  <c r="Y1595" i="1"/>
  <c r="Z1595" i="1"/>
  <c r="AA1595" i="1"/>
  <c r="Y1588" i="1"/>
  <c r="Z1588" i="1"/>
  <c r="AA1588" i="1"/>
  <c r="Y1585" i="1"/>
  <c r="Z1585" i="1"/>
  <c r="AA1585" i="1"/>
  <c r="Y1563" i="1"/>
  <c r="Z1563" i="1"/>
  <c r="AA1563" i="1"/>
  <c r="Y1553" i="1"/>
  <c r="Z1553" i="1"/>
  <c r="AA1553" i="1"/>
  <c r="Y1545" i="1"/>
  <c r="Z1545" i="1"/>
  <c r="AA1545" i="1"/>
  <c r="Z1512" i="1"/>
  <c r="Y1512" i="1"/>
  <c r="AA1512" i="1"/>
  <c r="Z1505" i="1"/>
  <c r="Y1505" i="1"/>
  <c r="AA1505" i="1"/>
  <c r="Z1499" i="1"/>
  <c r="Y1499" i="1"/>
  <c r="AA1499" i="1"/>
  <c r="Z1490" i="1"/>
  <c r="Y1490" i="1"/>
  <c r="AA1490" i="1"/>
  <c r="Z1483" i="1"/>
  <c r="Y1483" i="1"/>
  <c r="AA1483" i="1"/>
  <c r="Z1478" i="1"/>
  <c r="Y1478" i="1"/>
  <c r="AA1478" i="1"/>
  <c r="Z1473" i="1"/>
  <c r="Y1473" i="1"/>
  <c r="AA1473" i="1"/>
  <c r="Z1467" i="1"/>
  <c r="Y1467" i="1"/>
  <c r="AA1467" i="1"/>
  <c r="Z1462" i="1"/>
  <c r="Y1462" i="1"/>
  <c r="AA1462" i="1"/>
  <c r="Z1458" i="1"/>
  <c r="Y1458" i="1"/>
  <c r="AA1458" i="1"/>
  <c r="Z1450" i="1"/>
  <c r="Y1450" i="1"/>
  <c r="AA1450" i="1"/>
  <c r="Z1445" i="1"/>
  <c r="Y1445" i="1"/>
  <c r="AA1445" i="1"/>
  <c r="Z1440" i="1"/>
  <c r="Y1440" i="1"/>
  <c r="AA1440" i="1"/>
  <c r="Z1424" i="1"/>
  <c r="Y1424" i="1"/>
  <c r="AA1424" i="1"/>
  <c r="Z1419" i="1"/>
  <c r="Y1419" i="1"/>
  <c r="AA1419" i="1"/>
  <c r="Z1411" i="1"/>
  <c r="Y1411" i="1"/>
  <c r="AA1411" i="1"/>
  <c r="Z1400" i="1"/>
  <c r="Y1400" i="1"/>
  <c r="AA1400" i="1"/>
  <c r="Y3062" i="1"/>
  <c r="Z3062" i="1"/>
  <c r="AA3062" i="1"/>
  <c r="Y3058" i="1"/>
  <c r="Z3058" i="1"/>
  <c r="AA3058" i="1"/>
  <c r="Y3054" i="1"/>
  <c r="Z3054" i="1"/>
  <c r="AA3054" i="1"/>
  <c r="Y3050" i="1"/>
  <c r="Z3050" i="1"/>
  <c r="AA3050" i="1"/>
  <c r="Y3046" i="1"/>
  <c r="Z3046" i="1"/>
  <c r="AA3046" i="1"/>
  <c r="Y3042" i="1"/>
  <c r="Z3042" i="1"/>
  <c r="Y3038" i="1"/>
  <c r="Z3038" i="1"/>
  <c r="Y3034" i="1"/>
  <c r="Z3034" i="1"/>
  <c r="AA3034" i="1"/>
  <c r="Y3030" i="1"/>
  <c r="Z3030" i="1"/>
  <c r="AA3030" i="1"/>
  <c r="Y3026" i="1"/>
  <c r="Z3026" i="1"/>
  <c r="AA3026" i="1"/>
  <c r="Y3022" i="1"/>
  <c r="Z3022" i="1"/>
  <c r="AA3022" i="1"/>
  <c r="Y3018" i="1"/>
  <c r="Z3018" i="1"/>
  <c r="AA3018" i="1"/>
  <c r="Y3006" i="1"/>
  <c r="Z3006" i="1"/>
  <c r="AA3006" i="1"/>
  <c r="Y3002" i="1"/>
  <c r="Z3002" i="1"/>
  <c r="AA3002" i="1"/>
  <c r="Y2998" i="1"/>
  <c r="Z2998" i="1"/>
  <c r="AA2998" i="1"/>
  <c r="Y2994" i="1"/>
  <c r="Z2994" i="1"/>
  <c r="AA2994" i="1"/>
  <c r="Y2990" i="1"/>
  <c r="Z2990" i="1"/>
  <c r="AA2990" i="1"/>
  <c r="Y2966" i="1"/>
  <c r="Z2966" i="1"/>
  <c r="AA2966" i="1"/>
  <c r="Y2962" i="1"/>
  <c r="Z2962" i="1"/>
  <c r="AA2962" i="1"/>
  <c r="Y2958" i="1"/>
  <c r="Z2958" i="1"/>
  <c r="AA2958" i="1"/>
  <c r="Y2954" i="1"/>
  <c r="Z2954" i="1"/>
  <c r="AA2954" i="1"/>
  <c r="Y2950" i="1"/>
  <c r="Z2950" i="1"/>
  <c r="AA2950" i="1"/>
  <c r="Y2946" i="1"/>
  <c r="Z2946" i="1"/>
  <c r="AA2946" i="1"/>
  <c r="Y2942" i="1"/>
  <c r="Z2942" i="1"/>
  <c r="AA2942" i="1"/>
  <c r="Y2938" i="1"/>
  <c r="Z2938" i="1"/>
  <c r="AA2938" i="1"/>
  <c r="Y2934" i="1"/>
  <c r="Z2934" i="1"/>
  <c r="AA2934" i="1"/>
  <c r="Y2926" i="1"/>
  <c r="Z2926" i="1"/>
  <c r="AA2926" i="1"/>
  <c r="Y2910" i="1"/>
  <c r="Z2910" i="1"/>
  <c r="AA2910" i="1"/>
  <c r="Y2890" i="1"/>
  <c r="Z2890" i="1"/>
  <c r="AA2890" i="1"/>
  <c r="Y2886" i="1"/>
  <c r="Z2886" i="1"/>
  <c r="AA2886" i="1"/>
  <c r="Y2882" i="1"/>
  <c r="Z2882" i="1"/>
  <c r="Y2878" i="1"/>
  <c r="Z2878" i="1"/>
  <c r="AA2878" i="1"/>
  <c r="Y2874" i="1"/>
  <c r="Z2874" i="1"/>
  <c r="AA2874" i="1"/>
  <c r="Y2870" i="1"/>
  <c r="Z2870" i="1"/>
  <c r="AA2870" i="1"/>
  <c r="Y2866" i="1"/>
  <c r="Z2866" i="1"/>
  <c r="AA2866" i="1"/>
  <c r="Y2830" i="1"/>
  <c r="Z2830" i="1"/>
  <c r="AA2830" i="1"/>
  <c r="Y2826" i="1"/>
  <c r="Z2826" i="1"/>
  <c r="AA2826" i="1"/>
  <c r="Y2810" i="1"/>
  <c r="Z2810" i="1"/>
  <c r="AA2810" i="1"/>
  <c r="Y2806" i="1"/>
  <c r="Z2806" i="1"/>
  <c r="AA2806" i="1"/>
  <c r="AA2774" i="1"/>
  <c r="Y2774" i="1"/>
  <c r="Z2774" i="1"/>
  <c r="AA2766" i="1"/>
  <c r="Y2766" i="1"/>
  <c r="Z2766" i="1"/>
  <c r="AA2762" i="1"/>
  <c r="Y2762" i="1"/>
  <c r="Z2762" i="1"/>
  <c r="AA2758" i="1"/>
  <c r="Y2758" i="1"/>
  <c r="Z2758" i="1"/>
  <c r="AA2754" i="1"/>
  <c r="Y2754" i="1"/>
  <c r="Z2754" i="1"/>
  <c r="AA2750" i="1"/>
  <c r="Y2750" i="1"/>
  <c r="Z2750" i="1"/>
  <c r="AA2742" i="1"/>
  <c r="Y2742" i="1"/>
  <c r="Z2742" i="1"/>
  <c r="AA2738" i="1"/>
  <c r="Y2738" i="1"/>
  <c r="Z2738" i="1"/>
  <c r="AA2730" i="1"/>
  <c r="Y2730" i="1"/>
  <c r="Z2730" i="1"/>
  <c r="Y2726" i="1"/>
  <c r="Z2726" i="1"/>
  <c r="AA2722" i="1"/>
  <c r="Y2722" i="1"/>
  <c r="Z2722" i="1"/>
  <c r="Y2718" i="1"/>
  <c r="Z2718" i="1"/>
  <c r="Y2714" i="1"/>
  <c r="Z2714" i="1"/>
  <c r="Y2710" i="1"/>
  <c r="Z2710" i="1"/>
  <c r="Y2702" i="1"/>
  <c r="Z2702" i="1"/>
  <c r="Y2698" i="1"/>
  <c r="AA2698" i="1"/>
  <c r="Z2698" i="1"/>
  <c r="Y2690" i="1"/>
  <c r="AA2690" i="1"/>
  <c r="Z2690" i="1"/>
  <c r="Y2686" i="1"/>
  <c r="AA2686" i="1"/>
  <c r="Z2686" i="1"/>
  <c r="Y2682" i="1"/>
  <c r="AA2682" i="1"/>
  <c r="Z2682" i="1"/>
  <c r="Y2671" i="1"/>
  <c r="AA2671" i="1"/>
  <c r="Z2671" i="1"/>
  <c r="Y2667" i="1"/>
  <c r="AA2667" i="1"/>
  <c r="Z2667" i="1"/>
  <c r="Y2663" i="1"/>
  <c r="AA2663" i="1"/>
  <c r="Z2663" i="1"/>
  <c r="Y2659" i="1"/>
  <c r="AA2659" i="1"/>
  <c r="Z2659" i="1"/>
  <c r="Y2651" i="1"/>
  <c r="AA2651" i="1"/>
  <c r="Z2651" i="1"/>
  <c r="Y2639" i="1"/>
  <c r="Z2639" i="1"/>
  <c r="AA2639" i="1"/>
  <c r="Y2635" i="1"/>
  <c r="Z2635" i="1"/>
  <c r="AA2635" i="1"/>
  <c r="Y2631" i="1"/>
  <c r="Z2631" i="1"/>
  <c r="AA2631" i="1"/>
  <c r="Y2627" i="1"/>
  <c r="Z2627" i="1"/>
  <c r="AA2627" i="1"/>
  <c r="Y2623" i="1"/>
  <c r="Z2623" i="1"/>
  <c r="AA2623" i="1"/>
  <c r="Y2619" i="1"/>
  <c r="Z2619" i="1"/>
  <c r="AA2619" i="1"/>
  <c r="Y2615" i="1"/>
  <c r="Z2615" i="1"/>
  <c r="Y2611" i="1"/>
  <c r="Z2611" i="1"/>
  <c r="AA2611" i="1"/>
  <c r="Y2607" i="1"/>
  <c r="Z2607" i="1"/>
  <c r="AA2607" i="1"/>
  <c r="Y2603" i="1"/>
  <c r="Z2603" i="1"/>
  <c r="AA2603" i="1"/>
  <c r="Y2599" i="1"/>
  <c r="Z2599" i="1"/>
  <c r="AA2599" i="1"/>
  <c r="Y2595" i="1"/>
  <c r="Z2595" i="1"/>
  <c r="AA2595" i="1"/>
  <c r="Y2579" i="1"/>
  <c r="Z2579" i="1"/>
  <c r="AA2579" i="1"/>
  <c r="Y2575" i="1"/>
  <c r="Z2575" i="1"/>
  <c r="AA2575" i="1"/>
  <c r="Y2571" i="1"/>
  <c r="Z2571" i="1"/>
  <c r="AA2571" i="1"/>
  <c r="Y2563" i="1"/>
  <c r="Z2563" i="1"/>
  <c r="AA2563" i="1"/>
  <c r="AA2543" i="1"/>
  <c r="Y2531" i="1"/>
  <c r="Z2531" i="1"/>
  <c r="AA2531" i="1"/>
  <c r="Y2527" i="1"/>
  <c r="Z2527" i="1"/>
  <c r="AA2527" i="1"/>
  <c r="Y2523" i="1"/>
  <c r="Z2523" i="1"/>
  <c r="AA2523" i="1"/>
  <c r="Y2511" i="1"/>
  <c r="Z2511" i="1"/>
  <c r="AA2511" i="1"/>
  <c r="Y2507" i="1"/>
  <c r="Z2507" i="1"/>
  <c r="AA2507" i="1"/>
  <c r="Y2503" i="1"/>
  <c r="Z2503" i="1"/>
  <c r="AA2503" i="1"/>
  <c r="Y2487" i="1"/>
  <c r="Z2487" i="1"/>
  <c r="AA2487" i="1"/>
  <c r="Y2483" i="1"/>
  <c r="Z2483" i="1"/>
  <c r="AA2483" i="1"/>
  <c r="AA2479" i="1"/>
  <c r="Y2479" i="1"/>
  <c r="Z2479" i="1"/>
  <c r="AA2475" i="1"/>
  <c r="Y2475" i="1"/>
  <c r="Z2475" i="1"/>
  <c r="AA2471" i="1"/>
  <c r="Y2471" i="1"/>
  <c r="Z2471" i="1"/>
  <c r="Y2467" i="1"/>
  <c r="Z2467" i="1"/>
  <c r="Y2463" i="1"/>
  <c r="Z2463" i="1"/>
  <c r="AA2459" i="1"/>
  <c r="Y2459" i="1"/>
  <c r="Z2459" i="1"/>
  <c r="Y2455" i="1"/>
  <c r="Z2455" i="1"/>
  <c r="Y2451" i="1"/>
  <c r="Z2451" i="1"/>
  <c r="Y2447" i="1"/>
  <c r="Z2447" i="1"/>
  <c r="AA2443" i="1"/>
  <c r="Y2443" i="1"/>
  <c r="Z2443" i="1"/>
  <c r="AA2435" i="1"/>
  <c r="Y2435" i="1"/>
  <c r="Z2435" i="1"/>
  <c r="AA2416" i="1"/>
  <c r="Y2416" i="1"/>
  <c r="Z2416" i="1"/>
  <c r="AA2412" i="1"/>
  <c r="Y2412" i="1"/>
  <c r="Z2412" i="1"/>
  <c r="AA2404" i="1"/>
  <c r="Y2404" i="1"/>
  <c r="Z2404" i="1"/>
  <c r="Y2392" i="1"/>
  <c r="Z2392" i="1"/>
  <c r="AA2380" i="1"/>
  <c r="Y2380" i="1"/>
  <c r="Z2380" i="1"/>
  <c r="AA2376" i="1"/>
  <c r="Y2376" i="1"/>
  <c r="Z2376" i="1"/>
  <c r="AA2372" i="1"/>
  <c r="Y2372" i="1"/>
  <c r="Z2372" i="1"/>
  <c r="AA2368" i="1"/>
  <c r="Y2368" i="1"/>
  <c r="Z2368" i="1"/>
  <c r="AA2356" i="1"/>
  <c r="Y2356" i="1"/>
  <c r="Z2356" i="1"/>
  <c r="AA2352" i="1"/>
  <c r="Y2352" i="1"/>
  <c r="Z2352" i="1"/>
  <c r="AA2348" i="1"/>
  <c r="Y2348" i="1"/>
  <c r="Z2348" i="1"/>
  <c r="AA2344" i="1"/>
  <c r="Y2344" i="1"/>
  <c r="Z2344" i="1"/>
  <c r="AA2340" i="1"/>
  <c r="Y2340" i="1"/>
  <c r="Z2340" i="1"/>
  <c r="AA2336" i="1"/>
  <c r="Y2336" i="1"/>
  <c r="Z2336" i="1"/>
  <c r="AA2332" i="1"/>
  <c r="Y2332" i="1"/>
  <c r="Z2332" i="1"/>
  <c r="AA2328" i="1"/>
  <c r="Y2328" i="1"/>
  <c r="Z2328" i="1"/>
  <c r="AA2324" i="1"/>
  <c r="Y2324" i="1"/>
  <c r="Z2324" i="1"/>
  <c r="AA2316" i="1"/>
  <c r="Y2316" i="1"/>
  <c r="Z2316" i="1"/>
  <c r="AA2312" i="1"/>
  <c r="Y2312" i="1"/>
  <c r="Z2312" i="1"/>
  <c r="AA2308" i="1"/>
  <c r="Y2308" i="1"/>
  <c r="Z2308" i="1"/>
  <c r="AA2300" i="1"/>
  <c r="Y2300" i="1"/>
  <c r="Z2300" i="1"/>
  <c r="AA2296" i="1"/>
  <c r="Y2296" i="1"/>
  <c r="Z2296" i="1"/>
  <c r="AA2272" i="1"/>
  <c r="Y2272" i="1"/>
  <c r="Z2272" i="1"/>
  <c r="AA2256" i="1"/>
  <c r="Y2256" i="1"/>
  <c r="Z2256" i="1"/>
  <c r="AA2252" i="1"/>
  <c r="Y2252" i="1"/>
  <c r="Z2252" i="1"/>
  <c r="AA2248" i="1"/>
  <c r="Y2248" i="1"/>
  <c r="Z2248" i="1"/>
  <c r="AA2228" i="1"/>
  <c r="Z2228" i="1"/>
  <c r="Y2228" i="1"/>
  <c r="AA2208" i="1"/>
  <c r="Y2208" i="1"/>
  <c r="Z2208" i="1"/>
  <c r="AA2200" i="1"/>
  <c r="Y2200" i="1"/>
  <c r="Z2200" i="1"/>
  <c r="Z2196" i="1"/>
  <c r="AA2196" i="1"/>
  <c r="Y2196" i="1"/>
  <c r="Z2192" i="1"/>
  <c r="AA2192" i="1"/>
  <c r="Y2192" i="1"/>
  <c r="Z2188" i="1"/>
  <c r="AA2188" i="1"/>
  <c r="Y2188" i="1"/>
  <c r="Z2156" i="1"/>
  <c r="AA2156" i="1"/>
  <c r="Y2156" i="1"/>
  <c r="Z2144" i="1"/>
  <c r="AA2144" i="1"/>
  <c r="Y2144" i="1"/>
  <c r="Z2140" i="1"/>
  <c r="AA2140" i="1"/>
  <c r="Y2140" i="1"/>
  <c r="Z2136" i="1"/>
  <c r="AA2136" i="1"/>
  <c r="Y2136" i="1"/>
  <c r="Z2132" i="1"/>
  <c r="AA2132" i="1"/>
  <c r="Y2132" i="1"/>
  <c r="Z2128" i="1"/>
  <c r="AA2128" i="1"/>
  <c r="Y2128" i="1"/>
  <c r="Z2124" i="1"/>
  <c r="AA2124" i="1"/>
  <c r="Y2124" i="1"/>
  <c r="Z2120" i="1"/>
  <c r="AA2120" i="1"/>
  <c r="Y2120" i="1"/>
  <c r="Z2112" i="1"/>
  <c r="AA2112" i="1"/>
  <c r="Y2112" i="1"/>
  <c r="Z2108" i="1"/>
  <c r="AA2108" i="1"/>
  <c r="Y2108" i="1"/>
  <c r="Z2104" i="1"/>
  <c r="AA2104" i="1"/>
  <c r="Y2104" i="1"/>
  <c r="Z2100" i="1"/>
  <c r="AA2100" i="1"/>
  <c r="Y2100" i="1"/>
  <c r="Z2096" i="1"/>
  <c r="AA2096" i="1"/>
  <c r="Y2096" i="1"/>
  <c r="Z2092" i="1"/>
  <c r="AA2092" i="1"/>
  <c r="Y2092" i="1"/>
  <c r="Z2088" i="1"/>
  <c r="AA2088" i="1"/>
  <c r="Y2088" i="1"/>
  <c r="Z2084" i="1"/>
  <c r="AA2084" i="1"/>
  <c r="Y2084" i="1"/>
  <c r="Z2080" i="1"/>
  <c r="AA2080" i="1"/>
  <c r="Y2080" i="1"/>
  <c r="Z2076" i="1"/>
  <c r="AA2076" i="1"/>
  <c r="Y2076" i="1"/>
  <c r="Z2068" i="1"/>
  <c r="AA2068" i="1"/>
  <c r="Y2068" i="1"/>
  <c r="Z2060" i="1"/>
  <c r="AA2060" i="1"/>
  <c r="Y2060" i="1"/>
  <c r="Z2048" i="1"/>
  <c r="AA2048" i="1"/>
  <c r="Y2048" i="1"/>
  <c r="AA2044" i="1"/>
  <c r="Y2044" i="1"/>
  <c r="Z2044" i="1"/>
  <c r="AA2040" i="1"/>
  <c r="Y2040" i="1"/>
  <c r="Z2040" i="1"/>
  <c r="AA2036" i="1"/>
  <c r="Y2036" i="1"/>
  <c r="Z2036" i="1"/>
  <c r="Y2032" i="1"/>
  <c r="Z2032" i="1"/>
  <c r="Y2024" i="1"/>
  <c r="Z2024" i="1"/>
  <c r="AA2016" i="1"/>
  <c r="Y2016" i="1"/>
  <c r="Z2016" i="1"/>
  <c r="AA2012" i="1"/>
  <c r="Y2012" i="1"/>
  <c r="Z2012" i="1"/>
  <c r="AA2008" i="1"/>
  <c r="Y2008" i="1"/>
  <c r="Z2008" i="1"/>
  <c r="AA2000" i="1"/>
  <c r="Y2000" i="1"/>
  <c r="Z2000" i="1"/>
  <c r="AA1988" i="1"/>
  <c r="Y1988" i="1"/>
  <c r="Z1988" i="1"/>
  <c r="AA1984" i="1"/>
  <c r="Y1984" i="1"/>
  <c r="Z1984" i="1"/>
  <c r="AA1964" i="1"/>
  <c r="Y1964" i="1"/>
  <c r="Z1964" i="1"/>
  <c r="AA1952" i="1"/>
  <c r="Y1952" i="1"/>
  <c r="Z1952" i="1"/>
  <c r="AA1948" i="1"/>
  <c r="Y1948" i="1"/>
  <c r="Z1948" i="1"/>
  <c r="Y1944" i="1"/>
  <c r="Z1944" i="1"/>
  <c r="AA1936" i="1"/>
  <c r="Y1936" i="1"/>
  <c r="Z1936" i="1"/>
  <c r="AA1928" i="1"/>
  <c r="Y1928" i="1"/>
  <c r="Z1928" i="1"/>
  <c r="AA1920" i="1"/>
  <c r="Y1920" i="1"/>
  <c r="Z1920" i="1"/>
  <c r="AA1916" i="1"/>
  <c r="Y1916" i="1"/>
  <c r="Z1916" i="1"/>
  <c r="AA1904" i="1"/>
  <c r="Y1904" i="1"/>
  <c r="Z1904" i="1"/>
  <c r="AA1896" i="1"/>
  <c r="Y1896" i="1"/>
  <c r="Z1896" i="1"/>
  <c r="AA1892" i="1"/>
  <c r="Y1892" i="1"/>
  <c r="Z1892" i="1"/>
  <c r="AA1888" i="1"/>
  <c r="Y1888" i="1"/>
  <c r="Z1888" i="1"/>
  <c r="AA1884" i="1"/>
  <c r="Y1884" i="1"/>
  <c r="Z1884" i="1"/>
  <c r="AA1880" i="1"/>
  <c r="Y1880" i="1"/>
  <c r="Z1880" i="1"/>
  <c r="AA1876" i="1"/>
  <c r="Y1876" i="1"/>
  <c r="Z1876" i="1"/>
  <c r="AA1872" i="1"/>
  <c r="Y1872" i="1"/>
  <c r="Z1872" i="1"/>
  <c r="AA1864" i="1"/>
  <c r="Y1864" i="1"/>
  <c r="Z1864" i="1"/>
  <c r="AA1856" i="1"/>
  <c r="Y1856" i="1"/>
  <c r="Z1856" i="1"/>
  <c r="AA1852" i="1"/>
  <c r="Y1852" i="1"/>
  <c r="Z1852" i="1"/>
  <c r="AA1848" i="1"/>
  <c r="Y1848" i="1"/>
  <c r="Z1848" i="1"/>
  <c r="AA1844" i="1"/>
  <c r="Y1844" i="1"/>
  <c r="Z1844" i="1"/>
  <c r="AA1840" i="1"/>
  <c r="Y1840" i="1"/>
  <c r="Z1840" i="1"/>
  <c r="AA1836" i="1"/>
  <c r="Y1836" i="1"/>
  <c r="Z1836" i="1"/>
  <c r="AA1832" i="1"/>
  <c r="Y1832" i="1"/>
  <c r="Z1832" i="1"/>
  <c r="AA1828" i="1"/>
  <c r="Y1828" i="1"/>
  <c r="Z1828" i="1"/>
  <c r="AA1824" i="1"/>
  <c r="Y1824" i="1"/>
  <c r="Z1824" i="1"/>
  <c r="AA1820" i="1"/>
  <c r="Y1820" i="1"/>
  <c r="Z1820" i="1"/>
  <c r="AA1816" i="1"/>
  <c r="Y1816" i="1"/>
  <c r="Z1816" i="1"/>
  <c r="AA1812" i="1"/>
  <c r="Y1812" i="1"/>
  <c r="Z1812" i="1"/>
  <c r="Y1808" i="1"/>
  <c r="Z1808" i="1"/>
  <c r="Y1804" i="1"/>
  <c r="Z1804" i="1"/>
  <c r="Y1800" i="1"/>
  <c r="Z1800" i="1"/>
  <c r="AA1796" i="1"/>
  <c r="Y1796" i="1"/>
  <c r="Z1796" i="1"/>
  <c r="AA1792" i="1"/>
  <c r="Y1792" i="1"/>
  <c r="Z1792" i="1"/>
  <c r="AA1788" i="1"/>
  <c r="Y1788" i="1"/>
  <c r="Z1788" i="1"/>
  <c r="AA1784" i="1"/>
  <c r="Y1784" i="1"/>
  <c r="Z1784" i="1"/>
  <c r="Y1776" i="1"/>
  <c r="Z1776" i="1"/>
  <c r="AA1772" i="1"/>
  <c r="Y1772" i="1"/>
  <c r="Z1772" i="1"/>
  <c r="AA1768" i="1"/>
  <c r="Y1768" i="1"/>
  <c r="Z1768" i="1"/>
  <c r="Y1764" i="1"/>
  <c r="Z1764" i="1"/>
  <c r="Y1760" i="1"/>
  <c r="Z1760" i="1"/>
  <c r="Y1756" i="1"/>
  <c r="Z1756" i="1"/>
  <c r="Y1744" i="1"/>
  <c r="Z1744" i="1"/>
  <c r="Y1727" i="1"/>
  <c r="Z1727" i="1"/>
  <c r="Y1711" i="1"/>
  <c r="AA1711" i="1"/>
  <c r="Z1711" i="1"/>
  <c r="Y1695" i="1"/>
  <c r="AA1695" i="1"/>
  <c r="Z1695" i="1"/>
  <c r="Y1679" i="1"/>
  <c r="AA1679" i="1"/>
  <c r="Z1679" i="1"/>
  <c r="Y1663" i="1"/>
  <c r="Z1663" i="1"/>
  <c r="AA1663" i="1"/>
  <c r="Y1648" i="1"/>
  <c r="Z1648" i="1"/>
  <c r="AA1648" i="1"/>
  <c r="Y1632" i="1"/>
  <c r="Z1632" i="1"/>
  <c r="Y1616" i="1"/>
  <c r="Z1616" i="1"/>
  <c r="AA1616" i="1"/>
  <c r="Y1600" i="1"/>
  <c r="Z1600" i="1"/>
  <c r="AA1600" i="1"/>
  <c r="Y1576" i="1"/>
  <c r="Z1576" i="1"/>
  <c r="AA1576" i="1"/>
  <c r="Y1544" i="1"/>
  <c r="Z1544" i="1"/>
  <c r="AA1544" i="1"/>
  <c r="Z1510" i="1"/>
  <c r="Y1510" i="1"/>
  <c r="AA1510" i="1"/>
  <c r="Z1489" i="1"/>
  <c r="Y1489" i="1"/>
  <c r="AA1489" i="1"/>
  <c r="Z1472" i="1"/>
  <c r="Y1472" i="1"/>
  <c r="AA1472" i="1"/>
  <c r="Z1457" i="1"/>
  <c r="Y1457" i="1"/>
  <c r="AA1457" i="1"/>
  <c r="W931" i="1"/>
  <c r="Q931" i="1" s="1"/>
  <c r="W929" i="1"/>
  <c r="Q929" i="1" s="1"/>
  <c r="L929" i="1"/>
  <c r="I929" i="1"/>
  <c r="W928" i="1"/>
  <c r="L928" i="1"/>
  <c r="I928" i="1"/>
  <c r="G922" i="1"/>
  <c r="P922" i="1" s="1"/>
  <c r="Q922" i="1" s="1"/>
  <c r="G921" i="1"/>
  <c r="P921" i="1" s="1"/>
  <c r="Q921" i="1" s="1"/>
  <c r="L920" i="1"/>
  <c r="L921" i="1"/>
  <c r="L922" i="1"/>
  <c r="I922" i="1"/>
  <c r="I921" i="1"/>
  <c r="I920" i="1"/>
  <c r="W919" i="1"/>
  <c r="Q919" i="1" s="1"/>
  <c r="O927" i="1"/>
  <c r="P927" i="1" s="1"/>
  <c r="Q927" i="1" s="1"/>
  <c r="I926" i="1"/>
  <c r="I927" i="1"/>
  <c r="I930" i="1"/>
  <c r="I931" i="1"/>
  <c r="L926" i="1"/>
  <c r="L927" i="1"/>
  <c r="W925" i="1"/>
  <c r="Q925" i="1" s="1"/>
  <c r="W923" i="1"/>
  <c r="Q923" i="1" s="1"/>
  <c r="W917" i="1"/>
  <c r="Q917" i="1" s="1"/>
  <c r="W916" i="1"/>
  <c r="Q916" i="1" s="1"/>
  <c r="W915" i="1"/>
  <c r="Q915" i="1" s="1"/>
  <c r="W913" i="1"/>
  <c r="Q913" i="1" s="1"/>
  <c r="V913" i="1"/>
  <c r="AA913" i="1" s="1"/>
  <c r="I769" i="1"/>
  <c r="L769" i="1"/>
  <c r="L767" i="1"/>
  <c r="I767" i="1"/>
  <c r="G768" i="1"/>
  <c r="P768" i="1" s="1"/>
  <c r="Q768" i="1" s="1"/>
  <c r="L768" i="1"/>
  <c r="I768" i="1"/>
  <c r="L766" i="1"/>
  <c r="I766" i="1"/>
  <c r="G763" i="1"/>
  <c r="P763" i="1" s="1"/>
  <c r="Q763" i="1" s="1"/>
  <c r="L763" i="1"/>
  <c r="I763" i="1"/>
  <c r="L764" i="1"/>
  <c r="I764" i="1"/>
  <c r="G765" i="1"/>
  <c r="P765" i="1" s="1"/>
  <c r="Q765" i="1" s="1"/>
  <c r="L765" i="1"/>
  <c r="I765" i="1"/>
  <c r="L762" i="1"/>
  <c r="I762" i="1"/>
  <c r="I761" i="1"/>
  <c r="L761" i="1"/>
  <c r="G760" i="1"/>
  <c r="P760" i="1" s="1"/>
  <c r="Q760" i="1" s="1"/>
  <c r="L760" i="1"/>
  <c r="I760" i="1"/>
  <c r="L754" i="1"/>
  <c r="I754" i="1"/>
  <c r="G755" i="1"/>
  <c r="P755" i="1" s="1"/>
  <c r="Q755" i="1" s="1"/>
  <c r="L755" i="1"/>
  <c r="I755" i="1"/>
  <c r="G759" i="1"/>
  <c r="P759" i="1" s="1"/>
  <c r="Q759" i="1" s="1"/>
  <c r="L759" i="1"/>
  <c r="I759" i="1"/>
  <c r="G758" i="1"/>
  <c r="P758" i="1" s="1"/>
  <c r="Q758" i="1" s="1"/>
  <c r="L758" i="1"/>
  <c r="I758" i="1"/>
  <c r="V752" i="1"/>
  <c r="X752" i="1" s="1"/>
  <c r="G757" i="1"/>
  <c r="P757" i="1" s="1"/>
  <c r="Q757" i="1" s="1"/>
  <c r="G756" i="1"/>
  <c r="P756" i="1" s="1"/>
  <c r="Q756" i="1" s="1"/>
  <c r="L756" i="1"/>
  <c r="I756" i="1"/>
  <c r="L757" i="1"/>
  <c r="I757" i="1"/>
  <c r="G753" i="1"/>
  <c r="P753" i="1" s="1"/>
  <c r="Q753" i="1" s="1"/>
  <c r="L753" i="1"/>
  <c r="L752" i="1"/>
  <c r="I753" i="1"/>
  <c r="I752" i="1"/>
  <c r="L751" i="1"/>
  <c r="I751" i="1"/>
  <c r="V751" i="1"/>
  <c r="X751" i="1" s="1"/>
  <c r="AE751" i="1" s="1"/>
  <c r="G750" i="1"/>
  <c r="P750" i="1" s="1"/>
  <c r="Q750" i="1" s="1"/>
  <c r="L750" i="1"/>
  <c r="I750" i="1"/>
  <c r="G747" i="1"/>
  <c r="P747" i="1" s="1"/>
  <c r="Q747" i="1" s="1"/>
  <c r="V747" i="1"/>
  <c r="X747" i="1" s="1"/>
  <c r="L747" i="1"/>
  <c r="I747" i="1"/>
  <c r="L748" i="1"/>
  <c r="I748" i="1"/>
  <c r="L749" i="1"/>
  <c r="I749" i="1"/>
  <c r="G746" i="1"/>
  <c r="P746" i="1" s="1"/>
  <c r="Q746" i="1" s="1"/>
  <c r="L746" i="1"/>
  <c r="I746" i="1"/>
  <c r="G745" i="1"/>
  <c r="P745" i="1" s="1"/>
  <c r="Q745" i="1" s="1"/>
  <c r="L745" i="1"/>
  <c r="I745" i="1"/>
  <c r="G744" i="1"/>
  <c r="P744" i="1" s="1"/>
  <c r="Q744" i="1" s="1"/>
  <c r="I744" i="1"/>
  <c r="L744" i="1"/>
  <c r="I743" i="1"/>
  <c r="L743" i="1"/>
  <c r="L665" i="1"/>
  <c r="L663" i="1"/>
  <c r="I663" i="1"/>
  <c r="L664" i="1"/>
  <c r="L662" i="1"/>
  <c r="L661" i="1"/>
  <c r="G661" i="1"/>
  <c r="P661" i="1" s="1"/>
  <c r="Q661" i="1" s="1"/>
  <c r="I661" i="1"/>
  <c r="I662" i="1"/>
  <c r="I664" i="1"/>
  <c r="I665" i="1"/>
  <c r="I707" i="1"/>
  <c r="I708" i="1"/>
  <c r="L630" i="1"/>
  <c r="L632" i="1"/>
  <c r="L631" i="1"/>
  <c r="I632" i="1"/>
  <c r="L628" i="1"/>
  <c r="L629" i="1"/>
  <c r="L627" i="1"/>
  <c r="L626" i="1"/>
  <c r="I626" i="1"/>
  <c r="V625" i="1"/>
  <c r="L625" i="1"/>
  <c r="I629" i="1"/>
  <c r="I628" i="1"/>
  <c r="I627" i="1"/>
  <c r="I631" i="1"/>
  <c r="I630" i="1"/>
  <c r="I625" i="1"/>
  <c r="L624" i="1"/>
  <c r="I624" i="1"/>
  <c r="I709" i="1"/>
  <c r="I623" i="1"/>
  <c r="L623" i="1"/>
  <c r="X928" i="1" l="1"/>
  <c r="Q928" i="1"/>
  <c r="AB943" i="1"/>
  <c r="AD1147" i="1"/>
  <c r="AE1147" i="1"/>
  <c r="AC1147" i="1"/>
  <c r="AB1147" i="1"/>
  <c r="AD1143" i="1"/>
  <c r="AE1143" i="1"/>
  <c r="AC1143" i="1"/>
  <c r="AB1143" i="1"/>
  <c r="AD1141" i="1"/>
  <c r="AE1141" i="1"/>
  <c r="AC1141" i="1"/>
  <c r="AB1141" i="1"/>
  <c r="AD1142" i="1"/>
  <c r="AC1142" i="1"/>
  <c r="AE1142" i="1"/>
  <c r="AB1142" i="1"/>
  <c r="AE943" i="1"/>
  <c r="AD943" i="1"/>
  <c r="AC1003" i="1"/>
  <c r="AE3281" i="1"/>
  <c r="AE977" i="1"/>
  <c r="AD3281" i="1"/>
  <c r="AD977" i="1"/>
  <c r="AC3281" i="1"/>
  <c r="AC977" i="1"/>
  <c r="AE3177" i="1"/>
  <c r="AC3177" i="1"/>
  <c r="AE3230" i="1"/>
  <c r="AD3230" i="1"/>
  <c r="AD1003" i="1"/>
  <c r="AE1003" i="1"/>
  <c r="AE3144" i="1"/>
  <c r="AD3144" i="1"/>
  <c r="AC3144" i="1"/>
  <c r="AB1424" i="1"/>
  <c r="AD1424" i="1"/>
  <c r="AE1424" i="1"/>
  <c r="AC1424" i="1"/>
  <c r="AD1505" i="1"/>
  <c r="AE1505" i="1"/>
  <c r="AB1505" i="1"/>
  <c r="AC1505" i="1"/>
  <c r="AC1683" i="1"/>
  <c r="AD1683" i="1"/>
  <c r="AE1683" i="1"/>
  <c r="AB1683" i="1"/>
  <c r="AB3165" i="1"/>
  <c r="AC3165" i="1"/>
  <c r="AD3165" i="1"/>
  <c r="AE3165" i="1"/>
  <c r="AB3483" i="1"/>
  <c r="AC3483" i="1"/>
  <c r="AE3483" i="1"/>
  <c r="AD3483" i="1"/>
  <c r="AC1689" i="1"/>
  <c r="AE1689" i="1"/>
  <c r="AB1689" i="1"/>
  <c r="AD1689" i="1"/>
  <c r="AC1237" i="1"/>
  <c r="AD1237" i="1"/>
  <c r="AE1237" i="1"/>
  <c r="AB1237" i="1"/>
  <c r="AB3183" i="1"/>
  <c r="AC3183" i="1"/>
  <c r="AD3183" i="1"/>
  <c r="AE3183" i="1"/>
  <c r="X915" i="1"/>
  <c r="AC932" i="1"/>
  <c r="AD932" i="1"/>
  <c r="AE932" i="1"/>
  <c r="AB932" i="1"/>
  <c r="AD1472" i="1"/>
  <c r="AE1472" i="1"/>
  <c r="AB1472" i="1"/>
  <c r="AC1472" i="1"/>
  <c r="AD1510" i="1"/>
  <c r="AB1510" i="1"/>
  <c r="AC1510" i="1"/>
  <c r="AE1510" i="1"/>
  <c r="AC1576" i="1"/>
  <c r="AD1576" i="1"/>
  <c r="AE1576" i="1"/>
  <c r="AB1576" i="1"/>
  <c r="AC1616" i="1"/>
  <c r="AD1616" i="1"/>
  <c r="AE1616" i="1"/>
  <c r="AB1616" i="1"/>
  <c r="AC1679" i="1"/>
  <c r="AD1679" i="1"/>
  <c r="AE1679" i="1"/>
  <c r="AB1679" i="1"/>
  <c r="AC1711" i="1"/>
  <c r="AE1711" i="1"/>
  <c r="AB1711" i="1"/>
  <c r="AD1711" i="1"/>
  <c r="AC1744" i="1"/>
  <c r="AB1744" i="1"/>
  <c r="AD1744" i="1"/>
  <c r="AC1611" i="1"/>
  <c r="AD1611" i="1"/>
  <c r="AE1611" i="1"/>
  <c r="AB1611" i="1"/>
  <c r="AC1745" i="1"/>
  <c r="AB1745" i="1"/>
  <c r="AD1745" i="1"/>
  <c r="AB1396" i="1"/>
  <c r="AD1396" i="1"/>
  <c r="AE1396" i="1"/>
  <c r="AC1396" i="1"/>
  <c r="AB1447" i="1"/>
  <c r="AD1447" i="1"/>
  <c r="AE1447" i="1"/>
  <c r="AC1447" i="1"/>
  <c r="AD1480" i="1"/>
  <c r="AE1480" i="1"/>
  <c r="AB1480" i="1"/>
  <c r="AC1480" i="1"/>
  <c r="AC1557" i="1"/>
  <c r="AD1557" i="1"/>
  <c r="AE1557" i="1"/>
  <c r="AB1557" i="1"/>
  <c r="AC1608" i="1"/>
  <c r="AD1608" i="1"/>
  <c r="AE1608" i="1"/>
  <c r="AB1608" i="1"/>
  <c r="AC1640" i="1"/>
  <c r="AD1640" i="1"/>
  <c r="AE1640" i="1"/>
  <c r="AB1640" i="1"/>
  <c r="AC1687" i="1"/>
  <c r="AD1687" i="1"/>
  <c r="AB1687" i="1"/>
  <c r="AC1719" i="1"/>
  <c r="AE1719" i="1"/>
  <c r="AB1719" i="1"/>
  <c r="AD1719" i="1"/>
  <c r="AB1753" i="1"/>
  <c r="AC1753" i="1"/>
  <c r="AD1753" i="1"/>
  <c r="AC2712" i="1"/>
  <c r="AB2712" i="1"/>
  <c r="AD2712" i="1"/>
  <c r="AC3028" i="1"/>
  <c r="AD3028" i="1"/>
  <c r="AE3028" i="1"/>
  <c r="AB3028" i="1"/>
  <c r="AC3078" i="1"/>
  <c r="AD3078" i="1"/>
  <c r="AE3078" i="1"/>
  <c r="AB3078" i="1"/>
  <c r="AC3092" i="1"/>
  <c r="AD3092" i="1"/>
  <c r="AE3092" i="1"/>
  <c r="AB3092" i="1"/>
  <c r="AD3124" i="1"/>
  <c r="AE3124" i="1"/>
  <c r="AB3124" i="1"/>
  <c r="AC3124" i="1"/>
  <c r="AB3370" i="1"/>
  <c r="AD3370" i="1"/>
  <c r="AE3370" i="1"/>
  <c r="AC3370" i="1"/>
  <c r="AB3455" i="1"/>
  <c r="AC3455" i="1"/>
  <c r="AE3455" i="1"/>
  <c r="AD3455" i="1"/>
  <c r="AB3487" i="1"/>
  <c r="AC3487" i="1"/>
  <c r="AE3487" i="1"/>
  <c r="AD3487" i="1"/>
  <c r="AB3527" i="1"/>
  <c r="AC3527" i="1"/>
  <c r="AE3527" i="1"/>
  <c r="AD3527" i="1"/>
  <c r="AB3559" i="1"/>
  <c r="AC3559" i="1"/>
  <c r="AE3559" i="1"/>
  <c r="AD3559" i="1"/>
  <c r="AC864" i="1"/>
  <c r="AB864" i="1"/>
  <c r="AD864" i="1"/>
  <c r="AE864" i="1"/>
  <c r="AC1274" i="1"/>
  <c r="AD1274" i="1"/>
  <c r="AE1274" i="1"/>
  <c r="AB1274" i="1"/>
  <c r="AD1523" i="1"/>
  <c r="AB1523" i="1"/>
  <c r="AC1523" i="1"/>
  <c r="AE1523" i="1"/>
  <c r="AD2807" i="1"/>
  <c r="AE2807" i="1"/>
  <c r="AB2807" i="1"/>
  <c r="AC1547" i="1"/>
  <c r="AD1547" i="1"/>
  <c r="AE1547" i="1"/>
  <c r="AB1547" i="1"/>
  <c r="AC1738" i="1"/>
  <c r="AB1738" i="1"/>
  <c r="AD1738" i="1"/>
  <c r="AB3207" i="1"/>
  <c r="AC3207" i="1"/>
  <c r="AD3207" i="1"/>
  <c r="AE3207" i="1"/>
  <c r="AE724" i="1"/>
  <c r="AB724" i="1"/>
  <c r="AC724" i="1"/>
  <c r="AD724" i="1"/>
  <c r="AB1071" i="1"/>
  <c r="AC1071" i="1"/>
  <c r="AE1071" i="1"/>
  <c r="AD1071" i="1"/>
  <c r="AC1159" i="1"/>
  <c r="AD1159" i="1"/>
  <c r="AE1159" i="1"/>
  <c r="AB1159" i="1"/>
  <c r="AB1062" i="1"/>
  <c r="AC1062" i="1"/>
  <c r="AE1062" i="1"/>
  <c r="AD1062" i="1"/>
  <c r="AB3166" i="1"/>
  <c r="AC3166" i="1"/>
  <c r="AD3166" i="1"/>
  <c r="AE3166" i="1"/>
  <c r="AA752" i="1"/>
  <c r="AC1286" i="1"/>
  <c r="AD1286" i="1"/>
  <c r="AB1286" i="1"/>
  <c r="AE1286" i="1"/>
  <c r="AD1492" i="1"/>
  <c r="AE1492" i="1"/>
  <c r="AC1492" i="1"/>
  <c r="AB1492" i="1"/>
  <c r="AC1678" i="1"/>
  <c r="AD1678" i="1"/>
  <c r="AB1678" i="1"/>
  <c r="AE2775" i="1"/>
  <c r="AB2775" i="1"/>
  <c r="AC2775" i="1"/>
  <c r="AD2775" i="1"/>
  <c r="AB3227" i="1"/>
  <c r="AC3227" i="1"/>
  <c r="AD3227" i="1"/>
  <c r="AE3227" i="1"/>
  <c r="AE1020" i="1"/>
  <c r="AC1020" i="1"/>
  <c r="AB1020" i="1"/>
  <c r="AD1020" i="1"/>
  <c r="AC1316" i="1"/>
  <c r="AD1316" i="1"/>
  <c r="AB1316" i="1"/>
  <c r="AE1316" i="1"/>
  <c r="AB3319" i="1"/>
  <c r="AD3319" i="1"/>
  <c r="AC3319" i="1"/>
  <c r="AB1041" i="1"/>
  <c r="AC1041" i="1"/>
  <c r="AE1041" i="1"/>
  <c r="AD1041" i="1"/>
  <c r="AC1568" i="1"/>
  <c r="AD1568" i="1"/>
  <c r="AE1568" i="1"/>
  <c r="AB1568" i="1"/>
  <c r="AC1672" i="1"/>
  <c r="AD1672" i="1"/>
  <c r="AE1672" i="1"/>
  <c r="AB1672" i="1"/>
  <c r="AC3063" i="1"/>
  <c r="AD3063" i="1"/>
  <c r="AE3063" i="1"/>
  <c r="AB3063" i="1"/>
  <c r="AB951" i="1"/>
  <c r="AC951" i="1"/>
  <c r="AD951" i="1"/>
  <c r="AE951" i="1"/>
  <c r="AC3003" i="1"/>
  <c r="AD3003" i="1"/>
  <c r="AE3003" i="1"/>
  <c r="AB3003" i="1"/>
  <c r="AD664" i="1"/>
  <c r="AE664" i="1"/>
  <c r="AB664" i="1"/>
  <c r="AC664" i="1"/>
  <c r="AC1241" i="1"/>
  <c r="AD1241" i="1"/>
  <c r="AE1241" i="1"/>
  <c r="AB1241" i="1"/>
  <c r="AC1614" i="1"/>
  <c r="AD1614" i="1"/>
  <c r="AE1614" i="1"/>
  <c r="AB1614" i="1"/>
  <c r="AB1425" i="1"/>
  <c r="AD1425" i="1"/>
  <c r="AE1425" i="1"/>
  <c r="AC1425" i="1"/>
  <c r="AC1746" i="1"/>
  <c r="AB1746" i="1"/>
  <c r="AD1746" i="1"/>
  <c r="AB1446" i="1"/>
  <c r="AD1446" i="1"/>
  <c r="AE1446" i="1"/>
  <c r="AC1446" i="1"/>
  <c r="AB1443" i="1"/>
  <c r="AD1443" i="1"/>
  <c r="AE1443" i="1"/>
  <c r="AC1443" i="1"/>
  <c r="AB3229" i="1"/>
  <c r="AC3229" i="1"/>
  <c r="AD3229" i="1"/>
  <c r="AE3229" i="1"/>
  <c r="AB3523" i="1"/>
  <c r="AC3523" i="1"/>
  <c r="AE3523" i="1"/>
  <c r="AD3523" i="1"/>
  <c r="AB965" i="1"/>
  <c r="AC965" i="1"/>
  <c r="AD965" i="1"/>
  <c r="AE965" i="1"/>
  <c r="AC3047" i="1"/>
  <c r="AD3047" i="1"/>
  <c r="AB3047" i="1"/>
  <c r="AB1151" i="1"/>
  <c r="AC1151" i="1"/>
  <c r="AD1151" i="1"/>
  <c r="AE1151" i="1"/>
  <c r="AC1716" i="1"/>
  <c r="AD1716" i="1"/>
  <c r="AB1716" i="1"/>
  <c r="AB1080" i="1"/>
  <c r="AC1080" i="1"/>
  <c r="AE1080" i="1"/>
  <c r="AD1080" i="1"/>
  <c r="AC2863" i="1"/>
  <c r="AD2863" i="1"/>
  <c r="AE2863" i="1"/>
  <c r="AB2863" i="1"/>
  <c r="AC1726" i="1"/>
  <c r="AB1726" i="1"/>
  <c r="AD1726" i="1"/>
  <c r="AD1450" i="1"/>
  <c r="AE1450" i="1"/>
  <c r="AC1450" i="1"/>
  <c r="AB1450" i="1"/>
  <c r="AD1463" i="1"/>
  <c r="AE1463" i="1"/>
  <c r="AB1463" i="1"/>
  <c r="AC1463" i="1"/>
  <c r="AC1615" i="1"/>
  <c r="AD1615" i="1"/>
  <c r="AE1615" i="1"/>
  <c r="AB1615" i="1"/>
  <c r="AC1651" i="1"/>
  <c r="AD1651" i="1"/>
  <c r="AE1651" i="1"/>
  <c r="AB1651" i="1"/>
  <c r="AC3051" i="1"/>
  <c r="AD3051" i="1"/>
  <c r="AE3051" i="1"/>
  <c r="AB3051" i="1"/>
  <c r="AC3083" i="1"/>
  <c r="AD3083" i="1"/>
  <c r="AE3083" i="1"/>
  <c r="AB3083" i="1"/>
  <c r="AB3211" i="1"/>
  <c r="AC3211" i="1"/>
  <c r="AD3211" i="1"/>
  <c r="AE3211" i="1"/>
  <c r="AB3374" i="1"/>
  <c r="AD3374" i="1"/>
  <c r="AE3374" i="1"/>
  <c r="AC3374" i="1"/>
  <c r="AB3459" i="1"/>
  <c r="AC3459" i="1"/>
  <c r="AE3459" i="1"/>
  <c r="AD3459" i="1"/>
  <c r="AB3491" i="1"/>
  <c r="AC3491" i="1"/>
  <c r="AE3491" i="1"/>
  <c r="AD3491" i="1"/>
  <c r="AB3531" i="1"/>
  <c r="AC3531" i="1"/>
  <c r="AE3531" i="1"/>
  <c r="AD3531" i="1"/>
  <c r="AB3563" i="1"/>
  <c r="AC3563" i="1"/>
  <c r="AE3563" i="1"/>
  <c r="AD3563" i="1"/>
  <c r="AC794" i="1"/>
  <c r="AB794" i="1"/>
  <c r="AD794" i="1"/>
  <c r="AE794" i="1"/>
  <c r="AB1068" i="1"/>
  <c r="AC1068" i="1"/>
  <c r="AE1068" i="1"/>
  <c r="AD1068" i="1"/>
  <c r="AC1191" i="1"/>
  <c r="AD1191" i="1"/>
  <c r="AE1191" i="1"/>
  <c r="AB1191" i="1"/>
  <c r="AD1453" i="1"/>
  <c r="AE1453" i="1"/>
  <c r="AB1453" i="1"/>
  <c r="AC1453" i="1"/>
  <c r="AD1504" i="1"/>
  <c r="AB1504" i="1"/>
  <c r="AC1504" i="1"/>
  <c r="AE1504" i="1"/>
  <c r="AC1559" i="1"/>
  <c r="AD1559" i="1"/>
  <c r="AE1559" i="1"/>
  <c r="AB1559" i="1"/>
  <c r="AC1637" i="1"/>
  <c r="AD1637" i="1"/>
  <c r="AE1637" i="1"/>
  <c r="AB1637" i="1"/>
  <c r="AC1748" i="1"/>
  <c r="AB1748" i="1"/>
  <c r="AD1748" i="1"/>
  <c r="AC3015" i="1"/>
  <c r="AD3015" i="1"/>
  <c r="AE3015" i="1"/>
  <c r="AB3015" i="1"/>
  <c r="AB3335" i="1"/>
  <c r="AD3335" i="1"/>
  <c r="AE3335" i="1"/>
  <c r="AC3335" i="1"/>
  <c r="AB967" i="1"/>
  <c r="AC967" i="1"/>
  <c r="AD967" i="1"/>
  <c r="AE967" i="1"/>
  <c r="AB1084" i="1"/>
  <c r="AC1084" i="1"/>
  <c r="AE1084" i="1"/>
  <c r="AD1084" i="1"/>
  <c r="AC2819" i="1"/>
  <c r="AD2819" i="1"/>
  <c r="AE2819" i="1"/>
  <c r="AB2819" i="1"/>
  <c r="AB3267" i="1"/>
  <c r="AC3267" i="1"/>
  <c r="AD3267" i="1"/>
  <c r="AE3267" i="1"/>
  <c r="AC1250" i="1"/>
  <c r="AD1250" i="1"/>
  <c r="AE1250" i="1"/>
  <c r="AB1250" i="1"/>
  <c r="AC1219" i="1"/>
  <c r="AD1219" i="1"/>
  <c r="AE1219" i="1"/>
  <c r="AB1219" i="1"/>
  <c r="AC1271" i="1"/>
  <c r="AD1271" i="1"/>
  <c r="AE1271" i="1"/>
  <c r="AB1271" i="1"/>
  <c r="AB994" i="1"/>
  <c r="AC994" i="1"/>
  <c r="AD994" i="1"/>
  <c r="AE994" i="1"/>
  <c r="AC812" i="1"/>
  <c r="AD812" i="1"/>
  <c r="AE812" i="1"/>
  <c r="AB812" i="1"/>
  <c r="AB1422" i="1"/>
  <c r="AD1422" i="1"/>
  <c r="AE1422" i="1"/>
  <c r="AC1422" i="1"/>
  <c r="AD1477" i="1"/>
  <c r="AE1477" i="1"/>
  <c r="AB1477" i="1"/>
  <c r="AC1477" i="1"/>
  <c r="AC1552" i="1"/>
  <c r="AD1552" i="1"/>
  <c r="AE1552" i="1"/>
  <c r="AB1552" i="1"/>
  <c r="AC1594" i="1"/>
  <c r="AD1594" i="1"/>
  <c r="AE1594" i="1"/>
  <c r="AB1594" i="1"/>
  <c r="AC1693" i="1"/>
  <c r="AE1693" i="1"/>
  <c r="AB1693" i="1"/>
  <c r="AD1693" i="1"/>
  <c r="AC1603" i="1"/>
  <c r="AD1603" i="1"/>
  <c r="AE1603" i="1"/>
  <c r="AB1603" i="1"/>
  <c r="AC1694" i="1"/>
  <c r="AD1694" i="1"/>
  <c r="AB1694" i="1"/>
  <c r="AB1075" i="1"/>
  <c r="AC1075" i="1"/>
  <c r="AE1075" i="1"/>
  <c r="AD1075" i="1"/>
  <c r="AC933" i="1"/>
  <c r="AE933" i="1"/>
  <c r="AB933" i="1"/>
  <c r="AD933" i="1"/>
  <c r="AE2763" i="1"/>
  <c r="AB2763" i="1"/>
  <c r="AC2763" i="1"/>
  <c r="AD2763" i="1"/>
  <c r="AD3151" i="1"/>
  <c r="AE3151" i="1"/>
  <c r="AB3151" i="1"/>
  <c r="AC3151" i="1"/>
  <c r="AC1247" i="1"/>
  <c r="AD1247" i="1"/>
  <c r="AE1247" i="1"/>
  <c r="AB1247" i="1"/>
  <c r="AB1442" i="1"/>
  <c r="AD1442" i="1"/>
  <c r="AE1442" i="1"/>
  <c r="AC1442" i="1"/>
  <c r="AD1488" i="1"/>
  <c r="AE1488" i="1"/>
  <c r="AB1488" i="1"/>
  <c r="AC1488" i="1"/>
  <c r="AC1573" i="1"/>
  <c r="AD1573" i="1"/>
  <c r="AE1573" i="1"/>
  <c r="AB1573" i="1"/>
  <c r="AB1754" i="1"/>
  <c r="AC1754" i="1"/>
  <c r="AD1754" i="1"/>
  <c r="AC2947" i="1"/>
  <c r="AD2947" i="1"/>
  <c r="AE2947" i="1"/>
  <c r="AB2947" i="1"/>
  <c r="AC3091" i="1"/>
  <c r="AD3091" i="1"/>
  <c r="AE3091" i="1"/>
  <c r="AB3091" i="1"/>
  <c r="AB3347" i="1"/>
  <c r="AD3347" i="1"/>
  <c r="AE3347" i="1"/>
  <c r="AC3347" i="1"/>
  <c r="AC811" i="1"/>
  <c r="AB811" i="1"/>
  <c r="AE811" i="1"/>
  <c r="AD811" i="1"/>
  <c r="AB966" i="1"/>
  <c r="AC966" i="1"/>
  <c r="AD966" i="1"/>
  <c r="AE966" i="1"/>
  <c r="AC1612" i="1"/>
  <c r="AD1612" i="1"/>
  <c r="AE1612" i="1"/>
  <c r="AB1612" i="1"/>
  <c r="AC1691" i="1"/>
  <c r="AE1691" i="1"/>
  <c r="AB1691" i="1"/>
  <c r="AD1691" i="1"/>
  <c r="AC1604" i="1"/>
  <c r="AD1604" i="1"/>
  <c r="AE1604" i="1"/>
  <c r="AB1604" i="1"/>
  <c r="AB3555" i="1"/>
  <c r="AC3555" i="1"/>
  <c r="AE3555" i="1"/>
  <c r="AD3555" i="1"/>
  <c r="AD665" i="1"/>
  <c r="AE665" i="1"/>
  <c r="AB665" i="1"/>
  <c r="AC665" i="1"/>
  <c r="AC836" i="1"/>
  <c r="AD836" i="1"/>
  <c r="AB836" i="1"/>
  <c r="AE836" i="1"/>
  <c r="AB1749" i="1"/>
  <c r="AC1749" i="1"/>
  <c r="AD1749" i="1"/>
  <c r="AB3279" i="1"/>
  <c r="AC3279" i="1"/>
  <c r="AD3279" i="1"/>
  <c r="AE3279" i="1"/>
  <c r="AB987" i="1"/>
  <c r="AC987" i="1"/>
  <c r="AD987" i="1"/>
  <c r="AB3255" i="1"/>
  <c r="AC3255" i="1"/>
  <c r="AD3255" i="1"/>
  <c r="AE3255" i="1"/>
  <c r="Z768" i="1"/>
  <c r="Y768" i="1"/>
  <c r="AA768" i="1"/>
  <c r="X916" i="1"/>
  <c r="Z744" i="1"/>
  <c r="Y744" i="1"/>
  <c r="AA744" i="1"/>
  <c r="X917" i="1"/>
  <c r="AB944" i="1"/>
  <c r="AC944" i="1"/>
  <c r="AD944" i="1"/>
  <c r="AE944" i="1"/>
  <c r="AC1627" i="1"/>
  <c r="AD1627" i="1"/>
  <c r="AE1627" i="1"/>
  <c r="AB1627" i="1"/>
  <c r="AB1444" i="1"/>
  <c r="AD1444" i="1"/>
  <c r="AE1444" i="1"/>
  <c r="AC1444" i="1"/>
  <c r="AD1524" i="1"/>
  <c r="AB1524" i="1"/>
  <c r="AC1524" i="1"/>
  <c r="AE1524" i="1"/>
  <c r="AB3179" i="1"/>
  <c r="AC3179" i="1"/>
  <c r="AE3179" i="1"/>
  <c r="AB3270" i="1"/>
  <c r="AC3270" i="1"/>
  <c r="AD3270" i="1"/>
  <c r="AE3270" i="1"/>
  <c r="AB3316" i="1"/>
  <c r="AC3316" i="1"/>
  <c r="AD3316" i="1"/>
  <c r="AE3316" i="1"/>
  <c r="AB3378" i="1"/>
  <c r="AD3378" i="1"/>
  <c r="AE3378" i="1"/>
  <c r="AC3378" i="1"/>
  <c r="AB3419" i="1"/>
  <c r="AD3419" i="1"/>
  <c r="AE3419" i="1"/>
  <c r="AC3419" i="1"/>
  <c r="AB3463" i="1"/>
  <c r="AC3463" i="1"/>
  <c r="AE3463" i="1"/>
  <c r="AD3463" i="1"/>
  <c r="AB3495" i="1"/>
  <c r="AC3495" i="1"/>
  <c r="AE3495" i="1"/>
  <c r="AD3495" i="1"/>
  <c r="AB3535" i="1"/>
  <c r="AC3535" i="1"/>
  <c r="AE3535" i="1"/>
  <c r="AD3535" i="1"/>
  <c r="AB3567" i="1"/>
  <c r="AC3567" i="1"/>
  <c r="AE3567" i="1"/>
  <c r="AD3567" i="1"/>
  <c r="AE741" i="1"/>
  <c r="AB741" i="1"/>
  <c r="AC741" i="1"/>
  <c r="AD741" i="1"/>
  <c r="AC924" i="1"/>
  <c r="AD924" i="1"/>
  <c r="AE924" i="1"/>
  <c r="AB924" i="1"/>
  <c r="AB988" i="1"/>
  <c r="AC988" i="1"/>
  <c r="AD988" i="1"/>
  <c r="AC1163" i="1"/>
  <c r="AD1163" i="1"/>
  <c r="AE1163" i="1"/>
  <c r="AB1163" i="1"/>
  <c r="AD3143" i="1"/>
  <c r="AE3143" i="1"/>
  <c r="AB3143" i="1"/>
  <c r="AC3143" i="1"/>
  <c r="AB3239" i="1"/>
  <c r="AC3239" i="1"/>
  <c r="AD3239" i="1"/>
  <c r="AE3239" i="1"/>
  <c r="AE1028" i="1"/>
  <c r="AC1028" i="1"/>
  <c r="AD1028" i="1"/>
  <c r="AB1028" i="1"/>
  <c r="AB1049" i="1"/>
  <c r="AC1049" i="1"/>
  <c r="AE1049" i="1"/>
  <c r="AD1049" i="1"/>
  <c r="AC1170" i="1"/>
  <c r="AD1170" i="1"/>
  <c r="AE1170" i="1"/>
  <c r="AB1170" i="1"/>
  <c r="AC1323" i="1"/>
  <c r="AD1323" i="1"/>
  <c r="AB1323" i="1"/>
  <c r="AE1323" i="1"/>
  <c r="AC1599" i="1"/>
  <c r="AD1599" i="1"/>
  <c r="AE1599" i="1"/>
  <c r="AB1599" i="1"/>
  <c r="AD1455" i="1"/>
  <c r="AE1455" i="1"/>
  <c r="AB1455" i="1"/>
  <c r="AC1455" i="1"/>
  <c r="AC1631" i="1"/>
  <c r="AD1631" i="1"/>
  <c r="AE1631" i="1"/>
  <c r="AB1631" i="1"/>
  <c r="AB3171" i="1"/>
  <c r="AC3171" i="1"/>
  <c r="AD3171" i="1"/>
  <c r="AE3171" i="1"/>
  <c r="AB3299" i="1"/>
  <c r="AC3299" i="1"/>
  <c r="AD3299" i="1"/>
  <c r="AE3299" i="1"/>
  <c r="AB3395" i="1"/>
  <c r="AD3395" i="1"/>
  <c r="AE3395" i="1"/>
  <c r="AC3395" i="1"/>
  <c r="AC844" i="1"/>
  <c r="AD844" i="1"/>
  <c r="AB844" i="1"/>
  <c r="AE844" i="1"/>
  <c r="AB1050" i="1"/>
  <c r="AC1050" i="1"/>
  <c r="AE1050" i="1"/>
  <c r="AD1050" i="1"/>
  <c r="AC1199" i="1"/>
  <c r="AD1199" i="1"/>
  <c r="AE1199" i="1"/>
  <c r="AB1199" i="1"/>
  <c r="AC934" i="1"/>
  <c r="AB934" i="1"/>
  <c r="AD934" i="1"/>
  <c r="AE934" i="1"/>
  <c r="AC868" i="1"/>
  <c r="AB868" i="1"/>
  <c r="AD868" i="1"/>
  <c r="AE868" i="1"/>
  <c r="AE740" i="1"/>
  <c r="AB740" i="1"/>
  <c r="AC740" i="1"/>
  <c r="AD740" i="1"/>
  <c r="AC3071" i="1"/>
  <c r="AD3071" i="1"/>
  <c r="AE3071" i="1"/>
  <c r="AB3071" i="1"/>
  <c r="AB3167" i="1"/>
  <c r="AC3167" i="1"/>
  <c r="AD3167" i="1"/>
  <c r="AE3167" i="1"/>
  <c r="AC1725" i="1"/>
  <c r="AB1725" i="1"/>
  <c r="AD1725" i="1"/>
  <c r="AD716" i="1"/>
  <c r="AE716" i="1"/>
  <c r="AB716" i="1"/>
  <c r="AC716" i="1"/>
  <c r="AB828" i="1"/>
  <c r="AD828" i="1"/>
  <c r="AE828" i="1"/>
  <c r="AC828" i="1"/>
  <c r="AC1264" i="1"/>
  <c r="AD1264" i="1"/>
  <c r="AE1264" i="1"/>
  <c r="AB1264" i="1"/>
  <c r="AD3159" i="1"/>
  <c r="AB3159" i="1"/>
  <c r="AC3159" i="1"/>
  <c r="AB3287" i="1"/>
  <c r="AC3287" i="1"/>
  <c r="AD3287" i="1"/>
  <c r="AE3287" i="1"/>
  <c r="AB1418" i="1"/>
  <c r="AD1418" i="1"/>
  <c r="AE1418" i="1"/>
  <c r="AC1418" i="1"/>
  <c r="AD1449" i="1"/>
  <c r="AE1449" i="1"/>
  <c r="AB1449" i="1"/>
  <c r="AC1449" i="1"/>
  <c r="AD1465" i="1"/>
  <c r="AE1465" i="1"/>
  <c r="AB1465" i="1"/>
  <c r="AC1465" i="1"/>
  <c r="AC1598" i="1"/>
  <c r="AD1598" i="1"/>
  <c r="AB1598" i="1"/>
  <c r="AC1688" i="1"/>
  <c r="AD1688" i="1"/>
  <c r="AE1688" i="1"/>
  <c r="AB1688" i="1"/>
  <c r="AE2767" i="1"/>
  <c r="AB2767" i="1"/>
  <c r="AC2767" i="1"/>
  <c r="AC2831" i="1"/>
  <c r="AD2831" i="1"/>
  <c r="AE2831" i="1"/>
  <c r="AB2831" i="1"/>
  <c r="AD3155" i="1"/>
  <c r="AE3155" i="1"/>
  <c r="AC3155" i="1"/>
  <c r="AB3155" i="1"/>
  <c r="AE769" i="1"/>
  <c r="AC769" i="1"/>
  <c r="AD769" i="1"/>
  <c r="AB769" i="1"/>
  <c r="AB1061" i="1"/>
  <c r="AC1061" i="1"/>
  <c r="AE1061" i="1"/>
  <c r="AD1061" i="1"/>
  <c r="AC1644" i="1"/>
  <c r="AD1644" i="1"/>
  <c r="AE1644" i="1"/>
  <c r="AB1644" i="1"/>
  <c r="AC1670" i="1"/>
  <c r="AD1670" i="1"/>
  <c r="AE1670" i="1"/>
  <c r="AB1670" i="1"/>
  <c r="AC1715" i="1"/>
  <c r="AB1715" i="1"/>
  <c r="AD1715" i="1"/>
  <c r="AC2875" i="1"/>
  <c r="AD2875" i="1"/>
  <c r="AE2875" i="1"/>
  <c r="AB2875" i="1"/>
  <c r="AB3447" i="1"/>
  <c r="AC3447" i="1"/>
  <c r="AE3447" i="1"/>
  <c r="AD3447" i="1"/>
  <c r="AC1283" i="1"/>
  <c r="AD1283" i="1"/>
  <c r="AB1283" i="1"/>
  <c r="AE1283" i="1"/>
  <c r="Y747" i="1"/>
  <c r="Z747" i="1"/>
  <c r="AA747" i="1"/>
  <c r="X929" i="1"/>
  <c r="Y753" i="1"/>
  <c r="AA753" i="1"/>
  <c r="Z753" i="1"/>
  <c r="X923" i="1"/>
  <c r="Y927" i="1"/>
  <c r="AA927" i="1"/>
  <c r="Z927" i="1"/>
  <c r="X931" i="1"/>
  <c r="AB996" i="1"/>
  <c r="AC996" i="1"/>
  <c r="AD996" i="1"/>
  <c r="AE996" i="1"/>
  <c r="AD1467" i="1"/>
  <c r="AE1467" i="1"/>
  <c r="AC1467" i="1"/>
  <c r="AB1467" i="1"/>
  <c r="AD1468" i="1"/>
  <c r="AE1468" i="1"/>
  <c r="AB1468" i="1"/>
  <c r="AC1468" i="1"/>
  <c r="AB1506" i="1"/>
  <c r="AE1506" i="1"/>
  <c r="AD1527" i="1"/>
  <c r="AB1527" i="1"/>
  <c r="AC1527" i="1"/>
  <c r="AE1527" i="1"/>
  <c r="AE1596" i="1"/>
  <c r="AB1596" i="1"/>
  <c r="AC1628" i="1"/>
  <c r="AD1628" i="1"/>
  <c r="AE1628" i="1"/>
  <c r="AB1628" i="1"/>
  <c r="AC1675" i="1"/>
  <c r="AD1675" i="1"/>
  <c r="AB1675" i="1"/>
  <c r="AC1723" i="1"/>
  <c r="AE1723" i="1"/>
  <c r="AB1723" i="1"/>
  <c r="AD1723" i="1"/>
  <c r="AB1393" i="1"/>
  <c r="AD1393" i="1"/>
  <c r="AE1393" i="1"/>
  <c r="AC1393" i="1"/>
  <c r="AD1479" i="1"/>
  <c r="AE1479" i="1"/>
  <c r="AB1479" i="1"/>
  <c r="AC1479" i="1"/>
  <c r="AB1417" i="1"/>
  <c r="AD1417" i="1"/>
  <c r="AE1417" i="1"/>
  <c r="AC1417" i="1"/>
  <c r="AD1460" i="1"/>
  <c r="AE1460" i="1"/>
  <c r="AB1460" i="1"/>
  <c r="AC1460" i="1"/>
  <c r="AD1516" i="1"/>
  <c r="AB1516" i="1"/>
  <c r="AC1516" i="1"/>
  <c r="AE1516" i="1"/>
  <c r="AC1620" i="1"/>
  <c r="AD1620" i="1"/>
  <c r="AE1620" i="1"/>
  <c r="AB1620" i="1"/>
  <c r="AC1652" i="1"/>
  <c r="AD1652" i="1"/>
  <c r="AE1652" i="1"/>
  <c r="AB1652" i="1"/>
  <c r="AC1699" i="1"/>
  <c r="AB1699" i="1"/>
  <c r="AD1699" i="1"/>
  <c r="AC1737" i="1"/>
  <c r="AE1737" i="1"/>
  <c r="AB1737" i="1"/>
  <c r="AD1737" i="1"/>
  <c r="AD3156" i="1"/>
  <c r="AE3156" i="1"/>
  <c r="AB3156" i="1"/>
  <c r="AC3156" i="1"/>
  <c r="AB3238" i="1"/>
  <c r="AC3238" i="1"/>
  <c r="AD3238" i="1"/>
  <c r="AE3238" i="1"/>
  <c r="AB3252" i="1"/>
  <c r="AC3252" i="1"/>
  <c r="AD3252" i="1"/>
  <c r="AE3252" i="1"/>
  <c r="AB3382" i="1"/>
  <c r="AD3382" i="1"/>
  <c r="AC3382" i="1"/>
  <c r="AB3423" i="1"/>
  <c r="AD3423" i="1"/>
  <c r="AE3423" i="1"/>
  <c r="AC3423" i="1"/>
  <c r="AB3467" i="1"/>
  <c r="AC3467" i="1"/>
  <c r="AE3467" i="1"/>
  <c r="AD3467" i="1"/>
  <c r="AB3499" i="1"/>
  <c r="AC3499" i="1"/>
  <c r="AD3499" i="1"/>
  <c r="AB3539" i="1"/>
  <c r="AC3539" i="1"/>
  <c r="AE3539" i="1"/>
  <c r="AD3539" i="1"/>
  <c r="AB3571" i="1"/>
  <c r="AC3571" i="1"/>
  <c r="AE3571" i="1"/>
  <c r="AD3571" i="1"/>
  <c r="AE723" i="1"/>
  <c r="AB723" i="1"/>
  <c r="AC723" i="1"/>
  <c r="AD723" i="1"/>
  <c r="AC850" i="1"/>
  <c r="AB850" i="1"/>
  <c r="AD850" i="1"/>
  <c r="AE850" i="1"/>
  <c r="AC908" i="1"/>
  <c r="AD908" i="1"/>
  <c r="AE908" i="1"/>
  <c r="AB908" i="1"/>
  <c r="AB976" i="1"/>
  <c r="AC976" i="1"/>
  <c r="AE976" i="1"/>
  <c r="AD976" i="1"/>
  <c r="AC1266" i="1"/>
  <c r="AD1266" i="1"/>
  <c r="AE1266" i="1"/>
  <c r="AB1266" i="1"/>
  <c r="AC1309" i="1"/>
  <c r="AD1309" i="1"/>
  <c r="AB1309" i="1"/>
  <c r="AE1309" i="1"/>
  <c r="AB1021" i="1"/>
  <c r="AC1021" i="1"/>
  <c r="AD1021" i="1"/>
  <c r="AE1021" i="1"/>
  <c r="AC1242" i="1"/>
  <c r="AD1242" i="1"/>
  <c r="AE1242" i="1"/>
  <c r="AB1242" i="1"/>
  <c r="AB949" i="1"/>
  <c r="AC949" i="1"/>
  <c r="AD949" i="1"/>
  <c r="AE949" i="1"/>
  <c r="AC2879" i="1"/>
  <c r="AD2879" i="1"/>
  <c r="AE2879" i="1"/>
  <c r="AB2879" i="1"/>
  <c r="AB1397" i="1"/>
  <c r="AD1397" i="1"/>
  <c r="AE1397" i="1"/>
  <c r="AC1397" i="1"/>
  <c r="AC1609" i="1"/>
  <c r="AD1609" i="1"/>
  <c r="AE1609" i="1"/>
  <c r="AB1609" i="1"/>
  <c r="AC1677" i="1"/>
  <c r="AD1677" i="1"/>
  <c r="AB1677" i="1"/>
  <c r="AC1709" i="1"/>
  <c r="AE1709" i="1"/>
  <c r="AB1709" i="1"/>
  <c r="AD1709" i="1"/>
  <c r="AC1732" i="1"/>
  <c r="AB1732" i="1"/>
  <c r="AD1732" i="1"/>
  <c r="AC2963" i="1"/>
  <c r="AD2963" i="1"/>
  <c r="AE2963" i="1"/>
  <c r="AB2963" i="1"/>
  <c r="AB3420" i="1"/>
  <c r="AD3420" i="1"/>
  <c r="AE3420" i="1"/>
  <c r="AC3420" i="1"/>
  <c r="AE728" i="1"/>
  <c r="AD728" i="1"/>
  <c r="AC728" i="1"/>
  <c r="AB728" i="1"/>
  <c r="AE752" i="1"/>
  <c r="AD752" i="1"/>
  <c r="AB752" i="1"/>
  <c r="AC752" i="1"/>
  <c r="AC1183" i="1"/>
  <c r="AD1183" i="1"/>
  <c r="AE1183" i="1"/>
  <c r="AB1183" i="1"/>
  <c r="AB979" i="1"/>
  <c r="AC979" i="1"/>
  <c r="AD979" i="1"/>
  <c r="AE979" i="1"/>
  <c r="AE761" i="1"/>
  <c r="AC761" i="1"/>
  <c r="AD761" i="1"/>
  <c r="AB761" i="1"/>
  <c r="AC2999" i="1"/>
  <c r="AD2999" i="1"/>
  <c r="AE2999" i="1"/>
  <c r="AB2999" i="1"/>
  <c r="AC3039" i="1"/>
  <c r="AD3039" i="1"/>
  <c r="AE3039" i="1"/>
  <c r="AB3039" i="1"/>
  <c r="AD3135" i="1"/>
  <c r="AE3135" i="1"/>
  <c r="AB3135" i="1"/>
  <c r="AC3135" i="1"/>
  <c r="AE729" i="1"/>
  <c r="AB729" i="1"/>
  <c r="AC729" i="1"/>
  <c r="AD729" i="1"/>
  <c r="AB947" i="1"/>
  <c r="AC947" i="1"/>
  <c r="AD947" i="1"/>
  <c r="AE947" i="1"/>
  <c r="AC2975" i="1"/>
  <c r="AD2975" i="1"/>
  <c r="AE2975" i="1"/>
  <c r="AB2975" i="1"/>
  <c r="AB3323" i="1"/>
  <c r="AD3323" i="1"/>
  <c r="AE3323" i="1"/>
  <c r="AC3323" i="1"/>
  <c r="AB1040" i="1"/>
  <c r="AC1040" i="1"/>
  <c r="AE1040" i="1"/>
  <c r="AD1040" i="1"/>
  <c r="AB960" i="1"/>
  <c r="AC960" i="1"/>
  <c r="AD960" i="1"/>
  <c r="AE960" i="1"/>
  <c r="AB1410" i="1"/>
  <c r="AD1410" i="1"/>
  <c r="AE1410" i="1"/>
  <c r="AC1410" i="1"/>
  <c r="AB992" i="1"/>
  <c r="AC992" i="1"/>
  <c r="AD992" i="1"/>
  <c r="AE992" i="1"/>
  <c r="AC1619" i="1"/>
  <c r="AD1619" i="1"/>
  <c r="AE1619" i="1"/>
  <c r="AB1619" i="1"/>
  <c r="AC3031" i="1"/>
  <c r="AD3031" i="1"/>
  <c r="AE3031" i="1"/>
  <c r="AB3031" i="1"/>
  <c r="AC1304" i="1"/>
  <c r="AD1304" i="1"/>
  <c r="AB1304" i="1"/>
  <c r="AE1304" i="1"/>
  <c r="AB3260" i="1"/>
  <c r="AC3260" i="1"/>
  <c r="AD3260" i="1"/>
  <c r="AE3260" i="1"/>
  <c r="AB1017" i="1"/>
  <c r="AC1017" i="1"/>
  <c r="AD1017" i="1"/>
  <c r="AE1017" i="1"/>
  <c r="AB1088" i="1"/>
  <c r="AC1088" i="1"/>
  <c r="AE1088" i="1"/>
  <c r="AD1088" i="1"/>
  <c r="AC1197" i="1"/>
  <c r="AD1197" i="1"/>
  <c r="AE1197" i="1"/>
  <c r="AB1197" i="1"/>
  <c r="AC913" i="1"/>
  <c r="AB913" i="1"/>
  <c r="AD913" i="1"/>
  <c r="AC1591" i="1"/>
  <c r="AD1591" i="1"/>
  <c r="AE1591" i="1"/>
  <c r="AB1591" i="1"/>
  <c r="AD1476" i="1"/>
  <c r="AE1476" i="1"/>
  <c r="AB1476" i="1"/>
  <c r="AC1476" i="1"/>
  <c r="AC1742" i="1"/>
  <c r="AB1742" i="1"/>
  <c r="AD1742" i="1"/>
  <c r="AC2935" i="1"/>
  <c r="AD2935" i="1"/>
  <c r="AE2935" i="1"/>
  <c r="AB2935" i="1"/>
  <c r="AE2771" i="1"/>
  <c r="AB2771" i="1"/>
  <c r="AC2771" i="1"/>
  <c r="AD2771" i="1"/>
  <c r="AB1046" i="1"/>
  <c r="AC1046" i="1"/>
  <c r="AE1046" i="1"/>
  <c r="AD1046" i="1"/>
  <c r="AB995" i="1"/>
  <c r="AC995" i="1"/>
  <c r="AD995" i="1"/>
  <c r="AE995" i="1"/>
  <c r="X925" i="1"/>
  <c r="X919" i="1"/>
  <c r="AB968" i="1"/>
  <c r="AC968" i="1"/>
  <c r="AD968" i="1"/>
  <c r="AE968" i="1"/>
  <c r="AB972" i="1"/>
  <c r="AC972" i="1"/>
  <c r="AD972" i="1"/>
  <c r="AE972" i="1"/>
  <c r="AD1489" i="1"/>
  <c r="AE1489" i="1"/>
  <c r="AB1489" i="1"/>
  <c r="AC1489" i="1"/>
  <c r="AC1600" i="1"/>
  <c r="AD1600" i="1"/>
  <c r="AE1600" i="1"/>
  <c r="AB1600" i="1"/>
  <c r="AC1663" i="1"/>
  <c r="AD1663" i="1"/>
  <c r="AE1663" i="1"/>
  <c r="AB1663" i="1"/>
  <c r="AC1727" i="1"/>
  <c r="AD1727" i="1"/>
  <c r="AB1727" i="1"/>
  <c r="AC1623" i="1"/>
  <c r="AD1623" i="1"/>
  <c r="AE1623" i="1"/>
  <c r="AB1623" i="1"/>
  <c r="AC1752" i="1"/>
  <c r="AD1752" i="1"/>
  <c r="AB1752" i="1"/>
  <c r="AB1421" i="1"/>
  <c r="AD1421" i="1"/>
  <c r="AE1421" i="1"/>
  <c r="AC1421" i="1"/>
  <c r="AD1464" i="1"/>
  <c r="AE1464" i="1"/>
  <c r="AB1464" i="1"/>
  <c r="AC1464" i="1"/>
  <c r="AC1592" i="1"/>
  <c r="AD1592" i="1"/>
  <c r="AE1592" i="1"/>
  <c r="AB1592" i="1"/>
  <c r="AC1624" i="1"/>
  <c r="AD1624" i="1"/>
  <c r="AE1624" i="1"/>
  <c r="AB1624" i="1"/>
  <c r="AC1656" i="1"/>
  <c r="AD1656" i="1"/>
  <c r="AE1656" i="1"/>
  <c r="AB1656" i="1"/>
  <c r="AC1703" i="1"/>
  <c r="AB1703" i="1"/>
  <c r="AD1703" i="1"/>
  <c r="AC1735" i="1"/>
  <c r="AE1735" i="1"/>
  <c r="AD1735" i="1"/>
  <c r="AB1735" i="1"/>
  <c r="AE2779" i="1"/>
  <c r="AB2779" i="1"/>
  <c r="AC2779" i="1"/>
  <c r="AD2779" i="1"/>
  <c r="AC2948" i="1"/>
  <c r="AD2948" i="1"/>
  <c r="AE2948" i="1"/>
  <c r="AB2948" i="1"/>
  <c r="AC2995" i="1"/>
  <c r="AD2995" i="1"/>
  <c r="AE2995" i="1"/>
  <c r="AB2995" i="1"/>
  <c r="AC3019" i="1"/>
  <c r="AD3019" i="1"/>
  <c r="AE3019" i="1"/>
  <c r="AB3019" i="1"/>
  <c r="AC3037" i="1"/>
  <c r="AD3037" i="1"/>
  <c r="AE3037" i="1"/>
  <c r="AB3037" i="1"/>
  <c r="AC3069" i="1"/>
  <c r="AD3069" i="1"/>
  <c r="AE3069" i="1"/>
  <c r="AB3069" i="1"/>
  <c r="AD3101" i="1"/>
  <c r="AE3101" i="1"/>
  <c r="AB3101" i="1"/>
  <c r="AC3101" i="1"/>
  <c r="AD3133" i="1"/>
  <c r="AE3133" i="1"/>
  <c r="AB3133" i="1"/>
  <c r="AC3133" i="1"/>
  <c r="AB3220" i="1"/>
  <c r="AC3220" i="1"/>
  <c r="AD3220" i="1"/>
  <c r="AE3220" i="1"/>
  <c r="AB3275" i="1"/>
  <c r="AC3275" i="1"/>
  <c r="AD3275" i="1"/>
  <c r="AE3275" i="1"/>
  <c r="AB3307" i="1"/>
  <c r="AC3307" i="1"/>
  <c r="AD3307" i="1"/>
  <c r="AE3307" i="1"/>
  <c r="AB3386" i="1"/>
  <c r="AD3386" i="1"/>
  <c r="AE3386" i="1"/>
  <c r="AC3386" i="1"/>
  <c r="AD3431" i="1"/>
  <c r="AB3431" i="1"/>
  <c r="AE3431" i="1"/>
  <c r="AC3431" i="1"/>
  <c r="AB3471" i="1"/>
  <c r="AC3471" i="1"/>
  <c r="AE3471" i="1"/>
  <c r="AD3471" i="1"/>
  <c r="AB3503" i="1"/>
  <c r="AC3503" i="1"/>
  <c r="AE3503" i="1"/>
  <c r="AD3503" i="1"/>
  <c r="AB3543" i="1"/>
  <c r="AC3543" i="1"/>
  <c r="AE3543" i="1"/>
  <c r="AD3543" i="1"/>
  <c r="AB3575" i="1"/>
  <c r="AC3575" i="1"/>
  <c r="AE3575" i="1"/>
  <c r="AD3575" i="1"/>
  <c r="AA751" i="1"/>
  <c r="AC859" i="1"/>
  <c r="AD859" i="1"/>
  <c r="AE859" i="1"/>
  <c r="AB859" i="1"/>
  <c r="AB1048" i="1"/>
  <c r="AC1048" i="1"/>
  <c r="AE1048" i="1"/>
  <c r="AD1048" i="1"/>
  <c r="AC1273" i="1"/>
  <c r="AD1273" i="1"/>
  <c r="AE1273" i="1"/>
  <c r="AB1273" i="1"/>
  <c r="AB950" i="1"/>
  <c r="AC950" i="1"/>
  <c r="AD950" i="1"/>
  <c r="AE950" i="1"/>
  <c r="AC1312" i="1"/>
  <c r="AD1312" i="1"/>
  <c r="AB1312" i="1"/>
  <c r="AE1312" i="1"/>
  <c r="AD1475" i="1"/>
  <c r="AE1475" i="1"/>
  <c r="AC1475" i="1"/>
  <c r="AB1475" i="1"/>
  <c r="AC1698" i="1"/>
  <c r="AD1698" i="1"/>
  <c r="AB1698" i="1"/>
  <c r="AC1730" i="1"/>
  <c r="AE1730" i="1"/>
  <c r="AB1730" i="1"/>
  <c r="AD1730" i="1"/>
  <c r="AC2871" i="1"/>
  <c r="AD2871" i="1"/>
  <c r="AB2871" i="1"/>
  <c r="AC3079" i="1"/>
  <c r="AD3079" i="1"/>
  <c r="AE3079" i="1"/>
  <c r="AB3079" i="1"/>
  <c r="AB3271" i="1"/>
  <c r="AC3271" i="1"/>
  <c r="AD3271" i="1"/>
  <c r="AE3271" i="1"/>
  <c r="AC860" i="1"/>
  <c r="AB860" i="1"/>
  <c r="AD860" i="1"/>
  <c r="AE860" i="1"/>
  <c r="AC1011" i="1"/>
  <c r="AB1011" i="1"/>
  <c r="AD1011" i="1"/>
  <c r="AE1011" i="1"/>
  <c r="AB984" i="1"/>
  <c r="AC984" i="1"/>
  <c r="AD984" i="1"/>
  <c r="AE984" i="1"/>
  <c r="AC1157" i="1"/>
  <c r="AD1157" i="1"/>
  <c r="AE1157" i="1"/>
  <c r="AB1157" i="1"/>
  <c r="AB952" i="1"/>
  <c r="AC952" i="1"/>
  <c r="AD952" i="1"/>
  <c r="AE952" i="1"/>
  <c r="AD663" i="1"/>
  <c r="AE663" i="1"/>
  <c r="AB663" i="1"/>
  <c r="AC663" i="1"/>
  <c r="AD1514" i="1"/>
  <c r="AE1514" i="1"/>
  <c r="AB1514" i="1"/>
  <c r="AC1514" i="1"/>
  <c r="AC1662" i="1"/>
  <c r="AD1662" i="1"/>
  <c r="AE1662" i="1"/>
  <c r="AB1662" i="1"/>
  <c r="AC1710" i="1"/>
  <c r="AD1710" i="1"/>
  <c r="AB1710" i="1"/>
  <c r="AC2799" i="1"/>
  <c r="AD2799" i="1"/>
  <c r="AE2799" i="1"/>
  <c r="AB2799" i="1"/>
  <c r="AC3023" i="1"/>
  <c r="AD3023" i="1"/>
  <c r="AE3023" i="1"/>
  <c r="AB3023" i="1"/>
  <c r="AB3247" i="1"/>
  <c r="AC3247" i="1"/>
  <c r="AD3247" i="1"/>
  <c r="AE3247" i="1"/>
  <c r="AE824" i="1"/>
  <c r="AB824" i="1"/>
  <c r="AC824" i="1"/>
  <c r="AD824" i="1"/>
  <c r="AC3067" i="1"/>
  <c r="AD3067" i="1"/>
  <c r="AE3067" i="1"/>
  <c r="AB3067" i="1"/>
  <c r="AB3259" i="1"/>
  <c r="AC3259" i="1"/>
  <c r="AD3259" i="1"/>
  <c r="AE3259" i="1"/>
  <c r="AB3425" i="1"/>
  <c r="AD3425" i="1"/>
  <c r="AC3425" i="1"/>
  <c r="AE3425" i="1"/>
  <c r="AB1025" i="1"/>
  <c r="AC1025" i="1"/>
  <c r="AD1025" i="1"/>
  <c r="AE1025" i="1"/>
  <c r="AC1195" i="1"/>
  <c r="AD1195" i="1"/>
  <c r="AE1195" i="1"/>
  <c r="AB1195" i="1"/>
  <c r="AC1294" i="1"/>
  <c r="AD1294" i="1"/>
  <c r="AB1294" i="1"/>
  <c r="AE1294" i="1"/>
  <c r="AC1621" i="1"/>
  <c r="AD1621" i="1"/>
  <c r="AE1621" i="1"/>
  <c r="AB1621" i="1"/>
  <c r="AC3055" i="1"/>
  <c r="AD3055" i="1"/>
  <c r="AE3055" i="1"/>
  <c r="AB3055" i="1"/>
  <c r="AB1448" i="1"/>
  <c r="AD1448" i="1"/>
  <c r="AE1448" i="1"/>
  <c r="AC1448" i="1"/>
  <c r="AD1508" i="1"/>
  <c r="AB1508" i="1"/>
  <c r="AC1508" i="1"/>
  <c r="AE1508" i="1"/>
  <c r="AC1587" i="1"/>
  <c r="AD1587" i="1"/>
  <c r="AE1587" i="1"/>
  <c r="AB1587" i="1"/>
  <c r="AC1626" i="1"/>
  <c r="AD1626" i="1"/>
  <c r="AE1626" i="1"/>
  <c r="AB1626" i="1"/>
  <c r="AC2915" i="1"/>
  <c r="AD2915" i="1"/>
  <c r="AE2915" i="1"/>
  <c r="AB2915" i="1"/>
  <c r="AC2951" i="1"/>
  <c r="AD2951" i="1"/>
  <c r="AE2951" i="1"/>
  <c r="AB2951" i="1"/>
  <c r="AC3059" i="1"/>
  <c r="AD3059" i="1"/>
  <c r="AE3059" i="1"/>
  <c r="AB3059" i="1"/>
  <c r="AB3393" i="1"/>
  <c r="AD3393" i="1"/>
  <c r="AC3393" i="1"/>
  <c r="AB964" i="1"/>
  <c r="AC964" i="1"/>
  <c r="AD964" i="1"/>
  <c r="AE964" i="1"/>
  <c r="AC1261" i="1"/>
  <c r="AD1261" i="1"/>
  <c r="AE1261" i="1"/>
  <c r="AB1261" i="1"/>
  <c r="AC1279" i="1"/>
  <c r="AD1279" i="1"/>
  <c r="AB1279" i="1"/>
  <c r="AE1279" i="1"/>
  <c r="AD1466" i="1"/>
  <c r="AE1466" i="1"/>
  <c r="AB1466" i="1"/>
  <c r="AC1466" i="1"/>
  <c r="Y765" i="1"/>
  <c r="AB1331" i="1"/>
  <c r="AC1331" i="1"/>
  <c r="AD1331" i="1"/>
  <c r="AE1331" i="1"/>
  <c r="AC1564" i="1"/>
  <c r="AD1564" i="1"/>
  <c r="AE1564" i="1"/>
  <c r="AB1564" i="1"/>
  <c r="AC1548" i="1"/>
  <c r="AD1548" i="1"/>
  <c r="AE1548" i="1"/>
  <c r="AB1548" i="1"/>
  <c r="AB3366" i="1"/>
  <c r="AD3366" i="1"/>
  <c r="AE3366" i="1"/>
  <c r="AC3366" i="1"/>
  <c r="AB981" i="1"/>
  <c r="AC981" i="1"/>
  <c r="AD981" i="1"/>
  <c r="AE981" i="1"/>
  <c r="AC1593" i="1"/>
  <c r="AD1593" i="1"/>
  <c r="AE1593" i="1"/>
  <c r="AB1593" i="1"/>
  <c r="AE737" i="1"/>
  <c r="AB737" i="1"/>
  <c r="AC737" i="1"/>
  <c r="AD737" i="1"/>
  <c r="Y763" i="1"/>
  <c r="AD1457" i="1"/>
  <c r="AE1457" i="1"/>
  <c r="AB1457" i="1"/>
  <c r="AC1457" i="1"/>
  <c r="AC1544" i="1"/>
  <c r="AD1544" i="1"/>
  <c r="AE1544" i="1"/>
  <c r="AB1544" i="1"/>
  <c r="AC1695" i="1"/>
  <c r="AE1695" i="1"/>
  <c r="AB1695" i="1"/>
  <c r="AD1695" i="1"/>
  <c r="AC1563" i="1"/>
  <c r="AD1563" i="1"/>
  <c r="AE1563" i="1"/>
  <c r="AB1563" i="1"/>
  <c r="AC1643" i="1"/>
  <c r="AD1643" i="1"/>
  <c r="AE1643" i="1"/>
  <c r="AB1643" i="1"/>
  <c r="AC1674" i="1"/>
  <c r="AD1674" i="1"/>
  <c r="AB1674" i="1"/>
  <c r="AB1750" i="1"/>
  <c r="AC1750" i="1"/>
  <c r="AD1750" i="1"/>
  <c r="Y745" i="1"/>
  <c r="AA745" i="1"/>
  <c r="Z745" i="1"/>
  <c r="AB980" i="1"/>
  <c r="AC980" i="1"/>
  <c r="AD980" i="1"/>
  <c r="AE980" i="1"/>
  <c r="AB1400" i="1"/>
  <c r="AD1400" i="1"/>
  <c r="AE1400" i="1"/>
  <c r="AC1400" i="1"/>
  <c r="AD1483" i="1"/>
  <c r="AE1483" i="1"/>
  <c r="AC1483" i="1"/>
  <c r="AB1483" i="1"/>
  <c r="AB1420" i="1"/>
  <c r="AD1420" i="1"/>
  <c r="AE1420" i="1"/>
  <c r="AC1420" i="1"/>
  <c r="AD1500" i="1"/>
  <c r="AE1500" i="1"/>
  <c r="AB1500" i="1"/>
  <c r="AC1500" i="1"/>
  <c r="AC1554" i="1"/>
  <c r="AD1554" i="1"/>
  <c r="AE1554" i="1"/>
  <c r="AB1554" i="1"/>
  <c r="AC1734" i="1"/>
  <c r="AB1734" i="1"/>
  <c r="AD1734" i="1"/>
  <c r="AC1666" i="1"/>
  <c r="AD1666" i="1"/>
  <c r="AE1666" i="1"/>
  <c r="AB1666" i="1"/>
  <c r="AC1714" i="1"/>
  <c r="AD1714" i="1"/>
  <c r="AB1714" i="1"/>
  <c r="AC2939" i="1"/>
  <c r="AD2939" i="1"/>
  <c r="AE2939" i="1"/>
  <c r="AB2939" i="1"/>
  <c r="AB3243" i="1"/>
  <c r="AC3243" i="1"/>
  <c r="AD3243" i="1"/>
  <c r="AE3243" i="1"/>
  <c r="AB3348" i="1"/>
  <c r="AD3348" i="1"/>
  <c r="AE3348" i="1"/>
  <c r="AC3348" i="1"/>
  <c r="AB3390" i="1"/>
  <c r="AD3390" i="1"/>
  <c r="AE3390" i="1"/>
  <c r="AC3390" i="1"/>
  <c r="AB3439" i="1"/>
  <c r="AC3439" i="1"/>
  <c r="AE3439" i="1"/>
  <c r="AD3439" i="1"/>
  <c r="AB3475" i="1"/>
  <c r="AC3475" i="1"/>
  <c r="AE3475" i="1"/>
  <c r="AD3475" i="1"/>
  <c r="AB3507" i="1"/>
  <c r="AC3507" i="1"/>
  <c r="AE3507" i="1"/>
  <c r="AD3507" i="1"/>
  <c r="AB3547" i="1"/>
  <c r="AC3547" i="1"/>
  <c r="AE3547" i="1"/>
  <c r="AD3547" i="1"/>
  <c r="AB3579" i="1"/>
  <c r="AC3579" i="1"/>
  <c r="AE3579" i="1"/>
  <c r="AD3579" i="1"/>
  <c r="AC1013" i="1"/>
  <c r="AD1013" i="1"/>
  <c r="AE1013" i="1"/>
  <c r="AB1013" i="1"/>
  <c r="AB1032" i="1"/>
  <c r="AC1032" i="1"/>
  <c r="AE1032" i="1"/>
  <c r="AD1032" i="1"/>
  <c r="AB1057" i="1"/>
  <c r="AC1057" i="1"/>
  <c r="AE1057" i="1"/>
  <c r="AD1057" i="1"/>
  <c r="AB1078" i="1"/>
  <c r="AC1078" i="1"/>
  <c r="AE1078" i="1"/>
  <c r="AD1078" i="1"/>
  <c r="AC1231" i="1"/>
  <c r="AD1231" i="1"/>
  <c r="AE1231" i="1"/>
  <c r="AB1231" i="1"/>
  <c r="AC835" i="1"/>
  <c r="AD835" i="1"/>
  <c r="AB835" i="1"/>
  <c r="AE835" i="1"/>
  <c r="AD1482" i="1"/>
  <c r="AE1482" i="1"/>
  <c r="AB1482" i="1"/>
  <c r="AC1482" i="1"/>
  <c r="AC1630" i="1"/>
  <c r="AD1630" i="1"/>
  <c r="AE1630" i="1"/>
  <c r="AB1630" i="1"/>
  <c r="AC1668" i="1"/>
  <c r="AD1668" i="1"/>
  <c r="AB1668" i="1"/>
  <c r="AC1684" i="1"/>
  <c r="AD1684" i="1"/>
  <c r="AB1684" i="1"/>
  <c r="AB983" i="1"/>
  <c r="AC983" i="1"/>
  <c r="AD983" i="1"/>
  <c r="AE983" i="1"/>
  <c r="AB1079" i="1"/>
  <c r="AC1079" i="1"/>
  <c r="AE1079" i="1"/>
  <c r="AD1079" i="1"/>
  <c r="AE749" i="1"/>
  <c r="AB749" i="1"/>
  <c r="AC749" i="1"/>
  <c r="AD749" i="1"/>
  <c r="AC2867" i="1"/>
  <c r="AD2867" i="1"/>
  <c r="AE2867" i="1"/>
  <c r="AB2867" i="1"/>
  <c r="AC2991" i="1"/>
  <c r="AD2991" i="1"/>
  <c r="AE2991" i="1"/>
  <c r="AB2991" i="1"/>
  <c r="AC808" i="1"/>
  <c r="AD808" i="1"/>
  <c r="AE808" i="1"/>
  <c r="AB808" i="1"/>
  <c r="AB1029" i="1"/>
  <c r="AC1029" i="1"/>
  <c r="AD1029" i="1"/>
  <c r="AE1029" i="1"/>
  <c r="AC895" i="1"/>
  <c r="AB895" i="1"/>
  <c r="AD895" i="1"/>
  <c r="AE895" i="1"/>
  <c r="AB1000" i="1"/>
  <c r="AC1000" i="1"/>
  <c r="AD1000" i="1"/>
  <c r="AE1000" i="1"/>
  <c r="AD1529" i="1"/>
  <c r="AB1529" i="1"/>
  <c r="AC1529" i="1"/>
  <c r="AE1529" i="1"/>
  <c r="AC1646" i="1"/>
  <c r="AD1646" i="1"/>
  <c r="AE1646" i="1"/>
  <c r="AB1646" i="1"/>
  <c r="AC1700" i="1"/>
  <c r="AD1700" i="1"/>
  <c r="AB1700" i="1"/>
  <c r="AB3263" i="1"/>
  <c r="AC3263" i="1"/>
  <c r="AD3263" i="1"/>
  <c r="AE3263" i="1"/>
  <c r="AB1416" i="1"/>
  <c r="AD1416" i="1"/>
  <c r="AE1416" i="1"/>
  <c r="AC1416" i="1"/>
  <c r="AD1471" i="1"/>
  <c r="AE1471" i="1"/>
  <c r="AB1471" i="1"/>
  <c r="AC1471" i="1"/>
  <c r="AC1647" i="1"/>
  <c r="AD1647" i="1"/>
  <c r="AE1647" i="1"/>
  <c r="AB1647" i="1"/>
  <c r="AC2903" i="1"/>
  <c r="AD2903" i="1"/>
  <c r="AE2903" i="1"/>
  <c r="AB2903" i="1"/>
  <c r="AE3131" i="1"/>
  <c r="AB3131" i="1"/>
  <c r="AC1172" i="1"/>
  <c r="AD1172" i="1"/>
  <c r="AE1172" i="1"/>
  <c r="AB1172" i="1"/>
  <c r="AC2899" i="1"/>
  <c r="AD2899" i="1"/>
  <c r="AE2899" i="1"/>
  <c r="AB2899" i="1"/>
  <c r="AB3223" i="1"/>
  <c r="AC3223" i="1"/>
  <c r="AD3223" i="1"/>
  <c r="AE3223" i="1"/>
  <c r="AD1509" i="1"/>
  <c r="AE1509" i="1"/>
  <c r="AB1509" i="1"/>
  <c r="AC1509" i="1"/>
  <c r="AB3251" i="1"/>
  <c r="AC3251" i="1"/>
  <c r="AD3251" i="1"/>
  <c r="AE3251" i="1"/>
  <c r="AB3397" i="1"/>
  <c r="AD3397" i="1"/>
  <c r="AE3397" i="1"/>
  <c r="AC3397" i="1"/>
  <c r="AB1087" i="1"/>
  <c r="AC1087" i="1"/>
  <c r="AE1087" i="1"/>
  <c r="AD1087" i="1"/>
  <c r="X913" i="1"/>
  <c r="AE913" i="1" s="1"/>
  <c r="AB978" i="1"/>
  <c r="AC978" i="1"/>
  <c r="AD978" i="1"/>
  <c r="AE978" i="1"/>
  <c r="AC1595" i="1"/>
  <c r="AD1595" i="1"/>
  <c r="AE1595" i="1"/>
  <c r="AB1595" i="1"/>
  <c r="AC1690" i="1"/>
  <c r="AE1690" i="1"/>
  <c r="AD1690" i="1"/>
  <c r="AB1690" i="1"/>
  <c r="AC1722" i="1"/>
  <c r="AE1722" i="1"/>
  <c r="AD1722" i="1"/>
  <c r="AB1722" i="1"/>
  <c r="AC1639" i="1"/>
  <c r="AD1639" i="1"/>
  <c r="AE1639" i="1"/>
  <c r="AB1639" i="1"/>
  <c r="AC1686" i="1"/>
  <c r="AD1686" i="1"/>
  <c r="AB1686" i="1"/>
  <c r="AC1718" i="1"/>
  <c r="AE1718" i="1"/>
  <c r="AD1718" i="1"/>
  <c r="AB1718" i="1"/>
  <c r="AB1377" i="1"/>
  <c r="AC1377" i="1"/>
  <c r="AD1377" i="1"/>
  <c r="AE1377" i="1"/>
  <c r="AB1427" i="1"/>
  <c r="AD1427" i="1"/>
  <c r="AE1427" i="1"/>
  <c r="AC1427" i="1"/>
  <c r="AD1481" i="1"/>
  <c r="AE1481" i="1"/>
  <c r="AB1481" i="1"/>
  <c r="AC1481" i="1"/>
  <c r="AC1721" i="1"/>
  <c r="AE1721" i="1"/>
  <c r="AB1721" i="1"/>
  <c r="AD1721" i="1"/>
  <c r="AB3261" i="1"/>
  <c r="AC3261" i="1"/>
  <c r="AD3261" i="1"/>
  <c r="AE3261" i="1"/>
  <c r="AB3362" i="1"/>
  <c r="AD3362" i="1"/>
  <c r="AE3362" i="1"/>
  <c r="AC3362" i="1"/>
  <c r="AB3394" i="1"/>
  <c r="AD3394" i="1"/>
  <c r="AE3394" i="1"/>
  <c r="AC3394" i="1"/>
  <c r="AB3443" i="1"/>
  <c r="AC3443" i="1"/>
  <c r="AE3443" i="1"/>
  <c r="AD3443" i="1"/>
  <c r="AB3479" i="1"/>
  <c r="AC3479" i="1"/>
  <c r="AE3479" i="1"/>
  <c r="AD3479" i="1"/>
  <c r="AB3511" i="1"/>
  <c r="AC3511" i="1"/>
  <c r="AE3511" i="1"/>
  <c r="AD3511" i="1"/>
  <c r="AB3551" i="1"/>
  <c r="AC3551" i="1"/>
  <c r="AE3551" i="1"/>
  <c r="AD3551" i="1"/>
  <c r="AB998" i="1"/>
  <c r="AC998" i="1"/>
  <c r="AD998" i="1"/>
  <c r="AE998" i="1"/>
  <c r="AB1083" i="1"/>
  <c r="AC1083" i="1"/>
  <c r="AE1083" i="1"/>
  <c r="AD1083" i="1"/>
  <c r="AC1260" i="1"/>
  <c r="AD1260" i="1"/>
  <c r="AE1260" i="1"/>
  <c r="AB1260" i="1"/>
  <c r="AC2979" i="1"/>
  <c r="AD2979" i="1"/>
  <c r="AB2979" i="1"/>
  <c r="AB3175" i="1"/>
  <c r="AC3175" i="1"/>
  <c r="AD3175" i="1"/>
  <c r="AE3175" i="1"/>
  <c r="AB3303" i="1"/>
  <c r="AC3303" i="1"/>
  <c r="AD3303" i="1"/>
  <c r="AE3303" i="1"/>
  <c r="AB939" i="1"/>
  <c r="AC939" i="1"/>
  <c r="AD939" i="1"/>
  <c r="AE939" i="1"/>
  <c r="AB1033" i="1"/>
  <c r="AC1033" i="1"/>
  <c r="AD1033" i="1"/>
  <c r="AE1033" i="1"/>
  <c r="AB1058" i="1"/>
  <c r="AC1058" i="1"/>
  <c r="AE1058" i="1"/>
  <c r="AD1058" i="1"/>
  <c r="AD713" i="1"/>
  <c r="AE713" i="1"/>
  <c r="AB713" i="1"/>
  <c r="AC713" i="1"/>
  <c r="AC2959" i="1"/>
  <c r="AD2959" i="1"/>
  <c r="AE2959" i="1"/>
  <c r="AB2959" i="1"/>
  <c r="AC1263" i="1"/>
  <c r="AD1263" i="1"/>
  <c r="AE1263" i="1"/>
  <c r="AB1263" i="1"/>
  <c r="AC1293" i="1"/>
  <c r="AD1293" i="1"/>
  <c r="AB1293" i="1"/>
  <c r="AE1293" i="1"/>
  <c r="AB1391" i="1"/>
  <c r="AC1391" i="1"/>
  <c r="AD1391" i="1"/>
  <c r="AE1391" i="1"/>
  <c r="AB1423" i="1"/>
  <c r="AD1423" i="1"/>
  <c r="AE1423" i="1"/>
  <c r="AC1423" i="1"/>
  <c r="AC1625" i="1"/>
  <c r="AD1625" i="1"/>
  <c r="AE1625" i="1"/>
  <c r="AB1625" i="1"/>
  <c r="AC2815" i="1"/>
  <c r="AD2815" i="1"/>
  <c r="AE2815" i="1"/>
  <c r="AB2815" i="1"/>
  <c r="AC3035" i="1"/>
  <c r="AD3035" i="1"/>
  <c r="AE3035" i="1"/>
  <c r="AB3035" i="1"/>
  <c r="AD3099" i="1"/>
  <c r="AE3099" i="1"/>
  <c r="AB3099" i="1"/>
  <c r="AC3099" i="1"/>
  <c r="AC1245" i="1"/>
  <c r="AD1245" i="1"/>
  <c r="AE1245" i="1"/>
  <c r="AB1245" i="1"/>
  <c r="AC3095" i="1"/>
  <c r="AD3095" i="1"/>
  <c r="AE3095" i="1"/>
  <c r="AB3095" i="1"/>
  <c r="AB963" i="1"/>
  <c r="AC963" i="1"/>
  <c r="AD963" i="1"/>
  <c r="AE963" i="1"/>
  <c r="AC1682" i="1"/>
  <c r="AD1682" i="1"/>
  <c r="AE1682" i="1"/>
  <c r="AB1682" i="1"/>
  <c r="AB1407" i="1"/>
  <c r="AD1407" i="1"/>
  <c r="AE1407" i="1"/>
  <c r="AC1407" i="1"/>
  <c r="AC1605" i="1"/>
  <c r="AD1605" i="1"/>
  <c r="AE1605" i="1"/>
  <c r="AB1605" i="1"/>
  <c r="AC1673" i="1"/>
  <c r="AD1673" i="1"/>
  <c r="AB1673" i="1"/>
  <c r="AE2783" i="1"/>
  <c r="AB2783" i="1"/>
  <c r="AC2783" i="1"/>
  <c r="AD2783" i="1"/>
  <c r="AC3027" i="1"/>
  <c r="AD3027" i="1"/>
  <c r="AE3027" i="1"/>
  <c r="AB3027" i="1"/>
  <c r="AB3315" i="1"/>
  <c r="AC3315" i="1"/>
  <c r="AD3315" i="1"/>
  <c r="AE3315" i="1"/>
  <c r="AB3418" i="1"/>
  <c r="AD3418" i="1"/>
  <c r="AE3418" i="1"/>
  <c r="AC3418" i="1"/>
  <c r="AC856" i="1"/>
  <c r="AB856" i="1"/>
  <c r="AD856" i="1"/>
  <c r="AE856" i="1"/>
  <c r="AB1067" i="1"/>
  <c r="AC1067" i="1"/>
  <c r="AE1067" i="1"/>
  <c r="AD1067" i="1"/>
  <c r="V621" i="1"/>
  <c r="L622" i="1"/>
  <c r="I622" i="1"/>
  <c r="L621" i="1"/>
  <c r="G621" i="1"/>
  <c r="P621" i="1" s="1"/>
  <c r="I621" i="1"/>
  <c r="L741" i="1"/>
  <c r="L742" i="1"/>
  <c r="L740" i="1"/>
  <c r="L739" i="1"/>
  <c r="I742" i="1"/>
  <c r="I741" i="1"/>
  <c r="I740" i="1"/>
  <c r="I739" i="1"/>
  <c r="L738" i="1"/>
  <c r="O736" i="1"/>
  <c r="P736" i="1" s="1"/>
  <c r="Q736" i="1" s="1"/>
  <c r="G736" i="1"/>
  <c r="O735" i="1"/>
  <c r="P735" i="1" s="1"/>
  <c r="Q735" i="1" s="1"/>
  <c r="G735" i="1"/>
  <c r="O734" i="1"/>
  <c r="P734" i="1" s="1"/>
  <c r="Q734" i="1" s="1"/>
  <c r="G734" i="1"/>
  <c r="O733" i="1"/>
  <c r="G733" i="1"/>
  <c r="L736" i="1"/>
  <c r="I736" i="1"/>
  <c r="L735" i="1"/>
  <c r="I735" i="1"/>
  <c r="L737" i="1"/>
  <c r="L725" i="1"/>
  <c r="G725" i="1"/>
  <c r="P725" i="1" s="1"/>
  <c r="Q725" i="1" s="1"/>
  <c r="I725" i="1"/>
  <c r="G726" i="1"/>
  <c r="G721" i="1"/>
  <c r="G720" i="1"/>
  <c r="G719" i="1"/>
  <c r="G718" i="1"/>
  <c r="G709" i="1"/>
  <c r="G708" i="1"/>
  <c r="G727" i="1"/>
  <c r="L734" i="1"/>
  <c r="I734" i="1"/>
  <c r="L733" i="1"/>
  <c r="I733" i="1"/>
  <c r="L711" i="1"/>
  <c r="I711" i="1"/>
  <c r="L732" i="1"/>
  <c r="I732" i="1"/>
  <c r="L731" i="1"/>
  <c r="L730" i="1"/>
  <c r="I730" i="1"/>
  <c r="I729" i="1"/>
  <c r="L729" i="1"/>
  <c r="L728" i="1"/>
  <c r="I728" i="1"/>
  <c r="L724" i="1"/>
  <c r="O727" i="1"/>
  <c r="P727" i="1" s="1"/>
  <c r="Q727" i="1" s="1"/>
  <c r="O726" i="1"/>
  <c r="L727" i="1"/>
  <c r="I727" i="1"/>
  <c r="L726" i="1"/>
  <c r="I726" i="1"/>
  <c r="O721" i="1"/>
  <c r="P721" i="1" s="1"/>
  <c r="Q721" i="1" s="1"/>
  <c r="O719" i="1"/>
  <c r="P719" i="1" s="1"/>
  <c r="Q719" i="1" s="1"/>
  <c r="O720" i="1"/>
  <c r="P720" i="1" s="1"/>
  <c r="Q720" i="1" s="1"/>
  <c r="O718" i="1"/>
  <c r="L721" i="1"/>
  <c r="I721" i="1"/>
  <c r="L720" i="1"/>
  <c r="I720" i="1"/>
  <c r="L718" i="1"/>
  <c r="I718" i="1"/>
  <c r="L719" i="1"/>
  <c r="I719" i="1"/>
  <c r="O712" i="1"/>
  <c r="P712" i="1" s="1"/>
  <c r="Q712" i="1" s="1"/>
  <c r="O717" i="1"/>
  <c r="P717" i="1" s="1"/>
  <c r="Q717" i="1" s="1"/>
  <c r="L717" i="1"/>
  <c r="I717" i="1"/>
  <c r="L722" i="1"/>
  <c r="L723" i="1"/>
  <c r="L716" i="1"/>
  <c r="L714" i="1"/>
  <c r="L715" i="1"/>
  <c r="I714" i="1"/>
  <c r="L712" i="1"/>
  <c r="L713" i="1"/>
  <c r="L707" i="1"/>
  <c r="L709" i="1"/>
  <c r="L708" i="1"/>
  <c r="O708" i="1"/>
  <c r="P708" i="1" s="1"/>
  <c r="Q708" i="1" s="1"/>
  <c r="O709" i="1"/>
  <c r="P709" i="1" s="1"/>
  <c r="Q709" i="1" s="1"/>
  <c r="L710" i="1"/>
  <c r="I731" i="1"/>
  <c r="I737" i="1"/>
  <c r="I738" i="1"/>
  <c r="I710" i="1"/>
  <c r="I712" i="1"/>
  <c r="I713" i="1"/>
  <c r="I715" i="1"/>
  <c r="I716" i="1"/>
  <c r="I722" i="1"/>
  <c r="I723" i="1"/>
  <c r="I724" i="1"/>
  <c r="Q621" i="1" l="1"/>
  <c r="AA621" i="1"/>
  <c r="Z621" i="1"/>
  <c r="Y621" i="1"/>
  <c r="P733" i="1"/>
  <c r="Q733" i="1" s="1"/>
  <c r="P718" i="1"/>
  <c r="Q718" i="1" s="1"/>
  <c r="P726" i="1"/>
  <c r="Q726" i="1" s="1"/>
  <c r="Y712" i="1"/>
  <c r="Z712" i="1"/>
  <c r="AA712" i="1"/>
  <c r="AC917" i="1"/>
  <c r="AE917" i="1"/>
  <c r="AB917" i="1"/>
  <c r="AD917" i="1"/>
  <c r="AC931" i="1"/>
  <c r="AB931" i="1"/>
  <c r="AD931" i="1"/>
  <c r="AE931" i="1"/>
  <c r="AC927" i="1"/>
  <c r="AB927" i="1"/>
  <c r="AD927" i="1"/>
  <c r="AE927" i="1"/>
  <c r="AC929" i="1"/>
  <c r="AD929" i="1"/>
  <c r="AE929" i="1"/>
  <c r="AB929" i="1"/>
  <c r="AE747" i="1"/>
  <c r="AC747" i="1"/>
  <c r="AB747" i="1"/>
  <c r="AD747" i="1"/>
  <c r="AE768" i="1"/>
  <c r="AD768" i="1"/>
  <c r="AB768" i="1"/>
  <c r="AC768" i="1"/>
  <c r="AE745" i="1"/>
  <c r="AB745" i="1"/>
  <c r="AC745" i="1"/>
  <c r="AD745" i="1"/>
  <c r="AC763" i="1"/>
  <c r="AD763" i="1"/>
  <c r="AB763" i="1"/>
  <c r="AB765" i="1"/>
  <c r="AC765" i="1"/>
  <c r="AD765" i="1"/>
  <c r="AC923" i="1"/>
  <c r="AB923" i="1"/>
  <c r="AD923" i="1"/>
  <c r="AE923" i="1"/>
  <c r="AE753" i="1"/>
  <c r="AC753" i="1"/>
  <c r="AD753" i="1"/>
  <c r="AB753" i="1"/>
  <c r="AE744" i="1"/>
  <c r="AD744" i="1"/>
  <c r="AB744" i="1"/>
  <c r="AC744" i="1"/>
  <c r="AC928" i="1"/>
  <c r="AB928" i="1"/>
  <c r="AD928" i="1"/>
  <c r="AE928" i="1"/>
  <c r="Y717" i="1"/>
  <c r="Z717" i="1"/>
  <c r="AA717" i="1"/>
  <c r="AC925" i="1"/>
  <c r="AE925" i="1"/>
  <c r="AB925" i="1"/>
  <c r="AD925" i="1"/>
  <c r="AC919" i="1"/>
  <c r="AB919" i="1"/>
  <c r="AD919" i="1"/>
  <c r="AE919" i="1"/>
  <c r="AC916" i="1"/>
  <c r="AD916" i="1"/>
  <c r="AE916" i="1"/>
  <c r="AB916" i="1"/>
  <c r="AC915" i="1"/>
  <c r="AB915" i="1"/>
  <c r="AD915" i="1"/>
  <c r="AE915" i="1"/>
  <c r="L380" i="1"/>
  <c r="I380" i="1"/>
  <c r="L381" i="1"/>
  <c r="I381" i="1"/>
  <c r="I382" i="1"/>
  <c r="L382" i="1"/>
  <c r="I377" i="1"/>
  <c r="L377" i="1"/>
  <c r="L379" i="1"/>
  <c r="I379" i="1"/>
  <c r="L378" i="1"/>
  <c r="I378" i="1"/>
  <c r="L366" i="1"/>
  <c r="L367" i="1"/>
  <c r="I367" i="1"/>
  <c r="I366" i="1"/>
  <c r="I365" i="1"/>
  <c r="L365" i="1"/>
  <c r="L364" i="1"/>
  <c r="I364" i="1"/>
  <c r="G371" i="1"/>
  <c r="P371" i="1" s="1"/>
  <c r="G373" i="1"/>
  <c r="P373" i="1" s="1"/>
  <c r="I371" i="1"/>
  <c r="I372" i="1"/>
  <c r="I373" i="1"/>
  <c r="L371" i="1"/>
  <c r="L363" i="1"/>
  <c r="I363" i="1"/>
  <c r="L368" i="1"/>
  <c r="L369" i="1"/>
  <c r="L370" i="1"/>
  <c r="L376" i="1"/>
  <c r="L375" i="1"/>
  <c r="L374" i="1"/>
  <c r="L373" i="1"/>
  <c r="L372" i="1"/>
  <c r="G374" i="1"/>
  <c r="P374" i="1" s="1"/>
  <c r="I374" i="1"/>
  <c r="I368" i="1"/>
  <c r="I369" i="1"/>
  <c r="I370" i="1"/>
  <c r="I375" i="1"/>
  <c r="I376" i="1"/>
  <c r="L362" i="1"/>
  <c r="I362" i="1"/>
  <c r="I361" i="1"/>
  <c r="I793" i="1"/>
  <c r="I794" i="1"/>
  <c r="I795" i="1"/>
  <c r="L361" i="1"/>
  <c r="L360" i="1"/>
  <c r="I360" i="1"/>
  <c r="I359" i="1"/>
  <c r="L359" i="1"/>
  <c r="O358" i="1"/>
  <c r="P358" i="1" s="1"/>
  <c r="L358" i="1"/>
  <c r="I358" i="1"/>
  <c r="L357" i="1"/>
  <c r="I357" i="1"/>
  <c r="I356" i="1"/>
  <c r="I355" i="1"/>
  <c r="L355" i="1"/>
  <c r="L356" i="1"/>
  <c r="I354" i="1"/>
  <c r="L354" i="1"/>
  <c r="L353" i="1"/>
  <c r="I353" i="1"/>
  <c r="L352" i="1"/>
  <c r="I352" i="1"/>
  <c r="L349" i="1"/>
  <c r="I349" i="1"/>
  <c r="L350" i="1"/>
  <c r="I350" i="1"/>
  <c r="L351" i="1"/>
  <c r="I351" i="1"/>
  <c r="I348" i="1"/>
  <c r="L348" i="1"/>
  <c r="L347" i="1"/>
  <c r="L346" i="1"/>
  <c r="I347" i="1"/>
  <c r="I346" i="1"/>
  <c r="I345" i="1"/>
  <c r="L345" i="1"/>
  <c r="L344" i="1"/>
  <c r="I344" i="1"/>
  <c r="L342" i="1"/>
  <c r="I342" i="1"/>
  <c r="L343" i="1"/>
  <c r="I343" i="1"/>
  <c r="L341" i="1"/>
  <c r="I341" i="1"/>
  <c r="L324" i="1"/>
  <c r="I324" i="1"/>
  <c r="L330" i="1"/>
  <c r="I330" i="1"/>
  <c r="L329" i="1"/>
  <c r="I329" i="1"/>
  <c r="L328" i="1"/>
  <c r="I328" i="1"/>
  <c r="G328" i="1"/>
  <c r="P328" i="1" s="1"/>
  <c r="I340" i="1"/>
  <c r="L340" i="1"/>
  <c r="L339" i="1"/>
  <c r="I339" i="1"/>
  <c r="L338" i="1"/>
  <c r="I338" i="1"/>
  <c r="L337" i="1"/>
  <c r="I337" i="1"/>
  <c r="L336" i="1"/>
  <c r="I336" i="1"/>
  <c r="L333" i="1"/>
  <c r="I333" i="1"/>
  <c r="L334" i="1"/>
  <c r="I334" i="1"/>
  <c r="L335" i="1"/>
  <c r="I335" i="1"/>
  <c r="L332" i="1"/>
  <c r="I332" i="1"/>
  <c r="L331" i="1"/>
  <c r="I331" i="1"/>
  <c r="L327" i="1"/>
  <c r="L320" i="1"/>
  <c r="G320" i="1"/>
  <c r="P320" i="1" s="1"/>
  <c r="I320" i="1"/>
  <c r="L326" i="1"/>
  <c r="I327" i="1"/>
  <c r="I326" i="1"/>
  <c r="I323" i="1"/>
  <c r="I325" i="1"/>
  <c r="L325" i="1"/>
  <c r="L323" i="1"/>
  <c r="I322" i="1"/>
  <c r="L322" i="1"/>
  <c r="L321" i="1"/>
  <c r="I321" i="1"/>
  <c r="G314" i="1"/>
  <c r="P314" i="1" s="1"/>
  <c r="G313" i="1"/>
  <c r="P313" i="1" s="1"/>
  <c r="L314" i="1"/>
  <c r="L313" i="1"/>
  <c r="L312" i="1"/>
  <c r="L311" i="1"/>
  <c r="L310" i="1"/>
  <c r="L309" i="1"/>
  <c r="L308" i="1"/>
  <c r="L307" i="1"/>
  <c r="L306" i="1"/>
  <c r="L305" i="1"/>
  <c r="L304" i="1"/>
  <c r="L303" i="1"/>
  <c r="L315" i="1"/>
  <c r="L319" i="1"/>
  <c r="L318" i="1"/>
  <c r="L317" i="1"/>
  <c r="L316" i="1"/>
  <c r="I319" i="1"/>
  <c r="I318" i="1"/>
  <c r="I316" i="1"/>
  <c r="G317" i="1"/>
  <c r="P317" i="1" s="1"/>
  <c r="I317" i="1"/>
  <c r="I315" i="1"/>
  <c r="I314" i="1"/>
  <c r="I313" i="1"/>
  <c r="I312" i="1"/>
  <c r="I311" i="1"/>
  <c r="I310" i="1"/>
  <c r="I309" i="1"/>
  <c r="I308" i="1"/>
  <c r="I307" i="1"/>
  <c r="I306" i="1"/>
  <c r="I305" i="1"/>
  <c r="I304" i="1"/>
  <c r="I303" i="1"/>
  <c r="I302" i="1"/>
  <c r="I301" i="1"/>
  <c r="I300" i="1"/>
  <c r="I299" i="1"/>
  <c r="I298" i="1"/>
  <c r="I297" i="1"/>
  <c r="L302" i="1"/>
  <c r="L301" i="1"/>
  <c r="L300" i="1"/>
  <c r="L299" i="1"/>
  <c r="L298" i="1"/>
  <c r="L297" i="1"/>
  <c r="L296" i="1"/>
  <c r="I296" i="1"/>
  <c r="L291" i="1"/>
  <c r="I291" i="1"/>
  <c r="L295" i="1"/>
  <c r="I295" i="1"/>
  <c r="I294" i="1"/>
  <c r="L294" i="1"/>
  <c r="L289" i="1"/>
  <c r="G289" i="1"/>
  <c r="P289" i="1" s="1"/>
  <c r="L290" i="1"/>
  <c r="Q313" i="1" l="1"/>
  <c r="AA313" i="1"/>
  <c r="Y313" i="1"/>
  <c r="Z313" i="1"/>
  <c r="Q358" i="1"/>
  <c r="AA358" i="1"/>
  <c r="Y358" i="1"/>
  <c r="Z358" i="1"/>
  <c r="Q317" i="1"/>
  <c r="AA317" i="1"/>
  <c r="Y317" i="1"/>
  <c r="Z317" i="1"/>
  <c r="Q373" i="1"/>
  <c r="AA373" i="1"/>
  <c r="Y373" i="1"/>
  <c r="Z373" i="1"/>
  <c r="Q374" i="1"/>
  <c r="AA374" i="1"/>
  <c r="Y374" i="1"/>
  <c r="Z374" i="1"/>
  <c r="Q371" i="1"/>
  <c r="AA371" i="1"/>
  <c r="Y371" i="1"/>
  <c r="Z371" i="1"/>
  <c r="Q314" i="1"/>
  <c r="AA314" i="1"/>
  <c r="Y314" i="1"/>
  <c r="Z314" i="1"/>
  <c r="Q328" i="1"/>
  <c r="AA328" i="1"/>
  <c r="Y328" i="1"/>
  <c r="Z328" i="1"/>
  <c r="Q320" i="1"/>
  <c r="AA320" i="1"/>
  <c r="Y320" i="1"/>
  <c r="Z320" i="1"/>
  <c r="Q289" i="1"/>
  <c r="AA289" i="1"/>
  <c r="Z289" i="1"/>
  <c r="Y289" i="1"/>
  <c r="AE621" i="1"/>
  <c r="AD621" i="1"/>
  <c r="AC621" i="1"/>
  <c r="AB621" i="1"/>
  <c r="AD717" i="1"/>
  <c r="AE717" i="1"/>
  <c r="AB717" i="1"/>
  <c r="AC717" i="1"/>
  <c r="AD712" i="1"/>
  <c r="AE712" i="1"/>
  <c r="AB712" i="1"/>
  <c r="AC712" i="1"/>
  <c r="L288" i="1"/>
  <c r="G288" i="1"/>
  <c r="P288" i="1" s="1"/>
  <c r="L287" i="1"/>
  <c r="G287" i="1"/>
  <c r="P287" i="1" s="1"/>
  <c r="G286" i="1"/>
  <c r="P286" i="1" s="1"/>
  <c r="I287" i="1"/>
  <c r="I288" i="1"/>
  <c r="I289" i="1"/>
  <c r="I290" i="1"/>
  <c r="I292" i="1"/>
  <c r="I293" i="1"/>
  <c r="L293" i="1"/>
  <c r="L292" i="1"/>
  <c r="L286" i="1"/>
  <c r="I286" i="1"/>
  <c r="L258" i="1"/>
  <c r="I258" i="1"/>
  <c r="L281" i="1"/>
  <c r="I281" i="1"/>
  <c r="L280" i="1"/>
  <c r="I280" i="1"/>
  <c r="G252" i="1"/>
  <c r="P252" i="1" s="1"/>
  <c r="L252" i="1"/>
  <c r="L253" i="1"/>
  <c r="I252" i="1"/>
  <c r="I253" i="1"/>
  <c r="L254" i="1"/>
  <c r="I254" i="1"/>
  <c r="L275" i="1"/>
  <c r="L276" i="1"/>
  <c r="L274" i="1"/>
  <c r="L272" i="1"/>
  <c r="L273" i="1"/>
  <c r="I272" i="1"/>
  <c r="I273" i="1"/>
  <c r="I274" i="1"/>
  <c r="I275" i="1"/>
  <c r="I276" i="1"/>
  <c r="I277" i="1"/>
  <c r="I278" i="1"/>
  <c r="I279" i="1"/>
  <c r="L279" i="1"/>
  <c r="L278" i="1"/>
  <c r="L277" i="1"/>
  <c r="L271" i="1"/>
  <c r="L265" i="1"/>
  <c r="I265" i="1"/>
  <c r="L270" i="1"/>
  <c r="I270" i="1"/>
  <c r="O269" i="1"/>
  <c r="P269" i="1" s="1"/>
  <c r="I269" i="1"/>
  <c r="L269" i="1"/>
  <c r="L268" i="1"/>
  <c r="I267" i="1"/>
  <c r="I268" i="1"/>
  <c r="L267" i="1"/>
  <c r="L266" i="1"/>
  <c r="I266" i="1"/>
  <c r="L264" i="1"/>
  <c r="I264" i="1"/>
  <c r="L260" i="1"/>
  <c r="L261" i="1"/>
  <c r="L263" i="1"/>
  <c r="G260" i="1"/>
  <c r="P260" i="1" s="1"/>
  <c r="I260" i="1"/>
  <c r="I261" i="1"/>
  <c r="I262" i="1"/>
  <c r="I263" i="1"/>
  <c r="I271" i="1"/>
  <c r="I282" i="1"/>
  <c r="L262" i="1"/>
  <c r="G285" i="1"/>
  <c r="P285" i="1" s="1"/>
  <c r="G284" i="1"/>
  <c r="P284" i="1" s="1"/>
  <c r="G283" i="1"/>
  <c r="P283" i="1" s="1"/>
  <c r="G282" i="1"/>
  <c r="P282" i="1" s="1"/>
  <c r="L284" i="1"/>
  <c r="L283" i="1"/>
  <c r="L285" i="1"/>
  <c r="L282" i="1"/>
  <c r="I285" i="1"/>
  <c r="I284" i="1"/>
  <c r="I283" i="1"/>
  <c r="L259" i="1"/>
  <c r="I259" i="1"/>
  <c r="G259" i="1"/>
  <c r="P259" i="1" s="1"/>
  <c r="L249" i="1"/>
  <c r="I249" i="1"/>
  <c r="L257" i="1"/>
  <c r="I256" i="1"/>
  <c r="I257" i="1"/>
  <c r="L256" i="1"/>
  <c r="I255" i="1"/>
  <c r="L255" i="1"/>
  <c r="L251" i="1"/>
  <c r="I251" i="1"/>
  <c r="L250" i="1"/>
  <c r="I250" i="1"/>
  <c r="L248" i="1"/>
  <c r="I248" i="1"/>
  <c r="L247" i="1"/>
  <c r="I247" i="1"/>
  <c r="L246" i="1"/>
  <c r="I246" i="1"/>
  <c r="L245" i="1"/>
  <c r="I245" i="1"/>
  <c r="G244" i="1"/>
  <c r="P244" i="1" s="1"/>
  <c r="G243" i="1"/>
  <c r="P243" i="1" s="1"/>
  <c r="G242" i="1"/>
  <c r="P242" i="1" s="1"/>
  <c r="I242" i="1"/>
  <c r="I243" i="1"/>
  <c r="I244" i="1"/>
  <c r="L242" i="1"/>
  <c r="L243" i="1"/>
  <c r="L244" i="1"/>
  <c r="Q242" i="1" l="1"/>
  <c r="AA242" i="1"/>
  <c r="Z242" i="1"/>
  <c r="Y242" i="1"/>
  <c r="Q243" i="1"/>
  <c r="AA243" i="1"/>
  <c r="Z243" i="1"/>
  <c r="Y243" i="1"/>
  <c r="Q282" i="1"/>
  <c r="AA282" i="1"/>
  <c r="Z282" i="1"/>
  <c r="Y282" i="1"/>
  <c r="Q287" i="1"/>
  <c r="AA287" i="1"/>
  <c r="Z287" i="1"/>
  <c r="Y287" i="1"/>
  <c r="Q244" i="1"/>
  <c r="AA244" i="1"/>
  <c r="Z244" i="1"/>
  <c r="Y244" i="1"/>
  <c r="Q283" i="1"/>
  <c r="Z283" i="1"/>
  <c r="Y283" i="1"/>
  <c r="AA283" i="1"/>
  <c r="Q269" i="1"/>
  <c r="Z269" i="1"/>
  <c r="Y269" i="1"/>
  <c r="AA269" i="1"/>
  <c r="Q288" i="1"/>
  <c r="AA288" i="1"/>
  <c r="Y288" i="1"/>
  <c r="Z288" i="1"/>
  <c r="AE289" i="1"/>
  <c r="AD289" i="1"/>
  <c r="AC289" i="1"/>
  <c r="AB289" i="1"/>
  <c r="AE328" i="1"/>
  <c r="AD328" i="1"/>
  <c r="AC328" i="1"/>
  <c r="AB328" i="1"/>
  <c r="AE371" i="1"/>
  <c r="AD371" i="1"/>
  <c r="AC371" i="1"/>
  <c r="AB371" i="1"/>
  <c r="AE373" i="1"/>
  <c r="AD373" i="1"/>
  <c r="AC373" i="1"/>
  <c r="AB373" i="1"/>
  <c r="AE358" i="1"/>
  <c r="AD358" i="1"/>
  <c r="AC358" i="1"/>
  <c r="AB358" i="1"/>
  <c r="Q285" i="1"/>
  <c r="AA285" i="1"/>
  <c r="Z285" i="1"/>
  <c r="Y285" i="1"/>
  <c r="Q260" i="1"/>
  <c r="Z260" i="1"/>
  <c r="Y260" i="1"/>
  <c r="AA260" i="1"/>
  <c r="Q284" i="1"/>
  <c r="AA284" i="1"/>
  <c r="Z284" i="1"/>
  <c r="Y284" i="1"/>
  <c r="Q252" i="1"/>
  <c r="Z252" i="1"/>
  <c r="Y252" i="1"/>
  <c r="AA252" i="1"/>
  <c r="Q259" i="1"/>
  <c r="AA259" i="1"/>
  <c r="Z259" i="1"/>
  <c r="Y259" i="1"/>
  <c r="Q286" i="1"/>
  <c r="AA286" i="1"/>
  <c r="Z286" i="1"/>
  <c r="Y286" i="1"/>
  <c r="AE320" i="1"/>
  <c r="AD320" i="1"/>
  <c r="AC320" i="1"/>
  <c r="AB320" i="1"/>
  <c r="AE314" i="1"/>
  <c r="AD314" i="1"/>
  <c r="AC314" i="1"/>
  <c r="AB314" i="1"/>
  <c r="AE374" i="1"/>
  <c r="AD374" i="1"/>
  <c r="AC374" i="1"/>
  <c r="AB374" i="1"/>
  <c r="AE317" i="1"/>
  <c r="AD317" i="1"/>
  <c r="AC317" i="1"/>
  <c r="AB317" i="1"/>
  <c r="AE313" i="1"/>
  <c r="AD313" i="1"/>
  <c r="AC313" i="1"/>
  <c r="AB313" i="1"/>
  <c r="L240" i="1"/>
  <c r="I240" i="1"/>
  <c r="I241" i="1"/>
  <c r="O241" i="1"/>
  <c r="P241" i="1" s="1"/>
  <c r="L241" i="1"/>
  <c r="L236" i="1"/>
  <c r="L235" i="1"/>
  <c r="L234" i="1"/>
  <c r="I236" i="1"/>
  <c r="I235" i="1"/>
  <c r="I234" i="1"/>
  <c r="V230" i="1"/>
  <c r="L233" i="1"/>
  <c r="I233" i="1"/>
  <c r="L232" i="1"/>
  <c r="I232" i="1"/>
  <c r="L231" i="1"/>
  <c r="I231" i="1"/>
  <c r="L230" i="1"/>
  <c r="I230" i="1"/>
  <c r="G229" i="1"/>
  <c r="P229" i="1" s="1"/>
  <c r="L229" i="1"/>
  <c r="I229" i="1"/>
  <c r="I224" i="1"/>
  <c r="L224" i="1"/>
  <c r="G223" i="1"/>
  <c r="P223" i="1" s="1"/>
  <c r="L223" i="1"/>
  <c r="I223" i="1"/>
  <c r="L228" i="1"/>
  <c r="G227" i="1"/>
  <c r="O227" i="1"/>
  <c r="P227" i="1" s="1"/>
  <c r="G226" i="1"/>
  <c r="P226" i="1" s="1"/>
  <c r="L227" i="1"/>
  <c r="I227" i="1"/>
  <c r="L225" i="1"/>
  <c r="L226" i="1"/>
  <c r="G225" i="1"/>
  <c r="P225" i="1" s="1"/>
  <c r="O221" i="1"/>
  <c r="P221" i="1" s="1"/>
  <c r="L221" i="1"/>
  <c r="L220" i="1"/>
  <c r="O220" i="1"/>
  <c r="G221" i="1"/>
  <c r="G220" i="1"/>
  <c r="V222" i="1"/>
  <c r="L222" i="1"/>
  <c r="I220" i="1"/>
  <c r="I221" i="1"/>
  <c r="I222" i="1"/>
  <c r="I225" i="1"/>
  <c r="I226" i="1"/>
  <c r="I228" i="1"/>
  <c r="I237" i="1"/>
  <c r="I238" i="1"/>
  <c r="W3408" i="1"/>
  <c r="Q3408" i="1" s="1"/>
  <c r="L3408" i="1"/>
  <c r="I3408" i="1"/>
  <c r="W3407" i="1"/>
  <c r="Q3407" i="1" s="1"/>
  <c r="I3407" i="1"/>
  <c r="L3407" i="1"/>
  <c r="L3405" i="1"/>
  <c r="L3404" i="1"/>
  <c r="I3404" i="1"/>
  <c r="I3405" i="1"/>
  <c r="I3406" i="1"/>
  <c r="L3406" i="1"/>
  <c r="W3406" i="1"/>
  <c r="Q3406" i="1" s="1"/>
  <c r="I3403" i="1"/>
  <c r="W3403" i="1"/>
  <c r="Q3403" i="1" s="1"/>
  <c r="L3403" i="1"/>
  <c r="T3402" i="1"/>
  <c r="S3402" i="1" s="1"/>
  <c r="W3402" i="1"/>
  <c r="Q3402" i="1" s="1"/>
  <c r="L3402" i="1"/>
  <c r="I3402" i="1"/>
  <c r="G3401" i="1"/>
  <c r="O3401" i="1"/>
  <c r="P3401" i="1" s="1"/>
  <c r="Q3401" i="1" s="1"/>
  <c r="L3401" i="1"/>
  <c r="I3401" i="1"/>
  <c r="W3399" i="1"/>
  <c r="X3399" i="1" s="1"/>
  <c r="W3400" i="1"/>
  <c r="Q3400" i="1" s="1"/>
  <c r="O3399" i="1"/>
  <c r="P3399" i="1" s="1"/>
  <c r="L3399" i="1"/>
  <c r="I3399" i="1"/>
  <c r="L3400" i="1"/>
  <c r="I3400" i="1"/>
  <c r="W3398" i="1"/>
  <c r="Q3398" i="1" s="1"/>
  <c r="L3398" i="1"/>
  <c r="I3398" i="1"/>
  <c r="L3396" i="1"/>
  <c r="I3396" i="1"/>
  <c r="L3397" i="1"/>
  <c r="I3397" i="1"/>
  <c r="Q226" i="1" l="1"/>
  <c r="AA226" i="1"/>
  <c r="Z226" i="1"/>
  <c r="Y226" i="1"/>
  <c r="Q221" i="1"/>
  <c r="AA221" i="1"/>
  <c r="Z221" i="1"/>
  <c r="Y221" i="1"/>
  <c r="Q225" i="1"/>
  <c r="AA225" i="1"/>
  <c r="Z225" i="1"/>
  <c r="Y225" i="1"/>
  <c r="AE259" i="1"/>
  <c r="AD259" i="1"/>
  <c r="AB259" i="1"/>
  <c r="AC259" i="1"/>
  <c r="AE284" i="1"/>
  <c r="AD284" i="1"/>
  <c r="AC284" i="1"/>
  <c r="AB284" i="1"/>
  <c r="AE285" i="1"/>
  <c r="AD285" i="1"/>
  <c r="AC285" i="1"/>
  <c r="AB285" i="1"/>
  <c r="AE288" i="1"/>
  <c r="AD288" i="1"/>
  <c r="AC288" i="1"/>
  <c r="AB288" i="1"/>
  <c r="AE283" i="1"/>
  <c r="AD283" i="1"/>
  <c r="AC283" i="1"/>
  <c r="AB283" i="1"/>
  <c r="AE287" i="1"/>
  <c r="AD287" i="1"/>
  <c r="AC287" i="1"/>
  <c r="AB287" i="1"/>
  <c r="AE243" i="1"/>
  <c r="AD243" i="1"/>
  <c r="AC243" i="1"/>
  <c r="AB243" i="1"/>
  <c r="Q227" i="1"/>
  <c r="AA227" i="1"/>
  <c r="Z227" i="1"/>
  <c r="Y227" i="1"/>
  <c r="Q241" i="1"/>
  <c r="AA241" i="1"/>
  <c r="Z241" i="1"/>
  <c r="Y241" i="1"/>
  <c r="Q223" i="1"/>
  <c r="AA223" i="1"/>
  <c r="Z223" i="1"/>
  <c r="Y223" i="1"/>
  <c r="Q229" i="1"/>
  <c r="AA229" i="1"/>
  <c r="Z229" i="1"/>
  <c r="Y229" i="1"/>
  <c r="AE286" i="1"/>
  <c r="AD286" i="1"/>
  <c r="AC286" i="1"/>
  <c r="AB286" i="1"/>
  <c r="AE252" i="1"/>
  <c r="AD252" i="1"/>
  <c r="AB252" i="1"/>
  <c r="AC252" i="1"/>
  <c r="AE260" i="1"/>
  <c r="AD260" i="1"/>
  <c r="AB260" i="1"/>
  <c r="AC260" i="1"/>
  <c r="AE269" i="1"/>
  <c r="AD269" i="1"/>
  <c r="AC269" i="1"/>
  <c r="AB269" i="1"/>
  <c r="AE244" i="1"/>
  <c r="AD244" i="1"/>
  <c r="AC244" i="1"/>
  <c r="AB244" i="1"/>
  <c r="AE282" i="1"/>
  <c r="AD282" i="1"/>
  <c r="AC282" i="1"/>
  <c r="AB282" i="1"/>
  <c r="AE242" i="1"/>
  <c r="AD242" i="1"/>
  <c r="AC242" i="1"/>
  <c r="AB242" i="1"/>
  <c r="P220" i="1"/>
  <c r="Q3399" i="1"/>
  <c r="X3406" i="1"/>
  <c r="AA3399" i="1"/>
  <c r="Z3399" i="1"/>
  <c r="Y3399" i="1"/>
  <c r="X3400" i="1"/>
  <c r="X3402" i="1"/>
  <c r="X3407" i="1"/>
  <c r="X3403" i="1"/>
  <c r="X3408" i="1"/>
  <c r="X3398" i="1"/>
  <c r="L3386" i="1"/>
  <c r="I3386" i="1"/>
  <c r="I3378" i="1"/>
  <c r="I3379" i="1"/>
  <c r="L3378" i="1"/>
  <c r="L3379" i="1"/>
  <c r="I3384" i="1"/>
  <c r="I3385" i="1"/>
  <c r="L3385" i="1"/>
  <c r="L3384" i="1"/>
  <c r="L3383" i="1"/>
  <c r="L3381" i="1"/>
  <c r="L3382" i="1"/>
  <c r="V3382" i="1"/>
  <c r="M3383" i="1"/>
  <c r="O3383" i="1"/>
  <c r="P3383" i="1" s="1"/>
  <c r="Q3383" i="1" s="1"/>
  <c r="I3383" i="1"/>
  <c r="I3382" i="1"/>
  <c r="I3381" i="1"/>
  <c r="W3380" i="1"/>
  <c r="Q3380" i="1" s="1"/>
  <c r="L3380" i="1"/>
  <c r="I3380" i="1"/>
  <c r="L3368" i="1"/>
  <c r="I3368" i="1"/>
  <c r="L3375" i="1"/>
  <c r="I3375" i="1"/>
  <c r="L3374" i="1"/>
  <c r="I3374" i="1"/>
  <c r="L3366" i="1"/>
  <c r="I3366" i="1"/>
  <c r="L3373" i="1"/>
  <c r="I3373" i="1"/>
  <c r="W3372" i="1"/>
  <c r="Q3372" i="1" s="1"/>
  <c r="L3372" i="1"/>
  <c r="I3372" i="1"/>
  <c r="M3377" i="1"/>
  <c r="O3377" i="1"/>
  <c r="G3377" i="1"/>
  <c r="AE241" i="1" l="1"/>
  <c r="AD241" i="1"/>
  <c r="AC241" i="1"/>
  <c r="AB241" i="1"/>
  <c r="AE221" i="1"/>
  <c r="AD221" i="1"/>
  <c r="AC221" i="1"/>
  <c r="AB221" i="1"/>
  <c r="Q220" i="1"/>
  <c r="AA220" i="1"/>
  <c r="Z220" i="1"/>
  <c r="Y220" i="1"/>
  <c r="AE229" i="1"/>
  <c r="AD229" i="1"/>
  <c r="AC229" i="1"/>
  <c r="AB229" i="1"/>
  <c r="AE223" i="1"/>
  <c r="AD223" i="1"/>
  <c r="AC223" i="1"/>
  <c r="AB223" i="1"/>
  <c r="AE227" i="1"/>
  <c r="AD227" i="1"/>
  <c r="AC227" i="1"/>
  <c r="AB227" i="1"/>
  <c r="AE225" i="1"/>
  <c r="AD225" i="1"/>
  <c r="AC225" i="1"/>
  <c r="AB225" i="1"/>
  <c r="AE226" i="1"/>
  <c r="AD226" i="1"/>
  <c r="AC226" i="1"/>
  <c r="AB226" i="1"/>
  <c r="P3377" i="1"/>
  <c r="Q3377" i="1" s="1"/>
  <c r="AA3383" i="1"/>
  <c r="Z3383" i="1"/>
  <c r="Y3383" i="1"/>
  <c r="AB3408" i="1"/>
  <c r="AD3408" i="1"/>
  <c r="AE3408" i="1"/>
  <c r="AC3408" i="1"/>
  <c r="AB3407" i="1"/>
  <c r="AD3407" i="1"/>
  <c r="AE3407" i="1"/>
  <c r="AC3407" i="1"/>
  <c r="X3382" i="1"/>
  <c r="AE3382" i="1" s="1"/>
  <c r="AA3382" i="1"/>
  <c r="AB3403" i="1"/>
  <c r="AD3403" i="1"/>
  <c r="AE3403" i="1"/>
  <c r="AC3403" i="1"/>
  <c r="AB3402" i="1"/>
  <c r="AD3402" i="1"/>
  <c r="AE3402" i="1"/>
  <c r="AC3402" i="1"/>
  <c r="AB3399" i="1"/>
  <c r="AD3399" i="1"/>
  <c r="AE3399" i="1"/>
  <c r="AC3399" i="1"/>
  <c r="X3380" i="1"/>
  <c r="AA3401" i="1"/>
  <c r="Z3401" i="1"/>
  <c r="Y3401" i="1"/>
  <c r="AB3400" i="1"/>
  <c r="AD3400" i="1"/>
  <c r="AE3400" i="1"/>
  <c r="AC3400" i="1"/>
  <c r="AB3398" i="1"/>
  <c r="AD3398" i="1"/>
  <c r="AE3398" i="1"/>
  <c r="AC3398" i="1"/>
  <c r="AB3406" i="1"/>
  <c r="AD3406" i="1"/>
  <c r="AE3406" i="1"/>
  <c r="AC3406" i="1"/>
  <c r="X3372" i="1"/>
  <c r="L3377" i="1"/>
  <c r="I3377" i="1"/>
  <c r="L3376" i="1"/>
  <c r="L3371" i="1"/>
  <c r="L3370" i="1"/>
  <c r="L3367" i="1"/>
  <c r="L3369" i="1"/>
  <c r="I3367" i="1"/>
  <c r="I3369" i="1"/>
  <c r="I3370" i="1"/>
  <c r="I3371" i="1"/>
  <c r="I3376" i="1"/>
  <c r="L3365" i="1"/>
  <c r="I3365" i="1"/>
  <c r="L3364" i="1"/>
  <c r="L3363" i="1"/>
  <c r="I3364" i="1"/>
  <c r="I3363" i="1"/>
  <c r="L3362" i="1"/>
  <c r="I3362" i="1"/>
  <c r="I3361" i="1"/>
  <c r="L3361" i="1"/>
  <c r="L3360" i="1"/>
  <c r="I3360" i="1"/>
  <c r="L3359" i="1"/>
  <c r="I3359" i="1"/>
  <c r="AE220" i="1" l="1"/>
  <c r="AD220" i="1"/>
  <c r="AC220" i="1"/>
  <c r="AB220" i="1"/>
  <c r="AA3377" i="1"/>
  <c r="Z3377" i="1"/>
  <c r="AB3377" i="1"/>
  <c r="Y3377" i="1"/>
  <c r="AB3401" i="1"/>
  <c r="AD3401" i="1"/>
  <c r="AE3401" i="1"/>
  <c r="AC3401" i="1"/>
  <c r="AB3380" i="1"/>
  <c r="AD3380" i="1"/>
  <c r="AE3380" i="1"/>
  <c r="AC3380" i="1"/>
  <c r="AB3383" i="1"/>
  <c r="AD3383" i="1"/>
  <c r="AE3383" i="1"/>
  <c r="AC3383" i="1"/>
  <c r="AB3372" i="1"/>
  <c r="AD3372" i="1"/>
  <c r="AE3372" i="1"/>
  <c r="AC3372" i="1"/>
  <c r="W3170" i="1"/>
  <c r="V3170" i="1"/>
  <c r="O3170" i="1"/>
  <c r="P3170" i="1" s="1"/>
  <c r="Q3170" i="1" s="1"/>
  <c r="O3169" i="1"/>
  <c r="P3169" i="1" s="1"/>
  <c r="Q3169" i="1" s="1"/>
  <c r="L3170" i="1"/>
  <c r="V3169" i="1"/>
  <c r="X3169" i="1" s="1"/>
  <c r="L3169" i="1"/>
  <c r="I3169" i="1"/>
  <c r="I3170" i="1"/>
  <c r="L3168" i="1"/>
  <c r="W3168" i="1"/>
  <c r="Q3168" i="1" s="1"/>
  <c r="L3166" i="1"/>
  <c r="I3166" i="1"/>
  <c r="L3167" i="1"/>
  <c r="L3165" i="1"/>
  <c r="L3164" i="1"/>
  <c r="G3163" i="1"/>
  <c r="P3163" i="1" s="1"/>
  <c r="Q3163" i="1" s="1"/>
  <c r="G3141" i="1"/>
  <c r="P3141" i="1" s="1"/>
  <c r="Q3141" i="1" s="1"/>
  <c r="X3163" i="1"/>
  <c r="L3163" i="1"/>
  <c r="O3162" i="1"/>
  <c r="P3162" i="1" s="1"/>
  <c r="Q3162" i="1" s="1"/>
  <c r="L3162" i="1"/>
  <c r="L3161" i="1"/>
  <c r="I3161" i="1"/>
  <c r="I3162" i="1"/>
  <c r="I3163" i="1"/>
  <c r="I3164" i="1"/>
  <c r="I3165" i="1"/>
  <c r="L3160" i="1"/>
  <c r="I3160" i="1"/>
  <c r="I3167" i="1"/>
  <c r="L3159" i="1"/>
  <c r="V3159" i="1"/>
  <c r="L3157" i="1"/>
  <c r="L3158" i="1"/>
  <c r="I3157" i="1"/>
  <c r="I3158" i="1"/>
  <c r="I3159" i="1"/>
  <c r="I3168" i="1"/>
  <c r="I3171" i="1"/>
  <c r="L3156" i="1"/>
  <c r="I3156" i="1"/>
  <c r="L3155" i="1"/>
  <c r="I3155" i="1"/>
  <c r="I3154" i="1"/>
  <c r="L3154" i="1"/>
  <c r="X3170" i="1" l="1"/>
  <c r="AE3377" i="1"/>
  <c r="AC3377" i="1"/>
  <c r="AD3377" i="1"/>
  <c r="AA3162" i="1"/>
  <c r="Y3162" i="1"/>
  <c r="Z3162" i="1"/>
  <c r="AA3169" i="1"/>
  <c r="Z3169" i="1"/>
  <c r="Y3169" i="1"/>
  <c r="X3168" i="1"/>
  <c r="AA3170" i="1"/>
  <c r="Y3170" i="1"/>
  <c r="Z3170" i="1"/>
  <c r="Z3141" i="1"/>
  <c r="AA3141" i="1"/>
  <c r="Y3141" i="1"/>
  <c r="AA3163" i="1"/>
  <c r="Y3163" i="1"/>
  <c r="Z3163" i="1"/>
  <c r="X3159" i="1"/>
  <c r="AE3159" i="1" s="1"/>
  <c r="AA3159" i="1"/>
  <c r="L3172" i="1"/>
  <c r="L3171" i="1"/>
  <c r="I3172" i="1"/>
  <c r="I3173" i="1"/>
  <c r="I3174" i="1"/>
  <c r="I3175" i="1"/>
  <c r="I3176" i="1"/>
  <c r="I3177" i="1"/>
  <c r="I3178" i="1"/>
  <c r="I3179" i="1"/>
  <c r="I3180" i="1"/>
  <c r="O3153" i="1"/>
  <c r="P3153" i="1" s="1"/>
  <c r="Q3153" i="1" s="1"/>
  <c r="G3153" i="1"/>
  <c r="L3153" i="1"/>
  <c r="I3153" i="1"/>
  <c r="L3152" i="1"/>
  <c r="I3152" i="1"/>
  <c r="L3150" i="1"/>
  <c r="I3150" i="1"/>
  <c r="L3151" i="1"/>
  <c r="I3151" i="1"/>
  <c r="L3148" i="1"/>
  <c r="I3148" i="1"/>
  <c r="L3149" i="1"/>
  <c r="I3149" i="1"/>
  <c r="G3147" i="1"/>
  <c r="P3147" i="1" s="1"/>
  <c r="Q3147" i="1" s="1"/>
  <c r="I3147" i="1"/>
  <c r="L3147" i="1"/>
  <c r="G3146" i="1"/>
  <c r="P3146" i="1" s="1"/>
  <c r="Q3146" i="1" s="1"/>
  <c r="L3146" i="1"/>
  <c r="I3146" i="1"/>
  <c r="I3145" i="1"/>
  <c r="G3145" i="1"/>
  <c r="P3145" i="1" s="1"/>
  <c r="Q3145" i="1" s="1"/>
  <c r="L3145" i="1"/>
  <c r="L3139" i="1"/>
  <c r="I3139" i="1"/>
  <c r="G3139" i="1"/>
  <c r="P3139" i="1" s="1"/>
  <c r="Q3139" i="1" s="1"/>
  <c r="L3144" i="1"/>
  <c r="I3144" i="1"/>
  <c r="L3143" i="1"/>
  <c r="I3143" i="1"/>
  <c r="W3142" i="1"/>
  <c r="Q3142" i="1" s="1"/>
  <c r="L3142" i="1"/>
  <c r="I3142" i="1"/>
  <c r="L3140" i="1"/>
  <c r="I3140" i="1"/>
  <c r="W3138" i="1"/>
  <c r="Q3138" i="1" s="1"/>
  <c r="L3138" i="1"/>
  <c r="I3138" i="1"/>
  <c r="L3141" i="1"/>
  <c r="L3137" i="1"/>
  <c r="L3136" i="1"/>
  <c r="L3135" i="1"/>
  <c r="I3141" i="1"/>
  <c r="I3137" i="1"/>
  <c r="I3136" i="1"/>
  <c r="I3135" i="1"/>
  <c r="L3133" i="1"/>
  <c r="L3134" i="1"/>
  <c r="I3134" i="1"/>
  <c r="I3133" i="1"/>
  <c r="T3131" i="1"/>
  <c r="I3132" i="1"/>
  <c r="L3132" i="1"/>
  <c r="L3131" i="1"/>
  <c r="I3131" i="1"/>
  <c r="W3130" i="1"/>
  <c r="Q3130" i="1" s="1"/>
  <c r="L3130" i="1"/>
  <c r="I3130" i="1"/>
  <c r="L3128" i="1"/>
  <c r="I3128" i="1"/>
  <c r="L3129" i="1"/>
  <c r="I3129" i="1"/>
  <c r="I3127" i="1"/>
  <c r="L3125" i="1"/>
  <c r="L3126" i="1"/>
  <c r="L3127" i="1"/>
  <c r="I3126" i="1"/>
  <c r="I3125" i="1"/>
  <c r="W3127" i="1"/>
  <c r="Q3127" i="1" s="1"/>
  <c r="L3348" i="1"/>
  <c r="I3348" i="1"/>
  <c r="L3347" i="1"/>
  <c r="I3346" i="1"/>
  <c r="I3347" i="1"/>
  <c r="I3387" i="1"/>
  <c r="I3388" i="1"/>
  <c r="I3389" i="1"/>
  <c r="I3390" i="1"/>
  <c r="I3391" i="1"/>
  <c r="L3040" i="1"/>
  <c r="L3039" i="1"/>
  <c r="I3039" i="1"/>
  <c r="I3040" i="1"/>
  <c r="I3041" i="1"/>
  <c r="I3042" i="1"/>
  <c r="L3038" i="1"/>
  <c r="V3038" i="1"/>
  <c r="L3037" i="1"/>
  <c r="I3036" i="1"/>
  <c r="I3035" i="1"/>
  <c r="L3034" i="1"/>
  <c r="L3035" i="1"/>
  <c r="L3036" i="1"/>
  <c r="L3033" i="1"/>
  <c r="L3032" i="1"/>
  <c r="L3031" i="1"/>
  <c r="L3030" i="1"/>
  <c r="I3033" i="1"/>
  <c r="I3034" i="1"/>
  <c r="I3037" i="1"/>
  <c r="I3038" i="1"/>
  <c r="I3043" i="1"/>
  <c r="W3032" i="1"/>
  <c r="Q3032" i="1" s="1"/>
  <c r="I3030" i="1"/>
  <c r="I3031" i="1"/>
  <c r="I3032" i="1"/>
  <c r="W3029" i="1"/>
  <c r="Q3029" i="1" s="1"/>
  <c r="L3029" i="1"/>
  <c r="L3028" i="1"/>
  <c r="L3027" i="1"/>
  <c r="L3026" i="1"/>
  <c r="I3026" i="1"/>
  <c r="I3027" i="1"/>
  <c r="I3028" i="1"/>
  <c r="I3029" i="1"/>
  <c r="I3044" i="1"/>
  <c r="I3045" i="1"/>
  <c r="I3025" i="1"/>
  <c r="G3025" i="1"/>
  <c r="P3025" i="1" s="1"/>
  <c r="Q3025" i="1" s="1"/>
  <c r="L3025" i="1"/>
  <c r="V3024" i="1"/>
  <c r="X3024" i="1" s="1"/>
  <c r="G3024" i="1"/>
  <c r="P3024" i="1" s="1"/>
  <c r="Q3024" i="1" s="1"/>
  <c r="L3024" i="1"/>
  <c r="I3024" i="1"/>
  <c r="L3023" i="1"/>
  <c r="I3023" i="1"/>
  <c r="L3022" i="1"/>
  <c r="I3022" i="1"/>
  <c r="W3021" i="1"/>
  <c r="Q3021" i="1" s="1"/>
  <c r="L3021" i="1"/>
  <c r="I3021" i="1"/>
  <c r="L909" i="1"/>
  <c r="I909" i="1"/>
  <c r="L908" i="1"/>
  <c r="I908" i="1"/>
  <c r="L910" i="1"/>
  <c r="I910" i="1"/>
  <c r="L902" i="1"/>
  <c r="O902" i="1"/>
  <c r="P902" i="1" s="1"/>
  <c r="Q902" i="1" s="1"/>
  <c r="I902" i="1"/>
  <c r="I903" i="1"/>
  <c r="I904" i="1"/>
  <c r="I905" i="1"/>
  <c r="I906" i="1"/>
  <c r="I907" i="1"/>
  <c r="W903" i="1"/>
  <c r="Q903" i="1" s="1"/>
  <c r="M904" i="1"/>
  <c r="O904" i="1" s="1"/>
  <c r="P904" i="1" s="1"/>
  <c r="Q904" i="1" s="1"/>
  <c r="L904" i="1"/>
  <c r="L901" i="1"/>
  <c r="I901" i="1"/>
  <c r="L907" i="1"/>
  <c r="X3127" i="1" l="1"/>
  <c r="X3138" i="1"/>
  <c r="AB3169" i="1"/>
  <c r="AC3169" i="1"/>
  <c r="AD3169" i="1"/>
  <c r="AE3169" i="1"/>
  <c r="Y904" i="1"/>
  <c r="Z904" i="1"/>
  <c r="AA904" i="1"/>
  <c r="AB3170" i="1"/>
  <c r="AC3170" i="1"/>
  <c r="AD3170" i="1"/>
  <c r="AE3170" i="1"/>
  <c r="X903" i="1"/>
  <c r="Y3024" i="1"/>
  <c r="Z3024" i="1"/>
  <c r="AA3024" i="1"/>
  <c r="AB3163" i="1"/>
  <c r="AC3163" i="1"/>
  <c r="AD3163" i="1"/>
  <c r="AE3163" i="1"/>
  <c r="X900" i="1"/>
  <c r="Z3146" i="1"/>
  <c r="AA3146" i="1"/>
  <c r="Y3146" i="1"/>
  <c r="X3021" i="1"/>
  <c r="AB3162" i="1"/>
  <c r="AC3162" i="1"/>
  <c r="AD3162" i="1"/>
  <c r="AE3162" i="1"/>
  <c r="Y3025" i="1"/>
  <c r="Z3025" i="1"/>
  <c r="AA3025" i="1"/>
  <c r="Y902" i="1"/>
  <c r="Z902" i="1"/>
  <c r="AA902" i="1"/>
  <c r="X3029" i="1"/>
  <c r="S3131" i="1"/>
  <c r="AC3131" i="1" s="1"/>
  <c r="AD3131" i="1"/>
  <c r="Z3139" i="1"/>
  <c r="AA3139" i="1"/>
  <c r="Y3139" i="1"/>
  <c r="X3130" i="1"/>
  <c r="X3142" i="1"/>
  <c r="AA3147" i="1"/>
  <c r="Y3147" i="1"/>
  <c r="Z3147" i="1"/>
  <c r="AD3141" i="1"/>
  <c r="AE3141" i="1"/>
  <c r="AB3141" i="1"/>
  <c r="AC3141" i="1"/>
  <c r="AB3168" i="1"/>
  <c r="AC3168" i="1"/>
  <c r="AD3168" i="1"/>
  <c r="AE3168" i="1"/>
  <c r="X3032" i="1"/>
  <c r="X3038" i="1"/>
  <c r="AE3038" i="1" s="1"/>
  <c r="AA3038" i="1"/>
  <c r="Z3145" i="1"/>
  <c r="AA3145" i="1"/>
  <c r="Y3145" i="1"/>
  <c r="O898" i="1"/>
  <c r="P898" i="1" s="1"/>
  <c r="Q898" i="1" s="1"/>
  <c r="W897" i="1"/>
  <c r="Q897" i="1" s="1"/>
  <c r="O894" i="1"/>
  <c r="P894" i="1" s="1"/>
  <c r="Q894" i="1" s="1"/>
  <c r="W892" i="1"/>
  <c r="Q892" i="1" s="1"/>
  <c r="O889" i="1"/>
  <c r="P889" i="1" s="1"/>
  <c r="Q889" i="1" s="1"/>
  <c r="O888" i="1"/>
  <c r="P888" i="1" s="1"/>
  <c r="Q888" i="1" s="1"/>
  <c r="O887" i="1"/>
  <c r="P887" i="1" s="1"/>
  <c r="Q887" i="1" s="1"/>
  <c r="O886" i="1"/>
  <c r="P886" i="1" s="1"/>
  <c r="Q886" i="1" s="1"/>
  <c r="O885" i="1"/>
  <c r="P885" i="1" s="1"/>
  <c r="Q885" i="1" s="1"/>
  <c r="O884" i="1"/>
  <c r="P884" i="1" s="1"/>
  <c r="Q884" i="1" s="1"/>
  <c r="O881" i="1"/>
  <c r="P881" i="1" s="1"/>
  <c r="Q881" i="1" s="1"/>
  <c r="O880" i="1"/>
  <c r="P880" i="1" s="1"/>
  <c r="Q880" i="1" s="1"/>
  <c r="AA898" i="1" l="1"/>
  <c r="Y898" i="1"/>
  <c r="Z898" i="1"/>
  <c r="AD3130" i="1"/>
  <c r="AE3130" i="1"/>
  <c r="AB3130" i="1"/>
  <c r="AC3130" i="1"/>
  <c r="AC903" i="1"/>
  <c r="AB903" i="1"/>
  <c r="AD903" i="1"/>
  <c r="AE903" i="1"/>
  <c r="Y886" i="1"/>
  <c r="AA886" i="1"/>
  <c r="Z886" i="1"/>
  <c r="AD3146" i="1"/>
  <c r="AE3146" i="1"/>
  <c r="AB3146" i="1"/>
  <c r="AC3146" i="1"/>
  <c r="Y887" i="1"/>
  <c r="Z887" i="1"/>
  <c r="AA887" i="1"/>
  <c r="AD3145" i="1"/>
  <c r="AE3145" i="1"/>
  <c r="AB3145" i="1"/>
  <c r="AC3145" i="1"/>
  <c r="AD3147" i="1"/>
  <c r="AE3147" i="1"/>
  <c r="AB3147" i="1"/>
  <c r="AC3147" i="1"/>
  <c r="AD3139" i="1"/>
  <c r="AE3139" i="1"/>
  <c r="AB3139" i="1"/>
  <c r="AC3139" i="1"/>
  <c r="X897" i="1"/>
  <c r="Y888" i="1"/>
  <c r="Z888" i="1"/>
  <c r="AA888" i="1"/>
  <c r="AD3127" i="1"/>
  <c r="AE3127" i="1"/>
  <c r="AB3127" i="1"/>
  <c r="AC3127" i="1"/>
  <c r="Y889" i="1"/>
  <c r="Z889" i="1"/>
  <c r="AA889" i="1"/>
  <c r="Y880" i="1"/>
  <c r="Z880" i="1"/>
  <c r="AA880" i="1"/>
  <c r="AC902" i="1"/>
  <c r="AD902" i="1"/>
  <c r="AE902" i="1"/>
  <c r="AB902" i="1"/>
  <c r="AD3138" i="1"/>
  <c r="AE3138" i="1"/>
  <c r="AB3138" i="1"/>
  <c r="AC3138" i="1"/>
  <c r="Y884" i="1"/>
  <c r="Z884" i="1"/>
  <c r="AA884" i="1"/>
  <c r="AC3021" i="1"/>
  <c r="AD3021" i="1"/>
  <c r="AE3021" i="1"/>
  <c r="AB3021" i="1"/>
  <c r="Y885" i="1"/>
  <c r="Z885" i="1"/>
  <c r="AA885" i="1"/>
  <c r="AC3032" i="1"/>
  <c r="AD3032" i="1"/>
  <c r="AE3032" i="1"/>
  <c r="AB3032" i="1"/>
  <c r="AC3029" i="1"/>
  <c r="AD3029" i="1"/>
  <c r="AE3029" i="1"/>
  <c r="AB3029" i="1"/>
  <c r="AC3024" i="1"/>
  <c r="AD3024" i="1"/>
  <c r="AE3024" i="1"/>
  <c r="AB3024" i="1"/>
  <c r="X892" i="1"/>
  <c r="Y881" i="1"/>
  <c r="Z881" i="1"/>
  <c r="AA881" i="1"/>
  <c r="Y894" i="1"/>
  <c r="Z894" i="1"/>
  <c r="AA894" i="1"/>
  <c r="AD3142" i="1"/>
  <c r="AE3142" i="1"/>
  <c r="AB3142" i="1"/>
  <c r="AC3142" i="1"/>
  <c r="AC3025" i="1"/>
  <c r="AD3025" i="1"/>
  <c r="AE3025" i="1"/>
  <c r="AB3025" i="1"/>
  <c r="AA3153" i="1"/>
  <c r="Y3153" i="1"/>
  <c r="Z3153" i="1"/>
  <c r="AE900" i="1"/>
  <c r="AC904" i="1"/>
  <c r="AB904" i="1"/>
  <c r="AD904" i="1"/>
  <c r="AE904" i="1"/>
  <c r="O877" i="1"/>
  <c r="P877" i="1" s="1"/>
  <c r="Q877" i="1" s="1"/>
  <c r="O876" i="1"/>
  <c r="P876" i="1" s="1"/>
  <c r="Q876" i="1" s="1"/>
  <c r="O875" i="1"/>
  <c r="P875" i="1" s="1"/>
  <c r="Q875" i="1" s="1"/>
  <c r="O874" i="1"/>
  <c r="P874" i="1" s="1"/>
  <c r="Q874" i="1" s="1"/>
  <c r="O873" i="1"/>
  <c r="P873" i="1" s="1"/>
  <c r="Q873" i="1" s="1"/>
  <c r="O871" i="1"/>
  <c r="P871" i="1" s="1"/>
  <c r="Q871" i="1" s="1"/>
  <c r="O872" i="1"/>
  <c r="P872" i="1" s="1"/>
  <c r="Q872" i="1" s="1"/>
  <c r="O870" i="1"/>
  <c r="P870" i="1" s="1"/>
  <c r="Q870" i="1" s="1"/>
  <c r="O867" i="1"/>
  <c r="P867" i="1" s="1"/>
  <c r="Q867" i="1" s="1"/>
  <c r="O3112" i="1"/>
  <c r="P3112" i="1" s="1"/>
  <c r="Q3112" i="1" s="1"/>
  <c r="I3112" i="1"/>
  <c r="W3112" i="1"/>
  <c r="V3112" i="1"/>
  <c r="T3112" i="1"/>
  <c r="S3112" i="1"/>
  <c r="R3112" i="1"/>
  <c r="M3113" i="1"/>
  <c r="O3113" i="1" s="1"/>
  <c r="P3113" i="1" s="1"/>
  <c r="Q3113" i="1" s="1"/>
  <c r="L3112" i="1"/>
  <c r="W3113" i="1"/>
  <c r="V3113" i="1"/>
  <c r="U3113" i="1"/>
  <c r="R3113" i="1"/>
  <c r="L3113" i="1"/>
  <c r="I3113" i="1"/>
  <c r="V3123" i="1"/>
  <c r="X3123" i="1" s="1"/>
  <c r="R3123" i="1"/>
  <c r="U3123" i="1" s="1"/>
  <c r="O3123" i="1"/>
  <c r="P3123" i="1" s="1"/>
  <c r="Q3123" i="1" s="1"/>
  <c r="L3123" i="1"/>
  <c r="I3123" i="1"/>
  <c r="V3117" i="1"/>
  <c r="X3117" i="1" s="1"/>
  <c r="R3117" i="1"/>
  <c r="U3117" i="1" s="1"/>
  <c r="O3117" i="1"/>
  <c r="P3117" i="1" s="1"/>
  <c r="Q3117" i="1" s="1"/>
  <c r="L3117" i="1"/>
  <c r="I3117" i="1"/>
  <c r="L3124" i="1"/>
  <c r="L3122" i="1"/>
  <c r="I3124" i="1"/>
  <c r="I3122" i="1"/>
  <c r="W3121" i="1"/>
  <c r="V3121" i="1"/>
  <c r="O3121" i="1"/>
  <c r="P3121" i="1" s="1"/>
  <c r="Q3121" i="1" s="1"/>
  <c r="L3121" i="1"/>
  <c r="L3120" i="1"/>
  <c r="L3119" i="1"/>
  <c r="O3119" i="1"/>
  <c r="P3119" i="1" s="1"/>
  <c r="Q3119" i="1" s="1"/>
  <c r="O3118" i="1"/>
  <c r="P3118" i="1" s="1"/>
  <c r="Q3118" i="1" s="1"/>
  <c r="L3118" i="1"/>
  <c r="I3120" i="1"/>
  <c r="I3119" i="1"/>
  <c r="I3118" i="1"/>
  <c r="W3116" i="1"/>
  <c r="V3116" i="1"/>
  <c r="O3116" i="1"/>
  <c r="P3116" i="1" s="1"/>
  <c r="Q3116" i="1" s="1"/>
  <c r="L3116" i="1"/>
  <c r="W3115" i="1"/>
  <c r="V3115" i="1"/>
  <c r="O3115" i="1"/>
  <c r="P3115" i="1" s="1"/>
  <c r="Q3115" i="1" s="1"/>
  <c r="L3115" i="1"/>
  <c r="W3114" i="1"/>
  <c r="V3114" i="1"/>
  <c r="O3114" i="1"/>
  <c r="P3114" i="1" s="1"/>
  <c r="Q3114" i="1" s="1"/>
  <c r="L3114" i="1"/>
  <c r="I3116" i="1"/>
  <c r="I3115" i="1"/>
  <c r="I3114" i="1"/>
  <c r="O3111" i="1"/>
  <c r="P3111" i="1" s="1"/>
  <c r="Q3111" i="1" s="1"/>
  <c r="L3111" i="1"/>
  <c r="M3110" i="1"/>
  <c r="O3110" i="1" s="1"/>
  <c r="G3110" i="1"/>
  <c r="L3110" i="1"/>
  <c r="V3109" i="1"/>
  <c r="X3109" i="1" s="1"/>
  <c r="O3109" i="1"/>
  <c r="P3109" i="1" s="1"/>
  <c r="Q3109" i="1" s="1"/>
  <c r="O3107" i="1"/>
  <c r="P3107" i="1" s="1"/>
  <c r="Q3107" i="1" s="1"/>
  <c r="O3106" i="1"/>
  <c r="P3106" i="1" s="1"/>
  <c r="Q3106" i="1" s="1"/>
  <c r="O3105" i="1"/>
  <c r="L3109" i="1"/>
  <c r="M3108" i="1"/>
  <c r="O3108" i="1" s="1"/>
  <c r="G3108" i="1"/>
  <c r="L3108" i="1"/>
  <c r="L3105" i="1"/>
  <c r="L3106" i="1"/>
  <c r="L3107" i="1"/>
  <c r="G3105" i="1"/>
  <c r="I3111" i="1"/>
  <c r="I3110" i="1"/>
  <c r="I3109" i="1"/>
  <c r="I3108" i="1"/>
  <c r="I3121" i="1"/>
  <c r="U3102" i="1"/>
  <c r="T3102" i="1"/>
  <c r="R3102" i="1"/>
  <c r="S3102" i="1"/>
  <c r="G3104" i="1"/>
  <c r="G3103" i="1"/>
  <c r="O3104" i="1"/>
  <c r="O3103" i="1"/>
  <c r="L3104" i="1"/>
  <c r="L3103" i="1"/>
  <c r="I3105" i="1"/>
  <c r="I3104" i="1"/>
  <c r="I3103" i="1"/>
  <c r="W3102" i="1"/>
  <c r="V3102" i="1"/>
  <c r="W3100" i="1"/>
  <c r="Q3100" i="1" s="1"/>
  <c r="O3102" i="1"/>
  <c r="P3102" i="1" s="1"/>
  <c r="L3102" i="1"/>
  <c r="L3101" i="1"/>
  <c r="L3100" i="1"/>
  <c r="I3102" i="1"/>
  <c r="I3101" i="1"/>
  <c r="I3100" i="1"/>
  <c r="L3099" i="1"/>
  <c r="L3098" i="1"/>
  <c r="L3097" i="1"/>
  <c r="L3095" i="1"/>
  <c r="I3095" i="1"/>
  <c r="L3094" i="1"/>
  <c r="L3096" i="1"/>
  <c r="I3094" i="1"/>
  <c r="G3094" i="1"/>
  <c r="P3094" i="1" s="1"/>
  <c r="Q3094" i="1" s="1"/>
  <c r="G3096" i="1"/>
  <c r="P3096" i="1" s="1"/>
  <c r="Q3096" i="1" s="1"/>
  <c r="L3093" i="1"/>
  <c r="L3092" i="1"/>
  <c r="L3090" i="1"/>
  <c r="L3091" i="1"/>
  <c r="I3091" i="1"/>
  <c r="I3092" i="1"/>
  <c r="I3093" i="1"/>
  <c r="I3096" i="1"/>
  <c r="I3097" i="1"/>
  <c r="I3098" i="1"/>
  <c r="I3099" i="1"/>
  <c r="I3106" i="1"/>
  <c r="I3107" i="1"/>
  <c r="G3086" i="1"/>
  <c r="P3086" i="1" s="1"/>
  <c r="Q3086" i="1" s="1"/>
  <c r="L3088" i="1"/>
  <c r="I3088" i="1"/>
  <c r="G3087" i="1"/>
  <c r="P3087" i="1" s="1"/>
  <c r="Q3087" i="1" s="1"/>
  <c r="L3086" i="1"/>
  <c r="L3087" i="1"/>
  <c r="I3086" i="1"/>
  <c r="L3089" i="1"/>
  <c r="G3089" i="1"/>
  <c r="P3089" i="1" s="1"/>
  <c r="Q3089" i="1" s="1"/>
  <c r="G3085" i="1"/>
  <c r="P3085" i="1" s="1"/>
  <c r="Q3085" i="1" s="1"/>
  <c r="L3085" i="1"/>
  <c r="I3085" i="1"/>
  <c r="I3087" i="1"/>
  <c r="I3089" i="1"/>
  <c r="I3090" i="1"/>
  <c r="L3082" i="1"/>
  <c r="L3084" i="1"/>
  <c r="L3083" i="1"/>
  <c r="I3082" i="1"/>
  <c r="I3083" i="1"/>
  <c r="W3081" i="1"/>
  <c r="Q3081" i="1" s="1"/>
  <c r="L3081" i="1"/>
  <c r="R3090" i="1"/>
  <c r="O3090" i="1"/>
  <c r="P3090" i="1" s="1"/>
  <c r="Q3090" i="1" s="1"/>
  <c r="W3090" i="1"/>
  <c r="V3090" i="1"/>
  <c r="I3084" i="1"/>
  <c r="I3081" i="1"/>
  <c r="O3339" i="1"/>
  <c r="P3339" i="1" s="1"/>
  <c r="Q3339" i="1" s="1"/>
  <c r="O3341" i="1"/>
  <c r="P3341" i="1" s="1"/>
  <c r="Q3341" i="1" s="1"/>
  <c r="O3337" i="1"/>
  <c r="P3337" i="1" s="1"/>
  <c r="Q3337" i="1" s="1"/>
  <c r="O3336" i="1"/>
  <c r="P3336" i="1" s="1"/>
  <c r="Q3336" i="1" s="1"/>
  <c r="G3339" i="1"/>
  <c r="L3339" i="1"/>
  <c r="I3339" i="1"/>
  <c r="L3340" i="1"/>
  <c r="I3340" i="1"/>
  <c r="L3338" i="1"/>
  <c r="L3341" i="1"/>
  <c r="I3341" i="1"/>
  <c r="L3337" i="1"/>
  <c r="L3336" i="1"/>
  <c r="W3334" i="1"/>
  <c r="Q3334" i="1" s="1"/>
  <c r="W3333" i="1"/>
  <c r="Q3333" i="1" s="1"/>
  <c r="L3334" i="1"/>
  <c r="I3334" i="1"/>
  <c r="L3335" i="1"/>
  <c r="I3335" i="1"/>
  <c r="L3333" i="1"/>
  <c r="I3333" i="1"/>
  <c r="I3337" i="1"/>
  <c r="I3336" i="1"/>
  <c r="V3332" i="1"/>
  <c r="L3332" i="1"/>
  <c r="W3331" i="1"/>
  <c r="Q3331" i="1" s="1"/>
  <c r="W3330" i="1"/>
  <c r="Q3330" i="1" s="1"/>
  <c r="L3331" i="1"/>
  <c r="I3331" i="1"/>
  <c r="L3330" i="1"/>
  <c r="W3329" i="1"/>
  <c r="Q3329" i="1" s="1"/>
  <c r="L3329" i="1"/>
  <c r="W3328" i="1"/>
  <c r="Q3328" i="1" s="1"/>
  <c r="L3328" i="1"/>
  <c r="W3327" i="1"/>
  <c r="X3327" i="1" s="1"/>
  <c r="O3327" i="1"/>
  <c r="P3327" i="1" s="1"/>
  <c r="L3327" i="1"/>
  <c r="I3330" i="1"/>
  <c r="I3329" i="1"/>
  <c r="I3328" i="1"/>
  <c r="I3327" i="1"/>
  <c r="I3332" i="1"/>
  <c r="L3326" i="1"/>
  <c r="W3326" i="1"/>
  <c r="Q3326" i="1" s="1"/>
  <c r="W3325" i="1"/>
  <c r="Q3325" i="1" s="1"/>
  <c r="L3325" i="1"/>
  <c r="L3324" i="1"/>
  <c r="L3323" i="1"/>
  <c r="L3321" i="1"/>
  <c r="I3321" i="1"/>
  <c r="L3322" i="1"/>
  <c r="I3322" i="1"/>
  <c r="W3313" i="1"/>
  <c r="Q3313" i="1" s="1"/>
  <c r="L3313" i="1"/>
  <c r="I3313" i="1"/>
  <c r="L3315" i="1"/>
  <c r="I3315" i="1"/>
  <c r="V3319" i="1"/>
  <c r="L3319" i="1"/>
  <c r="L3320" i="1"/>
  <c r="L3314" i="1"/>
  <c r="I3314" i="1"/>
  <c r="O3318" i="1"/>
  <c r="P3318" i="1" s="1"/>
  <c r="Q3318" i="1" s="1"/>
  <c r="L3318" i="1"/>
  <c r="I3324" i="1"/>
  <c r="I3323" i="1"/>
  <c r="I3320" i="1"/>
  <c r="I3326" i="1"/>
  <c r="I3325" i="1"/>
  <c r="W3317" i="1"/>
  <c r="Q3317" i="1" s="1"/>
  <c r="I3307" i="1"/>
  <c r="I3308" i="1"/>
  <c r="I3309" i="1"/>
  <c r="I3310" i="1"/>
  <c r="I3311" i="1"/>
  <c r="I3312" i="1"/>
  <c r="I3316" i="1"/>
  <c r="I3317" i="1"/>
  <c r="I3318" i="1"/>
  <c r="I3319" i="1"/>
  <c r="I3338" i="1"/>
  <c r="I3342" i="1"/>
  <c r="L3317" i="1"/>
  <c r="L3316" i="1"/>
  <c r="L3312" i="1"/>
  <c r="L3311" i="1"/>
  <c r="W3311" i="1"/>
  <c r="X3311" i="1" s="1"/>
  <c r="O3311" i="1"/>
  <c r="P3311" i="1" s="1"/>
  <c r="R3311" i="1"/>
  <c r="W3310" i="1"/>
  <c r="X3310" i="1" s="1"/>
  <c r="O3310" i="1"/>
  <c r="P3310" i="1" s="1"/>
  <c r="Q3310" i="1" s="1"/>
  <c r="L3310" i="1"/>
  <c r="P3110" i="1" l="1"/>
  <c r="Q3110" i="1" s="1"/>
  <c r="Q3311" i="1"/>
  <c r="P3105" i="1"/>
  <c r="Q3105" i="1" s="1"/>
  <c r="Q3102" i="1"/>
  <c r="P3103" i="1"/>
  <c r="Q3103" i="1" s="1"/>
  <c r="Q3327" i="1"/>
  <c r="P3104" i="1"/>
  <c r="Q3104" i="1" s="1"/>
  <c r="P3108" i="1"/>
  <c r="Q3108" i="1" s="1"/>
  <c r="X3102" i="1"/>
  <c r="Z3339" i="1"/>
  <c r="X3090" i="1"/>
  <c r="X3115" i="1"/>
  <c r="X3121" i="1"/>
  <c r="X3114" i="1"/>
  <c r="X3116" i="1"/>
  <c r="X3113" i="1"/>
  <c r="X3329" i="1"/>
  <c r="Z3111" i="1"/>
  <c r="AA3111" i="1"/>
  <c r="Y3111" i="1"/>
  <c r="Z3112" i="1"/>
  <c r="AA3112" i="1"/>
  <c r="Y3112" i="1"/>
  <c r="Y876" i="1"/>
  <c r="Z876" i="1"/>
  <c r="AA876" i="1"/>
  <c r="X3317" i="1"/>
  <c r="X3334" i="1"/>
  <c r="Z3096" i="1"/>
  <c r="AA3096" i="1"/>
  <c r="Y3096" i="1"/>
  <c r="Z3102" i="1"/>
  <c r="AA3102" i="1"/>
  <c r="Y3102" i="1"/>
  <c r="Z3107" i="1"/>
  <c r="AA3107" i="1"/>
  <c r="Y3107" i="1"/>
  <c r="Z3115" i="1"/>
  <c r="AA3115" i="1"/>
  <c r="Y3115" i="1"/>
  <c r="Z3121" i="1"/>
  <c r="AA3121" i="1"/>
  <c r="Y3121" i="1"/>
  <c r="Z3113" i="1"/>
  <c r="AA3113" i="1"/>
  <c r="Y3113" i="1"/>
  <c r="Y867" i="1"/>
  <c r="Z867" i="1"/>
  <c r="AA867" i="1"/>
  <c r="Y877" i="1"/>
  <c r="Z877" i="1"/>
  <c r="AA877" i="1"/>
  <c r="AC894" i="1"/>
  <c r="AD894" i="1"/>
  <c r="AE894" i="1"/>
  <c r="AB894" i="1"/>
  <c r="AC897" i="1"/>
  <c r="AB897" i="1"/>
  <c r="AD897" i="1"/>
  <c r="AE897" i="1"/>
  <c r="AC887" i="1"/>
  <c r="AD887" i="1"/>
  <c r="AE887" i="1"/>
  <c r="AB887" i="1"/>
  <c r="Z3094" i="1"/>
  <c r="AA3094" i="1"/>
  <c r="Y3094" i="1"/>
  <c r="X3100" i="1"/>
  <c r="Z3109" i="1"/>
  <c r="AA3109" i="1"/>
  <c r="Y3109" i="1"/>
  <c r="Z3117" i="1"/>
  <c r="AA3117" i="1"/>
  <c r="Y3117" i="1"/>
  <c r="Y870" i="1"/>
  <c r="Z870" i="1"/>
  <c r="AD3153" i="1"/>
  <c r="AE3153" i="1"/>
  <c r="AB3153" i="1"/>
  <c r="AC3153" i="1"/>
  <c r="X3333" i="1"/>
  <c r="Z3087" i="1"/>
  <c r="AA3087" i="1"/>
  <c r="Y3087" i="1"/>
  <c r="AA3327" i="1"/>
  <c r="Z3327" i="1"/>
  <c r="Y3327" i="1"/>
  <c r="Z3089" i="1"/>
  <c r="AA3089" i="1"/>
  <c r="Y3089" i="1"/>
  <c r="Y872" i="1"/>
  <c r="Z872" i="1"/>
  <c r="AA872" i="1"/>
  <c r="AC880" i="1"/>
  <c r="AB880" i="1"/>
  <c r="AD880" i="1"/>
  <c r="AE880" i="1"/>
  <c r="AC886" i="1"/>
  <c r="AB886" i="1"/>
  <c r="AD886" i="1"/>
  <c r="AE886" i="1"/>
  <c r="Z3106" i="1"/>
  <c r="AA3106" i="1"/>
  <c r="Y3106" i="1"/>
  <c r="X3325" i="1"/>
  <c r="AA3310" i="1"/>
  <c r="Y3310" i="1"/>
  <c r="Z3310" i="1"/>
  <c r="AA3336" i="1"/>
  <c r="Y3336" i="1"/>
  <c r="Z3336" i="1"/>
  <c r="Z3090" i="1"/>
  <c r="AA3090" i="1"/>
  <c r="Y3090" i="1"/>
  <c r="Z3118" i="1"/>
  <c r="AA3118" i="1"/>
  <c r="Y3118" i="1"/>
  <c r="Y871" i="1"/>
  <c r="Z871" i="1"/>
  <c r="AA871" i="1"/>
  <c r="AA3318" i="1"/>
  <c r="Y3318" i="1"/>
  <c r="Z3318" i="1"/>
  <c r="X3313" i="1"/>
  <c r="Z3085" i="1"/>
  <c r="AA3085" i="1"/>
  <c r="Y3085" i="1"/>
  <c r="X3326" i="1"/>
  <c r="Z3086" i="1"/>
  <c r="AA3086" i="1"/>
  <c r="Y3086" i="1"/>
  <c r="X3330" i="1"/>
  <c r="X3319" i="1"/>
  <c r="AE3319" i="1" s="1"/>
  <c r="AA3319" i="1"/>
  <c r="X3331" i="1"/>
  <c r="AA3337" i="1"/>
  <c r="Z3337" i="1"/>
  <c r="Y3337" i="1"/>
  <c r="Z3114" i="1"/>
  <c r="AA3114" i="1"/>
  <c r="Y3114" i="1"/>
  <c r="Z3116" i="1"/>
  <c r="AA3116" i="1"/>
  <c r="Y3116" i="1"/>
  <c r="Z3119" i="1"/>
  <c r="AA3119" i="1"/>
  <c r="Y3119" i="1"/>
  <c r="X3112" i="1"/>
  <c r="Y873" i="1"/>
  <c r="Z873" i="1"/>
  <c r="AA873" i="1"/>
  <c r="AC881" i="1"/>
  <c r="AB881" i="1"/>
  <c r="AD881" i="1"/>
  <c r="AE881" i="1"/>
  <c r="AA3341" i="1"/>
  <c r="Z3341" i="1"/>
  <c r="Y3341" i="1"/>
  <c r="Y874" i="1"/>
  <c r="AA874" i="1"/>
  <c r="Z874" i="1"/>
  <c r="X3328" i="1"/>
  <c r="AA3311" i="1"/>
  <c r="Z3311" i="1"/>
  <c r="Y3311" i="1"/>
  <c r="X3332" i="1"/>
  <c r="AE3332" i="1" s="1"/>
  <c r="AA3332" i="1"/>
  <c r="X3081" i="1"/>
  <c r="Z3123" i="1"/>
  <c r="AA3123" i="1"/>
  <c r="Y3123" i="1"/>
  <c r="Y875" i="1"/>
  <c r="Z875" i="1"/>
  <c r="AA875" i="1"/>
  <c r="AC892" i="1"/>
  <c r="AD892" i="1"/>
  <c r="AE892" i="1"/>
  <c r="AB892" i="1"/>
  <c r="AC885" i="1"/>
  <c r="AB885" i="1"/>
  <c r="AD885" i="1"/>
  <c r="AE885" i="1"/>
  <c r="AC884" i="1"/>
  <c r="AB884" i="1"/>
  <c r="AD884" i="1"/>
  <c r="AE884" i="1"/>
  <c r="AC889" i="1"/>
  <c r="AB889" i="1"/>
  <c r="AD889" i="1"/>
  <c r="AE889" i="1"/>
  <c r="AC888" i="1"/>
  <c r="AB888" i="1"/>
  <c r="AE888" i="1"/>
  <c r="AD888" i="1"/>
  <c r="AC898" i="1"/>
  <c r="AB898" i="1"/>
  <c r="AD898" i="1"/>
  <c r="AE898" i="1"/>
  <c r="L3305" i="1"/>
  <c r="I3305" i="1"/>
  <c r="W3309" i="1"/>
  <c r="Q3309" i="1" s="1"/>
  <c r="W3308" i="1"/>
  <c r="Q3308" i="1" s="1"/>
  <c r="V3308" i="1"/>
  <c r="L3309" i="1"/>
  <c r="L3308" i="1"/>
  <c r="I3304" i="1"/>
  <c r="L3304" i="1"/>
  <c r="L3307" i="1"/>
  <c r="L3306" i="1"/>
  <c r="W3306" i="1"/>
  <c r="Q3306" i="1" s="1"/>
  <c r="I3306" i="1"/>
  <c r="L3303" i="1"/>
  <c r="L3300" i="1"/>
  <c r="I3300" i="1"/>
  <c r="W3302" i="1"/>
  <c r="Q3302" i="1" s="1"/>
  <c r="L3302" i="1"/>
  <c r="L3301" i="1"/>
  <c r="L3297" i="1"/>
  <c r="L3299" i="1"/>
  <c r="G3298" i="1"/>
  <c r="P3298" i="1" s="1"/>
  <c r="Q3298" i="1" s="1"/>
  <c r="L3298" i="1"/>
  <c r="W3297" i="1"/>
  <c r="Q3297" i="1" s="1"/>
  <c r="L3296" i="1"/>
  <c r="W3296" i="1"/>
  <c r="Q3296" i="1" s="1"/>
  <c r="W3295" i="1"/>
  <c r="Q3295" i="1" s="1"/>
  <c r="W3294" i="1"/>
  <c r="Q3294" i="1" s="1"/>
  <c r="L3295" i="1"/>
  <c r="L3294" i="1"/>
  <c r="I3294" i="1"/>
  <c r="L3293"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5" i="1"/>
  <c r="I3296" i="1"/>
  <c r="I3297" i="1"/>
  <c r="I3298" i="1"/>
  <c r="I3299" i="1"/>
  <c r="I3301" i="1"/>
  <c r="I3302" i="1"/>
  <c r="I3303" i="1"/>
  <c r="I3343" i="1"/>
  <c r="I3344" i="1"/>
  <c r="I3345" i="1"/>
  <c r="I3392" i="1"/>
  <c r="I3393" i="1"/>
  <c r="I3394" i="1"/>
  <c r="I3395" i="1"/>
  <c r="I3418" i="1"/>
  <c r="I3419" i="1"/>
  <c r="I3420" i="1"/>
  <c r="I3421" i="1"/>
  <c r="I3422" i="1"/>
  <c r="I3423" i="1"/>
  <c r="I3424" i="1"/>
  <c r="I3425" i="1"/>
  <c r="I3426" i="1"/>
  <c r="I3427" i="1"/>
  <c r="I3428" i="1"/>
  <c r="I3429" i="1"/>
  <c r="I3430" i="1"/>
  <c r="I3431" i="1"/>
  <c r="I3432" i="1"/>
  <c r="I3433" i="1"/>
  <c r="I3434" i="1"/>
  <c r="I3435" i="1"/>
  <c r="I3436" i="1"/>
  <c r="L3292" i="1"/>
  <c r="G3292" i="1"/>
  <c r="P3292" i="1" s="1"/>
  <c r="Q3292" i="1" s="1"/>
  <c r="L3291" i="1"/>
  <c r="G3290" i="1"/>
  <c r="P3290" i="1" s="1"/>
  <c r="Q3290" i="1" s="1"/>
  <c r="G3289" i="1"/>
  <c r="P3289" i="1" s="1"/>
  <c r="Q3289" i="1" s="1"/>
  <c r="L3288" i="1"/>
  <c r="L3290" i="1"/>
  <c r="L3289" i="1"/>
  <c r="O3293" i="1"/>
  <c r="P3293" i="1" s="1"/>
  <c r="W3293" i="1"/>
  <c r="X3293" i="1" s="1"/>
  <c r="W3291" i="1"/>
  <c r="Q3291" i="1" s="1"/>
  <c r="L3286" i="1"/>
  <c r="L3287" i="1"/>
  <c r="W3285" i="1"/>
  <c r="Q3285" i="1" s="1"/>
  <c r="L3285" i="1"/>
  <c r="I3263" i="1"/>
  <c r="I3264" i="1"/>
  <c r="I3265" i="1"/>
  <c r="I3266" i="1"/>
  <c r="I3267" i="1"/>
  <c r="I3268" i="1"/>
  <c r="I3269" i="1"/>
  <c r="O3284" i="1"/>
  <c r="P3284" i="1" s="1"/>
  <c r="Q3284" i="1" s="1"/>
  <c r="W3284" i="1"/>
  <c r="X3284" i="1" s="1"/>
  <c r="L3284" i="1"/>
  <c r="L3283" i="1"/>
  <c r="W3283" i="1"/>
  <c r="Q3283" i="1" s="1"/>
  <c r="L3282" i="1"/>
  <c r="L3281" i="1"/>
  <c r="I3259" i="1"/>
  <c r="I3260" i="1"/>
  <c r="I3261" i="1"/>
  <c r="I3262" i="1"/>
  <c r="L3346" i="1"/>
  <c r="L3345" i="1"/>
  <c r="W3345" i="1"/>
  <c r="Q3345" i="1" s="1"/>
  <c r="L3344" i="1"/>
  <c r="O3343" i="1"/>
  <c r="P3343" i="1" s="1"/>
  <c r="Q3343" i="1" s="1"/>
  <c r="G3343" i="1"/>
  <c r="L3342" i="1"/>
  <c r="G3342" i="1"/>
  <c r="P3342" i="1" s="1"/>
  <c r="Q3342" i="1" s="1"/>
  <c r="L3343" i="1"/>
  <c r="L3273" i="1"/>
  <c r="L3272" i="1"/>
  <c r="L3271" i="1"/>
  <c r="L3280" i="1"/>
  <c r="L3276" i="1"/>
  <c r="L3277" i="1"/>
  <c r="L3278" i="1"/>
  <c r="L3279" i="1"/>
  <c r="L3270" i="1"/>
  <c r="L3275" i="1"/>
  <c r="L3269" i="1"/>
  <c r="L3268" i="1"/>
  <c r="W3274" i="1"/>
  <c r="Q3274" i="1" s="1"/>
  <c r="L3274" i="1"/>
  <c r="L3264" i="1"/>
  <c r="L3265" i="1"/>
  <c r="L3266" i="1"/>
  <c r="L3267" i="1"/>
  <c r="V3262" i="1"/>
  <c r="L3262" i="1"/>
  <c r="L3263" i="1"/>
  <c r="L3259" i="1"/>
  <c r="L3260" i="1"/>
  <c r="L3261" i="1"/>
  <c r="L3256" i="1"/>
  <c r="L3257" i="1"/>
  <c r="L3258" i="1"/>
  <c r="I3258" i="1"/>
  <c r="I3257" i="1"/>
  <c r="I3256" i="1"/>
  <c r="L3255" i="1"/>
  <c r="I3255" i="1"/>
  <c r="I3254" i="1"/>
  <c r="L3254" i="1"/>
  <c r="L3253" i="1"/>
  <c r="I3253" i="1"/>
  <c r="W3249" i="1"/>
  <c r="Q3249" i="1" s="1"/>
  <c r="L3249" i="1"/>
  <c r="I3249" i="1"/>
  <c r="L3251" i="1"/>
  <c r="L3252" i="1"/>
  <c r="I3252" i="1"/>
  <c r="I3251" i="1"/>
  <c r="L3250" i="1"/>
  <c r="I3250" i="1"/>
  <c r="L3246" i="1"/>
  <c r="L3247" i="1"/>
  <c r="L3248" i="1"/>
  <c r="I3248" i="1"/>
  <c r="I3247" i="1"/>
  <c r="I3246" i="1"/>
  <c r="L3245" i="1"/>
  <c r="I3245" i="1"/>
  <c r="L3243" i="1"/>
  <c r="L3244" i="1"/>
  <c r="I3244" i="1"/>
  <c r="I3243" i="1"/>
  <c r="W3242" i="1"/>
  <c r="Q3242" i="1" s="1"/>
  <c r="L3242" i="1"/>
  <c r="I3242" i="1"/>
  <c r="W3241" i="1"/>
  <c r="Q3241" i="1" s="1"/>
  <c r="W3240" i="1"/>
  <c r="Q3240" i="1" s="1"/>
  <c r="L3241" i="1"/>
  <c r="L3240" i="1"/>
  <c r="L3239" i="1"/>
  <c r="I3239" i="1"/>
  <c r="I3240" i="1"/>
  <c r="I3241" i="1"/>
  <c r="L3238" i="1"/>
  <c r="I3238" i="1"/>
  <c r="L3236" i="1"/>
  <c r="I3236" i="1"/>
  <c r="L3237" i="1"/>
  <c r="I3237" i="1"/>
  <c r="T3235" i="1"/>
  <c r="W3235" i="1"/>
  <c r="Q3235" i="1" s="1"/>
  <c r="L3235" i="1"/>
  <c r="L3234" i="1"/>
  <c r="W3233" i="1"/>
  <c r="Q3233" i="1" s="1"/>
  <c r="L3233" i="1"/>
  <c r="W3232" i="1"/>
  <c r="Q3232" i="1" s="1"/>
  <c r="L3232" i="1"/>
  <c r="I3233" i="1"/>
  <c r="I3234" i="1"/>
  <c r="I3235" i="1"/>
  <c r="I3232" i="1"/>
  <c r="I3231" i="1"/>
  <c r="L3231" i="1"/>
  <c r="G3231" i="1"/>
  <c r="P3231" i="1" s="1"/>
  <c r="Q3231" i="1" s="1"/>
  <c r="L3230" i="1"/>
  <c r="I3228" i="1"/>
  <c r="I3229" i="1"/>
  <c r="I3230" i="1"/>
  <c r="W3226" i="1"/>
  <c r="Q3226" i="1" s="1"/>
  <c r="W3225" i="1"/>
  <c r="Q3225" i="1" s="1"/>
  <c r="W3224" i="1"/>
  <c r="Q3224" i="1" s="1"/>
  <c r="L3229" i="1"/>
  <c r="L3228" i="1"/>
  <c r="L3227" i="1"/>
  <c r="L3226" i="1"/>
  <c r="L3225" i="1"/>
  <c r="L3224" i="1"/>
  <c r="I3227" i="1"/>
  <c r="I3222" i="1"/>
  <c r="I3223" i="1"/>
  <c r="I3224" i="1"/>
  <c r="I3225" i="1"/>
  <c r="I3226" i="1"/>
  <c r="L3223" i="1"/>
  <c r="W3221" i="1"/>
  <c r="Q3221" i="1" s="1"/>
  <c r="W3219" i="1"/>
  <c r="Q3219" i="1" s="1"/>
  <c r="L3220" i="1"/>
  <c r="I3220" i="1"/>
  <c r="I3212" i="1"/>
  <c r="I3213" i="1"/>
  <c r="I3214" i="1"/>
  <c r="I3215" i="1"/>
  <c r="I3216" i="1"/>
  <c r="I3217" i="1"/>
  <c r="I3218" i="1"/>
  <c r="I3219" i="1"/>
  <c r="I3221" i="1"/>
  <c r="L3222" i="1"/>
  <c r="L3221" i="1"/>
  <c r="L3219" i="1"/>
  <c r="W3218" i="1"/>
  <c r="Q3218" i="1" s="1"/>
  <c r="G3214" i="1"/>
  <c r="P3214" i="1" s="1"/>
  <c r="Q3214" i="1" s="1"/>
  <c r="G3215" i="1"/>
  <c r="G3217" i="1"/>
  <c r="P3217" i="1" s="1"/>
  <c r="Q3217" i="1" s="1"/>
  <c r="G3216" i="1"/>
  <c r="P3216" i="1" s="1"/>
  <c r="Q3216" i="1" s="1"/>
  <c r="O3215" i="1"/>
  <c r="L3217" i="1"/>
  <c r="L3215" i="1"/>
  <c r="L3216" i="1"/>
  <c r="L3214" i="1"/>
  <c r="I3207" i="1"/>
  <c r="I3208" i="1"/>
  <c r="I3209" i="1"/>
  <c r="I3210" i="1"/>
  <c r="I3211" i="1"/>
  <c r="L3218" i="1"/>
  <c r="AA3104" i="1" l="1"/>
  <c r="P3215" i="1"/>
  <c r="Q3215" i="1" s="1"/>
  <c r="Q3293" i="1"/>
  <c r="Z3103" i="1"/>
  <c r="Z3110" i="1"/>
  <c r="AA3339" i="1"/>
  <c r="AE3110" i="1"/>
  <c r="Y3110" i="1"/>
  <c r="AB3339" i="1"/>
  <c r="AA3110" i="1"/>
  <c r="Y3104" i="1"/>
  <c r="Z3104" i="1"/>
  <c r="AE3104" i="1"/>
  <c r="Y3339" i="1"/>
  <c r="Y3103" i="1"/>
  <c r="AD3103" i="1"/>
  <c r="AA3103" i="1"/>
  <c r="Z3215" i="1"/>
  <c r="AB3317" i="1"/>
  <c r="AC3317" i="1"/>
  <c r="AD3317" i="1"/>
  <c r="AE3317" i="1"/>
  <c r="X3235" i="1"/>
  <c r="X3285" i="1"/>
  <c r="X3297" i="1"/>
  <c r="AD3123" i="1"/>
  <c r="AE3123" i="1"/>
  <c r="AB3123" i="1"/>
  <c r="AC3123" i="1"/>
  <c r="AD3119" i="1"/>
  <c r="AE3119" i="1"/>
  <c r="AB3119" i="1"/>
  <c r="AC3119" i="1"/>
  <c r="AD3114" i="1"/>
  <c r="AE3114" i="1"/>
  <c r="AB3114" i="1"/>
  <c r="AC3114" i="1"/>
  <c r="AC877" i="1"/>
  <c r="AB877" i="1"/>
  <c r="AD877" i="1"/>
  <c r="AE877" i="1"/>
  <c r="X3249" i="1"/>
  <c r="X3302" i="1"/>
  <c r="X3262" i="1"/>
  <c r="AE3262" i="1" s="1"/>
  <c r="AA3262" i="1"/>
  <c r="AA3289" i="1"/>
  <c r="Z3289" i="1"/>
  <c r="Y3289" i="1"/>
  <c r="AB3328" i="1"/>
  <c r="AD3328" i="1"/>
  <c r="AE3328" i="1"/>
  <c r="AC3328" i="1"/>
  <c r="AB3331" i="1"/>
  <c r="AD3331" i="1"/>
  <c r="AE3331" i="1"/>
  <c r="AC3331" i="1"/>
  <c r="AB3313" i="1"/>
  <c r="AC3313" i="1"/>
  <c r="AD3313" i="1"/>
  <c r="AE3313" i="1"/>
  <c r="AC3089" i="1"/>
  <c r="AD3089" i="1"/>
  <c r="AE3089" i="1"/>
  <c r="AB3089" i="1"/>
  <c r="AD3121" i="1"/>
  <c r="AE3121" i="1"/>
  <c r="AB3121" i="1"/>
  <c r="AC3121" i="1"/>
  <c r="AD3107" i="1"/>
  <c r="AE3107" i="1"/>
  <c r="AB3107" i="1"/>
  <c r="AC3107" i="1"/>
  <c r="AC3096" i="1"/>
  <c r="AD3096" i="1"/>
  <c r="AE3096" i="1"/>
  <c r="AB3096" i="1"/>
  <c r="AD3111" i="1"/>
  <c r="AE3111" i="1"/>
  <c r="AB3111" i="1"/>
  <c r="AC3111" i="1"/>
  <c r="X3241" i="1"/>
  <c r="X3274" i="1"/>
  <c r="AB3310" i="1"/>
  <c r="AC3310" i="1"/>
  <c r="AD3310" i="1"/>
  <c r="AE3310" i="1"/>
  <c r="AA3216" i="1"/>
  <c r="Y3216" i="1"/>
  <c r="Z3216" i="1"/>
  <c r="X3242" i="1"/>
  <c r="X3345" i="1"/>
  <c r="AA3290" i="1"/>
  <c r="Y3290" i="1"/>
  <c r="Z3290" i="1"/>
  <c r="AA3298" i="1"/>
  <c r="Y3298" i="1"/>
  <c r="Z3298" i="1"/>
  <c r="AC871" i="1"/>
  <c r="AD871" i="1"/>
  <c r="AE871" i="1"/>
  <c r="AB871" i="1"/>
  <c r="AC3087" i="1"/>
  <c r="AD3087" i="1"/>
  <c r="AE3087" i="1"/>
  <c r="AB3087" i="1"/>
  <c r="AC875" i="1"/>
  <c r="AD875" i="1"/>
  <c r="AE875" i="1"/>
  <c r="AB875" i="1"/>
  <c r="AA3217" i="1"/>
  <c r="Z3217" i="1"/>
  <c r="Y3217" i="1"/>
  <c r="AA3231" i="1"/>
  <c r="Z3231" i="1"/>
  <c r="Y3231" i="1"/>
  <c r="X3232" i="1"/>
  <c r="X3283" i="1"/>
  <c r="X3291" i="1"/>
  <c r="X3308" i="1"/>
  <c r="AE3308" i="1" s="1"/>
  <c r="AA3308" i="1"/>
  <c r="AB3341" i="1"/>
  <c r="AD3341" i="1"/>
  <c r="AE3341" i="1"/>
  <c r="AC3341" i="1"/>
  <c r="AB3326" i="1"/>
  <c r="AD3326" i="1"/>
  <c r="AE3326" i="1"/>
  <c r="AC3326" i="1"/>
  <c r="AD3118" i="1"/>
  <c r="AE3118" i="1"/>
  <c r="AB3118" i="1"/>
  <c r="AC3118" i="1"/>
  <c r="AB3336" i="1"/>
  <c r="AD3336" i="1"/>
  <c r="AE3336" i="1"/>
  <c r="AC3336" i="1"/>
  <c r="AB3325" i="1"/>
  <c r="AD3325" i="1"/>
  <c r="AE3325" i="1"/>
  <c r="AC3325" i="1"/>
  <c r="AD3109" i="1"/>
  <c r="AE3109" i="1"/>
  <c r="AB3109" i="1"/>
  <c r="AC3109" i="1"/>
  <c r="AD3100" i="1"/>
  <c r="AE3100" i="1"/>
  <c r="AB3100" i="1"/>
  <c r="AC3100" i="1"/>
  <c r="AC3086" i="1"/>
  <c r="AD3086" i="1"/>
  <c r="AE3086" i="1"/>
  <c r="AB3086" i="1"/>
  <c r="AC3090" i="1"/>
  <c r="AD3090" i="1"/>
  <c r="AE3090" i="1"/>
  <c r="AB3090" i="1"/>
  <c r="AA3292" i="1"/>
  <c r="Y3292" i="1"/>
  <c r="Z3292" i="1"/>
  <c r="X3294" i="1"/>
  <c r="X3306" i="1"/>
  <c r="AB3308" i="1"/>
  <c r="AC3308" i="1"/>
  <c r="AD3308" i="1"/>
  <c r="Z3105" i="1"/>
  <c r="AA3105" i="1"/>
  <c r="Y3105" i="1"/>
  <c r="AD3116" i="1"/>
  <c r="AE3116" i="1"/>
  <c r="AB3116" i="1"/>
  <c r="AC3116" i="1"/>
  <c r="Z3108" i="1"/>
  <c r="AA3108" i="1"/>
  <c r="Y3108" i="1"/>
  <c r="AB3318" i="1"/>
  <c r="AC3318" i="1"/>
  <c r="AD3318" i="1"/>
  <c r="AE3318" i="1"/>
  <c r="AC872" i="1"/>
  <c r="AB872" i="1"/>
  <c r="AD872" i="1"/>
  <c r="AE872" i="1"/>
  <c r="AC867" i="1"/>
  <c r="AD867" i="1"/>
  <c r="AE867" i="1"/>
  <c r="AB867" i="1"/>
  <c r="AC876" i="1"/>
  <c r="AB876" i="1"/>
  <c r="AD876" i="1"/>
  <c r="AE876" i="1"/>
  <c r="AA3284" i="1"/>
  <c r="Y3284" i="1"/>
  <c r="Z3284" i="1"/>
  <c r="AD3117" i="1"/>
  <c r="AE3117" i="1"/>
  <c r="AB3117" i="1"/>
  <c r="AC3117" i="1"/>
  <c r="X3224" i="1"/>
  <c r="AA3214" i="1"/>
  <c r="Y3214" i="1"/>
  <c r="Z3214" i="1"/>
  <c r="X3219" i="1"/>
  <c r="X3225" i="1"/>
  <c r="X3233" i="1"/>
  <c r="AA3342" i="1"/>
  <c r="Y3342" i="1"/>
  <c r="Z3342" i="1"/>
  <c r="AA3293" i="1"/>
  <c r="Y3293" i="1"/>
  <c r="Z3293" i="1"/>
  <c r="X3295" i="1"/>
  <c r="X3309" i="1"/>
  <c r="AC3081" i="1"/>
  <c r="AD3081" i="1"/>
  <c r="AE3081" i="1"/>
  <c r="AB3081" i="1"/>
  <c r="AB3337" i="1"/>
  <c r="AD3337" i="1"/>
  <c r="AE3337" i="1"/>
  <c r="AC3337" i="1"/>
  <c r="AB3330" i="1"/>
  <c r="AD3330" i="1"/>
  <c r="AE3330" i="1"/>
  <c r="AC3330" i="1"/>
  <c r="AC3085" i="1"/>
  <c r="AD3085" i="1"/>
  <c r="AE3085" i="1"/>
  <c r="AB3085" i="1"/>
  <c r="AD3106" i="1"/>
  <c r="AE3106" i="1"/>
  <c r="AB3106" i="1"/>
  <c r="AC3106" i="1"/>
  <c r="AB3333" i="1"/>
  <c r="AD3333" i="1"/>
  <c r="AE3333" i="1"/>
  <c r="AC3333" i="1"/>
  <c r="AC3094" i="1"/>
  <c r="AD3094" i="1"/>
  <c r="AE3094" i="1"/>
  <c r="AB3094" i="1"/>
  <c r="AD3113" i="1"/>
  <c r="AE3113" i="1"/>
  <c r="AB3113" i="1"/>
  <c r="AC3113" i="1"/>
  <c r="AD3115" i="1"/>
  <c r="AE3115" i="1"/>
  <c r="AB3115" i="1"/>
  <c r="AC3115" i="1"/>
  <c r="AD3102" i="1"/>
  <c r="AE3102" i="1"/>
  <c r="AB3102" i="1"/>
  <c r="AC3102" i="1"/>
  <c r="AB3334" i="1"/>
  <c r="AD3334" i="1"/>
  <c r="AE3334" i="1"/>
  <c r="AC3334" i="1"/>
  <c r="AD3112" i="1"/>
  <c r="AE3112" i="1"/>
  <c r="AB3112" i="1"/>
  <c r="AC3112" i="1"/>
  <c r="AB3329" i="1"/>
  <c r="AD3329" i="1"/>
  <c r="AE3329" i="1"/>
  <c r="AC3329" i="1"/>
  <c r="X3218" i="1"/>
  <c r="X3221" i="1"/>
  <c r="X3226" i="1"/>
  <c r="X3240" i="1"/>
  <c r="X3296" i="1"/>
  <c r="AB3311" i="1"/>
  <c r="AC3311" i="1"/>
  <c r="AD3311" i="1"/>
  <c r="AE3311" i="1"/>
  <c r="AC874" i="1"/>
  <c r="AB874" i="1"/>
  <c r="AD874" i="1"/>
  <c r="AE874" i="1"/>
  <c r="AC873" i="1"/>
  <c r="AB873" i="1"/>
  <c r="AD873" i="1"/>
  <c r="AE873" i="1"/>
  <c r="AB3327" i="1"/>
  <c r="AD3327" i="1"/>
  <c r="AE3327" i="1"/>
  <c r="AC3327" i="1"/>
  <c r="AC870" i="1"/>
  <c r="AB870" i="1"/>
  <c r="AD870" i="1"/>
  <c r="T3213" i="1"/>
  <c r="W3213" i="1"/>
  <c r="Q3213" i="1" s="1"/>
  <c r="L3212" i="1"/>
  <c r="L3213" i="1"/>
  <c r="L3211" i="1"/>
  <c r="V3210" i="1"/>
  <c r="L321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L3209" i="1"/>
  <c r="O3209" i="1"/>
  <c r="P3209" i="1" s="1"/>
  <c r="Q3209" i="1" s="1"/>
  <c r="T3208" i="1"/>
  <c r="W3208" i="1"/>
  <c r="Q3208" i="1" s="1"/>
  <c r="L3208" i="1"/>
  <c r="L3207" i="1"/>
  <c r="L3206" i="1"/>
  <c r="L3205" i="1"/>
  <c r="W3206" i="1"/>
  <c r="Q3206" i="1" s="1"/>
  <c r="G3203" i="1"/>
  <c r="P3203" i="1" s="1"/>
  <c r="Q3203" i="1" s="1"/>
  <c r="L3203" i="1"/>
  <c r="W3201" i="1"/>
  <c r="Q3201" i="1" s="1"/>
  <c r="L3204" i="1"/>
  <c r="L3202" i="1"/>
  <c r="L3201"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17" i="1"/>
  <c r="I3018" i="1"/>
  <c r="I3019" i="1"/>
  <c r="I3020" i="1"/>
  <c r="I3046" i="1"/>
  <c r="I3047" i="1"/>
  <c r="I3012" i="1"/>
  <c r="I3013" i="1"/>
  <c r="I3014" i="1"/>
  <c r="I3015" i="1"/>
  <c r="I3016" i="1"/>
  <c r="I3009" i="1"/>
  <c r="I3010" i="1"/>
  <c r="I3011"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W3200" i="1"/>
  <c r="Q3200" i="1" s="1"/>
  <c r="L3200" i="1"/>
  <c r="L3199" i="1"/>
  <c r="L3198" i="1"/>
  <c r="W3199" i="1"/>
  <c r="Q3199" i="1" s="1"/>
  <c r="W3198" i="1"/>
  <c r="Q3198" i="1" s="1"/>
  <c r="W3197" i="1"/>
  <c r="Q3197" i="1" s="1"/>
  <c r="L3197" i="1"/>
  <c r="L3196" i="1"/>
  <c r="W3195" i="1"/>
  <c r="Q3195" i="1" s="1"/>
  <c r="L3195" i="1"/>
  <c r="W3194" i="1"/>
  <c r="Q3194" i="1" s="1"/>
  <c r="L3194" i="1"/>
  <c r="L3193" i="1"/>
  <c r="L3192" i="1"/>
  <c r="W3192" i="1"/>
  <c r="Q3192" i="1" s="1"/>
  <c r="W3191" i="1"/>
  <c r="Q3191" i="1" s="1"/>
  <c r="L3191" i="1"/>
  <c r="L3190" i="1"/>
  <c r="W3190" i="1"/>
  <c r="Q3190" i="1" s="1"/>
  <c r="W3189" i="1"/>
  <c r="Q3189" i="1" s="1"/>
  <c r="L3189" i="1"/>
  <c r="W3188" i="1"/>
  <c r="Q3188" i="1" s="1"/>
  <c r="W3187" i="1"/>
  <c r="Q3187" i="1" s="1"/>
  <c r="W3186" i="1"/>
  <c r="Q3186" i="1" s="1"/>
  <c r="L3188" i="1"/>
  <c r="L3187" i="1"/>
  <c r="L3186" i="1"/>
  <c r="W3185" i="1"/>
  <c r="Q3185" i="1" s="1"/>
  <c r="L3185" i="1"/>
  <c r="W3184" i="1"/>
  <c r="Q3184" i="1" s="1"/>
  <c r="L3184" i="1"/>
  <c r="L3183" i="1"/>
  <c r="W3182" i="1"/>
  <c r="Q3182" i="1" s="1"/>
  <c r="L3182" i="1"/>
  <c r="W3181" i="1"/>
  <c r="Q3181" i="1" s="1"/>
  <c r="L3181" i="1"/>
  <c r="U3177" i="1"/>
  <c r="T3179" i="1"/>
  <c r="AD3179" i="1" s="1"/>
  <c r="L3180" i="1"/>
  <c r="L3179" i="1"/>
  <c r="L3178" i="1"/>
  <c r="L3177" i="1"/>
  <c r="L1672" i="1"/>
  <c r="G1671" i="1"/>
  <c r="P1671" i="1" s="1"/>
  <c r="Q1671" i="1" s="1"/>
  <c r="L1671" i="1"/>
  <c r="L1670" i="1"/>
  <c r="L1669" i="1"/>
  <c r="L1668" i="1"/>
  <c r="G1658" i="1"/>
  <c r="P1658" i="1" s="1"/>
  <c r="Q1658" i="1" s="1"/>
  <c r="G1667" i="1"/>
  <c r="P1667" i="1" s="1"/>
  <c r="Q1667" i="1" s="1"/>
  <c r="L1667" i="1"/>
  <c r="L1665" i="1"/>
  <c r="L1666" i="1"/>
  <c r="L1664" i="1"/>
  <c r="L1662" i="1"/>
  <c r="L1663" i="1"/>
  <c r="AD3110" i="1" l="1"/>
  <c r="AC3110" i="1"/>
  <c r="AB3110" i="1"/>
  <c r="AC3104" i="1"/>
  <c r="AB3104" i="1"/>
  <c r="AD3104" i="1"/>
  <c r="AC3339" i="1"/>
  <c r="AE3339" i="1"/>
  <c r="AD3339" i="1"/>
  <c r="AC3103" i="1"/>
  <c r="AB3103" i="1"/>
  <c r="AE3103" i="1"/>
  <c r="Y3215" i="1"/>
  <c r="AA3215" i="1"/>
  <c r="AB3215" i="1"/>
  <c r="X3192" i="1"/>
  <c r="AB3224" i="1"/>
  <c r="AC3224" i="1"/>
  <c r="AD3224" i="1"/>
  <c r="AE3224" i="1"/>
  <c r="X3184" i="1"/>
  <c r="X3188" i="1"/>
  <c r="X3197" i="1"/>
  <c r="AA3203" i="1"/>
  <c r="Y3203" i="1"/>
  <c r="Z3203" i="1"/>
  <c r="V3209" i="1"/>
  <c r="X3209" i="1" s="1"/>
  <c r="X3186" i="1"/>
  <c r="AB3218" i="1"/>
  <c r="AC3218" i="1"/>
  <c r="AD3218" i="1"/>
  <c r="AE3218" i="1"/>
  <c r="X3198" i="1"/>
  <c r="X3206" i="1"/>
  <c r="X3213" i="1"/>
  <c r="AB3240" i="1"/>
  <c r="AC3240" i="1"/>
  <c r="AD3240" i="1"/>
  <c r="AE3240" i="1"/>
  <c r="AB3309" i="1"/>
  <c r="AC3309" i="1"/>
  <c r="AD3309" i="1"/>
  <c r="AE3309" i="1"/>
  <c r="AB3342" i="1"/>
  <c r="AD3342" i="1"/>
  <c r="AE3342" i="1"/>
  <c r="AC3342" i="1"/>
  <c r="AB3219" i="1"/>
  <c r="AC3219" i="1"/>
  <c r="AD3219" i="1"/>
  <c r="AE3219" i="1"/>
  <c r="AD3108" i="1"/>
  <c r="AE3108" i="1"/>
  <c r="AB3108" i="1"/>
  <c r="AC3108" i="1"/>
  <c r="AD3105" i="1"/>
  <c r="AE3105" i="1"/>
  <c r="AB3105" i="1"/>
  <c r="AC3105" i="1"/>
  <c r="AB3306" i="1"/>
  <c r="AC3306" i="1"/>
  <c r="AD3306" i="1"/>
  <c r="AE3306" i="1"/>
  <c r="AB3283" i="1"/>
  <c r="AC3283" i="1"/>
  <c r="AD3283" i="1"/>
  <c r="AE3283" i="1"/>
  <c r="AB3217" i="1"/>
  <c r="AC3217" i="1"/>
  <c r="AD3217" i="1"/>
  <c r="AE3217" i="1"/>
  <c r="AB3298" i="1"/>
  <c r="AC3298" i="1"/>
  <c r="AD3298" i="1"/>
  <c r="AE3298" i="1"/>
  <c r="AB3345" i="1"/>
  <c r="AD3345" i="1"/>
  <c r="AE3345" i="1"/>
  <c r="AC3345" i="1"/>
  <c r="AB3289" i="1"/>
  <c r="AC3289" i="1"/>
  <c r="AD3289" i="1"/>
  <c r="AE3289" i="1"/>
  <c r="AB3285" i="1"/>
  <c r="AC3285" i="1"/>
  <c r="AD3285" i="1"/>
  <c r="AE3285" i="1"/>
  <c r="X3200" i="1"/>
  <c r="X3201" i="1"/>
  <c r="X3187" i="1"/>
  <c r="AB3297" i="1"/>
  <c r="AC3297" i="1"/>
  <c r="AD3297" i="1"/>
  <c r="AE3297" i="1"/>
  <c r="T3177" i="1"/>
  <c r="AD3177" i="1" s="1"/>
  <c r="Z3177" i="1"/>
  <c r="Y1671" i="1"/>
  <c r="AA1671" i="1"/>
  <c r="Z1671" i="1"/>
  <c r="X3185" i="1"/>
  <c r="X3189" i="1"/>
  <c r="X3199" i="1"/>
  <c r="X3191" i="1"/>
  <c r="X3208" i="1"/>
  <c r="AB3291" i="1"/>
  <c r="AC3291" i="1"/>
  <c r="AD3291" i="1"/>
  <c r="AE3291" i="1"/>
  <c r="X3181" i="1"/>
  <c r="X3190" i="1"/>
  <c r="X3194" i="1"/>
  <c r="AB3226" i="1"/>
  <c r="AC3226" i="1"/>
  <c r="AD3226" i="1"/>
  <c r="AE3226" i="1"/>
  <c r="AB3295" i="1"/>
  <c r="AC3295" i="1"/>
  <c r="AD3295" i="1"/>
  <c r="AE3295" i="1"/>
  <c r="AB3214" i="1"/>
  <c r="AC3214" i="1"/>
  <c r="AD3214" i="1"/>
  <c r="AE3214" i="1"/>
  <c r="AB3294" i="1"/>
  <c r="AC3294" i="1"/>
  <c r="AD3294" i="1"/>
  <c r="AE3294" i="1"/>
  <c r="AB3232" i="1"/>
  <c r="AC3232" i="1"/>
  <c r="AD3232" i="1"/>
  <c r="AE3232" i="1"/>
  <c r="AB3302" i="1"/>
  <c r="AC3302" i="1"/>
  <c r="AD3302" i="1"/>
  <c r="AE3302" i="1"/>
  <c r="AA3343" i="1"/>
  <c r="Z3343" i="1"/>
  <c r="Y3343" i="1"/>
  <c r="AB3231" i="1"/>
  <c r="AC3231" i="1"/>
  <c r="AD3231" i="1"/>
  <c r="AE3231" i="1"/>
  <c r="AB3296" i="1"/>
  <c r="AC3296" i="1"/>
  <c r="AD3296" i="1"/>
  <c r="AE3296" i="1"/>
  <c r="AB3242" i="1"/>
  <c r="AC3242" i="1"/>
  <c r="AD3242" i="1"/>
  <c r="AE3242" i="1"/>
  <c r="AB3235" i="1"/>
  <c r="AC3235" i="1"/>
  <c r="AD3235" i="1"/>
  <c r="AE3235" i="1"/>
  <c r="AB3274" i="1"/>
  <c r="AC3274" i="1"/>
  <c r="AD3274" i="1"/>
  <c r="AE3274" i="1"/>
  <c r="AB3225" i="1"/>
  <c r="AC3225" i="1"/>
  <c r="AD3225" i="1"/>
  <c r="AE3225" i="1"/>
  <c r="AB3241" i="1"/>
  <c r="AC3241" i="1"/>
  <c r="AD3241" i="1"/>
  <c r="AE3241" i="1"/>
  <c r="X3182" i="1"/>
  <c r="X3195" i="1"/>
  <c r="X3210" i="1"/>
  <c r="AE3210" i="1" s="1"/>
  <c r="AA3210" i="1"/>
  <c r="AB3221" i="1"/>
  <c r="AC3221" i="1"/>
  <c r="AD3221" i="1"/>
  <c r="AE3221" i="1"/>
  <c r="AB3293" i="1"/>
  <c r="AC3293" i="1"/>
  <c r="AD3293" i="1"/>
  <c r="AE3293" i="1"/>
  <c r="AB3233" i="1"/>
  <c r="AC3233" i="1"/>
  <c r="AD3233" i="1"/>
  <c r="AE3233" i="1"/>
  <c r="AB3284" i="1"/>
  <c r="AC3284" i="1"/>
  <c r="AD3284" i="1"/>
  <c r="AE3284" i="1"/>
  <c r="AB3292" i="1"/>
  <c r="AC3292" i="1"/>
  <c r="AD3292" i="1"/>
  <c r="AE3292" i="1"/>
  <c r="AB3290" i="1"/>
  <c r="AC3290" i="1"/>
  <c r="AD3290" i="1"/>
  <c r="AE3290" i="1"/>
  <c r="AB3216" i="1"/>
  <c r="AC3216" i="1"/>
  <c r="AD3216" i="1"/>
  <c r="AE3216" i="1"/>
  <c r="AB3249" i="1"/>
  <c r="AC3249" i="1"/>
  <c r="AD3249" i="1"/>
  <c r="AE3249" i="1"/>
  <c r="L1660" i="1"/>
  <c r="G1659" i="1"/>
  <c r="P1659" i="1" s="1"/>
  <c r="Q1659" i="1" s="1"/>
  <c r="L1661" i="1"/>
  <c r="G1661" i="1"/>
  <c r="P1661" i="1" s="1"/>
  <c r="Q1661" i="1" s="1"/>
  <c r="L1658" i="1"/>
  <c r="L1659" i="1"/>
  <c r="W1657" i="1"/>
  <c r="Q1657" i="1" s="1"/>
  <c r="W1655" i="1"/>
  <c r="Q1655" i="1" s="1"/>
  <c r="L1657" i="1"/>
  <c r="L1656" i="1"/>
  <c r="L1655" i="1"/>
  <c r="L1654" i="1"/>
  <c r="W1648" i="1"/>
  <c r="Q1648" i="1" s="1"/>
  <c r="W1649" i="1"/>
  <c r="Q1649" i="1" s="1"/>
  <c r="W1653" i="1"/>
  <c r="Q1653" i="1" s="1"/>
  <c r="L1653" i="1"/>
  <c r="W1642" i="1"/>
  <c r="Q1642" i="1" s="1"/>
  <c r="L1651" i="1"/>
  <c r="L1652" i="1"/>
  <c r="L1650" i="1"/>
  <c r="L1649" i="1"/>
  <c r="L1648" i="1"/>
  <c r="AC3215" i="1" l="1"/>
  <c r="AE3215" i="1"/>
  <c r="AD3215" i="1"/>
  <c r="X1648" i="1"/>
  <c r="AB3190" i="1"/>
  <c r="AC3190" i="1"/>
  <c r="AD3190" i="1"/>
  <c r="AE3190" i="1"/>
  <c r="AB3200" i="1"/>
  <c r="AC3200" i="1"/>
  <c r="AD3200" i="1"/>
  <c r="AE3200" i="1"/>
  <c r="AB3206" i="1"/>
  <c r="AC3206" i="1"/>
  <c r="AD3206" i="1"/>
  <c r="AE3206" i="1"/>
  <c r="AB3184" i="1"/>
  <c r="AC3184" i="1"/>
  <c r="AD3184" i="1"/>
  <c r="AE3184" i="1"/>
  <c r="AB3195" i="1"/>
  <c r="AC3195" i="1"/>
  <c r="AD3195" i="1"/>
  <c r="AE3195" i="1"/>
  <c r="AB3181" i="1"/>
  <c r="AC3181" i="1"/>
  <c r="AD3181" i="1"/>
  <c r="AE3181" i="1"/>
  <c r="AB3191" i="1"/>
  <c r="AC3191" i="1"/>
  <c r="AD3191" i="1"/>
  <c r="AE3191" i="1"/>
  <c r="AB3198" i="1"/>
  <c r="AC3198" i="1"/>
  <c r="AD3198" i="1"/>
  <c r="AE3198" i="1"/>
  <c r="AB3208" i="1"/>
  <c r="AC3208" i="1"/>
  <c r="AD3208" i="1"/>
  <c r="AE3208" i="1"/>
  <c r="AB3343" i="1"/>
  <c r="AD3343" i="1"/>
  <c r="AE3343" i="1"/>
  <c r="AC3343" i="1"/>
  <c r="AB3185" i="1"/>
  <c r="AC3185" i="1"/>
  <c r="AD3185" i="1"/>
  <c r="AE3185" i="1"/>
  <c r="AB3203" i="1"/>
  <c r="AC3203" i="1"/>
  <c r="AD3203" i="1"/>
  <c r="AE3203" i="1"/>
  <c r="X1655" i="1"/>
  <c r="AB3182" i="1"/>
  <c r="AC3182" i="1"/>
  <c r="AD3182" i="1"/>
  <c r="AE3182" i="1"/>
  <c r="AB3199" i="1"/>
  <c r="AC3199" i="1"/>
  <c r="AD3199" i="1"/>
  <c r="AE3199" i="1"/>
  <c r="AB3187" i="1"/>
  <c r="AC3187" i="1"/>
  <c r="AD3187" i="1"/>
  <c r="AE3187" i="1"/>
  <c r="AB3197" i="1"/>
  <c r="AC3197" i="1"/>
  <c r="AD3197" i="1"/>
  <c r="AE3197" i="1"/>
  <c r="AB3186" i="1"/>
  <c r="AC3186" i="1"/>
  <c r="AD3186" i="1"/>
  <c r="AE3186" i="1"/>
  <c r="X1642" i="1"/>
  <c r="X1653" i="1"/>
  <c r="X1657" i="1"/>
  <c r="AC1671" i="1"/>
  <c r="AD1671" i="1"/>
  <c r="AE1671" i="1"/>
  <c r="AB1671" i="1"/>
  <c r="X1649" i="1"/>
  <c r="AB3189" i="1"/>
  <c r="AC3189" i="1"/>
  <c r="AD3189" i="1"/>
  <c r="AE3189" i="1"/>
  <c r="AB3201" i="1"/>
  <c r="AC3201" i="1"/>
  <c r="AD3201" i="1"/>
  <c r="AE3201" i="1"/>
  <c r="AB3213" i="1"/>
  <c r="AC3213" i="1"/>
  <c r="AD3213" i="1"/>
  <c r="AE3213" i="1"/>
  <c r="AA3209" i="1"/>
  <c r="Z3209" i="1"/>
  <c r="Y3209" i="1"/>
  <c r="AB3188" i="1"/>
  <c r="AC3188" i="1"/>
  <c r="AD3188" i="1"/>
  <c r="AE3188" i="1"/>
  <c r="AB3192" i="1"/>
  <c r="AC3192" i="1"/>
  <c r="AD3192" i="1"/>
  <c r="AE3192" i="1"/>
  <c r="AB3194" i="1"/>
  <c r="AC3194" i="1"/>
  <c r="AD3194" i="1"/>
  <c r="AE3194" i="1"/>
  <c r="L1647" i="1"/>
  <c r="L1646" i="1"/>
  <c r="L1645" i="1"/>
  <c r="L1644" i="1"/>
  <c r="L1643" i="1"/>
  <c r="L1642" i="1"/>
  <c r="W1636" i="1"/>
  <c r="Q1636" i="1" s="1"/>
  <c r="W1641" i="1"/>
  <c r="Q1641" i="1" s="1"/>
  <c r="L1641" i="1"/>
  <c r="L1636" i="1"/>
  <c r="L1640" i="1"/>
  <c r="L1639" i="1"/>
  <c r="L1638" i="1"/>
  <c r="L1637" i="1"/>
  <c r="L1635" i="1"/>
  <c r="AB3209" i="1" l="1"/>
  <c r="AC3209" i="1"/>
  <c r="AD3209" i="1"/>
  <c r="AE3209" i="1"/>
  <c r="AC1653" i="1"/>
  <c r="AD1653" i="1"/>
  <c r="AE1653" i="1"/>
  <c r="AB1653" i="1"/>
  <c r="AC1655" i="1"/>
  <c r="AD1655" i="1"/>
  <c r="AE1655" i="1"/>
  <c r="AB1655" i="1"/>
  <c r="AC1657" i="1"/>
  <c r="AD1657" i="1"/>
  <c r="AE1657" i="1"/>
  <c r="AB1657" i="1"/>
  <c r="AC1642" i="1"/>
  <c r="AD1642" i="1"/>
  <c r="AE1642" i="1"/>
  <c r="AB1642" i="1"/>
  <c r="X1641" i="1"/>
  <c r="AC1649" i="1"/>
  <c r="AD1649" i="1"/>
  <c r="AE1649" i="1"/>
  <c r="AB1649" i="1"/>
  <c r="AC1648" i="1"/>
  <c r="AD1648" i="1"/>
  <c r="AE1648" i="1"/>
  <c r="AB1648" i="1"/>
  <c r="X1636" i="1"/>
  <c r="L1634" i="1"/>
  <c r="W1632" i="1"/>
  <c r="Q1632" i="1" s="1"/>
  <c r="V1632" i="1"/>
  <c r="L1632" i="1"/>
  <c r="L1633" i="1"/>
  <c r="AC1632" i="1" l="1"/>
  <c r="AD1632" i="1"/>
  <c r="AB1632" i="1"/>
  <c r="X1632" i="1"/>
  <c r="AE1632" i="1" s="1"/>
  <c r="AA1632" i="1"/>
  <c r="AC1641" i="1"/>
  <c r="AD1641" i="1"/>
  <c r="AE1641" i="1"/>
  <c r="AB1641" i="1"/>
  <c r="AC1636" i="1"/>
  <c r="AD1636" i="1"/>
  <c r="AE1636" i="1"/>
  <c r="AB1636" i="1"/>
  <c r="L3080" i="1"/>
  <c r="L3079" i="1"/>
  <c r="L3073" i="1"/>
  <c r="L3072" i="1"/>
  <c r="L3064" i="1"/>
  <c r="L3075" i="1"/>
  <c r="L3076" i="1"/>
  <c r="L3078" i="1"/>
  <c r="L3077" i="1"/>
  <c r="L3070" i="1"/>
  <c r="L3065" i="1"/>
  <c r="L3063" i="1"/>
  <c r="L3062" i="1"/>
  <c r="V3061" i="1"/>
  <c r="L3061" i="1"/>
  <c r="L3060" i="1"/>
  <c r="L3074" i="1"/>
  <c r="L3068" i="1"/>
  <c r="L3069" i="1"/>
  <c r="L3071" i="1"/>
  <c r="L3067" i="1"/>
  <c r="L3066" i="1"/>
  <c r="W3066" i="1"/>
  <c r="Q3066" i="1" s="1"/>
  <c r="W3060" i="1"/>
  <c r="Q3060" i="1" s="1"/>
  <c r="L3059" i="1"/>
  <c r="L3058" i="1"/>
  <c r="L3057" i="1"/>
  <c r="V3057" i="1"/>
  <c r="L3056" i="1"/>
  <c r="L3055" i="1"/>
  <c r="L3054" i="1"/>
  <c r="O3053" i="1"/>
  <c r="P3053" i="1" s="1"/>
  <c r="Q3053" i="1" s="1"/>
  <c r="L3053" i="1"/>
  <c r="L3052" i="1"/>
  <c r="L3051" i="1"/>
  <c r="L3050" i="1"/>
  <c r="L3049" i="1"/>
  <c r="L3048" i="1"/>
  <c r="V3047" i="1"/>
  <c r="L3047" i="1"/>
  <c r="V3045" i="1"/>
  <c r="L3045" i="1"/>
  <c r="L3046" i="1"/>
  <c r="V3044" i="1"/>
  <c r="L3043" i="1"/>
  <c r="L3044" i="1"/>
  <c r="X3060" i="1" l="1"/>
  <c r="X3066" i="1"/>
  <c r="X3061" i="1"/>
  <c r="AE3061" i="1" s="1"/>
  <c r="AA3061" i="1"/>
  <c r="X3075" i="1"/>
  <c r="Y3053" i="1"/>
  <c r="Z3053" i="1"/>
  <c r="AA3053" i="1"/>
  <c r="X3043" i="1"/>
  <c r="X3044" i="1"/>
  <c r="AE3044" i="1" s="1"/>
  <c r="AA3044" i="1"/>
  <c r="X3057" i="1"/>
  <c r="AE3057" i="1" s="1"/>
  <c r="AA3057" i="1"/>
  <c r="X3076" i="1"/>
  <c r="X3047" i="1"/>
  <c r="AE3047" i="1" s="1"/>
  <c r="AA3047" i="1"/>
  <c r="X3077" i="1"/>
  <c r="X3045" i="1"/>
  <c r="AE3045" i="1" s="1"/>
  <c r="AA3045" i="1"/>
  <c r="V3042" i="1"/>
  <c r="V3041" i="1"/>
  <c r="L3041" i="1"/>
  <c r="L3042" i="1"/>
  <c r="G3014" i="1"/>
  <c r="P3014" i="1" s="1"/>
  <c r="Q3014" i="1" s="1"/>
  <c r="L3014" i="1"/>
  <c r="G3010" i="1"/>
  <c r="P3010" i="1" s="1"/>
  <c r="Q3010" i="1" s="1"/>
  <c r="L3010" i="1"/>
  <c r="G3009" i="1"/>
  <c r="P3009" i="1" s="1"/>
  <c r="Q3009" i="1" s="1"/>
  <c r="L3009" i="1"/>
  <c r="L3019" i="1"/>
  <c r="L3020" i="1"/>
  <c r="U3020" i="1"/>
  <c r="Z3020" i="1" s="1"/>
  <c r="T3020" i="1"/>
  <c r="AD3020" i="1" s="1"/>
  <c r="R3020" i="1"/>
  <c r="O3017" i="1"/>
  <c r="P3017" i="1" s="1"/>
  <c r="Q3017" i="1" s="1"/>
  <c r="V3017" i="1"/>
  <c r="X3017" i="1" s="1"/>
  <c r="L3017" i="1"/>
  <c r="L3018" i="1"/>
  <c r="W3016" i="1"/>
  <c r="Q3016" i="1" s="1"/>
  <c r="L3016" i="1"/>
  <c r="L3015" i="1"/>
  <c r="L3013" i="1"/>
  <c r="L3012" i="1"/>
  <c r="W3011" i="1"/>
  <c r="Q3011" i="1" s="1"/>
  <c r="L3011" i="1"/>
  <c r="V3011" i="1"/>
  <c r="Y3014" i="1" l="1"/>
  <c r="Z3014" i="1"/>
  <c r="AA3014" i="1"/>
  <c r="AB3020" i="1"/>
  <c r="Y3020" i="1"/>
  <c r="AC3077" i="1"/>
  <c r="AD3077" i="1"/>
  <c r="AE3077" i="1"/>
  <c r="AB3077" i="1"/>
  <c r="AC3075" i="1"/>
  <c r="AD3075" i="1"/>
  <c r="AE3075" i="1"/>
  <c r="AB3075" i="1"/>
  <c r="X3016" i="1"/>
  <c r="AC3043" i="1"/>
  <c r="AD3043" i="1"/>
  <c r="AE3043" i="1"/>
  <c r="AB3043" i="1"/>
  <c r="X3041" i="1"/>
  <c r="AE3041" i="1" s="1"/>
  <c r="AA3041" i="1"/>
  <c r="AC3076" i="1"/>
  <c r="AD3076" i="1"/>
  <c r="AE3076" i="1"/>
  <c r="AB3076" i="1"/>
  <c r="AC3053" i="1"/>
  <c r="AD3053" i="1"/>
  <c r="AE3053" i="1"/>
  <c r="AB3053" i="1"/>
  <c r="AC3066" i="1"/>
  <c r="AD3066" i="1"/>
  <c r="AE3066" i="1"/>
  <c r="AB3066" i="1"/>
  <c r="Y3009" i="1"/>
  <c r="Z3009" i="1"/>
  <c r="AA3009" i="1"/>
  <c r="X3042" i="1"/>
  <c r="AE3042" i="1" s="1"/>
  <c r="AA3042" i="1"/>
  <c r="Y3010" i="1"/>
  <c r="Z3010" i="1"/>
  <c r="AA3010" i="1"/>
  <c r="X3011" i="1"/>
  <c r="AE3011" i="1" s="1"/>
  <c r="AA3011" i="1"/>
  <c r="AC3011" i="1"/>
  <c r="AD3011" i="1"/>
  <c r="AB3011" i="1"/>
  <c r="Y3017" i="1"/>
  <c r="Z3017" i="1"/>
  <c r="AA3017" i="1"/>
  <c r="AC3060" i="1"/>
  <c r="AD3060" i="1"/>
  <c r="AE3060" i="1"/>
  <c r="AB3060" i="1"/>
  <c r="W2810" i="1"/>
  <c r="Q2810" i="1" s="1"/>
  <c r="L2810" i="1"/>
  <c r="L2809" i="1"/>
  <c r="O2798" i="1"/>
  <c r="P2798" i="1" s="1"/>
  <c r="Q2798" i="1" s="1"/>
  <c r="L2798" i="1"/>
  <c r="V2798" i="1"/>
  <c r="X2798" i="1" s="1"/>
  <c r="L2797" i="1"/>
  <c r="L2796" i="1"/>
  <c r="O2796" i="1"/>
  <c r="P2796" i="1" s="1"/>
  <c r="Q2796" i="1" s="1"/>
  <c r="O2795" i="1"/>
  <c r="P2795" i="1" s="1"/>
  <c r="Q2795" i="1" s="1"/>
  <c r="O2794" i="1"/>
  <c r="P2794" i="1" s="1"/>
  <c r="Q2794" i="1" s="1"/>
  <c r="L2795" i="1"/>
  <c r="L2794" i="1"/>
  <c r="V2793" i="1"/>
  <c r="M2793" i="1"/>
  <c r="O2793" i="1" s="1"/>
  <c r="P2793" i="1" s="1"/>
  <c r="L2793" i="1"/>
  <c r="G2793" i="1"/>
  <c r="W2793" i="1"/>
  <c r="W2792" i="1"/>
  <c r="V2792" i="1"/>
  <c r="L2792" i="1"/>
  <c r="G2792" i="1"/>
  <c r="M2792" i="1"/>
  <c r="O2792" i="1" s="1"/>
  <c r="L2791" i="1"/>
  <c r="O2791" i="1"/>
  <c r="P2791" i="1" s="1"/>
  <c r="Q2791" i="1" s="1"/>
  <c r="O2790" i="1"/>
  <c r="P2790" i="1" s="1"/>
  <c r="Q2790" i="1" s="1"/>
  <c r="G2790" i="1"/>
  <c r="O2789" i="1"/>
  <c r="P2789" i="1" s="1"/>
  <c r="Q2789" i="1" s="1"/>
  <c r="G2789" i="1"/>
  <c r="L2790" i="1"/>
  <c r="I2790" i="1"/>
  <c r="L2789" i="1"/>
  <c r="I2789" i="1"/>
  <c r="O2788" i="1"/>
  <c r="P2788" i="1" s="1"/>
  <c r="Q2788" i="1" s="1"/>
  <c r="L2788" i="1"/>
  <c r="L2787" i="1"/>
  <c r="O2787" i="1"/>
  <c r="P2787" i="1" s="1"/>
  <c r="Q2787" i="1" s="1"/>
  <c r="V2786" i="1"/>
  <c r="X2786" i="1" s="1"/>
  <c r="M2786" i="1"/>
  <c r="O2786" i="1" s="1"/>
  <c r="P2786" i="1" s="1"/>
  <c r="Q2786" i="1" s="1"/>
  <c r="L2786" i="1"/>
  <c r="G2786" i="1"/>
  <c r="L2780" i="1"/>
  <c r="I2780" i="1"/>
  <c r="I2793" i="1"/>
  <c r="I2792" i="1"/>
  <c r="I2791" i="1"/>
  <c r="I2788" i="1"/>
  <c r="I2787" i="1"/>
  <c r="I2786" i="1"/>
  <c r="I2796" i="1"/>
  <c r="I2795" i="1"/>
  <c r="I2794" i="1"/>
  <c r="W2785" i="1"/>
  <c r="V2785" i="1"/>
  <c r="O2785" i="1"/>
  <c r="P2785" i="1" s="1"/>
  <c r="Q2785" i="1" s="1"/>
  <c r="L2785" i="1"/>
  <c r="W2784" i="1"/>
  <c r="V2784" i="1"/>
  <c r="O2784" i="1"/>
  <c r="P2784" i="1" s="1"/>
  <c r="Q2784" i="1" s="1"/>
  <c r="L2784" i="1"/>
  <c r="L2783" i="1"/>
  <c r="G2782" i="1"/>
  <c r="P2782" i="1" s="1"/>
  <c r="Q2782" i="1" s="1"/>
  <c r="L2782" i="1"/>
  <c r="I2782" i="1"/>
  <c r="L2779" i="1"/>
  <c r="L2781" i="1"/>
  <c r="I2783" i="1"/>
  <c r="I2781" i="1"/>
  <c r="I2779" i="1"/>
  <c r="I2785" i="1"/>
  <c r="I2784" i="1"/>
  <c r="I2797" i="1"/>
  <c r="G2778" i="1"/>
  <c r="P2778" i="1" s="1"/>
  <c r="Q2778" i="1" s="1"/>
  <c r="I2778" i="1"/>
  <c r="L2778" i="1"/>
  <c r="G2777" i="1"/>
  <c r="P2777" i="1" s="1"/>
  <c r="Q2777" i="1" s="1"/>
  <c r="I2777" i="1"/>
  <c r="L2777" i="1"/>
  <c r="P2792" i="1" l="1"/>
  <c r="Q2792" i="1" s="1"/>
  <c r="Q2793" i="1"/>
  <c r="Z2793" i="1"/>
  <c r="X2793" i="1"/>
  <c r="Y2792" i="1"/>
  <c r="AA2784" i="1"/>
  <c r="Y2784" i="1"/>
  <c r="Z2784" i="1"/>
  <c r="AC3016" i="1"/>
  <c r="AD3016" i="1"/>
  <c r="AE3016" i="1"/>
  <c r="AB3016" i="1"/>
  <c r="X2784" i="1"/>
  <c r="AA2788" i="1"/>
  <c r="Y2788" i="1"/>
  <c r="Z2788" i="1"/>
  <c r="X2792" i="1"/>
  <c r="Y2798" i="1"/>
  <c r="Z2798" i="1"/>
  <c r="AA2798" i="1"/>
  <c r="AC3017" i="1"/>
  <c r="AD3017" i="1"/>
  <c r="AE3017" i="1"/>
  <c r="AB3017" i="1"/>
  <c r="AC3009" i="1"/>
  <c r="AD3009" i="1"/>
  <c r="AE3009" i="1"/>
  <c r="AB3009" i="1"/>
  <c r="AA2791" i="1"/>
  <c r="Z2791" i="1"/>
  <c r="Y2791" i="1"/>
  <c r="Y2794" i="1"/>
  <c r="Z2794" i="1"/>
  <c r="AA2794" i="1"/>
  <c r="Y2795" i="1"/>
  <c r="Z2795" i="1"/>
  <c r="AA2795" i="1"/>
  <c r="AC3010" i="1"/>
  <c r="AD3010" i="1"/>
  <c r="AE3010" i="1"/>
  <c r="AB3010" i="1"/>
  <c r="AC3014" i="1"/>
  <c r="AD3014" i="1"/>
  <c r="AE3014" i="1"/>
  <c r="AB3014" i="1"/>
  <c r="AA2787" i="1"/>
  <c r="Z2787" i="1"/>
  <c r="Y2787" i="1"/>
  <c r="AA2778" i="1"/>
  <c r="Y2778" i="1"/>
  <c r="Z2778" i="1"/>
  <c r="AA2785" i="1"/>
  <c r="Y2785" i="1"/>
  <c r="Z2785" i="1"/>
  <c r="X2791" i="1"/>
  <c r="Y2796" i="1"/>
  <c r="Z2796" i="1"/>
  <c r="AA2796" i="1"/>
  <c r="X2810" i="1"/>
  <c r="AA2777" i="1"/>
  <c r="Y2777" i="1"/>
  <c r="Z2777" i="1"/>
  <c r="AA2782" i="1"/>
  <c r="Y2782" i="1"/>
  <c r="Z2782" i="1"/>
  <c r="X2785" i="1"/>
  <c r="G2776" i="1"/>
  <c r="P2776" i="1" s="1"/>
  <c r="Q2776" i="1" s="1"/>
  <c r="L2776" i="1"/>
  <c r="L2775" i="1"/>
  <c r="W2773" i="1"/>
  <c r="Q2773" i="1" s="1"/>
  <c r="L2773" i="1"/>
  <c r="I2773" i="1"/>
  <c r="L2774" i="1"/>
  <c r="W2774" i="1"/>
  <c r="Q2774" i="1" s="1"/>
  <c r="W2772" i="1"/>
  <c r="Q2772" i="1" s="1"/>
  <c r="L2772" i="1"/>
  <c r="L2771" i="1"/>
  <c r="W1610" i="1"/>
  <c r="Q1610" i="1" s="1"/>
  <c r="W2770" i="1"/>
  <c r="X2770" i="1" s="1"/>
  <c r="O2770" i="1"/>
  <c r="P2770" i="1" s="1"/>
  <c r="Q2770" i="1" s="1"/>
  <c r="L2770" i="1"/>
  <c r="W2769" i="1"/>
  <c r="Q2769" i="1" s="1"/>
  <c r="L2769" i="1"/>
  <c r="I985" i="1"/>
  <c r="I986" i="1"/>
  <c r="I987" i="1"/>
  <c r="I988" i="1"/>
  <c r="I989" i="1"/>
  <c r="I990" i="1"/>
  <c r="I991" i="1"/>
  <c r="I992" i="1"/>
  <c r="I993" i="1"/>
  <c r="I995" i="1"/>
  <c r="I996" i="1"/>
  <c r="I999" i="1"/>
  <c r="I1000" i="1"/>
  <c r="I1001" i="1"/>
  <c r="I1004" i="1"/>
  <c r="I1007" i="1"/>
  <c r="I1010" i="1"/>
  <c r="I1011"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4" i="1"/>
  <c r="I1045" i="1"/>
  <c r="I1046" i="1"/>
  <c r="I1047" i="1"/>
  <c r="I1048" i="1"/>
  <c r="I1049" i="1"/>
  <c r="I1050" i="1"/>
  <c r="I1051" i="1"/>
  <c r="I1052" i="1"/>
  <c r="I1057" i="1"/>
  <c r="I1058" i="1"/>
  <c r="I1059" i="1"/>
  <c r="I1060" i="1"/>
  <c r="I1061" i="1"/>
  <c r="I1062" i="1"/>
  <c r="I1063" i="1"/>
  <c r="I1065" i="1"/>
  <c r="I1066" i="1"/>
  <c r="I1067" i="1"/>
  <c r="I1068" i="1"/>
  <c r="I1069" i="1"/>
  <c r="I1070" i="1"/>
  <c r="I1071" i="1"/>
  <c r="I1072" i="1"/>
  <c r="I1073" i="1"/>
  <c r="I1074" i="1"/>
  <c r="I1075" i="1"/>
  <c r="I1076" i="1"/>
  <c r="I1078" i="1"/>
  <c r="I1079" i="1"/>
  <c r="I1080" i="1"/>
  <c r="I1081" i="1"/>
  <c r="I1082" i="1"/>
  <c r="I1083" i="1"/>
  <c r="I1084" i="1"/>
  <c r="I1085" i="1"/>
  <c r="I1086" i="1"/>
  <c r="I1087" i="1"/>
  <c r="I1088" i="1"/>
  <c r="I1089" i="1"/>
  <c r="I1090" i="1"/>
  <c r="I1091" i="1"/>
  <c r="I1093" i="1"/>
  <c r="I1094" i="1"/>
  <c r="I1095" i="1"/>
  <c r="I1096" i="1"/>
  <c r="I1097" i="1"/>
  <c r="I1098" i="1"/>
  <c r="I1129" i="1"/>
  <c r="I1130" i="1"/>
  <c r="I1138" i="1"/>
  <c r="I1140" i="1"/>
  <c r="I1141" i="1"/>
  <c r="I1142" i="1"/>
  <c r="I1143" i="1"/>
  <c r="I1145" i="1"/>
  <c r="I1147" i="1"/>
  <c r="I1148" i="1"/>
  <c r="I1149" i="1"/>
  <c r="I1155" i="1"/>
  <c r="I1157" i="1"/>
  <c r="I1158" i="1"/>
  <c r="I1159" i="1"/>
  <c r="I1160" i="1"/>
  <c r="I1161" i="1"/>
  <c r="I1162" i="1"/>
  <c r="I1163" i="1"/>
  <c r="I1170" i="1"/>
  <c r="I1171" i="1"/>
  <c r="I1172" i="1"/>
  <c r="I1173" i="1"/>
  <c r="I1182" i="1"/>
  <c r="I1183" i="1"/>
  <c r="I1184" i="1"/>
  <c r="I1190" i="1"/>
  <c r="I1191" i="1"/>
  <c r="I1192" i="1"/>
  <c r="I1193" i="1"/>
  <c r="I1194" i="1"/>
  <c r="I1195" i="1"/>
  <c r="I1196" i="1"/>
  <c r="I1197" i="1"/>
  <c r="I1198" i="1"/>
  <c r="I1199" i="1"/>
  <c r="I1219" i="1"/>
  <c r="I1220" i="1"/>
  <c r="I1222" i="1"/>
  <c r="I1223" i="1"/>
  <c r="I1224" i="1"/>
  <c r="I1228" i="1"/>
  <c r="I1231" i="1"/>
  <c r="I1236" i="1"/>
  <c r="I1237" i="1"/>
  <c r="I1238" i="1"/>
  <c r="I1241" i="1"/>
  <c r="I1242" i="1"/>
  <c r="I1243" i="1"/>
  <c r="I1245" i="1"/>
  <c r="I1246" i="1"/>
  <c r="I1247" i="1"/>
  <c r="I1248" i="1"/>
  <c r="I1250" i="1"/>
  <c r="I1251" i="1"/>
  <c r="I1260" i="1"/>
  <c r="I1261" i="1"/>
  <c r="I1262" i="1"/>
  <c r="I1263" i="1"/>
  <c r="I1264" i="1"/>
  <c r="I1265" i="1"/>
  <c r="I1266" i="1"/>
  <c r="I1267" i="1"/>
  <c r="I1271" i="1"/>
  <c r="I1272" i="1"/>
  <c r="I1273" i="1"/>
  <c r="I1274" i="1"/>
  <c r="I1275" i="1"/>
  <c r="I1278" i="1"/>
  <c r="I1279" i="1"/>
  <c r="I1283" i="1"/>
  <c r="I1285" i="1"/>
  <c r="I1286" i="1"/>
  <c r="I1293" i="1"/>
  <c r="I1294" i="1"/>
  <c r="I1296" i="1"/>
  <c r="I1300" i="1"/>
  <c r="I1303" i="1"/>
  <c r="I1304" i="1"/>
  <c r="I1306" i="1"/>
  <c r="I1307" i="1"/>
  <c r="I1308" i="1"/>
  <c r="I1309" i="1"/>
  <c r="I1312" i="1"/>
  <c r="I1315" i="1"/>
  <c r="I1316" i="1"/>
  <c r="I1323" i="1"/>
  <c r="I1331" i="1"/>
  <c r="I1376" i="1"/>
  <c r="I1377" i="1"/>
  <c r="I1391" i="1"/>
  <c r="I1392" i="1"/>
  <c r="I1393" i="1"/>
  <c r="I1396" i="1"/>
  <c r="I1397" i="1"/>
  <c r="I1400" i="1"/>
  <c r="I1407" i="1"/>
  <c r="I1410" i="1"/>
  <c r="I1411" i="1"/>
  <c r="I1412" i="1"/>
  <c r="I1416" i="1"/>
  <c r="I1417" i="1"/>
  <c r="I1418" i="1"/>
  <c r="I1419" i="1"/>
  <c r="I1420" i="1"/>
  <c r="I1421" i="1"/>
  <c r="I1422" i="1"/>
  <c r="I1423" i="1"/>
  <c r="I1424" i="1"/>
  <c r="I1425" i="1"/>
  <c r="I1426" i="1"/>
  <c r="I1427" i="1"/>
  <c r="I1438" i="1"/>
  <c r="I1439" i="1"/>
  <c r="I1440" i="1"/>
  <c r="I1441" i="1"/>
  <c r="I1442" i="1"/>
  <c r="I1443" i="1"/>
  <c r="I1444" i="1"/>
  <c r="I1445" i="1"/>
  <c r="I1446" i="1"/>
  <c r="I1447" i="1"/>
  <c r="I1448" i="1"/>
  <c r="I1449" i="1"/>
  <c r="I1450" i="1"/>
  <c r="I1451" i="1"/>
  <c r="I1452" i="1"/>
  <c r="I1453" i="1"/>
  <c r="I1455"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8" i="1"/>
  <c r="I1489" i="1"/>
  <c r="I1490" i="1"/>
  <c r="I1491" i="1"/>
  <c r="I1492" i="1"/>
  <c r="I1493" i="1"/>
  <c r="I1499" i="1"/>
  <c r="I1500" i="1"/>
  <c r="I1502" i="1"/>
  <c r="I1503" i="1"/>
  <c r="I1504" i="1"/>
  <c r="I1505" i="1"/>
  <c r="I1506" i="1"/>
  <c r="I1507" i="1"/>
  <c r="I1508" i="1"/>
  <c r="I1509" i="1"/>
  <c r="I1510" i="1"/>
  <c r="I1512" i="1"/>
  <c r="I1513" i="1"/>
  <c r="I1514" i="1"/>
  <c r="I1516" i="1"/>
  <c r="I1517" i="1"/>
  <c r="I1520" i="1"/>
  <c r="I1521" i="1"/>
  <c r="I1522" i="1"/>
  <c r="I1523" i="1"/>
  <c r="I1524" i="1"/>
  <c r="I1526" i="1"/>
  <c r="I1527" i="1"/>
  <c r="I1528" i="1"/>
  <c r="I1529" i="1"/>
  <c r="I1543" i="1"/>
  <c r="I1544" i="1"/>
  <c r="I1545" i="1"/>
  <c r="I1546" i="1"/>
  <c r="I1547" i="1"/>
  <c r="I1548" i="1"/>
  <c r="I1552" i="1"/>
  <c r="I1553" i="1"/>
  <c r="I1554" i="1"/>
  <c r="I1557" i="1"/>
  <c r="I1559" i="1"/>
  <c r="I1563" i="1"/>
  <c r="I1564" i="1"/>
  <c r="I1567" i="1"/>
  <c r="I1568" i="1"/>
  <c r="I1573" i="1"/>
  <c r="I1576" i="1"/>
  <c r="I1585" i="1"/>
  <c r="I1587" i="1"/>
  <c r="I1588"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4" i="1"/>
  <c r="I2775" i="1"/>
  <c r="I2776" i="1"/>
  <c r="I2798" i="1"/>
  <c r="I2799" i="1"/>
  <c r="I2800" i="1"/>
  <c r="I2801" i="1"/>
  <c r="I2802" i="1"/>
  <c r="I2803" i="1"/>
  <c r="I2804" i="1"/>
  <c r="I2805" i="1"/>
  <c r="I2806" i="1"/>
  <c r="I2807" i="1"/>
  <c r="I2808" i="1"/>
  <c r="I2811" i="1"/>
  <c r="I2812" i="1"/>
  <c r="I2813" i="1"/>
  <c r="I2814" i="1"/>
  <c r="I2815" i="1"/>
  <c r="I2816" i="1"/>
  <c r="I2817" i="1"/>
  <c r="I2818" i="1"/>
  <c r="I2819" i="1"/>
  <c r="I2820" i="1"/>
  <c r="I2821" i="1"/>
  <c r="I2822" i="1"/>
  <c r="I2823" i="1"/>
  <c r="I2824" i="1"/>
  <c r="I2825" i="1"/>
  <c r="I2826" i="1"/>
  <c r="I2827" i="1"/>
  <c r="I2828" i="1"/>
  <c r="I2829" i="1"/>
  <c r="I2830" i="1"/>
  <c r="I2831" i="1"/>
  <c r="I2832"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3562" i="1"/>
  <c r="I3563" i="1"/>
  <c r="I3564" i="1"/>
  <c r="I3565" i="1"/>
  <c r="I3566" i="1"/>
  <c r="I3567" i="1"/>
  <c r="I3568" i="1"/>
  <c r="I3569" i="1"/>
  <c r="I3570" i="1"/>
  <c r="I3571" i="1"/>
  <c r="I3572" i="1"/>
  <c r="I3573" i="1"/>
  <c r="I3574" i="1"/>
  <c r="I3575" i="1"/>
  <c r="I3576" i="1"/>
  <c r="I3577" i="1"/>
  <c r="I3578" i="1"/>
  <c r="I3579" i="1"/>
  <c r="I969" i="1"/>
  <c r="I972" i="1"/>
  <c r="I973" i="1"/>
  <c r="I974" i="1"/>
  <c r="I976" i="1"/>
  <c r="I977" i="1"/>
  <c r="I980" i="1"/>
  <c r="I981" i="1"/>
  <c r="I982" i="1"/>
  <c r="I983" i="1"/>
  <c r="I984" i="1"/>
  <c r="V989" i="1"/>
  <c r="L989" i="1"/>
  <c r="I959" i="1"/>
  <c r="I960" i="1"/>
  <c r="I961" i="1"/>
  <c r="I965" i="1"/>
  <c r="I966" i="1"/>
  <c r="I967" i="1"/>
  <c r="I968" i="1"/>
  <c r="L982" i="1"/>
  <c r="I936" i="1"/>
  <c r="I937" i="1"/>
  <c r="I938" i="1"/>
  <c r="I939" i="1"/>
  <c r="I942" i="1"/>
  <c r="I943" i="1"/>
  <c r="I944" i="1"/>
  <c r="I947" i="1"/>
  <c r="I949" i="1"/>
  <c r="I950" i="1"/>
  <c r="I951" i="1"/>
  <c r="I952" i="1"/>
  <c r="I953" i="1"/>
  <c r="I954" i="1"/>
  <c r="I958" i="1"/>
  <c r="I935" i="1"/>
  <c r="I934" i="1"/>
  <c r="I933" i="1"/>
  <c r="I932" i="1"/>
  <c r="I925" i="1"/>
  <c r="I924" i="1"/>
  <c r="I923" i="1"/>
  <c r="I919" i="1"/>
  <c r="I918" i="1"/>
  <c r="I917" i="1"/>
  <c r="I916" i="1"/>
  <c r="I915" i="1"/>
  <c r="I914" i="1"/>
  <c r="I913" i="1"/>
  <c r="I912" i="1"/>
  <c r="I911" i="1"/>
  <c r="I890" i="1"/>
  <c r="I891" i="1"/>
  <c r="I892" i="1"/>
  <c r="I893" i="1"/>
  <c r="I894" i="1"/>
  <c r="I895" i="1"/>
  <c r="I896" i="1"/>
  <c r="I897" i="1"/>
  <c r="I898" i="1"/>
  <c r="I899" i="1"/>
  <c r="I90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43" i="1"/>
  <c r="I844" i="1"/>
  <c r="I845" i="1"/>
  <c r="I846" i="1"/>
  <c r="I847" i="1"/>
  <c r="I848" i="1"/>
  <c r="I849" i="1"/>
  <c r="I850" i="1"/>
  <c r="I851" i="1"/>
  <c r="I852" i="1"/>
  <c r="I853" i="1"/>
  <c r="I854" i="1"/>
  <c r="I855" i="1"/>
  <c r="I856" i="1"/>
  <c r="I857" i="1"/>
  <c r="I858" i="1"/>
  <c r="I859" i="1"/>
  <c r="I860" i="1"/>
  <c r="I820" i="1"/>
  <c r="I821" i="1"/>
  <c r="I822" i="1"/>
  <c r="I823" i="1"/>
  <c r="I824" i="1"/>
  <c r="I825" i="1"/>
  <c r="I826" i="1"/>
  <c r="I827" i="1"/>
  <c r="I828" i="1"/>
  <c r="I829" i="1"/>
  <c r="I830" i="1"/>
  <c r="I831" i="1"/>
  <c r="I832" i="1"/>
  <c r="I833" i="1"/>
  <c r="I834" i="1"/>
  <c r="I835" i="1"/>
  <c r="I836" i="1"/>
  <c r="I837" i="1"/>
  <c r="I838" i="1"/>
  <c r="I839" i="1"/>
  <c r="I840" i="1"/>
  <c r="I841" i="1"/>
  <c r="I842" i="1"/>
  <c r="I239" i="1"/>
  <c r="I796" i="1"/>
  <c r="I797" i="1"/>
  <c r="I798" i="1"/>
  <c r="I799" i="1"/>
  <c r="I800" i="1"/>
  <c r="I801" i="1"/>
  <c r="I802" i="1"/>
  <c r="I803" i="1"/>
  <c r="I804" i="1"/>
  <c r="I805" i="1"/>
  <c r="I806" i="1"/>
  <c r="I807" i="1"/>
  <c r="I808" i="1"/>
  <c r="I809" i="1"/>
  <c r="I810" i="1"/>
  <c r="I811" i="1"/>
  <c r="I812" i="1"/>
  <c r="I813" i="1"/>
  <c r="I814" i="1"/>
  <c r="I815" i="1"/>
  <c r="I816" i="1"/>
  <c r="I817" i="1"/>
  <c r="I818" i="1"/>
  <c r="I819"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150" i="1"/>
  <c r="I151" i="1"/>
  <c r="I152" i="1"/>
  <c r="I153" i="1"/>
  <c r="I154" i="1"/>
  <c r="I155" i="1"/>
  <c r="I156" i="1"/>
  <c r="I157" i="1"/>
  <c r="I158" i="1"/>
  <c r="I159" i="1"/>
  <c r="I160" i="1"/>
  <c r="I161" i="1"/>
  <c r="I162"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38" i="1"/>
  <c r="I37" i="1"/>
  <c r="I36" i="1"/>
  <c r="I35" i="1"/>
  <c r="I34" i="1"/>
  <c r="I33" i="1"/>
  <c r="I32" i="1"/>
  <c r="I31" i="1"/>
  <c r="I30" i="1"/>
  <c r="I29" i="1"/>
  <c r="I28" i="1"/>
  <c r="I27" i="1"/>
  <c r="I26" i="1"/>
  <c r="I25" i="1"/>
  <c r="I24" i="1"/>
  <c r="I23" i="1"/>
  <c r="I22" i="1"/>
  <c r="I21" i="1"/>
  <c r="I20" i="1"/>
  <c r="I2" i="1"/>
  <c r="I3" i="1"/>
  <c r="I4" i="1"/>
  <c r="I5" i="1"/>
  <c r="I6" i="1"/>
  <c r="I7" i="1"/>
  <c r="I8" i="1"/>
  <c r="I9" i="1"/>
  <c r="I10" i="1"/>
  <c r="I11" i="1"/>
  <c r="I12" i="1"/>
  <c r="I13" i="1"/>
  <c r="I14" i="1"/>
  <c r="I15" i="1"/>
  <c r="I16" i="1"/>
  <c r="I17" i="1"/>
  <c r="I18" i="1"/>
  <c r="I19" i="1"/>
  <c r="G2768" i="1"/>
  <c r="P2768" i="1" s="1"/>
  <c r="Q2768" i="1" s="1"/>
  <c r="L2768" i="1"/>
  <c r="R2765" i="1"/>
  <c r="T2767" i="1"/>
  <c r="AD2767" i="1" s="1"/>
  <c r="T2766" i="1"/>
  <c r="AD2766" i="1" s="1"/>
  <c r="L2766" i="1"/>
  <c r="L2767" i="1"/>
  <c r="L2765" i="1"/>
  <c r="L2764" i="1"/>
  <c r="L2763" i="1"/>
  <c r="L2762" i="1"/>
  <c r="W2761" i="1"/>
  <c r="X2761" i="1" s="1"/>
  <c r="O2761" i="1"/>
  <c r="P2761" i="1" s="1"/>
  <c r="Q2761" i="1" s="1"/>
  <c r="L2761" i="1"/>
  <c r="Y2793" i="1" l="1"/>
  <c r="AA2792" i="1"/>
  <c r="AD2793" i="1"/>
  <c r="AA2793" i="1"/>
  <c r="AB2792" i="1"/>
  <c r="Z2792" i="1"/>
  <c r="AC2798" i="1"/>
  <c r="AD2798" i="1"/>
  <c r="AE2798" i="1"/>
  <c r="AB2798" i="1"/>
  <c r="AE2777" i="1"/>
  <c r="AB2777" i="1"/>
  <c r="AC2777" i="1"/>
  <c r="AD2777" i="1"/>
  <c r="AA2761" i="1"/>
  <c r="Y2761" i="1"/>
  <c r="Z2761" i="1"/>
  <c r="X2772" i="1"/>
  <c r="AA2776" i="1"/>
  <c r="Y2776" i="1"/>
  <c r="Z2776" i="1"/>
  <c r="AC2796" i="1"/>
  <c r="AD2796" i="1"/>
  <c r="AE2796" i="1"/>
  <c r="AB2796" i="1"/>
  <c r="AE2785" i="1"/>
  <c r="AB2785" i="1"/>
  <c r="AC2785" i="1"/>
  <c r="AD2785" i="1"/>
  <c r="X989" i="1"/>
  <c r="AE989" i="1" s="1"/>
  <c r="AA989" i="1"/>
  <c r="X2769" i="1"/>
  <c r="X2774" i="1"/>
  <c r="AC2794" i="1"/>
  <c r="AD2794" i="1"/>
  <c r="AE2794" i="1"/>
  <c r="AB2794" i="1"/>
  <c r="T2765" i="1"/>
  <c r="AD2765" i="1" s="1"/>
  <c r="AB2765" i="1"/>
  <c r="Y2765" i="1"/>
  <c r="AE2782" i="1"/>
  <c r="AB2782" i="1"/>
  <c r="AC2782" i="1"/>
  <c r="AD2782" i="1"/>
  <c r="AE2778" i="1"/>
  <c r="AB2778" i="1"/>
  <c r="AC2778" i="1"/>
  <c r="AD2778" i="1"/>
  <c r="AC2795" i="1"/>
  <c r="AD2795" i="1"/>
  <c r="AE2795" i="1"/>
  <c r="AB2795" i="1"/>
  <c r="AE2791" i="1"/>
  <c r="AB2791" i="1"/>
  <c r="AC2791" i="1"/>
  <c r="AD2791" i="1"/>
  <c r="AE2784" i="1"/>
  <c r="AC2784" i="1"/>
  <c r="AD2784" i="1"/>
  <c r="AB2784" i="1"/>
  <c r="AA2770" i="1"/>
  <c r="Y2770" i="1"/>
  <c r="Z2770" i="1"/>
  <c r="AA2790" i="1"/>
  <c r="Y2790" i="1"/>
  <c r="Z2790" i="1"/>
  <c r="AA2768" i="1"/>
  <c r="Y2768" i="1"/>
  <c r="Z2768" i="1"/>
  <c r="AE2788" i="1"/>
  <c r="AC2788" i="1"/>
  <c r="AD2788" i="1"/>
  <c r="AB2788" i="1"/>
  <c r="AC2810" i="1"/>
  <c r="AD2810" i="1"/>
  <c r="AE2810" i="1"/>
  <c r="AB2810" i="1"/>
  <c r="AE2787" i="1"/>
  <c r="AB2787" i="1"/>
  <c r="AC2787" i="1"/>
  <c r="AD2787" i="1"/>
  <c r="X1610" i="1"/>
  <c r="X2773" i="1"/>
  <c r="AA2786" i="1"/>
  <c r="Y2786" i="1"/>
  <c r="Z2786" i="1"/>
  <c r="AA2789" i="1"/>
  <c r="Y2789" i="1"/>
  <c r="Z2789" i="1"/>
  <c r="W2760" i="1"/>
  <c r="Q2760" i="1" s="1"/>
  <c r="L2760" i="1"/>
  <c r="W2759" i="1"/>
  <c r="Q2759" i="1" s="1"/>
  <c r="L2759" i="1"/>
  <c r="L2757" i="1"/>
  <c r="L2758" i="1"/>
  <c r="L2756" i="1"/>
  <c r="W2756" i="1"/>
  <c r="Q2756" i="1" s="1"/>
  <c r="L2755" i="1"/>
  <c r="W2755" i="1"/>
  <c r="Q2755" i="1" s="1"/>
  <c r="L2754" i="1"/>
  <c r="W2754" i="1"/>
  <c r="Q2754" i="1" s="1"/>
  <c r="T2750" i="1"/>
  <c r="AD2750" i="1" s="1"/>
  <c r="T2740" i="1"/>
  <c r="AD2740" i="1" s="1"/>
  <c r="L2751" i="1"/>
  <c r="W2751" i="1"/>
  <c r="Q2751" i="1" s="1"/>
  <c r="L2750" i="1"/>
  <c r="L2749" i="1"/>
  <c r="L2748" i="1"/>
  <c r="L2738" i="1"/>
  <c r="L2737" i="1"/>
  <c r="W2700" i="1"/>
  <c r="Q2700" i="1" s="1"/>
  <c r="M2752" i="1"/>
  <c r="G2752" i="1"/>
  <c r="O2752" i="1"/>
  <c r="L2752" i="1"/>
  <c r="G2753" i="1"/>
  <c r="P2753" i="1" s="1"/>
  <c r="Q2753" i="1" s="1"/>
  <c r="L2753" i="1"/>
  <c r="P2752" i="1" l="1"/>
  <c r="Q2752" i="1" s="1"/>
  <c r="AC2793" i="1"/>
  <c r="AC2792" i="1"/>
  <c r="AB2793" i="1"/>
  <c r="AE2793" i="1"/>
  <c r="AD2792" i="1"/>
  <c r="AE2792" i="1"/>
  <c r="X2751" i="1"/>
  <c r="X2756" i="1"/>
  <c r="AE2789" i="1"/>
  <c r="AB2789" i="1"/>
  <c r="AC2789" i="1"/>
  <c r="AD2789" i="1"/>
  <c r="AE2773" i="1"/>
  <c r="AB2773" i="1"/>
  <c r="AC2773" i="1"/>
  <c r="AD2773" i="1"/>
  <c r="AE2768" i="1"/>
  <c r="AC2768" i="1"/>
  <c r="AD2768" i="1"/>
  <c r="AB2768" i="1"/>
  <c r="AE2770" i="1"/>
  <c r="AB2770" i="1"/>
  <c r="AC2770" i="1"/>
  <c r="AD2770" i="1"/>
  <c r="X2760" i="1"/>
  <c r="AE2761" i="1"/>
  <c r="AB2761" i="1"/>
  <c r="AC2761" i="1"/>
  <c r="AD2761" i="1"/>
  <c r="AE2776" i="1"/>
  <c r="AC2776" i="1"/>
  <c r="AD2776" i="1"/>
  <c r="AB2776" i="1"/>
  <c r="X2700" i="1"/>
  <c r="AC1610" i="1"/>
  <c r="AD1610" i="1"/>
  <c r="AE1610" i="1"/>
  <c r="AB1610" i="1"/>
  <c r="AE2774" i="1"/>
  <c r="AB2774" i="1"/>
  <c r="AC2774" i="1"/>
  <c r="AD2774" i="1"/>
  <c r="AE2786" i="1"/>
  <c r="AB2786" i="1"/>
  <c r="AC2786" i="1"/>
  <c r="AD2786" i="1"/>
  <c r="AE2790" i="1"/>
  <c r="AB2790" i="1"/>
  <c r="AC2790" i="1"/>
  <c r="AD2790" i="1"/>
  <c r="X2754" i="1"/>
  <c r="AA2753" i="1"/>
  <c r="Y2753" i="1"/>
  <c r="Z2753" i="1"/>
  <c r="X2759" i="1"/>
  <c r="AE2769" i="1"/>
  <c r="AB2769" i="1"/>
  <c r="AC2769" i="1"/>
  <c r="AD2769" i="1"/>
  <c r="AE2772" i="1"/>
  <c r="AC2772" i="1"/>
  <c r="AD2772" i="1"/>
  <c r="AB2772" i="1"/>
  <c r="X2755" i="1"/>
  <c r="O2746" i="1"/>
  <c r="P2746" i="1" s="1"/>
  <c r="Q2746" i="1" s="1"/>
  <c r="L2746" i="1"/>
  <c r="S2745" i="1"/>
  <c r="L2742" i="1"/>
  <c r="L2743" i="1"/>
  <c r="L2744" i="1"/>
  <c r="L2745" i="1"/>
  <c r="L2747" i="1"/>
  <c r="W2743" i="1"/>
  <c r="Q2743" i="1" s="1"/>
  <c r="W2729" i="1"/>
  <c r="Q2729" i="1" s="1"/>
  <c r="W2735" i="1"/>
  <c r="Q2735" i="1" s="1"/>
  <c r="L2735" i="1"/>
  <c r="W2736" i="1"/>
  <c r="X2736" i="1" s="1"/>
  <c r="G2736" i="1"/>
  <c r="P2736" i="1" s="1"/>
  <c r="Q2736" i="1" s="1"/>
  <c r="L2736" i="1"/>
  <c r="O2734" i="1"/>
  <c r="L2734" i="1"/>
  <c r="G2734" i="1"/>
  <c r="L2733" i="1"/>
  <c r="L2732" i="1"/>
  <c r="L2731" i="1"/>
  <c r="T2730" i="1"/>
  <c r="W2730" i="1"/>
  <c r="Q2730" i="1" s="1"/>
  <c r="L2730" i="1"/>
  <c r="T2729" i="1"/>
  <c r="L2740" i="1"/>
  <c r="L2741" i="1"/>
  <c r="L2729" i="1"/>
  <c r="L2739" i="1"/>
  <c r="O186" i="1"/>
  <c r="P186" i="1" s="1"/>
  <c r="O185" i="1"/>
  <c r="P185" i="1" s="1"/>
  <c r="G186" i="1"/>
  <c r="G185" i="1"/>
  <c r="L186" i="1"/>
  <c r="L185" i="1"/>
  <c r="G175" i="1"/>
  <c r="P175" i="1" s="1"/>
  <c r="G176" i="1"/>
  <c r="P176" i="1" s="1"/>
  <c r="L176" i="1"/>
  <c r="L175" i="1"/>
  <c r="O191" i="1"/>
  <c r="O190" i="1"/>
  <c r="G191" i="1"/>
  <c r="G190" i="1"/>
  <c r="L191" i="1"/>
  <c r="L190" i="1"/>
  <c r="G193" i="1"/>
  <c r="G192" i="1"/>
  <c r="O193" i="1"/>
  <c r="O192" i="1"/>
  <c r="L193" i="1"/>
  <c r="L192" i="1"/>
  <c r="O197" i="1"/>
  <c r="O196" i="1"/>
  <c r="G197" i="1"/>
  <c r="G196" i="1"/>
  <c r="L197" i="1"/>
  <c r="L196" i="1"/>
  <c r="G198" i="1"/>
  <c r="O198" i="1"/>
  <c r="P198" i="1" s="1"/>
  <c r="L198" i="1"/>
  <c r="O199" i="1"/>
  <c r="P199" i="1" s="1"/>
  <c r="G199" i="1"/>
  <c r="L199" i="1"/>
  <c r="G204" i="1"/>
  <c r="G203" i="1"/>
  <c r="O204" i="1"/>
  <c r="P204" i="1" s="1"/>
  <c r="O203" i="1"/>
  <c r="P203" i="1" s="1"/>
  <c r="L204" i="1"/>
  <c r="L203" i="1"/>
  <c r="O207" i="1"/>
  <c r="G207" i="1"/>
  <c r="L207" i="1"/>
  <c r="O214" i="1"/>
  <c r="O213" i="1"/>
  <c r="P213" i="1" s="1"/>
  <c r="G214" i="1"/>
  <c r="G213" i="1"/>
  <c r="L214" i="1"/>
  <c r="L213" i="1"/>
  <c r="L202" i="1"/>
  <c r="L206" i="1"/>
  <c r="L205" i="1"/>
  <c r="L167" i="1"/>
  <c r="L166" i="1"/>
  <c r="G57" i="1"/>
  <c r="P57" i="1" s="1"/>
  <c r="L57" i="1"/>
  <c r="O38" i="1"/>
  <c r="P38" i="1" s="1"/>
  <c r="L38" i="1"/>
  <c r="G38" i="1"/>
  <c r="L36" i="1"/>
  <c r="L37" i="1"/>
  <c r="L35" i="1"/>
  <c r="G35" i="1"/>
  <c r="P35" i="1" s="1"/>
  <c r="L58" i="1"/>
  <c r="L19" i="1"/>
  <c r="L18" i="1"/>
  <c r="G911" i="1"/>
  <c r="P911" i="1" s="1"/>
  <c r="Q911" i="1" s="1"/>
  <c r="L911" i="1"/>
  <c r="O858" i="1"/>
  <c r="G858" i="1"/>
  <c r="O857" i="1"/>
  <c r="G857" i="1"/>
  <c r="L858" i="1"/>
  <c r="L857" i="1"/>
  <c r="O855" i="1"/>
  <c r="G855" i="1"/>
  <c r="O848" i="1"/>
  <c r="G848" i="1"/>
  <c r="O847" i="1"/>
  <c r="G847" i="1"/>
  <c r="L855" i="1"/>
  <c r="L848" i="1"/>
  <c r="L847" i="1"/>
  <c r="L856" i="1"/>
  <c r="L859" i="1"/>
  <c r="L860" i="1"/>
  <c r="W852" i="1"/>
  <c r="Q852" i="1" s="1"/>
  <c r="M846" i="1"/>
  <c r="O846" i="1"/>
  <c r="P846" i="1" s="1"/>
  <c r="Q846" i="1" s="1"/>
  <c r="L846" i="1"/>
  <c r="L845" i="1"/>
  <c r="Q185" i="1" l="1"/>
  <c r="AA185" i="1"/>
  <c r="Z185" i="1"/>
  <c r="Y185" i="1"/>
  <c r="Q199" i="1"/>
  <c r="AA199" i="1"/>
  <c r="Z199" i="1"/>
  <c r="Y199" i="1"/>
  <c r="Q176" i="1"/>
  <c r="AA176" i="1"/>
  <c r="Z176" i="1"/>
  <c r="Y176" i="1"/>
  <c r="Q35" i="1"/>
  <c r="AA35" i="1"/>
  <c r="Z35" i="1"/>
  <c r="Y35" i="1"/>
  <c r="Q57" i="1"/>
  <c r="AA57" i="1"/>
  <c r="Z57" i="1"/>
  <c r="Y57" i="1"/>
  <c r="Q175" i="1"/>
  <c r="AA175" i="1"/>
  <c r="Z175" i="1"/>
  <c r="Y175" i="1"/>
  <c r="Q186" i="1"/>
  <c r="AA186" i="1"/>
  <c r="Z186" i="1"/>
  <c r="Y186" i="1"/>
  <c r="Q204" i="1"/>
  <c r="AA204" i="1"/>
  <c r="Z204" i="1"/>
  <c r="Y204" i="1"/>
  <c r="Q198" i="1"/>
  <c r="AA198" i="1"/>
  <c r="Z198" i="1"/>
  <c r="Y198" i="1"/>
  <c r="Q38" i="1"/>
  <c r="AA38" i="1"/>
  <c r="Z38" i="1"/>
  <c r="Y38" i="1"/>
  <c r="Q203" i="1"/>
  <c r="AA203" i="1"/>
  <c r="Z203" i="1"/>
  <c r="Y203" i="1"/>
  <c r="Q213" i="1"/>
  <c r="AA213" i="1"/>
  <c r="Z213" i="1"/>
  <c r="Y213" i="1"/>
  <c r="P207" i="1"/>
  <c r="AA2752" i="1"/>
  <c r="P196" i="1"/>
  <c r="P847" i="1"/>
  <c r="Q847" i="1" s="1"/>
  <c r="P857" i="1"/>
  <c r="Q857" i="1" s="1"/>
  <c r="P197" i="1"/>
  <c r="P858" i="1"/>
  <c r="Q858" i="1" s="1"/>
  <c r="P190" i="1"/>
  <c r="P848" i="1"/>
  <c r="Q848" i="1" s="1"/>
  <c r="P214" i="1"/>
  <c r="P192" i="1"/>
  <c r="P855" i="1"/>
  <c r="Q855" i="1" s="1"/>
  <c r="P193" i="1"/>
  <c r="P191" i="1"/>
  <c r="P2734" i="1"/>
  <c r="Q2734" i="1" s="1"/>
  <c r="AE2752" i="1"/>
  <c r="Z2752" i="1"/>
  <c r="Y2752" i="1"/>
  <c r="AE2756" i="1"/>
  <c r="AC2756" i="1"/>
  <c r="AD2756" i="1"/>
  <c r="AB2756" i="1"/>
  <c r="X2743" i="1"/>
  <c r="AA2746" i="1"/>
  <c r="Y2746" i="1"/>
  <c r="Z2746" i="1"/>
  <c r="AE2755" i="1"/>
  <c r="AB2755" i="1"/>
  <c r="AC2755" i="1"/>
  <c r="AD2755" i="1"/>
  <c r="AE2754" i="1"/>
  <c r="AB2754" i="1"/>
  <c r="AC2754" i="1"/>
  <c r="AD2754" i="1"/>
  <c r="AE2751" i="1"/>
  <c r="AB2751" i="1"/>
  <c r="AC2751" i="1"/>
  <c r="AD2751" i="1"/>
  <c r="X2730" i="1"/>
  <c r="X2729" i="1"/>
  <c r="AA2736" i="1"/>
  <c r="Y2736" i="1"/>
  <c r="Z2736" i="1"/>
  <c r="AE2759" i="1"/>
  <c r="AB2759" i="1"/>
  <c r="AC2759" i="1"/>
  <c r="AD2759" i="1"/>
  <c r="AC2700" i="1"/>
  <c r="AE2700" i="1"/>
  <c r="AB2700" i="1"/>
  <c r="AD2700" i="1"/>
  <c r="X852" i="1"/>
  <c r="AE2753" i="1"/>
  <c r="AB2753" i="1"/>
  <c r="AC2753" i="1"/>
  <c r="AD2753" i="1"/>
  <c r="AE2760" i="1"/>
  <c r="AC2760" i="1"/>
  <c r="AD2760" i="1"/>
  <c r="AB2760" i="1"/>
  <c r="X2735" i="1"/>
  <c r="T2745" i="1"/>
  <c r="AD2745" i="1" s="1"/>
  <c r="AC2745" i="1"/>
  <c r="W843" i="1"/>
  <c r="Q843" i="1" s="1"/>
  <c r="W842" i="1"/>
  <c r="Q842" i="1" s="1"/>
  <c r="W841" i="1"/>
  <c r="Q841" i="1" s="1"/>
  <c r="W840" i="1"/>
  <c r="Q840" i="1" s="1"/>
  <c r="W838" i="1"/>
  <c r="Q838" i="1" s="1"/>
  <c r="Q191" i="1" l="1"/>
  <c r="AA191" i="1"/>
  <c r="Z191" i="1"/>
  <c r="Y191" i="1"/>
  <c r="Q197" i="1"/>
  <c r="AA197" i="1"/>
  <c r="Z197" i="1"/>
  <c r="Y197" i="1"/>
  <c r="AE213" i="1"/>
  <c r="AD213" i="1"/>
  <c r="AC213" i="1"/>
  <c r="AB213" i="1"/>
  <c r="AD38" i="1"/>
  <c r="AC38" i="1"/>
  <c r="AB38" i="1"/>
  <c r="AE38" i="1"/>
  <c r="AE204" i="1"/>
  <c r="AD204" i="1"/>
  <c r="AC204" i="1"/>
  <c r="AB204" i="1"/>
  <c r="AE175" i="1"/>
  <c r="AD175" i="1"/>
  <c r="AC175" i="1"/>
  <c r="AB175" i="1"/>
  <c r="AD35" i="1"/>
  <c r="AC35" i="1"/>
  <c r="AB35" i="1"/>
  <c r="AE35" i="1"/>
  <c r="AE199" i="1"/>
  <c r="AD199" i="1"/>
  <c r="AC199" i="1"/>
  <c r="AB199" i="1"/>
  <c r="Q193" i="1"/>
  <c r="AA193" i="1"/>
  <c r="Z193" i="1"/>
  <c r="Y193" i="1"/>
  <c r="Q192" i="1"/>
  <c r="AA192" i="1"/>
  <c r="Z192" i="1"/>
  <c r="Y192" i="1"/>
  <c r="Q196" i="1"/>
  <c r="AA196" i="1"/>
  <c r="Z196" i="1"/>
  <c r="Y196" i="1"/>
  <c r="Q190" i="1"/>
  <c r="AA190" i="1"/>
  <c r="Z190" i="1"/>
  <c r="Y190" i="1"/>
  <c r="Q214" i="1"/>
  <c r="AA214" i="1"/>
  <c r="Z214" i="1"/>
  <c r="Y214" i="1"/>
  <c r="Q207" i="1"/>
  <c r="AA207" i="1"/>
  <c r="Z207" i="1"/>
  <c r="Y207" i="1"/>
  <c r="AE203" i="1"/>
  <c r="AD203" i="1"/>
  <c r="AC203" i="1"/>
  <c r="AB203" i="1"/>
  <c r="AE198" i="1"/>
  <c r="AD198" i="1"/>
  <c r="AC198" i="1"/>
  <c r="AB198" i="1"/>
  <c r="AE186" i="1"/>
  <c r="AD186" i="1"/>
  <c r="AC186" i="1"/>
  <c r="AB186" i="1"/>
  <c r="AD57" i="1"/>
  <c r="AC57" i="1"/>
  <c r="AB57" i="1"/>
  <c r="AE57" i="1"/>
  <c r="AE176" i="1"/>
  <c r="AD176" i="1"/>
  <c r="AC176" i="1"/>
  <c r="AB176" i="1"/>
  <c r="AE185" i="1"/>
  <c r="AD185" i="1"/>
  <c r="AC185" i="1"/>
  <c r="AB185" i="1"/>
  <c r="AB2752" i="1"/>
  <c r="AC2752" i="1"/>
  <c r="AD2752" i="1"/>
  <c r="AE2729" i="1"/>
  <c r="AB2729" i="1"/>
  <c r="AC2729" i="1"/>
  <c r="AD2729" i="1"/>
  <c r="X838" i="1"/>
  <c r="AC852" i="1"/>
  <c r="AB852" i="1"/>
  <c r="AD852" i="1"/>
  <c r="AE852" i="1"/>
  <c r="AE2746" i="1"/>
  <c r="AB2746" i="1"/>
  <c r="AC2746" i="1"/>
  <c r="AD2746" i="1"/>
  <c r="X840" i="1"/>
  <c r="AE2730" i="1"/>
  <c r="AB2730" i="1"/>
  <c r="AC2730" i="1"/>
  <c r="AD2730" i="1"/>
  <c r="AE2736" i="1"/>
  <c r="AC2736" i="1"/>
  <c r="AD2736" i="1"/>
  <c r="AB2736" i="1"/>
  <c r="AA2734" i="1"/>
  <c r="Y2734" i="1"/>
  <c r="Z2734" i="1"/>
  <c r="X841" i="1"/>
  <c r="X842" i="1"/>
  <c r="AE2735" i="1"/>
  <c r="AB2735" i="1"/>
  <c r="AC2735" i="1"/>
  <c r="AD2735" i="1"/>
  <c r="X843" i="1"/>
  <c r="AE2743" i="1"/>
  <c r="AB2743" i="1"/>
  <c r="AC2743" i="1"/>
  <c r="AD2743" i="1"/>
  <c r="W832" i="1"/>
  <c r="Q832" i="1" s="1"/>
  <c r="W829" i="1"/>
  <c r="Q829" i="1" s="1"/>
  <c r="W827" i="1"/>
  <c r="Q827" i="1" s="1"/>
  <c r="W826" i="1"/>
  <c r="Q826" i="1" s="1"/>
  <c r="W813" i="1"/>
  <c r="Q813" i="1" s="1"/>
  <c r="W814" i="1"/>
  <c r="Q814" i="1" s="1"/>
  <c r="W819" i="1"/>
  <c r="Q819" i="1" s="1"/>
  <c r="W820" i="1"/>
  <c r="Q820" i="1" s="1"/>
  <c r="L821" i="1"/>
  <c r="W806" i="1"/>
  <c r="Q806" i="1" s="1"/>
  <c r="O804" i="1"/>
  <c r="P804" i="1" s="1"/>
  <c r="Q804" i="1" s="1"/>
  <c r="L806" i="1"/>
  <c r="W810" i="1"/>
  <c r="Q810" i="1" s="1"/>
  <c r="AE207" i="1" l="1"/>
  <c r="AD207" i="1"/>
  <c r="AC207" i="1"/>
  <c r="AB207" i="1"/>
  <c r="AE190" i="1"/>
  <c r="AD190" i="1"/>
  <c r="AC190" i="1"/>
  <c r="AB190" i="1"/>
  <c r="AE192" i="1"/>
  <c r="AD192" i="1"/>
  <c r="AC192" i="1"/>
  <c r="AB192" i="1"/>
  <c r="AE197" i="1"/>
  <c r="AD197" i="1"/>
  <c r="AC197" i="1"/>
  <c r="AB197" i="1"/>
  <c r="AE214" i="1"/>
  <c r="AD214" i="1"/>
  <c r="AC214" i="1"/>
  <c r="AB214" i="1"/>
  <c r="AE196" i="1"/>
  <c r="AD196" i="1"/>
  <c r="AC196" i="1"/>
  <c r="AB196" i="1"/>
  <c r="AE193" i="1"/>
  <c r="AD193" i="1"/>
  <c r="AC193" i="1"/>
  <c r="AB193" i="1"/>
  <c r="AE191" i="1"/>
  <c r="AD191" i="1"/>
  <c r="AC191" i="1"/>
  <c r="AB191" i="1"/>
  <c r="X829" i="1"/>
  <c r="X832" i="1"/>
  <c r="AC842" i="1"/>
  <c r="AD842" i="1"/>
  <c r="AB842" i="1"/>
  <c r="AE842" i="1"/>
  <c r="X820" i="1"/>
  <c r="X819" i="1"/>
  <c r="X818" i="1"/>
  <c r="AC843" i="1"/>
  <c r="AD843" i="1"/>
  <c r="AB843" i="1"/>
  <c r="AE843" i="1"/>
  <c r="AC841" i="1"/>
  <c r="AD841" i="1"/>
  <c r="AE841" i="1"/>
  <c r="AB841" i="1"/>
  <c r="AC838" i="1"/>
  <c r="AD838" i="1"/>
  <c r="AB838" i="1"/>
  <c r="AE838" i="1"/>
  <c r="X814" i="1"/>
  <c r="AE2734" i="1"/>
  <c r="AB2734" i="1"/>
  <c r="AC2734" i="1"/>
  <c r="AD2734" i="1"/>
  <c r="X813" i="1"/>
  <c r="AC840" i="1"/>
  <c r="AD840" i="1"/>
  <c r="AB840" i="1"/>
  <c r="AE840" i="1"/>
  <c r="X810" i="1"/>
  <c r="Y804" i="1"/>
  <c r="Z804" i="1"/>
  <c r="AA804" i="1"/>
  <c r="X826" i="1"/>
  <c r="X806" i="1"/>
  <c r="X827" i="1"/>
  <c r="L803" i="1"/>
  <c r="L802" i="1"/>
  <c r="W802" i="1"/>
  <c r="Q802" i="1" s="1"/>
  <c r="W801" i="1"/>
  <c r="Q801" i="1" s="1"/>
  <c r="W800" i="1"/>
  <c r="Q800" i="1" s="1"/>
  <c r="W799" i="1"/>
  <c r="Q799" i="1" s="1"/>
  <c r="W798" i="1"/>
  <c r="Q798" i="1" s="1"/>
  <c r="L798" i="1"/>
  <c r="L239" i="1"/>
  <c r="G239" i="1"/>
  <c r="P239" i="1" s="1"/>
  <c r="W796" i="1"/>
  <c r="Q796" i="1" s="1"/>
  <c r="L793" i="1"/>
  <c r="G793" i="1"/>
  <c r="P793" i="1" s="1"/>
  <c r="Q793" i="1" s="1"/>
  <c r="Q239" i="1" l="1"/>
  <c r="AA239" i="1"/>
  <c r="Z239" i="1"/>
  <c r="Y239" i="1"/>
  <c r="AC806" i="1"/>
  <c r="AB806" i="1"/>
  <c r="AD806" i="1"/>
  <c r="AE806" i="1"/>
  <c r="AC814" i="1"/>
  <c r="AB814" i="1"/>
  <c r="AD814" i="1"/>
  <c r="AE814" i="1"/>
  <c r="AC819" i="1"/>
  <c r="AD819" i="1"/>
  <c r="AB819" i="1"/>
  <c r="AE819" i="1"/>
  <c r="X798" i="1"/>
  <c r="AB826" i="1"/>
  <c r="AC826" i="1"/>
  <c r="AD826" i="1"/>
  <c r="AE826" i="1"/>
  <c r="AC813" i="1"/>
  <c r="AB813" i="1"/>
  <c r="AD813" i="1"/>
  <c r="AE813" i="1"/>
  <c r="AB820" i="1"/>
  <c r="AD820" i="1"/>
  <c r="AE820" i="1"/>
  <c r="AC820" i="1"/>
  <c r="X799" i="1"/>
  <c r="X800" i="1"/>
  <c r="AC810" i="1"/>
  <c r="AB810" i="1"/>
  <c r="AD810" i="1"/>
  <c r="AE810" i="1"/>
  <c r="AC832" i="1"/>
  <c r="AD832" i="1"/>
  <c r="AB832" i="1"/>
  <c r="AE832" i="1"/>
  <c r="X801" i="1"/>
  <c r="X796" i="1"/>
  <c r="X802" i="1"/>
  <c r="AC827" i="1"/>
  <c r="AD827" i="1"/>
  <c r="AE827" i="1"/>
  <c r="AB827" i="1"/>
  <c r="AC804" i="1"/>
  <c r="AD804" i="1"/>
  <c r="AE804" i="1"/>
  <c r="AB804" i="1"/>
  <c r="AE818" i="1"/>
  <c r="AB829" i="1"/>
  <c r="AC829" i="1"/>
  <c r="AE829" i="1"/>
  <c r="AD829" i="1"/>
  <c r="L2728" i="1"/>
  <c r="W2728" i="1"/>
  <c r="Q2728" i="1" s="1"/>
  <c r="V2728" i="1"/>
  <c r="L2727" i="1"/>
  <c r="L2726" i="1"/>
  <c r="W2726" i="1"/>
  <c r="Q2726" i="1" s="1"/>
  <c r="V2726" i="1"/>
  <c r="L2725" i="1"/>
  <c r="W2724" i="1"/>
  <c r="V2724" i="1"/>
  <c r="O2724" i="1"/>
  <c r="P2724" i="1" s="1"/>
  <c r="Q2724" i="1" s="1"/>
  <c r="M2724" i="1"/>
  <c r="L2724" i="1"/>
  <c r="O2723" i="1"/>
  <c r="P2723" i="1" s="1"/>
  <c r="Q2723" i="1" s="1"/>
  <c r="L2722" i="1"/>
  <c r="L2723" i="1"/>
  <c r="M2709" i="1"/>
  <c r="M2707" i="1"/>
  <c r="G2709" i="1"/>
  <c r="P2709" i="1" s="1"/>
  <c r="Q2709" i="1" s="1"/>
  <c r="L2709" i="1"/>
  <c r="O2707" i="1"/>
  <c r="M2706" i="1"/>
  <c r="G2707" i="1"/>
  <c r="O2706" i="1"/>
  <c r="P2706" i="1" s="1"/>
  <c r="Q2706" i="1" s="1"/>
  <c r="M2705" i="1"/>
  <c r="G2706" i="1"/>
  <c r="L2707" i="1"/>
  <c r="G2705" i="1"/>
  <c r="P2705" i="1" s="1"/>
  <c r="Q2705" i="1" s="1"/>
  <c r="G2704" i="1"/>
  <c r="P2704" i="1" s="1"/>
  <c r="Q2704" i="1" s="1"/>
  <c r="M2704" i="1"/>
  <c r="L2704" i="1"/>
  <c r="L2705" i="1"/>
  <c r="L2706" i="1"/>
  <c r="M2719" i="1"/>
  <c r="L2719" i="1"/>
  <c r="G2719" i="1"/>
  <c r="P2719" i="1" s="1"/>
  <c r="Q2719" i="1" s="1"/>
  <c r="M2720" i="1"/>
  <c r="L2720" i="1"/>
  <c r="G2720" i="1"/>
  <c r="P2720" i="1" s="1"/>
  <c r="Q2720" i="1" s="1"/>
  <c r="W187" i="1"/>
  <c r="Q187" i="1" s="1"/>
  <c r="V187" i="1"/>
  <c r="W2721" i="1"/>
  <c r="Q2721" i="1" s="1"/>
  <c r="V2721" i="1"/>
  <c r="L2721" i="1"/>
  <c r="V2718" i="1"/>
  <c r="W2717" i="1"/>
  <c r="Q2717" i="1" s="1"/>
  <c r="V2717" i="1"/>
  <c r="L2718" i="1"/>
  <c r="L2717" i="1"/>
  <c r="W2716" i="1"/>
  <c r="Q2716" i="1" s="1"/>
  <c r="V2716" i="1"/>
  <c r="V2715" i="1"/>
  <c r="X2715" i="1" s="1"/>
  <c r="V2714" i="1"/>
  <c r="L2716" i="1"/>
  <c r="O2715" i="1"/>
  <c r="P2715" i="1" s="1"/>
  <c r="Q2715" i="1" s="1"/>
  <c r="L2714" i="1"/>
  <c r="L2715" i="1"/>
  <c r="W2710" i="1"/>
  <c r="Q2710" i="1" s="1"/>
  <c r="V2710" i="1"/>
  <c r="L2710" i="1"/>
  <c r="W2713" i="1"/>
  <c r="Q2713" i="1" s="1"/>
  <c r="V2713" i="1"/>
  <c r="L2713" i="1"/>
  <c r="L2712" i="1"/>
  <c r="V2712" i="1"/>
  <c r="W215" i="1"/>
  <c r="Q215" i="1" s="1"/>
  <c r="W2711" i="1"/>
  <c r="Q2711" i="1" s="1"/>
  <c r="L2711" i="1"/>
  <c r="V2711" i="1"/>
  <c r="O2708" i="1"/>
  <c r="P2708" i="1" s="1"/>
  <c r="Q2708" i="1" s="1"/>
  <c r="L2708" i="1"/>
  <c r="V215" i="1"/>
  <c r="V2703" i="1"/>
  <c r="L2703" i="1"/>
  <c r="L2702" i="1"/>
  <c r="V2702" i="1"/>
  <c r="V2699" i="1"/>
  <c r="O2701" i="1"/>
  <c r="P2701" i="1" s="1"/>
  <c r="Q2701" i="1" s="1"/>
  <c r="L2701" i="1"/>
  <c r="L2700" i="1"/>
  <c r="L2699" i="1"/>
  <c r="L2698" i="1"/>
  <c r="L2471" i="1"/>
  <c r="L2470" i="1"/>
  <c r="L2469" i="1"/>
  <c r="V2468" i="1"/>
  <c r="V2467" i="1"/>
  <c r="L2468" i="1"/>
  <c r="L2467" i="1"/>
  <c r="V2466" i="1"/>
  <c r="V2465" i="1"/>
  <c r="L2465" i="1"/>
  <c r="L2466" i="1"/>
  <c r="V2464" i="1"/>
  <c r="V2463" i="1"/>
  <c r="L2463" i="1"/>
  <c r="L2464" i="1"/>
  <c r="V2462" i="1"/>
  <c r="V2461" i="1"/>
  <c r="L2462" i="1"/>
  <c r="L2461" i="1"/>
  <c r="V2460" i="1"/>
  <c r="L2460" i="1"/>
  <c r="L2459" i="1"/>
  <c r="L2458" i="1"/>
  <c r="L2457" i="1"/>
  <c r="V2454" i="1"/>
  <c r="V2455" i="1"/>
  <c r="V2453" i="1"/>
  <c r="V2452" i="1"/>
  <c r="V2451" i="1"/>
  <c r="V2450" i="1"/>
  <c r="V2449" i="1"/>
  <c r="V2448" i="1"/>
  <c r="V2447" i="1"/>
  <c r="L2444" i="1"/>
  <c r="M2456" i="1"/>
  <c r="O2456" i="1" s="1"/>
  <c r="P2456" i="1" s="1"/>
  <c r="Q2456" i="1" s="1"/>
  <c r="G2456" i="1"/>
  <c r="L2456" i="1"/>
  <c r="G2445" i="1"/>
  <c r="P2445" i="1" s="1"/>
  <c r="Q2445" i="1" s="1"/>
  <c r="L2445" i="1"/>
  <c r="L2455" i="1"/>
  <c r="L2447" i="1"/>
  <c r="L2448" i="1"/>
  <c r="L2449" i="1"/>
  <c r="L2450" i="1"/>
  <c r="L2451" i="1"/>
  <c r="L2452" i="1"/>
  <c r="L2453" i="1"/>
  <c r="L2454" i="1"/>
  <c r="W2446" i="1"/>
  <c r="Q2446" i="1" s="1"/>
  <c r="L2446" i="1"/>
  <c r="AE187" i="1" l="1"/>
  <c r="AD187" i="1"/>
  <c r="AC187" i="1"/>
  <c r="AB187" i="1"/>
  <c r="AE215" i="1"/>
  <c r="AD215" i="1"/>
  <c r="AC215" i="1"/>
  <c r="AB215" i="1"/>
  <c r="AE239" i="1"/>
  <c r="AD239" i="1"/>
  <c r="AC239" i="1"/>
  <c r="AB239" i="1"/>
  <c r="P2707" i="1"/>
  <c r="Q2707" i="1" s="1"/>
  <c r="Z2706" i="1"/>
  <c r="X2455" i="1"/>
  <c r="AE2455" i="1" s="1"/>
  <c r="AA2455" i="1"/>
  <c r="X2702" i="1"/>
  <c r="AE2702" i="1" s="1"/>
  <c r="AA2702" i="1"/>
  <c r="AA2719" i="1"/>
  <c r="Y2719" i="1"/>
  <c r="Z2719" i="1"/>
  <c r="AA2705" i="1"/>
  <c r="Y2705" i="1"/>
  <c r="Z2705" i="1"/>
  <c r="X2446" i="1"/>
  <c r="X2447" i="1"/>
  <c r="AE2447" i="1" s="1"/>
  <c r="AA2447" i="1"/>
  <c r="X2454" i="1"/>
  <c r="AE2454" i="1" s="1"/>
  <c r="AA2454" i="1"/>
  <c r="X2461" i="1"/>
  <c r="AE2461" i="1" s="1"/>
  <c r="AA2461" i="1"/>
  <c r="X2465" i="1"/>
  <c r="AE2465" i="1" s="1"/>
  <c r="AA2465" i="1"/>
  <c r="AC2711" i="1"/>
  <c r="AB2711" i="1"/>
  <c r="AD2711" i="1"/>
  <c r="X2710" i="1"/>
  <c r="AE2710" i="1" s="1"/>
  <c r="AA2710" i="1"/>
  <c r="X2716" i="1"/>
  <c r="AE2716" i="1" s="1"/>
  <c r="AA2716" i="1"/>
  <c r="X2721" i="1"/>
  <c r="AA2721" i="1"/>
  <c r="AA2709" i="1"/>
  <c r="Z2709" i="1"/>
  <c r="Y2709" i="1"/>
  <c r="AA2724" i="1"/>
  <c r="Y2724" i="1"/>
  <c r="Z2724" i="1"/>
  <c r="X2728" i="1"/>
  <c r="AE2728" i="1" s="1"/>
  <c r="AA2728" i="1"/>
  <c r="AC801" i="1"/>
  <c r="AE801" i="1"/>
  <c r="AB801" i="1"/>
  <c r="AD801" i="1"/>
  <c r="AC799" i="1"/>
  <c r="AB799" i="1"/>
  <c r="AE799" i="1"/>
  <c r="AD799" i="1"/>
  <c r="X2453" i="1"/>
  <c r="AE2453" i="1" s="1"/>
  <c r="AA2453" i="1"/>
  <c r="X2714" i="1"/>
  <c r="AE2714" i="1" s="1"/>
  <c r="AA2714" i="1"/>
  <c r="X2448" i="1"/>
  <c r="AE2448" i="1" s="1"/>
  <c r="AA2448" i="1"/>
  <c r="X2462" i="1"/>
  <c r="AE2462" i="1" s="1"/>
  <c r="AA2462" i="1"/>
  <c r="X2466" i="1"/>
  <c r="AE2466" i="1" s="1"/>
  <c r="AA2466" i="1"/>
  <c r="AC2710" i="1"/>
  <c r="AB2710" i="1"/>
  <c r="AD2710" i="1"/>
  <c r="AC2716" i="1"/>
  <c r="AB2716" i="1"/>
  <c r="AD2716" i="1"/>
  <c r="AC2721" i="1"/>
  <c r="AE2721" i="1"/>
  <c r="AB2721" i="1"/>
  <c r="AD2721" i="1"/>
  <c r="X2724" i="1"/>
  <c r="AC2728" i="1"/>
  <c r="AB2728" i="1"/>
  <c r="AD2728" i="1"/>
  <c r="X2711" i="1"/>
  <c r="AE2711" i="1" s="1"/>
  <c r="AA2711" i="1"/>
  <c r="AC800" i="1"/>
  <c r="AD800" i="1"/>
  <c r="AE800" i="1"/>
  <c r="AB800" i="1"/>
  <c r="X2718" i="1"/>
  <c r="AE2718" i="1" s="1"/>
  <c r="AA2718" i="1"/>
  <c r="X2449" i="1"/>
  <c r="AE2449" i="1" s="1"/>
  <c r="AA2449" i="1"/>
  <c r="X2450" i="1"/>
  <c r="AE2450" i="1" s="1"/>
  <c r="AA2450" i="1"/>
  <c r="X2699" i="1"/>
  <c r="AE2699" i="1" s="1"/>
  <c r="AA2699" i="1"/>
  <c r="AA2704" i="1"/>
  <c r="Y2704" i="1"/>
  <c r="Z2704" i="1"/>
  <c r="AA2715" i="1"/>
  <c r="Y2715" i="1"/>
  <c r="Z2715" i="1"/>
  <c r="X2717" i="1"/>
  <c r="AE2717" i="1" s="1"/>
  <c r="AA2717" i="1"/>
  <c r="AA2720" i="1"/>
  <c r="Y2720" i="1"/>
  <c r="Z2720" i="1"/>
  <c r="X2726" i="1"/>
  <c r="AE2726" i="1" s="1"/>
  <c r="AA2726" i="1"/>
  <c r="AC802" i="1"/>
  <c r="AB802" i="1"/>
  <c r="AD802" i="1"/>
  <c r="AE802" i="1"/>
  <c r="X2703" i="1"/>
  <c r="AE2703" i="1" s="1"/>
  <c r="AA2703" i="1"/>
  <c r="X2712" i="1"/>
  <c r="AE2712" i="1" s="1"/>
  <c r="AA2712" i="1"/>
  <c r="X2451" i="1"/>
  <c r="AE2451" i="1" s="1"/>
  <c r="AA2451" i="1"/>
  <c r="X2463" i="1"/>
  <c r="AE2463" i="1" s="1"/>
  <c r="AA2463" i="1"/>
  <c r="X2467" i="1"/>
  <c r="AE2467" i="1" s="1"/>
  <c r="AA2467" i="1"/>
  <c r="X2452" i="1"/>
  <c r="AE2452" i="1" s="1"/>
  <c r="AA2452" i="1"/>
  <c r="X2460" i="1"/>
  <c r="AE2460" i="1" s="1"/>
  <c r="AA2460" i="1"/>
  <c r="X2464" i="1"/>
  <c r="AE2464" i="1" s="1"/>
  <c r="AA2464" i="1"/>
  <c r="X2468" i="1"/>
  <c r="AE2468" i="1" s="1"/>
  <c r="AA2468" i="1"/>
  <c r="Y2701" i="1"/>
  <c r="AA2701" i="1"/>
  <c r="Z2701" i="1"/>
  <c r="AA2708" i="1"/>
  <c r="Y2708" i="1"/>
  <c r="Z2708" i="1"/>
  <c r="X2713" i="1"/>
  <c r="AE2713" i="1" s="1"/>
  <c r="AA2713" i="1"/>
  <c r="AC2717" i="1"/>
  <c r="AB2717" i="1"/>
  <c r="AD2717" i="1"/>
  <c r="AA2723" i="1"/>
  <c r="Y2723" i="1"/>
  <c r="Z2723" i="1"/>
  <c r="AC2726" i="1"/>
  <c r="AB2726" i="1"/>
  <c r="AD2726" i="1"/>
  <c r="AC2713" i="1"/>
  <c r="AB2713" i="1"/>
  <c r="AD2713" i="1"/>
  <c r="AC796" i="1"/>
  <c r="AD796" i="1"/>
  <c r="AE796" i="1"/>
  <c r="AB796" i="1"/>
  <c r="AC798" i="1"/>
  <c r="AB798" i="1"/>
  <c r="AD798" i="1"/>
  <c r="AE798" i="1"/>
  <c r="L2623" i="1"/>
  <c r="G2622" i="1"/>
  <c r="P2622" i="1" s="1"/>
  <c r="Q2622" i="1" s="1"/>
  <c r="L2622" i="1"/>
  <c r="G2621" i="1"/>
  <c r="P2621" i="1" s="1"/>
  <c r="Q2621" i="1" s="1"/>
  <c r="L2621" i="1"/>
  <c r="L2996" i="1"/>
  <c r="L2997" i="1"/>
  <c r="L2998" i="1"/>
  <c r="L2995" i="1"/>
  <c r="L2994" i="1"/>
  <c r="G2993" i="1"/>
  <c r="P2993" i="1" s="1"/>
  <c r="Q2993" i="1" s="1"/>
  <c r="L2992" i="1"/>
  <c r="L2993" i="1"/>
  <c r="L2991" i="1"/>
  <c r="L2990" i="1"/>
  <c r="L3005" i="1"/>
  <c r="W3004" i="1"/>
  <c r="Q3004" i="1" s="1"/>
  <c r="L3004" i="1"/>
  <c r="L3003" i="1"/>
  <c r="W3002" i="1"/>
  <c r="Q3002" i="1" s="1"/>
  <c r="W3001" i="1"/>
  <c r="Q3001" i="1" s="1"/>
  <c r="L3001" i="1"/>
  <c r="L3002" i="1"/>
  <c r="T3000" i="1"/>
  <c r="L3000" i="1"/>
  <c r="L2999" i="1"/>
  <c r="G2989" i="1"/>
  <c r="P2989" i="1" s="1"/>
  <c r="Q2989" i="1" s="1"/>
  <c r="G2988" i="1"/>
  <c r="P2988" i="1" s="1"/>
  <c r="Q2988" i="1" s="1"/>
  <c r="G2987" i="1"/>
  <c r="P2987" i="1" s="1"/>
  <c r="Q2987" i="1" s="1"/>
  <c r="L2987" i="1"/>
  <c r="G2986" i="1"/>
  <c r="P2986" i="1" s="1"/>
  <c r="Q2986" i="1" s="1"/>
  <c r="G2985" i="1"/>
  <c r="P2985" i="1" s="1"/>
  <c r="Q2985" i="1" s="1"/>
  <c r="L2986" i="1"/>
  <c r="G2984" i="1"/>
  <c r="P2984" i="1" s="1"/>
  <c r="Q2984" i="1" s="1"/>
  <c r="L2984" i="1"/>
  <c r="G2983" i="1"/>
  <c r="P2983" i="1" s="1"/>
  <c r="Q2983" i="1" s="1"/>
  <c r="G2982" i="1"/>
  <c r="P2982" i="1" s="1"/>
  <c r="Q2982" i="1" s="1"/>
  <c r="L2983" i="1"/>
  <c r="L2985" i="1"/>
  <c r="L2988" i="1"/>
  <c r="L2989" i="1"/>
  <c r="L2982" i="1"/>
  <c r="L2981" i="1"/>
  <c r="V2979" i="1"/>
  <c r="L2979" i="1"/>
  <c r="L2980" i="1"/>
  <c r="V2978" i="1"/>
  <c r="X2978" i="1" s="1"/>
  <c r="V2977" i="1"/>
  <c r="X2977" i="1" s="1"/>
  <c r="G2978" i="1"/>
  <c r="P2978" i="1" s="1"/>
  <c r="Q2978" i="1" s="1"/>
  <c r="L2978" i="1"/>
  <c r="G2977" i="1"/>
  <c r="P2977" i="1" s="1"/>
  <c r="Q2977" i="1" s="1"/>
  <c r="L2977" i="1"/>
  <c r="AA2707" i="1" l="1"/>
  <c r="AB2706" i="1"/>
  <c r="AA2706" i="1"/>
  <c r="Y2706" i="1"/>
  <c r="AD2707" i="1"/>
  <c r="Z2707" i="1"/>
  <c r="Y2707" i="1"/>
  <c r="Y2978" i="1"/>
  <c r="Z2978" i="1"/>
  <c r="AA2978" i="1"/>
  <c r="X3004" i="1"/>
  <c r="Y2985" i="1"/>
  <c r="Z2985" i="1"/>
  <c r="AA2985" i="1"/>
  <c r="S3000" i="1"/>
  <c r="AC3000" i="1" s="1"/>
  <c r="AD3000" i="1"/>
  <c r="AC2709" i="1"/>
  <c r="AE2709" i="1"/>
  <c r="AB2709" i="1"/>
  <c r="AD2709" i="1"/>
  <c r="AC2705" i="1"/>
  <c r="AE2705" i="1"/>
  <c r="AB2705" i="1"/>
  <c r="AD2705" i="1"/>
  <c r="Y2986" i="1"/>
  <c r="Z2986" i="1"/>
  <c r="AA2986" i="1"/>
  <c r="AC2701" i="1"/>
  <c r="AE2701" i="1"/>
  <c r="AB2701" i="1"/>
  <c r="AD2701" i="1"/>
  <c r="AC2715" i="1"/>
  <c r="AE2715" i="1"/>
  <c r="AD2715" i="1"/>
  <c r="AB2715" i="1"/>
  <c r="AC2704" i="1"/>
  <c r="AE2704" i="1"/>
  <c r="AB2704" i="1"/>
  <c r="AD2704" i="1"/>
  <c r="Y2987" i="1"/>
  <c r="Z2987" i="1"/>
  <c r="AA2987" i="1"/>
  <c r="AC2724" i="1"/>
  <c r="AE2724" i="1"/>
  <c r="AB2724" i="1"/>
  <c r="AD2724" i="1"/>
  <c r="AC2719" i="1"/>
  <c r="AE2719" i="1"/>
  <c r="AB2719" i="1"/>
  <c r="AD2719" i="1"/>
  <c r="Y2982" i="1"/>
  <c r="Z2982" i="1"/>
  <c r="AA2982" i="1"/>
  <c r="X3001" i="1"/>
  <c r="X2979" i="1"/>
  <c r="AE2979" i="1" s="1"/>
  <c r="AA2979" i="1"/>
  <c r="Y2983" i="1"/>
  <c r="Z2983" i="1"/>
  <c r="AA2983" i="1"/>
  <c r="Y2988" i="1"/>
  <c r="Z2988" i="1"/>
  <c r="AA2988" i="1"/>
  <c r="X3002" i="1"/>
  <c r="Y2621" i="1"/>
  <c r="Z2621" i="1"/>
  <c r="AA2621" i="1"/>
  <c r="AC2723" i="1"/>
  <c r="AE2723" i="1"/>
  <c r="AD2723" i="1"/>
  <c r="AB2723" i="1"/>
  <c r="AC2720" i="1"/>
  <c r="AE2720" i="1"/>
  <c r="AB2720" i="1"/>
  <c r="AD2720" i="1"/>
  <c r="Y2977" i="1"/>
  <c r="Z2977" i="1"/>
  <c r="AA2977" i="1"/>
  <c r="Y2989" i="1"/>
  <c r="Z2989" i="1"/>
  <c r="AA2989" i="1"/>
  <c r="Y2993" i="1"/>
  <c r="Z2993" i="1"/>
  <c r="AA2993" i="1"/>
  <c r="AB2446" i="1"/>
  <c r="AC2446" i="1"/>
  <c r="AD2446" i="1"/>
  <c r="AE2446" i="1"/>
  <c r="Y2984" i="1"/>
  <c r="Z2984" i="1"/>
  <c r="AA2984" i="1"/>
  <c r="Y2622" i="1"/>
  <c r="Z2622" i="1"/>
  <c r="AA2622" i="1"/>
  <c r="AC2708" i="1"/>
  <c r="AE2708" i="1"/>
  <c r="AB2708" i="1"/>
  <c r="AD2708" i="1"/>
  <c r="L2976" i="1"/>
  <c r="L2975" i="1"/>
  <c r="V2974" i="1"/>
  <c r="X2974" i="1" s="1"/>
  <c r="G2974" i="1"/>
  <c r="P2974" i="1" s="1"/>
  <c r="Q2974" i="1" s="1"/>
  <c r="G2973" i="1"/>
  <c r="P2973" i="1" s="1"/>
  <c r="Q2973" i="1" s="1"/>
  <c r="V2973" i="1"/>
  <c r="X2973" i="1" s="1"/>
  <c r="L2973" i="1"/>
  <c r="L2974" i="1"/>
  <c r="AE2706" i="1" l="1"/>
  <c r="AE2707" i="1"/>
  <c r="AC2706" i="1"/>
  <c r="AD2706" i="1"/>
  <c r="AC2707" i="1"/>
  <c r="AB2707" i="1"/>
  <c r="AC2988" i="1"/>
  <c r="AD2988" i="1"/>
  <c r="AE2988" i="1"/>
  <c r="AB2988" i="1"/>
  <c r="Y2973" i="1"/>
  <c r="Z2973" i="1"/>
  <c r="AA2973" i="1"/>
  <c r="Y2974" i="1"/>
  <c r="Z2974" i="1"/>
  <c r="AA2974" i="1"/>
  <c r="AC2984" i="1"/>
  <c r="AD2984" i="1"/>
  <c r="AE2984" i="1"/>
  <c r="AB2984" i="1"/>
  <c r="AC2993" i="1"/>
  <c r="AD2993" i="1"/>
  <c r="AE2993" i="1"/>
  <c r="AB2993" i="1"/>
  <c r="AC2977" i="1"/>
  <c r="AD2977" i="1"/>
  <c r="AE2977" i="1"/>
  <c r="AB2977" i="1"/>
  <c r="AC2621" i="1"/>
  <c r="AD2621" i="1"/>
  <c r="AE2621" i="1"/>
  <c r="AB2621" i="1"/>
  <c r="AC3001" i="1"/>
  <c r="AD3001" i="1"/>
  <c r="AE3001" i="1"/>
  <c r="AB3001" i="1"/>
  <c r="AC3004" i="1"/>
  <c r="AD3004" i="1"/>
  <c r="AE3004" i="1"/>
  <c r="AB3004" i="1"/>
  <c r="AC2983" i="1"/>
  <c r="AD2983" i="1"/>
  <c r="AE2983" i="1"/>
  <c r="AB2983" i="1"/>
  <c r="AC2982" i="1"/>
  <c r="AD2982" i="1"/>
  <c r="AE2982" i="1"/>
  <c r="AB2982" i="1"/>
  <c r="AC2987" i="1"/>
  <c r="AD2987" i="1"/>
  <c r="AE2987" i="1"/>
  <c r="AB2987" i="1"/>
  <c r="AC2986" i="1"/>
  <c r="AD2986" i="1"/>
  <c r="AE2986" i="1"/>
  <c r="AB2986" i="1"/>
  <c r="AC2978" i="1"/>
  <c r="AD2978" i="1"/>
  <c r="AE2978" i="1"/>
  <c r="AB2978" i="1"/>
  <c r="AC2622" i="1"/>
  <c r="AD2622" i="1"/>
  <c r="AE2622" i="1"/>
  <c r="AB2622" i="1"/>
  <c r="AC2989" i="1"/>
  <c r="AD2989" i="1"/>
  <c r="AE2989" i="1"/>
  <c r="AB2989" i="1"/>
  <c r="AC3002" i="1"/>
  <c r="AD3002" i="1"/>
  <c r="AE3002" i="1"/>
  <c r="AB3002" i="1"/>
  <c r="AC2985" i="1"/>
  <c r="AD2985" i="1"/>
  <c r="AE2985" i="1"/>
  <c r="AB2985" i="1"/>
  <c r="L2972" i="1"/>
  <c r="O2970" i="1"/>
  <c r="P2970" i="1" s="1"/>
  <c r="Q2970" i="1" s="1"/>
  <c r="O2971" i="1"/>
  <c r="P2971" i="1" s="1"/>
  <c r="Q2971" i="1" s="1"/>
  <c r="L2971" i="1"/>
  <c r="L2970" i="1"/>
  <c r="G2967" i="1"/>
  <c r="O2967" i="1"/>
  <c r="P2967" i="1" s="1"/>
  <c r="Q2967" i="1" s="1"/>
  <c r="L2967" i="1"/>
  <c r="L2968" i="1"/>
  <c r="V2969" i="1"/>
  <c r="L2969" i="1"/>
  <c r="W2862" i="1"/>
  <c r="X2862" i="1" s="1"/>
  <c r="O2862" i="1"/>
  <c r="P2862" i="1" s="1"/>
  <c r="G2861" i="1"/>
  <c r="P2861" i="1" s="1"/>
  <c r="Q2861" i="1" s="1"/>
  <c r="Q2862" i="1" l="1"/>
  <c r="Y2967" i="1"/>
  <c r="AC2973" i="1"/>
  <c r="AD2973" i="1"/>
  <c r="AE2973" i="1"/>
  <c r="AB2973" i="1"/>
  <c r="Y2861" i="1"/>
  <c r="Z2861" i="1"/>
  <c r="AA2861" i="1"/>
  <c r="AC2974" i="1"/>
  <c r="AD2974" i="1"/>
  <c r="AE2974" i="1"/>
  <c r="AB2974" i="1"/>
  <c r="Y2862" i="1"/>
  <c r="Z2862" i="1"/>
  <c r="AA2862" i="1"/>
  <c r="Y2971" i="1"/>
  <c r="Z2971" i="1"/>
  <c r="AA2971" i="1"/>
  <c r="X2969" i="1"/>
  <c r="AE2969" i="1" s="1"/>
  <c r="AA2969" i="1"/>
  <c r="Y2970" i="1"/>
  <c r="Z2970" i="1"/>
  <c r="AA2970" i="1"/>
  <c r="L2862" i="1"/>
  <c r="L2861" i="1"/>
  <c r="L2826" i="1"/>
  <c r="W2832" i="1"/>
  <c r="X2832" i="1" s="1"/>
  <c r="O2832" i="1"/>
  <c r="P2832" i="1" s="1"/>
  <c r="L2832" i="1"/>
  <c r="W2830" i="1"/>
  <c r="Q2830" i="1" s="1"/>
  <c r="L2830" i="1"/>
  <c r="L2831" i="1"/>
  <c r="W2829" i="1"/>
  <c r="Q2829" i="1" s="1"/>
  <c r="L2829" i="1"/>
  <c r="W2828" i="1"/>
  <c r="X2828" i="1" s="1"/>
  <c r="O2828" i="1"/>
  <c r="P2828" i="1" s="1"/>
  <c r="L2828" i="1"/>
  <c r="W2827" i="1"/>
  <c r="X2827" i="1" s="1"/>
  <c r="O2827" i="1"/>
  <c r="P2827" i="1" s="1"/>
  <c r="Q2827" i="1" s="1"/>
  <c r="L2827" i="1"/>
  <c r="W2825" i="1"/>
  <c r="Q2825" i="1" s="1"/>
  <c r="L2825" i="1"/>
  <c r="W2824" i="1"/>
  <c r="X2824" i="1" s="1"/>
  <c r="O2824" i="1"/>
  <c r="P2824" i="1" s="1"/>
  <c r="L2824" i="1"/>
  <c r="W2823" i="1"/>
  <c r="Q2823" i="1" s="1"/>
  <c r="L2823" i="1"/>
  <c r="W2822" i="1"/>
  <c r="X2822" i="1" s="1"/>
  <c r="L2822" i="1"/>
  <c r="O2822" i="1"/>
  <c r="P2822" i="1" s="1"/>
  <c r="Q2822" i="1" s="1"/>
  <c r="W2821" i="1"/>
  <c r="Q2821" i="1" s="1"/>
  <c r="L2821" i="1"/>
  <c r="W2820" i="1"/>
  <c r="Q2820" i="1" s="1"/>
  <c r="L2820" i="1"/>
  <c r="L2819" i="1"/>
  <c r="W2818" i="1"/>
  <c r="X2818" i="1" s="1"/>
  <c r="O2818" i="1"/>
  <c r="P2818" i="1" s="1"/>
  <c r="Q2818" i="1" s="1"/>
  <c r="L2818" i="1"/>
  <c r="W2817" i="1"/>
  <c r="Q2817" i="1" s="1"/>
  <c r="L2817" i="1"/>
  <c r="L2816" i="1"/>
  <c r="L2815" i="1"/>
  <c r="W2814" i="1"/>
  <c r="X2814" i="1" s="1"/>
  <c r="L2814" i="1"/>
  <c r="O2814" i="1"/>
  <c r="P2814" i="1" s="1"/>
  <c r="W2813" i="1"/>
  <c r="Q2813" i="1" s="1"/>
  <c r="L2813" i="1"/>
  <c r="W2812" i="1"/>
  <c r="X2812" i="1" s="1"/>
  <c r="L2812" i="1"/>
  <c r="O2811" i="1"/>
  <c r="P2811" i="1" s="1"/>
  <c r="Q2811" i="1" s="1"/>
  <c r="O2812" i="1"/>
  <c r="P2812" i="1" s="1"/>
  <c r="Q2812" i="1" s="1"/>
  <c r="W2811" i="1"/>
  <c r="X2811" i="1" s="1"/>
  <c r="L2811" i="1"/>
  <c r="S2807" i="1"/>
  <c r="AC2807" i="1" s="1"/>
  <c r="L2808" i="1"/>
  <c r="L2807" i="1"/>
  <c r="L2800" i="1"/>
  <c r="L2802" i="1"/>
  <c r="G2802" i="1"/>
  <c r="P2802" i="1" s="1"/>
  <c r="Q2802" i="1" s="1"/>
  <c r="L2801" i="1"/>
  <c r="G2801" i="1"/>
  <c r="P2801" i="1" s="1"/>
  <c r="Q2801" i="1" s="1"/>
  <c r="L2799" i="1"/>
  <c r="Q2824" i="1" l="1"/>
  <c r="Q2828" i="1"/>
  <c r="Q2832" i="1"/>
  <c r="Q2814" i="1"/>
  <c r="AC2967" i="1"/>
  <c r="AA2967" i="1"/>
  <c r="Z2967" i="1"/>
  <c r="Y2802" i="1"/>
  <c r="Z2802" i="1"/>
  <c r="AA2802" i="1"/>
  <c r="Y2812" i="1"/>
  <c r="Z2812" i="1"/>
  <c r="AA2812" i="1"/>
  <c r="Y2827" i="1"/>
  <c r="Z2827" i="1"/>
  <c r="AA2827" i="1"/>
  <c r="AC2970" i="1"/>
  <c r="AD2970" i="1"/>
  <c r="AE2970" i="1"/>
  <c r="AB2970" i="1"/>
  <c r="Y2814" i="1"/>
  <c r="Z2814" i="1"/>
  <c r="AA2814" i="1"/>
  <c r="AC2971" i="1"/>
  <c r="AD2971" i="1"/>
  <c r="AE2971" i="1"/>
  <c r="AB2971" i="1"/>
  <c r="X2813" i="1"/>
  <c r="Y2811" i="1"/>
  <c r="Z2811" i="1"/>
  <c r="AA2811" i="1"/>
  <c r="X2820" i="1"/>
  <c r="AC2862" i="1"/>
  <c r="AD2862" i="1"/>
  <c r="AE2862" i="1"/>
  <c r="AB2862" i="1"/>
  <c r="AC2861" i="1"/>
  <c r="AD2861" i="1"/>
  <c r="AE2861" i="1"/>
  <c r="AB2861" i="1"/>
  <c r="Y2822" i="1"/>
  <c r="Z2822" i="1"/>
  <c r="AA2822" i="1"/>
  <c r="X2825" i="1"/>
  <c r="X2823" i="1"/>
  <c r="X2830" i="1"/>
  <c r="Y2824" i="1"/>
  <c r="Z2824" i="1"/>
  <c r="AA2824" i="1"/>
  <c r="Y2828" i="1"/>
  <c r="Z2828" i="1"/>
  <c r="AA2828" i="1"/>
  <c r="Y2832" i="1"/>
  <c r="Z2832" i="1"/>
  <c r="AA2832" i="1"/>
  <c r="Y2801" i="1"/>
  <c r="Z2801" i="1"/>
  <c r="AA2801" i="1"/>
  <c r="Y2818" i="1"/>
  <c r="Z2818" i="1"/>
  <c r="AA2818" i="1"/>
  <c r="X2829" i="1"/>
  <c r="X2817" i="1"/>
  <c r="X2821" i="1"/>
  <c r="L2806" i="1"/>
  <c r="L2805" i="1"/>
  <c r="W2804" i="1"/>
  <c r="Q2804" i="1" s="1"/>
  <c r="L2804" i="1"/>
  <c r="L2803" i="1"/>
  <c r="W2803" i="1"/>
  <c r="Q2803" i="1" s="1"/>
  <c r="O2909" i="1"/>
  <c r="P2909" i="1" s="1"/>
  <c r="Q2909" i="1" s="1"/>
  <c r="G2909" i="1"/>
  <c r="L2909" i="1"/>
  <c r="G2908" i="1"/>
  <c r="P2908" i="1" s="1"/>
  <c r="Q2908" i="1" s="1"/>
  <c r="L2908" i="1"/>
  <c r="O2906" i="1"/>
  <c r="O2907" i="1"/>
  <c r="P2907" i="1" s="1"/>
  <c r="Q2907" i="1" s="1"/>
  <c r="G2907" i="1"/>
  <c r="G2906" i="1"/>
  <c r="L2906" i="1"/>
  <c r="L2907" i="1"/>
  <c r="L2910" i="1"/>
  <c r="W3008" i="1"/>
  <c r="Q3008" i="1" s="1"/>
  <c r="W3007" i="1"/>
  <c r="Q3007" i="1" s="1"/>
  <c r="L3007" i="1"/>
  <c r="L3008" i="1"/>
  <c r="L3395" i="1"/>
  <c r="L3394" i="1"/>
  <c r="V3393" i="1"/>
  <c r="L3390" i="1"/>
  <c r="L3391" i="1"/>
  <c r="L3392" i="1"/>
  <c r="L3393" i="1"/>
  <c r="G3388" i="1"/>
  <c r="O3388" i="1" s="1"/>
  <c r="P3388" i="1" s="1"/>
  <c r="Q3388" i="1" s="1"/>
  <c r="L3389" i="1"/>
  <c r="W3388" i="1"/>
  <c r="X3388" i="1" s="1"/>
  <c r="W3387" i="1"/>
  <c r="Q3387" i="1" s="1"/>
  <c r="L3387" i="1"/>
  <c r="L3388" i="1"/>
  <c r="L3175" i="1"/>
  <c r="W3173" i="1"/>
  <c r="Q3173" i="1" s="1"/>
  <c r="L3173" i="1"/>
  <c r="L3176" i="1"/>
  <c r="W3174" i="1"/>
  <c r="Q3174" i="1" s="1"/>
  <c r="L3174" i="1"/>
  <c r="L3006" i="1"/>
  <c r="W2671" i="1"/>
  <c r="Q2671" i="1" s="1"/>
  <c r="L2671" i="1"/>
  <c r="L2668" i="1"/>
  <c r="L2667" i="1"/>
  <c r="L2670" i="1"/>
  <c r="L2669" i="1"/>
  <c r="W2666" i="1"/>
  <c r="Q2666" i="1" s="1"/>
  <c r="L2666" i="1"/>
  <c r="G2665" i="1"/>
  <c r="P2665" i="1" s="1"/>
  <c r="G2664" i="1"/>
  <c r="P2664" i="1" s="1"/>
  <c r="Q2664" i="1" s="1"/>
  <c r="W2664" i="1"/>
  <c r="X2664" i="1" s="1"/>
  <c r="L2664" i="1"/>
  <c r="W2665" i="1"/>
  <c r="X2665" i="1" s="1"/>
  <c r="L2665" i="1"/>
  <c r="W2663" i="1"/>
  <c r="Q2663" i="1" s="1"/>
  <c r="L2663" i="1"/>
  <c r="L2662" i="1"/>
  <c r="W2661" i="1"/>
  <c r="Q2661" i="1" s="1"/>
  <c r="L2661" i="1"/>
  <c r="W2660" i="1"/>
  <c r="Q2660" i="1" s="1"/>
  <c r="V2660" i="1"/>
  <c r="L2660" i="1"/>
  <c r="W2938" i="1"/>
  <c r="Q2938" i="1" s="1"/>
  <c r="L2938" i="1"/>
  <c r="G2904" i="1"/>
  <c r="P2904" i="1" s="1"/>
  <c r="Q2904" i="1" s="1"/>
  <c r="L2903" i="1"/>
  <c r="L2904" i="1"/>
  <c r="L2900" i="1"/>
  <c r="L2899" i="1"/>
  <c r="G2897" i="1"/>
  <c r="P2897" i="1" s="1"/>
  <c r="Q2897" i="1" s="1"/>
  <c r="G2896" i="1"/>
  <c r="P2896" i="1" s="1"/>
  <c r="Q2896" i="1" s="1"/>
  <c r="L2898" i="1"/>
  <c r="G2898" i="1"/>
  <c r="P2898" i="1" s="1"/>
  <c r="Q2898" i="1" s="1"/>
  <c r="L2897" i="1"/>
  <c r="L2896" i="1"/>
  <c r="G2895" i="1"/>
  <c r="P2895" i="1" s="1"/>
  <c r="Q2895" i="1" s="1"/>
  <c r="L2895" i="1"/>
  <c r="G2894" i="1"/>
  <c r="P2894" i="1" s="1"/>
  <c r="Q2894" i="1" s="1"/>
  <c r="L2894" i="1"/>
  <c r="G2905" i="1"/>
  <c r="P2905" i="1" s="1"/>
  <c r="Q2905" i="1" s="1"/>
  <c r="L2905" i="1"/>
  <c r="L2901" i="1"/>
  <c r="G2901" i="1"/>
  <c r="P2901" i="1" s="1"/>
  <c r="Q2901" i="1" s="1"/>
  <c r="G2902" i="1"/>
  <c r="P2902" i="1" s="1"/>
  <c r="Q2902" i="1" s="1"/>
  <c r="L2902" i="1"/>
  <c r="L2921" i="1"/>
  <c r="G2921" i="1"/>
  <c r="P2921" i="1" s="1"/>
  <c r="Q2921" i="1" s="1"/>
  <c r="W2934" i="1"/>
  <c r="Q2934" i="1" s="1"/>
  <c r="L2934" i="1"/>
  <c r="L2920" i="1"/>
  <c r="G2920" i="1"/>
  <c r="P2920" i="1" s="1"/>
  <c r="Q2920" i="1" s="1"/>
  <c r="L2936" i="1"/>
  <c r="L2937" i="1"/>
  <c r="G2933" i="1"/>
  <c r="P2933" i="1" s="1"/>
  <c r="Q2933" i="1" s="1"/>
  <c r="L2935" i="1"/>
  <c r="L2933" i="1"/>
  <c r="L2924" i="1"/>
  <c r="G2924" i="1"/>
  <c r="P2924" i="1" s="1"/>
  <c r="Q2924" i="1" s="1"/>
  <c r="L2923" i="1"/>
  <c r="G2923" i="1"/>
  <c r="P2923" i="1" s="1"/>
  <c r="Q2923" i="1" s="1"/>
  <c r="L2922" i="1"/>
  <c r="G2922" i="1"/>
  <c r="P2922" i="1" s="1"/>
  <c r="Q2922" i="1" s="1"/>
  <c r="L2919" i="1"/>
  <c r="G2919" i="1"/>
  <c r="P2919" i="1" s="1"/>
  <c r="Q2919" i="1" s="1"/>
  <c r="L2918" i="1"/>
  <c r="G2918" i="1"/>
  <c r="P2918" i="1" s="1"/>
  <c r="Q2918" i="1" s="1"/>
  <c r="L2932" i="1"/>
  <c r="L2917" i="1"/>
  <c r="G2917" i="1"/>
  <c r="P2917" i="1" s="1"/>
  <c r="Q2917" i="1" s="1"/>
  <c r="L2916" i="1"/>
  <c r="G2916" i="1"/>
  <c r="P2916" i="1" s="1"/>
  <c r="Q2916" i="1" s="1"/>
  <c r="W2931" i="1"/>
  <c r="Q2931" i="1" s="1"/>
  <c r="L2931" i="1"/>
  <c r="G2929" i="1"/>
  <c r="P2929" i="1" s="1"/>
  <c r="Q2929" i="1" s="1"/>
  <c r="L2929" i="1"/>
  <c r="G2928" i="1"/>
  <c r="P2928" i="1" s="1"/>
  <c r="Q2928" i="1" s="1"/>
  <c r="L2930" i="1"/>
  <c r="G2930" i="1"/>
  <c r="P2930" i="1" s="1"/>
  <c r="Q2930" i="1" s="1"/>
  <c r="L2915" i="1"/>
  <c r="L2914" i="1"/>
  <c r="G2914" i="1"/>
  <c r="P2914" i="1" s="1"/>
  <c r="Q2914" i="1" s="1"/>
  <c r="L2928" i="1"/>
  <c r="G2927" i="1"/>
  <c r="P2927" i="1" s="1"/>
  <c r="Q2927" i="1" s="1"/>
  <c r="L2927" i="1"/>
  <c r="L2926" i="1"/>
  <c r="W2925" i="1"/>
  <c r="Q2925" i="1" s="1"/>
  <c r="L2925" i="1"/>
  <c r="L2912" i="1"/>
  <c r="L2913" i="1"/>
  <c r="W2911" i="1"/>
  <c r="Q2911" i="1" s="1"/>
  <c r="W2910" i="1"/>
  <c r="Q2910" i="1" s="1"/>
  <c r="L2911" i="1"/>
  <c r="L2966" i="1"/>
  <c r="L2965" i="1"/>
  <c r="L2964" i="1"/>
  <c r="L2963" i="1"/>
  <c r="L2962" i="1"/>
  <c r="L2961" i="1"/>
  <c r="L2959" i="1"/>
  <c r="L2960" i="1"/>
  <c r="W2958" i="1"/>
  <c r="Q2958" i="1" s="1"/>
  <c r="L2958" i="1"/>
  <c r="W2957" i="1"/>
  <c r="Q2957" i="1" s="1"/>
  <c r="L2957" i="1"/>
  <c r="T2956" i="1"/>
  <c r="G2956" i="1"/>
  <c r="P2956" i="1" s="1"/>
  <c r="Q2956" i="1" s="1"/>
  <c r="L2956" i="1"/>
  <c r="T2955" i="1"/>
  <c r="L2955" i="1"/>
  <c r="G2955" i="1"/>
  <c r="P2955" i="1" s="1"/>
  <c r="Q2955" i="1" s="1"/>
  <c r="L2954" i="1"/>
  <c r="W2892" i="1"/>
  <c r="Q2892" i="1" s="1"/>
  <c r="W2893" i="1"/>
  <c r="Q2893" i="1" s="1"/>
  <c r="W2891" i="1"/>
  <c r="Q2891" i="1" s="1"/>
  <c r="L2891" i="1"/>
  <c r="L2892" i="1"/>
  <c r="L2893" i="1"/>
  <c r="L2939" i="1"/>
  <c r="T2940" i="1"/>
  <c r="AD2940" i="1" s="1"/>
  <c r="L2940" i="1"/>
  <c r="W2941" i="1"/>
  <c r="Q2941" i="1" s="1"/>
  <c r="L2941" i="1"/>
  <c r="W2942" i="1"/>
  <c r="Q2942" i="1" s="1"/>
  <c r="L2942" i="1"/>
  <c r="P2906" i="1" l="1"/>
  <c r="Q2906" i="1" s="1"/>
  <c r="Q2665" i="1"/>
  <c r="AB2967" i="1"/>
  <c r="AE2967" i="1"/>
  <c r="AD2967" i="1"/>
  <c r="AA2907" i="1"/>
  <c r="Y2906" i="1"/>
  <c r="X2925" i="1"/>
  <c r="Y2933" i="1"/>
  <c r="Z2933" i="1"/>
  <c r="AA2933" i="1"/>
  <c r="Y2897" i="1"/>
  <c r="Z2897" i="1"/>
  <c r="AA2897" i="1"/>
  <c r="AC2802" i="1"/>
  <c r="AD2802" i="1"/>
  <c r="AE2802" i="1"/>
  <c r="AB2802" i="1"/>
  <c r="X2958" i="1"/>
  <c r="Y2917" i="1"/>
  <c r="Z2917" i="1"/>
  <c r="AA2917" i="1"/>
  <c r="X2660" i="1"/>
  <c r="AE2660" i="1" s="1"/>
  <c r="AA2660" i="1"/>
  <c r="Y2930" i="1"/>
  <c r="Z2930" i="1"/>
  <c r="AA2930" i="1"/>
  <c r="Y2894" i="1"/>
  <c r="Z2894" i="1"/>
  <c r="AA2894" i="1"/>
  <c r="AC2827" i="1"/>
  <c r="AD2827" i="1"/>
  <c r="AE2827" i="1"/>
  <c r="AB2827" i="1"/>
  <c r="Y2928" i="1"/>
  <c r="Z2928" i="1"/>
  <c r="AA2928" i="1"/>
  <c r="Y2923" i="1"/>
  <c r="Z2923" i="1"/>
  <c r="AA2923" i="1"/>
  <c r="Y2902" i="1"/>
  <c r="Z2902" i="1"/>
  <c r="AA2902" i="1"/>
  <c r="Y2895" i="1"/>
  <c r="Z2895" i="1"/>
  <c r="AA2895" i="1"/>
  <c r="AC2660" i="1"/>
  <c r="AB2660" i="1"/>
  <c r="AD2660" i="1"/>
  <c r="AA3388" i="1"/>
  <c r="Y3388" i="1"/>
  <c r="Z3388" i="1"/>
  <c r="X2803" i="1"/>
  <c r="AC2817" i="1"/>
  <c r="AD2817" i="1"/>
  <c r="AE2817" i="1"/>
  <c r="AB2817" i="1"/>
  <c r="AC2801" i="1"/>
  <c r="AD2801" i="1"/>
  <c r="AE2801" i="1"/>
  <c r="AB2801" i="1"/>
  <c r="AC2828" i="1"/>
  <c r="AD2828" i="1"/>
  <c r="AE2828" i="1"/>
  <c r="AB2828" i="1"/>
  <c r="AC2830" i="1"/>
  <c r="AD2830" i="1"/>
  <c r="AE2830" i="1"/>
  <c r="AB2830" i="1"/>
  <c r="AC2813" i="1"/>
  <c r="AD2813" i="1"/>
  <c r="AE2813" i="1"/>
  <c r="AB2813" i="1"/>
  <c r="Y2955" i="1"/>
  <c r="Z2955" i="1"/>
  <c r="AA2955" i="1"/>
  <c r="X3174" i="1"/>
  <c r="Y2927" i="1"/>
  <c r="Z2927" i="1"/>
  <c r="AA2927" i="1"/>
  <c r="X3173" i="1"/>
  <c r="X2911" i="1"/>
  <c r="Y2929" i="1"/>
  <c r="Z2929" i="1"/>
  <c r="AA2929" i="1"/>
  <c r="Y2918" i="1"/>
  <c r="Z2918" i="1"/>
  <c r="AA2918" i="1"/>
  <c r="Y2924" i="1"/>
  <c r="Z2924" i="1"/>
  <c r="AA2924" i="1"/>
  <c r="X2661" i="1"/>
  <c r="Y2664" i="1"/>
  <c r="AA2664" i="1"/>
  <c r="Z2664" i="1"/>
  <c r="X3007" i="1"/>
  <c r="AC2829" i="1"/>
  <c r="AD2829" i="1"/>
  <c r="AE2829" i="1"/>
  <c r="AB2829" i="1"/>
  <c r="AC2823" i="1"/>
  <c r="AD2823" i="1"/>
  <c r="AE2823" i="1"/>
  <c r="AB2823" i="1"/>
  <c r="AC2820" i="1"/>
  <c r="AD2820" i="1"/>
  <c r="AE2820" i="1"/>
  <c r="AB2820" i="1"/>
  <c r="AC2812" i="1"/>
  <c r="AD2812" i="1"/>
  <c r="AE2812" i="1"/>
  <c r="AB2812" i="1"/>
  <c r="Y2922" i="1"/>
  <c r="Z2922" i="1"/>
  <c r="AA2922" i="1"/>
  <c r="Y2920" i="1"/>
  <c r="Z2920" i="1"/>
  <c r="AA2920" i="1"/>
  <c r="Y2956" i="1"/>
  <c r="Z2956" i="1"/>
  <c r="AA2956" i="1"/>
  <c r="X2893" i="1"/>
  <c r="Y2914" i="1"/>
  <c r="Z2914" i="1"/>
  <c r="AA2914" i="1"/>
  <c r="Y2898" i="1"/>
  <c r="Z2898" i="1"/>
  <c r="AA2898" i="1"/>
  <c r="Y2904" i="1"/>
  <c r="Z2904" i="1"/>
  <c r="AA2904" i="1"/>
  <c r="Y2665" i="1"/>
  <c r="AA2665" i="1"/>
  <c r="Z2665" i="1"/>
  <c r="X2671" i="1"/>
  <c r="X3008" i="1"/>
  <c r="X2804" i="1"/>
  <c r="AC2821" i="1"/>
  <c r="AD2821" i="1"/>
  <c r="AE2821" i="1"/>
  <c r="AB2821" i="1"/>
  <c r="AC2822" i="1"/>
  <c r="AD2822" i="1"/>
  <c r="AE2822" i="1"/>
  <c r="AB2822" i="1"/>
  <c r="AC2814" i="1"/>
  <c r="AD2814" i="1"/>
  <c r="AE2814" i="1"/>
  <c r="AB2814" i="1"/>
  <c r="X2942" i="1"/>
  <c r="X2910" i="1"/>
  <c r="Y2901" i="1"/>
  <c r="Z2901" i="1"/>
  <c r="AA2901" i="1"/>
  <c r="X2891" i="1"/>
  <c r="X2941" i="1"/>
  <c r="X2892" i="1"/>
  <c r="X2931" i="1"/>
  <c r="Y2919" i="1"/>
  <c r="Z2919" i="1"/>
  <c r="AA2919" i="1"/>
  <c r="X2934" i="1"/>
  <c r="Y2905" i="1"/>
  <c r="Z2905" i="1"/>
  <c r="AA2905" i="1"/>
  <c r="Y2908" i="1"/>
  <c r="Z2908" i="1"/>
  <c r="AA2908" i="1"/>
  <c r="AC2818" i="1"/>
  <c r="AD2818" i="1"/>
  <c r="AE2818" i="1"/>
  <c r="AB2818" i="1"/>
  <c r="AC2832" i="1"/>
  <c r="AD2832" i="1"/>
  <c r="AE2832" i="1"/>
  <c r="AB2832" i="1"/>
  <c r="AC2824" i="1"/>
  <c r="AD2824" i="1"/>
  <c r="AE2824" i="1"/>
  <c r="AB2824" i="1"/>
  <c r="AC2825" i="1"/>
  <c r="AD2825" i="1"/>
  <c r="AE2825" i="1"/>
  <c r="AB2825" i="1"/>
  <c r="AC2811" i="1"/>
  <c r="AD2811" i="1"/>
  <c r="AE2811" i="1"/>
  <c r="AB2811" i="1"/>
  <c r="X2957" i="1"/>
  <c r="Y2916" i="1"/>
  <c r="Z2916" i="1"/>
  <c r="AA2916" i="1"/>
  <c r="Y2921" i="1"/>
  <c r="Z2921" i="1"/>
  <c r="AA2921" i="1"/>
  <c r="Y2896" i="1"/>
  <c r="Z2896" i="1"/>
  <c r="AA2896" i="1"/>
  <c r="X2938" i="1"/>
  <c r="X2663" i="1"/>
  <c r="X2666" i="1"/>
  <c r="X3387" i="1"/>
  <c r="X3393" i="1"/>
  <c r="AE3393" i="1" s="1"/>
  <c r="AA3393" i="1"/>
  <c r="L2953" i="1"/>
  <c r="L2950" i="1"/>
  <c r="L2948" i="1"/>
  <c r="L2947" i="1"/>
  <c r="L2952" i="1"/>
  <c r="L2951" i="1"/>
  <c r="L2949" i="1"/>
  <c r="W2946" i="1"/>
  <c r="Q2946" i="1" s="1"/>
  <c r="W2945" i="1"/>
  <c r="Q2945" i="1" s="1"/>
  <c r="L2946" i="1"/>
  <c r="L2945" i="1"/>
  <c r="W2943" i="1"/>
  <c r="X2943" i="1" s="1"/>
  <c r="L2943" i="1"/>
  <c r="G2943" i="1"/>
  <c r="P2943" i="1" s="1"/>
  <c r="Q2943" i="1" s="1"/>
  <c r="L2944" i="1"/>
  <c r="W2890" i="1"/>
  <c r="Q2890" i="1" s="1"/>
  <c r="W2887" i="1"/>
  <c r="Q2887" i="1" s="1"/>
  <c r="L2887" i="1"/>
  <c r="L2889" i="1"/>
  <c r="L2888" i="1"/>
  <c r="L2886" i="1"/>
  <c r="W2885" i="1"/>
  <c r="Q2885" i="1" s="1"/>
  <c r="L2885" i="1"/>
  <c r="W2884" i="1"/>
  <c r="Q2884" i="1" s="1"/>
  <c r="L2884" i="1"/>
  <c r="W2883" i="1"/>
  <c r="Q2883" i="1" s="1"/>
  <c r="V2883" i="1"/>
  <c r="L2883" i="1"/>
  <c r="L2882" i="1"/>
  <c r="W2882" i="1"/>
  <c r="Q2882" i="1" s="1"/>
  <c r="V2882" i="1"/>
  <c r="V2881" i="1"/>
  <c r="L2881" i="1"/>
  <c r="W2880" i="1"/>
  <c r="Q2880" i="1" s="1"/>
  <c r="L2880" i="1"/>
  <c r="L2879" i="1"/>
  <c r="L2876" i="1"/>
  <c r="W2878" i="1"/>
  <c r="Q2878" i="1" s="1"/>
  <c r="W2877" i="1"/>
  <c r="Q2877" i="1" s="1"/>
  <c r="L2877" i="1"/>
  <c r="L2878" i="1"/>
  <c r="L2875" i="1"/>
  <c r="L2874" i="1"/>
  <c r="W2874" i="1"/>
  <c r="Q2874" i="1" s="1"/>
  <c r="W2873" i="1"/>
  <c r="Q2873" i="1" s="1"/>
  <c r="L2873" i="1"/>
  <c r="L2872" i="1"/>
  <c r="V2871" i="1"/>
  <c r="L2870" i="1"/>
  <c r="L2869" i="1"/>
  <c r="L2697" i="1"/>
  <c r="L2434" i="1"/>
  <c r="L2433" i="1"/>
  <c r="L2432" i="1"/>
  <c r="O2431" i="1"/>
  <c r="P2431" i="1" s="1"/>
  <c r="Q2431" i="1" s="1"/>
  <c r="L2431" i="1"/>
  <c r="L2430" i="1"/>
  <c r="O2428" i="1"/>
  <c r="P2428" i="1" s="1"/>
  <c r="Q2428" i="1" s="1"/>
  <c r="L2429" i="1"/>
  <c r="L2428" i="1"/>
  <c r="AA2906" i="1" l="1"/>
  <c r="AE2906" i="1"/>
  <c r="Z2907" i="1"/>
  <c r="Y2907" i="1"/>
  <c r="Z2906" i="1"/>
  <c r="AC2907" i="1"/>
  <c r="AC2958" i="1"/>
  <c r="AD2958" i="1"/>
  <c r="AE2958" i="1"/>
  <c r="AB2958" i="1"/>
  <c r="AA2428" i="1"/>
  <c r="Y2428" i="1"/>
  <c r="Z2428" i="1"/>
  <c r="X2880" i="1"/>
  <c r="AC2883" i="1"/>
  <c r="AD2883" i="1"/>
  <c r="AB2883" i="1"/>
  <c r="AC2663" i="1"/>
  <c r="AE2663" i="1"/>
  <c r="AB2663" i="1"/>
  <c r="AD2663" i="1"/>
  <c r="AC2921" i="1"/>
  <c r="AD2921" i="1"/>
  <c r="AE2921" i="1"/>
  <c r="AB2921" i="1"/>
  <c r="AC2957" i="1"/>
  <c r="AD2957" i="1"/>
  <c r="AE2957" i="1"/>
  <c r="AB2957" i="1"/>
  <c r="AC2919" i="1"/>
  <c r="AD2919" i="1"/>
  <c r="AE2919" i="1"/>
  <c r="AB2919" i="1"/>
  <c r="AC2941" i="1"/>
  <c r="AD2941" i="1"/>
  <c r="AE2941" i="1"/>
  <c r="AB2941" i="1"/>
  <c r="AC2910" i="1"/>
  <c r="AD2910" i="1"/>
  <c r="AE2910" i="1"/>
  <c r="AB2910" i="1"/>
  <c r="AC2804" i="1"/>
  <c r="AD2804" i="1"/>
  <c r="AE2804" i="1"/>
  <c r="AB2804" i="1"/>
  <c r="AC2956" i="1"/>
  <c r="AD2956" i="1"/>
  <c r="AE2956" i="1"/>
  <c r="AB2956" i="1"/>
  <c r="AC2922" i="1"/>
  <c r="AD2922" i="1"/>
  <c r="AE2922" i="1"/>
  <c r="AB2922" i="1"/>
  <c r="AC3007" i="1"/>
  <c r="AD3007" i="1"/>
  <c r="AE3007" i="1"/>
  <c r="AB3007" i="1"/>
  <c r="AC2924" i="1"/>
  <c r="AD2924" i="1"/>
  <c r="AE2924" i="1"/>
  <c r="AB2924" i="1"/>
  <c r="AC2929" i="1"/>
  <c r="AD2929" i="1"/>
  <c r="AE2929" i="1"/>
  <c r="AB2929" i="1"/>
  <c r="AB3174" i="1"/>
  <c r="AC3174" i="1"/>
  <c r="AD3174" i="1"/>
  <c r="AE3174" i="1"/>
  <c r="AC2902" i="1"/>
  <c r="AD2902" i="1"/>
  <c r="AE2902" i="1"/>
  <c r="AB2902" i="1"/>
  <c r="AC2928" i="1"/>
  <c r="AD2928" i="1"/>
  <c r="AE2928" i="1"/>
  <c r="AB2928" i="1"/>
  <c r="AC2894" i="1"/>
  <c r="AD2894" i="1"/>
  <c r="AE2894" i="1"/>
  <c r="AB2894" i="1"/>
  <c r="Y2909" i="1"/>
  <c r="Z2909" i="1"/>
  <c r="AA2909" i="1"/>
  <c r="X2887" i="1"/>
  <c r="X2945" i="1"/>
  <c r="AC2933" i="1"/>
  <c r="AD2933" i="1"/>
  <c r="AE2933" i="1"/>
  <c r="AB2933" i="1"/>
  <c r="X2881" i="1"/>
  <c r="AE2881" i="1" s="1"/>
  <c r="AA2881" i="1"/>
  <c r="X2890" i="1"/>
  <c r="AC2938" i="1"/>
  <c r="AD2938" i="1"/>
  <c r="AE2938" i="1"/>
  <c r="AB2938" i="1"/>
  <c r="AC2891" i="1"/>
  <c r="AD2891" i="1"/>
  <c r="AE2891" i="1"/>
  <c r="AB2891" i="1"/>
  <c r="AC2942" i="1"/>
  <c r="AD2942" i="1"/>
  <c r="AE2942" i="1"/>
  <c r="AB2942" i="1"/>
  <c r="AC3008" i="1"/>
  <c r="AD3008" i="1"/>
  <c r="AE3008" i="1"/>
  <c r="AB3008" i="1"/>
  <c r="AC2904" i="1"/>
  <c r="AD2904" i="1"/>
  <c r="AE2904" i="1"/>
  <c r="AB2904" i="1"/>
  <c r="AC2914" i="1"/>
  <c r="AD2914" i="1"/>
  <c r="AE2914" i="1"/>
  <c r="AB2914" i="1"/>
  <c r="AC2664" i="1"/>
  <c r="AE2664" i="1"/>
  <c r="AB2664" i="1"/>
  <c r="AD2664" i="1"/>
  <c r="AB3173" i="1"/>
  <c r="AC3173" i="1"/>
  <c r="AD3173" i="1"/>
  <c r="AE3173" i="1"/>
  <c r="AC2955" i="1"/>
  <c r="AD2955" i="1"/>
  <c r="AE2955" i="1"/>
  <c r="AB2955" i="1"/>
  <c r="AC2803" i="1"/>
  <c r="AD2803" i="1"/>
  <c r="AE2803" i="1"/>
  <c r="AB2803" i="1"/>
  <c r="X2884" i="1"/>
  <c r="AC2905" i="1"/>
  <c r="AD2905" i="1"/>
  <c r="AE2905" i="1"/>
  <c r="AB2905" i="1"/>
  <c r="X2877" i="1"/>
  <c r="AC2917" i="1"/>
  <c r="AD2917" i="1"/>
  <c r="AE2917" i="1"/>
  <c r="AB2917" i="1"/>
  <c r="AA2431" i="1"/>
  <c r="Y2431" i="1"/>
  <c r="Z2431" i="1"/>
  <c r="X2878" i="1"/>
  <c r="Y2943" i="1"/>
  <c r="Z2943" i="1"/>
  <c r="AA2943" i="1"/>
  <c r="AB3387" i="1"/>
  <c r="AD3387" i="1"/>
  <c r="AE3387" i="1"/>
  <c r="AC3387" i="1"/>
  <c r="AC2896" i="1"/>
  <c r="AD2896" i="1"/>
  <c r="AE2896" i="1"/>
  <c r="AB2896" i="1"/>
  <c r="AC2916" i="1"/>
  <c r="AD2916" i="1"/>
  <c r="AE2916" i="1"/>
  <c r="AB2916" i="1"/>
  <c r="AC2931" i="1"/>
  <c r="AD2931" i="1"/>
  <c r="AE2931" i="1"/>
  <c r="AB2931" i="1"/>
  <c r="AC2901" i="1"/>
  <c r="AD2901" i="1"/>
  <c r="AE2901" i="1"/>
  <c r="AB2901" i="1"/>
  <c r="AC2671" i="1"/>
  <c r="AE2671" i="1"/>
  <c r="AB2671" i="1"/>
  <c r="AD2671" i="1"/>
  <c r="AC2920" i="1"/>
  <c r="AD2920" i="1"/>
  <c r="AE2920" i="1"/>
  <c r="AB2920" i="1"/>
  <c r="AC2918" i="1"/>
  <c r="AD2918" i="1"/>
  <c r="AE2918" i="1"/>
  <c r="AB2918" i="1"/>
  <c r="AC2911" i="1"/>
  <c r="AD2911" i="1"/>
  <c r="AE2911" i="1"/>
  <c r="AB2911" i="1"/>
  <c r="AC2927" i="1"/>
  <c r="AD2927" i="1"/>
  <c r="AE2927" i="1"/>
  <c r="AB2927" i="1"/>
  <c r="AB3388" i="1"/>
  <c r="AD3388" i="1"/>
  <c r="AE3388" i="1"/>
  <c r="AC3388" i="1"/>
  <c r="AC2895" i="1"/>
  <c r="AD2895" i="1"/>
  <c r="AE2895" i="1"/>
  <c r="AB2895" i="1"/>
  <c r="AC2923" i="1"/>
  <c r="AD2923" i="1"/>
  <c r="AE2923" i="1"/>
  <c r="AB2923" i="1"/>
  <c r="AC2930" i="1"/>
  <c r="AD2930" i="1"/>
  <c r="AE2930" i="1"/>
  <c r="AB2930" i="1"/>
  <c r="X2883" i="1"/>
  <c r="AE2883" i="1" s="1"/>
  <c r="AA2883" i="1"/>
  <c r="X2871" i="1"/>
  <c r="AE2871" i="1" s="1"/>
  <c r="AA2871" i="1"/>
  <c r="X2946" i="1"/>
  <c r="X2882" i="1"/>
  <c r="AE2882" i="1" s="1"/>
  <c r="AA2882" i="1"/>
  <c r="AC2882" i="1"/>
  <c r="AD2882" i="1"/>
  <c r="AB2882" i="1"/>
  <c r="X2885" i="1"/>
  <c r="X2873" i="1"/>
  <c r="AC2897" i="1"/>
  <c r="AD2897" i="1"/>
  <c r="AE2897" i="1"/>
  <c r="AB2897" i="1"/>
  <c r="AC2925" i="1"/>
  <c r="AD2925" i="1"/>
  <c r="AE2925" i="1"/>
  <c r="AB2925" i="1"/>
  <c r="X2874" i="1"/>
  <c r="AC2666" i="1"/>
  <c r="AE2666" i="1"/>
  <c r="AB2666" i="1"/>
  <c r="AD2666" i="1"/>
  <c r="AC2908" i="1"/>
  <c r="AD2908" i="1"/>
  <c r="AE2908" i="1"/>
  <c r="AB2908" i="1"/>
  <c r="AC2934" i="1"/>
  <c r="AD2934" i="1"/>
  <c r="AE2934" i="1"/>
  <c r="AB2934" i="1"/>
  <c r="AC2892" i="1"/>
  <c r="AD2892" i="1"/>
  <c r="AE2892" i="1"/>
  <c r="AB2892" i="1"/>
  <c r="AC2665" i="1"/>
  <c r="AE2665" i="1"/>
  <c r="AB2665" i="1"/>
  <c r="AD2665" i="1"/>
  <c r="AC2898" i="1"/>
  <c r="AD2898" i="1"/>
  <c r="AE2898" i="1"/>
  <c r="AB2898" i="1"/>
  <c r="AC2893" i="1"/>
  <c r="AD2893" i="1"/>
  <c r="AE2893" i="1"/>
  <c r="AB2893" i="1"/>
  <c r="AC2661" i="1"/>
  <c r="AE2661" i="1"/>
  <c r="AB2661" i="1"/>
  <c r="AD2661" i="1"/>
  <c r="G2441" i="1"/>
  <c r="P2441" i="1" s="1"/>
  <c r="Q2441" i="1" s="1"/>
  <c r="L2441" i="1"/>
  <c r="T2440" i="1"/>
  <c r="W2440" i="1"/>
  <c r="X2440" i="1" s="1"/>
  <c r="G2437" i="1"/>
  <c r="P2437" i="1" s="1"/>
  <c r="Q2437" i="1" s="1"/>
  <c r="G2438" i="1"/>
  <c r="P2438" i="1" s="1"/>
  <c r="Q2438" i="1" s="1"/>
  <c r="G2439" i="1"/>
  <c r="P2439" i="1" s="1"/>
  <c r="Q2439" i="1" s="1"/>
  <c r="L2439" i="1"/>
  <c r="L2438" i="1"/>
  <c r="L2437" i="1"/>
  <c r="O2440" i="1"/>
  <c r="P2440" i="1" s="1"/>
  <c r="T2436" i="1"/>
  <c r="W2436" i="1"/>
  <c r="Q2436" i="1" s="1"/>
  <c r="W2435" i="1"/>
  <c r="Q2435" i="1" s="1"/>
  <c r="G2422" i="1"/>
  <c r="P2422" i="1" s="1"/>
  <c r="Q2422" i="1" s="1"/>
  <c r="G2421" i="1"/>
  <c r="P2421" i="1" s="1"/>
  <c r="Q2421" i="1" s="1"/>
  <c r="G2420" i="1"/>
  <c r="P2420" i="1" s="1"/>
  <c r="Q2420" i="1" s="1"/>
  <c r="G2419" i="1"/>
  <c r="P2419" i="1" s="1"/>
  <c r="Q2419" i="1" s="1"/>
  <c r="L2419" i="1"/>
  <c r="L2420" i="1"/>
  <c r="L2421" i="1"/>
  <c r="L2422" i="1"/>
  <c r="L2423" i="1"/>
  <c r="L2424" i="1"/>
  <c r="L2435" i="1"/>
  <c r="L2436" i="1"/>
  <c r="L2440" i="1"/>
  <c r="L2442" i="1"/>
  <c r="L2443"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79" i="1"/>
  <c r="L2680" i="1"/>
  <c r="L2681" i="1"/>
  <c r="L2682" i="1"/>
  <c r="L2683" i="1"/>
  <c r="L2684" i="1"/>
  <c r="L2685" i="1"/>
  <c r="L2686" i="1"/>
  <c r="L2687" i="1"/>
  <c r="L2688" i="1"/>
  <c r="L2689" i="1"/>
  <c r="L2690" i="1"/>
  <c r="L2691" i="1"/>
  <c r="L2692" i="1"/>
  <c r="L2693" i="1"/>
  <c r="L2694" i="1"/>
  <c r="L2695" i="1"/>
  <c r="L2696" i="1"/>
  <c r="L2863" i="1"/>
  <c r="L2864" i="1"/>
  <c r="L2865" i="1"/>
  <c r="L2866" i="1"/>
  <c r="L2867" i="1"/>
  <c r="L2868" i="1"/>
  <c r="L2871" i="1"/>
  <c r="L2890"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2" i="1"/>
  <c r="L3" i="1"/>
  <c r="L4" i="1"/>
  <c r="L5" i="1"/>
  <c r="L6" i="1"/>
  <c r="L7" i="1"/>
  <c r="L8" i="1"/>
  <c r="L9" i="1"/>
  <c r="L10" i="1"/>
  <c r="L11" i="1"/>
  <c r="L12" i="1"/>
  <c r="L13" i="1"/>
  <c r="L14" i="1"/>
  <c r="L15" i="1"/>
  <c r="L16" i="1"/>
  <c r="L17" i="1"/>
  <c r="L20" i="1"/>
  <c r="L21" i="1"/>
  <c r="L22" i="1"/>
  <c r="L23" i="1"/>
  <c r="L24" i="1"/>
  <c r="L25" i="1"/>
  <c r="L26" i="1"/>
  <c r="L27" i="1"/>
  <c r="L28" i="1"/>
  <c r="L29" i="1"/>
  <c r="L30" i="1"/>
  <c r="L31" i="1"/>
  <c r="L32" i="1"/>
  <c r="L33" i="1"/>
  <c r="L34" i="1"/>
  <c r="L39" i="1"/>
  <c r="L40" i="1"/>
  <c r="L41" i="1"/>
  <c r="L42" i="1"/>
  <c r="L43" i="1"/>
  <c r="L44" i="1"/>
  <c r="L45" i="1"/>
  <c r="L46" i="1"/>
  <c r="L47" i="1"/>
  <c r="L48" i="1"/>
  <c r="L49" i="1"/>
  <c r="L50" i="1"/>
  <c r="L51" i="1"/>
  <c r="L52" i="1"/>
  <c r="L53" i="1"/>
  <c r="L54" i="1"/>
  <c r="L55" i="1"/>
  <c r="L56"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8" i="1"/>
  <c r="L169" i="1"/>
  <c r="L170" i="1"/>
  <c r="L171" i="1"/>
  <c r="L172" i="1"/>
  <c r="L173" i="1"/>
  <c r="L174" i="1"/>
  <c r="L177" i="1"/>
  <c r="L178" i="1"/>
  <c r="L179" i="1"/>
  <c r="L180" i="1"/>
  <c r="L181" i="1"/>
  <c r="L182" i="1"/>
  <c r="L183" i="1"/>
  <c r="L184" i="1"/>
  <c r="L187" i="1"/>
  <c r="L188" i="1"/>
  <c r="L189" i="1"/>
  <c r="L194" i="1"/>
  <c r="L195" i="1"/>
  <c r="L200" i="1"/>
  <c r="L201" i="1"/>
  <c r="L208" i="1"/>
  <c r="L209" i="1"/>
  <c r="L210" i="1"/>
  <c r="L211" i="1"/>
  <c r="L212" i="1"/>
  <c r="L215" i="1"/>
  <c r="L216" i="1"/>
  <c r="L217" i="1"/>
  <c r="L218" i="1"/>
  <c r="L219" i="1"/>
  <c r="L237" i="1"/>
  <c r="L238" i="1"/>
  <c r="L794" i="1"/>
  <c r="L795" i="1"/>
  <c r="L796" i="1"/>
  <c r="L797" i="1"/>
  <c r="L799" i="1"/>
  <c r="L800" i="1"/>
  <c r="L801" i="1"/>
  <c r="L804" i="1"/>
  <c r="L805" i="1"/>
  <c r="L807" i="1"/>
  <c r="L808" i="1"/>
  <c r="L809" i="1"/>
  <c r="L810" i="1"/>
  <c r="L811" i="1"/>
  <c r="L812" i="1"/>
  <c r="L813" i="1"/>
  <c r="L814" i="1"/>
  <c r="L815" i="1"/>
  <c r="L816" i="1"/>
  <c r="L817" i="1"/>
  <c r="L818" i="1"/>
  <c r="L819" i="1"/>
  <c r="L820" i="1"/>
  <c r="L822" i="1"/>
  <c r="L823" i="1"/>
  <c r="L824" i="1"/>
  <c r="L825" i="1"/>
  <c r="L826" i="1"/>
  <c r="L827" i="1"/>
  <c r="L828" i="1"/>
  <c r="L829" i="1"/>
  <c r="L830" i="1"/>
  <c r="L831" i="1"/>
  <c r="L832" i="1"/>
  <c r="L833" i="1"/>
  <c r="L834" i="1"/>
  <c r="L835" i="1"/>
  <c r="L836" i="1"/>
  <c r="L837" i="1"/>
  <c r="L838" i="1"/>
  <c r="L839" i="1"/>
  <c r="L840" i="1"/>
  <c r="L841" i="1"/>
  <c r="L842" i="1"/>
  <c r="L843" i="1"/>
  <c r="L844" i="1"/>
  <c r="L849" i="1"/>
  <c r="L850" i="1"/>
  <c r="L851" i="1"/>
  <c r="L852" i="1"/>
  <c r="L853" i="1"/>
  <c r="L854"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3" i="1"/>
  <c r="L905" i="1"/>
  <c r="L906" i="1"/>
  <c r="L912" i="1"/>
  <c r="L913" i="1"/>
  <c r="L914" i="1"/>
  <c r="L915" i="1"/>
  <c r="L916" i="1"/>
  <c r="L917" i="1"/>
  <c r="L918" i="1"/>
  <c r="L919" i="1"/>
  <c r="L923" i="1"/>
  <c r="L924" i="1"/>
  <c r="L925" i="1"/>
  <c r="L930" i="1"/>
  <c r="L931" i="1"/>
  <c r="L932" i="1"/>
  <c r="L933" i="1"/>
  <c r="L934" i="1"/>
  <c r="L935" i="1"/>
  <c r="L936" i="1"/>
  <c r="L937" i="1"/>
  <c r="L938" i="1"/>
  <c r="L939" i="1"/>
  <c r="L942" i="1"/>
  <c r="L943" i="1"/>
  <c r="L944" i="1"/>
  <c r="L947" i="1"/>
  <c r="L949" i="1"/>
  <c r="L950" i="1"/>
  <c r="L951" i="1"/>
  <c r="L952" i="1"/>
  <c r="L953" i="1"/>
  <c r="L954" i="1"/>
  <c r="L958" i="1"/>
  <c r="L959" i="1"/>
  <c r="L960" i="1"/>
  <c r="L961" i="1"/>
  <c r="L965" i="1"/>
  <c r="L966" i="1"/>
  <c r="L967" i="1"/>
  <c r="L968" i="1"/>
  <c r="L969" i="1"/>
  <c r="L972" i="1"/>
  <c r="L973" i="1"/>
  <c r="L974" i="1"/>
  <c r="L976" i="1"/>
  <c r="L977" i="1"/>
  <c r="L980" i="1"/>
  <c r="L981" i="1"/>
  <c r="L983" i="1"/>
  <c r="L984" i="1"/>
  <c r="L985" i="1"/>
  <c r="L986" i="1"/>
  <c r="L987" i="1"/>
  <c r="L988" i="1"/>
  <c r="L990" i="1"/>
  <c r="L991" i="1"/>
  <c r="L992" i="1"/>
  <c r="L993" i="1"/>
  <c r="L995" i="1"/>
  <c r="L996" i="1"/>
  <c r="L999" i="1"/>
  <c r="L1000" i="1"/>
  <c r="L1001" i="1"/>
  <c r="L1007" i="1"/>
  <c r="L1010" i="1"/>
  <c r="L1011"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4" i="1"/>
  <c r="L1045" i="1"/>
  <c r="L1046" i="1"/>
  <c r="L1047" i="1"/>
  <c r="L1048" i="1"/>
  <c r="L1049" i="1"/>
  <c r="L1050" i="1"/>
  <c r="L1051" i="1"/>
  <c r="L1052" i="1"/>
  <c r="L1057" i="1"/>
  <c r="L1058" i="1"/>
  <c r="L1059" i="1"/>
  <c r="L1060" i="1"/>
  <c r="L1061" i="1"/>
  <c r="L1062" i="1"/>
  <c r="L1063" i="1"/>
  <c r="L1065" i="1"/>
  <c r="L1066" i="1"/>
  <c r="L1067" i="1"/>
  <c r="L1068" i="1"/>
  <c r="L1069" i="1"/>
  <c r="L1070" i="1"/>
  <c r="L1071" i="1"/>
  <c r="L1072" i="1"/>
  <c r="L1073" i="1"/>
  <c r="L1074" i="1"/>
  <c r="L1075" i="1"/>
  <c r="L1076" i="1"/>
  <c r="L1078" i="1"/>
  <c r="L1079" i="1"/>
  <c r="L1080" i="1"/>
  <c r="L1081" i="1"/>
  <c r="L1082" i="1"/>
  <c r="L1083" i="1"/>
  <c r="L1084" i="1"/>
  <c r="L1085" i="1"/>
  <c r="L1086" i="1"/>
  <c r="L1087" i="1"/>
  <c r="L1088" i="1"/>
  <c r="L1089" i="1"/>
  <c r="L1090" i="1"/>
  <c r="L1091" i="1"/>
  <c r="L1093" i="1"/>
  <c r="L1094" i="1"/>
  <c r="L1095" i="1"/>
  <c r="L1096" i="1"/>
  <c r="L1097" i="1"/>
  <c r="L1098" i="1"/>
  <c r="L1128" i="1"/>
  <c r="L1129" i="1"/>
  <c r="L1130" i="1"/>
  <c r="L1138" i="1"/>
  <c r="L1140" i="1"/>
  <c r="L1141" i="1"/>
  <c r="L1142" i="1"/>
  <c r="L1143" i="1"/>
  <c r="L1145" i="1"/>
  <c r="L1147" i="1"/>
  <c r="L1148" i="1"/>
  <c r="L1149" i="1"/>
  <c r="L1151" i="1"/>
  <c r="L1153" i="1"/>
  <c r="L1155" i="1"/>
  <c r="L1157" i="1"/>
  <c r="L1158" i="1"/>
  <c r="L1159" i="1"/>
  <c r="L1160" i="1"/>
  <c r="L1161" i="1"/>
  <c r="L1162" i="1"/>
  <c r="L1163" i="1"/>
  <c r="L1170" i="1"/>
  <c r="L1171" i="1"/>
  <c r="L1172" i="1"/>
  <c r="L1173" i="1"/>
  <c r="L1182" i="1"/>
  <c r="L1183" i="1"/>
  <c r="L1184" i="1"/>
  <c r="L1190" i="1"/>
  <c r="L1191" i="1"/>
  <c r="L1192" i="1"/>
  <c r="L1193" i="1"/>
  <c r="L1194" i="1"/>
  <c r="L1195" i="1"/>
  <c r="L1196" i="1"/>
  <c r="L1197" i="1"/>
  <c r="L1198" i="1"/>
  <c r="L1199" i="1"/>
  <c r="L1219" i="1"/>
  <c r="L1220" i="1"/>
  <c r="L1222" i="1"/>
  <c r="L1223" i="1"/>
  <c r="L1224" i="1"/>
  <c r="L1228" i="1"/>
  <c r="L1231" i="1"/>
  <c r="L1236" i="1"/>
  <c r="L1237" i="1"/>
  <c r="L1238" i="1"/>
  <c r="L1241" i="1"/>
  <c r="L1242" i="1"/>
  <c r="L1243" i="1"/>
  <c r="L1245" i="1"/>
  <c r="L1246" i="1"/>
  <c r="L1247" i="1"/>
  <c r="L1248" i="1"/>
  <c r="L1250" i="1"/>
  <c r="L1251" i="1"/>
  <c r="L1260" i="1"/>
  <c r="L1261" i="1"/>
  <c r="L1262" i="1"/>
  <c r="L1263" i="1"/>
  <c r="L1264" i="1"/>
  <c r="L1265" i="1"/>
  <c r="L1266" i="1"/>
  <c r="L1267" i="1"/>
  <c r="L1271" i="1"/>
  <c r="L1272" i="1"/>
  <c r="L1273" i="1"/>
  <c r="L1274" i="1"/>
  <c r="L1275" i="1"/>
  <c r="L1278" i="1"/>
  <c r="L1279" i="1"/>
  <c r="L1283" i="1"/>
  <c r="L1285" i="1"/>
  <c r="L1286" i="1"/>
  <c r="L1293" i="1"/>
  <c r="L1294" i="1"/>
  <c r="L1296" i="1"/>
  <c r="L1300" i="1"/>
  <c r="L1303" i="1"/>
  <c r="L1304" i="1"/>
  <c r="L1306" i="1"/>
  <c r="L1307" i="1"/>
  <c r="L1308" i="1"/>
  <c r="L1309" i="1"/>
  <c r="L1312" i="1"/>
  <c r="L1315" i="1"/>
  <c r="L1316" i="1"/>
  <c r="L1323" i="1"/>
  <c r="L1331" i="1"/>
  <c r="L1376" i="1"/>
  <c r="L1377" i="1"/>
  <c r="L1391" i="1"/>
  <c r="L1392" i="1"/>
  <c r="L1393" i="1"/>
  <c r="L1396" i="1"/>
  <c r="L1397" i="1"/>
  <c r="L1400" i="1"/>
  <c r="L1407" i="1"/>
  <c r="L1410" i="1"/>
  <c r="L1411" i="1"/>
  <c r="L1412" i="1"/>
  <c r="L1416" i="1"/>
  <c r="L1417" i="1"/>
  <c r="L1418" i="1"/>
  <c r="L1419" i="1"/>
  <c r="L1420" i="1"/>
  <c r="L1421" i="1"/>
  <c r="L1422" i="1"/>
  <c r="L1423" i="1"/>
  <c r="L1424" i="1"/>
  <c r="L1425" i="1"/>
  <c r="L1426" i="1"/>
  <c r="L1427" i="1"/>
  <c r="L1438" i="1"/>
  <c r="L1439" i="1"/>
  <c r="L1440" i="1"/>
  <c r="L1441" i="1"/>
  <c r="L1442" i="1"/>
  <c r="L1443" i="1"/>
  <c r="L1444" i="1"/>
  <c r="L1445" i="1"/>
  <c r="L1446" i="1"/>
  <c r="L1447" i="1"/>
  <c r="L1448" i="1"/>
  <c r="L1449" i="1"/>
  <c r="L1450" i="1"/>
  <c r="L1451" i="1"/>
  <c r="L1452" i="1"/>
  <c r="L1453"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8" i="1"/>
  <c r="L1489" i="1"/>
  <c r="L1490" i="1"/>
  <c r="L1491" i="1"/>
  <c r="L1492" i="1"/>
  <c r="L1493" i="1"/>
  <c r="L1499" i="1"/>
  <c r="L1500" i="1"/>
  <c r="L1502" i="1"/>
  <c r="L1503" i="1"/>
  <c r="L1504" i="1"/>
  <c r="L1505" i="1"/>
  <c r="L1506" i="1"/>
  <c r="L1507" i="1"/>
  <c r="L1508" i="1"/>
  <c r="L1509" i="1"/>
  <c r="L1510" i="1"/>
  <c r="L1512" i="1"/>
  <c r="L1513" i="1"/>
  <c r="L1514" i="1"/>
  <c r="L1516" i="1"/>
  <c r="L1517" i="1"/>
  <c r="L1520" i="1"/>
  <c r="L1521" i="1"/>
  <c r="L1522" i="1"/>
  <c r="L1523" i="1"/>
  <c r="L1524" i="1"/>
  <c r="L1526" i="1"/>
  <c r="L1527" i="1"/>
  <c r="L1528" i="1"/>
  <c r="L1529" i="1"/>
  <c r="L1543" i="1"/>
  <c r="L1544" i="1"/>
  <c r="L1545" i="1"/>
  <c r="L1546" i="1"/>
  <c r="L1547" i="1"/>
  <c r="L1548" i="1"/>
  <c r="L1552" i="1"/>
  <c r="L1553" i="1"/>
  <c r="L1554" i="1"/>
  <c r="L1557" i="1"/>
  <c r="L1559" i="1"/>
  <c r="L1563" i="1"/>
  <c r="L1564" i="1"/>
  <c r="L1567" i="1"/>
  <c r="L1568" i="1"/>
  <c r="L1573" i="1"/>
  <c r="L1576" i="1"/>
  <c r="L1585" i="1"/>
  <c r="L1587" i="1"/>
  <c r="L1588"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G2424" i="1"/>
  <c r="P2424" i="1" s="1"/>
  <c r="Q2424" i="1" s="1"/>
  <c r="G2423" i="1"/>
  <c r="P2423" i="1" s="1"/>
  <c r="Q2423" i="1" s="1"/>
  <c r="W2418" i="1"/>
  <c r="V2418" i="1"/>
  <c r="O2418" i="1"/>
  <c r="P2418" i="1" s="1"/>
  <c r="W2417" i="1"/>
  <c r="Q2417" i="1" s="1"/>
  <c r="V2417" i="1"/>
  <c r="W2416" i="1"/>
  <c r="Q2416" i="1" s="1"/>
  <c r="W2414" i="1"/>
  <c r="Q2414" i="1" s="1"/>
  <c r="W2413" i="1"/>
  <c r="Q2413" i="1" s="1"/>
  <c r="W2412" i="1"/>
  <c r="Q2412" i="1" s="1"/>
  <c r="V2501" i="1"/>
  <c r="W2501" i="1"/>
  <c r="W2500" i="1"/>
  <c r="V2500" i="1"/>
  <c r="O2500" i="1"/>
  <c r="P2500" i="1" s="1"/>
  <c r="Q2500" i="1" s="1"/>
  <c r="O2502" i="1"/>
  <c r="P2502" i="1" s="1"/>
  <c r="Q2502" i="1" s="1"/>
  <c r="O2501" i="1"/>
  <c r="P2501" i="1" s="1"/>
  <c r="Q2501" i="1" s="1"/>
  <c r="W2498" i="1"/>
  <c r="W2497" i="1"/>
  <c r="V2498" i="1"/>
  <c r="O2498" i="1"/>
  <c r="P2498" i="1" s="1"/>
  <c r="V2497" i="1"/>
  <c r="O2497" i="1"/>
  <c r="P2497" i="1" s="1"/>
  <c r="Q2497" i="1" s="1"/>
  <c r="O2499" i="1"/>
  <c r="P2499" i="1" s="1"/>
  <c r="Q2499" i="1" s="1"/>
  <c r="W2495" i="1"/>
  <c r="V2495" i="1"/>
  <c r="M2495" i="1"/>
  <c r="O2495" i="1" s="1"/>
  <c r="P2495" i="1" s="1"/>
  <c r="Q2495" i="1" s="1"/>
  <c r="O2494" i="1"/>
  <c r="P2494" i="1" s="1"/>
  <c r="Q2494" i="1" s="1"/>
  <c r="O2493" i="1"/>
  <c r="P2493" i="1" s="1"/>
  <c r="Q2493" i="1" s="1"/>
  <c r="O2491" i="1"/>
  <c r="P2491" i="1" s="1"/>
  <c r="Q2491" i="1" s="1"/>
  <c r="O2492" i="1"/>
  <c r="P2492" i="1" s="1"/>
  <c r="Q2492" i="1" s="1"/>
  <c r="O2490" i="1"/>
  <c r="P2490" i="1" s="1"/>
  <c r="Q2490" i="1" s="1"/>
  <c r="O2488" i="1"/>
  <c r="P2488" i="1" s="1"/>
  <c r="Q2488" i="1" s="1"/>
  <c r="W2486" i="1"/>
  <c r="Q2486" i="1" s="1"/>
  <c r="W2484" i="1"/>
  <c r="Q2484" i="1" s="1"/>
  <c r="W2481" i="1"/>
  <c r="Q2481" i="1" s="1"/>
  <c r="T2475" i="1"/>
  <c r="G2477" i="1"/>
  <c r="P2477" i="1" s="1"/>
  <c r="Q2477" i="1" s="1"/>
  <c r="W2477" i="1"/>
  <c r="X2477" i="1" s="1"/>
  <c r="W2479" i="1"/>
  <c r="Q2479" i="1" s="1"/>
  <c r="W2478" i="1"/>
  <c r="Q2478" i="1" s="1"/>
  <c r="W2476" i="1"/>
  <c r="Q2476" i="1" s="1"/>
  <c r="W2475" i="1"/>
  <c r="Q2475" i="1" s="1"/>
  <c r="W2474" i="1"/>
  <c r="Q2474" i="1" s="1"/>
  <c r="W2473" i="1"/>
  <c r="Q2473" i="1" s="1"/>
  <c r="W2472" i="1"/>
  <c r="Q2472" i="1" s="1"/>
  <c r="W2443" i="1"/>
  <c r="Q2443" i="1" s="1"/>
  <c r="W2442" i="1"/>
  <c r="Q2442" i="1" s="1"/>
  <c r="G2388" i="1"/>
  <c r="P2388" i="1" s="1"/>
  <c r="Q2388" i="1" s="1"/>
  <c r="V2388" i="1"/>
  <c r="X2388" i="1" s="1"/>
  <c r="V2395" i="1"/>
  <c r="V2394" i="1"/>
  <c r="V2393" i="1"/>
  <c r="V2392" i="1"/>
  <c r="V2391" i="1"/>
  <c r="V2390" i="1"/>
  <c r="W2389" i="1"/>
  <c r="Q2389" i="1" s="1"/>
  <c r="V2389" i="1"/>
  <c r="G2384" i="1"/>
  <c r="P2384" i="1" s="1"/>
  <c r="Q2384" i="1" s="1"/>
  <c r="W2386" i="1"/>
  <c r="Q2386" i="1" s="1"/>
  <c r="W2385" i="1"/>
  <c r="Q2385" i="1" s="1"/>
  <c r="V2386" i="1"/>
  <c r="V2385" i="1"/>
  <c r="G2382" i="1"/>
  <c r="P2382" i="1" s="1"/>
  <c r="Q2382" i="1" s="1"/>
  <c r="G2375" i="1"/>
  <c r="P2375" i="1" s="1"/>
  <c r="Q2375" i="1" s="1"/>
  <c r="G2366" i="1"/>
  <c r="P2366" i="1" s="1"/>
  <c r="Q2366" i="1" s="1"/>
  <c r="G2383" i="1"/>
  <c r="P2383" i="1" s="1"/>
  <c r="Q2383" i="1" s="1"/>
  <c r="W2369" i="1"/>
  <c r="Q2369" i="1" s="1"/>
  <c r="W2373" i="1"/>
  <c r="Q2373" i="1" s="1"/>
  <c r="W2368" i="1"/>
  <c r="Q2368" i="1" s="1"/>
  <c r="W2364" i="1"/>
  <c r="X2364" i="1" s="1"/>
  <c r="W2363" i="1"/>
  <c r="Q2363" i="1" s="1"/>
  <c r="W2362" i="1"/>
  <c r="Q2362" i="1" s="1"/>
  <c r="W2361" i="1"/>
  <c r="Q2361" i="1" s="1"/>
  <c r="G2364" i="1"/>
  <c r="P2364" i="1" s="1"/>
  <c r="Q2364" i="1" s="1"/>
  <c r="G2360" i="1"/>
  <c r="P2360" i="1" s="1"/>
  <c r="Q2360" i="1" s="1"/>
  <c r="G2359" i="1"/>
  <c r="P2359" i="1" s="1"/>
  <c r="Q2359" i="1" s="1"/>
  <c r="W2354" i="1"/>
  <c r="Q2354" i="1" s="1"/>
  <c r="V990" i="1"/>
  <c r="V988" i="1"/>
  <c r="V987" i="1"/>
  <c r="Q2440" i="1" l="1"/>
  <c r="Q2498" i="1"/>
  <c r="Q2418" i="1"/>
  <c r="AB2907" i="1"/>
  <c r="AE2907" i="1"/>
  <c r="AD2907" i="1"/>
  <c r="AC2906" i="1"/>
  <c r="AD2906" i="1"/>
  <c r="AB2906" i="1"/>
  <c r="X2501" i="1"/>
  <c r="X2418" i="1"/>
  <c r="X2478" i="1"/>
  <c r="AB2428" i="1"/>
  <c r="AC2428" i="1"/>
  <c r="AD2428" i="1"/>
  <c r="AE2428" i="1"/>
  <c r="X988" i="1"/>
  <c r="AE988" i="1" s="1"/>
  <c r="AA988" i="1"/>
  <c r="X2363" i="1"/>
  <c r="AA2382" i="1"/>
  <c r="Y2382" i="1"/>
  <c r="Z2382" i="1"/>
  <c r="X2390" i="1"/>
  <c r="AE2390" i="1" s="1"/>
  <c r="AA2390" i="1"/>
  <c r="X2442" i="1"/>
  <c r="X2479" i="1"/>
  <c r="Y2490" i="1"/>
  <c r="Z2490" i="1"/>
  <c r="AA2490" i="1"/>
  <c r="Y2499" i="1"/>
  <c r="Z2499" i="1"/>
  <c r="AA2499" i="1"/>
  <c r="Y2502" i="1"/>
  <c r="Z2502" i="1"/>
  <c r="AA2502" i="1"/>
  <c r="X2414" i="1"/>
  <c r="X2362" i="1"/>
  <c r="AC2884" i="1"/>
  <c r="AD2884" i="1"/>
  <c r="AE2884" i="1"/>
  <c r="AB2884" i="1"/>
  <c r="X990" i="1"/>
  <c r="AE990" i="1" s="1"/>
  <c r="AA990" i="1"/>
  <c r="X2385" i="1"/>
  <c r="AA2385" i="1"/>
  <c r="X2391" i="1"/>
  <c r="AE2391" i="1" s="1"/>
  <c r="AA2391" i="1"/>
  <c r="X2443" i="1"/>
  <c r="Y2492" i="1"/>
  <c r="Z2492" i="1"/>
  <c r="AA2492" i="1"/>
  <c r="Y2497" i="1"/>
  <c r="Z2497" i="1"/>
  <c r="AA2497" i="1"/>
  <c r="Y2500" i="1"/>
  <c r="Z2500" i="1"/>
  <c r="AA2500" i="1"/>
  <c r="X2416" i="1"/>
  <c r="AC2885" i="1"/>
  <c r="AD2885" i="1"/>
  <c r="AE2885" i="1"/>
  <c r="AB2885" i="1"/>
  <c r="AC2946" i="1"/>
  <c r="AD2946" i="1"/>
  <c r="AE2946" i="1"/>
  <c r="AB2946" i="1"/>
  <c r="AB2431" i="1"/>
  <c r="AC2431" i="1"/>
  <c r="AD2431" i="1"/>
  <c r="AE2431" i="1"/>
  <c r="AC2877" i="1"/>
  <c r="AD2877" i="1"/>
  <c r="AE2877" i="1"/>
  <c r="AB2877" i="1"/>
  <c r="AC2890" i="1"/>
  <c r="AD2890" i="1"/>
  <c r="AE2890" i="1"/>
  <c r="AB2890" i="1"/>
  <c r="AC2945" i="1"/>
  <c r="AD2945" i="1"/>
  <c r="AE2945" i="1"/>
  <c r="AB2945" i="1"/>
  <c r="X987" i="1"/>
  <c r="AE987" i="1" s="1"/>
  <c r="AA987" i="1"/>
  <c r="Y2488" i="1"/>
  <c r="Z2488" i="1"/>
  <c r="AA2488" i="1"/>
  <c r="AC2878" i="1"/>
  <c r="AD2878" i="1"/>
  <c r="AE2878" i="1"/>
  <c r="AB2878" i="1"/>
  <c r="X2354" i="1"/>
  <c r="X2368" i="1"/>
  <c r="X2386" i="1"/>
  <c r="AE2386" i="1" s="1"/>
  <c r="AA2386" i="1"/>
  <c r="X2392" i="1"/>
  <c r="AE2392" i="1" s="1"/>
  <c r="AA2392" i="1"/>
  <c r="X2472" i="1"/>
  <c r="AA2477" i="1"/>
  <c r="Y2477" i="1"/>
  <c r="Z2477" i="1"/>
  <c r="Y2491" i="1"/>
  <c r="Z2491" i="1"/>
  <c r="AA2491" i="1"/>
  <c r="X2497" i="1"/>
  <c r="X2500" i="1"/>
  <c r="X2417" i="1"/>
  <c r="AE2417" i="1" s="1"/>
  <c r="AA2417" i="1"/>
  <c r="AA2388" i="1"/>
  <c r="Y2388" i="1"/>
  <c r="Z2388" i="1"/>
  <c r="AA2359" i="1"/>
  <c r="Y2359" i="1"/>
  <c r="Z2359" i="1"/>
  <c r="X2373" i="1"/>
  <c r="X2393" i="1"/>
  <c r="AE2393" i="1" s="1"/>
  <c r="AA2393" i="1"/>
  <c r="AB2417" i="1"/>
  <c r="AC2417" i="1"/>
  <c r="AD2417" i="1"/>
  <c r="X2435" i="1"/>
  <c r="AC2943" i="1"/>
  <c r="AD2943" i="1"/>
  <c r="AE2943" i="1"/>
  <c r="AB2943" i="1"/>
  <c r="AC2887" i="1"/>
  <c r="AD2887" i="1"/>
  <c r="AE2887" i="1"/>
  <c r="AB2887" i="1"/>
  <c r="AC2873" i="1"/>
  <c r="AD2873" i="1"/>
  <c r="AE2873" i="1"/>
  <c r="AB2873" i="1"/>
  <c r="AB2385" i="1"/>
  <c r="AC2385" i="1"/>
  <c r="AD2385" i="1"/>
  <c r="AE2385" i="1"/>
  <c r="X2473" i="1"/>
  <c r="Y2493" i="1"/>
  <c r="Z2493" i="1"/>
  <c r="AA2493" i="1"/>
  <c r="Y2498" i="1"/>
  <c r="Z2498" i="1"/>
  <c r="AA2498" i="1"/>
  <c r="AA2360" i="1"/>
  <c r="Y2360" i="1"/>
  <c r="Z2360" i="1"/>
  <c r="X2369" i="1"/>
  <c r="AB2386" i="1"/>
  <c r="AC2386" i="1"/>
  <c r="AD2386" i="1"/>
  <c r="X2394" i="1"/>
  <c r="AE2394" i="1" s="1"/>
  <c r="AA2394" i="1"/>
  <c r="X2474" i="1"/>
  <c r="X2481" i="1"/>
  <c r="Y2494" i="1"/>
  <c r="Z2494" i="1"/>
  <c r="AA2494" i="1"/>
  <c r="X2498" i="1"/>
  <c r="AA2418" i="1"/>
  <c r="Y2418" i="1"/>
  <c r="Z2418" i="1"/>
  <c r="X2436" i="1"/>
  <c r="X2413" i="1"/>
  <c r="X2395" i="1"/>
  <c r="AE2395" i="1" s="1"/>
  <c r="AA2395" i="1"/>
  <c r="Y2495" i="1"/>
  <c r="Z2495" i="1"/>
  <c r="AA2495" i="1"/>
  <c r="AC2874" i="1"/>
  <c r="AD2874" i="1"/>
  <c r="AE2874" i="1"/>
  <c r="AB2874" i="1"/>
  <c r="AC2909" i="1"/>
  <c r="AD2909" i="1"/>
  <c r="AE2909" i="1"/>
  <c r="AB2909" i="1"/>
  <c r="AC2880" i="1"/>
  <c r="AD2880" i="1"/>
  <c r="AE2880" i="1"/>
  <c r="AB2880" i="1"/>
  <c r="AB2389" i="1"/>
  <c r="AC2389" i="1"/>
  <c r="AD2389" i="1"/>
  <c r="Y2501" i="1"/>
  <c r="Z2501" i="1"/>
  <c r="AA2501" i="1"/>
  <c r="AA2364" i="1"/>
  <c r="Y2364" i="1"/>
  <c r="Z2364" i="1"/>
  <c r="X2475" i="1"/>
  <c r="X2484" i="1"/>
  <c r="X2361" i="1"/>
  <c r="X2389" i="1"/>
  <c r="AE2389" i="1" s="1"/>
  <c r="AA2389" i="1"/>
  <c r="X2476" i="1"/>
  <c r="X2486" i="1"/>
  <c r="X2495" i="1"/>
  <c r="X2412" i="1"/>
  <c r="AA2440" i="1"/>
  <c r="Y2440" i="1"/>
  <c r="Z2440" i="1"/>
  <c r="R2692" i="1"/>
  <c r="U2692" i="1"/>
  <c r="V2692" i="1"/>
  <c r="W2692" i="1"/>
  <c r="O2692" i="1"/>
  <c r="P2692" i="1" s="1"/>
  <c r="Q2692" i="1" s="1"/>
  <c r="O2694" i="1"/>
  <c r="P2694" i="1" s="1"/>
  <c r="Q2694" i="1" s="1"/>
  <c r="O2693" i="1"/>
  <c r="P2693" i="1" s="1"/>
  <c r="Q2693" i="1" s="1"/>
  <c r="G2694" i="1"/>
  <c r="AB2373" i="1" l="1"/>
  <c r="AC2373" i="1"/>
  <c r="AD2373" i="1"/>
  <c r="AE2373" i="1"/>
  <c r="AC2499" i="1"/>
  <c r="AB2499" i="1"/>
  <c r="AD2499" i="1"/>
  <c r="AE2499" i="1"/>
  <c r="AB2361" i="1"/>
  <c r="AC2361" i="1"/>
  <c r="AD2361" i="1"/>
  <c r="AE2361" i="1"/>
  <c r="AB2418" i="1"/>
  <c r="AC2418" i="1"/>
  <c r="AD2418" i="1"/>
  <c r="AE2418" i="1"/>
  <c r="AC2497" i="1"/>
  <c r="AE2497" i="1"/>
  <c r="AB2497" i="1"/>
  <c r="AD2497" i="1"/>
  <c r="AC2481" i="1"/>
  <c r="AE2481" i="1"/>
  <c r="AB2481" i="1"/>
  <c r="AD2481" i="1"/>
  <c r="AC2498" i="1"/>
  <c r="AB2498" i="1"/>
  <c r="AD2498" i="1"/>
  <c r="AE2498" i="1"/>
  <c r="AC2473" i="1"/>
  <c r="AB2473" i="1"/>
  <c r="AD2473" i="1"/>
  <c r="AE2473" i="1"/>
  <c r="AB2359" i="1"/>
  <c r="AC2359" i="1"/>
  <c r="AD2359" i="1"/>
  <c r="AE2359" i="1"/>
  <c r="AC2477" i="1"/>
  <c r="AB2477" i="1"/>
  <c r="AD2477" i="1"/>
  <c r="AE2477" i="1"/>
  <c r="AB2416" i="1"/>
  <c r="AC2416" i="1"/>
  <c r="AD2416" i="1"/>
  <c r="AE2416" i="1"/>
  <c r="AB2414" i="1"/>
  <c r="AC2414" i="1"/>
  <c r="AD2414" i="1"/>
  <c r="AE2414" i="1"/>
  <c r="AB2442" i="1"/>
  <c r="AC2442" i="1"/>
  <c r="AD2442" i="1"/>
  <c r="AE2442" i="1"/>
  <c r="AB2363" i="1"/>
  <c r="AC2363" i="1"/>
  <c r="AD2363" i="1"/>
  <c r="AE2363" i="1"/>
  <c r="Y2693" i="1"/>
  <c r="AA2693" i="1"/>
  <c r="Z2693" i="1"/>
  <c r="Y2692" i="1"/>
  <c r="AA2692" i="1"/>
  <c r="Z2692" i="1"/>
  <c r="AC2484" i="1"/>
  <c r="AB2484" i="1"/>
  <c r="AD2484" i="1"/>
  <c r="AE2484" i="1"/>
  <c r="AB2364" i="1"/>
  <c r="AC2364" i="1"/>
  <c r="AD2364" i="1"/>
  <c r="AE2364" i="1"/>
  <c r="AC2495" i="1"/>
  <c r="AB2495" i="1"/>
  <c r="AD2495" i="1"/>
  <c r="AE2495" i="1"/>
  <c r="AB2440" i="1"/>
  <c r="AC2440" i="1"/>
  <c r="AD2440" i="1"/>
  <c r="AE2440" i="1"/>
  <c r="AB2412" i="1"/>
  <c r="AC2412" i="1"/>
  <c r="AD2412" i="1"/>
  <c r="AE2412" i="1"/>
  <c r="AC2474" i="1"/>
  <c r="AB2474" i="1"/>
  <c r="AD2474" i="1"/>
  <c r="AE2474" i="1"/>
  <c r="AB2369" i="1"/>
  <c r="AC2369" i="1"/>
  <c r="AD2369" i="1"/>
  <c r="AE2369" i="1"/>
  <c r="AB2368" i="1"/>
  <c r="AC2368" i="1"/>
  <c r="AD2368" i="1"/>
  <c r="AE2368" i="1"/>
  <c r="AC2500" i="1"/>
  <c r="AB2500" i="1"/>
  <c r="AD2500" i="1"/>
  <c r="AE2500" i="1"/>
  <c r="AC2492" i="1"/>
  <c r="AB2492" i="1"/>
  <c r="AD2492" i="1"/>
  <c r="AE2492" i="1"/>
  <c r="AB2362" i="1"/>
  <c r="AC2362" i="1"/>
  <c r="AD2362" i="1"/>
  <c r="AE2362" i="1"/>
  <c r="AC2502" i="1"/>
  <c r="AB2502" i="1"/>
  <c r="AD2502" i="1"/>
  <c r="AE2502" i="1"/>
  <c r="AC2490" i="1"/>
  <c r="AB2490" i="1"/>
  <c r="AD2490" i="1"/>
  <c r="AE2490" i="1"/>
  <c r="AB2413" i="1"/>
  <c r="AC2413" i="1"/>
  <c r="AD2413" i="1"/>
  <c r="AE2413" i="1"/>
  <c r="AB2435" i="1"/>
  <c r="AC2435" i="1"/>
  <c r="AD2435" i="1"/>
  <c r="AE2435" i="1"/>
  <c r="AC2488" i="1"/>
  <c r="AB2488" i="1"/>
  <c r="AD2488" i="1"/>
  <c r="AE2488" i="1"/>
  <c r="AB2443" i="1"/>
  <c r="AC2443" i="1"/>
  <c r="AD2443" i="1"/>
  <c r="AE2443" i="1"/>
  <c r="AC2479" i="1"/>
  <c r="AB2479" i="1"/>
  <c r="AD2479" i="1"/>
  <c r="AE2479" i="1"/>
  <c r="AC2476" i="1"/>
  <c r="AB2476" i="1"/>
  <c r="AD2476" i="1"/>
  <c r="AE2476" i="1"/>
  <c r="X2692" i="1"/>
  <c r="AC2475" i="1"/>
  <c r="AD2475" i="1"/>
  <c r="AE2475" i="1"/>
  <c r="AB2475" i="1"/>
  <c r="AC2494" i="1"/>
  <c r="AB2494" i="1"/>
  <c r="AD2494" i="1"/>
  <c r="AE2494" i="1"/>
  <c r="AB2360" i="1"/>
  <c r="AC2360" i="1"/>
  <c r="AD2360" i="1"/>
  <c r="AE2360" i="1"/>
  <c r="AC2493" i="1"/>
  <c r="AE2493" i="1"/>
  <c r="AB2493" i="1"/>
  <c r="AD2493" i="1"/>
  <c r="AB2388" i="1"/>
  <c r="AC2388" i="1"/>
  <c r="AD2388" i="1"/>
  <c r="AE2388" i="1"/>
  <c r="AC2491" i="1"/>
  <c r="AB2491" i="1"/>
  <c r="AD2491" i="1"/>
  <c r="AE2491" i="1"/>
  <c r="AC2472" i="1"/>
  <c r="AB2472" i="1"/>
  <c r="AD2472" i="1"/>
  <c r="AE2472" i="1"/>
  <c r="AB2354" i="1"/>
  <c r="AC2354" i="1"/>
  <c r="AD2354" i="1"/>
  <c r="AE2354" i="1"/>
  <c r="AB2382" i="1"/>
  <c r="AC2382" i="1"/>
  <c r="AD2382" i="1"/>
  <c r="AE2382" i="1"/>
  <c r="AC2478" i="1"/>
  <c r="AE2478" i="1"/>
  <c r="AB2478" i="1"/>
  <c r="AD2478" i="1"/>
  <c r="AC2486" i="1"/>
  <c r="AB2486" i="1"/>
  <c r="AD2486" i="1"/>
  <c r="AE2486" i="1"/>
  <c r="AC2501" i="1"/>
  <c r="AE2501" i="1"/>
  <c r="AB2501" i="1"/>
  <c r="AD2501" i="1"/>
  <c r="AB2436" i="1"/>
  <c r="AC2436" i="1"/>
  <c r="AD2436" i="1"/>
  <c r="AE2436" i="1"/>
  <c r="O2696" i="1"/>
  <c r="P2696" i="1" s="1"/>
  <c r="Q2696" i="1" s="1"/>
  <c r="W2691" i="1"/>
  <c r="Q2691" i="1" s="1"/>
  <c r="W2690" i="1"/>
  <c r="Q2690" i="1" s="1"/>
  <c r="W2689" i="1"/>
  <c r="Q2689" i="1" s="1"/>
  <c r="W2686" i="1"/>
  <c r="Q2686" i="1" s="1"/>
  <c r="W2687" i="1"/>
  <c r="Q2687" i="1" s="1"/>
  <c r="W2688" i="1"/>
  <c r="Q2688" i="1" s="1"/>
  <c r="W2685" i="1"/>
  <c r="Q2685" i="1" s="1"/>
  <c r="W2683" i="1"/>
  <c r="Q2683" i="1" s="1"/>
  <c r="W2682" i="1"/>
  <c r="Q2682" i="1" s="1"/>
  <c r="X2686" i="1" l="1"/>
  <c r="X2689" i="1"/>
  <c r="X2688" i="1"/>
  <c r="X2687" i="1"/>
  <c r="X2690" i="1"/>
  <c r="AC2693" i="1"/>
  <c r="AE2693" i="1"/>
  <c r="AB2693" i="1"/>
  <c r="AD2693" i="1"/>
  <c r="X2682" i="1"/>
  <c r="X2683" i="1"/>
  <c r="X2691" i="1"/>
  <c r="Y2696" i="1"/>
  <c r="AA2696" i="1"/>
  <c r="Z2696" i="1"/>
  <c r="X2685" i="1"/>
  <c r="AC2692" i="1"/>
  <c r="AE2692" i="1"/>
  <c r="AB2692" i="1"/>
  <c r="AD2692" i="1"/>
  <c r="Y2694" i="1"/>
  <c r="AA2694" i="1"/>
  <c r="Z2694" i="1"/>
  <c r="T2634" i="1"/>
  <c r="AD2634" i="1" s="1"/>
  <c r="G2633" i="1"/>
  <c r="P2633" i="1" s="1"/>
  <c r="Q2633" i="1" s="1"/>
  <c r="W2625" i="1"/>
  <c r="Q2625" i="1" s="1"/>
  <c r="G2630" i="1"/>
  <c r="P2630" i="1" s="1"/>
  <c r="Q2630" i="1" s="1"/>
  <c r="G2629" i="1"/>
  <c r="P2629" i="1" s="1"/>
  <c r="Q2629" i="1" s="1"/>
  <c r="O2626" i="1"/>
  <c r="P2626" i="1" s="1"/>
  <c r="Q2626" i="1" s="1"/>
  <c r="O2642" i="1"/>
  <c r="P2642" i="1" s="1"/>
  <c r="Q2642" i="1" s="1"/>
  <c r="W2659" i="1"/>
  <c r="Q2659" i="1" s="1"/>
  <c r="G2658" i="1"/>
  <c r="P2658" i="1" s="1"/>
  <c r="Q2658" i="1" s="1"/>
  <c r="G2656" i="1"/>
  <c r="P2656" i="1" s="1"/>
  <c r="Q2656" i="1" s="1"/>
  <c r="G2655" i="1"/>
  <c r="P2655" i="1" s="1"/>
  <c r="Q2655" i="1" s="1"/>
  <c r="W2651" i="1"/>
  <c r="Q2651" i="1" s="1"/>
  <c r="W2650" i="1"/>
  <c r="X2650" i="1" s="1"/>
  <c r="O2650" i="1"/>
  <c r="P2650" i="1" s="1"/>
  <c r="Q2650" i="1" s="1"/>
  <c r="G2652" i="1"/>
  <c r="P2652" i="1" s="1"/>
  <c r="Q2652" i="1" s="1"/>
  <c r="G2653" i="1"/>
  <c r="P2653" i="1" s="1"/>
  <c r="Q2653" i="1" s="1"/>
  <c r="G2649" i="1"/>
  <c r="P2649" i="1" s="1"/>
  <c r="Q2649" i="1" s="1"/>
  <c r="G2645" i="1"/>
  <c r="P2645" i="1" s="1"/>
  <c r="Q2645" i="1" s="1"/>
  <c r="G2648" i="1"/>
  <c r="P2648" i="1" s="1"/>
  <c r="Q2648" i="1" s="1"/>
  <c r="G2647" i="1"/>
  <c r="P2647" i="1" s="1"/>
  <c r="Q2647" i="1" s="1"/>
  <c r="G2646" i="1"/>
  <c r="P2646" i="1" s="1"/>
  <c r="Q2646" i="1" s="1"/>
  <c r="G2643" i="1"/>
  <c r="O2643" i="1"/>
  <c r="P2643" i="1" s="1"/>
  <c r="Q2643" i="1" s="1"/>
  <c r="Y2643" i="1" l="1"/>
  <c r="Y2650" i="1"/>
  <c r="AA2650" i="1"/>
  <c r="Z2650" i="1"/>
  <c r="Y2646" i="1"/>
  <c r="AA2646" i="1"/>
  <c r="Z2646" i="1"/>
  <c r="Y2629" i="1"/>
  <c r="Z2629" i="1"/>
  <c r="AA2629" i="1"/>
  <c r="AC2696" i="1"/>
  <c r="AE2696" i="1"/>
  <c r="AB2696" i="1"/>
  <c r="AD2696" i="1"/>
  <c r="Y2647" i="1"/>
  <c r="AA2647" i="1"/>
  <c r="Z2647" i="1"/>
  <c r="X2651" i="1"/>
  <c r="Y2630" i="1"/>
  <c r="Z2630" i="1"/>
  <c r="AA2630" i="1"/>
  <c r="AC2688" i="1"/>
  <c r="AE2688" i="1"/>
  <c r="AB2688" i="1"/>
  <c r="AD2688" i="1"/>
  <c r="Y2626" i="1"/>
  <c r="Z2626" i="1"/>
  <c r="AA2626" i="1"/>
  <c r="Y2655" i="1"/>
  <c r="AA2655" i="1"/>
  <c r="Z2655" i="1"/>
  <c r="Y2645" i="1"/>
  <c r="AA2645" i="1"/>
  <c r="Z2645" i="1"/>
  <c r="Y2633" i="1"/>
  <c r="Z2633" i="1"/>
  <c r="AA2633" i="1"/>
  <c r="AC2691" i="1"/>
  <c r="AE2691" i="1"/>
  <c r="AB2691" i="1"/>
  <c r="AD2691" i="1"/>
  <c r="AC2689" i="1"/>
  <c r="AE2689" i="1"/>
  <c r="AB2689" i="1"/>
  <c r="AD2689" i="1"/>
  <c r="Y2652" i="1"/>
  <c r="AA2652" i="1"/>
  <c r="Z2652" i="1"/>
  <c r="AC2682" i="1"/>
  <c r="AE2682" i="1"/>
  <c r="AB2682" i="1"/>
  <c r="AD2682" i="1"/>
  <c r="AC2687" i="1"/>
  <c r="AE2687" i="1"/>
  <c r="AB2687" i="1"/>
  <c r="AD2687" i="1"/>
  <c r="X2625" i="1"/>
  <c r="Y2649" i="1"/>
  <c r="AA2649" i="1"/>
  <c r="Z2649" i="1"/>
  <c r="Y2642" i="1"/>
  <c r="AA2642" i="1"/>
  <c r="Z2642" i="1"/>
  <c r="Y2648" i="1"/>
  <c r="AA2648" i="1"/>
  <c r="Z2648" i="1"/>
  <c r="Y2656" i="1"/>
  <c r="AA2656" i="1"/>
  <c r="Z2656" i="1"/>
  <c r="Y2658" i="1"/>
  <c r="AA2658" i="1"/>
  <c r="Z2658" i="1"/>
  <c r="Y2653" i="1"/>
  <c r="AA2653" i="1"/>
  <c r="Z2653" i="1"/>
  <c r="X2659" i="1"/>
  <c r="AC2694" i="1"/>
  <c r="AE2694" i="1"/>
  <c r="AB2694" i="1"/>
  <c r="AD2694" i="1"/>
  <c r="AC2685" i="1"/>
  <c r="AE2685" i="1"/>
  <c r="AB2685" i="1"/>
  <c r="AD2685" i="1"/>
  <c r="AC2683" i="1"/>
  <c r="AE2683" i="1"/>
  <c r="AB2683" i="1"/>
  <c r="AD2683" i="1"/>
  <c r="AC2690" i="1"/>
  <c r="AE2690" i="1"/>
  <c r="AB2690" i="1"/>
  <c r="AD2690" i="1"/>
  <c r="AC2686" i="1"/>
  <c r="AE2686" i="1"/>
  <c r="AB2686" i="1"/>
  <c r="AD2686" i="1"/>
  <c r="M1950" i="1"/>
  <c r="O1950" i="1" s="1"/>
  <c r="G1950" i="1"/>
  <c r="G1951" i="1"/>
  <c r="P1951" i="1" s="1"/>
  <c r="Q1951" i="1" s="1"/>
  <c r="G1949" i="1"/>
  <c r="P1949" i="1" s="1"/>
  <c r="Q1949" i="1" s="1"/>
  <c r="W1947" i="1"/>
  <c r="Q1947" i="1" s="1"/>
  <c r="W1946" i="1"/>
  <c r="Q1946" i="1" s="1"/>
  <c r="W1944" i="1"/>
  <c r="Q1944" i="1" s="1"/>
  <c r="V1947" i="1"/>
  <c r="V1946" i="1"/>
  <c r="V1945" i="1"/>
  <c r="V1944" i="1"/>
  <c r="V1943" i="1"/>
  <c r="W1942" i="1"/>
  <c r="Q1942" i="1" s="1"/>
  <c r="V1942" i="1"/>
  <c r="V1941" i="1"/>
  <c r="G1940" i="1"/>
  <c r="P1940" i="1" s="1"/>
  <c r="Q1940" i="1" s="1"/>
  <c r="G1939" i="1"/>
  <c r="P1939" i="1" s="1"/>
  <c r="Q1939" i="1" s="1"/>
  <c r="G1938" i="1"/>
  <c r="P1938" i="1" s="1"/>
  <c r="Q1938" i="1" s="1"/>
  <c r="W1936" i="1"/>
  <c r="Q1936" i="1" s="1"/>
  <c r="G1932" i="1"/>
  <c r="P1932" i="1" s="1"/>
  <c r="Q1932" i="1" s="1"/>
  <c r="V1935" i="1"/>
  <c r="W1929" i="1"/>
  <c r="Q1929" i="1" s="1"/>
  <c r="W1922" i="1"/>
  <c r="Q1922" i="1" s="1"/>
  <c r="W1927" i="1"/>
  <c r="X1927" i="1" s="1"/>
  <c r="O1927" i="1"/>
  <c r="P1927" i="1" s="1"/>
  <c r="G1923" i="1"/>
  <c r="P1923" i="1" s="1"/>
  <c r="Q1923" i="1" s="1"/>
  <c r="W1917" i="1"/>
  <c r="Q1917" i="1" s="1"/>
  <c r="O1912" i="1"/>
  <c r="P1912" i="1" s="1"/>
  <c r="Q1912" i="1" s="1"/>
  <c r="O1910" i="1"/>
  <c r="G1910" i="1"/>
  <c r="O1909" i="1"/>
  <c r="G1909" i="1"/>
  <c r="G1915" i="1"/>
  <c r="P1915" i="1" s="1"/>
  <c r="Q1915" i="1" s="1"/>
  <c r="O2521" i="1"/>
  <c r="P2521" i="1" s="1"/>
  <c r="Q2521" i="1" s="1"/>
  <c r="W2520" i="1"/>
  <c r="Q2520" i="1" s="1"/>
  <c r="O2519" i="1"/>
  <c r="P2519" i="1" s="1"/>
  <c r="Q2519" i="1" s="1"/>
  <c r="W2518" i="1"/>
  <c r="Q2518" i="1" s="1"/>
  <c r="W2517" i="1"/>
  <c r="Q2517" i="1" s="1"/>
  <c r="W2513" i="1"/>
  <c r="Q2513" i="1" s="1"/>
  <c r="W2512" i="1"/>
  <c r="Q2512" i="1" s="1"/>
  <c r="W2510" i="1"/>
  <c r="Q2510" i="1" s="1"/>
  <c r="W2511" i="1"/>
  <c r="Q2511" i="1" s="1"/>
  <c r="V2508" i="1"/>
  <c r="W2508" i="1"/>
  <c r="Q2508" i="1" s="1"/>
  <c r="P1909" i="1" l="1"/>
  <c r="Q1909" i="1" s="1"/>
  <c r="P1910" i="1"/>
  <c r="Q1910" i="1" s="1"/>
  <c r="Q1927" i="1"/>
  <c r="P1950" i="1"/>
  <c r="Q1950" i="1" s="1"/>
  <c r="AA1909" i="1"/>
  <c r="AC2643" i="1"/>
  <c r="Z2643" i="1"/>
  <c r="AA2643" i="1"/>
  <c r="X2512" i="1"/>
  <c r="AC2642" i="1"/>
  <c r="AD2642" i="1"/>
  <c r="AE2642" i="1"/>
  <c r="AB2642" i="1"/>
  <c r="AC2629" i="1"/>
  <c r="AD2629" i="1"/>
  <c r="AE2629" i="1"/>
  <c r="AB2629" i="1"/>
  <c r="AA1915" i="1"/>
  <c r="Y1915" i="1"/>
  <c r="Z1915" i="1"/>
  <c r="X1946" i="1"/>
  <c r="AE1946" i="1" s="1"/>
  <c r="AA1946" i="1"/>
  <c r="X2510" i="1"/>
  <c r="X1936" i="1"/>
  <c r="AC2656" i="1"/>
  <c r="AE2656" i="1"/>
  <c r="AB2656" i="1"/>
  <c r="AD2656" i="1"/>
  <c r="AC2647" i="1"/>
  <c r="AD2647" i="1"/>
  <c r="AE2647" i="1"/>
  <c r="AB2647" i="1"/>
  <c r="AC2650" i="1"/>
  <c r="AD2650" i="1"/>
  <c r="AE2650" i="1"/>
  <c r="AB2650" i="1"/>
  <c r="X2513" i="1"/>
  <c r="AA1927" i="1"/>
  <c r="Y1927" i="1"/>
  <c r="Z1927" i="1"/>
  <c r="X1947" i="1"/>
  <c r="AE1947" i="1" s="1"/>
  <c r="AA1947" i="1"/>
  <c r="AC2652" i="1"/>
  <c r="AD2652" i="1"/>
  <c r="AE2652" i="1"/>
  <c r="AB2652" i="1"/>
  <c r="AC2645" i="1"/>
  <c r="AD2645" i="1"/>
  <c r="AE2645" i="1"/>
  <c r="AB2645" i="1"/>
  <c r="AC2626" i="1"/>
  <c r="AD2626" i="1"/>
  <c r="AE2626" i="1"/>
  <c r="AB2626" i="1"/>
  <c r="AC2630" i="1"/>
  <c r="AD2630" i="1"/>
  <c r="AE2630" i="1"/>
  <c r="AB2630" i="1"/>
  <c r="X2520" i="1"/>
  <c r="AC2625" i="1"/>
  <c r="AD2625" i="1"/>
  <c r="AE2625" i="1"/>
  <c r="AB2625" i="1"/>
  <c r="X1945" i="1"/>
  <c r="AE1945" i="1" s="1"/>
  <c r="AA1945" i="1"/>
  <c r="X1922" i="1"/>
  <c r="AC2508" i="1"/>
  <c r="AB2508" i="1"/>
  <c r="AD2508" i="1"/>
  <c r="AC1946" i="1"/>
  <c r="AD1946" i="1"/>
  <c r="AB1946" i="1"/>
  <c r="AC2658" i="1"/>
  <c r="AE2658" i="1"/>
  <c r="AB2658" i="1"/>
  <c r="AD2658" i="1"/>
  <c r="AC2648" i="1"/>
  <c r="AD2648" i="1"/>
  <c r="AE2648" i="1"/>
  <c r="AB2648" i="1"/>
  <c r="AC2649" i="1"/>
  <c r="AD2649" i="1"/>
  <c r="AE2649" i="1"/>
  <c r="AB2649" i="1"/>
  <c r="AC2646" i="1"/>
  <c r="AD2646" i="1"/>
  <c r="AE2646" i="1"/>
  <c r="AB2646" i="1"/>
  <c r="Y2521" i="1"/>
  <c r="Z2521" i="1"/>
  <c r="AA2521" i="1"/>
  <c r="AC2653" i="1"/>
  <c r="AD2653" i="1"/>
  <c r="AE2653" i="1"/>
  <c r="AB2653" i="1"/>
  <c r="X2516" i="1"/>
  <c r="AC1944" i="1"/>
  <c r="AD1944" i="1"/>
  <c r="AB1944" i="1"/>
  <c r="X1942" i="1"/>
  <c r="AE1942" i="1" s="1"/>
  <c r="AA1942" i="1"/>
  <c r="X2508" i="1"/>
  <c r="AE2508" i="1" s="1"/>
  <c r="AA2508" i="1"/>
  <c r="X2518" i="1"/>
  <c r="X1935" i="1"/>
  <c r="AE1935" i="1" s="1"/>
  <c r="AA1935" i="1"/>
  <c r="AC1942" i="1"/>
  <c r="AD1942" i="1"/>
  <c r="AB1942" i="1"/>
  <c r="AC1947" i="1"/>
  <c r="AD1947" i="1"/>
  <c r="AB1947" i="1"/>
  <c r="X1941" i="1"/>
  <c r="AE1941" i="1" s="1"/>
  <c r="AA1941" i="1"/>
  <c r="X2517" i="1"/>
  <c r="X1929" i="1"/>
  <c r="X2511" i="1"/>
  <c r="Y2519" i="1"/>
  <c r="Z2519" i="1"/>
  <c r="AA2519" i="1"/>
  <c r="AA1912" i="1"/>
  <c r="Y1912" i="1"/>
  <c r="Z1912" i="1"/>
  <c r="X1943" i="1"/>
  <c r="AE1943" i="1" s="1"/>
  <c r="AA1943" i="1"/>
  <c r="AC2659" i="1"/>
  <c r="AE2659" i="1"/>
  <c r="AB2659" i="1"/>
  <c r="AD2659" i="1"/>
  <c r="AC2633" i="1"/>
  <c r="AD2633" i="1"/>
  <c r="AE2633" i="1"/>
  <c r="AB2633" i="1"/>
  <c r="AC2655" i="1"/>
  <c r="AE2655" i="1"/>
  <c r="AB2655" i="1"/>
  <c r="AD2655" i="1"/>
  <c r="AC2651" i="1"/>
  <c r="AD2651" i="1"/>
  <c r="AE2651" i="1"/>
  <c r="AB2651" i="1"/>
  <c r="X1917" i="1"/>
  <c r="X1944" i="1"/>
  <c r="AE1944" i="1" s="1"/>
  <c r="AA1944" i="1"/>
  <c r="W2505" i="1"/>
  <c r="Q2505" i="1" s="1"/>
  <c r="W2504" i="1"/>
  <c r="Q2504" i="1" s="1"/>
  <c r="W2507" i="1"/>
  <c r="Q2507" i="1" s="1"/>
  <c r="T2573" i="1"/>
  <c r="AD2573" i="1" s="1"/>
  <c r="W2574" i="1"/>
  <c r="Q2574" i="1" s="1"/>
  <c r="V2615" i="1"/>
  <c r="AB2643" i="1" l="1"/>
  <c r="AD2643" i="1"/>
  <c r="AE2643" i="1"/>
  <c r="AD1909" i="1"/>
  <c r="Z1909" i="1"/>
  <c r="Y1909" i="1"/>
  <c r="X2504" i="1"/>
  <c r="X2505" i="1"/>
  <c r="AC2517" i="1"/>
  <c r="AE2517" i="1"/>
  <c r="AB2517" i="1"/>
  <c r="AD2517" i="1"/>
  <c r="AC1927" i="1"/>
  <c r="AD1927" i="1"/>
  <c r="AE1927" i="1"/>
  <c r="AB1927" i="1"/>
  <c r="AC2510" i="1"/>
  <c r="AB2510" i="1"/>
  <c r="AD2510" i="1"/>
  <c r="AE2510" i="1"/>
  <c r="AB1915" i="1"/>
  <c r="AC1915" i="1"/>
  <c r="AD1915" i="1"/>
  <c r="AE1915" i="1"/>
  <c r="AC1917" i="1"/>
  <c r="AD1917" i="1"/>
  <c r="AE1917" i="1"/>
  <c r="AB1917" i="1"/>
  <c r="AC2518" i="1"/>
  <c r="AB2518" i="1"/>
  <c r="AD2518" i="1"/>
  <c r="AE2518" i="1"/>
  <c r="AC2521" i="1"/>
  <c r="AE2521" i="1"/>
  <c r="AB2521" i="1"/>
  <c r="AD2521" i="1"/>
  <c r="AC1922" i="1"/>
  <c r="AD1922" i="1"/>
  <c r="AE1922" i="1"/>
  <c r="AB1922" i="1"/>
  <c r="AB1912" i="1"/>
  <c r="AC1912" i="1"/>
  <c r="AD1912" i="1"/>
  <c r="AE1912" i="1"/>
  <c r="AC2511" i="1"/>
  <c r="AB2511" i="1"/>
  <c r="AD2511" i="1"/>
  <c r="AE2511" i="1"/>
  <c r="X2574" i="1"/>
  <c r="AB2516" i="1"/>
  <c r="AE2516" i="1"/>
  <c r="AC2513" i="1"/>
  <c r="AE2513" i="1"/>
  <c r="AB2513" i="1"/>
  <c r="AD2513" i="1"/>
  <c r="X2615" i="1"/>
  <c r="AE2615" i="1" s="1"/>
  <c r="AA2615" i="1"/>
  <c r="AA1910" i="1"/>
  <c r="Y1910" i="1"/>
  <c r="Z1910" i="1"/>
  <c r="AC2512" i="1"/>
  <c r="AB2512" i="1"/>
  <c r="AD2512" i="1"/>
  <c r="AE2512" i="1"/>
  <c r="AC2519" i="1"/>
  <c r="AB2519" i="1"/>
  <c r="AD2519" i="1"/>
  <c r="AE2519" i="1"/>
  <c r="X2507" i="1"/>
  <c r="AC1929" i="1"/>
  <c r="AD1929" i="1"/>
  <c r="AE1929" i="1"/>
  <c r="AB1929" i="1"/>
  <c r="AC2520" i="1"/>
  <c r="AB2520" i="1"/>
  <c r="AD2520" i="1"/>
  <c r="AE2520" i="1"/>
  <c r="AC1936" i="1"/>
  <c r="AD1936" i="1"/>
  <c r="AE1936" i="1"/>
  <c r="AB1936" i="1"/>
  <c r="W2613" i="1"/>
  <c r="Q2613" i="1" s="1"/>
  <c r="W2612" i="1"/>
  <c r="Q2612" i="1" s="1"/>
  <c r="V2612" i="1"/>
  <c r="W2611" i="1"/>
  <c r="Q2611" i="1" s="1"/>
  <c r="U2617" i="1"/>
  <c r="R2617" i="1"/>
  <c r="W2617" i="1"/>
  <c r="V2617" i="1"/>
  <c r="O2617" i="1"/>
  <c r="P2617" i="1" s="1"/>
  <c r="O2616" i="1"/>
  <c r="P2616" i="1" s="1"/>
  <c r="Q2616" i="1" s="1"/>
  <c r="V2616" i="1"/>
  <c r="W2616" i="1"/>
  <c r="V2610" i="1"/>
  <c r="W2605" i="1"/>
  <c r="Q2605" i="1" s="1"/>
  <c r="Q2617" i="1" l="1"/>
  <c r="AE1909" i="1"/>
  <c r="AC1909" i="1"/>
  <c r="AB1909" i="1"/>
  <c r="AC2505" i="1"/>
  <c r="AE2505" i="1"/>
  <c r="AB2505" i="1"/>
  <c r="AD2505" i="1"/>
  <c r="X2610" i="1"/>
  <c r="AE2610" i="1" s="1"/>
  <c r="AA2610" i="1"/>
  <c r="AC2574" i="1"/>
  <c r="AD2574" i="1"/>
  <c r="AE2574" i="1"/>
  <c r="AB2574" i="1"/>
  <c r="X2616" i="1"/>
  <c r="X2612" i="1"/>
  <c r="AE2612" i="1" s="1"/>
  <c r="AA2612" i="1"/>
  <c r="X2611" i="1"/>
  <c r="AC2507" i="1"/>
  <c r="AB2507" i="1"/>
  <c r="AD2507" i="1"/>
  <c r="AE2507" i="1"/>
  <c r="AC2612" i="1"/>
  <c r="AD2612" i="1"/>
  <c r="AB2612" i="1"/>
  <c r="AB1910" i="1"/>
  <c r="AC1910" i="1"/>
  <c r="AD1910" i="1"/>
  <c r="AE1910" i="1"/>
  <c r="Y2616" i="1"/>
  <c r="Z2616" i="1"/>
  <c r="AA2616" i="1"/>
  <c r="X2605" i="1"/>
  <c r="Y2617" i="1"/>
  <c r="Z2617" i="1"/>
  <c r="AA2617" i="1"/>
  <c r="X2613" i="1"/>
  <c r="X2617" i="1"/>
  <c r="AC2504" i="1"/>
  <c r="AB2504" i="1"/>
  <c r="AD2504" i="1"/>
  <c r="AE2504" i="1"/>
  <c r="W2603" i="1"/>
  <c r="Q2603" i="1" s="1"/>
  <c r="G2598" i="1"/>
  <c r="P2598" i="1" s="1"/>
  <c r="Q2598" i="1" s="1"/>
  <c r="W2600" i="1"/>
  <c r="Q2600" i="1" s="1"/>
  <c r="W2599" i="1"/>
  <c r="Q2599" i="1" s="1"/>
  <c r="G2596" i="1"/>
  <c r="P2596" i="1" s="1"/>
  <c r="Q2596" i="1" s="1"/>
  <c r="G2593" i="1"/>
  <c r="P2593" i="1" s="1"/>
  <c r="Q2593" i="1" s="1"/>
  <c r="G2592" i="1"/>
  <c r="P2592" i="1" s="1"/>
  <c r="Q2592" i="1" s="1"/>
  <c r="G2591" i="1"/>
  <c r="P2591" i="1" s="1"/>
  <c r="Q2591" i="1" s="1"/>
  <c r="G2589" i="1"/>
  <c r="P2589" i="1" s="1"/>
  <c r="Q2589" i="1" s="1"/>
  <c r="G2588" i="1"/>
  <c r="P2588" i="1" s="1"/>
  <c r="Q2588" i="1" s="1"/>
  <c r="G2587" i="1"/>
  <c r="P2587" i="1" s="1"/>
  <c r="Q2587" i="1" s="1"/>
  <c r="G2585" i="1"/>
  <c r="P2585" i="1" s="1"/>
  <c r="Q2585" i="1" s="1"/>
  <c r="G2584" i="1"/>
  <c r="P2584" i="1" s="1"/>
  <c r="Q2584" i="1" s="1"/>
  <c r="G2583" i="1"/>
  <c r="P2583" i="1" s="1"/>
  <c r="Q2583" i="1" s="1"/>
  <c r="G2581" i="1"/>
  <c r="O2581" i="1"/>
  <c r="P2581" i="1" s="1"/>
  <c r="Q2581" i="1" s="1"/>
  <c r="W2579" i="1"/>
  <c r="Q2579" i="1" s="1"/>
  <c r="T2579" i="1"/>
  <c r="O179" i="1"/>
  <c r="P179" i="1" s="1"/>
  <c r="Q179" i="1" l="1"/>
  <c r="AA179" i="1"/>
  <c r="Z179" i="1"/>
  <c r="Y179" i="1"/>
  <c r="AC2605" i="1"/>
  <c r="AD2605" i="1"/>
  <c r="AE2605" i="1"/>
  <c r="AB2605" i="1"/>
  <c r="AC2616" i="1"/>
  <c r="AD2616" i="1"/>
  <c r="AE2616" i="1"/>
  <c r="AB2616" i="1"/>
  <c r="AC2611" i="1"/>
  <c r="AD2611" i="1"/>
  <c r="AE2611" i="1"/>
  <c r="AB2611" i="1"/>
  <c r="X2603" i="1"/>
  <c r="X2599" i="1"/>
  <c r="X2579" i="1"/>
  <c r="AC2617" i="1"/>
  <c r="AD2617" i="1"/>
  <c r="AE2617" i="1"/>
  <c r="AB2617" i="1"/>
  <c r="Y2587" i="1"/>
  <c r="Z2587" i="1"/>
  <c r="AA2587" i="1"/>
  <c r="X2600" i="1"/>
  <c r="AC2613" i="1"/>
  <c r="AD2613" i="1"/>
  <c r="AE2613" i="1"/>
  <c r="AB2613" i="1"/>
  <c r="V195" i="1"/>
  <c r="V201" i="1"/>
  <c r="AE179" i="1" l="1"/>
  <c r="AD179" i="1"/>
  <c r="AC179" i="1"/>
  <c r="AB179" i="1"/>
  <c r="AC2587" i="1"/>
  <c r="AD2587" i="1"/>
  <c r="AE2587" i="1"/>
  <c r="AB2587" i="1"/>
  <c r="AC2579" i="1"/>
  <c r="AD2579" i="1"/>
  <c r="AE2579" i="1"/>
  <c r="AB2579" i="1"/>
  <c r="AC2599" i="1"/>
  <c r="AD2599" i="1"/>
  <c r="AE2599" i="1"/>
  <c r="AB2599" i="1"/>
  <c r="AC2600" i="1"/>
  <c r="AD2600" i="1"/>
  <c r="AE2600" i="1"/>
  <c r="AB2600" i="1"/>
  <c r="AC2603" i="1"/>
  <c r="AD2603" i="1"/>
  <c r="AE2603" i="1"/>
  <c r="AB2603" i="1"/>
  <c r="M201" i="1"/>
  <c r="O201" i="1" s="1"/>
  <c r="P201" i="1" s="1"/>
  <c r="O2565" i="1"/>
  <c r="P2565" i="1" s="1"/>
  <c r="Q2565" i="1" s="1"/>
  <c r="V2561" i="1"/>
  <c r="V2562" i="1"/>
  <c r="O2560" i="1"/>
  <c r="P2560" i="1" s="1"/>
  <c r="Q2560" i="1" s="1"/>
  <c r="V2560" i="1"/>
  <c r="X2560" i="1" s="1"/>
  <c r="G2566" i="1"/>
  <c r="P2566" i="1" s="1"/>
  <c r="Q2566" i="1" s="1"/>
  <c r="O2559" i="1"/>
  <c r="G2559" i="1"/>
  <c r="G2558" i="1"/>
  <c r="P2558" i="1" s="1"/>
  <c r="Q2558" i="1" s="1"/>
  <c r="G2557" i="1"/>
  <c r="P2557" i="1" s="1"/>
  <c r="Q2557" i="1" s="1"/>
  <c r="G2556" i="1"/>
  <c r="P2556" i="1" s="1"/>
  <c r="Q2556" i="1" s="1"/>
  <c r="G2555" i="1"/>
  <c r="P2555" i="1" s="1"/>
  <c r="Q2555" i="1" s="1"/>
  <c r="G2554" i="1"/>
  <c r="P2554" i="1" s="1"/>
  <c r="Q2554" i="1" s="1"/>
  <c r="G2553" i="1"/>
  <c r="P2553" i="1" s="1"/>
  <c r="Q2553" i="1" s="1"/>
  <c r="G2552" i="1"/>
  <c r="P2552" i="1" s="1"/>
  <c r="Q2552" i="1" s="1"/>
  <c r="G2551" i="1"/>
  <c r="P2551" i="1" s="1"/>
  <c r="Q2551" i="1" s="1"/>
  <c r="V2547" i="1"/>
  <c r="X2547" i="1" s="1"/>
  <c r="O2547" i="1"/>
  <c r="P2547" i="1" s="1"/>
  <c r="Q2547" i="1" s="1"/>
  <c r="Q201" i="1" l="1"/>
  <c r="AA201" i="1"/>
  <c r="Z201" i="1"/>
  <c r="Y201" i="1"/>
  <c r="P2559" i="1"/>
  <c r="Q2559" i="1" s="1"/>
  <c r="Y2547" i="1"/>
  <c r="Z2547" i="1"/>
  <c r="AA2547" i="1"/>
  <c r="X2561" i="1"/>
  <c r="AE2561" i="1" s="1"/>
  <c r="AA2561" i="1"/>
  <c r="Y2565" i="1"/>
  <c r="Z2565" i="1"/>
  <c r="AA2565" i="1"/>
  <c r="Y2560" i="1"/>
  <c r="Z2560" i="1"/>
  <c r="AA2560" i="1"/>
  <c r="X2562" i="1"/>
  <c r="AE2562" i="1" s="1"/>
  <c r="AA2562" i="1"/>
  <c r="M878" i="1"/>
  <c r="O878" i="1" s="1"/>
  <c r="P878" i="1" s="1"/>
  <c r="Q878" i="1" s="1"/>
  <c r="V870" i="1"/>
  <c r="V866" i="1"/>
  <c r="V40" i="1"/>
  <c r="W70" i="1"/>
  <c r="Q70" i="1" s="1"/>
  <c r="S70" i="1"/>
  <c r="T70" i="1"/>
  <c r="V71" i="1"/>
  <c r="V74" i="1"/>
  <c r="V75" i="1"/>
  <c r="V83" i="1"/>
  <c r="V98" i="1"/>
  <c r="V101" i="1"/>
  <c r="V106" i="1"/>
  <c r="T118" i="1"/>
  <c r="W118" i="1"/>
  <c r="W129" i="1"/>
  <c r="Q129" i="1" s="1"/>
  <c r="T129" i="1"/>
  <c r="S129" i="1"/>
  <c r="V134" i="1"/>
  <c r="V155" i="1"/>
  <c r="V165" i="1"/>
  <c r="O142" i="1"/>
  <c r="P142" i="1" s="1"/>
  <c r="G142" i="1"/>
  <c r="V144" i="1"/>
  <c r="V141" i="1"/>
  <c r="V143" i="1"/>
  <c r="O152" i="1"/>
  <c r="P152" i="1" s="1"/>
  <c r="V152" i="1"/>
  <c r="G2291" i="1"/>
  <c r="P2291" i="1" s="1"/>
  <c r="Q2291" i="1" s="1"/>
  <c r="G2405" i="1"/>
  <c r="P2405" i="1" s="1"/>
  <c r="Q2405" i="1" s="1"/>
  <c r="G2408" i="1"/>
  <c r="P2408" i="1" s="1"/>
  <c r="Q2408" i="1" s="1"/>
  <c r="G2407" i="1"/>
  <c r="P2407" i="1" s="1"/>
  <c r="Q2407" i="1" s="1"/>
  <c r="G2406" i="1"/>
  <c r="P2406" i="1" s="1"/>
  <c r="Q2406" i="1" s="1"/>
  <c r="G2403" i="1"/>
  <c r="P2403" i="1" s="1"/>
  <c r="Q2403" i="1" s="1"/>
  <c r="G2402" i="1"/>
  <c r="P2402" i="1" s="1"/>
  <c r="Q2402" i="1" s="1"/>
  <c r="G2399" i="1"/>
  <c r="P2399" i="1" s="1"/>
  <c r="Q2399" i="1" s="1"/>
  <c r="G2398" i="1"/>
  <c r="P2398" i="1" s="1"/>
  <c r="Q2398" i="1" s="1"/>
  <c r="G2396" i="1"/>
  <c r="P2396" i="1" s="1"/>
  <c r="Q2396" i="1" s="1"/>
  <c r="G2397" i="1"/>
  <c r="P2397" i="1" s="1"/>
  <c r="Q2397" i="1" s="1"/>
  <c r="O2538" i="1"/>
  <c r="P2538" i="1" s="1"/>
  <c r="Q2538" i="1" s="1"/>
  <c r="V2540" i="1"/>
  <c r="O2537" i="1"/>
  <c r="P2537" i="1" s="1"/>
  <c r="Q2537" i="1" s="1"/>
  <c r="V2537" i="1"/>
  <c r="X2537" i="1" s="1"/>
  <c r="V2536" i="1"/>
  <c r="X2536" i="1" s="1"/>
  <c r="O2536" i="1"/>
  <c r="P2536" i="1" s="1"/>
  <c r="Q2536" i="1" s="1"/>
  <c r="O2535" i="1"/>
  <c r="P2535" i="1" s="1"/>
  <c r="Q2535" i="1" s="1"/>
  <c r="O2534" i="1"/>
  <c r="P2534" i="1" s="1"/>
  <c r="Q2534" i="1" s="1"/>
  <c r="V2535" i="1"/>
  <c r="X2535" i="1" s="1"/>
  <c r="V2534" i="1"/>
  <c r="X2534" i="1" s="1"/>
  <c r="Q152" i="1" l="1"/>
  <c r="AA152" i="1"/>
  <c r="Z152" i="1"/>
  <c r="Y152" i="1"/>
  <c r="AD70" i="1"/>
  <c r="AC70" i="1"/>
  <c r="AB70" i="1"/>
  <c r="AE70" i="1"/>
  <c r="AE129" i="1"/>
  <c r="AD129" i="1"/>
  <c r="AC129" i="1"/>
  <c r="AB129" i="1"/>
  <c r="Q142" i="1"/>
  <c r="AA142" i="1"/>
  <c r="Z142" i="1"/>
  <c r="Y142" i="1"/>
  <c r="AE201" i="1"/>
  <c r="AD201" i="1"/>
  <c r="AC201" i="1"/>
  <c r="AB201" i="1"/>
  <c r="Y2536" i="1"/>
  <c r="Z2536" i="1"/>
  <c r="AA2536" i="1"/>
  <c r="AA2291" i="1"/>
  <c r="Z2291" i="1"/>
  <c r="Y2291" i="1"/>
  <c r="Y2535" i="1"/>
  <c r="Z2535" i="1"/>
  <c r="AA2535" i="1"/>
  <c r="Y2537" i="1"/>
  <c r="Z2537" i="1"/>
  <c r="AA2537" i="1"/>
  <c r="X866" i="1"/>
  <c r="AE866" i="1" s="1"/>
  <c r="AA866" i="1"/>
  <c r="AC2547" i="1"/>
  <c r="AB2547" i="1"/>
  <c r="AD2547" i="1"/>
  <c r="AE2547" i="1"/>
  <c r="X2540" i="1"/>
  <c r="AE2540" i="1" s="1"/>
  <c r="AA2540" i="1"/>
  <c r="X870" i="1"/>
  <c r="AE870" i="1" s="1"/>
  <c r="AA870" i="1"/>
  <c r="AC2560" i="1"/>
  <c r="AD2560" i="1"/>
  <c r="AE2560" i="1"/>
  <c r="AB2560" i="1"/>
  <c r="AC2565" i="1"/>
  <c r="AD2565" i="1"/>
  <c r="AE2565" i="1"/>
  <c r="AB2565" i="1"/>
  <c r="Y878" i="1"/>
  <c r="AA878" i="1"/>
  <c r="Z878" i="1"/>
  <c r="Y2534" i="1"/>
  <c r="Z2534" i="1"/>
  <c r="AA2534" i="1"/>
  <c r="O2525" i="1"/>
  <c r="P2525" i="1" s="1"/>
  <c r="Q2525" i="1" s="1"/>
  <c r="O2522" i="1"/>
  <c r="P2522" i="1" s="1"/>
  <c r="Q2522" i="1" s="1"/>
  <c r="V2545" i="1"/>
  <c r="G1607" i="1"/>
  <c r="P1607" i="1" s="1"/>
  <c r="Q1607" i="1" s="1"/>
  <c r="T1596" i="1"/>
  <c r="V1598" i="1"/>
  <c r="V1597" i="1"/>
  <c r="X1597" i="1" s="1"/>
  <c r="O1597" i="1"/>
  <c r="P1597" i="1" s="1"/>
  <c r="Q1597" i="1" s="1"/>
  <c r="V1846" i="1"/>
  <c r="V1845" i="1"/>
  <c r="V1823" i="1"/>
  <c r="V1684" i="1"/>
  <c r="G1681" i="1"/>
  <c r="P1681" i="1" s="1"/>
  <c r="Q1681" i="1" s="1"/>
  <c r="V1678" i="1"/>
  <c r="V1677" i="1"/>
  <c r="V1694" i="1"/>
  <c r="V1687" i="1"/>
  <c r="V1686" i="1"/>
  <c r="AE142" i="1" l="1"/>
  <c r="AD142" i="1"/>
  <c r="AC142" i="1"/>
  <c r="AB142" i="1"/>
  <c r="AE152" i="1"/>
  <c r="AD152" i="1"/>
  <c r="AC152" i="1"/>
  <c r="AB152" i="1"/>
  <c r="X2545" i="1"/>
  <c r="AE2545" i="1" s="1"/>
  <c r="AA2545" i="1"/>
  <c r="AC2536" i="1"/>
  <c r="AB2536" i="1"/>
  <c r="AD2536" i="1"/>
  <c r="AE2536" i="1"/>
  <c r="X1686" i="1"/>
  <c r="AE1686" i="1" s="1"/>
  <c r="AA1686" i="1"/>
  <c r="AC878" i="1"/>
  <c r="AB878" i="1"/>
  <c r="AD878" i="1"/>
  <c r="AE878" i="1"/>
  <c r="X1823" i="1"/>
  <c r="AE1823" i="1" s="1"/>
  <c r="AA1823" i="1"/>
  <c r="AB2291" i="1"/>
  <c r="AC2291" i="1"/>
  <c r="AD2291" i="1"/>
  <c r="AE2291" i="1"/>
  <c r="X1845" i="1"/>
  <c r="AE1845" i="1" s="1"/>
  <c r="AA1845" i="1"/>
  <c r="Y2522" i="1"/>
  <c r="Z2522" i="1"/>
  <c r="AA2522" i="1"/>
  <c r="X1687" i="1"/>
  <c r="AE1687" i="1" s="1"/>
  <c r="AA1687" i="1"/>
  <c r="X1846" i="1"/>
  <c r="AE1846" i="1" s="1"/>
  <c r="AA1846" i="1"/>
  <c r="Y2525" i="1"/>
  <c r="Z2525" i="1"/>
  <c r="AA2525" i="1"/>
  <c r="AC2534" i="1"/>
  <c r="AB2534" i="1"/>
  <c r="AD2534" i="1"/>
  <c r="AE2534" i="1"/>
  <c r="AC2537" i="1"/>
  <c r="AE2537" i="1"/>
  <c r="AB2537" i="1"/>
  <c r="AD2537" i="1"/>
  <c r="AC2535" i="1"/>
  <c r="AB2535" i="1"/>
  <c r="AD2535" i="1"/>
  <c r="AE2535" i="1"/>
  <c r="Y1607" i="1"/>
  <c r="Z1607" i="1"/>
  <c r="AA1607" i="1"/>
  <c r="Y1597" i="1"/>
  <c r="Z1597" i="1"/>
  <c r="AA1597" i="1"/>
  <c r="X1677" i="1"/>
  <c r="AE1677" i="1" s="1"/>
  <c r="AA1677" i="1"/>
  <c r="X1684" i="1"/>
  <c r="AE1684" i="1" s="1"/>
  <c r="AA1684" i="1"/>
  <c r="X1694" i="1"/>
  <c r="AE1694" i="1" s="1"/>
  <c r="AA1694" i="1"/>
  <c r="X1678" i="1"/>
  <c r="AE1678" i="1" s="1"/>
  <c r="AA1678" i="1"/>
  <c r="X1598" i="1"/>
  <c r="AE1598" i="1" s="1"/>
  <c r="AA1598" i="1"/>
  <c r="Y1681" i="1"/>
  <c r="AA1681" i="1"/>
  <c r="Z1681" i="1"/>
  <c r="S1596" i="1"/>
  <c r="AC1596" i="1" s="1"/>
  <c r="AD1596" i="1"/>
  <c r="V1675" i="1"/>
  <c r="V1674" i="1"/>
  <c r="V1673" i="1"/>
  <c r="V1867" i="1"/>
  <c r="V1866" i="1"/>
  <c r="G1859" i="1"/>
  <c r="P1859" i="1" s="1"/>
  <c r="Q1859" i="1" s="1"/>
  <c r="V1851" i="1"/>
  <c r="O1850" i="1"/>
  <c r="P1850" i="1" s="1"/>
  <c r="Q1850" i="1" s="1"/>
  <c r="G1847" i="1"/>
  <c r="P1847" i="1" s="1"/>
  <c r="Q1847" i="1" s="1"/>
  <c r="G1813" i="1"/>
  <c r="P1813" i="1" s="1"/>
  <c r="Q1813" i="1" s="1"/>
  <c r="V1808" i="1"/>
  <c r="U1789" i="1"/>
  <c r="Z1789" i="1" s="1"/>
  <c r="V1785" i="1"/>
  <c r="AA1813" i="1" l="1"/>
  <c r="Y1813" i="1"/>
  <c r="Z1813" i="1"/>
  <c r="X1789" i="1"/>
  <c r="AE1789" i="1" s="1"/>
  <c r="AA1789" i="1"/>
  <c r="X1815" i="1"/>
  <c r="AE1815" i="1" s="1"/>
  <c r="AA1815" i="1"/>
  <c r="X1673" i="1"/>
  <c r="AE1673" i="1" s="1"/>
  <c r="AA1673" i="1"/>
  <c r="X1791" i="1"/>
  <c r="AE1791" i="1" s="1"/>
  <c r="AA1791" i="1"/>
  <c r="X1819" i="1"/>
  <c r="AE1819" i="1" s="1"/>
  <c r="AA1819" i="1"/>
  <c r="X1674" i="1"/>
  <c r="AE1674" i="1" s="1"/>
  <c r="AA1674" i="1"/>
  <c r="AC1681" i="1"/>
  <c r="AD1681" i="1"/>
  <c r="AE1681" i="1"/>
  <c r="AB1681" i="1"/>
  <c r="X1785" i="1"/>
  <c r="AE1785" i="1" s="1"/>
  <c r="AA1785" i="1"/>
  <c r="AC1597" i="1"/>
  <c r="AD1597" i="1"/>
  <c r="AE1597" i="1"/>
  <c r="AB1597" i="1"/>
  <c r="AC2525" i="1"/>
  <c r="AE2525" i="1"/>
  <c r="AB2525" i="1"/>
  <c r="AD2525" i="1"/>
  <c r="AC2522" i="1"/>
  <c r="AB2522" i="1"/>
  <c r="AD2522" i="1"/>
  <c r="AE2522" i="1"/>
  <c r="X1866" i="1"/>
  <c r="AE1866" i="1" s="1"/>
  <c r="AA1866" i="1"/>
  <c r="AC1607" i="1"/>
  <c r="AD1607" i="1"/>
  <c r="AE1607" i="1"/>
  <c r="AB1607" i="1"/>
  <c r="X1867" i="1"/>
  <c r="AE1867" i="1" s="1"/>
  <c r="AA1867" i="1"/>
  <c r="AA1847" i="1"/>
  <c r="Y1847" i="1"/>
  <c r="Z1847" i="1"/>
  <c r="AA1850" i="1"/>
  <c r="Y1850" i="1"/>
  <c r="Z1850" i="1"/>
  <c r="X1851" i="1"/>
  <c r="AE1851" i="1" s="1"/>
  <c r="AA1851" i="1"/>
  <c r="X1808" i="1"/>
  <c r="AE1808" i="1" s="1"/>
  <c r="AA1808" i="1"/>
  <c r="X1675" i="1"/>
  <c r="AE1675" i="1" s="1"/>
  <c r="AA1675" i="1"/>
  <c r="X1793" i="1"/>
  <c r="AE1793" i="1" s="1"/>
  <c r="AA1793" i="1"/>
  <c r="X1800" i="1"/>
  <c r="AE1800" i="1" s="1"/>
  <c r="AA1800" i="1"/>
  <c r="X1804" i="1"/>
  <c r="AE1804" i="1" s="1"/>
  <c r="AA1804" i="1"/>
  <c r="AA1859" i="1"/>
  <c r="Y1859" i="1"/>
  <c r="Z1859" i="1"/>
  <c r="U1782" i="1"/>
  <c r="Z1782" i="1" s="1"/>
  <c r="R1782" i="1"/>
  <c r="V1782" i="1"/>
  <c r="U1781" i="1"/>
  <c r="Z1781" i="1" s="1"/>
  <c r="R1781" i="1"/>
  <c r="V1781" i="1"/>
  <c r="AB1859" i="1" l="1"/>
  <c r="AC1859" i="1"/>
  <c r="AD1859" i="1"/>
  <c r="AE1859" i="1"/>
  <c r="AB1847" i="1"/>
  <c r="AC1847" i="1"/>
  <c r="AD1847" i="1"/>
  <c r="AE1847" i="1"/>
  <c r="X1781" i="1"/>
  <c r="AE1781" i="1" s="1"/>
  <c r="AA1781" i="1"/>
  <c r="AB1813" i="1"/>
  <c r="AC1813" i="1"/>
  <c r="AD1813" i="1"/>
  <c r="AE1813" i="1"/>
  <c r="Y1782" i="1"/>
  <c r="AB1782" i="1"/>
  <c r="Y1781" i="1"/>
  <c r="AB1781" i="1"/>
  <c r="AB1850" i="1"/>
  <c r="AC1850" i="1"/>
  <c r="AD1850" i="1"/>
  <c r="AE1850" i="1"/>
  <c r="X1782" i="1"/>
  <c r="AE1782" i="1" s="1"/>
  <c r="AA1782" i="1"/>
  <c r="V1762" i="1"/>
  <c r="V1761" i="1"/>
  <c r="V1760" i="1"/>
  <c r="V1759" i="1"/>
  <c r="V1746" i="1"/>
  <c r="V1743" i="1"/>
  <c r="X1743" i="1" s="1"/>
  <c r="V1752" i="1"/>
  <c r="V1751" i="1"/>
  <c r="X1751" i="1" s="1"/>
  <c r="V1742" i="1"/>
  <c r="G1751" i="1"/>
  <c r="P1751" i="1" s="1"/>
  <c r="Q1751" i="1" s="1"/>
  <c r="V1757" i="1"/>
  <c r="V1756" i="1"/>
  <c r="V1755" i="1"/>
  <c r="V1754" i="1"/>
  <c r="V1753" i="1"/>
  <c r="V1750" i="1"/>
  <c r="V1749" i="1"/>
  <c r="V1748" i="1"/>
  <c r="V1745" i="1"/>
  <c r="V1744" i="1"/>
  <c r="G1740" i="1"/>
  <c r="P1740" i="1" s="1"/>
  <c r="Q1740" i="1" s="1"/>
  <c r="G1739" i="1"/>
  <c r="P1739" i="1" s="1"/>
  <c r="Q1739" i="1" s="1"/>
  <c r="V1738" i="1"/>
  <c r="O1736" i="1"/>
  <c r="P1736" i="1" s="1"/>
  <c r="Q1736" i="1" s="1"/>
  <c r="G1736" i="1"/>
  <c r="O1731" i="1"/>
  <c r="V1707" i="1"/>
  <c r="X1707" i="1" s="1"/>
  <c r="V1706" i="1"/>
  <c r="X1706" i="1" s="1"/>
  <c r="V1705" i="1"/>
  <c r="X1705" i="1" s="1"/>
  <c r="V1703" i="1"/>
  <c r="V1702" i="1"/>
  <c r="X1702" i="1" s="1"/>
  <c r="V1701" i="1"/>
  <c r="V1700" i="1"/>
  <c r="V1699" i="1"/>
  <c r="V1698" i="1"/>
  <c r="V1708" i="1"/>
  <c r="V1710" i="1"/>
  <c r="V1712" i="1"/>
  <c r="V1713" i="1"/>
  <c r="V1714" i="1"/>
  <c r="V1715" i="1"/>
  <c r="V1741" i="1"/>
  <c r="X1741" i="1" s="1"/>
  <c r="V1734" i="1"/>
  <c r="V1733" i="1"/>
  <c r="V1732" i="1"/>
  <c r="V1729" i="1"/>
  <c r="X1729" i="1" s="1"/>
  <c r="V1727" i="1"/>
  <c r="V1726" i="1"/>
  <c r="V1725" i="1"/>
  <c r="V1724" i="1"/>
  <c r="G1731" i="1"/>
  <c r="V1728" i="1"/>
  <c r="G1729" i="1"/>
  <c r="P1729" i="1" s="1"/>
  <c r="Q1729" i="1" s="1"/>
  <c r="M1715" i="1"/>
  <c r="V1716" i="1"/>
  <c r="G1704" i="1"/>
  <c r="P1704" i="1" s="1"/>
  <c r="Q1704" i="1" s="1"/>
  <c r="O1707" i="1"/>
  <c r="P1707" i="1" s="1"/>
  <c r="Q1707" i="1" s="1"/>
  <c r="O1706" i="1"/>
  <c r="P1706" i="1" s="1"/>
  <c r="Q1706" i="1" s="1"/>
  <c r="G1705" i="1"/>
  <c r="P1705" i="1" s="1"/>
  <c r="Q1705" i="1" s="1"/>
  <c r="G1702" i="1"/>
  <c r="P1702" i="1" s="1"/>
  <c r="Q1702" i="1" s="1"/>
  <c r="G2062" i="1"/>
  <c r="P2062" i="1" s="1"/>
  <c r="Q2062" i="1" s="1"/>
  <c r="G2056" i="1"/>
  <c r="P2056" i="1" s="1"/>
  <c r="Q2056" i="1" s="1"/>
  <c r="G2055" i="1"/>
  <c r="P2055" i="1" s="1"/>
  <c r="Q2055" i="1" s="1"/>
  <c r="G2054" i="1"/>
  <c r="P2054" i="1" s="1"/>
  <c r="Q2054" i="1" s="1"/>
  <c r="G2053" i="1"/>
  <c r="P2053" i="1" s="1"/>
  <c r="Q2053" i="1" s="1"/>
  <c r="G2052" i="1"/>
  <c r="P2052" i="1" s="1"/>
  <c r="Q2052" i="1" s="1"/>
  <c r="G2051" i="1"/>
  <c r="P2051" i="1" s="1"/>
  <c r="Q2051" i="1" s="1"/>
  <c r="G2050" i="1"/>
  <c r="P2050" i="1" s="1"/>
  <c r="Q2050" i="1" s="1"/>
  <c r="V2063" i="1"/>
  <c r="G2039" i="1"/>
  <c r="P2039" i="1" s="1"/>
  <c r="Q2039" i="1" s="1"/>
  <c r="V3496" i="1"/>
  <c r="V2292" i="1"/>
  <c r="X2292" i="1" s="1"/>
  <c r="V2254" i="1"/>
  <c r="V2253" i="1"/>
  <c r="V2065" i="1"/>
  <c r="V2033" i="1"/>
  <c r="V2032" i="1"/>
  <c r="V2029" i="1"/>
  <c r="G2028" i="1"/>
  <c r="P2028" i="1" s="1"/>
  <c r="Q2028" i="1" s="1"/>
  <c r="V2024" i="1"/>
  <c r="V3500" i="1"/>
  <c r="V3499" i="1"/>
  <c r="G3497" i="1"/>
  <c r="P3497" i="1" s="1"/>
  <c r="Q3497" i="1" s="1"/>
  <c r="G2292" i="1"/>
  <c r="P2292" i="1" s="1"/>
  <c r="Q2292" i="1" s="1"/>
  <c r="G2288" i="1"/>
  <c r="O2288" i="1"/>
  <c r="P2288" i="1" s="1"/>
  <c r="Q2288" i="1" s="1"/>
  <c r="G2287" i="1"/>
  <c r="P2287" i="1" s="1"/>
  <c r="Q2287" i="1" s="1"/>
  <c r="G2286" i="1"/>
  <c r="P2286" i="1" s="1"/>
  <c r="Q2286" i="1" s="1"/>
  <c r="O2285" i="1"/>
  <c r="P2285" i="1" s="1"/>
  <c r="Q2285" i="1" s="1"/>
  <c r="G2284" i="1"/>
  <c r="P2284" i="1" s="1"/>
  <c r="Q2284" i="1" s="1"/>
  <c r="G2283" i="1"/>
  <c r="O2283" i="1"/>
  <c r="P2283" i="1" s="1"/>
  <c r="Q2283" i="1" s="1"/>
  <c r="O2282" i="1"/>
  <c r="G2282" i="1"/>
  <c r="G2267" i="1"/>
  <c r="G2281" i="1"/>
  <c r="P2281" i="1" s="1"/>
  <c r="Q2281" i="1" s="1"/>
  <c r="G2280" i="1"/>
  <c r="P2280" i="1" s="1"/>
  <c r="Q2280" i="1" s="1"/>
  <c r="G2258" i="1"/>
  <c r="P2258" i="1" s="1"/>
  <c r="Q2258" i="1" s="1"/>
  <c r="G2279" i="1"/>
  <c r="P2279" i="1" s="1"/>
  <c r="Q2279" i="1" s="1"/>
  <c r="G2276" i="1"/>
  <c r="P2276" i="1" s="1"/>
  <c r="Q2276" i="1" s="1"/>
  <c r="G2275" i="1"/>
  <c r="P2275" i="1" s="1"/>
  <c r="Q2275" i="1" s="1"/>
  <c r="G2278" i="1"/>
  <c r="P2278" i="1" s="1"/>
  <c r="Q2278" i="1" s="1"/>
  <c r="G2277" i="1"/>
  <c r="P2277" i="1" s="1"/>
  <c r="Q2277" i="1" s="1"/>
  <c r="G2274" i="1"/>
  <c r="P2274" i="1" s="1"/>
  <c r="Q2274" i="1" s="1"/>
  <c r="O2270" i="1"/>
  <c r="P2270" i="1" s="1"/>
  <c r="Q2270" i="1" s="1"/>
  <c r="G2264" i="1"/>
  <c r="G2265" i="1"/>
  <c r="G2266" i="1"/>
  <c r="G2263" i="1"/>
  <c r="P2263" i="1" s="1"/>
  <c r="Q2263" i="1" s="1"/>
  <c r="O2267" i="1"/>
  <c r="O2266" i="1"/>
  <c r="P2266" i="1" s="1"/>
  <c r="Q2266" i="1" s="1"/>
  <c r="O2265" i="1"/>
  <c r="P2265" i="1" s="1"/>
  <c r="Q2265" i="1" s="1"/>
  <c r="O2264" i="1"/>
  <c r="G2259" i="1"/>
  <c r="P2259" i="1" s="1"/>
  <c r="Q2259" i="1" s="1"/>
  <c r="G2273" i="1"/>
  <c r="P2273" i="1" s="1"/>
  <c r="Q2273" i="1" s="1"/>
  <c r="G2262" i="1"/>
  <c r="P2262" i="1" s="1"/>
  <c r="Q2262" i="1" s="1"/>
  <c r="G2261" i="1"/>
  <c r="P2261" i="1" s="1"/>
  <c r="Q2261" i="1" s="1"/>
  <c r="G2260" i="1"/>
  <c r="P2260" i="1" s="1"/>
  <c r="Q2260" i="1" s="1"/>
  <c r="G2067" i="1"/>
  <c r="P2067" i="1" s="1"/>
  <c r="Q2067" i="1" s="1"/>
  <c r="G2064" i="1"/>
  <c r="P2064" i="1" s="1"/>
  <c r="Q2064" i="1" s="1"/>
  <c r="W1901" i="1"/>
  <c r="Q1901" i="1" s="1"/>
  <c r="W2294" i="1"/>
  <c r="Q2294" i="1" s="1"/>
  <c r="W2293" i="1"/>
  <c r="Q2293" i="1" s="1"/>
  <c r="V2294" i="1"/>
  <c r="G2239" i="1"/>
  <c r="P2239" i="1" s="1"/>
  <c r="Q2239" i="1" s="1"/>
  <c r="G2238" i="1"/>
  <c r="P2238" i="1" s="1"/>
  <c r="Q2238" i="1" s="1"/>
  <c r="G2237" i="1"/>
  <c r="P2237" i="1" s="1"/>
  <c r="Q2237" i="1" s="1"/>
  <c r="G2236" i="1"/>
  <c r="P2236" i="1" s="1"/>
  <c r="Q2236" i="1" s="1"/>
  <c r="G2235" i="1"/>
  <c r="P2235" i="1" s="1"/>
  <c r="Q2235" i="1" s="1"/>
  <c r="G2227" i="1"/>
  <c r="P2227" i="1" s="1"/>
  <c r="Q2227" i="1" s="1"/>
  <c r="G2226" i="1"/>
  <c r="P2226" i="1" s="1"/>
  <c r="Q2226" i="1" s="1"/>
  <c r="G2225" i="1"/>
  <c r="P2225" i="1" s="1"/>
  <c r="Q2225" i="1" s="1"/>
  <c r="G2224" i="1"/>
  <c r="P2224" i="1" s="1"/>
  <c r="Q2224" i="1" s="1"/>
  <c r="G2223" i="1"/>
  <c r="P2223" i="1" s="1"/>
  <c r="Q2223" i="1" s="1"/>
  <c r="G2222" i="1"/>
  <c r="P2222" i="1" s="1"/>
  <c r="Q2222" i="1" s="1"/>
  <c r="G2221" i="1"/>
  <c r="P2221" i="1" s="1"/>
  <c r="Q2221" i="1" s="1"/>
  <c r="G2220" i="1"/>
  <c r="P2220" i="1" s="1"/>
  <c r="Q2220" i="1" s="1"/>
  <c r="G2219" i="1"/>
  <c r="P2219" i="1" s="1"/>
  <c r="Q2219" i="1" s="1"/>
  <c r="G2218" i="1"/>
  <c r="P2218" i="1" s="1"/>
  <c r="Q2218" i="1" s="1"/>
  <c r="G2217" i="1"/>
  <c r="P2217" i="1" s="1"/>
  <c r="Q2217" i="1" s="1"/>
  <c r="G2216" i="1"/>
  <c r="P2216" i="1" s="1"/>
  <c r="Q2216" i="1" s="1"/>
  <c r="G2215" i="1"/>
  <c r="P2215" i="1" s="1"/>
  <c r="Q2215" i="1" s="1"/>
  <c r="G2214" i="1"/>
  <c r="P2214" i="1" s="1"/>
  <c r="Q2214" i="1" s="1"/>
  <c r="G2211" i="1"/>
  <c r="G2213" i="1"/>
  <c r="P2213" i="1" s="1"/>
  <c r="Q2213" i="1" s="1"/>
  <c r="G2212" i="1"/>
  <c r="P2212" i="1" s="1"/>
  <c r="Q2212" i="1" s="1"/>
  <c r="G2210" i="1"/>
  <c r="P2210" i="1" s="1"/>
  <c r="Q2210" i="1" s="1"/>
  <c r="G2209" i="1"/>
  <c r="P2209" i="1" s="1"/>
  <c r="Q2209" i="1" s="1"/>
  <c r="O2211" i="1"/>
  <c r="O2203" i="1"/>
  <c r="G2203" i="1"/>
  <c r="G1520" i="1"/>
  <c r="P1520" i="1" s="1"/>
  <c r="Q1520" i="1" s="1"/>
  <c r="G1521" i="1"/>
  <c r="P1521" i="1" s="1"/>
  <c r="Q1521" i="1" s="1"/>
  <c r="P2267" i="1" l="1"/>
  <c r="Q2267" i="1" s="1"/>
  <c r="P2211" i="1"/>
  <c r="Q2211" i="1" s="1"/>
  <c r="P2282" i="1"/>
  <c r="Q2282" i="1" s="1"/>
  <c r="P1731" i="1"/>
  <c r="Q1731" i="1" s="1"/>
  <c r="P2203" i="1"/>
  <c r="Q2203" i="1" s="1"/>
  <c r="P2264" i="1"/>
  <c r="Q2264" i="1" s="1"/>
  <c r="X2294" i="1"/>
  <c r="AE2294" i="1" s="1"/>
  <c r="AA2294" i="1"/>
  <c r="AA2292" i="1"/>
  <c r="Y2292" i="1"/>
  <c r="Z2292" i="1"/>
  <c r="X2033" i="1"/>
  <c r="AE2033" i="1" s="1"/>
  <c r="AA2033" i="1"/>
  <c r="Y1702" i="1"/>
  <c r="AA1702" i="1"/>
  <c r="Z1702" i="1"/>
  <c r="X1728" i="1"/>
  <c r="AE1728" i="1" s="1"/>
  <c r="AA1728" i="1"/>
  <c r="X1733" i="1"/>
  <c r="AE1733" i="1" s="1"/>
  <c r="AA1733" i="1"/>
  <c r="X1708" i="1"/>
  <c r="AE1708" i="1" s="1"/>
  <c r="AA1708" i="1"/>
  <c r="X1744" i="1"/>
  <c r="AE1744" i="1" s="1"/>
  <c r="AA1744" i="1"/>
  <c r="X1756" i="1"/>
  <c r="AE1756" i="1" s="1"/>
  <c r="AA1756" i="1"/>
  <c r="X1746" i="1"/>
  <c r="AE1746" i="1" s="1"/>
  <c r="AA1746" i="1"/>
  <c r="X1766" i="1"/>
  <c r="AE1766" i="1" s="1"/>
  <c r="AA1766" i="1"/>
  <c r="AA1729" i="1"/>
  <c r="Z1729" i="1"/>
  <c r="Y1729" i="1"/>
  <c r="Y3497" i="1"/>
  <c r="Z3497" i="1"/>
  <c r="AA3497" i="1"/>
  <c r="X2065" i="1"/>
  <c r="AE2065" i="1" s="1"/>
  <c r="AA2065" i="1"/>
  <c r="Z2051" i="1"/>
  <c r="AA2051" i="1"/>
  <c r="Y2051" i="1"/>
  <c r="Y1705" i="1"/>
  <c r="AA1705" i="1"/>
  <c r="Z1705" i="1"/>
  <c r="X1734" i="1"/>
  <c r="AE1734" i="1" s="1"/>
  <c r="AA1734" i="1"/>
  <c r="X1698" i="1"/>
  <c r="AE1698" i="1" s="1"/>
  <c r="AA1698" i="1"/>
  <c r="X1745" i="1"/>
  <c r="AE1745" i="1" s="1"/>
  <c r="AA1745" i="1"/>
  <c r="X1757" i="1"/>
  <c r="AE1757" i="1" s="1"/>
  <c r="AA1757" i="1"/>
  <c r="X1759" i="1"/>
  <c r="AE1759" i="1" s="1"/>
  <c r="AA1759" i="1"/>
  <c r="X1769" i="1"/>
  <c r="AE1769" i="1" s="1"/>
  <c r="AA1769" i="1"/>
  <c r="X2293" i="1"/>
  <c r="AB2294" i="1"/>
  <c r="AC2294" i="1"/>
  <c r="AD2294" i="1"/>
  <c r="X3499" i="1"/>
  <c r="AE3499" i="1" s="1"/>
  <c r="AA3499" i="1"/>
  <c r="X2253" i="1"/>
  <c r="AE2253" i="1" s="1"/>
  <c r="AA2253" i="1"/>
  <c r="Z2052" i="1"/>
  <c r="AA2052" i="1"/>
  <c r="Y2052" i="1"/>
  <c r="Y1706" i="1"/>
  <c r="AA1706" i="1"/>
  <c r="Z1706" i="1"/>
  <c r="X1724" i="1"/>
  <c r="AE1724" i="1" s="1"/>
  <c r="AA1724" i="1"/>
  <c r="X1699" i="1"/>
  <c r="AE1699" i="1" s="1"/>
  <c r="AA1699" i="1"/>
  <c r="X1748" i="1"/>
  <c r="AE1748" i="1" s="1"/>
  <c r="AA1748" i="1"/>
  <c r="AA1751" i="1"/>
  <c r="Z1751" i="1"/>
  <c r="Y1751" i="1"/>
  <c r="X1760" i="1"/>
  <c r="AE1760" i="1" s="1"/>
  <c r="AA1760" i="1"/>
  <c r="X1773" i="1"/>
  <c r="AE1773" i="1" s="1"/>
  <c r="AA1773" i="1"/>
  <c r="X1765" i="1"/>
  <c r="AE1765" i="1" s="1"/>
  <c r="AA1765" i="1"/>
  <c r="X1901" i="1"/>
  <c r="X3500" i="1"/>
  <c r="AE3500" i="1" s="1"/>
  <c r="AA3500" i="1"/>
  <c r="X2254" i="1"/>
  <c r="AE2254" i="1" s="1"/>
  <c r="AA2254" i="1"/>
  <c r="Z2053" i="1"/>
  <c r="AA2053" i="1"/>
  <c r="Y2053" i="1"/>
  <c r="Y1707" i="1"/>
  <c r="AA1707" i="1"/>
  <c r="Z1707" i="1"/>
  <c r="X1725" i="1"/>
  <c r="AE1725" i="1" s="1"/>
  <c r="AA1725" i="1"/>
  <c r="X1715" i="1"/>
  <c r="AE1715" i="1" s="1"/>
  <c r="AA1715" i="1"/>
  <c r="X1700" i="1"/>
  <c r="AE1700" i="1" s="1"/>
  <c r="AA1700" i="1"/>
  <c r="X1749" i="1"/>
  <c r="AE1749" i="1" s="1"/>
  <c r="AA1749" i="1"/>
  <c r="X1742" i="1"/>
  <c r="AE1742" i="1" s="1"/>
  <c r="AA1742" i="1"/>
  <c r="X1761" i="1"/>
  <c r="AE1761" i="1" s="1"/>
  <c r="AA1761" i="1"/>
  <c r="X1774" i="1"/>
  <c r="AE1774" i="1" s="1"/>
  <c r="AA1774" i="1"/>
  <c r="X2032" i="1"/>
  <c r="AE2032" i="1" s="1"/>
  <c r="AA2032" i="1"/>
  <c r="X1732" i="1"/>
  <c r="AE1732" i="1" s="1"/>
  <c r="AA1732" i="1"/>
  <c r="AA1740" i="1"/>
  <c r="Y1740" i="1"/>
  <c r="Z1740" i="1"/>
  <c r="X2024" i="1"/>
  <c r="AE2024" i="1" s="1"/>
  <c r="AA2024" i="1"/>
  <c r="Y1704" i="1"/>
  <c r="AA1704" i="1"/>
  <c r="Z1704" i="1"/>
  <c r="X1726" i="1"/>
  <c r="AE1726" i="1" s="1"/>
  <c r="AA1726" i="1"/>
  <c r="X1714" i="1"/>
  <c r="AE1714" i="1" s="1"/>
  <c r="AA1714" i="1"/>
  <c r="X1701" i="1"/>
  <c r="AE1701" i="1" s="1"/>
  <c r="AA1701" i="1"/>
  <c r="X1750" i="1"/>
  <c r="AE1750" i="1" s="1"/>
  <c r="AA1750" i="1"/>
  <c r="X1762" i="1"/>
  <c r="AE1762" i="1" s="1"/>
  <c r="AA1762" i="1"/>
  <c r="X1775" i="1"/>
  <c r="AE1775" i="1" s="1"/>
  <c r="AA1775" i="1"/>
  <c r="X1755" i="1"/>
  <c r="AE1755" i="1" s="1"/>
  <c r="AA1755" i="1"/>
  <c r="X3496" i="1"/>
  <c r="AE3496" i="1" s="1"/>
  <c r="AA3496" i="1"/>
  <c r="X1716" i="1"/>
  <c r="AE1716" i="1" s="1"/>
  <c r="AA1716" i="1"/>
  <c r="X1727" i="1"/>
  <c r="AE1727" i="1" s="1"/>
  <c r="AA1727" i="1"/>
  <c r="X1713" i="1"/>
  <c r="AE1713" i="1" s="1"/>
  <c r="AA1713" i="1"/>
  <c r="X1738" i="1"/>
  <c r="AE1738" i="1" s="1"/>
  <c r="AA1738" i="1"/>
  <c r="X1753" i="1"/>
  <c r="AE1753" i="1" s="1"/>
  <c r="AA1753" i="1"/>
  <c r="X1752" i="1"/>
  <c r="AE1752" i="1" s="1"/>
  <c r="AA1752" i="1"/>
  <c r="X1763" i="1"/>
  <c r="AE1763" i="1" s="1"/>
  <c r="AA1763" i="1"/>
  <c r="X1776" i="1"/>
  <c r="AE1776" i="1" s="1"/>
  <c r="AA1776" i="1"/>
  <c r="X2063" i="1"/>
  <c r="AE2063" i="1" s="1"/>
  <c r="AA2063" i="1"/>
  <c r="X1710" i="1"/>
  <c r="AE1710" i="1" s="1"/>
  <c r="AA1710" i="1"/>
  <c r="Z2064" i="1"/>
  <c r="AA2064" i="1"/>
  <c r="Y2064" i="1"/>
  <c r="X2029" i="1"/>
  <c r="AE2029" i="1" s="1"/>
  <c r="AA2029" i="1"/>
  <c r="X1712" i="1"/>
  <c r="AE1712" i="1" s="1"/>
  <c r="AA1712" i="1"/>
  <c r="X1703" i="1"/>
  <c r="AE1703" i="1" s="1"/>
  <c r="AA1703" i="1"/>
  <c r="AA1739" i="1"/>
  <c r="Y1739" i="1"/>
  <c r="Z1739" i="1"/>
  <c r="X1754" i="1"/>
  <c r="AE1754" i="1" s="1"/>
  <c r="AA1754" i="1"/>
  <c r="AA1747" i="1"/>
  <c r="X1764" i="1"/>
  <c r="AE1764" i="1" s="1"/>
  <c r="AA1764" i="1"/>
  <c r="X1779" i="1"/>
  <c r="AE1779" i="1" s="1"/>
  <c r="AA1779" i="1"/>
  <c r="G2134" i="1"/>
  <c r="P2134" i="1" s="1"/>
  <c r="Q2134" i="1" s="1"/>
  <c r="O2181" i="1"/>
  <c r="O2179" i="1"/>
  <c r="P2179" i="1" s="1"/>
  <c r="Q2179" i="1" s="1"/>
  <c r="O2176" i="1"/>
  <c r="P2176" i="1" s="1"/>
  <c r="Q2176" i="1" s="1"/>
  <c r="O2175" i="1"/>
  <c r="G2175" i="1"/>
  <c r="O2174" i="1"/>
  <c r="G2173" i="1"/>
  <c r="O2173" i="1"/>
  <c r="G2174" i="1"/>
  <c r="G2176" i="1"/>
  <c r="G2167" i="1"/>
  <c r="G2166" i="1"/>
  <c r="O2168" i="1"/>
  <c r="P2168" i="1" s="1"/>
  <c r="Q2168" i="1" s="1"/>
  <c r="O2172" i="1"/>
  <c r="P2172" i="1" s="1"/>
  <c r="Q2172" i="1" s="1"/>
  <c r="G2170" i="1"/>
  <c r="P2170" i="1" s="1"/>
  <c r="Q2170" i="1" s="1"/>
  <c r="O2171" i="1"/>
  <c r="P2171" i="1" s="1"/>
  <c r="Q2171" i="1" s="1"/>
  <c r="O2169" i="1"/>
  <c r="P2169" i="1" s="1"/>
  <c r="Q2169" i="1" s="1"/>
  <c r="O2167" i="1"/>
  <c r="O2166" i="1"/>
  <c r="P2166" i="1" s="1"/>
  <c r="Q2166" i="1" s="1"/>
  <c r="G2165" i="1"/>
  <c r="O2165" i="1"/>
  <c r="P2165" i="1" s="1"/>
  <c r="Q2165" i="1" s="1"/>
  <c r="G2164" i="1"/>
  <c r="O2163" i="1"/>
  <c r="P2163" i="1" s="1"/>
  <c r="Q2163" i="1" s="1"/>
  <c r="O2164" i="1"/>
  <c r="P2164" i="1" s="1"/>
  <c r="Q2164" i="1" s="1"/>
  <c r="G2162" i="1"/>
  <c r="P2162" i="1" s="1"/>
  <c r="Q2162" i="1" s="1"/>
  <c r="G2161" i="1"/>
  <c r="P2161" i="1" s="1"/>
  <c r="Q2161" i="1" s="1"/>
  <c r="G2160" i="1"/>
  <c r="P2160" i="1" s="1"/>
  <c r="Q2160" i="1" s="1"/>
  <c r="G2159" i="1"/>
  <c r="P2159" i="1" s="1"/>
  <c r="Q2159" i="1" s="1"/>
  <c r="G2158" i="1"/>
  <c r="P2158" i="1" s="1"/>
  <c r="Q2158" i="1" s="1"/>
  <c r="G2152" i="1"/>
  <c r="P2152" i="1" s="1"/>
  <c r="Q2152" i="1" s="1"/>
  <c r="G2153" i="1"/>
  <c r="P2153" i="1" s="1"/>
  <c r="Q2153" i="1" s="1"/>
  <c r="G2150" i="1"/>
  <c r="P2150" i="1" s="1"/>
  <c r="Q2150" i="1" s="1"/>
  <c r="G2151" i="1"/>
  <c r="P2151" i="1" s="1"/>
  <c r="Q2151" i="1" s="1"/>
  <c r="O2148" i="1"/>
  <c r="P2148" i="1" s="1"/>
  <c r="Q2148" i="1" s="1"/>
  <c r="O1956" i="1"/>
  <c r="P1956" i="1" s="1"/>
  <c r="Q1956" i="1" s="1"/>
  <c r="G1953" i="1"/>
  <c r="P1953" i="1" s="1"/>
  <c r="Q1953" i="1" s="1"/>
  <c r="O2297" i="1"/>
  <c r="P2297" i="1" s="1"/>
  <c r="Q2297" i="1" s="1"/>
  <c r="G2077" i="1"/>
  <c r="P2077" i="1" s="1"/>
  <c r="Q2077" i="1" s="1"/>
  <c r="O2116" i="1"/>
  <c r="P2116" i="1" s="1"/>
  <c r="Q2116" i="1" s="1"/>
  <c r="G2069" i="1"/>
  <c r="P2069" i="1" s="1"/>
  <c r="Q2069" i="1" s="1"/>
  <c r="O1908" i="1"/>
  <c r="P1908" i="1" s="1"/>
  <c r="Q1908" i="1" s="1"/>
  <c r="O1906" i="1"/>
  <c r="P1906" i="1" s="1"/>
  <c r="Q1906" i="1" s="1"/>
  <c r="G1972" i="1"/>
  <c r="P1972" i="1" s="1"/>
  <c r="Q1972" i="1" s="1"/>
  <c r="G1969" i="1"/>
  <c r="P1969" i="1" s="1"/>
  <c r="Q1969" i="1" s="1"/>
  <c r="G1224" i="1"/>
  <c r="P1224" i="1" s="1"/>
  <c r="Q1224" i="1" s="1"/>
  <c r="G1223" i="1"/>
  <c r="P1223" i="1" s="1"/>
  <c r="Q1223" i="1" s="1"/>
  <c r="G1222" i="1"/>
  <c r="P1222" i="1" s="1"/>
  <c r="Q1222" i="1" s="1"/>
  <c r="O1543" i="1"/>
  <c r="P1543" i="1" s="1"/>
  <c r="Q1543" i="1" s="1"/>
  <c r="G1303" i="1"/>
  <c r="P1303" i="1" s="1"/>
  <c r="Q1303" i="1" s="1"/>
  <c r="O1502" i="1"/>
  <c r="P1502" i="1" s="1"/>
  <c r="Q1502" i="1" s="1"/>
  <c r="O1503" i="1"/>
  <c r="P1503" i="1" s="1"/>
  <c r="Q1503" i="1" s="1"/>
  <c r="G1493" i="1"/>
  <c r="O1493" i="1"/>
  <c r="P1493" i="1" s="1"/>
  <c r="Q1493" i="1" s="1"/>
  <c r="G1307" i="1"/>
  <c r="M1307" i="1"/>
  <c r="O1307" i="1" s="1"/>
  <c r="P1307" i="1" s="1"/>
  <c r="Q1307" i="1" s="1"/>
  <c r="O1306" i="1"/>
  <c r="M1306" i="1"/>
  <c r="G1306" i="1"/>
  <c r="M1459" i="1"/>
  <c r="O1459" i="1" s="1"/>
  <c r="P1459" i="1" s="1"/>
  <c r="Q1459" i="1" s="1"/>
  <c r="M1452" i="1"/>
  <c r="O1452" i="1" s="1"/>
  <c r="P1452" i="1" s="1"/>
  <c r="Q1452" i="1" s="1"/>
  <c r="G1451" i="1"/>
  <c r="P1451" i="1" s="1"/>
  <c r="Q1451" i="1" s="1"/>
  <c r="M1461" i="1"/>
  <c r="O1461" i="1" s="1"/>
  <c r="P1461" i="1" s="1"/>
  <c r="Q1461" i="1" s="1"/>
  <c r="M1438" i="1"/>
  <c r="O1438" i="1" s="1"/>
  <c r="P1438" i="1" s="1"/>
  <c r="Q1438" i="1" s="1"/>
  <c r="M1439" i="1"/>
  <c r="O1439" i="1" s="1"/>
  <c r="P1439" i="1" s="1"/>
  <c r="Q1439" i="1" s="1"/>
  <c r="G1526" i="1"/>
  <c r="P1526" i="1" s="1"/>
  <c r="Q1526" i="1" s="1"/>
  <c r="M3474" i="1"/>
  <c r="G3561" i="1"/>
  <c r="P3561" i="1" s="1"/>
  <c r="Q3561" i="1" s="1"/>
  <c r="Z2203" i="1" l="1"/>
  <c r="P2175" i="1"/>
  <c r="Q2175" i="1" s="1"/>
  <c r="P2167" i="1"/>
  <c r="Q2167" i="1" s="1"/>
  <c r="P1306" i="1"/>
  <c r="Q1306" i="1" s="1"/>
  <c r="P2173" i="1"/>
  <c r="Q2173" i="1" s="1"/>
  <c r="P2174" i="1"/>
  <c r="Q2174" i="1" s="1"/>
  <c r="AC2203" i="1"/>
  <c r="AA1461" i="1"/>
  <c r="Z1461" i="1"/>
  <c r="Y1461" i="1"/>
  <c r="Z1459" i="1"/>
  <c r="Y1459" i="1"/>
  <c r="AA1459" i="1"/>
  <c r="Z1452" i="1"/>
  <c r="AA1452" i="1"/>
  <c r="Y1452" i="1"/>
  <c r="Z1438" i="1"/>
  <c r="Y1438" i="1"/>
  <c r="AA1438" i="1"/>
  <c r="AA1439" i="1"/>
  <c r="Z1439" i="1"/>
  <c r="Y1439" i="1"/>
  <c r="Y2203" i="1"/>
  <c r="AA2203" i="1"/>
  <c r="Z2167" i="1"/>
  <c r="Z2163" i="1"/>
  <c r="AA2163" i="1"/>
  <c r="Y2163" i="1"/>
  <c r="AC1739" i="1"/>
  <c r="AE1739" i="1"/>
  <c r="AB1739" i="1"/>
  <c r="AD1739" i="1"/>
  <c r="AC1707" i="1"/>
  <c r="AE1707" i="1"/>
  <c r="AB1707" i="1"/>
  <c r="AD1707" i="1"/>
  <c r="AE1751" i="1"/>
  <c r="AB1751" i="1"/>
  <c r="AC1751" i="1"/>
  <c r="AD1751" i="1"/>
  <c r="AB2293" i="1"/>
  <c r="AC2293" i="1"/>
  <c r="AD2293" i="1"/>
  <c r="AE2293" i="1"/>
  <c r="AB3497" i="1"/>
  <c r="AC3497" i="1"/>
  <c r="AE3497" i="1"/>
  <c r="AD3497" i="1"/>
  <c r="Z2153" i="1"/>
  <c r="AA2153" i="1"/>
  <c r="Y2153" i="1"/>
  <c r="Y1308" i="1"/>
  <c r="AA1308" i="1"/>
  <c r="Z1308" i="1"/>
  <c r="Y1223" i="1"/>
  <c r="AA1223" i="1"/>
  <c r="Z1223" i="1"/>
  <c r="Z2152" i="1"/>
  <c r="AA2152" i="1"/>
  <c r="Y2152" i="1"/>
  <c r="AB2053" i="1"/>
  <c r="AC2053" i="1"/>
  <c r="AD2053" i="1"/>
  <c r="AE2053" i="1"/>
  <c r="AB1901" i="1"/>
  <c r="AC1901" i="1"/>
  <c r="AD1901" i="1"/>
  <c r="AE1901" i="1"/>
  <c r="Z2134" i="1"/>
  <c r="AA2134" i="1"/>
  <c r="Y2134" i="1"/>
  <c r="AB2051" i="1"/>
  <c r="AC2051" i="1"/>
  <c r="AD2051" i="1"/>
  <c r="AE2051" i="1"/>
  <c r="Z2116" i="1"/>
  <c r="AA2116" i="1"/>
  <c r="Y2116" i="1"/>
  <c r="AA1969" i="1"/>
  <c r="Y1969" i="1"/>
  <c r="Z1969" i="1"/>
  <c r="AC1740" i="1"/>
  <c r="AE1740" i="1"/>
  <c r="AB1740" i="1"/>
  <c r="AD1740" i="1"/>
  <c r="AC1706" i="1"/>
  <c r="AE1706" i="1"/>
  <c r="AD1706" i="1"/>
  <c r="AB1706" i="1"/>
  <c r="Y1222" i="1"/>
  <c r="AA1222" i="1"/>
  <c r="Z1222" i="1"/>
  <c r="Y1300" i="1"/>
  <c r="AA1300" i="1"/>
  <c r="Z1300" i="1"/>
  <c r="Z1503" i="1"/>
  <c r="Y1503" i="1"/>
  <c r="AA1503" i="1"/>
  <c r="AA1972" i="1"/>
  <c r="Y1972" i="1"/>
  <c r="Z1972" i="1"/>
  <c r="Z2160" i="1"/>
  <c r="AA2160" i="1"/>
  <c r="Y2160" i="1"/>
  <c r="AB2052" i="1"/>
  <c r="AC2052" i="1"/>
  <c r="AD2052" i="1"/>
  <c r="AE2052" i="1"/>
  <c r="AC1729" i="1"/>
  <c r="AE1729" i="1"/>
  <c r="AB1729" i="1"/>
  <c r="AD1729" i="1"/>
  <c r="AB2292" i="1"/>
  <c r="AC2292" i="1"/>
  <c r="AD2292" i="1"/>
  <c r="AE2292" i="1"/>
  <c r="AB2064" i="1"/>
  <c r="AC2064" i="1"/>
  <c r="AD2064" i="1"/>
  <c r="AE2064" i="1"/>
  <c r="Y1224" i="1"/>
  <c r="AA1224" i="1"/>
  <c r="Z1224" i="1"/>
  <c r="AA2297" i="1"/>
  <c r="Y2297" i="1"/>
  <c r="Z2297" i="1"/>
  <c r="AA1953" i="1"/>
  <c r="Y1953" i="1"/>
  <c r="Z1953" i="1"/>
  <c r="AA1906" i="1"/>
  <c r="Y1906" i="1"/>
  <c r="Z1906" i="1"/>
  <c r="Z2148" i="1"/>
  <c r="AA2148" i="1"/>
  <c r="Y2148" i="1"/>
  <c r="AC1704" i="1"/>
  <c r="AE1704" i="1"/>
  <c r="AD1704" i="1"/>
  <c r="AB1704" i="1"/>
  <c r="AC1702" i="1"/>
  <c r="AE1702" i="1"/>
  <c r="AD1702" i="1"/>
  <c r="AB1702" i="1"/>
  <c r="AA1543" i="1"/>
  <c r="G3474" i="1"/>
  <c r="P3474" i="1" s="1"/>
  <c r="Q3474" i="1" s="1"/>
  <c r="Z1451" i="1"/>
  <c r="Y1451" i="1"/>
  <c r="AA1451" i="1"/>
  <c r="Y1303" i="1"/>
  <c r="AA1303" i="1"/>
  <c r="Z1303" i="1"/>
  <c r="AA1908" i="1"/>
  <c r="Y1908" i="1"/>
  <c r="Z1908" i="1"/>
  <c r="AC1705" i="1"/>
  <c r="AE1705" i="1"/>
  <c r="AB1705" i="1"/>
  <c r="AD1705" i="1"/>
  <c r="M3558" i="1"/>
  <c r="G3554" i="1"/>
  <c r="P3554" i="1" s="1"/>
  <c r="Q3554" i="1" s="1"/>
  <c r="G3553" i="1"/>
  <c r="P3553" i="1" s="1"/>
  <c r="Q3553" i="1" s="1"/>
  <c r="G3552" i="1"/>
  <c r="P3552" i="1" s="1"/>
  <c r="Q3552" i="1" s="1"/>
  <c r="G3546" i="1"/>
  <c r="P3546" i="1" s="1"/>
  <c r="Q3546" i="1" s="1"/>
  <c r="G3545" i="1"/>
  <c r="P3545" i="1" s="1"/>
  <c r="Q3545" i="1" s="1"/>
  <c r="G3544" i="1"/>
  <c r="P3544" i="1" s="1"/>
  <c r="Q3544" i="1" s="1"/>
  <c r="G1145" i="1"/>
  <c r="P1145" i="1" s="1"/>
  <c r="Q1145" i="1" s="1"/>
  <c r="G1148" i="1"/>
  <c r="P1148" i="1" s="1"/>
  <c r="Q1148" i="1" s="1"/>
  <c r="G1149" i="1"/>
  <c r="P1149" i="1" s="1"/>
  <c r="Q1149" i="1" s="1"/>
  <c r="G3524" i="1"/>
  <c r="P3524" i="1" s="1"/>
  <c r="Q3524" i="1" s="1"/>
  <c r="O3519" i="1"/>
  <c r="P3519" i="1" s="1"/>
  <c r="Q3519" i="1" s="1"/>
  <c r="O3513" i="1"/>
  <c r="P3513" i="1" s="1"/>
  <c r="Q3513" i="1" s="1"/>
  <c r="O3508" i="1"/>
  <c r="P3508" i="1" s="1"/>
  <c r="Q3508" i="1" s="1"/>
  <c r="O3515" i="1"/>
  <c r="P3515" i="1" s="1"/>
  <c r="Q3515" i="1" s="1"/>
  <c r="G3493" i="1"/>
  <c r="P3493" i="1" s="1"/>
  <c r="Q3493" i="1" s="1"/>
  <c r="G3492" i="1"/>
  <c r="P3492" i="1" s="1"/>
  <c r="Q3492" i="1" s="1"/>
  <c r="G3454" i="1"/>
  <c r="P3454" i="1" s="1"/>
  <c r="Q3454" i="1" s="1"/>
  <c r="G3453" i="1"/>
  <c r="P3453" i="1" s="1"/>
  <c r="Q3453" i="1" s="1"/>
  <c r="G3451" i="1"/>
  <c r="P3451" i="1" s="1"/>
  <c r="Q3451" i="1" s="1"/>
  <c r="G3452" i="1"/>
  <c r="P3452" i="1" s="1"/>
  <c r="Q3452" i="1" s="1"/>
  <c r="G3450" i="1"/>
  <c r="P3450" i="1" s="1"/>
  <c r="Q3450" i="1" s="1"/>
  <c r="G3449" i="1"/>
  <c r="P3449" i="1" s="1"/>
  <c r="Q3449" i="1" s="1"/>
  <c r="G3448" i="1"/>
  <c r="P3448" i="1" s="1"/>
  <c r="Q3448" i="1" s="1"/>
  <c r="AB2203" i="1" l="1"/>
  <c r="AA1307" i="1"/>
  <c r="Y1307" i="1"/>
  <c r="AE2203" i="1"/>
  <c r="Z1307" i="1"/>
  <c r="AD2203" i="1"/>
  <c r="AD1461" i="1"/>
  <c r="AE1461" i="1"/>
  <c r="AB1461" i="1"/>
  <c r="AC1461" i="1"/>
  <c r="AC1459" i="1"/>
  <c r="AE1459" i="1"/>
  <c r="AD1459" i="1"/>
  <c r="AB1459" i="1"/>
  <c r="AC1452" i="1"/>
  <c r="AD1452" i="1"/>
  <c r="AE1452" i="1"/>
  <c r="AB1452" i="1"/>
  <c r="AB1439" i="1"/>
  <c r="AD1439" i="1"/>
  <c r="AE1439" i="1"/>
  <c r="AC1439" i="1"/>
  <c r="AE1438" i="1"/>
  <c r="AC1438" i="1"/>
  <c r="AB1438" i="1"/>
  <c r="AD1438" i="1"/>
  <c r="AC2167" i="1"/>
  <c r="Y2167" i="1"/>
  <c r="AA2167" i="1"/>
  <c r="Y3515" i="1"/>
  <c r="Z3515" i="1"/>
  <c r="AA3515" i="1"/>
  <c r="Y1306" i="1"/>
  <c r="AA1306" i="1"/>
  <c r="Z1306" i="1"/>
  <c r="AB2148" i="1"/>
  <c r="AC2148" i="1"/>
  <c r="AE2148" i="1"/>
  <c r="AD2148" i="1"/>
  <c r="Y3450" i="1"/>
  <c r="Z3450" i="1"/>
  <c r="AA3450" i="1"/>
  <c r="Y3452" i="1"/>
  <c r="Z3452" i="1"/>
  <c r="AA3452" i="1"/>
  <c r="Y3513" i="1"/>
  <c r="Z3513" i="1"/>
  <c r="AA3513" i="1"/>
  <c r="Y3545" i="1"/>
  <c r="Z3545" i="1"/>
  <c r="AA3545" i="1"/>
  <c r="Y3561" i="1"/>
  <c r="Z3561" i="1"/>
  <c r="AA3561" i="1"/>
  <c r="AD1503" i="1"/>
  <c r="AB1503" i="1"/>
  <c r="AC1503" i="1"/>
  <c r="AE1503" i="1"/>
  <c r="Y3544" i="1"/>
  <c r="Z3544" i="1"/>
  <c r="AA3544" i="1"/>
  <c r="AC1300" i="1"/>
  <c r="AD1300" i="1"/>
  <c r="AB1300" i="1"/>
  <c r="AE1300" i="1"/>
  <c r="Y3451" i="1"/>
  <c r="Z3451" i="1"/>
  <c r="AA3451" i="1"/>
  <c r="Y3519" i="1"/>
  <c r="Z3519" i="1"/>
  <c r="AA3519" i="1"/>
  <c r="Y3546" i="1"/>
  <c r="Z3546" i="1"/>
  <c r="AA3546" i="1"/>
  <c r="Y3474" i="1"/>
  <c r="Z3474" i="1"/>
  <c r="AA3474" i="1"/>
  <c r="AE1543" i="1"/>
  <c r="AC1224" i="1"/>
  <c r="AD1224" i="1"/>
  <c r="AE1224" i="1"/>
  <c r="AB1224" i="1"/>
  <c r="AB2134" i="1"/>
  <c r="AC2134" i="1"/>
  <c r="AD2134" i="1"/>
  <c r="AE2134" i="1"/>
  <c r="AC1308" i="1"/>
  <c r="AD1308" i="1"/>
  <c r="AB1308" i="1"/>
  <c r="AE1308" i="1"/>
  <c r="Y3449" i="1"/>
  <c r="Z3449" i="1"/>
  <c r="AA3449" i="1"/>
  <c r="Y3524" i="1"/>
  <c r="Z3524" i="1"/>
  <c r="AA3524" i="1"/>
  <c r="AB2297" i="1"/>
  <c r="AC2297" i="1"/>
  <c r="AD2297" i="1"/>
  <c r="AE2297" i="1"/>
  <c r="AB2152" i="1"/>
  <c r="AC2152" i="1"/>
  <c r="AE2152" i="1"/>
  <c r="AD2152" i="1"/>
  <c r="AB2153" i="1"/>
  <c r="AC2153" i="1"/>
  <c r="AE2153" i="1"/>
  <c r="AD2153" i="1"/>
  <c r="AC2163" i="1"/>
  <c r="AE2163" i="1"/>
  <c r="AB2163" i="1"/>
  <c r="AD2163" i="1"/>
  <c r="Y3453" i="1"/>
  <c r="Z3453" i="1"/>
  <c r="AA3453" i="1"/>
  <c r="Y3552" i="1"/>
  <c r="Z3552" i="1"/>
  <c r="AA3552" i="1"/>
  <c r="AB1906" i="1"/>
  <c r="AC1906" i="1"/>
  <c r="AD1906" i="1"/>
  <c r="AE1906" i="1"/>
  <c r="AC1953" i="1"/>
  <c r="AD1953" i="1"/>
  <c r="AE1953" i="1"/>
  <c r="AB1953" i="1"/>
  <c r="Z2176" i="1"/>
  <c r="AA2176" i="1"/>
  <c r="Y2176" i="1"/>
  <c r="Y3454" i="1"/>
  <c r="Z3454" i="1"/>
  <c r="AA3454" i="1"/>
  <c r="Y3553" i="1"/>
  <c r="Z3553" i="1"/>
  <c r="AA3553" i="1"/>
  <c r="AC1222" i="1"/>
  <c r="AD1222" i="1"/>
  <c r="AE1222" i="1"/>
  <c r="AB1222" i="1"/>
  <c r="Y3508" i="1"/>
  <c r="Z3508" i="1"/>
  <c r="AA3508" i="1"/>
  <c r="AD1451" i="1"/>
  <c r="AE1451" i="1"/>
  <c r="AB1451" i="1"/>
  <c r="AC1451" i="1"/>
  <c r="Y3492" i="1"/>
  <c r="Z3492" i="1"/>
  <c r="AA3492" i="1"/>
  <c r="AB1908" i="1"/>
  <c r="AC1908" i="1"/>
  <c r="AD1908" i="1"/>
  <c r="AE1908" i="1"/>
  <c r="AC2160" i="1"/>
  <c r="AE2160" i="1"/>
  <c r="AB2160" i="1"/>
  <c r="AD2160" i="1"/>
  <c r="AC1972" i="1"/>
  <c r="AD1972" i="1"/>
  <c r="AE1972" i="1"/>
  <c r="AB1972" i="1"/>
  <c r="Y3554" i="1"/>
  <c r="Z3554" i="1"/>
  <c r="AA3554" i="1"/>
  <c r="Y3448" i="1"/>
  <c r="Z3448" i="1"/>
  <c r="AA3448" i="1"/>
  <c r="Y3493" i="1"/>
  <c r="Z3493" i="1"/>
  <c r="AA3493" i="1"/>
  <c r="AC1307" i="1"/>
  <c r="AD1307" i="1"/>
  <c r="AB1307" i="1"/>
  <c r="AE1307" i="1"/>
  <c r="AC1969" i="1"/>
  <c r="AD1969" i="1"/>
  <c r="AE1969" i="1"/>
  <c r="AB1969" i="1"/>
  <c r="AB2116" i="1"/>
  <c r="AC2116" i="1"/>
  <c r="AD2116" i="1"/>
  <c r="AE2116" i="1"/>
  <c r="AC1223" i="1"/>
  <c r="AD1223" i="1"/>
  <c r="AE1223" i="1"/>
  <c r="AB1223" i="1"/>
  <c r="G165" i="1"/>
  <c r="P165" i="1" s="1"/>
  <c r="O218" i="1"/>
  <c r="P218" i="1" s="1"/>
  <c r="O1037" i="1"/>
  <c r="P1037" i="1" s="1"/>
  <c r="Q1037" i="1" s="1"/>
  <c r="M944" i="1"/>
  <c r="G3" i="1"/>
  <c r="P3" i="1" s="1"/>
  <c r="O4" i="1"/>
  <c r="P4" i="1" s="1"/>
  <c r="G4" i="1"/>
  <c r="G7" i="1"/>
  <c r="P7" i="1" s="1"/>
  <c r="G11" i="1"/>
  <c r="P11" i="1" s="1"/>
  <c r="O26" i="1"/>
  <c r="P26" i="1" s="1"/>
  <c r="G26" i="1"/>
  <c r="G34" i="1"/>
  <c r="P34" i="1" s="1"/>
  <c r="G44" i="1"/>
  <c r="G43" i="1"/>
  <c r="P43" i="1" s="1"/>
  <c r="O44" i="1"/>
  <c r="O45" i="1"/>
  <c r="P45" i="1" s="1"/>
  <c r="G50" i="1"/>
  <c r="P50" i="1" s="1"/>
  <c r="O54" i="1"/>
  <c r="P54" i="1" s="1"/>
  <c r="G54" i="1"/>
  <c r="O61" i="1"/>
  <c r="M61" i="1"/>
  <c r="G61" i="1"/>
  <c r="O67" i="1"/>
  <c r="P67" i="1" s="1"/>
  <c r="G83" i="1"/>
  <c r="O83" i="1"/>
  <c r="P83" i="1" s="1"/>
  <c r="G84" i="1"/>
  <c r="P84" i="1" s="1"/>
  <c r="G85" i="1"/>
  <c r="P85" i="1" s="1"/>
  <c r="G96" i="1"/>
  <c r="P96" i="1" s="1"/>
  <c r="G98" i="1"/>
  <c r="P98" i="1" s="1"/>
  <c r="G97" i="1"/>
  <c r="P97" i="1" s="1"/>
  <c r="Q3" i="1" l="1"/>
  <c r="AA3" i="1"/>
  <c r="Z3" i="1"/>
  <c r="Y3" i="1"/>
  <c r="Q43" i="1"/>
  <c r="AA43" i="1"/>
  <c r="Z43" i="1"/>
  <c r="Y43" i="1"/>
  <c r="Q98" i="1"/>
  <c r="AA98" i="1"/>
  <c r="Z98" i="1"/>
  <c r="Y98" i="1"/>
  <c r="Q96" i="1"/>
  <c r="AA96" i="1"/>
  <c r="Z96" i="1"/>
  <c r="Y96" i="1"/>
  <c r="Q34" i="1"/>
  <c r="AA34" i="1"/>
  <c r="Z34" i="1"/>
  <c r="Y34" i="1"/>
  <c r="Q218" i="1"/>
  <c r="AA218" i="1"/>
  <c r="Z218" i="1"/>
  <c r="Y218" i="1"/>
  <c r="Q97" i="1"/>
  <c r="AA97" i="1"/>
  <c r="Z97" i="1"/>
  <c r="Y97" i="1"/>
  <c r="Q85" i="1"/>
  <c r="AA85" i="1"/>
  <c r="Z85" i="1"/>
  <c r="Y85" i="1"/>
  <c r="Q54" i="1"/>
  <c r="AA54" i="1"/>
  <c r="Z54" i="1"/>
  <c r="Y54" i="1"/>
  <c r="Q83" i="1"/>
  <c r="AA83" i="1"/>
  <c r="Z83" i="1"/>
  <c r="Y83" i="1"/>
  <c r="Q11" i="1"/>
  <c r="AA11" i="1"/>
  <c r="Z11" i="1"/>
  <c r="Y11" i="1"/>
  <c r="Q45" i="1"/>
  <c r="AA45" i="1"/>
  <c r="Z45" i="1"/>
  <c r="Y45" i="1"/>
  <c r="Q7" i="1"/>
  <c r="AA7" i="1"/>
  <c r="Z7" i="1"/>
  <c r="Y7" i="1"/>
  <c r="Q4" i="1"/>
  <c r="AA4" i="1"/>
  <c r="Z4" i="1"/>
  <c r="Y4" i="1"/>
  <c r="Q84" i="1"/>
  <c r="AA84" i="1"/>
  <c r="Z84" i="1"/>
  <c r="Y84" i="1"/>
  <c r="Q26" i="1"/>
  <c r="AA26" i="1"/>
  <c r="Z26" i="1"/>
  <c r="Y26" i="1"/>
  <c r="Q50" i="1"/>
  <c r="AA50" i="1"/>
  <c r="Z50" i="1"/>
  <c r="Y50" i="1"/>
  <c r="Q165" i="1"/>
  <c r="AA165" i="1"/>
  <c r="Z165" i="1"/>
  <c r="Y165" i="1"/>
  <c r="Q67" i="1"/>
  <c r="AA67" i="1"/>
  <c r="Z67" i="1"/>
  <c r="Y67" i="1"/>
  <c r="P61" i="1"/>
  <c r="P44" i="1"/>
  <c r="AD2167" i="1"/>
  <c r="AB2167" i="1"/>
  <c r="AE2167" i="1"/>
  <c r="AB3553" i="1"/>
  <c r="AC3553" i="1"/>
  <c r="AE3553" i="1"/>
  <c r="AD3553" i="1"/>
  <c r="AB3448" i="1"/>
  <c r="AC3448" i="1"/>
  <c r="AE3448" i="1"/>
  <c r="AD3448" i="1"/>
  <c r="AB3492" i="1"/>
  <c r="AC3492" i="1"/>
  <c r="AE3492" i="1"/>
  <c r="AD3492" i="1"/>
  <c r="AB3451" i="1"/>
  <c r="AC3451" i="1"/>
  <c r="AE3451" i="1"/>
  <c r="AD3451" i="1"/>
  <c r="AB3561" i="1"/>
  <c r="AC3561" i="1"/>
  <c r="AE3561" i="1"/>
  <c r="AD3561" i="1"/>
  <c r="AC1306" i="1"/>
  <c r="AD1306" i="1"/>
  <c r="AB1306" i="1"/>
  <c r="AE1306" i="1"/>
  <c r="AB3493" i="1"/>
  <c r="AC3493" i="1"/>
  <c r="AE3493" i="1"/>
  <c r="AD3493" i="1"/>
  <c r="AB3554" i="1"/>
  <c r="AC3554" i="1"/>
  <c r="AE3554" i="1"/>
  <c r="AD3554" i="1"/>
  <c r="AB3454" i="1"/>
  <c r="AC3454" i="1"/>
  <c r="AE3454" i="1"/>
  <c r="AD3454" i="1"/>
  <c r="AB3453" i="1"/>
  <c r="AC3453" i="1"/>
  <c r="AE3453" i="1"/>
  <c r="AD3453" i="1"/>
  <c r="AB3524" i="1"/>
  <c r="AC3524" i="1"/>
  <c r="AE3524" i="1"/>
  <c r="AD3524" i="1"/>
  <c r="AB3474" i="1"/>
  <c r="AC3474" i="1"/>
  <c r="AE3474" i="1"/>
  <c r="AD3474" i="1"/>
  <c r="AB3519" i="1"/>
  <c r="AC3519" i="1"/>
  <c r="AE3519" i="1"/>
  <c r="AD3519" i="1"/>
  <c r="AB3544" i="1"/>
  <c r="AC3544" i="1"/>
  <c r="AE3544" i="1"/>
  <c r="AD3544" i="1"/>
  <c r="AB3545" i="1"/>
  <c r="AC3545" i="1"/>
  <c r="AE3545" i="1"/>
  <c r="AD3545" i="1"/>
  <c r="AB3452" i="1"/>
  <c r="AC3452" i="1"/>
  <c r="AE3452" i="1"/>
  <c r="AD3452" i="1"/>
  <c r="AB3515" i="1"/>
  <c r="AC3515" i="1"/>
  <c r="AE3515" i="1"/>
  <c r="AD3515" i="1"/>
  <c r="AB3449" i="1"/>
  <c r="AC3449" i="1"/>
  <c r="AE3449" i="1"/>
  <c r="AD3449" i="1"/>
  <c r="AB3450" i="1"/>
  <c r="AC3450" i="1"/>
  <c r="AE3450" i="1"/>
  <c r="AD3450" i="1"/>
  <c r="Y1037" i="1"/>
  <c r="Z1037" i="1"/>
  <c r="AA1037" i="1"/>
  <c r="AB3508" i="1"/>
  <c r="AC3508" i="1"/>
  <c r="AE3508" i="1"/>
  <c r="AD3508" i="1"/>
  <c r="AC2176" i="1"/>
  <c r="AE2176" i="1"/>
  <c r="AB2176" i="1"/>
  <c r="AD2176" i="1"/>
  <c r="AB3552" i="1"/>
  <c r="AC3552" i="1"/>
  <c r="AE3552" i="1"/>
  <c r="AD3552" i="1"/>
  <c r="AB3546" i="1"/>
  <c r="AC3546" i="1"/>
  <c r="AE3546" i="1"/>
  <c r="AD3546" i="1"/>
  <c r="AB3513" i="1"/>
  <c r="AC3513" i="1"/>
  <c r="AE3513" i="1"/>
  <c r="AD3513" i="1"/>
  <c r="G118" i="1"/>
  <c r="P118" i="1" s="1"/>
  <c r="G121" i="1"/>
  <c r="P121" i="1" s="1"/>
  <c r="O134" i="1"/>
  <c r="P134" i="1" s="1"/>
  <c r="G145" i="1"/>
  <c r="O145" i="1"/>
  <c r="P145" i="1" s="1"/>
  <c r="G148" i="1"/>
  <c r="P148" i="1" s="1"/>
  <c r="G155" i="1"/>
  <c r="P155" i="1" s="1"/>
  <c r="M174" i="1"/>
  <c r="N184" i="1"/>
  <c r="G188" i="1"/>
  <c r="P188" i="1" s="1"/>
  <c r="O210" i="1"/>
  <c r="P210" i="1" s="1"/>
  <c r="G212" i="1"/>
  <c r="P212" i="1" s="1"/>
  <c r="G891" i="1"/>
  <c r="P891" i="1" s="1"/>
  <c r="Q891" i="1" s="1"/>
  <c r="Q212" i="1" l="1"/>
  <c r="AA212" i="1"/>
  <c r="Z212" i="1"/>
  <c r="Y212" i="1"/>
  <c r="Q210" i="1"/>
  <c r="AA210" i="1"/>
  <c r="Z210" i="1"/>
  <c r="Y210" i="1"/>
  <c r="Q134" i="1"/>
  <c r="AA134" i="1"/>
  <c r="Z134" i="1"/>
  <c r="Y134" i="1"/>
  <c r="Q188" i="1"/>
  <c r="AA188" i="1"/>
  <c r="Z188" i="1"/>
  <c r="Y188" i="1"/>
  <c r="Q44" i="1"/>
  <c r="AA44" i="1"/>
  <c r="Z44" i="1"/>
  <c r="Y44" i="1"/>
  <c r="Q61" i="1"/>
  <c r="AA61" i="1"/>
  <c r="Z61" i="1"/>
  <c r="Y61" i="1"/>
  <c r="AE165" i="1"/>
  <c r="AD165" i="1"/>
  <c r="AC165" i="1"/>
  <c r="AB165" i="1"/>
  <c r="AD26" i="1"/>
  <c r="AC26" i="1"/>
  <c r="AB26" i="1"/>
  <c r="AE26" i="1"/>
  <c r="AC4" i="1"/>
  <c r="AB4" i="1"/>
  <c r="AD4" i="1"/>
  <c r="AE4" i="1"/>
  <c r="AD45" i="1"/>
  <c r="AC45" i="1"/>
  <c r="AB45" i="1"/>
  <c r="AE45" i="1"/>
  <c r="AD83" i="1"/>
  <c r="AC83" i="1"/>
  <c r="AB83" i="1"/>
  <c r="AE83" i="1"/>
  <c r="AD85" i="1"/>
  <c r="AC85" i="1"/>
  <c r="AB85" i="1"/>
  <c r="AE85" i="1"/>
  <c r="AE218" i="1"/>
  <c r="AD218" i="1"/>
  <c r="AC218" i="1"/>
  <c r="AB218" i="1"/>
  <c r="AD96" i="1"/>
  <c r="AC96" i="1"/>
  <c r="AB96" i="1"/>
  <c r="AE96" i="1"/>
  <c r="AD43" i="1"/>
  <c r="AC43" i="1"/>
  <c r="AB43" i="1"/>
  <c r="AE43" i="1"/>
  <c r="Q121" i="1"/>
  <c r="Z121" i="1"/>
  <c r="Y121" i="1"/>
  <c r="AA121" i="1"/>
  <c r="Q155" i="1"/>
  <c r="AA155" i="1"/>
  <c r="Z155" i="1"/>
  <c r="Y155" i="1"/>
  <c r="Q148" i="1"/>
  <c r="AA148" i="1"/>
  <c r="Z148" i="1"/>
  <c r="Y148" i="1"/>
  <c r="Q118" i="1"/>
  <c r="AA118" i="1"/>
  <c r="Z118" i="1"/>
  <c r="Y118" i="1"/>
  <c r="Q145" i="1"/>
  <c r="AA145" i="1"/>
  <c r="Z145" i="1"/>
  <c r="Y145" i="1"/>
  <c r="AD67" i="1"/>
  <c r="AC67" i="1"/>
  <c r="AB67" i="1"/>
  <c r="AE67" i="1"/>
  <c r="AD50" i="1"/>
  <c r="AC50" i="1"/>
  <c r="AB50" i="1"/>
  <c r="AE50" i="1"/>
  <c r="AD84" i="1"/>
  <c r="AC84" i="1"/>
  <c r="AB84" i="1"/>
  <c r="AE84" i="1"/>
  <c r="AC7" i="1"/>
  <c r="AB7" i="1"/>
  <c r="AD7" i="1"/>
  <c r="AE7" i="1"/>
  <c r="AC11" i="1"/>
  <c r="AB11" i="1"/>
  <c r="AD11" i="1"/>
  <c r="AE11" i="1"/>
  <c r="AD54" i="1"/>
  <c r="AC54" i="1"/>
  <c r="AB54" i="1"/>
  <c r="AE54" i="1"/>
  <c r="AD97" i="1"/>
  <c r="AC97" i="1"/>
  <c r="AB97" i="1"/>
  <c r="AE97" i="1"/>
  <c r="AD34" i="1"/>
  <c r="AC34" i="1"/>
  <c r="AB34" i="1"/>
  <c r="AE34" i="1"/>
  <c r="AD98" i="1"/>
  <c r="AC98" i="1"/>
  <c r="AB98" i="1"/>
  <c r="AE98" i="1"/>
  <c r="AC3" i="1"/>
  <c r="AB3" i="1"/>
  <c r="AD3" i="1"/>
  <c r="AE3" i="1"/>
  <c r="AB1037" i="1"/>
  <c r="AC1037" i="1"/>
  <c r="AD1037" i="1"/>
  <c r="AE1037" i="1"/>
  <c r="Y891" i="1"/>
  <c r="Z891" i="1"/>
  <c r="AA891" i="1"/>
  <c r="G935" i="1"/>
  <c r="P935" i="1" s="1"/>
  <c r="Q935" i="1" s="1"/>
  <c r="AE145" i="1" l="1"/>
  <c r="AD145" i="1"/>
  <c r="AC145" i="1"/>
  <c r="AB145" i="1"/>
  <c r="AE148" i="1"/>
  <c r="AD148" i="1"/>
  <c r="AC148" i="1"/>
  <c r="AB148" i="1"/>
  <c r="AE121" i="1"/>
  <c r="AD121" i="1"/>
  <c r="AC121" i="1"/>
  <c r="AB121" i="1"/>
  <c r="AD61" i="1"/>
  <c r="AC61" i="1"/>
  <c r="AB61" i="1"/>
  <c r="AE61" i="1"/>
  <c r="AE188" i="1"/>
  <c r="AD188" i="1"/>
  <c r="AC188" i="1"/>
  <c r="AB188" i="1"/>
  <c r="AE210" i="1"/>
  <c r="AD210" i="1"/>
  <c r="AC210" i="1"/>
  <c r="AB210" i="1"/>
  <c r="AD118" i="1"/>
  <c r="AC118" i="1"/>
  <c r="AB118" i="1"/>
  <c r="AE118" i="1"/>
  <c r="AE155" i="1"/>
  <c r="AD155" i="1"/>
  <c r="AC155" i="1"/>
  <c r="AB155" i="1"/>
  <c r="AD44" i="1"/>
  <c r="AC44" i="1"/>
  <c r="AB44" i="1"/>
  <c r="AE44" i="1"/>
  <c r="AE134" i="1"/>
  <c r="AD134" i="1"/>
  <c r="AC134" i="1"/>
  <c r="AB134" i="1"/>
  <c r="AE212" i="1"/>
  <c r="AD212" i="1"/>
  <c r="AC212" i="1"/>
  <c r="AB212" i="1"/>
  <c r="Y935" i="1"/>
  <c r="AA935" i="1"/>
  <c r="AC891" i="1"/>
  <c r="AB891" i="1"/>
  <c r="AD891" i="1"/>
  <c r="AE891" i="1"/>
  <c r="O896" i="1"/>
  <c r="P896" i="1" s="1"/>
  <c r="Q896" i="1" s="1"/>
  <c r="Y896" i="1" l="1"/>
  <c r="Z896" i="1"/>
  <c r="AA896" i="1"/>
  <c r="AC935" i="1"/>
  <c r="AB935" i="1"/>
  <c r="AD935" i="1"/>
  <c r="AE935" i="1"/>
  <c r="O854" i="1"/>
  <c r="P854" i="1" s="1"/>
  <c r="Q854" i="1" s="1"/>
  <c r="G816" i="1"/>
  <c r="P816" i="1" s="1"/>
  <c r="Q816" i="1" s="1"/>
  <c r="AC896" i="1" l="1"/>
  <c r="AB896" i="1"/>
  <c r="AD896" i="1"/>
  <c r="AE896" i="1"/>
  <c r="Y854" i="1"/>
  <c r="AA854" i="1"/>
  <c r="Z854" i="1"/>
  <c r="Y816" i="1"/>
  <c r="Z816" i="1"/>
  <c r="AA816" i="1"/>
  <c r="M3455" i="1"/>
  <c r="AC854" i="1" l="1"/>
  <c r="AB854" i="1"/>
  <c r="AD854" i="1"/>
  <c r="AE854" i="1"/>
  <c r="AC816" i="1"/>
  <c r="AD816" i="1"/>
  <c r="AE816" i="1"/>
  <c r="AB816" i="1"/>
  <c r="O3435" i="1"/>
  <c r="P3435" i="1" s="1"/>
  <c r="Q3435" i="1" s="1"/>
  <c r="O3436" i="1"/>
  <c r="P3436" i="1" s="1"/>
  <c r="Q3436" i="1" s="1"/>
  <c r="G3428" i="1"/>
  <c r="O3428" i="1"/>
  <c r="P3428" i="1" s="1"/>
  <c r="Q3428" i="1" s="1"/>
  <c r="O3427" i="1"/>
  <c r="P3427" i="1" s="1"/>
  <c r="Q3427" i="1" s="1"/>
  <c r="G3426" i="1"/>
  <c r="P3426" i="1" s="1"/>
  <c r="Q3426" i="1" s="1"/>
  <c r="AA3428" i="1" l="1"/>
  <c r="Y3435" i="1"/>
  <c r="Z3435" i="1"/>
  <c r="AA3435" i="1"/>
  <c r="AA3427" i="1"/>
  <c r="Y3427" i="1"/>
  <c r="Z3427" i="1"/>
  <c r="AA3426" i="1"/>
  <c r="Y3426" i="1"/>
  <c r="Z3426" i="1"/>
  <c r="Y3436" i="1"/>
  <c r="Z3436" i="1"/>
  <c r="AA3436" i="1"/>
  <c r="G3424" i="1"/>
  <c r="P3424" i="1" s="1"/>
  <c r="Q3424" i="1" s="1"/>
  <c r="G3422" i="1"/>
  <c r="P3422" i="1" s="1"/>
  <c r="Q3422" i="1" s="1"/>
  <c r="AB3428" i="1" l="1"/>
  <c r="Z3428" i="1"/>
  <c r="Y3428" i="1"/>
  <c r="AB3436" i="1"/>
  <c r="AC3436" i="1"/>
  <c r="AE3436" i="1"/>
  <c r="AD3436" i="1"/>
  <c r="AB3426" i="1"/>
  <c r="AD3426" i="1"/>
  <c r="AC3426" i="1"/>
  <c r="AE3426" i="1"/>
  <c r="AA3422" i="1"/>
  <c r="Z3422" i="1"/>
  <c r="Y3422" i="1"/>
  <c r="AB3435" i="1"/>
  <c r="AC3435" i="1"/>
  <c r="AE3435" i="1"/>
  <c r="AD3435" i="1"/>
  <c r="AA3424" i="1"/>
  <c r="Z3424" i="1"/>
  <c r="Y3424" i="1"/>
  <c r="AB3427" i="1"/>
  <c r="AD3427" i="1"/>
  <c r="AC3427" i="1"/>
  <c r="AE3427" i="1"/>
  <c r="O2539" i="1"/>
  <c r="P2539" i="1" s="1"/>
  <c r="Q2539" i="1" s="1"/>
  <c r="AC3428" i="1" l="1"/>
  <c r="AE3428" i="1"/>
  <c r="AD3428" i="1"/>
  <c r="Y2539" i="1"/>
  <c r="Z2539" i="1"/>
  <c r="AA2539" i="1"/>
  <c r="AB3424" i="1"/>
  <c r="AD3424" i="1"/>
  <c r="AC3424" i="1"/>
  <c r="AE3424" i="1"/>
  <c r="AB3422" i="1"/>
  <c r="AD3422" i="1"/>
  <c r="AE3422" i="1"/>
  <c r="AC3422" i="1"/>
  <c r="M2489" i="1"/>
  <c r="O2489" i="1" s="1"/>
  <c r="P2489" i="1" s="1"/>
  <c r="Q2489" i="1" s="1"/>
  <c r="Y2489" i="1" l="1"/>
  <c r="Z2489" i="1"/>
  <c r="AA2489" i="1"/>
  <c r="AC2539" i="1"/>
  <c r="AB2539" i="1"/>
  <c r="AD2539" i="1"/>
  <c r="AE2539" i="1"/>
  <c r="G2370" i="1"/>
  <c r="P2370" i="1" s="1"/>
  <c r="Q2370" i="1" s="1"/>
  <c r="AC2489" i="1" l="1"/>
  <c r="AE2489" i="1"/>
  <c r="AB2489" i="1"/>
  <c r="AD2489" i="1"/>
  <c r="AA2370" i="1"/>
  <c r="Y2370" i="1"/>
  <c r="Z2370" i="1"/>
  <c r="G2323" i="1"/>
  <c r="P2323" i="1" s="1"/>
  <c r="Q2323" i="1" s="1"/>
  <c r="G2322" i="1"/>
  <c r="P2322" i="1" s="1"/>
  <c r="Q2322" i="1" s="1"/>
  <c r="G2321" i="1"/>
  <c r="P2321" i="1" s="1"/>
  <c r="Q2321" i="1" s="1"/>
  <c r="G2320" i="1"/>
  <c r="P2320" i="1" s="1"/>
  <c r="Q2320" i="1" s="1"/>
  <c r="AA2320" i="1" l="1"/>
  <c r="Y2320" i="1"/>
  <c r="Z2320" i="1"/>
  <c r="AA2321" i="1"/>
  <c r="Y2321" i="1"/>
  <c r="Z2321" i="1"/>
  <c r="AA2322" i="1"/>
  <c r="Y2322" i="1"/>
  <c r="Z2322" i="1"/>
  <c r="AB2370" i="1"/>
  <c r="AC2370" i="1"/>
  <c r="AD2370" i="1"/>
  <c r="AE2370" i="1"/>
  <c r="AA2323" i="1"/>
  <c r="Y2323" i="1"/>
  <c r="Z2323" i="1"/>
  <c r="G2298" i="1"/>
  <c r="P2298" i="1" s="1"/>
  <c r="Q2298" i="1" s="1"/>
  <c r="AA2298" i="1" l="1"/>
  <c r="Y2298" i="1"/>
  <c r="Z2298" i="1"/>
  <c r="AB2321" i="1"/>
  <c r="AC2321" i="1"/>
  <c r="AD2321" i="1"/>
  <c r="AE2321" i="1"/>
  <c r="AB2323" i="1"/>
  <c r="AC2323" i="1"/>
  <c r="AD2323" i="1"/>
  <c r="AE2323" i="1"/>
  <c r="AB2322" i="1"/>
  <c r="AC2322" i="1"/>
  <c r="AD2322" i="1"/>
  <c r="AE2322" i="1"/>
  <c r="AB2320" i="1"/>
  <c r="AC2320" i="1"/>
  <c r="AD2320" i="1"/>
  <c r="AE2320" i="1"/>
  <c r="G2246" i="1"/>
  <c r="P2246" i="1" s="1"/>
  <c r="Q2246" i="1" s="1"/>
  <c r="G2245" i="1"/>
  <c r="P2245" i="1" s="1"/>
  <c r="Q2245" i="1" s="1"/>
  <c r="G2244" i="1"/>
  <c r="P2244" i="1" s="1"/>
  <c r="Q2244" i="1" s="1"/>
  <c r="G2243" i="1"/>
  <c r="P2243" i="1" s="1"/>
  <c r="Q2243" i="1" s="1"/>
  <c r="G2242" i="1"/>
  <c r="P2242" i="1" s="1"/>
  <c r="Q2242" i="1" s="1"/>
  <c r="G2241" i="1"/>
  <c r="P2241" i="1" s="1"/>
  <c r="Q2241" i="1" s="1"/>
  <c r="G2240" i="1"/>
  <c r="P2240" i="1" s="1"/>
  <c r="Q2240" i="1" s="1"/>
  <c r="AB2298" i="1" l="1"/>
  <c r="AC2298" i="1"/>
  <c r="AD2298" i="1"/>
  <c r="AE2298" i="1"/>
  <c r="G2191" i="1"/>
  <c r="P2191" i="1" s="1"/>
  <c r="Q2191" i="1" s="1"/>
  <c r="G2190" i="1"/>
  <c r="O2190" i="1"/>
  <c r="P2190" i="1" s="1"/>
  <c r="Q2190" i="1" s="1"/>
  <c r="G2189" i="1"/>
  <c r="P2189" i="1" s="1"/>
  <c r="Q2189" i="1" s="1"/>
  <c r="G2187" i="1"/>
  <c r="P2187" i="1" s="1"/>
  <c r="Q2187" i="1" s="1"/>
  <c r="G2186" i="1"/>
  <c r="P2186" i="1" s="1"/>
  <c r="Q2186" i="1" s="1"/>
  <c r="G2185" i="1"/>
  <c r="P2185" i="1" s="1"/>
  <c r="Q2185" i="1" s="1"/>
  <c r="G2184" i="1"/>
  <c r="P2184" i="1" s="1"/>
  <c r="Q2184" i="1" s="1"/>
  <c r="G2183" i="1"/>
  <c r="P2183" i="1" s="1"/>
  <c r="Q2183" i="1" s="1"/>
  <c r="G2182" i="1"/>
  <c r="P2182" i="1" s="1"/>
  <c r="Q2182" i="1" s="1"/>
  <c r="G2181" i="1"/>
  <c r="P2181" i="1" s="1"/>
  <c r="Q2181" i="1" s="1"/>
  <c r="G2180" i="1"/>
  <c r="P2180" i="1" s="1"/>
  <c r="Q2180" i="1" s="1"/>
  <c r="G2178" i="1"/>
  <c r="P2178" i="1" s="1"/>
  <c r="Q2178" i="1" s="1"/>
  <c r="O2106" i="1" l="1"/>
  <c r="P2106" i="1" s="1"/>
  <c r="Q2106" i="1" s="1"/>
  <c r="G1998" i="1" l="1"/>
  <c r="P1998" i="1" s="1"/>
  <c r="Q1998" i="1" s="1"/>
  <c r="G1991" i="1"/>
  <c r="P1991" i="1" s="1"/>
  <c r="Q1991" i="1" s="1"/>
  <c r="G1978" i="1"/>
  <c r="P1978" i="1" s="1"/>
  <c r="Q1978" i="1" s="1"/>
  <c r="AA1978" i="1" l="1"/>
  <c r="Y1978" i="1"/>
  <c r="Z1978" i="1"/>
  <c r="G1957" i="1"/>
  <c r="P1957" i="1" s="1"/>
  <c r="Q1957" i="1" s="1"/>
  <c r="AC1978" i="1" l="1"/>
  <c r="AD1978" i="1"/>
  <c r="AE1978" i="1"/>
  <c r="AB1978" i="1"/>
  <c r="O1871" i="1"/>
  <c r="P1871" i="1" s="1"/>
  <c r="Q1871" i="1" s="1"/>
  <c r="M1868" i="1"/>
  <c r="O1868" i="1" s="1"/>
  <c r="P1868" i="1" s="1"/>
  <c r="Q1868" i="1" s="1"/>
  <c r="G1860" i="1"/>
  <c r="P1860" i="1" s="1"/>
  <c r="Q1860" i="1" s="1"/>
  <c r="AA1868" i="1" l="1"/>
  <c r="Y1868" i="1"/>
  <c r="Z1868" i="1"/>
  <c r="AA1860" i="1"/>
  <c r="Y1860" i="1"/>
  <c r="Z1860" i="1"/>
  <c r="AA1871" i="1"/>
  <c r="Y1871" i="1"/>
  <c r="Z1871" i="1"/>
  <c r="M1817" i="1"/>
  <c r="O1817" i="1" s="1"/>
  <c r="P1817" i="1" s="1"/>
  <c r="Q1817" i="1" s="1"/>
  <c r="Y1817" i="1" l="1"/>
  <c r="Z1817" i="1"/>
  <c r="AA1817" i="1"/>
  <c r="AB1868" i="1"/>
  <c r="AC1868" i="1"/>
  <c r="AD1868" i="1"/>
  <c r="AE1868" i="1"/>
  <c r="AB1860" i="1"/>
  <c r="AC1860" i="1"/>
  <c r="AD1860" i="1"/>
  <c r="AE1860" i="1"/>
  <c r="AB1871" i="1"/>
  <c r="AC1871" i="1"/>
  <c r="AD1871" i="1"/>
  <c r="AE1871" i="1"/>
  <c r="M1799" i="1"/>
  <c r="O1799" i="1" s="1"/>
  <c r="P1799" i="1" s="1"/>
  <c r="Q1799" i="1" s="1"/>
  <c r="AA1799" i="1" l="1"/>
  <c r="Y1799" i="1"/>
  <c r="Z1799" i="1"/>
  <c r="AE1817" i="1"/>
  <c r="AB1817" i="1"/>
  <c r="AC1817" i="1"/>
  <c r="AD1817" i="1"/>
  <c r="M1780" i="1"/>
  <c r="O1780" i="1" s="1"/>
  <c r="P1780" i="1" s="1"/>
  <c r="Q1780" i="1" s="1"/>
  <c r="AA1780" i="1" l="1"/>
  <c r="Z1780" i="1"/>
  <c r="Y1780" i="1"/>
  <c r="AB1799" i="1"/>
  <c r="AC1799" i="1"/>
  <c r="AD1799" i="1"/>
  <c r="AE1799" i="1"/>
  <c r="O1743" i="1"/>
  <c r="P1743" i="1" s="1"/>
  <c r="Q1743" i="1" s="1"/>
  <c r="O1741" i="1"/>
  <c r="P1741" i="1" s="1"/>
  <c r="Q1741" i="1" s="1"/>
  <c r="AB1780" i="1" l="1"/>
  <c r="AE1780" i="1"/>
  <c r="AC1780" i="1"/>
  <c r="AD1780" i="1"/>
  <c r="AA1741" i="1"/>
  <c r="Y1741" i="1"/>
  <c r="Z1741" i="1"/>
  <c r="AA1743" i="1"/>
  <c r="Y1743" i="1"/>
  <c r="Z1743" i="1"/>
  <c r="G1517" i="1"/>
  <c r="P1517" i="1" s="1"/>
  <c r="Q1517" i="1" s="1"/>
  <c r="AC1743" i="1" l="1"/>
  <c r="AE1743" i="1"/>
  <c r="AD1743" i="1"/>
  <c r="AB1743" i="1"/>
  <c r="AC1741" i="1"/>
  <c r="AE1741" i="1"/>
  <c r="AB1741" i="1"/>
  <c r="AD1741" i="1"/>
  <c r="Z1517" i="1"/>
  <c r="Y1517" i="1"/>
  <c r="AA1517" i="1"/>
  <c r="M1486" i="1"/>
  <c r="O1486" i="1" s="1"/>
  <c r="P1486" i="1" s="1"/>
  <c r="Q1486" i="1" s="1"/>
  <c r="M1484" i="1"/>
  <c r="O1484" i="1" s="1"/>
  <c r="P1484" i="1" s="1"/>
  <c r="Q1484" i="1" s="1"/>
  <c r="M1470" i="1"/>
  <c r="O1470" i="1" s="1"/>
  <c r="P1470" i="1" s="1"/>
  <c r="Q1470" i="1" s="1"/>
  <c r="Z1484" i="1" l="1"/>
  <c r="Y1484" i="1"/>
  <c r="AA1484" i="1"/>
  <c r="Z1470" i="1"/>
  <c r="Y1470" i="1"/>
  <c r="AA1470" i="1"/>
  <c r="Z1486" i="1"/>
  <c r="Y1486" i="1"/>
  <c r="AA1486" i="1"/>
  <c r="AD1517" i="1"/>
  <c r="AB1517" i="1"/>
  <c r="AC1517" i="1"/>
  <c r="AE1517" i="1"/>
  <c r="AD1486" i="1" l="1"/>
  <c r="AE1486" i="1"/>
  <c r="AB1486" i="1"/>
  <c r="AC1486" i="1"/>
  <c r="AE1470" i="1"/>
  <c r="AB1470" i="1"/>
  <c r="AC1470" i="1"/>
  <c r="AD1470" i="1"/>
  <c r="AD1484" i="1"/>
  <c r="AE1484" i="1"/>
  <c r="AB1484" i="1"/>
  <c r="AC1484" i="1"/>
  <c r="M973" i="1"/>
  <c r="O973" i="1" s="1"/>
  <c r="P973" i="1" s="1"/>
  <c r="Q973" i="1" s="1"/>
  <c r="Y973" i="1" l="1"/>
  <c r="Z973" i="1"/>
  <c r="AA973" i="1"/>
  <c r="M965" i="1"/>
  <c r="AB973" i="1" l="1"/>
  <c r="AC973" i="1"/>
  <c r="AD973" i="1"/>
  <c r="AE973" i="1"/>
  <c r="O912" i="1"/>
  <c r="P912" i="1" s="1"/>
  <c r="Q912" i="1" s="1"/>
  <c r="Y912" i="1" l="1"/>
  <c r="Z912" i="1"/>
  <c r="AA912" i="1"/>
  <c r="AC912" i="1" l="1"/>
  <c r="AB912" i="1"/>
  <c r="AD912" i="1"/>
  <c r="AE912" i="1"/>
  <c r="AD2516" i="1" l="1"/>
  <c r="Y2515" i="1"/>
  <c r="Z2553" i="1"/>
  <c r="Z2538" i="1"/>
  <c r="Z2439" i="1"/>
  <c r="Z2423" i="1"/>
  <c r="Z2419" i="1"/>
  <c r="Z2408" i="1"/>
  <c r="Z2403" i="1"/>
  <c r="Z2399" i="1"/>
  <c r="Z2384" i="1"/>
  <c r="Z2306" i="1"/>
  <c r="Z2287" i="1"/>
  <c r="Z2283" i="1"/>
  <c r="Y2277" i="1"/>
  <c r="Y2273" i="1"/>
  <c r="Y2268" i="1"/>
  <c r="Y2264" i="1"/>
  <c r="Y2260" i="1"/>
  <c r="Y2245" i="1"/>
  <c r="Y2241" i="1"/>
  <c r="Z2596" i="1"/>
  <c r="Z2592" i="1"/>
  <c r="Z2589" i="1"/>
  <c r="Z2585" i="1"/>
  <c r="Z2583" i="1"/>
  <c r="Z2567" i="1"/>
  <c r="Z2558" i="1"/>
  <c r="Y2556" i="1"/>
  <c r="Y2552" i="1"/>
  <c r="Y2456" i="1"/>
  <c r="Y2438" i="1"/>
  <c r="Y2422" i="1"/>
  <c r="Y2411" i="1"/>
  <c r="Y2407" i="1"/>
  <c r="Y2402" i="1"/>
  <c r="Y2398" i="1"/>
  <c r="Y2383" i="1"/>
  <c r="Y2305" i="1"/>
  <c r="Y2286" i="1"/>
  <c r="Y2282" i="1"/>
  <c r="Z2554" i="1"/>
  <c r="Z2541" i="1"/>
  <c r="Z2441" i="1"/>
  <c r="Z2424" i="1"/>
  <c r="Z2420" i="1"/>
  <c r="Z2409" i="1"/>
  <c r="Z2405" i="1"/>
  <c r="Z2400" i="1"/>
  <c r="Z2396" i="1"/>
  <c r="Z2366" i="1"/>
  <c r="Z2288" i="1"/>
  <c r="Z2284" i="1"/>
  <c r="Z2280" i="1"/>
  <c r="Y2278" i="1"/>
  <c r="Y2274" i="1"/>
  <c r="Y2269" i="1"/>
  <c r="Y2265" i="1"/>
  <c r="Y2261" i="1"/>
  <c r="Y2246" i="1"/>
  <c r="Y2242" i="1"/>
  <c r="Y2598" i="1"/>
  <c r="Y2593" i="1"/>
  <c r="Y2591" i="1"/>
  <c r="Y2588" i="1"/>
  <c r="Y2584" i="1"/>
  <c r="Y2581" i="1"/>
  <c r="Y2566" i="1"/>
  <c r="Z2559" i="1"/>
  <c r="Y2557" i="1"/>
  <c r="Y2553" i="1"/>
  <c r="Y2538" i="1"/>
  <c r="Y2439" i="1"/>
  <c r="Y2423" i="1"/>
  <c r="Y2419" i="1"/>
  <c r="Y2408" i="1"/>
  <c r="Y2403" i="1"/>
  <c r="Y2399" i="1"/>
  <c r="Y2384" i="1"/>
  <c r="Y2306" i="1"/>
  <c r="Y2287" i="1"/>
  <c r="Y2283" i="1"/>
  <c r="Y2558" i="1"/>
  <c r="Z2555" i="1"/>
  <c r="Z2551" i="1"/>
  <c r="Z2445" i="1"/>
  <c r="Z2437" i="1"/>
  <c r="Z2421" i="1"/>
  <c r="Z2410" i="1"/>
  <c r="Z2406" i="1"/>
  <c r="Z2401" i="1"/>
  <c r="Z2397" i="1"/>
  <c r="Z2375" i="1"/>
  <c r="Z2304" i="1"/>
  <c r="Z2285" i="1"/>
  <c r="Z2281" i="1"/>
  <c r="Y2279" i="1"/>
  <c r="Y2275" i="1"/>
  <c r="Y2270" i="1"/>
  <c r="Y2266" i="1"/>
  <c r="Y2262" i="1"/>
  <c r="Y2258" i="1"/>
  <c r="Y2243" i="1"/>
  <c r="Z2598" i="1"/>
  <c r="Z2593" i="1"/>
  <c r="Z2591" i="1"/>
  <c r="Z2588" i="1"/>
  <c r="Z2584" i="1"/>
  <c r="Z2581" i="1"/>
  <c r="Z2566" i="1"/>
  <c r="Y2543" i="1"/>
  <c r="Z2515" i="1"/>
  <c r="Y2554" i="1"/>
  <c r="Y2541" i="1"/>
  <c r="Y2441" i="1"/>
  <c r="Y2424" i="1"/>
  <c r="Y2420" i="1"/>
  <c r="Y2409" i="1"/>
  <c r="Y2405" i="1"/>
  <c r="Y2400" i="1"/>
  <c r="Y2396" i="1"/>
  <c r="Y2366" i="1"/>
  <c r="Y2288" i="1"/>
  <c r="Y2284" i="1"/>
  <c r="AC2516" i="1"/>
  <c r="Y2559" i="1"/>
  <c r="Z2556" i="1"/>
  <c r="Z2552" i="1"/>
  <c r="Z2456" i="1"/>
  <c r="Z2438" i="1"/>
  <c r="Z2422" i="1"/>
  <c r="Z2411" i="1"/>
  <c r="Z2407" i="1"/>
  <c r="Z2402" i="1"/>
  <c r="Z2398" i="1"/>
  <c r="Z2383" i="1"/>
  <c r="Z2305" i="1"/>
  <c r="Z2286" i="1"/>
  <c r="Z2282" i="1"/>
  <c r="Y2276" i="1"/>
  <c r="Y2271" i="1"/>
  <c r="Y2267" i="1"/>
  <c r="Y2263" i="1"/>
  <c r="Y2259" i="1"/>
  <c r="Y2244" i="1"/>
  <c r="Y2596" i="1"/>
  <c r="Y2592" i="1"/>
  <c r="Y2589" i="1"/>
  <c r="Y2585" i="1"/>
  <c r="Y2583" i="1"/>
  <c r="Y2567" i="1"/>
  <c r="Z2543" i="1"/>
  <c r="Z2557" i="1"/>
  <c r="Y2555" i="1"/>
  <c r="Y2551" i="1"/>
  <c r="Y2445" i="1"/>
  <c r="Y2437" i="1"/>
  <c r="Y2421" i="1"/>
  <c r="Y2410" i="1"/>
  <c r="Y2406" i="1"/>
  <c r="Y2401" i="1"/>
  <c r="Y2397" i="1"/>
  <c r="Y2375" i="1"/>
  <c r="Y2304" i="1"/>
  <c r="Y2285" i="1"/>
  <c r="Y2281" i="1"/>
  <c r="Z2271" i="1"/>
  <c r="Z2263" i="1"/>
  <c r="Z2244" i="1"/>
  <c r="Y2236" i="1"/>
  <c r="Y2232" i="1"/>
  <c r="Y2227" i="1"/>
  <c r="Y2223" i="1"/>
  <c r="Y2219" i="1"/>
  <c r="Z2216" i="1"/>
  <c r="Z2211" i="1"/>
  <c r="Z2204" i="1"/>
  <c r="Z2189" i="1"/>
  <c r="Z2184" i="1"/>
  <c r="Z2180" i="1"/>
  <c r="Z2175" i="1"/>
  <c r="Z2171" i="1"/>
  <c r="Y2164" i="1"/>
  <c r="Y2158" i="1"/>
  <c r="Y2078" i="1"/>
  <c r="Y2072" i="1"/>
  <c r="Y2062" i="1"/>
  <c r="Z2058" i="1"/>
  <c r="Z2050" i="1"/>
  <c r="Y2028" i="1"/>
  <c r="Y2017" i="1"/>
  <c r="Y2004" i="1"/>
  <c r="Z2277" i="1"/>
  <c r="Z2268" i="1"/>
  <c r="Z2260" i="1"/>
  <c r="Y2240" i="1"/>
  <c r="Z2238" i="1"/>
  <c r="Z2234" i="1"/>
  <c r="Z2230" i="1"/>
  <c r="Z2225" i="1"/>
  <c r="Z2221" i="1"/>
  <c r="Y2214" i="1"/>
  <c r="Y2210" i="1"/>
  <c r="Y2193" i="1"/>
  <c r="Y2187" i="1"/>
  <c r="Y2183" i="1"/>
  <c r="Y2179" i="1"/>
  <c r="Y2174" i="1"/>
  <c r="Y2170" i="1"/>
  <c r="Z2166" i="1"/>
  <c r="Z2161" i="1"/>
  <c r="Z2150" i="1"/>
  <c r="Z2075" i="1"/>
  <c r="Z2069" i="1"/>
  <c r="Z2059" i="1"/>
  <c r="Y2056" i="1"/>
  <c r="Z2019" i="1"/>
  <c r="Z2006" i="1"/>
  <c r="Z1999" i="1"/>
  <c r="Z1995" i="1"/>
  <c r="Y2280" i="1"/>
  <c r="Z2274" i="1"/>
  <c r="Z2265" i="1"/>
  <c r="Z2246" i="1"/>
  <c r="Z2241" i="1"/>
  <c r="Y2237" i="1"/>
  <c r="Y2233" i="1"/>
  <c r="Y2229" i="1"/>
  <c r="Y2224" i="1"/>
  <c r="Y2220" i="1"/>
  <c r="Z2217" i="1"/>
  <c r="Z2212" i="1"/>
  <c r="Z2206" i="1"/>
  <c r="Z2190" i="1"/>
  <c r="Z2185" i="1"/>
  <c r="Z2181" i="1"/>
  <c r="Z2177" i="1"/>
  <c r="Z2172" i="1"/>
  <c r="Z2168" i="1"/>
  <c r="Y2165" i="1"/>
  <c r="Y2159" i="1"/>
  <c r="Y2106" i="1"/>
  <c r="Y2074" i="1"/>
  <c r="Y2067" i="1"/>
  <c r="Z2054" i="1"/>
  <c r="Y2039" i="1"/>
  <c r="Y2018" i="1"/>
  <c r="Y2005" i="1"/>
  <c r="Z2279" i="1"/>
  <c r="Z2270" i="1"/>
  <c r="Z2262" i="1"/>
  <c r="Z2243" i="1"/>
  <c r="Z2239" i="1"/>
  <c r="Z2235" i="1"/>
  <c r="Z2231" i="1"/>
  <c r="Z2226" i="1"/>
  <c r="Z2222" i="1"/>
  <c r="Z2218" i="1"/>
  <c r="Y2215" i="1"/>
  <c r="Y2211" i="1"/>
  <c r="Y2204" i="1"/>
  <c r="Y2189" i="1"/>
  <c r="Y2184" i="1"/>
  <c r="Y2180" i="1"/>
  <c r="Y2175" i="1"/>
  <c r="Y2171" i="1"/>
  <c r="Z2162" i="1"/>
  <c r="Z2151" i="1"/>
  <c r="Z2077" i="1"/>
  <c r="Z2071" i="1"/>
  <c r="Z2061" i="1"/>
  <c r="Y2058" i="1"/>
  <c r="Y2050" i="1"/>
  <c r="Z2020" i="1"/>
  <c r="Z2007" i="1"/>
  <c r="Z2001" i="1"/>
  <c r="Z1996" i="1"/>
  <c r="Z2276" i="1"/>
  <c r="Z2267" i="1"/>
  <c r="Z2259" i="1"/>
  <c r="Y2238" i="1"/>
  <c r="Y2234" i="1"/>
  <c r="Y2230" i="1"/>
  <c r="Y2225" i="1"/>
  <c r="Y2221" i="1"/>
  <c r="Y2216" i="1"/>
  <c r="Z2213" i="1"/>
  <c r="Z2209" i="1"/>
  <c r="Z2191" i="1"/>
  <c r="Z2186" i="1"/>
  <c r="Z2182" i="1"/>
  <c r="Z2178" i="1"/>
  <c r="Z2173" i="1"/>
  <c r="Z2169" i="1"/>
  <c r="Y2166" i="1"/>
  <c r="Y2161" i="1"/>
  <c r="Y2150" i="1"/>
  <c r="Y2075" i="1"/>
  <c r="Y2069" i="1"/>
  <c r="Z2055" i="1"/>
  <c r="Y2019" i="1"/>
  <c r="Y2006" i="1"/>
  <c r="Y1999" i="1"/>
  <c r="Z2273" i="1"/>
  <c r="Z2264" i="1"/>
  <c r="Z2245" i="1"/>
  <c r="Z2236" i="1"/>
  <c r="Z2232" i="1"/>
  <c r="Z2227" i="1"/>
  <c r="Z2223" i="1"/>
  <c r="Z2219" i="1"/>
  <c r="Y2217" i="1"/>
  <c r="Y2212" i="1"/>
  <c r="Y2206" i="1"/>
  <c r="Y2190" i="1"/>
  <c r="Y2185" i="1"/>
  <c r="Y2181" i="1"/>
  <c r="Y2177" i="1"/>
  <c r="Y2172" i="1"/>
  <c r="Y2168" i="1"/>
  <c r="Z2164" i="1"/>
  <c r="Z2158" i="1"/>
  <c r="Z2078" i="1"/>
  <c r="Z2072" i="1"/>
  <c r="Z2062" i="1"/>
  <c r="Y2059" i="1"/>
  <c r="Y2054" i="1"/>
  <c r="Z2028" i="1"/>
  <c r="Z2017" i="1"/>
  <c r="Z2004" i="1"/>
  <c r="Z2278" i="1"/>
  <c r="Z2269" i="1"/>
  <c r="Z2261" i="1"/>
  <c r="Z2240" i="1"/>
  <c r="Y2239" i="1"/>
  <c r="Y2235" i="1"/>
  <c r="Y2231" i="1"/>
  <c r="Y2226" i="1"/>
  <c r="Y2222" i="1"/>
  <c r="Y2218" i="1"/>
  <c r="Z2214" i="1"/>
  <c r="Z2210" i="1"/>
  <c r="Z2193" i="1"/>
  <c r="Z2187" i="1"/>
  <c r="Z2183" i="1"/>
  <c r="Z2179" i="1"/>
  <c r="Z2174" i="1"/>
  <c r="Z2170" i="1"/>
  <c r="Y2162" i="1"/>
  <c r="Y2151" i="1"/>
  <c r="Y2077" i="1"/>
  <c r="Y2071" i="1"/>
  <c r="Y2061" i="1"/>
  <c r="Z2056" i="1"/>
  <c r="Y2020" i="1"/>
  <c r="Y2007" i="1"/>
  <c r="Y2001" i="1"/>
  <c r="Z2275" i="1"/>
  <c r="Z2266" i="1"/>
  <c r="Z2258" i="1"/>
  <c r="Z2242" i="1"/>
  <c r="Z2237" i="1"/>
  <c r="Z2233" i="1"/>
  <c r="Z2229" i="1"/>
  <c r="Z2224" i="1"/>
  <c r="Z2220" i="1"/>
  <c r="Z2215" i="1"/>
  <c r="Y2213" i="1"/>
  <c r="Y2209" i="1"/>
  <c r="Y2191" i="1"/>
  <c r="Y2186" i="1"/>
  <c r="Y2182" i="1"/>
  <c r="Y2178" i="1"/>
  <c r="Y2173" i="1"/>
  <c r="Y2169" i="1"/>
  <c r="Z2165" i="1"/>
  <c r="Z2159" i="1"/>
  <c r="Z2106" i="1"/>
  <c r="Z2074" i="1"/>
  <c r="Z2067" i="1"/>
  <c r="Y2055" i="1"/>
  <c r="Z2039" i="1"/>
  <c r="Z2018" i="1"/>
  <c r="Z2005" i="1"/>
  <c r="Z1998" i="1"/>
  <c r="Y1993" i="1"/>
  <c r="Y1980" i="1"/>
  <c r="Y1971" i="1"/>
  <c r="Y1957" i="1"/>
  <c r="Y1949" i="1"/>
  <c r="Y1932" i="1"/>
  <c r="Y1923" i="1"/>
  <c r="Y1720" i="1"/>
  <c r="Y1664" i="1"/>
  <c r="Y1658" i="1"/>
  <c r="Y1579" i="1"/>
  <c r="Y1574" i="1"/>
  <c r="Y1556" i="1"/>
  <c r="AD1507" i="1"/>
  <c r="Z1534" i="1"/>
  <c r="Z1521" i="1"/>
  <c r="Z1502" i="1"/>
  <c r="Z1353" i="1"/>
  <c r="Z1333" i="1"/>
  <c r="Z1325" i="1"/>
  <c r="Z1318" i="1"/>
  <c r="Y1301" i="1"/>
  <c r="Y1290" i="1"/>
  <c r="Y1284" i="1"/>
  <c r="Y1277" i="1"/>
  <c r="Y1998" i="1"/>
  <c r="Z1991" i="1"/>
  <c r="Z1976" i="1"/>
  <c r="Z1968" i="1"/>
  <c r="Z1951" i="1"/>
  <c r="Z1939" i="1"/>
  <c r="Z1925" i="1"/>
  <c r="Z1778" i="1"/>
  <c r="Z1736" i="1"/>
  <c r="Z1668" i="1"/>
  <c r="Z1660" i="1"/>
  <c r="Z1602" i="1"/>
  <c r="Z1577" i="1"/>
  <c r="Z1565" i="1"/>
  <c r="Z1550" i="1"/>
  <c r="AC1507" i="1"/>
  <c r="Y1530" i="1"/>
  <c r="Y1520" i="1"/>
  <c r="Y1501" i="1"/>
  <c r="Y1361" i="1"/>
  <c r="Y1348" i="1"/>
  <c r="Y1330" i="1"/>
  <c r="Y1321" i="1"/>
  <c r="Y1317" i="1"/>
  <c r="Z1295" i="1"/>
  <c r="Z1288" i="1"/>
  <c r="Z1281" i="1"/>
  <c r="Z1269" i="1"/>
  <c r="Z1997" i="1"/>
  <c r="Y1994" i="1"/>
  <c r="Y1981" i="1"/>
  <c r="Y1975" i="1"/>
  <c r="Y1960" i="1"/>
  <c r="Y1950" i="1"/>
  <c r="Y1938" i="1"/>
  <c r="Y1924" i="1"/>
  <c r="Y1758" i="1"/>
  <c r="Y1731" i="1"/>
  <c r="Y1667" i="1"/>
  <c r="Y1659" i="1"/>
  <c r="Y1581" i="1"/>
  <c r="Y1575" i="1"/>
  <c r="Y1560" i="1"/>
  <c r="Y1549" i="1"/>
  <c r="AC1506" i="1"/>
  <c r="Z1522" i="1"/>
  <c r="Z1511" i="1"/>
  <c r="Z1392" i="1"/>
  <c r="Z1354" i="1"/>
  <c r="Z1334" i="1"/>
  <c r="Z1328" i="1"/>
  <c r="Z1319" i="1"/>
  <c r="Z1310" i="1"/>
  <c r="Y1302" i="1"/>
  <c r="Y1291" i="1"/>
  <c r="Y1287" i="1"/>
  <c r="Y1280" i="1"/>
  <c r="Y1997" i="1"/>
  <c r="Z1992" i="1"/>
  <c r="Z1977" i="1"/>
  <c r="Z1970" i="1"/>
  <c r="Z1956" i="1"/>
  <c r="Z1940" i="1"/>
  <c r="Z1926" i="1"/>
  <c r="Z1879" i="1"/>
  <c r="Z1669" i="1"/>
  <c r="Z1661" i="1"/>
  <c r="Z1635" i="1"/>
  <c r="Z1578" i="1"/>
  <c r="Z1571" i="1"/>
  <c r="Z1555" i="1"/>
  <c r="Z1543" i="1"/>
  <c r="AD1506" i="1"/>
  <c r="Y1534" i="1"/>
  <c r="Y1521" i="1"/>
  <c r="Y1502" i="1"/>
  <c r="Y1353" i="1"/>
  <c r="Y1333" i="1"/>
  <c r="Y1325" i="1"/>
  <c r="Y1318" i="1"/>
  <c r="Z1299" i="1"/>
  <c r="Z1289" i="1"/>
  <c r="Z1282" i="1"/>
  <c r="Z1270" i="1"/>
  <c r="Y1995" i="1"/>
  <c r="Y1991" i="1"/>
  <c r="Y1976" i="1"/>
  <c r="Y1968" i="1"/>
  <c r="Y1951" i="1"/>
  <c r="Y1939" i="1"/>
  <c r="Y1925" i="1"/>
  <c r="Y1778" i="1"/>
  <c r="Y1736" i="1"/>
  <c r="Y1660" i="1"/>
  <c r="Y1602" i="1"/>
  <c r="Y1577" i="1"/>
  <c r="Y1565" i="1"/>
  <c r="Y1550" i="1"/>
  <c r="AD1543" i="1"/>
  <c r="Z1526" i="1"/>
  <c r="Z1519" i="1"/>
  <c r="Z1493" i="1"/>
  <c r="Z1341" i="1"/>
  <c r="Z1329" i="1"/>
  <c r="Z1320" i="1"/>
  <c r="Z1311" i="1"/>
  <c r="Y1295" i="1"/>
  <c r="Y1288" i="1"/>
  <c r="Y1281" i="1"/>
  <c r="Y1269" i="1"/>
  <c r="Z1993" i="1"/>
  <c r="Z1980" i="1"/>
  <c r="Z1971" i="1"/>
  <c r="Z1957" i="1"/>
  <c r="Z1949" i="1"/>
  <c r="Z1932" i="1"/>
  <c r="Z1923" i="1"/>
  <c r="Z1720" i="1"/>
  <c r="Z1664" i="1"/>
  <c r="Z1658" i="1"/>
  <c r="Z1579" i="1"/>
  <c r="Z1574" i="1"/>
  <c r="Z1556" i="1"/>
  <c r="AC1543" i="1"/>
  <c r="Y1522" i="1"/>
  <c r="Y1511" i="1"/>
  <c r="Y1392" i="1"/>
  <c r="Y1354" i="1"/>
  <c r="Y1334" i="1"/>
  <c r="Y1328" i="1"/>
  <c r="Y1319" i="1"/>
  <c r="Y1310" i="1"/>
  <c r="Z1301" i="1"/>
  <c r="Z1290" i="1"/>
  <c r="Z1284" i="1"/>
  <c r="Z1277" i="1"/>
  <c r="Z1259" i="1"/>
  <c r="Y1992" i="1"/>
  <c r="Y1977" i="1"/>
  <c r="Y1970" i="1"/>
  <c r="Y1956" i="1"/>
  <c r="Y1940" i="1"/>
  <c r="Y1926" i="1"/>
  <c r="Y1879" i="1"/>
  <c r="Y1661" i="1"/>
  <c r="Y1635" i="1"/>
  <c r="Y1578" i="1"/>
  <c r="Y1571" i="1"/>
  <c r="Y1555" i="1"/>
  <c r="Z1530" i="1"/>
  <c r="Z1520" i="1"/>
  <c r="Z1501" i="1"/>
  <c r="Z1361" i="1"/>
  <c r="Z1348" i="1"/>
  <c r="Z1330" i="1"/>
  <c r="Z1321" i="1"/>
  <c r="Z1317" i="1"/>
  <c r="Y1299" i="1"/>
  <c r="Y1289" i="1"/>
  <c r="Y1282" i="1"/>
  <c r="Y1270" i="1"/>
  <c r="Y1253" i="1"/>
  <c r="Y1996" i="1"/>
  <c r="Z1994" i="1"/>
  <c r="Z1981" i="1"/>
  <c r="Z1975" i="1"/>
  <c r="Z1960" i="1"/>
  <c r="Z1950" i="1"/>
  <c r="Z1938" i="1"/>
  <c r="Z1924" i="1"/>
  <c r="Z1758" i="1"/>
  <c r="Z1731" i="1"/>
  <c r="Z1667" i="1"/>
  <c r="Z1659" i="1"/>
  <c r="Z1581" i="1"/>
  <c r="Z1575" i="1"/>
  <c r="Z1560" i="1"/>
  <c r="Z1549" i="1"/>
  <c r="Y1526" i="1"/>
  <c r="Y1519" i="1"/>
  <c r="Y1493" i="1"/>
  <c r="Y1341" i="1"/>
  <c r="Y1329" i="1"/>
  <c r="Y1320" i="1"/>
  <c r="Y1311" i="1"/>
  <c r="Z1302" i="1"/>
  <c r="Z1291" i="1"/>
  <c r="Z1287" i="1"/>
  <c r="Z1280" i="1"/>
  <c r="Z1268" i="1"/>
  <c r="Z1252" i="1"/>
  <c r="Z1234" i="1"/>
  <c r="Z1227" i="1"/>
  <c r="Z1215" i="1"/>
  <c r="Z1209" i="1"/>
  <c r="Y708" i="1"/>
  <c r="Y1240" i="1"/>
  <c r="Y1233" i="1"/>
  <c r="Y1226" i="1"/>
  <c r="Y1214" i="1"/>
  <c r="Y1207" i="1"/>
  <c r="Z709" i="1"/>
  <c r="Y1259" i="1"/>
  <c r="Z1235" i="1"/>
  <c r="Z1230" i="1"/>
  <c r="Z1221" i="1"/>
  <c r="Z1210" i="1"/>
  <c r="Y707" i="1"/>
  <c r="Y1252" i="1"/>
  <c r="Y1234" i="1"/>
  <c r="Y1227" i="1"/>
  <c r="Y1215" i="1"/>
  <c r="Y1209" i="1"/>
  <c r="Z708" i="1"/>
  <c r="Z1253" i="1"/>
  <c r="Z1239" i="1"/>
  <c r="Z1232" i="1"/>
  <c r="Z1225" i="1"/>
  <c r="Z1213" i="1"/>
  <c r="Y1235" i="1"/>
  <c r="Y1230" i="1"/>
  <c r="Y1221" i="1"/>
  <c r="Y1210" i="1"/>
  <c r="Z707" i="1"/>
  <c r="Y709" i="1"/>
  <c r="Z1240" i="1"/>
  <c r="Z1233" i="1"/>
  <c r="Z1226" i="1"/>
  <c r="Z1214" i="1"/>
  <c r="Z1207" i="1"/>
  <c r="Y1268" i="1"/>
  <c r="Y1239" i="1"/>
  <c r="Y1232" i="1"/>
  <c r="Y1225" i="1"/>
  <c r="Y1213" i="1"/>
  <c r="Z661" i="1"/>
  <c r="Z733" i="1"/>
  <c r="Z721" i="1"/>
  <c r="Z711" i="1"/>
  <c r="Z750" i="1"/>
  <c r="Z757" i="1"/>
  <c r="Z792" i="1"/>
  <c r="Z818" i="1"/>
  <c r="Y857" i="1"/>
  <c r="Y736" i="1"/>
  <c r="Y727" i="1"/>
  <c r="Y720" i="1"/>
  <c r="Y760" i="1"/>
  <c r="Y756" i="1"/>
  <c r="Y791" i="1"/>
  <c r="AD818" i="1"/>
  <c r="Z848" i="1"/>
  <c r="Z734" i="1"/>
  <c r="Z725" i="1"/>
  <c r="Z718" i="1"/>
  <c r="Z746" i="1"/>
  <c r="Z758" i="1"/>
  <c r="Z793" i="1"/>
  <c r="AC818" i="1"/>
  <c r="Y858" i="1"/>
  <c r="Y847" i="1"/>
  <c r="Y661" i="1"/>
  <c r="Y733" i="1"/>
  <c r="Y721" i="1"/>
  <c r="Y711" i="1"/>
  <c r="Y750" i="1"/>
  <c r="Y757" i="1"/>
  <c r="Y792" i="1"/>
  <c r="Z855" i="1"/>
  <c r="Z845" i="1"/>
  <c r="Z847" i="1"/>
  <c r="Z735" i="1"/>
  <c r="Z726" i="1"/>
  <c r="Z719" i="1"/>
  <c r="Z759" i="1"/>
  <c r="Z755" i="1"/>
  <c r="Z790" i="1"/>
  <c r="Y848" i="1"/>
  <c r="Y846" i="1"/>
  <c r="Y734" i="1"/>
  <c r="Y725" i="1"/>
  <c r="Y718" i="1"/>
  <c r="Z765" i="1"/>
  <c r="Y746" i="1"/>
  <c r="Y758" i="1"/>
  <c r="Y793" i="1"/>
  <c r="Z857" i="1"/>
  <c r="Z846" i="1"/>
  <c r="Z736" i="1"/>
  <c r="Z727" i="1"/>
  <c r="Z720" i="1"/>
  <c r="Z760" i="1"/>
  <c r="Z756" i="1"/>
  <c r="Z791" i="1"/>
  <c r="Y855" i="1"/>
  <c r="Y845" i="1"/>
  <c r="Y735" i="1"/>
  <c r="Y726" i="1"/>
  <c r="Y719" i="1"/>
  <c r="Z763" i="1"/>
  <c r="Y759" i="1"/>
  <c r="Y755" i="1"/>
  <c r="Y790" i="1"/>
  <c r="Z858" i="1"/>
  <c r="AC900" i="1"/>
  <c r="Y905" i="1"/>
  <c r="Y920" i="1"/>
  <c r="Y937" i="1"/>
  <c r="Y946" i="1"/>
  <c r="Y957" i="1"/>
  <c r="Y975" i="1"/>
  <c r="Z1036" i="1"/>
  <c r="Z1194" i="1"/>
  <c r="Z1184" i="1"/>
  <c r="Z1150" i="1"/>
  <c r="Z1144" i="1"/>
  <c r="Z1135" i="1"/>
  <c r="Z1136" i="1"/>
  <c r="AD900" i="1"/>
  <c r="Z911" i="1"/>
  <c r="Z922" i="1"/>
  <c r="Z941" i="1"/>
  <c r="Z955" i="1"/>
  <c r="Z970" i="1"/>
  <c r="AD1036" i="1"/>
  <c r="Y1053" i="1"/>
  <c r="Y1193" i="1"/>
  <c r="Y1177" i="1"/>
  <c r="Y1149" i="1"/>
  <c r="Y1140" i="1"/>
  <c r="Y1145" i="1"/>
  <c r="Z900" i="1"/>
  <c r="Y901" i="1"/>
  <c r="Y914" i="1"/>
  <c r="Y936" i="1"/>
  <c r="Y945" i="1"/>
  <c r="Y956" i="1"/>
  <c r="Y971" i="1"/>
  <c r="AC1036" i="1"/>
  <c r="Z1196" i="1"/>
  <c r="Z1185" i="1"/>
  <c r="Z1162" i="1"/>
  <c r="Z1146" i="1"/>
  <c r="Y899" i="1"/>
  <c r="Z934" i="1"/>
  <c r="Z907" i="1"/>
  <c r="Z921" i="1"/>
  <c r="Z940" i="1"/>
  <c r="Z948" i="1"/>
  <c r="Z962" i="1"/>
  <c r="Z1027" i="1"/>
  <c r="Y1194" i="1"/>
  <c r="Y1184" i="1"/>
  <c r="Y1150" i="1"/>
  <c r="Y1144" i="1"/>
  <c r="Y1135" i="1"/>
  <c r="Z935" i="1"/>
  <c r="Y911" i="1"/>
  <c r="Y922" i="1"/>
  <c r="Y941" i="1"/>
  <c r="Y955" i="1"/>
  <c r="Y970" i="1"/>
  <c r="Z1198" i="1"/>
  <c r="Z1186" i="1"/>
  <c r="Z1168" i="1"/>
  <c r="Z1148" i="1"/>
  <c r="Z1137" i="1"/>
  <c r="Z1145" i="1"/>
  <c r="Y1136" i="1"/>
  <c r="Z905" i="1"/>
  <c r="Z920" i="1"/>
  <c r="Z937" i="1"/>
  <c r="Z946" i="1"/>
  <c r="Z957" i="1"/>
  <c r="Z975" i="1"/>
  <c r="Y1196" i="1"/>
  <c r="Y1185" i="1"/>
  <c r="Y1162" i="1"/>
  <c r="Y1146" i="1"/>
  <c r="Z899" i="1"/>
  <c r="Y907" i="1"/>
  <c r="Y921" i="1"/>
  <c r="Y940" i="1"/>
  <c r="Y948" i="1"/>
  <c r="Y962" i="1"/>
  <c r="Y1027" i="1"/>
  <c r="Z1053" i="1"/>
  <c r="Z1193" i="1"/>
  <c r="Z1177" i="1"/>
  <c r="Z1149" i="1"/>
  <c r="Z1140" i="1"/>
  <c r="Z901" i="1"/>
  <c r="Z914" i="1"/>
  <c r="Z936" i="1"/>
  <c r="Z945" i="1"/>
  <c r="Z956" i="1"/>
  <c r="Z971" i="1"/>
  <c r="Y1198" i="1"/>
  <c r="Y1186" i="1"/>
  <c r="Y1168" i="1"/>
  <c r="Y1148" i="1"/>
  <c r="Y1137" i="1"/>
  <c r="X1194" i="1" l="1"/>
  <c r="AA1194" i="1"/>
  <c r="AC955" i="1"/>
  <c r="AD955" i="1"/>
  <c r="AB955" i="1"/>
  <c r="AD1144" i="1"/>
  <c r="AC1144" i="1"/>
  <c r="AB1144" i="1"/>
  <c r="AD971" i="1"/>
  <c r="AB971" i="1"/>
  <c r="AC971" i="1"/>
  <c r="AB1149" i="1"/>
  <c r="AD1149" i="1"/>
  <c r="AC1149" i="1"/>
  <c r="X1137" i="1"/>
  <c r="AE1137" i="1" s="1"/>
  <c r="AA1137" i="1"/>
  <c r="AD937" i="1"/>
  <c r="AB937" i="1"/>
  <c r="AC937" i="1"/>
  <c r="X940" i="1"/>
  <c r="AA940" i="1"/>
  <c r="X1196" i="1"/>
  <c r="AA1196" i="1"/>
  <c r="AC1185" i="1"/>
  <c r="AB1185" i="1"/>
  <c r="AD1185" i="1"/>
  <c r="X970" i="1"/>
  <c r="AA970" i="1"/>
  <c r="AD750" i="1"/>
  <c r="AB750" i="1"/>
  <c r="AC750" i="1"/>
  <c r="AB733" i="1"/>
  <c r="AC733" i="1"/>
  <c r="AD733" i="1"/>
  <c r="AC847" i="1"/>
  <c r="AD847" i="1"/>
  <c r="AB847" i="1"/>
  <c r="X756" i="1"/>
  <c r="AA756" i="1"/>
  <c r="X720" i="1"/>
  <c r="AA720" i="1"/>
  <c r="AB736" i="1"/>
  <c r="AD736" i="1"/>
  <c r="AC736" i="1"/>
  <c r="Y818" i="1"/>
  <c r="AB818" i="1"/>
  <c r="AC755" i="1"/>
  <c r="AD755" i="1"/>
  <c r="AB755" i="1"/>
  <c r="AC719" i="1"/>
  <c r="AD719" i="1"/>
  <c r="AB719" i="1"/>
  <c r="X709" i="1"/>
  <c r="AA709" i="1"/>
  <c r="AC1252" i="1"/>
  <c r="AD1252" i="1"/>
  <c r="AB1252" i="1"/>
  <c r="X1214" i="1"/>
  <c r="AE1214" i="1" s="1"/>
  <c r="AA1214" i="1"/>
  <c r="AC1214" i="1"/>
  <c r="AD1214" i="1"/>
  <c r="AB1214" i="1"/>
  <c r="X1213" i="1"/>
  <c r="AE1213" i="1" s="1"/>
  <c r="AA1213" i="1"/>
  <c r="AC1213" i="1"/>
  <c r="AB1213" i="1"/>
  <c r="AD1213" i="1"/>
  <c r="X1210" i="1"/>
  <c r="AA1210" i="1"/>
  <c r="AB1295" i="1"/>
  <c r="AD1295" i="1"/>
  <c r="AC1295" i="1"/>
  <c r="X1502" i="1"/>
  <c r="AA1502" i="1"/>
  <c r="AC1550" i="1"/>
  <c r="AB1550" i="1"/>
  <c r="AD1550" i="1"/>
  <c r="X1305" i="1"/>
  <c r="AD1521" i="1"/>
  <c r="AB1521" i="1"/>
  <c r="AC1521" i="1"/>
  <c r="X1560" i="1"/>
  <c r="AE1560" i="1" s="1"/>
  <c r="AA1560" i="1"/>
  <c r="X1950" i="1"/>
  <c r="AA1950" i="1"/>
  <c r="AC1268" i="1"/>
  <c r="AD1268" i="1"/>
  <c r="AB1268" i="1"/>
  <c r="X1348" i="1"/>
  <c r="AE1348" i="1" s="1"/>
  <c r="AA1348" i="1"/>
  <c r="AC1667" i="1"/>
  <c r="AD1667" i="1"/>
  <c r="AB1667" i="1"/>
  <c r="AD1960" i="1"/>
  <c r="AB1960" i="1"/>
  <c r="AC1960" i="1"/>
  <c r="AD1330" i="1"/>
  <c r="AC1330" i="1"/>
  <c r="AB1330" i="1"/>
  <c r="X1980" i="1"/>
  <c r="AA1980" i="1"/>
  <c r="AC1277" i="1"/>
  <c r="AB1277" i="1"/>
  <c r="AD1277" i="1"/>
  <c r="AD1579" i="1"/>
  <c r="AC1579" i="1"/>
  <c r="AB1579" i="1"/>
  <c r="AB1720" i="1"/>
  <c r="AC1720" i="1"/>
  <c r="AD1720" i="1"/>
  <c r="AC1932" i="1"/>
  <c r="AD1932" i="1"/>
  <c r="AB1932" i="1"/>
  <c r="AB1311" i="1"/>
  <c r="AC1311" i="1"/>
  <c r="AD1311" i="1"/>
  <c r="AD1526" i="1"/>
  <c r="AB1526" i="1"/>
  <c r="AC1526" i="1"/>
  <c r="X1571" i="1"/>
  <c r="AE1571" i="1" s="1"/>
  <c r="AA1571" i="1"/>
  <c r="X1879" i="1"/>
  <c r="AA1879" i="1"/>
  <c r="X1319" i="1"/>
  <c r="AA1319" i="1"/>
  <c r="AC1992" i="1"/>
  <c r="AD1992" i="1"/>
  <c r="AB1992" i="1"/>
  <c r="X1976" i="1"/>
  <c r="AA1976" i="1"/>
  <c r="X2171" i="1"/>
  <c r="AA2171" i="1"/>
  <c r="AC2230" i="1"/>
  <c r="AD2230" i="1"/>
  <c r="AB2230" i="1"/>
  <c r="AC2058" i="1"/>
  <c r="AD2058" i="1"/>
  <c r="AB2058" i="1"/>
  <c r="AD2180" i="1"/>
  <c r="AC2180" i="1"/>
  <c r="AB2180" i="1"/>
  <c r="AD2216" i="1"/>
  <c r="AC2216" i="1"/>
  <c r="AB2216" i="1"/>
  <c r="X2179" i="1"/>
  <c r="AA2179" i="1"/>
  <c r="AC2215" i="1"/>
  <c r="AB2215" i="1"/>
  <c r="AD2215" i="1"/>
  <c r="AB2237" i="1"/>
  <c r="AC2237" i="1"/>
  <c r="AD2237" i="1"/>
  <c r="X2004" i="1"/>
  <c r="AE2004" i="1" s="1"/>
  <c r="AA2004" i="1"/>
  <c r="X2072" i="1"/>
  <c r="AA2072" i="1"/>
  <c r="AC2174" i="1"/>
  <c r="AB2174" i="1"/>
  <c r="AD2174" i="1"/>
  <c r="AB2062" i="1"/>
  <c r="AC2062" i="1"/>
  <c r="AD2062" i="1"/>
  <c r="X2182" i="1"/>
  <c r="AA2182" i="1"/>
  <c r="AC2191" i="1"/>
  <c r="AD2191" i="1"/>
  <c r="AB2191" i="1"/>
  <c r="X2226" i="1"/>
  <c r="AA2226" i="1"/>
  <c r="X2172" i="1"/>
  <c r="AE2172" i="1" s="1"/>
  <c r="AA2172" i="1"/>
  <c r="AD2235" i="1"/>
  <c r="AC2235" i="1"/>
  <c r="AB2235" i="1"/>
  <c r="X1999" i="1"/>
  <c r="AE1999" i="1" s="1"/>
  <c r="AA1999" i="1"/>
  <c r="X2069" i="1"/>
  <c r="AA2069" i="1"/>
  <c r="AC2172" i="1"/>
  <c r="AB2172" i="1"/>
  <c r="AD2172" i="1"/>
  <c r="AB2277" i="1"/>
  <c r="AC2277" i="1"/>
  <c r="AD2277" i="1"/>
  <c r="X2399" i="1"/>
  <c r="AE2399" i="1" s="1"/>
  <c r="AA2399" i="1"/>
  <c r="X2278" i="1"/>
  <c r="AE2278" i="1" s="1"/>
  <c r="AA2278" i="1"/>
  <c r="AB2399" i="1"/>
  <c r="AC2399" i="1"/>
  <c r="AD2399" i="1"/>
  <c r="X2557" i="1"/>
  <c r="AA2557" i="1"/>
  <c r="X2286" i="1"/>
  <c r="AE2286" i="1" s="1"/>
  <c r="AA2286" i="1"/>
  <c r="X2438" i="1"/>
  <c r="AA2438" i="1"/>
  <c r="AB2596" i="1"/>
  <c r="AC2596" i="1"/>
  <c r="AD2596" i="1"/>
  <c r="X2260" i="1"/>
  <c r="AE2260" i="1" s="1"/>
  <c r="AA2260" i="1"/>
  <c r="AD2282" i="1"/>
  <c r="AC2282" i="1"/>
  <c r="AB2282" i="1"/>
  <c r="AB2422" i="1"/>
  <c r="AC2422" i="1"/>
  <c r="AD2422" i="1"/>
  <c r="X2281" i="1"/>
  <c r="AA2281" i="1"/>
  <c r="X2421" i="1"/>
  <c r="AA2421" i="1"/>
  <c r="AB2515" i="1"/>
  <c r="AD2515" i="1"/>
  <c r="AC2515" i="1"/>
  <c r="X2276" i="1"/>
  <c r="AA2276" i="1"/>
  <c r="AB2397" i="1"/>
  <c r="AD2397" i="1"/>
  <c r="AC2397" i="1"/>
  <c r="AC2555" i="1"/>
  <c r="AD2555" i="1"/>
  <c r="AB2555" i="1"/>
  <c r="X2396" i="1"/>
  <c r="AA2396" i="1"/>
  <c r="X2554" i="1"/>
  <c r="AA2554" i="1"/>
  <c r="AC2588" i="1"/>
  <c r="AD2588" i="1"/>
  <c r="AB2588" i="1"/>
  <c r="X2258" i="1"/>
  <c r="AE2258" i="1" s="1"/>
  <c r="AA2258" i="1"/>
  <c r="AB2366" i="1"/>
  <c r="AD2366" i="1"/>
  <c r="AC2366" i="1"/>
  <c r="AC2541" i="1"/>
  <c r="AB2541" i="1"/>
  <c r="AD2541" i="1"/>
  <c r="X1145" i="1"/>
  <c r="AE1145" i="1" s="1"/>
  <c r="AA1145" i="1"/>
  <c r="AC911" i="1"/>
  <c r="AB911" i="1"/>
  <c r="AD911" i="1"/>
  <c r="AD1194" i="1"/>
  <c r="AE1194" i="1"/>
  <c r="AB1194" i="1"/>
  <c r="AC1194" i="1"/>
  <c r="X956" i="1"/>
  <c r="AA956" i="1"/>
  <c r="X1140" i="1"/>
  <c r="AA1140" i="1"/>
  <c r="AB936" i="1"/>
  <c r="AC936" i="1"/>
  <c r="AD936" i="1"/>
  <c r="AD1053" i="1"/>
  <c r="AC1053" i="1"/>
  <c r="AB1053" i="1"/>
  <c r="X946" i="1"/>
  <c r="AA946" i="1"/>
  <c r="X1186" i="1"/>
  <c r="AA1186" i="1"/>
  <c r="AD1137" i="1"/>
  <c r="AB1137" i="1"/>
  <c r="AC1137" i="1"/>
  <c r="AA899" i="1"/>
  <c r="X899" i="1"/>
  <c r="AB948" i="1"/>
  <c r="AC948" i="1"/>
  <c r="AD948" i="1"/>
  <c r="X922" i="1"/>
  <c r="AA922" i="1"/>
  <c r="AD848" i="1"/>
  <c r="AB848" i="1"/>
  <c r="AC848" i="1"/>
  <c r="X757" i="1"/>
  <c r="AA757" i="1"/>
  <c r="X721" i="1"/>
  <c r="AA721" i="1"/>
  <c r="X763" i="1"/>
  <c r="AE763" i="1" s="1"/>
  <c r="AA763" i="1"/>
  <c r="X790" i="1"/>
  <c r="AA790" i="1"/>
  <c r="AC793" i="1"/>
  <c r="AD793" i="1"/>
  <c r="AB793" i="1"/>
  <c r="AD718" i="1"/>
  <c r="AB718" i="1"/>
  <c r="AC718" i="1"/>
  <c r="AD707" i="1"/>
  <c r="AC707" i="1"/>
  <c r="AB707" i="1"/>
  <c r="X1227" i="1"/>
  <c r="AA1227" i="1"/>
  <c r="X1240" i="1"/>
  <c r="AE1240" i="1" s="1"/>
  <c r="AA1240" i="1"/>
  <c r="AD1240" i="1"/>
  <c r="AB1240" i="1"/>
  <c r="AC1240" i="1"/>
  <c r="X1239" i="1"/>
  <c r="AE1239" i="1" s="1"/>
  <c r="AA1239" i="1"/>
  <c r="AD1239" i="1"/>
  <c r="AC1239" i="1"/>
  <c r="AB1239" i="1"/>
  <c r="X1235" i="1"/>
  <c r="AA1235" i="1"/>
  <c r="AC1210" i="1"/>
  <c r="AB1210" i="1"/>
  <c r="AE1210" i="1"/>
  <c r="AD1210" i="1"/>
  <c r="X1325" i="1"/>
  <c r="AE1325" i="1" s="1"/>
  <c r="AA1325" i="1"/>
  <c r="AC1602" i="1"/>
  <c r="AD1602" i="1"/>
  <c r="AB1602" i="1"/>
  <c r="AD1736" i="1"/>
  <c r="AC1736" i="1"/>
  <c r="AB1736" i="1"/>
  <c r="AD1939" i="1"/>
  <c r="AB1939" i="1"/>
  <c r="AC1939" i="1"/>
  <c r="X1287" i="1"/>
  <c r="AA1287" i="1"/>
  <c r="AD1333" i="1"/>
  <c r="AC1333" i="1"/>
  <c r="AB1333" i="1"/>
  <c r="X1659" i="1"/>
  <c r="AE1659" i="1" s="1"/>
  <c r="AA1659" i="1"/>
  <c r="X1981" i="1"/>
  <c r="AA1981" i="1"/>
  <c r="AB1291" i="1"/>
  <c r="AC1291" i="1"/>
  <c r="AD1291" i="1"/>
  <c r="X1501" i="1"/>
  <c r="AA1501" i="1"/>
  <c r="AB1549" i="1"/>
  <c r="AC1549" i="1"/>
  <c r="AD1549" i="1"/>
  <c r="AB1994" i="1"/>
  <c r="AC1994" i="1"/>
  <c r="AD1994" i="1"/>
  <c r="X1284" i="1"/>
  <c r="AA1284" i="1"/>
  <c r="X1574" i="1"/>
  <c r="AA1574" i="1"/>
  <c r="X1923" i="1"/>
  <c r="AA1923" i="1"/>
  <c r="AB1301" i="1"/>
  <c r="AD1301" i="1"/>
  <c r="AC1301" i="1"/>
  <c r="X1519" i="1"/>
  <c r="AA1519" i="1"/>
  <c r="AC1971" i="1"/>
  <c r="AD1971" i="1"/>
  <c r="AB1971" i="1"/>
  <c r="X1289" i="1"/>
  <c r="AA1289" i="1"/>
  <c r="AB1341" i="1"/>
  <c r="AC1341" i="1"/>
  <c r="AD1341" i="1"/>
  <c r="X1661" i="1"/>
  <c r="AA1661" i="1"/>
  <c r="X1956" i="1"/>
  <c r="AA1956" i="1"/>
  <c r="AD1270" i="1"/>
  <c r="AC1270" i="1"/>
  <c r="AB1270" i="1"/>
  <c r="X1354" i="1"/>
  <c r="AA1354" i="1"/>
  <c r="AC1578" i="1"/>
  <c r="AB1578" i="1"/>
  <c r="AD1578" i="1"/>
  <c r="AB1926" i="1"/>
  <c r="AC1926" i="1"/>
  <c r="AD1926" i="1"/>
  <c r="AB1310" i="1"/>
  <c r="AD1310" i="1"/>
  <c r="AC1310" i="1"/>
  <c r="AC1522" i="1"/>
  <c r="AD1522" i="1"/>
  <c r="AB1522" i="1"/>
  <c r="X1565" i="1"/>
  <c r="AA1565" i="1"/>
  <c r="X1778" i="1"/>
  <c r="AA1778" i="1"/>
  <c r="AD1999" i="1"/>
  <c r="AB1999" i="1"/>
  <c r="AC1999" i="1"/>
  <c r="AD2069" i="1"/>
  <c r="AB2069" i="1"/>
  <c r="AC2069" i="1"/>
  <c r="AE2069" i="1"/>
  <c r="X2184" i="1"/>
  <c r="AA2184" i="1"/>
  <c r="AB2244" i="1"/>
  <c r="AD2244" i="1"/>
  <c r="AC2244" i="1"/>
  <c r="X2018" i="1"/>
  <c r="AE2018" i="1" s="1"/>
  <c r="AA2018" i="1"/>
  <c r="X2106" i="1"/>
  <c r="AE2106" i="1" s="1"/>
  <c r="AA2106" i="1"/>
  <c r="AC2204" i="1"/>
  <c r="AB2204" i="1"/>
  <c r="AD2204" i="1"/>
  <c r="X2229" i="1"/>
  <c r="AA2229" i="1"/>
  <c r="AC2106" i="1"/>
  <c r="AD2106" i="1"/>
  <c r="AB2106" i="1"/>
  <c r="X2193" i="1"/>
  <c r="AA2193" i="1"/>
  <c r="AB2269" i="1"/>
  <c r="AC2269" i="1"/>
  <c r="AD2269" i="1"/>
  <c r="X2164" i="1"/>
  <c r="AA2164" i="1"/>
  <c r="AB2187" i="1"/>
  <c r="AC2187" i="1"/>
  <c r="AD2187" i="1"/>
  <c r="X2223" i="1"/>
  <c r="AA2223" i="1"/>
  <c r="AC1997" i="1"/>
  <c r="AD1997" i="1"/>
  <c r="AB1997" i="1"/>
  <c r="AC2158" i="1"/>
  <c r="AD2158" i="1"/>
  <c r="AB2158" i="1"/>
  <c r="X2209" i="1"/>
  <c r="AA2209" i="1"/>
  <c r="AB2219" i="1"/>
  <c r="AD2219" i="1"/>
  <c r="AC2219" i="1"/>
  <c r="AE2276" i="1"/>
  <c r="AC2276" i="1"/>
  <c r="AD2276" i="1"/>
  <c r="AB2276" i="1"/>
  <c r="X2061" i="1"/>
  <c r="AA2061" i="1"/>
  <c r="AC2169" i="1"/>
  <c r="AB2169" i="1"/>
  <c r="AD2169" i="1"/>
  <c r="AB2239" i="1"/>
  <c r="AC2239" i="1"/>
  <c r="AD2239" i="1"/>
  <c r="AB2270" i="1"/>
  <c r="AC2270" i="1"/>
  <c r="AD2270" i="1"/>
  <c r="AB2001" i="1"/>
  <c r="AC2001" i="1"/>
  <c r="AD2001" i="1"/>
  <c r="AB2071" i="1"/>
  <c r="AC2071" i="1"/>
  <c r="AD2071" i="1"/>
  <c r="X2185" i="1"/>
  <c r="AE2185" i="1" s="1"/>
  <c r="AA2185" i="1"/>
  <c r="AB2265" i="1"/>
  <c r="AC2265" i="1"/>
  <c r="AD2265" i="1"/>
  <c r="X2161" i="1"/>
  <c r="AA2161" i="1"/>
  <c r="AC2185" i="1"/>
  <c r="AB2185" i="1"/>
  <c r="AD2185" i="1"/>
  <c r="X2221" i="1"/>
  <c r="AA2221" i="1"/>
  <c r="X2279" i="1"/>
  <c r="AE2279" i="1" s="1"/>
  <c r="AA2279" i="1"/>
  <c r="X2419" i="1"/>
  <c r="AE2419" i="1" s="1"/>
  <c r="AA2419" i="1"/>
  <c r="AC2558" i="1"/>
  <c r="AD2558" i="1"/>
  <c r="AB2558" i="1"/>
  <c r="X2583" i="1"/>
  <c r="AA2583" i="1"/>
  <c r="X2246" i="1"/>
  <c r="AA2246" i="1"/>
  <c r="AB2279" i="1"/>
  <c r="AC2279" i="1"/>
  <c r="AD2279" i="1"/>
  <c r="AB2419" i="1"/>
  <c r="AC2419" i="1"/>
  <c r="AD2419" i="1"/>
  <c r="X2398" i="1"/>
  <c r="AA2398" i="1"/>
  <c r="X2556" i="1"/>
  <c r="AA2556" i="1"/>
  <c r="AC2567" i="1"/>
  <c r="AD2567" i="1"/>
  <c r="AB2567" i="1"/>
  <c r="X2273" i="1"/>
  <c r="AA2273" i="1"/>
  <c r="AB2383" i="1"/>
  <c r="AC2383" i="1"/>
  <c r="AD2383" i="1"/>
  <c r="AC2552" i="1"/>
  <c r="AD2552" i="1"/>
  <c r="AB2552" i="1"/>
  <c r="X2375" i="1"/>
  <c r="AA2375" i="1"/>
  <c r="X2551" i="1"/>
  <c r="AA2551" i="1"/>
  <c r="X2584" i="1"/>
  <c r="AA2584" i="1"/>
  <c r="X2244" i="1"/>
  <c r="AE2244" i="1" s="1"/>
  <c r="AA2244" i="1"/>
  <c r="AB2410" i="1"/>
  <c r="AC2410" i="1"/>
  <c r="AD2410" i="1"/>
  <c r="X2409" i="1"/>
  <c r="AA2409" i="1"/>
  <c r="AC2598" i="1"/>
  <c r="AD2598" i="1"/>
  <c r="AB2598" i="1"/>
  <c r="X2270" i="1"/>
  <c r="AE2270" i="1" s="1"/>
  <c r="AA2270" i="1"/>
  <c r="AD2405" i="1"/>
  <c r="AB2405" i="1"/>
  <c r="AC2405" i="1"/>
  <c r="AC1136" i="1"/>
  <c r="AD1136" i="1"/>
  <c r="AB1136" i="1"/>
  <c r="X1150" i="1"/>
  <c r="AA1150" i="1"/>
  <c r="X914" i="1"/>
  <c r="AA914" i="1"/>
  <c r="X1193" i="1"/>
  <c r="AE1193" i="1" s="1"/>
  <c r="AA1193" i="1"/>
  <c r="X905" i="1"/>
  <c r="AA905" i="1"/>
  <c r="AB957" i="1"/>
  <c r="AC957" i="1"/>
  <c r="AD957" i="1"/>
  <c r="AE1186" i="1"/>
  <c r="AB1186" i="1"/>
  <c r="AD1186" i="1"/>
  <c r="AC1186" i="1"/>
  <c r="X962" i="1"/>
  <c r="AA962" i="1"/>
  <c r="X1162" i="1"/>
  <c r="AA1162" i="1"/>
  <c r="AC907" i="1"/>
  <c r="AB907" i="1"/>
  <c r="AD907" i="1"/>
  <c r="AC1146" i="1"/>
  <c r="AB1146" i="1"/>
  <c r="AD1146" i="1"/>
  <c r="AB792" i="1"/>
  <c r="AD792" i="1"/>
  <c r="AC792" i="1"/>
  <c r="AB711" i="1"/>
  <c r="AD711" i="1"/>
  <c r="AC711" i="1"/>
  <c r="X846" i="1"/>
  <c r="AA846" i="1"/>
  <c r="AE756" i="1"/>
  <c r="AB756" i="1"/>
  <c r="AD756" i="1"/>
  <c r="AC756" i="1"/>
  <c r="AD720" i="1"/>
  <c r="AB720" i="1"/>
  <c r="AC720" i="1"/>
  <c r="AE720" i="1"/>
  <c r="X735" i="1"/>
  <c r="AA735" i="1"/>
  <c r="X855" i="1"/>
  <c r="AE855" i="1" s="1"/>
  <c r="AA855" i="1"/>
  <c r="AD855" i="1"/>
  <c r="AC855" i="1"/>
  <c r="AB855" i="1"/>
  <c r="X758" i="1"/>
  <c r="AA758" i="1"/>
  <c r="X725" i="1"/>
  <c r="AA725" i="1"/>
  <c r="AC845" i="1"/>
  <c r="AD845" i="1"/>
  <c r="AB845" i="1"/>
  <c r="X707" i="1"/>
  <c r="AE707" i="1" s="1"/>
  <c r="AA707" i="1"/>
  <c r="AD1227" i="1"/>
  <c r="AE1227" i="1"/>
  <c r="AC1227" i="1"/>
  <c r="AB1227" i="1"/>
  <c r="AD1235" i="1"/>
  <c r="AE1235" i="1"/>
  <c r="AC1235" i="1"/>
  <c r="AB1235" i="1"/>
  <c r="AB1281" i="1"/>
  <c r="AD1281" i="1"/>
  <c r="AC1281" i="1"/>
  <c r="AC1976" i="1"/>
  <c r="AD1976" i="1"/>
  <c r="AE1976" i="1"/>
  <c r="AB1976" i="1"/>
  <c r="X1924" i="1"/>
  <c r="AA1924" i="1"/>
  <c r="X1321" i="1"/>
  <c r="AA1321" i="1"/>
  <c r="AD1581" i="1"/>
  <c r="AC1581" i="1"/>
  <c r="AB1581" i="1"/>
  <c r="AC1731" i="1"/>
  <c r="AB1731" i="1"/>
  <c r="AD1731" i="1"/>
  <c r="AB1938" i="1"/>
  <c r="AD1938" i="1"/>
  <c r="AC1938" i="1"/>
  <c r="AD1317" i="1"/>
  <c r="AC1317" i="1"/>
  <c r="AB1317" i="1"/>
  <c r="AB1530" i="1"/>
  <c r="AC1530" i="1"/>
  <c r="AD1530" i="1"/>
  <c r="X1664" i="1"/>
  <c r="AA1664" i="1"/>
  <c r="X1957" i="1"/>
  <c r="AA1957" i="1"/>
  <c r="X1329" i="1"/>
  <c r="AA1329" i="1"/>
  <c r="AD1556" i="1"/>
  <c r="AC1556" i="1"/>
  <c r="AB1556" i="1"/>
  <c r="X1747" i="1"/>
  <c r="AB1493" i="1"/>
  <c r="AC1493" i="1"/>
  <c r="AD1493" i="1"/>
  <c r="X1992" i="1"/>
  <c r="AE1992" i="1" s="1"/>
  <c r="AA1992" i="1"/>
  <c r="AD1299" i="1"/>
  <c r="AB1299" i="1"/>
  <c r="AC1299" i="1"/>
  <c r="X1511" i="1"/>
  <c r="AA1511" i="1"/>
  <c r="AB1970" i="1"/>
  <c r="AC1970" i="1"/>
  <c r="AD1970" i="1"/>
  <c r="X1995" i="1"/>
  <c r="AA1995" i="1"/>
  <c r="X1288" i="1"/>
  <c r="AE1288" i="1" s="1"/>
  <c r="AA1288" i="1"/>
  <c r="AD1334" i="1"/>
  <c r="AC1334" i="1"/>
  <c r="AB1334" i="1"/>
  <c r="X1660" i="1"/>
  <c r="AE1660" i="1" s="1"/>
  <c r="AA1660" i="1"/>
  <c r="X1951" i="1"/>
  <c r="AA1951" i="1"/>
  <c r="X2050" i="1"/>
  <c r="AA2050" i="1"/>
  <c r="AC2161" i="1"/>
  <c r="AE2161" i="1"/>
  <c r="AB2161" i="1"/>
  <c r="AD2161" i="1"/>
  <c r="X2211" i="1"/>
  <c r="AA2211" i="1"/>
  <c r="AC2221" i="1"/>
  <c r="AE2221" i="1"/>
  <c r="AB2221" i="1"/>
  <c r="AD2221" i="1"/>
  <c r="AC2171" i="1"/>
  <c r="AE2171" i="1"/>
  <c r="AB2171" i="1"/>
  <c r="AD2171" i="1"/>
  <c r="X2242" i="1"/>
  <c r="AA2242" i="1"/>
  <c r="AD2275" i="1"/>
  <c r="AB2275" i="1"/>
  <c r="AC2275" i="1"/>
  <c r="AB2018" i="1"/>
  <c r="AC2018" i="1"/>
  <c r="AD2018" i="1"/>
  <c r="X2170" i="1"/>
  <c r="AA2170" i="1"/>
  <c r="AC2229" i="1"/>
  <c r="AE2229" i="1"/>
  <c r="AB2229" i="1"/>
  <c r="AD2229" i="1"/>
  <c r="AB2240" i="1"/>
  <c r="AD2240" i="1"/>
  <c r="AC2240" i="1"/>
  <c r="AC2056" i="1"/>
  <c r="AD2056" i="1"/>
  <c r="AB2056" i="1"/>
  <c r="AC2214" i="1"/>
  <c r="AB2214" i="1"/>
  <c r="AD2214" i="1"/>
  <c r="X2236" i="1"/>
  <c r="AA2236" i="1"/>
  <c r="AC2264" i="1"/>
  <c r="AD2264" i="1"/>
  <c r="AB2264" i="1"/>
  <c r="AB2028" i="1"/>
  <c r="AC2028" i="1"/>
  <c r="AD2028" i="1"/>
  <c r="X2173" i="1"/>
  <c r="AA2173" i="1"/>
  <c r="AB2232" i="1"/>
  <c r="AC2232" i="1"/>
  <c r="AD2232" i="1"/>
  <c r="X2020" i="1"/>
  <c r="AA2020" i="1"/>
  <c r="X2151" i="1"/>
  <c r="AA2151" i="1"/>
  <c r="AC2182" i="1"/>
  <c r="AE2182" i="1"/>
  <c r="AB2182" i="1"/>
  <c r="AD2182" i="1"/>
  <c r="X2218" i="1"/>
  <c r="AA2218" i="1"/>
  <c r="X2054" i="1"/>
  <c r="AE2054" i="1" s="1"/>
  <c r="AA2054" i="1"/>
  <c r="AB2162" i="1"/>
  <c r="AC2162" i="1"/>
  <c r="AD2162" i="1"/>
  <c r="X2212" i="1"/>
  <c r="AE2212" i="1" s="1"/>
  <c r="AA2212" i="1"/>
  <c r="AC2226" i="1"/>
  <c r="AE2226" i="1"/>
  <c r="AD2226" i="1"/>
  <c r="AB2226" i="1"/>
  <c r="AB2054" i="1"/>
  <c r="AC2054" i="1"/>
  <c r="AD2054" i="1"/>
  <c r="AC2212" i="1"/>
  <c r="AB2212" i="1"/>
  <c r="AD2212" i="1"/>
  <c r="X2234" i="1"/>
  <c r="AA2234" i="1"/>
  <c r="AC2260" i="1"/>
  <c r="AD2260" i="1"/>
  <c r="AB2260" i="1"/>
  <c r="X2306" i="1"/>
  <c r="AA2306" i="1"/>
  <c r="X2538" i="1"/>
  <c r="AE2538" i="1" s="1"/>
  <c r="AA2538" i="1"/>
  <c r="X2592" i="1"/>
  <c r="AA2592" i="1"/>
  <c r="X2269" i="1"/>
  <c r="AE2269" i="1" s="1"/>
  <c r="AA2269" i="1"/>
  <c r="AD2306" i="1"/>
  <c r="AE2306" i="1"/>
  <c r="AB2306" i="1"/>
  <c r="AC2306" i="1"/>
  <c r="AD2538" i="1"/>
  <c r="AB2538" i="1"/>
  <c r="AC2538" i="1"/>
  <c r="X2411" i="1"/>
  <c r="AA2411" i="1"/>
  <c r="AE2557" i="1"/>
  <c r="AB2557" i="1"/>
  <c r="AC2557" i="1"/>
  <c r="AD2557" i="1"/>
  <c r="AC2589" i="1"/>
  <c r="AD2589" i="1"/>
  <c r="AB2589" i="1"/>
  <c r="X2241" i="1"/>
  <c r="AA2241" i="1"/>
  <c r="AB2407" i="1"/>
  <c r="AC2407" i="1"/>
  <c r="AD2407" i="1"/>
  <c r="X2406" i="1"/>
  <c r="AA2406" i="1"/>
  <c r="X2593" i="1"/>
  <c r="AA2593" i="1"/>
  <c r="X2267" i="1"/>
  <c r="AA2267" i="1"/>
  <c r="AB2304" i="1"/>
  <c r="AC2304" i="1"/>
  <c r="AD2304" i="1"/>
  <c r="AB2445" i="1"/>
  <c r="AD2445" i="1"/>
  <c r="AC2445" i="1"/>
  <c r="X2288" i="1"/>
  <c r="AA2288" i="1"/>
  <c r="X2441" i="1"/>
  <c r="AA2441" i="1"/>
  <c r="AD2581" i="1"/>
  <c r="AC2581" i="1"/>
  <c r="AB2581" i="1"/>
  <c r="X2239" i="1"/>
  <c r="AE2239" i="1" s="1"/>
  <c r="AA2239" i="1"/>
  <c r="AC2284" i="1"/>
  <c r="AD2284" i="1"/>
  <c r="AB2284" i="1"/>
  <c r="AB2424" i="1"/>
  <c r="AD2424" i="1"/>
  <c r="AC2424" i="1"/>
  <c r="AB1145" i="1"/>
  <c r="AD1145" i="1"/>
  <c r="AC1145" i="1"/>
  <c r="AB941" i="1"/>
  <c r="AC941" i="1"/>
  <c r="AD941" i="1"/>
  <c r="AE1150" i="1"/>
  <c r="AB1150" i="1"/>
  <c r="AC1150" i="1"/>
  <c r="AD1150" i="1"/>
  <c r="AC956" i="1"/>
  <c r="AD956" i="1"/>
  <c r="AE956" i="1"/>
  <c r="AB956" i="1"/>
  <c r="AC1177" i="1"/>
  <c r="AB1177" i="1"/>
  <c r="AD1177" i="1"/>
  <c r="X975" i="1"/>
  <c r="AA975" i="1"/>
  <c r="X1148" i="1"/>
  <c r="AA1148" i="1"/>
  <c r="AC920" i="1"/>
  <c r="AB920" i="1"/>
  <c r="AD920" i="1"/>
  <c r="X921" i="1"/>
  <c r="AA921" i="1"/>
  <c r="AD1027" i="1"/>
  <c r="AB1027" i="1"/>
  <c r="AC1027" i="1"/>
  <c r="AC1196" i="1"/>
  <c r="AD1196" i="1"/>
  <c r="AE1196" i="1"/>
  <c r="AB1196" i="1"/>
  <c r="X955" i="1"/>
  <c r="AE955" i="1" s="1"/>
  <c r="AA955" i="1"/>
  <c r="AD661" i="1"/>
  <c r="AB661" i="1"/>
  <c r="AC661" i="1"/>
  <c r="AC858" i="1"/>
  <c r="AB858" i="1"/>
  <c r="AD858" i="1"/>
  <c r="X760" i="1"/>
  <c r="AA760" i="1"/>
  <c r="X727" i="1"/>
  <c r="AA727" i="1"/>
  <c r="AB759" i="1"/>
  <c r="AC759" i="1"/>
  <c r="AD759" i="1"/>
  <c r="AB726" i="1"/>
  <c r="AC726" i="1"/>
  <c r="AD726" i="1"/>
  <c r="X848" i="1"/>
  <c r="AE848" i="1" s="1"/>
  <c r="AA848" i="1"/>
  <c r="X1209" i="1"/>
  <c r="AA1209" i="1"/>
  <c r="AC708" i="1"/>
  <c r="AB708" i="1"/>
  <c r="AD708" i="1"/>
  <c r="X1226" i="1"/>
  <c r="AE1226" i="1" s="1"/>
  <c r="AA1226" i="1"/>
  <c r="X708" i="1"/>
  <c r="AE708" i="1" s="1"/>
  <c r="AA708" i="1"/>
  <c r="AD1226" i="1"/>
  <c r="AC1226" i="1"/>
  <c r="AB1226" i="1"/>
  <c r="AB709" i="1"/>
  <c r="AD709" i="1"/>
  <c r="AE709" i="1"/>
  <c r="AC709" i="1"/>
  <c r="X1225" i="1"/>
  <c r="AE1225" i="1" s="1"/>
  <c r="AA1225" i="1"/>
  <c r="X1253" i="1"/>
  <c r="AA1253" i="1"/>
  <c r="AD1225" i="1"/>
  <c r="AC1225" i="1"/>
  <c r="AB1225" i="1"/>
  <c r="X1221" i="1"/>
  <c r="AA1221" i="1"/>
  <c r="X1521" i="1"/>
  <c r="AE1521" i="1" s="1"/>
  <c r="AA1521" i="1"/>
  <c r="AE1565" i="1"/>
  <c r="AD1565" i="1"/>
  <c r="AC1565" i="1"/>
  <c r="AB1565" i="1"/>
  <c r="AD1778" i="1"/>
  <c r="AE1778" i="1"/>
  <c r="AB1778" i="1"/>
  <c r="AC1778" i="1"/>
  <c r="X1268" i="1"/>
  <c r="AE1268" i="1" s="1"/>
  <c r="AA1268" i="1"/>
  <c r="AD1318" i="1"/>
  <c r="AC1318" i="1"/>
  <c r="AB1318" i="1"/>
  <c r="AB1534" i="1"/>
  <c r="AD1534" i="1"/>
  <c r="AC1534" i="1"/>
  <c r="X1575" i="1"/>
  <c r="AA1575" i="1"/>
  <c r="X1960" i="1"/>
  <c r="AE1960" i="1" s="1"/>
  <c r="AA1960" i="1"/>
  <c r="AC1280" i="1"/>
  <c r="AB1280" i="1"/>
  <c r="AD1280" i="1"/>
  <c r="X1361" i="1"/>
  <c r="AA1361" i="1"/>
  <c r="AC1975" i="1"/>
  <c r="AD1975" i="1"/>
  <c r="AB1975" i="1"/>
  <c r="X1259" i="1"/>
  <c r="AE1259" i="1" s="1"/>
  <c r="AA1259" i="1"/>
  <c r="AB1348" i="1"/>
  <c r="AD1348" i="1"/>
  <c r="AC1348" i="1"/>
  <c r="X1669" i="1"/>
  <c r="AE1669" i="1" s="1"/>
  <c r="AA1669" i="1"/>
  <c r="X1993" i="1"/>
  <c r="AE1993" i="1" s="1"/>
  <c r="AA1993" i="1"/>
  <c r="AE1284" i="1"/>
  <c r="AD1284" i="1"/>
  <c r="AC1284" i="1"/>
  <c r="AB1284" i="1"/>
  <c r="AB1658" i="1"/>
  <c r="AC1658" i="1"/>
  <c r="AD1658" i="1"/>
  <c r="AB1949" i="1"/>
  <c r="AC1949" i="1"/>
  <c r="AD1949" i="1"/>
  <c r="X1270" i="1"/>
  <c r="AE1270" i="1" s="1"/>
  <c r="AA1270" i="1"/>
  <c r="AC1320" i="1"/>
  <c r="AB1320" i="1"/>
  <c r="AD1320" i="1"/>
  <c r="X1578" i="1"/>
  <c r="AE1578" i="1" s="1"/>
  <c r="AA1578" i="1"/>
  <c r="X1668" i="1"/>
  <c r="AE1668" i="1" s="1"/>
  <c r="AA1668" i="1"/>
  <c r="X1926" i="1"/>
  <c r="AE1926" i="1" s="1"/>
  <c r="AA1926" i="1"/>
  <c r="X1328" i="1"/>
  <c r="AE1328" i="1" s="1"/>
  <c r="AA1328" i="1"/>
  <c r="AD1555" i="1"/>
  <c r="AC1555" i="1"/>
  <c r="AB1555" i="1"/>
  <c r="AB1392" i="1"/>
  <c r="AD1392" i="1"/>
  <c r="AC1392" i="1"/>
  <c r="X1991" i="1"/>
  <c r="AE1991" i="1" s="1"/>
  <c r="AA1991" i="1"/>
  <c r="X2175" i="1"/>
  <c r="AA2175" i="1"/>
  <c r="AE2234" i="1"/>
  <c r="AB2234" i="1"/>
  <c r="AC2234" i="1"/>
  <c r="AD2234" i="1"/>
  <c r="X1998" i="1"/>
  <c r="AE1998" i="1" s="1"/>
  <c r="AA1998" i="1"/>
  <c r="X2067" i="1"/>
  <c r="AE2067" i="1" s="1"/>
  <c r="AA2067" i="1"/>
  <c r="AC2184" i="1"/>
  <c r="AB2184" i="1"/>
  <c r="AE2184" i="1"/>
  <c r="AD2184" i="1"/>
  <c r="X2220" i="1"/>
  <c r="AE2220" i="1" s="1"/>
  <c r="AA2220" i="1"/>
  <c r="AB2067" i="1"/>
  <c r="AC2067" i="1"/>
  <c r="AD2067" i="1"/>
  <c r="X2183" i="1"/>
  <c r="AA2183" i="1"/>
  <c r="AD2242" i="1"/>
  <c r="AE2242" i="1"/>
  <c r="AB2242" i="1"/>
  <c r="AC2242" i="1"/>
  <c r="X2017" i="1"/>
  <c r="AE2017" i="1" s="1"/>
  <c r="AA2017" i="1"/>
  <c r="X2078" i="1"/>
  <c r="AA2078" i="1"/>
  <c r="AC2179" i="1"/>
  <c r="AE2179" i="1"/>
  <c r="AD2179" i="1"/>
  <c r="AB2179" i="1"/>
  <c r="AE2072" i="1"/>
  <c r="AB2072" i="1"/>
  <c r="AC2072" i="1"/>
  <c r="AD2072" i="1"/>
  <c r="X2186" i="1"/>
  <c r="AA2186" i="1"/>
  <c r="AB2259" i="1"/>
  <c r="AC2259" i="1"/>
  <c r="AD2259" i="1"/>
  <c r="AE2209" i="1"/>
  <c r="AC2209" i="1"/>
  <c r="AB2209" i="1"/>
  <c r="AD2209" i="1"/>
  <c r="X2231" i="1"/>
  <c r="AA2231" i="1"/>
  <c r="AC2243" i="1"/>
  <c r="AB2243" i="1"/>
  <c r="AD2243" i="1"/>
  <c r="X2177" i="1"/>
  <c r="AE2177" i="1" s="1"/>
  <c r="AA2177" i="1"/>
  <c r="X2006" i="1"/>
  <c r="AA2006" i="1"/>
  <c r="X2075" i="1"/>
  <c r="AE2075" i="1" s="1"/>
  <c r="AA2075" i="1"/>
  <c r="AB2177" i="1"/>
  <c r="AD2177" i="1"/>
  <c r="AC2177" i="1"/>
  <c r="X2403" i="1"/>
  <c r="AE2403" i="1" s="1"/>
  <c r="AA2403" i="1"/>
  <c r="AB2403" i="1"/>
  <c r="AD2403" i="1"/>
  <c r="AC2403" i="1"/>
  <c r="X2305" i="1"/>
  <c r="AA2305" i="1"/>
  <c r="X2456" i="1"/>
  <c r="AA2456" i="1"/>
  <c r="X2264" i="1"/>
  <c r="AE2264" i="1" s="1"/>
  <c r="AA2264" i="1"/>
  <c r="AC2286" i="1"/>
  <c r="AB2286" i="1"/>
  <c r="AD2286" i="1"/>
  <c r="AB2438" i="1"/>
  <c r="AC2438" i="1"/>
  <c r="AE2438" i="1"/>
  <c r="AD2438" i="1"/>
  <c r="X2285" i="1"/>
  <c r="AA2285" i="1"/>
  <c r="X2437" i="1"/>
  <c r="AA2437" i="1"/>
  <c r="X2566" i="1"/>
  <c r="AA2566" i="1"/>
  <c r="AB2401" i="1"/>
  <c r="AC2401" i="1"/>
  <c r="AD2401" i="1"/>
  <c r="X2559" i="1"/>
  <c r="AA2559" i="1"/>
  <c r="X2400" i="1"/>
  <c r="AA2400" i="1"/>
  <c r="AC2591" i="1"/>
  <c r="AB2591" i="1"/>
  <c r="AD2591" i="1"/>
  <c r="X2262" i="1"/>
  <c r="AA2262" i="1"/>
  <c r="AB2396" i="1"/>
  <c r="AC2396" i="1"/>
  <c r="AE2396" i="1"/>
  <c r="AD2396" i="1"/>
  <c r="AE2554" i="1"/>
  <c r="AB2554" i="1"/>
  <c r="AC2554" i="1"/>
  <c r="AD2554" i="1"/>
  <c r="X1135" i="1"/>
  <c r="AE1135" i="1" s="1"/>
  <c r="AA1135" i="1"/>
  <c r="Y900" i="1"/>
  <c r="AB900" i="1"/>
  <c r="X945" i="1"/>
  <c r="AA945" i="1"/>
  <c r="X1149" i="1"/>
  <c r="AE1149" i="1" s="1"/>
  <c r="AA1149" i="1"/>
  <c r="AC914" i="1"/>
  <c r="AB914" i="1"/>
  <c r="AD914" i="1"/>
  <c r="AE914" i="1"/>
  <c r="X937" i="1"/>
  <c r="AE937" i="1" s="1"/>
  <c r="AA937" i="1"/>
  <c r="X1198" i="1"/>
  <c r="AA1198" i="1"/>
  <c r="AD1148" i="1"/>
  <c r="AE1148" i="1"/>
  <c r="AB1148" i="1"/>
  <c r="AC1148" i="1"/>
  <c r="X1136" i="1"/>
  <c r="AE1136" i="1" s="1"/>
  <c r="AA1136" i="1"/>
  <c r="AD940" i="1"/>
  <c r="AB940" i="1"/>
  <c r="AC940" i="1"/>
  <c r="AE940" i="1"/>
  <c r="X911" i="1"/>
  <c r="AE911" i="1" s="1"/>
  <c r="AA911" i="1"/>
  <c r="X750" i="1"/>
  <c r="AE750" i="1" s="1"/>
  <c r="AA750" i="1"/>
  <c r="X733" i="1"/>
  <c r="AE733" i="1" s="1"/>
  <c r="AA733" i="1"/>
  <c r="X847" i="1"/>
  <c r="AE847" i="1" s="1"/>
  <c r="AA847" i="1"/>
  <c r="X755" i="1"/>
  <c r="AE755" i="1" s="1"/>
  <c r="AA755" i="1"/>
  <c r="X719" i="1"/>
  <c r="AE719" i="1" s="1"/>
  <c r="AA719" i="1"/>
  <c r="AC758" i="1"/>
  <c r="AD758" i="1"/>
  <c r="AE758" i="1"/>
  <c r="AB758" i="1"/>
  <c r="AC725" i="1"/>
  <c r="AE725" i="1"/>
  <c r="AB725" i="1"/>
  <c r="AD725" i="1"/>
  <c r="X1234" i="1"/>
  <c r="AA1234" i="1"/>
  <c r="AC1209" i="1"/>
  <c r="AE1209" i="1"/>
  <c r="AB1209" i="1"/>
  <c r="AD1209" i="1"/>
  <c r="AC1221" i="1"/>
  <c r="AB1221" i="1"/>
  <c r="AD1221" i="1"/>
  <c r="AE1221" i="1"/>
  <c r="X1333" i="1"/>
  <c r="AE1333" i="1" s="1"/>
  <c r="AA1333" i="1"/>
  <c r="AD1660" i="1"/>
  <c r="AB1660" i="1"/>
  <c r="AC1660" i="1"/>
  <c r="AE1951" i="1"/>
  <c r="AB1951" i="1"/>
  <c r="AC1951" i="1"/>
  <c r="AD1951" i="1"/>
  <c r="X1291" i="1"/>
  <c r="AE1291" i="1" s="1"/>
  <c r="AA1291" i="1"/>
  <c r="AB1353" i="1"/>
  <c r="AD1353" i="1"/>
  <c r="AC1353" i="1"/>
  <c r="Y1543" i="1"/>
  <c r="AB1543" i="1"/>
  <c r="X1667" i="1"/>
  <c r="AE1667" i="1" s="1"/>
  <c r="AA1667" i="1"/>
  <c r="X1994" i="1"/>
  <c r="AE1994" i="1" s="1"/>
  <c r="AA1994" i="1"/>
  <c r="AD1302" i="1"/>
  <c r="AC1302" i="1"/>
  <c r="AB1302" i="1"/>
  <c r="X1520" i="1"/>
  <c r="AA1520" i="1"/>
  <c r="AB1560" i="1"/>
  <c r="AC1560" i="1"/>
  <c r="AD1560" i="1"/>
  <c r="AB1758" i="1"/>
  <c r="AC1758" i="1"/>
  <c r="AD1758" i="1"/>
  <c r="X1290" i="1"/>
  <c r="AA1290" i="1"/>
  <c r="AE1501" i="1"/>
  <c r="AB1501" i="1"/>
  <c r="AD1501" i="1"/>
  <c r="AC1501" i="1"/>
  <c r="X1579" i="1"/>
  <c r="AE1579" i="1" s="1"/>
  <c r="AA1579" i="1"/>
  <c r="X1720" i="1"/>
  <c r="AE1720" i="1" s="1"/>
  <c r="AA1720" i="1"/>
  <c r="X1932" i="1"/>
  <c r="AE1932" i="1" s="1"/>
  <c r="AA1932" i="1"/>
  <c r="X1311" i="1"/>
  <c r="AE1311" i="1" s="1"/>
  <c r="AA1311" i="1"/>
  <c r="X1526" i="1"/>
  <c r="AE1526" i="1" s="1"/>
  <c r="AA1526" i="1"/>
  <c r="AD1980" i="1"/>
  <c r="AE1980" i="1"/>
  <c r="AB1980" i="1"/>
  <c r="AC1980" i="1"/>
  <c r="X1299" i="1"/>
  <c r="AE1299" i="1" s="1"/>
  <c r="AA1299" i="1"/>
  <c r="X1970" i="1"/>
  <c r="AE1970" i="1" s="1"/>
  <c r="AA1970" i="1"/>
  <c r="AD1282" i="1"/>
  <c r="AB1282" i="1"/>
  <c r="AC1282" i="1"/>
  <c r="X1303" i="1"/>
  <c r="AC1635" i="1"/>
  <c r="AB1635" i="1"/>
  <c r="AD1635" i="1"/>
  <c r="AC1940" i="1"/>
  <c r="AB1940" i="1"/>
  <c r="AD1940" i="1"/>
  <c r="X1269" i="1"/>
  <c r="AA1269" i="1"/>
  <c r="AE1319" i="1"/>
  <c r="AB1319" i="1"/>
  <c r="AC1319" i="1"/>
  <c r="AD1319" i="1"/>
  <c r="X1577" i="1"/>
  <c r="AA1577" i="1"/>
  <c r="X1925" i="1"/>
  <c r="AA1925" i="1"/>
  <c r="AD2006" i="1"/>
  <c r="AE2006" i="1"/>
  <c r="AB2006" i="1"/>
  <c r="AC2006" i="1"/>
  <c r="AB2075" i="1"/>
  <c r="AC2075" i="1"/>
  <c r="AD2075" i="1"/>
  <c r="X2189" i="1"/>
  <c r="AA2189" i="1"/>
  <c r="AB2263" i="1"/>
  <c r="AC2263" i="1"/>
  <c r="AD2263" i="1"/>
  <c r="X2039" i="1"/>
  <c r="AA2039" i="1"/>
  <c r="X2159" i="1"/>
  <c r="AE2159" i="1" s="1"/>
  <c r="AA2159" i="1"/>
  <c r="AC2211" i="1"/>
  <c r="AE2211" i="1"/>
  <c r="AD2211" i="1"/>
  <c r="AB2211" i="1"/>
  <c r="X2233" i="1"/>
  <c r="AA2233" i="1"/>
  <c r="AB2258" i="1"/>
  <c r="AC2258" i="1"/>
  <c r="AD2258" i="1"/>
  <c r="AD1998" i="1"/>
  <c r="AB1998" i="1"/>
  <c r="AC1998" i="1"/>
  <c r="AB2159" i="1"/>
  <c r="AC2159" i="1"/>
  <c r="AD2159" i="1"/>
  <c r="X2210" i="1"/>
  <c r="AA2210" i="1"/>
  <c r="AC2220" i="1"/>
  <c r="AB2220" i="1"/>
  <c r="AD2220" i="1"/>
  <c r="AD2278" i="1"/>
  <c r="AB2278" i="1"/>
  <c r="AC2278" i="1"/>
  <c r="AE2193" i="1"/>
  <c r="AB2193" i="1"/>
  <c r="AD2193" i="1"/>
  <c r="AC2193" i="1"/>
  <c r="X2227" i="1"/>
  <c r="AA2227" i="1"/>
  <c r="AB2004" i="1"/>
  <c r="AC2004" i="1"/>
  <c r="AD2004" i="1"/>
  <c r="AE2164" i="1"/>
  <c r="AC2164" i="1"/>
  <c r="AB2164" i="1"/>
  <c r="AD2164" i="1"/>
  <c r="X2213" i="1"/>
  <c r="AA2213" i="1"/>
  <c r="AD2223" i="1"/>
  <c r="AC2223" i="1"/>
  <c r="AE2223" i="1"/>
  <c r="AB2223" i="1"/>
  <c r="X2001" i="1"/>
  <c r="AE2001" i="1" s="1"/>
  <c r="AA2001" i="1"/>
  <c r="X2071" i="1"/>
  <c r="AE2071" i="1" s="1"/>
  <c r="AA2071" i="1"/>
  <c r="AB2173" i="1"/>
  <c r="AC2173" i="1"/>
  <c r="AD2173" i="1"/>
  <c r="AE2173" i="1"/>
  <c r="AC2007" i="1"/>
  <c r="AD2007" i="1"/>
  <c r="AB2007" i="1"/>
  <c r="AB2077" i="1"/>
  <c r="AC2077" i="1"/>
  <c r="AD2077" i="1"/>
  <c r="X2190" i="1"/>
  <c r="AA2190" i="1"/>
  <c r="AC2218" i="1"/>
  <c r="AE2218" i="1"/>
  <c r="AD2218" i="1"/>
  <c r="AB2218" i="1"/>
  <c r="AD2241" i="1"/>
  <c r="AE2241" i="1"/>
  <c r="AB2241" i="1"/>
  <c r="AC2241" i="1"/>
  <c r="AB2274" i="1"/>
  <c r="AC2274" i="1"/>
  <c r="AD2274" i="1"/>
  <c r="X2166" i="1"/>
  <c r="AA2166" i="1"/>
  <c r="AB2190" i="1"/>
  <c r="AE2190" i="1"/>
  <c r="AD2190" i="1"/>
  <c r="AC2190" i="1"/>
  <c r="X2225" i="1"/>
  <c r="AA2225" i="1"/>
  <c r="X2283" i="1"/>
  <c r="AE2283" i="1" s="1"/>
  <c r="AA2283" i="1"/>
  <c r="X2423" i="1"/>
  <c r="AE2423" i="1" s="1"/>
  <c r="AA2423" i="1"/>
  <c r="X2585" i="1"/>
  <c r="AA2585" i="1"/>
  <c r="X2261" i="1"/>
  <c r="AA2261" i="1"/>
  <c r="AD2283" i="1"/>
  <c r="AB2283" i="1"/>
  <c r="AC2283" i="1"/>
  <c r="AB2423" i="1"/>
  <c r="AC2423" i="1"/>
  <c r="AD2423" i="1"/>
  <c r="X2402" i="1"/>
  <c r="AA2402" i="1"/>
  <c r="AE2583" i="1"/>
  <c r="AB2583" i="1"/>
  <c r="AC2583" i="1"/>
  <c r="AD2583" i="1"/>
  <c r="X2277" i="1"/>
  <c r="AE2277" i="1" s="1"/>
  <c r="AA2277" i="1"/>
  <c r="AD2398" i="1"/>
  <c r="AE2398" i="1"/>
  <c r="AB2398" i="1"/>
  <c r="AC2398" i="1"/>
  <c r="AC2556" i="1"/>
  <c r="AD2556" i="1"/>
  <c r="AB2556" i="1"/>
  <c r="AE2556" i="1"/>
  <c r="X2397" i="1"/>
  <c r="AE2397" i="1" s="1"/>
  <c r="AA2397" i="1"/>
  <c r="X2555" i="1"/>
  <c r="AE2555" i="1" s="1"/>
  <c r="AA2555" i="1"/>
  <c r="X2588" i="1"/>
  <c r="AE2588" i="1" s="1"/>
  <c r="AA2588" i="1"/>
  <c r="X2259" i="1"/>
  <c r="AE2259" i="1" s="1"/>
  <c r="AA2259" i="1"/>
  <c r="AD2281" i="1"/>
  <c r="AC2281" i="1"/>
  <c r="AE2281" i="1"/>
  <c r="AB2281" i="1"/>
  <c r="AB2421" i="1"/>
  <c r="AE2421" i="1"/>
  <c r="AC2421" i="1"/>
  <c r="AD2421" i="1"/>
  <c r="X2280" i="1"/>
  <c r="AA2280" i="1"/>
  <c r="X2420" i="1"/>
  <c r="AA2420" i="1"/>
  <c r="AB2559" i="1"/>
  <c r="AC2559" i="1"/>
  <c r="AD2559" i="1"/>
  <c r="AE2559" i="1"/>
  <c r="X2275" i="1"/>
  <c r="AE2275" i="1" s="1"/>
  <c r="AA2275" i="1"/>
  <c r="AB2409" i="1"/>
  <c r="AC2409" i="1"/>
  <c r="AD2409" i="1"/>
  <c r="AE2409" i="1"/>
  <c r="X1184" i="1"/>
  <c r="AA1184" i="1"/>
  <c r="AB970" i="1"/>
  <c r="AC970" i="1"/>
  <c r="AD970" i="1"/>
  <c r="AE970" i="1"/>
  <c r="AC1135" i="1"/>
  <c r="AD1135" i="1"/>
  <c r="AB1135" i="1"/>
  <c r="X901" i="1"/>
  <c r="AA901" i="1"/>
  <c r="X1053" i="1"/>
  <c r="AE1053" i="1" s="1"/>
  <c r="AA1053" i="1"/>
  <c r="AB1140" i="1"/>
  <c r="AD1140" i="1"/>
  <c r="AE1140" i="1"/>
  <c r="AC1140" i="1"/>
  <c r="Y1036" i="1"/>
  <c r="AB1036" i="1"/>
  <c r="AD946" i="1"/>
  <c r="AE946" i="1"/>
  <c r="AB946" i="1"/>
  <c r="AC946" i="1"/>
  <c r="AC1198" i="1"/>
  <c r="AD1198" i="1"/>
  <c r="AE1198" i="1"/>
  <c r="AB1198" i="1"/>
  <c r="X948" i="1"/>
  <c r="AE948" i="1" s="1"/>
  <c r="AA948" i="1"/>
  <c r="X1185" i="1"/>
  <c r="AE1185" i="1" s="1"/>
  <c r="AA1185" i="1"/>
  <c r="AC899" i="1"/>
  <c r="AB899" i="1"/>
  <c r="AD899" i="1"/>
  <c r="AE899" i="1"/>
  <c r="AC1162" i="1"/>
  <c r="AD1162" i="1"/>
  <c r="AE1162" i="1"/>
  <c r="AB1162" i="1"/>
  <c r="AC757" i="1"/>
  <c r="AE757" i="1"/>
  <c r="AD757" i="1"/>
  <c r="AB757" i="1"/>
  <c r="AB721" i="1"/>
  <c r="AD721" i="1"/>
  <c r="AC721" i="1"/>
  <c r="AE721" i="1"/>
  <c r="X791" i="1"/>
  <c r="AA791" i="1"/>
  <c r="X857" i="1"/>
  <c r="AA857" i="1"/>
  <c r="AD760" i="1"/>
  <c r="AE760" i="1"/>
  <c r="AB760" i="1"/>
  <c r="AC760" i="1"/>
  <c r="AC727" i="1"/>
  <c r="AD727" i="1"/>
  <c r="AE727" i="1"/>
  <c r="AB727" i="1"/>
  <c r="AB790" i="1"/>
  <c r="AC790" i="1"/>
  <c r="AE790" i="1"/>
  <c r="AD790" i="1"/>
  <c r="X746" i="1"/>
  <c r="AA746" i="1"/>
  <c r="X734" i="1"/>
  <c r="AA734" i="1"/>
  <c r="AC1234" i="1"/>
  <c r="AE1234" i="1"/>
  <c r="AB1234" i="1"/>
  <c r="AD1234" i="1"/>
  <c r="X1207" i="1"/>
  <c r="AE1207" i="1" s="1"/>
  <c r="AA1207" i="1"/>
  <c r="AD1207" i="1"/>
  <c r="AC1207" i="1"/>
  <c r="AB1207" i="1"/>
  <c r="AD1259" i="1"/>
  <c r="AB1259" i="1"/>
  <c r="AC1259" i="1"/>
  <c r="AC1288" i="1"/>
  <c r="AB1288" i="1"/>
  <c r="AD1288" i="1"/>
  <c r="AC1991" i="1"/>
  <c r="AD1991" i="1"/>
  <c r="AB1991" i="1"/>
  <c r="AD1502" i="1"/>
  <c r="AB1502" i="1"/>
  <c r="AC1502" i="1"/>
  <c r="AE1502" i="1"/>
  <c r="X1549" i="1"/>
  <c r="AE1549" i="1" s="1"/>
  <c r="AA1549" i="1"/>
  <c r="X1938" i="1"/>
  <c r="AE1938" i="1" s="1"/>
  <c r="AA1938" i="1"/>
  <c r="X1330" i="1"/>
  <c r="AE1330" i="1" s="1"/>
  <c r="AA1330" i="1"/>
  <c r="AB1659" i="1"/>
  <c r="AC1659" i="1"/>
  <c r="AD1659" i="1"/>
  <c r="AC1950" i="1"/>
  <c r="AB1950" i="1"/>
  <c r="AD1950" i="1"/>
  <c r="AE1950" i="1"/>
  <c r="AE1321" i="1"/>
  <c r="AC1321" i="1"/>
  <c r="AB1321" i="1"/>
  <c r="AD1321" i="1"/>
  <c r="X1971" i="1"/>
  <c r="AE1971" i="1" s="1"/>
  <c r="AA1971" i="1"/>
  <c r="X1996" i="1"/>
  <c r="AA1996" i="1"/>
  <c r="X1341" i="1"/>
  <c r="AE1341" i="1" s="1"/>
  <c r="AA1341" i="1"/>
  <c r="AE1574" i="1"/>
  <c r="AC1574" i="1"/>
  <c r="AB1574" i="1"/>
  <c r="AD1574" i="1"/>
  <c r="AC1923" i="1"/>
  <c r="AE1923" i="1"/>
  <c r="AD1923" i="1"/>
  <c r="AB1923" i="1"/>
  <c r="AC1519" i="1"/>
  <c r="AD1519" i="1"/>
  <c r="AB1519" i="1"/>
  <c r="AE1519" i="1"/>
  <c r="X1555" i="1"/>
  <c r="AE1555" i="1" s="1"/>
  <c r="AA1555" i="1"/>
  <c r="X1310" i="1"/>
  <c r="AE1310" i="1" s="1"/>
  <c r="AA1310" i="1"/>
  <c r="X1522" i="1"/>
  <c r="AE1522" i="1" s="1"/>
  <c r="AA1522" i="1"/>
  <c r="AB1977" i="1"/>
  <c r="AC1977" i="1"/>
  <c r="AD1977" i="1"/>
  <c r="X1295" i="1"/>
  <c r="AE1295" i="1" s="1"/>
  <c r="AA1295" i="1"/>
  <c r="AD1354" i="1"/>
  <c r="AC1354" i="1"/>
  <c r="AE1354" i="1"/>
  <c r="AB1354" i="1"/>
  <c r="X1968" i="1"/>
  <c r="AE1968" i="1" s="1"/>
  <c r="AA1968" i="1"/>
  <c r="X2058" i="1"/>
  <c r="AE2058" i="1" s="1"/>
  <c r="AA2058" i="1"/>
  <c r="AC2166" i="1"/>
  <c r="AE2166" i="1"/>
  <c r="AB2166" i="1"/>
  <c r="AD2166" i="1"/>
  <c r="AC2225" i="1"/>
  <c r="AE2225" i="1"/>
  <c r="AB2225" i="1"/>
  <c r="AD2225" i="1"/>
  <c r="AB2050" i="1"/>
  <c r="AC2050" i="1"/>
  <c r="AD2050" i="1"/>
  <c r="AE2050" i="1"/>
  <c r="AB2175" i="1"/>
  <c r="AD2175" i="1"/>
  <c r="AE2175" i="1"/>
  <c r="AC2175" i="1"/>
  <c r="X2174" i="1"/>
  <c r="AE2174" i="1" s="1"/>
  <c r="AA2174" i="1"/>
  <c r="AD2233" i="1"/>
  <c r="AE2233" i="1"/>
  <c r="AB2233" i="1"/>
  <c r="AC2233" i="1"/>
  <c r="X1997" i="1"/>
  <c r="AE1997" i="1" s="1"/>
  <c r="AA1997" i="1"/>
  <c r="X2062" i="1"/>
  <c r="AE2062" i="1" s="1"/>
  <c r="AA2062" i="1"/>
  <c r="AC2170" i="1"/>
  <c r="AE2170" i="1"/>
  <c r="AB2170" i="1"/>
  <c r="AD2170" i="1"/>
  <c r="AE2273" i="1"/>
  <c r="AB2273" i="1"/>
  <c r="AC2273" i="1"/>
  <c r="AD2273" i="1"/>
  <c r="X2055" i="1"/>
  <c r="AA2055" i="1"/>
  <c r="X2178" i="1"/>
  <c r="AA2178" i="1"/>
  <c r="AE2236" i="1"/>
  <c r="AC2236" i="1"/>
  <c r="AD2236" i="1"/>
  <c r="AB2236" i="1"/>
  <c r="X2162" i="1"/>
  <c r="AE2162" i="1" s="1"/>
  <c r="AA2162" i="1"/>
  <c r="AC2186" i="1"/>
  <c r="AB2186" i="1"/>
  <c r="AE2186" i="1"/>
  <c r="AD2186" i="1"/>
  <c r="X2222" i="1"/>
  <c r="AA2222" i="1"/>
  <c r="X2168" i="1"/>
  <c r="AA2168" i="1"/>
  <c r="AE2231" i="1"/>
  <c r="AB2231" i="1"/>
  <c r="AC2231" i="1"/>
  <c r="AD2231" i="1"/>
  <c r="X2059" i="1"/>
  <c r="AA2059" i="1"/>
  <c r="AC2168" i="1"/>
  <c r="AE2168" i="1"/>
  <c r="AB2168" i="1"/>
  <c r="AD2168" i="1"/>
  <c r="X2238" i="1"/>
  <c r="AE2238" i="1" s="1"/>
  <c r="AA2238" i="1"/>
  <c r="AB2268" i="1"/>
  <c r="AC2268" i="1"/>
  <c r="AD2268" i="1"/>
  <c r="X2384" i="1"/>
  <c r="AE2384" i="1" s="1"/>
  <c r="AA2384" i="1"/>
  <c r="X2553" i="1"/>
  <c r="AE2553" i="1" s="1"/>
  <c r="AA2553" i="1"/>
  <c r="X2596" i="1"/>
  <c r="AE2596" i="1" s="1"/>
  <c r="AA2596" i="1"/>
  <c r="X2274" i="1"/>
  <c r="AE2274" i="1" s="1"/>
  <c r="AA2274" i="1"/>
  <c r="AB2384" i="1"/>
  <c r="AC2384" i="1"/>
  <c r="AD2384" i="1"/>
  <c r="AC2553" i="1"/>
  <c r="AD2553" i="1"/>
  <c r="AB2553" i="1"/>
  <c r="X2282" i="1"/>
  <c r="AE2282" i="1" s="1"/>
  <c r="AA2282" i="1"/>
  <c r="X2422" i="1"/>
  <c r="AE2422" i="1" s="1"/>
  <c r="AA2422" i="1"/>
  <c r="AE2592" i="1"/>
  <c r="AB2592" i="1"/>
  <c r="AD2592" i="1"/>
  <c r="AC2592" i="1"/>
  <c r="X2245" i="1"/>
  <c r="AA2245" i="1"/>
  <c r="AC2411" i="1"/>
  <c r="AD2411" i="1"/>
  <c r="AE2411" i="1"/>
  <c r="AB2411" i="1"/>
  <c r="X2410" i="1"/>
  <c r="AE2410" i="1" s="1"/>
  <c r="AA2410" i="1"/>
  <c r="X2598" i="1"/>
  <c r="AE2598" i="1" s="1"/>
  <c r="AA2598" i="1"/>
  <c r="X2271" i="1"/>
  <c r="AE2271" i="1" s="1"/>
  <c r="AA2271" i="1"/>
  <c r="AD2375" i="1"/>
  <c r="AB2375" i="1"/>
  <c r="AC2375" i="1"/>
  <c r="AE2375" i="1"/>
  <c r="AC2551" i="1"/>
  <c r="AD2551" i="1"/>
  <c r="AE2551" i="1"/>
  <c r="AB2551" i="1"/>
  <c r="X2366" i="1"/>
  <c r="AE2366" i="1" s="1"/>
  <c r="AA2366" i="1"/>
  <c r="X2541" i="1"/>
  <c r="AE2541" i="1" s="1"/>
  <c r="AA2541" i="1"/>
  <c r="AB2584" i="1"/>
  <c r="AC2584" i="1"/>
  <c r="AD2584" i="1"/>
  <c r="AE2584" i="1"/>
  <c r="X2243" i="1"/>
  <c r="AE2243" i="1" s="1"/>
  <c r="AA2243" i="1"/>
  <c r="AE2288" i="1"/>
  <c r="AC2288" i="1"/>
  <c r="AD2288" i="1"/>
  <c r="AB2288" i="1"/>
  <c r="AD2441" i="1"/>
  <c r="AE2441" i="1"/>
  <c r="AB2441" i="1"/>
  <c r="AC2441" i="1"/>
  <c r="X2558" i="1"/>
  <c r="AE2558" i="1" s="1"/>
  <c r="AA2558" i="1"/>
  <c r="AD922" i="1"/>
  <c r="AC922" i="1"/>
  <c r="AB922" i="1"/>
  <c r="AE922" i="1"/>
  <c r="AC1184" i="1"/>
  <c r="AD1184" i="1"/>
  <c r="AE1184" i="1"/>
  <c r="AB1184" i="1"/>
  <c r="X971" i="1"/>
  <c r="AE971" i="1" s="1"/>
  <c r="AA971" i="1"/>
  <c r="AB945" i="1"/>
  <c r="AC945" i="1"/>
  <c r="AD945" i="1"/>
  <c r="AE945" i="1"/>
  <c r="AC1193" i="1"/>
  <c r="AD1193" i="1"/>
  <c r="AB1193" i="1"/>
  <c r="X957" i="1"/>
  <c r="AE957" i="1" s="1"/>
  <c r="AA957" i="1"/>
  <c r="X1168" i="1"/>
  <c r="AA1168" i="1"/>
  <c r="AC905" i="1"/>
  <c r="AB905" i="1"/>
  <c r="AD905" i="1"/>
  <c r="AE905" i="1"/>
  <c r="X907" i="1"/>
  <c r="AE907" i="1" s="1"/>
  <c r="AA907" i="1"/>
  <c r="AD962" i="1"/>
  <c r="AE962" i="1"/>
  <c r="AB962" i="1"/>
  <c r="AC962" i="1"/>
  <c r="X941" i="1"/>
  <c r="AE941" i="1" s="1"/>
  <c r="AA941" i="1"/>
  <c r="X792" i="1"/>
  <c r="AE792" i="1" s="1"/>
  <c r="AA792" i="1"/>
  <c r="X711" i="1"/>
  <c r="AE711" i="1" s="1"/>
  <c r="AA711" i="1"/>
  <c r="X736" i="1"/>
  <c r="AE736" i="1" s="1"/>
  <c r="AA736" i="1"/>
  <c r="AD846" i="1"/>
  <c r="AB846" i="1"/>
  <c r="AE846" i="1"/>
  <c r="AC846" i="1"/>
  <c r="AE735" i="1"/>
  <c r="AB735" i="1"/>
  <c r="AC735" i="1"/>
  <c r="AD735" i="1"/>
  <c r="X1215" i="1"/>
  <c r="AA1215" i="1"/>
  <c r="X1233" i="1"/>
  <c r="AE1233" i="1" s="1"/>
  <c r="AA1233" i="1"/>
  <c r="AC1233" i="1"/>
  <c r="AB1233" i="1"/>
  <c r="AD1233" i="1"/>
  <c r="X1232" i="1"/>
  <c r="AE1232" i="1" s="1"/>
  <c r="AA1232" i="1"/>
  <c r="AC1232" i="1"/>
  <c r="AB1232" i="1"/>
  <c r="AD1232" i="1"/>
  <c r="X1230" i="1"/>
  <c r="AA1230" i="1"/>
  <c r="X1318" i="1"/>
  <c r="AE1318" i="1" s="1"/>
  <c r="AA1318" i="1"/>
  <c r="X1534" i="1"/>
  <c r="AE1534" i="1" s="1"/>
  <c r="AA1534" i="1"/>
  <c r="AE1577" i="1"/>
  <c r="AD1577" i="1"/>
  <c r="AC1577" i="1"/>
  <c r="AB1577" i="1"/>
  <c r="AC1925" i="1"/>
  <c r="AD1925" i="1"/>
  <c r="AE1925" i="1"/>
  <c r="AB1925" i="1"/>
  <c r="X1280" i="1"/>
  <c r="AE1280" i="1" s="1"/>
  <c r="AA1280" i="1"/>
  <c r="AD1325" i="1"/>
  <c r="AB1325" i="1"/>
  <c r="AC1325" i="1"/>
  <c r="X1581" i="1"/>
  <c r="AE1581" i="1" s="1"/>
  <c r="AA1581" i="1"/>
  <c r="X1731" i="1"/>
  <c r="AE1731" i="1" s="1"/>
  <c r="AA1731" i="1"/>
  <c r="X1975" i="1"/>
  <c r="AE1975" i="1" s="1"/>
  <c r="AA1975" i="1"/>
  <c r="AE1287" i="1"/>
  <c r="AB1287" i="1"/>
  <c r="AD1287" i="1"/>
  <c r="AC1287" i="1"/>
  <c r="AC1981" i="1"/>
  <c r="AD1981" i="1"/>
  <c r="AE1981" i="1"/>
  <c r="AB1981" i="1"/>
  <c r="X1277" i="1"/>
  <c r="AE1277" i="1" s="1"/>
  <c r="AA1277" i="1"/>
  <c r="AC1361" i="1"/>
  <c r="AD1361" i="1"/>
  <c r="AB1361" i="1"/>
  <c r="AE1361" i="1"/>
  <c r="X1556" i="1"/>
  <c r="AE1556" i="1" s="1"/>
  <c r="AA1556" i="1"/>
  <c r="AC1290" i="1"/>
  <c r="AB1290" i="1"/>
  <c r="AD1290" i="1"/>
  <c r="AE1290" i="1"/>
  <c r="X1493" i="1"/>
  <c r="AE1493" i="1" s="1"/>
  <c r="AA1493" i="1"/>
  <c r="AC1664" i="1"/>
  <c r="AD1664" i="1"/>
  <c r="AE1664" i="1"/>
  <c r="AB1664" i="1"/>
  <c r="AC1957" i="1"/>
  <c r="AB1957" i="1"/>
  <c r="AD1957" i="1"/>
  <c r="AE1957" i="1"/>
  <c r="X1282" i="1"/>
  <c r="AE1282" i="1" s="1"/>
  <c r="AA1282" i="1"/>
  <c r="AD1329" i="1"/>
  <c r="AB1329" i="1"/>
  <c r="AC1329" i="1"/>
  <c r="AE1329" i="1"/>
  <c r="AA1635" i="1"/>
  <c r="X1635" i="1"/>
  <c r="AE1635" i="1" s="1"/>
  <c r="X1940" i="1"/>
  <c r="AE1940" i="1" s="1"/>
  <c r="AA1940" i="1"/>
  <c r="AE1253" i="1"/>
  <c r="AC1253" i="1"/>
  <c r="AD1253" i="1"/>
  <c r="AB1253" i="1"/>
  <c r="X1334" i="1"/>
  <c r="AE1334" i="1" s="1"/>
  <c r="AA1334" i="1"/>
  <c r="AD1571" i="1"/>
  <c r="AC1571" i="1"/>
  <c r="AB1571" i="1"/>
  <c r="AB1879" i="1"/>
  <c r="AC1879" i="1"/>
  <c r="AD1879" i="1"/>
  <c r="AE1879" i="1"/>
  <c r="AB1511" i="1"/>
  <c r="AE1511" i="1"/>
  <c r="AD1511" i="1"/>
  <c r="AC1511" i="1"/>
  <c r="X1550" i="1"/>
  <c r="AE1550" i="1" s="1"/>
  <c r="AA1550" i="1"/>
  <c r="AE1995" i="1"/>
  <c r="AB1995" i="1"/>
  <c r="AC1995" i="1"/>
  <c r="AD1995" i="1"/>
  <c r="AE2059" i="1"/>
  <c r="AB2059" i="1"/>
  <c r="AC2059" i="1"/>
  <c r="AD2059" i="1"/>
  <c r="X2180" i="1"/>
  <c r="AE2180" i="1" s="1"/>
  <c r="AA2180" i="1"/>
  <c r="X2216" i="1"/>
  <c r="AE2216" i="1" s="1"/>
  <c r="AA2216" i="1"/>
  <c r="AB2238" i="1"/>
  <c r="AC2238" i="1"/>
  <c r="AD2238" i="1"/>
  <c r="X2005" i="1"/>
  <c r="AE2005" i="1" s="1"/>
  <c r="AA2005" i="1"/>
  <c r="X2074" i="1"/>
  <c r="AE2074" i="1" s="1"/>
  <c r="AA2074" i="1"/>
  <c r="AC2189" i="1"/>
  <c r="AD2189" i="1"/>
  <c r="AE2189" i="1"/>
  <c r="AB2189" i="1"/>
  <c r="X2224" i="1"/>
  <c r="AE2224" i="1" s="1"/>
  <c r="AA2224" i="1"/>
  <c r="AD2074" i="1"/>
  <c r="AB2074" i="1"/>
  <c r="AC2074" i="1"/>
  <c r="X2187" i="1"/>
  <c r="AE2187" i="1" s="1"/>
  <c r="AA2187" i="1"/>
  <c r="AE2261" i="1"/>
  <c r="AB2261" i="1"/>
  <c r="AC2261" i="1"/>
  <c r="AD2261" i="1"/>
  <c r="X2028" i="1"/>
  <c r="AE2028" i="1" s="1"/>
  <c r="AA2028" i="1"/>
  <c r="X2158" i="1"/>
  <c r="AE2158" i="1" s="1"/>
  <c r="AA2158" i="1"/>
  <c r="AC2183" i="1"/>
  <c r="AE2183" i="1"/>
  <c r="AB2183" i="1"/>
  <c r="AD2183" i="1"/>
  <c r="X2219" i="1"/>
  <c r="AE2219" i="1" s="1"/>
  <c r="AA2219" i="1"/>
  <c r="AD2078" i="1"/>
  <c r="AE2078" i="1"/>
  <c r="AB2078" i="1"/>
  <c r="AC2078" i="1"/>
  <c r="X2191" i="1"/>
  <c r="AE2191" i="1" s="1"/>
  <c r="AA2191" i="1"/>
  <c r="AB2267" i="1"/>
  <c r="AE2267" i="1"/>
  <c r="AC2267" i="1"/>
  <c r="AD2267" i="1"/>
  <c r="AB2055" i="1"/>
  <c r="AC2055" i="1"/>
  <c r="AD2055" i="1"/>
  <c r="AE2055" i="1"/>
  <c r="AC2213" i="1"/>
  <c r="AE2213" i="1"/>
  <c r="AB2213" i="1"/>
  <c r="AD2213" i="1"/>
  <c r="X2235" i="1"/>
  <c r="AE2235" i="1" s="1"/>
  <c r="AA2235" i="1"/>
  <c r="AE2262" i="1"/>
  <c r="AB2262" i="1"/>
  <c r="AC2262" i="1"/>
  <c r="AD2262" i="1"/>
  <c r="AE1996" i="1"/>
  <c r="AB1996" i="1"/>
  <c r="AC1996" i="1"/>
  <c r="AD1996" i="1"/>
  <c r="AD2061" i="1"/>
  <c r="AE2061" i="1"/>
  <c r="AB2061" i="1"/>
  <c r="AC2061" i="1"/>
  <c r="X2181" i="1"/>
  <c r="AE2181" i="1" s="1"/>
  <c r="AA2181" i="1"/>
  <c r="AE2246" i="1"/>
  <c r="AD2246" i="1"/>
  <c r="AB2246" i="1"/>
  <c r="AC2246" i="1"/>
  <c r="X2019" i="1"/>
  <c r="AE2019" i="1" s="1"/>
  <c r="AA2019" i="1"/>
  <c r="X2150" i="1"/>
  <c r="AA2150" i="1"/>
  <c r="AC2181" i="1"/>
  <c r="AB2181" i="1"/>
  <c r="AD2181" i="1"/>
  <c r="X2217" i="1"/>
  <c r="AA2217" i="1"/>
  <c r="X2408" i="1"/>
  <c r="AE2408" i="1" s="1"/>
  <c r="AA2408" i="1"/>
  <c r="X2567" i="1"/>
  <c r="AE2567" i="1" s="1"/>
  <c r="AA2567" i="1"/>
  <c r="AB2408" i="1"/>
  <c r="AD2408" i="1"/>
  <c r="AC2408" i="1"/>
  <c r="X2383" i="1"/>
  <c r="AE2383" i="1" s="1"/>
  <c r="AA2383" i="1"/>
  <c r="X2552" i="1"/>
  <c r="AE2552" i="1" s="1"/>
  <c r="AA2552" i="1"/>
  <c r="X2543" i="1"/>
  <c r="X2268" i="1"/>
  <c r="AE2268" i="1" s="1"/>
  <c r="AA2268" i="1"/>
  <c r="AB2305" i="1"/>
  <c r="AC2305" i="1"/>
  <c r="AD2305" i="1"/>
  <c r="AE2305" i="1"/>
  <c r="AC2456" i="1"/>
  <c r="AD2456" i="1"/>
  <c r="AB2456" i="1"/>
  <c r="AE2456" i="1"/>
  <c r="X2304" i="1"/>
  <c r="AE2304" i="1" s="1"/>
  <c r="AA2304" i="1"/>
  <c r="X2445" i="1"/>
  <c r="AE2445" i="1" s="1"/>
  <c r="AA2445" i="1"/>
  <c r="X2581" i="1"/>
  <c r="AE2581" i="1" s="1"/>
  <c r="AA2581" i="1"/>
  <c r="X2240" i="1"/>
  <c r="AE2240" i="1" s="1"/>
  <c r="AA2240" i="1"/>
  <c r="AB2406" i="1"/>
  <c r="AC2406" i="1"/>
  <c r="AD2406" i="1"/>
  <c r="AE2406" i="1"/>
  <c r="X2405" i="1"/>
  <c r="AE2405" i="1" s="1"/>
  <c r="AA2405" i="1"/>
  <c r="AC2593" i="1"/>
  <c r="AD2593" i="1"/>
  <c r="AE2593" i="1"/>
  <c r="AB2593" i="1"/>
  <c r="X2266" i="1"/>
  <c r="AE2266" i="1" s="1"/>
  <c r="AA2266" i="1"/>
  <c r="AB2400" i="1"/>
  <c r="AC2400" i="1"/>
  <c r="AD2400" i="1"/>
  <c r="AE2400" i="1"/>
  <c r="X1144" i="1"/>
  <c r="AE1144" i="1" s="1"/>
  <c r="AA1144" i="1"/>
  <c r="X936" i="1"/>
  <c r="AE936" i="1" s="1"/>
  <c r="AA936" i="1"/>
  <c r="X1177" i="1"/>
  <c r="AE1177" i="1" s="1"/>
  <c r="AA1177" i="1"/>
  <c r="AB901" i="1"/>
  <c r="AD901" i="1"/>
  <c r="AC901" i="1"/>
  <c r="AE901" i="1"/>
  <c r="X920" i="1"/>
  <c r="AE920" i="1" s="1"/>
  <c r="AA920" i="1"/>
  <c r="AB975" i="1"/>
  <c r="AE975" i="1"/>
  <c r="AC975" i="1"/>
  <c r="AD975" i="1"/>
  <c r="AD1168" i="1"/>
  <c r="AC1168" i="1"/>
  <c r="AB1168" i="1"/>
  <c r="AE1168" i="1"/>
  <c r="X1027" i="1"/>
  <c r="AE1027" i="1" s="1"/>
  <c r="AA1027" i="1"/>
  <c r="X1146" i="1"/>
  <c r="AE1146" i="1" s="1"/>
  <c r="AA1146" i="1"/>
  <c r="AE921" i="1"/>
  <c r="AB921" i="1"/>
  <c r="AC921" i="1"/>
  <c r="AD921" i="1"/>
  <c r="X661" i="1"/>
  <c r="AE661" i="1" s="1"/>
  <c r="AA661" i="1"/>
  <c r="X858" i="1"/>
  <c r="AE858" i="1" s="1"/>
  <c r="AA858" i="1"/>
  <c r="AE791" i="1"/>
  <c r="AD791" i="1"/>
  <c r="AC791" i="1"/>
  <c r="AB791" i="1"/>
  <c r="X765" i="1"/>
  <c r="AE765" i="1" s="1"/>
  <c r="AA765" i="1"/>
  <c r="AB857" i="1"/>
  <c r="AC857" i="1"/>
  <c r="AD857" i="1"/>
  <c r="AE857" i="1"/>
  <c r="X759" i="1"/>
  <c r="AE759" i="1" s="1"/>
  <c r="AA759" i="1"/>
  <c r="X726" i="1"/>
  <c r="AE726" i="1" s="1"/>
  <c r="AA726" i="1"/>
  <c r="X845" i="1"/>
  <c r="AE845" i="1" s="1"/>
  <c r="AA845" i="1"/>
  <c r="X793" i="1"/>
  <c r="AE793" i="1" s="1"/>
  <c r="AA793" i="1"/>
  <c r="X718" i="1"/>
  <c r="AE718" i="1" s="1"/>
  <c r="AA718" i="1"/>
  <c r="AE746" i="1"/>
  <c r="AB746" i="1"/>
  <c r="AC746" i="1"/>
  <c r="AD746" i="1"/>
  <c r="AB734" i="1"/>
  <c r="AC734" i="1"/>
  <c r="AD734" i="1"/>
  <c r="AE734" i="1"/>
  <c r="X1252" i="1"/>
  <c r="AE1252" i="1" s="1"/>
  <c r="AA1252" i="1"/>
  <c r="AE1215" i="1"/>
  <c r="AC1215" i="1"/>
  <c r="AB1215" i="1"/>
  <c r="AD1215" i="1"/>
  <c r="AD1230" i="1"/>
  <c r="AE1230" i="1"/>
  <c r="AC1230" i="1"/>
  <c r="AB1230" i="1"/>
  <c r="AE1269" i="1"/>
  <c r="AD1269" i="1"/>
  <c r="AC1269" i="1"/>
  <c r="AB1269" i="1"/>
  <c r="X1353" i="1"/>
  <c r="AE1353" i="1" s="1"/>
  <c r="AA1353" i="1"/>
  <c r="AD1968" i="1"/>
  <c r="AB1968" i="1"/>
  <c r="AC1968" i="1"/>
  <c r="X1302" i="1"/>
  <c r="AE1302" i="1" s="1"/>
  <c r="AA1302" i="1"/>
  <c r="X1758" i="1"/>
  <c r="AE1758" i="1" s="1"/>
  <c r="AA1758" i="1"/>
  <c r="X1317" i="1"/>
  <c r="AE1317" i="1" s="1"/>
  <c r="AA1317" i="1"/>
  <c r="X1530" i="1"/>
  <c r="AE1530" i="1" s="1"/>
  <c r="AA1530" i="1"/>
  <c r="AC1575" i="1"/>
  <c r="AB1575" i="1"/>
  <c r="AE1575" i="1"/>
  <c r="AD1575" i="1"/>
  <c r="AD1924" i="1"/>
  <c r="AE1924" i="1"/>
  <c r="AB1924" i="1"/>
  <c r="AC1924" i="1"/>
  <c r="X1301" i="1"/>
  <c r="AE1301" i="1" s="1"/>
  <c r="AA1301" i="1"/>
  <c r="AD1520" i="1"/>
  <c r="AB1520" i="1"/>
  <c r="AC1520" i="1"/>
  <c r="AE1520" i="1"/>
  <c r="X1658" i="1"/>
  <c r="AE1658" i="1" s="1"/>
  <c r="AA1658" i="1"/>
  <c r="X1949" i="1"/>
  <c r="AE1949" i="1" s="1"/>
  <c r="AA1949" i="1"/>
  <c r="X1320" i="1"/>
  <c r="AE1320" i="1" s="1"/>
  <c r="AA1320" i="1"/>
  <c r="AB1993" i="1"/>
  <c r="AC1993" i="1"/>
  <c r="AD1993" i="1"/>
  <c r="X1977" i="1"/>
  <c r="AE1977" i="1" s="1"/>
  <c r="AA1977" i="1"/>
  <c r="AD1289" i="1"/>
  <c r="AB1289" i="1"/>
  <c r="AE1289" i="1"/>
  <c r="AC1289" i="1"/>
  <c r="X1392" i="1"/>
  <c r="AE1392" i="1" s="1"/>
  <c r="AA1392" i="1"/>
  <c r="AC1661" i="1"/>
  <c r="AD1661" i="1"/>
  <c r="AE1661" i="1"/>
  <c r="AB1661" i="1"/>
  <c r="AC1956" i="1"/>
  <c r="AD1956" i="1"/>
  <c r="AE1956" i="1"/>
  <c r="AB1956" i="1"/>
  <c r="X1281" i="1"/>
  <c r="AE1281" i="1" s="1"/>
  <c r="AA1281" i="1"/>
  <c r="AD1328" i="1"/>
  <c r="AB1328" i="1"/>
  <c r="AC1328" i="1"/>
  <c r="X1602" i="1"/>
  <c r="AE1602" i="1" s="1"/>
  <c r="AA1602" i="1"/>
  <c r="X1736" i="1"/>
  <c r="AE1736" i="1" s="1"/>
  <c r="AA1736" i="1"/>
  <c r="X1939" i="1"/>
  <c r="AE1939" i="1" s="1"/>
  <c r="AA1939" i="1"/>
  <c r="AB2019" i="1"/>
  <c r="AC2019" i="1"/>
  <c r="AD2019" i="1"/>
  <c r="AD2150" i="1"/>
  <c r="AB2150" i="1"/>
  <c r="AC2150" i="1"/>
  <c r="AE2150" i="1"/>
  <c r="X2204" i="1"/>
  <c r="AE2204" i="1" s="1"/>
  <c r="AA2204" i="1"/>
  <c r="AC2217" i="1"/>
  <c r="AE2217" i="1"/>
  <c r="AB2217" i="1"/>
  <c r="AD2217" i="1"/>
  <c r="AC2271" i="1"/>
  <c r="AD2271" i="1"/>
  <c r="AB2271" i="1"/>
  <c r="X2165" i="1"/>
  <c r="AA2165" i="1"/>
  <c r="X2215" i="1"/>
  <c r="AE2215" i="1" s="1"/>
  <c r="AA2215" i="1"/>
  <c r="X2237" i="1"/>
  <c r="AE2237" i="1" s="1"/>
  <c r="AA2237" i="1"/>
  <c r="AB2266" i="1"/>
  <c r="AC2266" i="1"/>
  <c r="AD2266" i="1"/>
  <c r="AB2005" i="1"/>
  <c r="AC2005" i="1"/>
  <c r="AD2005" i="1"/>
  <c r="X2056" i="1"/>
  <c r="AE2056" i="1" s="1"/>
  <c r="AA2056" i="1"/>
  <c r="AC2165" i="1"/>
  <c r="AD2165" i="1"/>
  <c r="AB2165" i="1"/>
  <c r="AE2165" i="1"/>
  <c r="X2214" i="1"/>
  <c r="AE2214" i="1" s="1"/>
  <c r="AA2214" i="1"/>
  <c r="AC2224" i="1"/>
  <c r="AB2224" i="1"/>
  <c r="AD2224" i="1"/>
  <c r="AE2039" i="1"/>
  <c r="AB2039" i="1"/>
  <c r="AC2039" i="1"/>
  <c r="AD2039" i="1"/>
  <c r="AE2210" i="1"/>
  <c r="AD2210" i="1"/>
  <c r="AB2210" i="1"/>
  <c r="AC2210" i="1"/>
  <c r="X2232" i="1"/>
  <c r="AE2232" i="1" s="1"/>
  <c r="AA2232" i="1"/>
  <c r="AE2245" i="1"/>
  <c r="AC2245" i="1"/>
  <c r="AD2245" i="1"/>
  <c r="AB2245" i="1"/>
  <c r="AB2017" i="1"/>
  <c r="AC2017" i="1"/>
  <c r="AD2017" i="1"/>
  <c r="X2169" i="1"/>
  <c r="AE2169" i="1" s="1"/>
  <c r="AA2169" i="1"/>
  <c r="AE2227" i="1"/>
  <c r="AB2227" i="1"/>
  <c r="AD2227" i="1"/>
  <c r="AC2227" i="1"/>
  <c r="X2007" i="1"/>
  <c r="AE2007" i="1" s="1"/>
  <c r="AA2007" i="1"/>
  <c r="X2077" i="1"/>
  <c r="AE2077" i="1" s="1"/>
  <c r="AA2077" i="1"/>
  <c r="AB2178" i="1"/>
  <c r="AC2178" i="1"/>
  <c r="AE2178" i="1"/>
  <c r="AD2178" i="1"/>
  <c r="AB2020" i="1"/>
  <c r="AC2020" i="1"/>
  <c r="AD2020" i="1"/>
  <c r="AE2020" i="1"/>
  <c r="AB2151" i="1"/>
  <c r="AC2151" i="1"/>
  <c r="AE2151" i="1"/>
  <c r="AD2151" i="1"/>
  <c r="X2206" i="1"/>
  <c r="AE2206" i="1" s="1"/>
  <c r="AA2206" i="1"/>
  <c r="AD2222" i="1"/>
  <c r="AC2222" i="1"/>
  <c r="AB2222" i="1"/>
  <c r="AE2222" i="1"/>
  <c r="AC2206" i="1"/>
  <c r="AB2206" i="1"/>
  <c r="AD2206" i="1"/>
  <c r="X2230" i="1"/>
  <c r="AE2230" i="1" s="1"/>
  <c r="AA2230" i="1"/>
  <c r="X2287" i="1"/>
  <c r="AE2287" i="1" s="1"/>
  <c r="AA2287" i="1"/>
  <c r="X2439" i="1"/>
  <c r="AE2439" i="1" s="1"/>
  <c r="AA2439" i="1"/>
  <c r="X2589" i="1"/>
  <c r="AE2589" i="1" s="1"/>
  <c r="AA2589" i="1"/>
  <c r="X2265" i="1"/>
  <c r="AE2265" i="1" s="1"/>
  <c r="AA2265" i="1"/>
  <c r="AB2287" i="1"/>
  <c r="AC2287" i="1"/>
  <c r="AD2287" i="1"/>
  <c r="AB2439" i="1"/>
  <c r="AC2439" i="1"/>
  <c r="AD2439" i="1"/>
  <c r="X2407" i="1"/>
  <c r="AE2407" i="1" s="1"/>
  <c r="AA2407" i="1"/>
  <c r="AE2585" i="1"/>
  <c r="AB2585" i="1"/>
  <c r="AC2585" i="1"/>
  <c r="AD2585" i="1"/>
  <c r="AB2402" i="1"/>
  <c r="AC2402" i="1"/>
  <c r="AD2402" i="1"/>
  <c r="AE2402" i="1"/>
  <c r="AA2515" i="1"/>
  <c r="X2515" i="1"/>
  <c r="AE2515" i="1" s="1"/>
  <c r="X2401" i="1"/>
  <c r="AE2401" i="1" s="1"/>
  <c r="AA2401" i="1"/>
  <c r="X2591" i="1"/>
  <c r="AE2591" i="1" s="1"/>
  <c r="AA2591" i="1"/>
  <c r="X2263" i="1"/>
  <c r="AE2263" i="1" s="1"/>
  <c r="AA2263" i="1"/>
  <c r="AE2285" i="1"/>
  <c r="AB2285" i="1"/>
  <c r="AC2285" i="1"/>
  <c r="AD2285" i="1"/>
  <c r="AE2437" i="1"/>
  <c r="AB2437" i="1"/>
  <c r="AC2437" i="1"/>
  <c r="AD2437" i="1"/>
  <c r="X2284" i="1"/>
  <c r="AE2284" i="1" s="1"/>
  <c r="AA2284" i="1"/>
  <c r="X2424" i="1"/>
  <c r="AE2424" i="1" s="1"/>
  <c r="AA2424" i="1"/>
  <c r="AE2566" i="1"/>
  <c r="AB2566" i="1"/>
  <c r="AC2566" i="1"/>
  <c r="AD2566" i="1"/>
  <c r="AC2280" i="1"/>
  <c r="AD2280" i="1"/>
  <c r="AE2280" i="1"/>
  <c r="AB2280" i="1"/>
  <c r="AE2420" i="1"/>
  <c r="AB2420" i="1"/>
  <c r="AC2420" i="1"/>
  <c r="AD2420" i="1"/>
  <c r="AB1747" i="1" l="1"/>
  <c r="AD1747" i="1"/>
  <c r="AC1747" i="1"/>
  <c r="AC1303" i="1"/>
  <c r="AD1303" i="1"/>
  <c r="AB1303" i="1"/>
  <c r="AE1303" i="1"/>
  <c r="AC2543" i="1"/>
  <c r="AB2543" i="1"/>
  <c r="AD2543" i="1"/>
  <c r="AE2543" i="1"/>
  <c r="AE1747" i="1"/>
  <c r="AE1305" i="1"/>
  <c r="AD1305" i="1"/>
  <c r="AC1305" i="1"/>
  <c r="AB130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Иван</author>
  </authors>
  <commentList>
    <comment ref="C8" authorId="0" shapeId="0" xr:uid="{DDFAC917-2142-4AFC-9EC4-B3FD3885CB24}">
      <text>
        <r>
          <rPr>
            <b/>
            <sz val="9"/>
            <color indexed="81"/>
            <rFont val="Tahoma"/>
            <charset val="1"/>
          </rPr>
          <t>Иван:</t>
        </r>
        <r>
          <rPr>
            <sz val="9"/>
            <color indexed="81"/>
            <rFont val="Tahoma"/>
            <charset val="1"/>
          </rPr>
          <t xml:space="preserve">
in some cases, if information is available, there may be data on deals before 10.2010</t>
        </r>
      </text>
    </comment>
    <comment ref="D8" authorId="0" shapeId="0" xr:uid="{B785E2D4-209E-473F-A37B-889B0DD0D517}">
      <text>
        <r>
          <rPr>
            <b/>
            <sz val="9"/>
            <color indexed="81"/>
            <rFont val="Tahoma"/>
            <charset val="1"/>
          </rPr>
          <t>Иван:</t>
        </r>
        <r>
          <rPr>
            <sz val="9"/>
            <color indexed="81"/>
            <rFont val="Tahoma"/>
            <charset val="1"/>
          </rPr>
          <t xml:space="preserve">
в отдельных случаях при наличии инфо могут быть данные о сделках до 10.2010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Иван</author>
  </authors>
  <commentList>
    <comment ref="G261" authorId="0" shapeId="0" xr:uid="{89F0BFB8-F7C2-4898-B257-19A1DDFFFCCE}">
      <text>
        <r>
          <rPr>
            <b/>
            <sz val="9"/>
            <color indexed="81"/>
            <rFont val="Tahoma"/>
            <family val="2"/>
            <charset val="204"/>
          </rPr>
          <t>Иван:</t>
        </r>
        <r>
          <rPr>
            <sz val="9"/>
            <color indexed="81"/>
            <rFont val="Tahoma"/>
            <family val="2"/>
            <charset val="204"/>
          </rPr>
          <t xml:space="preserve">
в среднем около 24%</t>
        </r>
      </text>
    </comment>
    <comment ref="G308" authorId="0" shapeId="0" xr:uid="{DD46BECC-C316-454C-8170-F09FB76128BA}">
      <text>
        <r>
          <rPr>
            <b/>
            <sz val="9"/>
            <color indexed="81"/>
            <rFont val="Tahoma"/>
            <family val="2"/>
            <charset val="204"/>
          </rPr>
          <t>Иван:</t>
        </r>
        <r>
          <rPr>
            <sz val="9"/>
            <color indexed="81"/>
            <rFont val="Tahoma"/>
            <family val="2"/>
            <charset val="204"/>
          </rPr>
          <t xml:space="preserve">
в среднем около 75%</t>
        </r>
      </text>
    </comment>
    <comment ref="AF807" authorId="0" shapeId="0" xr:uid="{05E2BA97-E3C8-471A-BB30-AC694D4E9068}">
      <text>
        <r>
          <rPr>
            <b/>
            <sz val="9"/>
            <color indexed="81"/>
            <rFont val="Tahoma"/>
            <family val="2"/>
            <charset val="204"/>
          </rPr>
          <t>Иван:</t>
        </r>
        <r>
          <rPr>
            <sz val="9"/>
            <color indexed="81"/>
            <rFont val="Tahoma"/>
            <family val="2"/>
            <charset val="204"/>
          </rPr>
          <t xml:space="preserve">
инфо из презентации</t>
        </r>
      </text>
    </comment>
    <comment ref="M973" authorId="0" shapeId="0" xr:uid="{00000000-0006-0000-0000-000002000000}">
      <text>
        <r>
          <rPr>
            <b/>
            <sz val="9"/>
            <color indexed="81"/>
            <rFont val="Tahoma"/>
            <family val="2"/>
            <charset val="204"/>
          </rPr>
          <t>Иван:</t>
        </r>
        <r>
          <rPr>
            <sz val="9"/>
            <color indexed="81"/>
            <rFont val="Tahoma"/>
            <family val="2"/>
            <charset val="204"/>
          </rPr>
          <t xml:space="preserve">
третий транш макс 500 млн. $</t>
        </r>
      </text>
    </comment>
    <comment ref="V1594" authorId="0" shapeId="0" xr:uid="{9236523A-A7F5-4D49-9CD2-5B2175B1B359}">
      <text>
        <r>
          <rPr>
            <b/>
            <sz val="9"/>
            <color indexed="81"/>
            <rFont val="Tahoma"/>
            <family val="2"/>
            <charset val="204"/>
          </rPr>
          <t>Иван:</t>
        </r>
        <r>
          <rPr>
            <sz val="9"/>
            <color indexed="81"/>
            <rFont val="Tahoma"/>
            <family val="2"/>
            <charset val="204"/>
          </rPr>
          <t xml:space="preserve">
до вычета НДУ</t>
        </r>
      </text>
    </comment>
    <comment ref="V1596" authorId="0" shapeId="0" xr:uid="{EFEAE322-561D-404C-950F-ADDA3A5B5A21}">
      <text>
        <r>
          <rPr>
            <b/>
            <sz val="9"/>
            <color indexed="81"/>
            <rFont val="Tahoma"/>
            <family val="2"/>
            <charset val="204"/>
          </rPr>
          <t>Иван:</t>
        </r>
        <r>
          <rPr>
            <sz val="9"/>
            <color indexed="81"/>
            <rFont val="Tahoma"/>
            <family val="2"/>
            <charset val="204"/>
          </rPr>
          <t xml:space="preserve">
до вычета НДУ</t>
        </r>
      </text>
    </comment>
    <comment ref="R1605" authorId="0" shapeId="0" xr:uid="{3FA2F839-A5B2-4F00-8F84-0330AFFC1A54}">
      <text>
        <r>
          <rPr>
            <b/>
            <sz val="9"/>
            <color indexed="81"/>
            <rFont val="Tahoma"/>
            <family val="2"/>
            <charset val="204"/>
          </rPr>
          <t>Иван:</t>
        </r>
        <r>
          <rPr>
            <sz val="9"/>
            <color indexed="81"/>
            <rFont val="Tahoma"/>
            <family val="2"/>
            <charset val="204"/>
          </rPr>
          <t xml:space="preserve">
2017</t>
        </r>
      </text>
    </comment>
    <comment ref="U1605" authorId="0" shapeId="0" xr:uid="{54AB20A9-F2F8-40C6-A4E9-C32BD388A0DB}">
      <text>
        <r>
          <rPr>
            <b/>
            <sz val="9"/>
            <color indexed="81"/>
            <rFont val="Tahoma"/>
            <family val="2"/>
            <charset val="204"/>
          </rPr>
          <t>Иван:</t>
        </r>
        <r>
          <rPr>
            <sz val="9"/>
            <color indexed="81"/>
            <rFont val="Tahoma"/>
            <family val="2"/>
            <charset val="204"/>
          </rPr>
          <t xml:space="preserve">
2017</t>
        </r>
      </text>
    </comment>
    <comment ref="M1771" authorId="0" shapeId="0" xr:uid="{00000000-0006-0000-0000-00000B000000}">
      <text>
        <r>
          <rPr>
            <b/>
            <sz val="9"/>
            <color indexed="81"/>
            <rFont val="Tahoma"/>
            <family val="2"/>
            <charset val="204"/>
          </rPr>
          <t>Иван:</t>
        </r>
        <r>
          <rPr>
            <sz val="9"/>
            <color indexed="81"/>
            <rFont val="Tahoma"/>
            <family val="2"/>
            <charset val="204"/>
          </rPr>
          <t xml:space="preserve">
1$</t>
        </r>
      </text>
    </comment>
    <comment ref="M1780" authorId="0" shapeId="0" xr:uid="{00000000-0006-0000-0000-00000C000000}">
      <text>
        <r>
          <rPr>
            <b/>
            <sz val="9"/>
            <color indexed="81"/>
            <rFont val="Tahoma"/>
            <family val="2"/>
            <charset val="204"/>
          </rPr>
          <t>Иван:</t>
        </r>
        <r>
          <rPr>
            <sz val="9"/>
            <color indexed="81"/>
            <rFont val="Tahoma"/>
            <family val="2"/>
            <charset val="204"/>
          </rPr>
          <t xml:space="preserve">
Платеж был уменьшен на величину займа</t>
        </r>
      </text>
    </comment>
    <comment ref="M1868" authorId="0" shapeId="0" xr:uid="{00000000-0006-0000-0000-00000D000000}">
      <text>
        <r>
          <rPr>
            <b/>
            <sz val="9"/>
            <color indexed="81"/>
            <rFont val="Tahoma"/>
            <family val="2"/>
            <charset val="204"/>
          </rPr>
          <t>Иван:</t>
        </r>
        <r>
          <rPr>
            <sz val="9"/>
            <color indexed="81"/>
            <rFont val="Tahoma"/>
            <family val="2"/>
            <charset val="204"/>
          </rPr>
          <t xml:space="preserve">
4,3 - справедливая стоимость условного возмещения на дату приобретения</t>
        </r>
      </text>
    </comment>
    <comment ref="O1871" authorId="0" shapeId="0" xr:uid="{00000000-0006-0000-0000-00000E000000}">
      <text>
        <r>
          <rPr>
            <b/>
            <sz val="9"/>
            <color indexed="81"/>
            <rFont val="Tahoma"/>
            <family val="2"/>
            <charset val="204"/>
          </rPr>
          <t>Иван:</t>
        </r>
        <r>
          <rPr>
            <sz val="9"/>
            <color indexed="81"/>
            <rFont val="Tahoma"/>
            <family val="2"/>
            <charset val="204"/>
          </rPr>
          <t xml:space="preserve">
21 млн. - условное возмещение (корректирующий платеж)</t>
        </r>
      </text>
    </comment>
    <comment ref="G1997" authorId="0" shapeId="0" xr:uid="{00000000-0006-0000-0000-000010000000}">
      <text>
        <r>
          <rPr>
            <b/>
            <sz val="9"/>
            <color indexed="81"/>
            <rFont val="Tahoma"/>
            <family val="2"/>
            <charset val="204"/>
          </rPr>
          <t>Иван:</t>
        </r>
        <r>
          <rPr>
            <sz val="9"/>
            <color indexed="81"/>
            <rFont val="Tahoma"/>
            <family val="2"/>
            <charset val="204"/>
          </rPr>
          <t xml:space="preserve">
66,02% привилегированных акций</t>
        </r>
      </text>
    </comment>
    <comment ref="O2534" authorId="0" shapeId="0" xr:uid="{2A10D825-6EFF-4A5C-BC1A-1E9C9DA8BFD6}">
      <text>
        <r>
          <rPr>
            <b/>
            <sz val="9"/>
            <color indexed="81"/>
            <rFont val="Tahoma"/>
            <family val="2"/>
            <charset val="204"/>
          </rPr>
          <t>Иван:</t>
        </r>
        <r>
          <rPr>
            <sz val="9"/>
            <color indexed="81"/>
            <rFont val="Tahoma"/>
            <family val="2"/>
            <charset val="204"/>
          </rPr>
          <t xml:space="preserve">
по среднему курсу за 2013 год</t>
        </r>
      </text>
    </comment>
    <comment ref="V2534" authorId="0" shapeId="0" xr:uid="{C2377D2B-8F4C-4209-928F-E4B28BDE4D25}">
      <text>
        <r>
          <rPr>
            <b/>
            <sz val="9"/>
            <color indexed="81"/>
            <rFont val="Tahoma"/>
            <family val="2"/>
            <charset val="204"/>
          </rPr>
          <t>Иван:</t>
        </r>
        <r>
          <rPr>
            <sz val="9"/>
            <color indexed="81"/>
            <rFont val="Tahoma"/>
            <family val="2"/>
            <charset val="204"/>
          </rPr>
          <t xml:space="preserve">
по среднему курсу за 2013 год</t>
        </r>
      </text>
    </comment>
    <comment ref="O2535" authorId="0" shapeId="0" xr:uid="{E07E5786-F4A4-40A0-A00F-012D4D85A4F7}">
      <text>
        <r>
          <rPr>
            <b/>
            <sz val="9"/>
            <color indexed="81"/>
            <rFont val="Tahoma"/>
            <family val="2"/>
            <charset val="204"/>
          </rPr>
          <t>Иван:</t>
        </r>
        <r>
          <rPr>
            <sz val="9"/>
            <color indexed="81"/>
            <rFont val="Tahoma"/>
            <family val="2"/>
            <charset val="204"/>
          </rPr>
          <t xml:space="preserve">
по среднему курсу за 2012 год</t>
        </r>
      </text>
    </comment>
    <comment ref="V2535" authorId="0" shapeId="0" xr:uid="{53A9F960-8633-4B93-91FE-AD060A4750ED}">
      <text>
        <r>
          <rPr>
            <b/>
            <sz val="9"/>
            <color indexed="81"/>
            <rFont val="Tahoma"/>
            <family val="2"/>
            <charset val="204"/>
          </rPr>
          <t>Иван:</t>
        </r>
        <r>
          <rPr>
            <sz val="9"/>
            <color indexed="81"/>
            <rFont val="Tahoma"/>
            <family val="2"/>
            <charset val="204"/>
          </rPr>
          <t xml:space="preserve">
по среднему курсу за 2012 год</t>
        </r>
      </text>
    </comment>
    <comment ref="O2536" authorId="0" shapeId="0" xr:uid="{70089FA0-6828-4623-ABAE-608A459C8F3B}">
      <text>
        <r>
          <rPr>
            <b/>
            <sz val="9"/>
            <color indexed="81"/>
            <rFont val="Tahoma"/>
            <family val="2"/>
            <charset val="204"/>
          </rPr>
          <t>Иван:</t>
        </r>
        <r>
          <rPr>
            <sz val="9"/>
            <color indexed="81"/>
            <rFont val="Tahoma"/>
            <family val="2"/>
            <charset val="204"/>
          </rPr>
          <t xml:space="preserve">
по курсу на 30.06.2011 2012 год</t>
        </r>
      </text>
    </comment>
    <comment ref="V2536" authorId="0" shapeId="0" xr:uid="{387BD944-EEF6-420B-81D7-BC4C140C5B72}">
      <text>
        <r>
          <rPr>
            <b/>
            <sz val="9"/>
            <color indexed="81"/>
            <rFont val="Tahoma"/>
            <family val="2"/>
            <charset val="204"/>
          </rPr>
          <t>Иван:</t>
        </r>
        <r>
          <rPr>
            <sz val="9"/>
            <color indexed="81"/>
            <rFont val="Tahoma"/>
            <family val="2"/>
            <charset val="204"/>
          </rPr>
          <t xml:space="preserve">
по курсу на 30.06.2011 2012 год</t>
        </r>
      </text>
    </comment>
    <comment ref="O2537" authorId="0" shapeId="0" xr:uid="{6FAF895E-C74E-400C-B98B-3B72FB4B829B}">
      <text>
        <r>
          <rPr>
            <b/>
            <sz val="9"/>
            <color indexed="81"/>
            <rFont val="Tahoma"/>
            <family val="2"/>
            <charset val="204"/>
          </rPr>
          <t>Иван:</t>
        </r>
        <r>
          <rPr>
            <sz val="9"/>
            <color indexed="81"/>
            <rFont val="Tahoma"/>
            <family val="2"/>
            <charset val="204"/>
          </rPr>
          <t xml:space="preserve">
по среднему курсу за 2011 год</t>
        </r>
      </text>
    </comment>
    <comment ref="V2537" authorId="0" shapeId="0" xr:uid="{4180ED16-B0EE-4A42-9740-6F03D443F61E}">
      <text>
        <r>
          <rPr>
            <b/>
            <sz val="9"/>
            <color indexed="81"/>
            <rFont val="Tahoma"/>
            <family val="2"/>
            <charset val="204"/>
          </rPr>
          <t>Иван:</t>
        </r>
        <r>
          <rPr>
            <sz val="9"/>
            <color indexed="81"/>
            <rFont val="Tahoma"/>
            <family val="2"/>
            <charset val="204"/>
          </rPr>
          <t xml:space="preserve">
по среднему курсу за 2011 год</t>
        </r>
      </text>
    </comment>
    <comment ref="O2538" authorId="0" shapeId="0" xr:uid="{C07A505A-6A3C-4C6F-B0E1-0BDFDE7E0BE6}">
      <text>
        <r>
          <rPr>
            <b/>
            <sz val="9"/>
            <color indexed="81"/>
            <rFont val="Tahoma"/>
            <family val="2"/>
            <charset val="204"/>
          </rPr>
          <t>Иван:</t>
        </r>
        <r>
          <rPr>
            <sz val="9"/>
            <color indexed="81"/>
            <rFont val="Tahoma"/>
            <family val="2"/>
            <charset val="204"/>
          </rPr>
          <t xml:space="preserve">
по курсу на 30.09.2011</t>
        </r>
      </text>
    </comment>
    <comment ref="R2539" authorId="0" shapeId="0" xr:uid="{8280EE59-8E59-409B-A050-E2F023709D78}">
      <text>
        <r>
          <rPr>
            <b/>
            <sz val="9"/>
            <color indexed="81"/>
            <rFont val="Tahoma"/>
            <family val="2"/>
            <charset val="204"/>
          </rPr>
          <t>Иван:</t>
        </r>
        <r>
          <rPr>
            <sz val="9"/>
            <color indexed="81"/>
            <rFont val="Tahoma"/>
            <family val="2"/>
            <charset val="204"/>
          </rPr>
          <t xml:space="preserve">
2009</t>
        </r>
      </text>
    </comment>
    <comment ref="S2539" authorId="0" shapeId="0" xr:uid="{512CE8F8-EF27-4E0D-A2B3-2D65D48D6C47}">
      <text>
        <r>
          <rPr>
            <b/>
            <sz val="9"/>
            <color indexed="81"/>
            <rFont val="Tahoma"/>
            <family val="2"/>
            <charset val="204"/>
          </rPr>
          <t>Иван:</t>
        </r>
        <r>
          <rPr>
            <sz val="9"/>
            <color indexed="81"/>
            <rFont val="Tahoma"/>
            <family val="2"/>
            <charset val="204"/>
          </rPr>
          <t xml:space="preserve">
2009</t>
        </r>
      </text>
    </comment>
    <comment ref="V2540" authorId="0" shapeId="0" xr:uid="{A89A7D6B-A149-42E8-A2D0-DC3D4D6879BC}">
      <text>
        <r>
          <rPr>
            <b/>
            <sz val="9"/>
            <color indexed="81"/>
            <rFont val="Tahoma"/>
            <family val="2"/>
            <charset val="204"/>
          </rPr>
          <t>Иван:</t>
        </r>
        <r>
          <rPr>
            <sz val="9"/>
            <color indexed="81"/>
            <rFont val="Tahoma"/>
            <family val="2"/>
            <charset val="204"/>
          </rPr>
          <t xml:space="preserve">
по курсу на 31.12.2010</t>
        </r>
      </text>
    </comment>
    <comment ref="R3398" authorId="0" shapeId="0" xr:uid="{8A85E38E-EAC8-49FD-AD5C-A1C749C63C3F}">
      <text>
        <r>
          <rPr>
            <b/>
            <sz val="9"/>
            <color indexed="81"/>
            <rFont val="Tahoma"/>
            <family val="2"/>
            <charset val="204"/>
          </rPr>
          <t>Иван:</t>
        </r>
        <r>
          <rPr>
            <sz val="9"/>
            <color indexed="81"/>
            <rFont val="Tahoma"/>
            <family val="2"/>
            <charset val="204"/>
          </rPr>
          <t xml:space="preserve">
данные из презентации</t>
        </r>
      </text>
    </comment>
    <comment ref="G3432" authorId="0" shapeId="0" xr:uid="{00000000-0006-0000-0000-000012000000}">
      <text>
        <r>
          <rPr>
            <b/>
            <sz val="9"/>
            <color indexed="81"/>
            <rFont val="Tahoma"/>
            <family val="2"/>
            <charset val="204"/>
          </rPr>
          <t>Иван:</t>
        </r>
        <r>
          <rPr>
            <sz val="9"/>
            <color indexed="81"/>
            <rFont val="Tahoma"/>
            <family val="2"/>
            <charset val="204"/>
          </rPr>
          <t xml:space="preserve">
часть производственных мощностей</t>
        </r>
      </text>
    </comment>
  </commentList>
</comments>
</file>

<file path=xl/sharedStrings.xml><?xml version="1.0" encoding="utf-8"?>
<sst xmlns="http://schemas.openxmlformats.org/spreadsheetml/2006/main" count="57651" uniqueCount="9378">
  <si>
    <t>Покупатель</t>
  </si>
  <si>
    <t>Отрасль</t>
  </si>
  <si>
    <t>PCK Raffinerie GmbH</t>
  </si>
  <si>
    <t>Германия</t>
  </si>
  <si>
    <t>Нефтепереработка</t>
  </si>
  <si>
    <t>РФ</t>
  </si>
  <si>
    <t>Нефтесервис</t>
  </si>
  <si>
    <t>-</t>
  </si>
  <si>
    <t>Армения</t>
  </si>
  <si>
    <t>Реализация нефтепродуктов</t>
  </si>
  <si>
    <t>8 компаний, входивших в группу Weatherford International plc.</t>
  </si>
  <si>
    <t>контроль</t>
  </si>
  <si>
    <t>4 компании, входивших в группу Бишкекская Нефтяная Компания</t>
  </si>
  <si>
    <t>ТНК-ВР</t>
  </si>
  <si>
    <t>ВИНК</t>
  </si>
  <si>
    <t>Добыча и реализация газа</t>
  </si>
  <si>
    <t>Добыча нефти и газа</t>
  </si>
  <si>
    <t>Продавец</t>
  </si>
  <si>
    <t>ЛУКОЙЛ</t>
  </si>
  <si>
    <t>Sinopec</t>
  </si>
  <si>
    <t>Caspian Investment Resources Ltd.</t>
  </si>
  <si>
    <t>Казахстан</t>
  </si>
  <si>
    <t>ИСАБ</t>
  </si>
  <si>
    <t>Италия</t>
  </si>
  <si>
    <t>ERG S.p.A</t>
  </si>
  <si>
    <t>Винтерсхалл Холдинг ГмбХ</t>
  </si>
  <si>
    <t>Штокман Девелопмент АГ</t>
  </si>
  <si>
    <t>Саус Стрим Транспорт Б.В.</t>
  </si>
  <si>
    <t>Швейцария</t>
  </si>
  <si>
    <t>Строительство и эксплуатация газопроводов</t>
  </si>
  <si>
    <t>Нидерланды</t>
  </si>
  <si>
    <t xml:space="preserve">Производство, покупка и распределение тепловой энергии </t>
  </si>
  <si>
    <t>Беларусь</t>
  </si>
  <si>
    <t>ГКИ Республики Беларусь</t>
  </si>
  <si>
    <t>Транспортировка газа</t>
  </si>
  <si>
    <t>Геологоразведка</t>
  </si>
  <si>
    <t>УК</t>
  </si>
  <si>
    <t>ОАО "АКТАН"</t>
  </si>
  <si>
    <t>ОАО "Оренбургнефтепродукт"</t>
  </si>
  <si>
    <t>ОАО "РуссНефть"</t>
  </si>
  <si>
    <t>ООО "ГП "СКОН"</t>
  </si>
  <si>
    <t>ОАО "Аспэк"</t>
  </si>
  <si>
    <t>Фонд Шелкового пути (Китай)</t>
  </si>
  <si>
    <t>ОАО "Ямал СПГ"</t>
  </si>
  <si>
    <t>ООО "Ямал развитие" (ГАЗПРОМ)</t>
  </si>
  <si>
    <t>Сервис энергетического оборудования</t>
  </si>
  <si>
    <t>Строительство</t>
  </si>
  <si>
    <t>Реализация газа</t>
  </si>
  <si>
    <t>CNPC</t>
  </si>
  <si>
    <t>Перевалка и хранение грузов</t>
  </si>
  <si>
    <t>TOTAL S.A.</t>
  </si>
  <si>
    <t>Польша</t>
  </si>
  <si>
    <t>TOTAL E&amp;P ACTIVITIES PETROLIERES (“TOTAL”)</t>
  </si>
  <si>
    <t>ЗАО СИБУР</t>
  </si>
  <si>
    <t>Нефтехимия</t>
  </si>
  <si>
    <t>ООО "Экропромстрой"</t>
  </si>
  <si>
    <t>ЗАО "Русойл-Москва"</t>
  </si>
  <si>
    <t>ЗАО "Мессояханефтегаз"</t>
  </si>
  <si>
    <t>ООО "Газпромнефть-инвест"</t>
  </si>
  <si>
    <t>Газпромбанк</t>
  </si>
  <si>
    <t>ОАО "ГАЗПРОМ"</t>
  </si>
  <si>
    <t>NIS</t>
  </si>
  <si>
    <t>Сербия</t>
  </si>
  <si>
    <t>Услуги по передаче данных</t>
  </si>
  <si>
    <t>Мазутный терминал</t>
  </si>
  <si>
    <t>Транспорт нефти и нефтепродуктов</t>
  </si>
  <si>
    <t>Недвижимость</t>
  </si>
  <si>
    <t>Страхование</t>
  </si>
  <si>
    <t>Банковская деятельность</t>
  </si>
  <si>
    <t>Правительства Республики Саха (Якутия)</t>
  </si>
  <si>
    <t>Разведка, добыча и реализация алмазов (на россыпных месторождениях)</t>
  </si>
  <si>
    <t>EVRAZ plc</t>
  </si>
  <si>
    <t>Добыча железной руды</t>
  </si>
  <si>
    <t>структуры Банка ВТБ</t>
  </si>
  <si>
    <t>PBS Coals Ltd</t>
  </si>
  <si>
    <t>США</t>
  </si>
  <si>
    <t>Концентрат коксующихся углей</t>
  </si>
  <si>
    <t>Mountain State Carbon LLC</t>
  </si>
  <si>
    <t>Бразилия</t>
  </si>
  <si>
    <t>Добыча коксующегося угля</t>
  </si>
  <si>
    <t>SPG Mineracao SA</t>
  </si>
  <si>
    <t>Либерия</t>
  </si>
  <si>
    <t>Латвия</t>
  </si>
  <si>
    <t>Трейдер</t>
  </si>
  <si>
    <t>Intex Resources ASA</t>
  </si>
  <si>
    <t>Исследование и разработка месторождений</t>
  </si>
  <si>
    <t>Норвегия</t>
  </si>
  <si>
    <t>Iron Mineral Beneficiation (Proprietary) Ltd.</t>
  </si>
  <si>
    <t>ЮАР</t>
  </si>
  <si>
    <t>Исследование и инвестирование</t>
  </si>
  <si>
    <t>SRG Mineracao SA</t>
  </si>
  <si>
    <t>Украина</t>
  </si>
  <si>
    <t>Crew Gold Corporation</t>
  </si>
  <si>
    <t>High River Gold Mines Ltd.</t>
  </si>
  <si>
    <t>Канада</t>
  </si>
  <si>
    <t>Lucchini S.p.A</t>
  </si>
  <si>
    <t>Управление инвестициями</t>
  </si>
  <si>
    <t>Core Mining Limited</t>
  </si>
  <si>
    <t>Габон</t>
  </si>
  <si>
    <t>Франция</t>
  </si>
  <si>
    <t>Sacre-Coeur Minerals Ltd</t>
  </si>
  <si>
    <t>Добыча золота</t>
  </si>
  <si>
    <t>Severstal Columbus LLC</t>
  </si>
  <si>
    <t>Гайана</t>
  </si>
  <si>
    <t>BWS Bewehrungsstahl GmBH</t>
  </si>
  <si>
    <t>Обрезка и переработка сталелитейной продукции</t>
  </si>
  <si>
    <t>Cognor Stahlhandel GmbH</t>
  </si>
  <si>
    <t>Австрия</t>
  </si>
  <si>
    <t>Переработка и хранение металлолома</t>
  </si>
  <si>
    <t>АО "Топлофикация-Русе"</t>
  </si>
  <si>
    <t>Электроэнергетика</t>
  </si>
  <si>
    <t>Болгария</t>
  </si>
  <si>
    <t>Invicta Merchant Bar Limited (Invicta)</t>
  </si>
  <si>
    <t>ООО "ТФЗ", ТОО "Восход-Oriel", ТОО "Восход-Хром", ТОО "Восход Трейдинг"</t>
  </si>
  <si>
    <t>BCG</t>
  </si>
  <si>
    <t>ОАО "Ижсталь"</t>
  </si>
  <si>
    <t>ОАО "Разрез Томусинский"</t>
  </si>
  <si>
    <t>ОАО "Мечел-Майнинг"</t>
  </si>
  <si>
    <t>Добыча угля</t>
  </si>
  <si>
    <t>ОАО "Белорецкий металлургический комбинат" (БМК)</t>
  </si>
  <si>
    <t>Металлургия</t>
  </si>
  <si>
    <t>Добыча хромовой руды</t>
  </si>
  <si>
    <t>Великобритания</t>
  </si>
  <si>
    <t>Торговля металлопродукцией</t>
  </si>
  <si>
    <t>Холдинговая компания</t>
  </si>
  <si>
    <t>ОАО "Ванинский морской торговый порт" ("Ванинский порт")</t>
  </si>
  <si>
    <t>Транспорт</t>
  </si>
  <si>
    <t>21 892 обыкновенные акции</t>
  </si>
  <si>
    <t>16 039 привилегированных акций</t>
  </si>
  <si>
    <t>Daveze Ltd (ДЭМЗ)</t>
  </si>
  <si>
    <t>Ramateks</t>
  </si>
  <si>
    <t>Donau Commodities SRL (Laminorul S.A.)</t>
  </si>
  <si>
    <t>Румыния</t>
  </si>
  <si>
    <t>Турция</t>
  </si>
  <si>
    <t>HBL Holding Gmbh</t>
  </si>
  <si>
    <t>Ductil Steel SA</t>
  </si>
  <si>
    <t>Oriel Resources plc</t>
  </si>
  <si>
    <t>Добыча и переработка хрома и никеля</t>
  </si>
  <si>
    <t>Delizia Finance Ltd</t>
  </si>
  <si>
    <t>Luckstone Corporation</t>
  </si>
  <si>
    <t>ОАО "Южно-уральский никелевый комбинат" (ЮУНК)</t>
  </si>
  <si>
    <t>Добыча никеля</t>
  </si>
  <si>
    <t>ОАО "Томусинское энергоуправление"</t>
  </si>
  <si>
    <t>ОАО "Южно-Кузбасская ГРЭС"</t>
  </si>
  <si>
    <t>ОАО "База материально-технического снабжения"</t>
  </si>
  <si>
    <t>ООО "АЛНАС-К", ООО "Усинск-АЛНАС-Сервис", ООО "Армада", ЗАО "Няганьнефтемаш"</t>
  </si>
  <si>
    <t>ООО "МСА-КТС", ООО "Юганск-АЛНАС-Сервис"</t>
  </si>
  <si>
    <t>ООО "АЛНАС-Электроника", ООО "Альметьевск-АЛНАС-Сервис", ООО "Таймырская буровая компания"</t>
  </si>
  <si>
    <t>ООО "Ноябрьская центральная трубная база"</t>
  </si>
  <si>
    <t>Нефтепромысловые сервисные услуги</t>
  </si>
  <si>
    <t>ЗАО "СОТ" и ОАО "МЗМЗ"</t>
  </si>
  <si>
    <t>Изготовление и продажа клапанов / колен малого радиуса</t>
  </si>
  <si>
    <t>Изготовление магистральных отводов трубопроводов</t>
  </si>
  <si>
    <t>ОАО "АЛНАС+"</t>
  </si>
  <si>
    <t>Заготовка металлолома</t>
  </si>
  <si>
    <t>Авиатранспорт</t>
  </si>
  <si>
    <t>Австралия</t>
  </si>
  <si>
    <t>Добыча золота и никеля</t>
  </si>
  <si>
    <t>Пенсионное страхование</t>
  </si>
  <si>
    <t>золоторудные активы North Eastern Goldfields Operations (“NEGO”), никелевые активы Black Swan, Silver Swan, Lake Johnston Nickel Project, Avalon и Cawse</t>
  </si>
  <si>
    <t>Добыча газа</t>
  </si>
  <si>
    <t>Речное транспорт</t>
  </si>
  <si>
    <t>Stillwater Mining Company</t>
  </si>
  <si>
    <t>Добыча платины и палладия</t>
  </si>
  <si>
    <t>Добыча руд цветных металлов</t>
  </si>
  <si>
    <t>Торговля углем</t>
  </si>
  <si>
    <t>Полиметалл</t>
  </si>
  <si>
    <t>ОАО "Южно-Верхоянская горнодобывающая компания"</t>
  </si>
  <si>
    <t>Polyus Gold International Limited (PGIL)</t>
  </si>
  <si>
    <t>Jenington</t>
  </si>
  <si>
    <t>Polyus Exploration Limited</t>
  </si>
  <si>
    <t>KazakhGold</t>
  </si>
  <si>
    <t>MMK Trading AG</t>
  </si>
  <si>
    <t>Холдинг</t>
  </si>
  <si>
    <t>50%-1 акция</t>
  </si>
  <si>
    <t>MMK Atakas Metalurji</t>
  </si>
  <si>
    <t>Производство металлопродукции</t>
  </si>
  <si>
    <t>Добыча и обогащение угля</t>
  </si>
  <si>
    <t>Onarbay Enterprises Ltd</t>
  </si>
  <si>
    <t>Кипр</t>
  </si>
  <si>
    <t>Сбор и переработка металлолома</t>
  </si>
  <si>
    <t>Бельгия</t>
  </si>
  <si>
    <t>SOGEPA</t>
  </si>
  <si>
    <t>Люксембург</t>
  </si>
  <si>
    <t>Инвестиционная компания</t>
  </si>
  <si>
    <t>STEEL INVEST &amp; FINANCE S.A. (SIF)</t>
  </si>
  <si>
    <t>Макси-Групп</t>
  </si>
  <si>
    <t>50%+1 акция</t>
  </si>
  <si>
    <t>Beta Steel Corp. (NLMK Indiana)</t>
  </si>
  <si>
    <t>Novexco (Cyprus) Ltd., Кипр и Novex Trading (Swiss) S.A., Швейцария.</t>
  </si>
  <si>
    <t>Торговля</t>
  </si>
  <si>
    <t>Altynalmas Gold Ltd (AAG)</t>
  </si>
  <si>
    <t>Decamor Investments Limited</t>
  </si>
  <si>
    <t xml:space="preserve">Vitalex Investments Ltd и Arrowline Investments Ltd </t>
  </si>
  <si>
    <t>AngloGold Ashanti Holdings PLC (AngloGold)</t>
  </si>
  <si>
    <t>Сунцова В. А. (25%) и Polister Limited (75%)</t>
  </si>
  <si>
    <t>Добыча платины</t>
  </si>
  <si>
    <t>месторождение золота Ведуга</t>
  </si>
  <si>
    <t>Amikan Holding Limited</t>
  </si>
  <si>
    <t>Olsen Business Limited</t>
  </si>
  <si>
    <t>Кузьмичев В. В.</t>
  </si>
  <si>
    <t>Doland Business Limited</t>
  </si>
  <si>
    <t>Добыча золота и серебра</t>
  </si>
  <si>
    <t>Castalian Trading Limited,</t>
  </si>
  <si>
    <t>Highland Gold Mining Limited</t>
  </si>
  <si>
    <t>Orsu Metals Corporation</t>
  </si>
  <si>
    <t>Three K Exploration and Mninng Limited (АО "Варваринское")</t>
  </si>
  <si>
    <t>Добыча золота и меди</t>
  </si>
  <si>
    <t>ООО "Рудник Кварцевый"</t>
  </si>
  <si>
    <t>ЗАО "Артель старателей "Аякс"</t>
  </si>
  <si>
    <t>Silver Ster Ltd</t>
  </si>
  <si>
    <t>Добыча серебра</t>
  </si>
  <si>
    <t>ООО "Бронкс-М"</t>
  </si>
  <si>
    <t>Содержание недвижимости</t>
  </si>
  <si>
    <t>Инвестиции в ценные бумаги</t>
  </si>
  <si>
    <t>ООО "Авес-Байкал"</t>
  </si>
  <si>
    <t>Мастко Холдингс Лимитед</t>
  </si>
  <si>
    <t>ООО "Артель старателей "Сининда-1"</t>
  </si>
  <si>
    <t>ФРТ Ассетс Лимитед, Тейт Инвестментс Лимитед, Бэкстар Холдингс Лимитед</t>
  </si>
  <si>
    <t>ООО "Территория"</t>
  </si>
  <si>
    <t>Финансовая деятельность</t>
  </si>
  <si>
    <t xml:space="preserve">North United Aluminium </t>
  </si>
  <si>
    <t>Торговля алюминием</t>
  </si>
  <si>
    <t>Китай</t>
  </si>
  <si>
    <t xml:space="preserve">Alumina Partners of Jamaica (“Alpart”) </t>
  </si>
  <si>
    <t>Ямайка</t>
  </si>
  <si>
    <t>Производство глинозема</t>
  </si>
  <si>
    <t>Norsk Hydro ASA (Norway)</t>
  </si>
  <si>
    <t>ООО "ТМК ЧЕРМЕТ"</t>
  </si>
  <si>
    <t>Бизнес по заканчиванию скважин</t>
  </si>
  <si>
    <t>Бизнес по сервисному обслуживанию трубной продукции и производству аксессуаров для нефтегазодобывающей отрасли</t>
  </si>
  <si>
    <t>ООО "Складской комплекс "ТМК"</t>
  </si>
  <si>
    <t>Складские услуги</t>
  </si>
  <si>
    <t>Gulf International Pipe Industry LLC ("GIPI")</t>
  </si>
  <si>
    <t>Оман</t>
  </si>
  <si>
    <t>Производство труб</t>
  </si>
  <si>
    <t>ООО "Уральский двор"</t>
  </si>
  <si>
    <t>ОАО "Волгоградский речной порт"</t>
  </si>
  <si>
    <t>TMK HYDROENERGY POWER S.R.L.</t>
  </si>
  <si>
    <t>ООО "Северный Европейский Трубный Проект"</t>
  </si>
  <si>
    <t>Evraz Group S.A. ("Evraz")</t>
  </si>
  <si>
    <t>100% акций IPSCO Tubulars Inc. и 51% акций NS Group Inc.</t>
  </si>
  <si>
    <t>Лизинг авитранспорта</t>
  </si>
  <si>
    <t>Добыча редкоземельных металлов</t>
  </si>
  <si>
    <t>Телекоммуникации</t>
  </si>
  <si>
    <t>Garsdale</t>
  </si>
  <si>
    <t>Евросеть</t>
  </si>
  <si>
    <t>Synterra Cyprus Limited и Burnham Advisors Limited</t>
  </si>
  <si>
    <t>«НИС» с 2011 года предоставляет услуги мониторинга и диспетчеризации на рынке навигационноинформационных услуг.</t>
  </si>
  <si>
    <t>Пакет акций был получен в обмен на здание остаточной стоимостью 23,9 млн. руб.</t>
  </si>
  <si>
    <t>Здание (Москва, Бакунинская, ул., 1-3)</t>
  </si>
  <si>
    <t>106 объектов недвижимости общей площадью 330 тыс. кв.м.</t>
  </si>
  <si>
    <t xml:space="preserve">ООО Universal Mobile Systems (UMS) </t>
  </si>
  <si>
    <t>Центр радиосвязи, радиовещания и телевидения (ГУП ЦРРТ - Узбекистан)</t>
  </si>
  <si>
    <t>Узбекистан</t>
  </si>
  <si>
    <t>ИТ</t>
  </si>
  <si>
    <t>АО "Энвижн Групп"</t>
  </si>
  <si>
    <t>АО "Энвижн Групп" является одним из крупнейших системных интеграторов и поставщиком комплексных ИТ-решений</t>
  </si>
  <si>
    <t>"Навигационные информационные системы" (НИС)</t>
  </si>
  <si>
    <t>Компания - ведущий системный итегратор спутниковых проектов ГЛОНАСС</t>
  </si>
  <si>
    <t>"СМАРТС-Иваново"</t>
  </si>
  <si>
    <t>"СМАРТС-Уфа"</t>
  </si>
  <si>
    <t>"Пенза-GSM"</t>
  </si>
  <si>
    <t>Группа компаний "Эльф"</t>
  </si>
  <si>
    <t>Оператор фиксированной связи; регион - Центр</t>
  </si>
  <si>
    <t>"Интерком"</t>
  </si>
  <si>
    <t>Оператор фиксированной связи; регион - Поволжье</t>
  </si>
  <si>
    <t>"ЖелГорТелеком"</t>
  </si>
  <si>
    <t>"Пилот" и "ТВКиК"</t>
  </si>
  <si>
    <t>ПАО "МГТС"</t>
  </si>
  <si>
    <t>Путем приобретения акций "Система-Инвенчур"</t>
  </si>
  <si>
    <t>Группа компаний "Интелека"</t>
  </si>
  <si>
    <t>Оператор фиксированной связи; регион - Сибирь</t>
  </si>
  <si>
    <t>"Инфоцентр"</t>
  </si>
  <si>
    <t>Оператор фиксированной связи; регион - Урал</t>
  </si>
  <si>
    <t>"Альтаир"</t>
  </si>
  <si>
    <t>ТВТ</t>
  </si>
  <si>
    <t>"Тензор Телеком"</t>
  </si>
  <si>
    <t>"Пенза Телеком"</t>
  </si>
  <si>
    <t>НМСК</t>
  </si>
  <si>
    <t>"Ланк Телеком"</t>
  </si>
  <si>
    <t>Оператор фиксированной связи; регион - Северо-Запад</t>
  </si>
  <si>
    <t>"Система Телеком"</t>
  </si>
  <si>
    <t>"Метро Телеком"</t>
  </si>
  <si>
    <t>Компания владеет оптоволоконной сетью на территории Московского метрополитена</t>
  </si>
  <si>
    <t>"Мультирегион"</t>
  </si>
  <si>
    <t>Телекоммуникации (Интернет-провайдер)</t>
  </si>
  <si>
    <t>Компания предоставляет услуги ШПД в Интернет и кабельного телевидения в 37 регионах РФ</t>
  </si>
  <si>
    <t>"СВИТ-КОМ"</t>
  </si>
  <si>
    <t>Доля МТС в Компании увеличилась до 100%</t>
  </si>
  <si>
    <t>"ТС-Ритейл"</t>
  </si>
  <si>
    <t>Доля МТС в Компании увеличилась до 40%</t>
  </si>
  <si>
    <t>Доля МТС в Компании увеличилась до 70,97%</t>
  </si>
  <si>
    <t>Розничные сети</t>
  </si>
  <si>
    <t>"Телефон.ру"</t>
  </si>
  <si>
    <t>"Эльдорадо"</t>
  </si>
  <si>
    <t>"Телефорум"</t>
  </si>
  <si>
    <t>"Евротел"</t>
  </si>
  <si>
    <t>"КОМСТАР-ОТС"</t>
  </si>
  <si>
    <t>184,02 руб. (6,21$) за ГДР</t>
  </si>
  <si>
    <t>Путем обмена на акции МТС (по цене 225,4 руб. за 1 акцию)</t>
  </si>
  <si>
    <t>Kolorit Dizayn</t>
  </si>
  <si>
    <t>Наружная реклама</t>
  </si>
  <si>
    <t>"Дагтелеком"</t>
  </si>
  <si>
    <t>Glaxen</t>
  </si>
  <si>
    <t>Был исполнен опцион на продажу</t>
  </si>
  <si>
    <t>Galata S.p.A.</t>
  </si>
  <si>
    <t>Abertis Telecom Terrestre SAU</t>
  </si>
  <si>
    <t>Компания владеет 7377 башнями</t>
  </si>
  <si>
    <t xml:space="preserve">Global Telecom Holding S.A.E. </t>
  </si>
  <si>
    <t>Алжир</t>
  </si>
  <si>
    <t>ZARNet (Private) Limited</t>
  </si>
  <si>
    <t>Зимбабве</t>
  </si>
  <si>
    <t>135 млн. канадских долларов</t>
  </si>
  <si>
    <t>Telecel Globe</t>
  </si>
  <si>
    <t>Wind Canada</t>
  </si>
  <si>
    <t xml:space="preserve">Telecel International Limited </t>
  </si>
  <si>
    <t>96,1 млн. гривен; По состоянию на 21 августа 2014 года чистые обязательства ООО «Голден Телеком» (Украина) составляли 729 млн. рублей</t>
  </si>
  <si>
    <t>Sotelco Ltd</t>
  </si>
  <si>
    <t>Камбоджа</t>
  </si>
  <si>
    <t>ION Group</t>
  </si>
  <si>
    <t xml:space="preserve">GTEL Mobile </t>
  </si>
  <si>
    <t>GTEL Transmit and Infrastructure Service One Member Company Limited</t>
  </si>
  <si>
    <t>Вьетнам</t>
  </si>
  <si>
    <t>Таком</t>
  </si>
  <si>
    <t>Таджикистан</t>
  </si>
  <si>
    <t>Wind Telecom</t>
  </si>
  <si>
    <t>Ararima Enterprises Limited</t>
  </si>
  <si>
    <t>ООО СП "Сахалин Телеком"</t>
  </si>
  <si>
    <t>Лаос</t>
  </si>
  <si>
    <t>VimpelCom Holding Laos B.V. (formerly - Millicom Holding Laos B.V.)</t>
  </si>
  <si>
    <t>ЗАО "Элтел"</t>
  </si>
  <si>
    <t>ОАО "Новая телефонная компания" (НТК)</t>
  </si>
  <si>
    <t>ПАО "Киевстар"</t>
  </si>
  <si>
    <t>КДДИ Оверсиз Холдингс Б.В. и Соджитс Корпорэйшн</t>
  </si>
  <si>
    <t>Группа ФрешТел</t>
  </si>
  <si>
    <t>Включает в себя 100% долей в ООО «Интерпроект», ООО «Орион», ООО «Прогресс» и ООО «Столица»; ФрешТел предоставляет услуги 14 000 абонентам более чем в 38 российских городах.</t>
  </si>
  <si>
    <t>Старт Телеком</t>
  </si>
  <si>
    <t>ЗАО "Джи Эн Си Альфа"</t>
  </si>
  <si>
    <t>Филор Венчурс Лтд</t>
  </si>
  <si>
    <t>ООО "Энтер"</t>
  </si>
  <si>
    <t>ШПД в Интернет</t>
  </si>
  <si>
    <t>ООО "КМ Медиа"</t>
  </si>
  <si>
    <t>ООО "Чита-Он-Лайн"</t>
  </si>
  <si>
    <t>ШПД в Интернет и IPTV</t>
  </si>
  <si>
    <t>ООО "Баштелекомсервис"</t>
  </si>
  <si>
    <t>ОАО "Национальные коммуникации"</t>
  </si>
  <si>
    <t>ОАО "Газпромбанк"</t>
  </si>
  <si>
    <t>ЗАО "Национальная медиа группа", ОАО Сургутнефтегаз", Рэйбрук Лимитед</t>
  </si>
  <si>
    <t>ОАО "Мостелесеть"</t>
  </si>
  <si>
    <t>Правительство Москвы</t>
  </si>
  <si>
    <t>ОАО "Мостелесеть" - дочерняя компания ОАО "Национальные коммуникации"; Доля владения Ростелекома увеличилась с 74% до 100%</t>
  </si>
  <si>
    <t>ЗАО "Волгоград-GSM"</t>
  </si>
  <si>
    <t>Группа "СМАРТС"</t>
  </si>
  <si>
    <t>ЗАО "Оренбург-GSM"</t>
  </si>
  <si>
    <t>ЗАО "СТС"</t>
  </si>
  <si>
    <t>"Мелвонд Холдинг Лимитед"</t>
  </si>
  <si>
    <t>Телесет Нетворкс Паблик Компани Лимитед</t>
  </si>
  <si>
    <t>Доля Ростелекома достигла 99,5%</t>
  </si>
  <si>
    <t>ПАО "ДЭК"</t>
  </si>
  <si>
    <t>Сервис и ремонт</t>
  </si>
  <si>
    <t>AMG Industrial Investment Corporation AG</t>
  </si>
  <si>
    <t>Argos Therapeutics, Inc</t>
  </si>
  <si>
    <t>Фармацевтика</t>
  </si>
  <si>
    <t>Biocad Holding Limited</t>
  </si>
  <si>
    <t>Bever Pharmaceutical Pte Ltd</t>
  </si>
  <si>
    <t>Александр Шустер</t>
  </si>
  <si>
    <t>Donelle Company Limited</t>
  </si>
  <si>
    <t>Bigpearl Trading Limited (Группа компаний "Биопроцесс")</t>
  </si>
  <si>
    <t>ЗАО "Лекко"</t>
  </si>
  <si>
    <t>АО "Гриндекс"</t>
  </si>
  <si>
    <t>ООО ТК ТОКО</t>
  </si>
  <si>
    <t>ООО Панацея</t>
  </si>
  <si>
    <t>В марте и мае 2011 года финансовые вложения были переданы Интер РАО ЕЭС в обмен на 1 883 043 160 666 его обыкновенных акций</t>
  </si>
  <si>
    <t>ОАО "Проектно-изыскательский и научно-исследовательский институт "Гидропроект" им. С.Я. Жука"</t>
  </si>
  <si>
    <t>РусГидро</t>
  </si>
  <si>
    <t>ОАО "Паужетская ГеоЭС"</t>
  </si>
  <si>
    <t>Интер РАО</t>
  </si>
  <si>
    <t>12 января 2016 года Группа объявила обязательное предложение выкупа 6,68% обыкновенных и 36,44% привилегированных акций ПАО «Томскэнергосбыт», принадлежащих неконтролирующим акционерам компании. Цена приобретения обыкновенных и привилегированных акций в рамках предложения составила 0,4157 руб. за одну акцию. Предложение действовало до 25 апреля 2016 года.В результате Группа приобрела 2,37% обыкновенных и 16,06% привилегированных акций ПАО «Томскэнергосбыт» за денежное вознаграждение 76 млн. руб. и увеличила долю владения компанией до 93,58%</t>
  </si>
  <si>
    <t>Грузия</t>
  </si>
  <si>
    <t>В результате доля Группы увеличилась с 50,92% до 74,90%</t>
  </si>
  <si>
    <t>В результате доля Группы увеличилась с 74,90% до 93,99%.</t>
  </si>
  <si>
    <t>В результате Группа увеличила свою долю участия с 49% до 51% и получила контроль над деятельностью компании</t>
  </si>
  <si>
    <t>В результате Группа увеличила свою долю участия с 59,18% до 89,42%</t>
  </si>
  <si>
    <t>доля Группы в данных компаниях снизилась с 100% до 50%</t>
  </si>
  <si>
    <t>В результате доля участия Группы увеличилась до 100%</t>
  </si>
  <si>
    <t>В результате Группа увеличила свою долю участия с 31,27% до 59,18%</t>
  </si>
  <si>
    <t xml:space="preserve">Trakya Elektrik Uretim ve Ticaret A.S. </t>
  </si>
  <si>
    <t>В результате Группа достигла 100% владения Trakya Elektrik Uretim ve Ticaret A.S.</t>
  </si>
  <si>
    <t>Консалтинг</t>
  </si>
  <si>
    <t>ООО «Инвест Информ Проект» специализируется на создании корпоративных информационных систем и оказывает услуги технологического консультирования</t>
  </si>
  <si>
    <t>ОАО «Башкирэнерго» было реорганизовано в форме разделения на ОАО «Башкирская электросетевая компания» (ОАО «БЭСК») и ОАО «Башэнергоактив», электрогенерирующую компанию,осуществляющую деятельность на территории Башкортостана, РФ (включая ООО «Башкирская генерирующая компания», ООО «БашРТС», ООО «ПГУ «ТЭЦ-5» и другие дочерние предприятия)</t>
  </si>
  <si>
    <t>1 октября 2012 года Группа завершила процесс реорганизации генерирующих активов. 13,38% обыкновенных акций, принадлежавших акционерам, владеющим неконтрольной долей участия, которые не воспользовались своим правом реализовать акции, были конвертированы в обыкновенные акции ОАО «Интер РАО». Общая стоимость сделки составила 5 736 млн. руб. и представлена справедливой стоимостью 209 761 917 312 обыкновенных акций, выпущенных ОАО «Интер РАО» по рыночным котировкам на дату передачи акций</t>
  </si>
  <si>
    <t>В результате доля участия Группы увеличилась до 84,56%</t>
  </si>
  <si>
    <t>В результате доля участия Группы увеличилась до 96,49% от общего количества акций</t>
  </si>
  <si>
    <t>В результате доля участия Группы увеличилась до 100% от общего количества акций</t>
  </si>
  <si>
    <t>АО "Храми-I" и АО "Храми-II"</t>
  </si>
  <si>
    <t>Vydmantai Wind Park UAB</t>
  </si>
  <si>
    <t>Литва</t>
  </si>
  <si>
    <t>В результате доля участия Группы увеличилась до 33,36%</t>
  </si>
  <si>
    <t>ПАО "Мосэнергосбыт"</t>
  </si>
  <si>
    <t>Группа компаний "ИНТЕР РАО Светодиодные Системы"</t>
  </si>
  <si>
    <t>Электротехника</t>
  </si>
  <si>
    <t>Компания-цель - ключевой участник российского рынка светодиодных систем</t>
  </si>
  <si>
    <t>ЗАО "Международная энергетическая корпорация"</t>
  </si>
  <si>
    <t>ООО "Сахалинэнергонефть"</t>
  </si>
  <si>
    <t>Спорт</t>
  </si>
  <si>
    <t>ООО "ПФК ЦСКА"</t>
  </si>
  <si>
    <t>ОАО "Промышленная энергетика"</t>
  </si>
  <si>
    <t>Компания осуществляет торговлю электроэнергией в городе Москва</t>
  </si>
  <si>
    <t>Доля группы снизилась до 51%</t>
  </si>
  <si>
    <t>Компании принадлежит комплекс из 7 офисных зданий на разных стадиях заверщения (2 закончены и сдаются в аренду)</t>
  </si>
  <si>
    <t>ТОО "Казэнергоресурс"</t>
  </si>
  <si>
    <t>ТОО "Казэнергоресурс" владеет 74,48% ТОО "Недра Казахстана"</t>
  </si>
  <si>
    <t>The total consideration was EUR 35.816 million (RUR 1,472 million) including EUR 28.560 million (RUR 1,174 million) the consideration for the 24.99% of ordinary shares and EUR 7.256 million (RUR 298 million) the consideration for the 37.03% of preference shares</t>
  </si>
  <si>
    <t>Interenergo B.V. (ЗАО "Электрические сети Армении")</t>
  </si>
  <si>
    <t>АО Интер РАО Украина (Technoelectrika S.R.L.)</t>
  </si>
  <si>
    <t>ООО "Эн+ Порт"</t>
  </si>
  <si>
    <t>Vukelich Limited</t>
  </si>
  <si>
    <t>В результате доля участия Группы увеличилась до 74,8%</t>
  </si>
  <si>
    <t>ООО "Сибметком"</t>
  </si>
  <si>
    <t>В результате доля участия Группы увеличилась до 88%</t>
  </si>
  <si>
    <t>Транспортные услуги</t>
  </si>
  <si>
    <t>Graciosa Holdings Limited</t>
  </si>
  <si>
    <t>Грациоза Холдингз Лимитед, Кипр владеет 100% акций ОАО «ЭнСер», г. Миасс, Челябинской области. ОАО «ЭнСер» - предприятие промышленной энергетики, основной задачей которого является обеспечение энергоресурсами (теплоэнергия, электроэнергия, хозяйственно-питьевая, промышленная, деминерализованная, дистиллированная вода, сжатый воздух, природный газ, кислород, азот, углекислый газ, ацетилен) и оказание услуг потребителям: ОАО «АЗ «Урал» (связанная сторона), промышленным потребителям, жилому фонду и социально-бытовой сфере центральной части города Миасса</t>
  </si>
  <si>
    <t>Ленэнерго</t>
  </si>
  <si>
    <t>С учетом 28,7% доли АО «СПбЭС», доля Группы достигла 88,7%</t>
  </si>
  <si>
    <t>В результате доля Группы увеличилась до 98,127%</t>
  </si>
  <si>
    <t>MPCК Центра и Поволжья</t>
  </si>
  <si>
    <t>Сельское хозяйство</t>
  </si>
  <si>
    <t>MPCК Урала</t>
  </si>
  <si>
    <t>Услуги охраны</t>
  </si>
  <si>
    <t>MPCК Северо-Запада</t>
  </si>
  <si>
    <t>MPCК Сибири</t>
  </si>
  <si>
    <t>Лизинг</t>
  </si>
  <si>
    <t>ООО "ТСК Новая Москва"</t>
  </si>
  <si>
    <t>Группа Мосэнерго</t>
  </si>
  <si>
    <t>ООО "ОГК-Инвестпроект"</t>
  </si>
  <si>
    <t>ООО "Теплоэнергоремонт-Москва"</t>
  </si>
  <si>
    <t>ООО "ГЭС-2"</t>
  </si>
  <si>
    <t>ООО "Теплоэнергоремонт"</t>
  </si>
  <si>
    <t>Компания занимается строительством Череповецкой ГРЭС</t>
  </si>
  <si>
    <t>ОАО "ТЭК Мосэнерго"</t>
  </si>
  <si>
    <t>ЗАО "СМР "Энерго"</t>
  </si>
  <si>
    <t>ПАО "МОЭСК"</t>
  </si>
  <si>
    <t>25% - 1 акция</t>
  </si>
  <si>
    <t>Компания увеличила долю владения в УК ОАО «Энергоцентр» с 50% до 75% минус одна акция</t>
  </si>
  <si>
    <t>Группа ОГК-2</t>
  </si>
  <si>
    <t>Компания увеличила долю владения до 100%</t>
  </si>
  <si>
    <t>Компания увеличила долю владения до 55%</t>
  </si>
  <si>
    <t>Приобретено 13 204 353 акций</t>
  </si>
  <si>
    <t>Приобретено 45 460 746 акций</t>
  </si>
  <si>
    <t>Приобретено 5 447 508 134 акций</t>
  </si>
  <si>
    <t>Приобретено 140 345 713 акций</t>
  </si>
  <si>
    <t>Приобретено 26 552 771 акций</t>
  </si>
  <si>
    <t>МОЭСК</t>
  </si>
  <si>
    <t>Доля МОЭСК выросла с 50% до 75% -1 акция</t>
  </si>
  <si>
    <t>Приобретено 27 260 040 акций</t>
  </si>
  <si>
    <t>В Группа приобрела дополнительно 979 267 684 обыкновенных и 158 213 911 привилегированных акций ОАО «ТРК»</t>
  </si>
  <si>
    <t>ОАО "ТРК"</t>
  </si>
  <si>
    <t>Приобретено 15 780 600 акций</t>
  </si>
  <si>
    <t>ООО "Тверская генерация"</t>
  </si>
  <si>
    <t>В результате обмена на выпущенные акции ОАО ГК «ТНС энерго» в количестве 941 398 штук Группа приобрела 5 764 115 штук (32,25%) обыкновенных акций ОАО «Кубаньэнергосбыт» и получила контроль над этой компанией. В результате данной сделки доля Группы в капитале ОАО «Кубаньэнергосбыт» выросла с 24,88% до 57,24%.</t>
  </si>
  <si>
    <t>Гарантирующий поставщик на территории Тульской области</t>
  </si>
  <si>
    <t>ОАО «Тульская энергосбытовая компания» на конкурсной основе приобрела статус гарантирующего поставщика на территории Тульской области, ранее принадлежавший обанкротившейся сбытовой компании-гарантирующему поставщику</t>
  </si>
  <si>
    <t>ООО «Гарантэнергосервис» на конкурсной основе приобрел статус гарантирующего поставщика на территории города Великий Новгород, ранее принадлежавший обанкротившейся сбытовой компании-гарантирующему поставщику</t>
  </si>
  <si>
    <t>Гарантирующий поставщик на территории города Великий Новгород</t>
  </si>
  <si>
    <t>Также Группа заключила соглашение со связанной стороной ООО «Новое энергетическое партнерство», согласно которому Группа получила право управлять по своему усмотрению 29,9% голосов по акциям ОАО «Энергосбыт Ростовэнерго», ринадлежащим ООО «Новое энергетическое партнерство» (выступать как принципал по вопросам определения финансовой и операционной политики ОАО «Энергосбыт Ростовэнерго»). Таким образом Группа получила контроль над ОАО «Энергосбыт Ростовэнерго».</t>
  </si>
  <si>
    <t>Inter Promo Trade Limited</t>
  </si>
  <si>
    <t>Компания владеет группами компаний ООО "РКС-Холдинг" и ЗАО "Новогор", основной деятельностью которых является оказание услуг по теплоснабжению, электроснабжению, водоснабжению, водоотведению, а также других коммунальных услуг</t>
  </si>
  <si>
    <t>ООО «ГАЗЭКС-Менеджмент» владеет контрольными долями в компаниях ЗАО «ГАЗЭКС» и ОАО «Уральские газовые сети». ЗАО «ГАЗЭКС» является крупнейшей газораспределительной компанией Урала, осуществляющей транспортировку и реализацию природного газа промышленным предприятиям и населению. ОАО «Уральские газовые сети» является крупнейшей газоэксплуатационной компанией Урала, осуществляющей строительство и эксплуатацию внутридомовых и частных газовых сетей.</t>
  </si>
  <si>
    <t>ЗАО «Газмонтаж» специализируется на оказании услуг в сфере строительства, диагностики, проектирования и ремонтов газопроводов.</t>
  </si>
  <si>
    <t>Услуги по ремонту газопроводов</t>
  </si>
  <si>
    <t>Транспорт газа</t>
  </si>
  <si>
    <t xml:space="preserve">В группу компаний ОАО «ТГК-5» входят генерирующие активы, расположенные на территории 4 субъектов Российской Федерации: Чувашская Республика, Удмуртская Республика, Республика Марий Эл, Кировская область. Стоимость сделки представлена предварительной справедливой стоимостью 1 002 869 750 обыкновенных акций в сумме 4 521 млн. руб., выпущенных ОАО «Волжская ТГК» на дату передачи акций. </t>
  </si>
  <si>
    <t>В группу компаний ОАО «ТГК-6» входят генерирующие активы, расположенные в Ивановском, Владимирском, Нижегородском, Пензенском регионах и Республике Мордовия Российской Федерации. Стоимость сделки представлена предварительной справедливой стоимостью 1 771 534 990 обыкновенных акций в сумме 7 985 млн. руб., выпущенных ОАО «Волжская ТГК» на дату передачи акций.</t>
  </si>
  <si>
    <t>В группу компаний ОАО «ТГК-9» входят генерирующие активы, расположенные в Свердловском, Пермском регионах и Республике Коми, а также дочернее общество ОАО «ЭнергосбыТ Плюс» − объединенная энергосбытовая компания с присутствием в 15 регионах Российской Федерации. Стоимость сделки представлена предварительной справедливой стоимостью 11 641 796 926 обыкновенных акций в сумме 52 478 млн. руб., выпущенных ОАО «Волжская ТГК» на дату передачи акций.</t>
  </si>
  <si>
    <t>В результате был потрян контроль над компанией</t>
  </si>
  <si>
    <t>ОАО "СГ-Инвест"</t>
  </si>
  <si>
    <t>В результате сделки доля в компании выросла до 100%. Компания занимается реализацией сжиженного газа</t>
  </si>
  <si>
    <t>Реализация сжиженного газа</t>
  </si>
  <si>
    <t>ООО "СК-Гарант"</t>
  </si>
  <si>
    <t>ООО Инвестиционная финансовая компания "Капитал"</t>
  </si>
  <si>
    <t>ЗАО "ТеплоСетевая компания" (ЗАО "ТСК")</t>
  </si>
  <si>
    <t>ЗАО "ВодоСнабдающая компания" (ЗАО "ВСК")</t>
  </si>
  <si>
    <t>Коммунальные услуги</t>
  </si>
  <si>
    <t>Услуги</t>
  </si>
  <si>
    <t>В результате сделки доля в Компании увеличилась до 99,16%</t>
  </si>
  <si>
    <t>Компания является гарантирующим поставщиком электроэнергии и обслуживает потребителей в Республике Карелия</t>
  </si>
  <si>
    <t>ЗАО "ГАЗЭКС"</t>
  </si>
  <si>
    <t>ЗАО "Газмонатж"</t>
  </si>
  <si>
    <t>ООО "Волжские коммунальные системы"</t>
  </si>
  <si>
    <t>ОАО "Ульяновское производственное ремонтное предприятие"</t>
  </si>
  <si>
    <t>ОАО "Саратовэнергоспецремонт"</t>
  </si>
  <si>
    <t>ООО "Санаторий-профилакторий Сокол"</t>
  </si>
  <si>
    <t>Гостиничные услуги</t>
  </si>
  <si>
    <t>ОАО "Инженерный центр"</t>
  </si>
  <si>
    <t>Научные разработки</t>
  </si>
  <si>
    <t>Новокуйбышевская ТЭЦ-2</t>
  </si>
  <si>
    <t>Продажа актива, а не бизнеса</t>
  </si>
  <si>
    <t>ОАО "Ульяновскэнергоспецремонт"</t>
  </si>
  <si>
    <t>ОАО "Саратовское производственное ремонтное предприятие"</t>
  </si>
  <si>
    <t>ОАО "Самарское производственно-ремонтное предприятие"</t>
  </si>
  <si>
    <t>ОАО "Самараэнергоспецремонт"</t>
  </si>
  <si>
    <t>ОАО "Оренбургэнергоремонт"</t>
  </si>
  <si>
    <t>ЗАО Межбанковская кредитная организация "Межбанковский расчетный центр" (ЗАО НКО "МРЦ")</t>
  </si>
  <si>
    <t>ООО "Дом 21 век"</t>
  </si>
  <si>
    <t>Сделку совершила компания ОАО "Камчатскэнерго", входящая в Группу</t>
  </si>
  <si>
    <t>Управленческие услуги</t>
  </si>
  <si>
    <t>ООО "Союзэнерготранс"</t>
  </si>
  <si>
    <t>Сделку совершила компания ОАО "Новиковская дизельная электростанция" (дочерняя компания ОАО "Сахалинэнерго"), входящая в Группу</t>
  </si>
  <si>
    <t>Пищевая промышленность</t>
  </si>
  <si>
    <t>ЗАО "Русский сахар"</t>
  </si>
  <si>
    <t>ООО "Калининское"</t>
  </si>
  <si>
    <t>ООО "Зверяевское"</t>
  </si>
  <si>
    <t>ООО "Ивановское"</t>
  </si>
  <si>
    <t>ООО "Полетаевское"</t>
  </si>
  <si>
    <t>ОАО "Сахарный завод Никифоровский"</t>
  </si>
  <si>
    <t>ЗАО "ЛИСКО Бройлер" (ЛИСКО)</t>
  </si>
  <si>
    <t>Птицеводство</t>
  </si>
  <si>
    <t>Комбинат "Данковский"</t>
  </si>
  <si>
    <t>Мясная промышленность</t>
  </si>
  <si>
    <t>Рыбная промышленность (дистрибуция)</t>
  </si>
  <si>
    <t>ООО "Воронежмеяспром" и ООО "Воронежмясо"</t>
  </si>
  <si>
    <t>ОАО "МК Ульяновский"</t>
  </si>
  <si>
    <t>ОАО "Пензенское хлебоприемное предприятие"</t>
  </si>
  <si>
    <t>ОАО "Ожерельевский ККЗ"</t>
  </si>
  <si>
    <t>ЗАО "Прогресс"</t>
  </si>
  <si>
    <t>Свиноводство</t>
  </si>
  <si>
    <t>ООО "Большевик"</t>
  </si>
  <si>
    <t>ЗАО "Моссельпром"</t>
  </si>
  <si>
    <t>Пензенская зерновая компания и Липецкмсо</t>
  </si>
  <si>
    <t>ЗАО "Петелинская птицефабрика"</t>
  </si>
  <si>
    <t>ООО ПКО "Отечественный продукт"</t>
  </si>
  <si>
    <t>ООО "Заречная птицефабрика"</t>
  </si>
  <si>
    <t>ОАО "Пензенский комбинат хлебопродуктов"</t>
  </si>
  <si>
    <t>Производство комбикормов и хлебопродуктов</t>
  </si>
  <si>
    <t>Ардымское хлебоприемное предприятие</t>
  </si>
  <si>
    <t>ОАО "Бирюлевский мясокперерабатывающий завод"</t>
  </si>
  <si>
    <t>Оптовая торговля лекарствами</t>
  </si>
  <si>
    <t>ЗАО "Незабудка"</t>
  </si>
  <si>
    <t>ОАО "Верофарм"</t>
  </si>
  <si>
    <t>Производство лекарств</t>
  </si>
  <si>
    <t>ЗАО "Фармацевтическая торговая компания"</t>
  </si>
  <si>
    <t>Pegasus Bay Investments Inc. и Bermax Investments Ltd.</t>
  </si>
  <si>
    <t>Инвестиции</t>
  </si>
  <si>
    <t>ЗПИФ Ренессанс-Бизнес-Недвижимость</t>
  </si>
  <si>
    <t>Копейка</t>
  </si>
  <si>
    <t>Розничная торговля</t>
  </si>
  <si>
    <t>Производство и переработка продовольственных товаров</t>
  </si>
  <si>
    <t>Покупка электроэнергии</t>
  </si>
  <si>
    <t>Рестораны</t>
  </si>
  <si>
    <t>Rosinter-Umai UK Limited</t>
  </si>
  <si>
    <t>Aero Restaurants</t>
  </si>
  <si>
    <t>RIG Restaurants Ltd</t>
  </si>
  <si>
    <t>Польша и США</t>
  </si>
  <si>
    <t>100%, 100%, 100% и 51%</t>
  </si>
  <si>
    <t>Чехия, Венгрия и Украина</t>
  </si>
  <si>
    <t>Rosworth Investments Limited</t>
  </si>
  <si>
    <t xml:space="preserve">American Cuisine Warsaw sp.z o.o. </t>
  </si>
  <si>
    <t>Union Negoce, SAS</t>
  </si>
  <si>
    <t>Импорт вин</t>
  </si>
  <si>
    <t>ООО "Акрукс"</t>
  </si>
  <si>
    <t>Дистрибьютор алкогольной продукции</t>
  </si>
  <si>
    <t>Мискеллано Инвестментс Лимитед</t>
  </si>
  <si>
    <t xml:space="preserve">Мильпетран Холдингс Лимитед </t>
  </si>
  <si>
    <t>Биотехнологии</t>
  </si>
  <si>
    <t>Melton Consortium Limited</t>
  </si>
  <si>
    <t>ЗАО "ГЗП Пласт" и ЗАО "ГЗП МБП Пласт"</t>
  </si>
  <si>
    <t>ЗАО "ВКК"</t>
  </si>
  <si>
    <t>ПАО "Акрон"</t>
  </si>
  <si>
    <t>Группа увеличила свою долю с 51% до 60,1%</t>
  </si>
  <si>
    <t>Производство азотных удобрений</t>
  </si>
  <si>
    <t>Доля Группы в капитале ЗАО «ВКК»
увеличилась до 70,90%</t>
  </si>
  <si>
    <t>Доля Группы увеличилась с 85,54% до 86,95% за счет приобретения дополнительных 20 460 208 акций</t>
  </si>
  <si>
    <t>ОАО "Дорогобуж"</t>
  </si>
  <si>
    <t>Добыча хлористого калия</t>
  </si>
  <si>
    <t>Доля Группы увеличилась с 73,9 до 85,54% за счет приобретения дополнительных 115 908 158 акций</t>
  </si>
  <si>
    <t>ООО "Праксайр Азот Тольятти"</t>
  </si>
  <si>
    <t>Производство технических газов</t>
  </si>
  <si>
    <t>ПАО "КуйбышевАзот"</t>
  </si>
  <si>
    <t>ПАО "ФосАгро"</t>
  </si>
  <si>
    <t>24% и 21,85%</t>
  </si>
  <si>
    <t>Химическое производство</t>
  </si>
  <si>
    <t>ЗАО "Пикалевская сода"</t>
  </si>
  <si>
    <t>Группа увеличила долю владения в компании Фосинт Лимитед, которая контролирует ФосАссет ГмбХ и ФосАгро Трэйдинг СА, с 49% до 95%</t>
  </si>
  <si>
    <t>Производство фосфатных удобрений</t>
  </si>
  <si>
    <t>Группа направила предложение о добровольном приобретении обыкновенных акций АО «ФосАгро-Череповец». Для целей добровольного выкупа Группа получила банковскую гарантию в пользу держателей неконтролирующих долей в размере 10 800 млн руб. Период действия предложения истек 6 мая 2014 года. В результате выкупа и последующих сделок купли-продажи акций Группа увеличила свою долю владения до 97,99%.</t>
  </si>
  <si>
    <t>Компания направила в АО «ФосАгро-Череповец» требование о выкупе всех акций АО «ФосАгро-Череповец», принадлежащих миноритарным акционерам. На конец отчетного периода все выпущенные акции АО «ФосАгро-Череповец» были выкуплены Группой.</t>
  </si>
  <si>
    <t>ООО "Метахим" и ЗАО "Пикалевская сода"</t>
  </si>
  <si>
    <t>ООО "Метахим"</t>
  </si>
  <si>
    <t>В результате доля Группы в ООО «Метахим» увеличилась до 100%</t>
  </si>
  <si>
    <t>PhosInt Trading Limited</t>
  </si>
  <si>
    <t>Продажа удобрений</t>
  </si>
  <si>
    <t>PhosInt Trading Limited является собственником 100% доли в PhosAgro Asia Pte Ltd</t>
  </si>
  <si>
    <t>PhosInt Limited</t>
  </si>
  <si>
    <t>Добыча фосфатов</t>
  </si>
  <si>
    <t>По итогам тендера за госпакет акций ОАО «Апатит» Группа после полной оплаты акций увеличила свою долю владения с 57.57% до 77.57%</t>
  </si>
  <si>
    <t>ЗАО «Нордик Рус Холдинг» является миноритарным акционером ОАО «Апатит» (7,42% или 617 430 обыкновенных акций)</t>
  </si>
  <si>
    <t>Компания направила в ОАО «Апатит» требование о выкупе всех акций ОАО «Апатит», принадлежащих миноритарным акционерам.</t>
  </si>
  <si>
    <t>Группа направила обязательное предложение о приобретении обыкновенных и привилегированных акций ОАО «Апатит». Для направления обязательной оферты Группа заключила соглашения на предоставление банковской гарантии в размере 7 785 млн руб. Период действия предложения истек 17 января 2013 года. В январе 2013 право собственности на акции перешло Группе, тем самым увеличив долю ее владения с 77.57% до 88.52%.</t>
  </si>
  <si>
    <t>Производство удобрений</t>
  </si>
  <si>
    <t>В декабре 2012 года Группа внесла в уставный капитал компании OOO «Метахим» 1 200 млн руб., увеличив свою долю владения до 74,76%. В мае 2011 года Группа заключила договора на приобретение 24% доли в ЗАО «Метахим» за 6 млн долларов США и 21.85% доли в ЗАО «Пикалевская сода» за 5 млн долларов США.</t>
  </si>
  <si>
    <t>Производство калийных удобрений</t>
  </si>
  <si>
    <t>ПАО "УРАЛКАЛИЙ"</t>
  </si>
  <si>
    <t>Объединение было осуществлено путем приобретения 1 565 151 обыкновенных акций ОАО «Сильвинит», что составило около 20% размещенных обыкновенных акций ОАО «Сильвинит» на общую сумму в размере 1,4 млрд. долл. США, завершившегося 28 февраля 2011 г., и присоединения ОАО «Сильвинит» к ОАО «Уралкалий» путем выпуска новых обыкновенных акций ОАО «Уралкалий» для целей конвертации в них обыкновенных и привилегированных акций ОАО «Сильвинит», завершившегося 17 мая 2011 г. В результате присоединения ОАО «Сильвинит» прекратил свое существование, акционеры ОАО «Сильвинит» получили по 133,4 обыкновенной акции ОАО «Уралкалий» за каждую 1 обыкновенную акцию ОАО «Сильвинит» и по 51,8 обыкновенной акции ОАО «Уралкалий» за каждую 1 привилегированную акцию ОАО «Сильвинит».</t>
  </si>
  <si>
    <t>Дочерние компании ЗАО «Соликамский Строительный Трест»</t>
  </si>
  <si>
    <t>Медицинские услуги</t>
  </si>
  <si>
    <t>Основными идентифицируемыми активами компании являлись два корпоративных самолета</t>
  </si>
  <si>
    <t>Sophar Property Holding Inc</t>
  </si>
  <si>
    <t>Bayernoil Raffineriegesellschaft mbH; Mineraloelraffinerie Oberrhein GmbH; PCK Raffinerie GmbHPCK Raffinerie GmbH</t>
  </si>
  <si>
    <t>Oil and Natural Gas Corporation Videsh Limited</t>
  </si>
  <si>
    <t>Oil and Natural Gas Corporation Videsh Limited - дочерняя компания АО «Ванкорнефть»</t>
  </si>
  <si>
    <t xml:space="preserve">Консорциум компаний, состоящему из компаний Oil India Limited, Indian Oil Corporation и Bharat Petroresources </t>
  </si>
  <si>
    <t>Компания закрыла сделку по продаже 11% акций АО «Ванкорнефть» дочернему обществу компании Oil and Natural Gas Corporation Videsh Limited. По состоянию на 31 декабря 2016 г. получен базовый платеж по сделке в размере 49 млрд руб. Условиями сделки также предусмотрен окончательный платеж.</t>
  </si>
  <si>
    <t>Компания закрыла сделку по продаже 23,9% акций АО «Ванкорнефть» консорциуму компаний, состоящему из компаний Oil India Limited, Indian Oil Corporation и Bharat Petroresources (далее – «Консорциум»). По состоянию на 31 декабря 2016 г. получен базовый платеж по сделке в размере 106 млрд руб. Условиями сделки также предусмотрен окончательный платеж.</t>
  </si>
  <si>
    <t>BP Russian Investment Ltd</t>
  </si>
  <si>
    <t>Индия</t>
  </si>
  <si>
    <t>Essar Oil Limited</t>
  </si>
  <si>
    <t>Венесуэла</t>
  </si>
  <si>
    <t>PetroMonagas S.A.</t>
  </si>
  <si>
    <t>Saras S.p.A</t>
  </si>
  <si>
    <t>Газопереработка</t>
  </si>
  <si>
    <t xml:space="preserve">Petrocas Energy International Limited </t>
  </si>
  <si>
    <t>РН-Печора СПГ</t>
  </si>
  <si>
    <t>Angelo Moratti S.a.p.a., Джиана Марко Моратти и Массимо Моратти</t>
  </si>
  <si>
    <t>ТЗК международного аэропорта Внуково</t>
  </si>
  <si>
    <t>Правительство Финляндии</t>
  </si>
  <si>
    <t>Согласно Соглашению об обмене активами 25,01 % долей ООО «Ачим Девелопмент» и 9 % обыкновенных акций, 1 привилегированная акция типа «А» и 1 привилегированная акция типа «В» АО «Ачим сбыт», которые учитывались в составе прочих необоротных активов в консолидированной финансовой отчетности Группы, были переданы «Винтерсхалл Холдинг ГмбХ» в обмен на 100 % долю в «ВИБГ ГмбХ» и на 50 % доли в организациях «Винтерсхалл Ноордзее Б.В.» и «Винтерсхалл Сервисез Б.В.». ВИБГ ГмбХ» в свою очередь имеет долю в «В и Г Бетайлигунгс-ГмбХ и Ко. КГ» и долю в «ВИЕХ ГмбХ» в размере 50,02 % и 50 % соответственно.Размер денежного возмещения от «Винтерсхалл Холдинг ГмбХ» составляет 29 млн евро (по курсу на 30 сентября 2015 года – 2 170 млн руб.). До момента завершения сделки по обмену активами Группа владела 49,98 % в «В и Г Бетайлигунгс-ГмбХ и Ко. КГ» и 50 % в «ВИЕХ ГмбХ». Также на дату покупки Группа владела 33,33 % в «ВИНГАЗ Стораж ЮК Лтд.», 50 % доля которой принадлежит «В и Г БетайлигунгсГмбХ и Ко. КГ».</t>
  </si>
  <si>
    <t>Продажа и хранение газа</t>
  </si>
  <si>
    <t>Открытие Холдинг</t>
  </si>
  <si>
    <t>Компания занимается разработкой алмазоносного месторождения им. В.П. Гриба, расположенного в России на территории Архангельской области. Сумма сделки может быть скорректирована с учетом фактической величины рабочего капитала на дату закрытия.</t>
  </si>
  <si>
    <t>Строительство зданий и сооружений</t>
  </si>
  <si>
    <t>25%-1 акция</t>
  </si>
  <si>
    <t>ПАО "Нижнекамскнефтехим"</t>
  </si>
  <si>
    <t>В июне 2016 г. Группа увеличила долю владения в ПАО «Банк ЗЕНИТ» путем выкупа части дополнительной эмиссии акций банка на сумму 6 700 млн. рублей. В результате сделки Группа увеличила долю участия в ПАО «Банк ЗЕНИТ» с 24,56% на 31 декабря 2015 г. до 48,79% на 30 июня 2016 г.</t>
  </si>
  <si>
    <t>В октябре 2016 г., в результате процедуры обязательного предложения, осуществленной Компанией в соответствии с Федеральным Законом «Об акционерных обществах», Группа приобрела дополнительную 1,64% долю в уставном капитале ПАО «Банк ЗЕНИТ» за 327 млн. рублей, увеличив свою долю участия до 50,43% и получив контроль над ПАО «Банк ЗЕНИТ». Переданное возмещение в размере 7 605 млн. рублей включает денежные средства в размере 327 млн. рублей на приобретение 1,64% доли участия в ПАО «Банк ЗЕНИТ» в октябре 2016 г., а также справедливую стоимость 48,79% инвестиции в ПАО «Банк ЗЕНИТ» в размере 7 278 млн. рублей, учитываемой долевым методом до приобретения контроля.</t>
  </si>
  <si>
    <t>Blue Gaz Sp. z o.o.</t>
  </si>
  <si>
    <t>ООО «Бурение Сервис Технологии» оказывает услуги бурения в ХМАО</t>
  </si>
  <si>
    <t>Эргинское месторождение</t>
  </si>
  <si>
    <t>В рамках приобретенной компании ведется разработка Кондинского, Западно-Эргинского, Чапровского и Ново-Ендырского лицензионных участков в Ханты-Мансийском автономном округе. Первоначальная цена приобретения составила 40 млрд руб.; также условиями договора предусмотрен последующий корректирующий платеж. Как ожидается, по завершении оценки справедливой стоимости приобретенных активов и принятых обязательств, преобладающая часть цены приобретения будет отнесена на стоимость прав на добычу. Компания не ожидает, что в результате завершения оценки справедливой стоимости активов и обязательств будет признан существенный гудвил. Запасы Кондинской группы месторождений (2Р) составляют 157 млн т нефти в соответствии с международным аудитом запасов, проведенным «DeGolyer and MacNaughton».</t>
  </si>
  <si>
    <t>По состоянию на 30.09.2017 г. в силу наличия существенных признаков обесценения, Компания отразила убыток от обесценения гудвила, возникшего в результате приобретения АКБ «Пересвет», в сумме 11 млрд руб.</t>
  </si>
  <si>
    <t>Eni S.p.A.</t>
  </si>
  <si>
    <t>Египет</t>
  </si>
  <si>
    <t>Доля в концессионном соглашении на разработку месторождения Zohr</t>
  </si>
  <si>
    <t>Участие в разработке данного актива
на глубоководном шельфе Египта со стратегическими партнерами Компании Eni S.p.A. (60% доля) и BP plc. (10% доля) позволит Компании существенно нарастить добычу газа за рубежом в короткий срок и укрепить позиции в перспективном и стратегически значимом регионе.</t>
  </si>
  <si>
    <t>Beijing Gas Singapore Private Limited</t>
  </si>
  <si>
    <t>ExxonMobil</t>
  </si>
  <si>
    <t>Доли в совместных проектах c ExxonMobil</t>
  </si>
  <si>
    <t>Во втором квартале 2018 года, в рамках выхода ExxonMobil из ряда совместных проектов, Компания завершила приобретение различных долей в совместных предприятиях c ExxonMobil и получила контроль.</t>
  </si>
  <si>
    <t>Приобретение группы компаний «ПТК» соответствует стратегии Компании, направленной на развитие розничного бизнеса и расширение присутствия в ключевых регионах страны.</t>
  </si>
  <si>
    <t>Увеличение доли до 98,5% привело к получению контроля Компании над «Сибинтек» в соответствии с МСФО (IFRS) 10 «Консолидированная финансовая отчетность»</t>
  </si>
  <si>
    <t>В декабре 2020 года Компания завершила сделку по приобретению АО «Таймырнефтегаз» и его дочерних обществ (совместно «ТНГ»). ТНГ является владельцем лицензий на пользование недрами на Пайяхском, Иркинском и ряде менее крупных месторождений. Одновременно были заключены сделки по продаже в адрес нескольких компаний группы ООО «Независимая нефтегазовая компания–Холдинг» («ННК») ряда зрелых нефтедобывающих и сервисных активов, включающих ПАО «Варьеганнефтегаз», ООО «Североварьеганское», АО «Нижневартовское нефтегазодобывающее предприятие», ООО «РН-Сахалинморнефтегаз», ООО «РН-Северная нефть» и ряд других активов («хвостовые активы»). Продавец ТНГ и покупатели «хвостовых» активов находятся под общим контролем. Группа ТНГ была приобретена в целях формирования проекта Восток Ойл.</t>
  </si>
  <si>
    <t>физическое лицо</t>
  </si>
  <si>
    <t>В декабре 2020 года завершена сделка по приобретению 100% доли в ООО «Таймырбурсервис» («ТБС») у физического лица. Приобретение «ТБС» совершено в целях развития проекта Компании «Восток Ойл»</t>
  </si>
  <si>
    <t>28 июня 2017 года Группа приобрела 16 % обыкновенных акций «Газпромбанк» (Акционерное общество), выкупив доп. эмиссию акций за 60 000 млн руб. В результате данной сделки эффективная доля Группы в «Газпромбанк» (Акционерное общество)увеличилась с 37 % до 48 %.</t>
  </si>
  <si>
    <t>Производство оборудования для ГТС и элекроэнергетики</t>
  </si>
  <si>
    <t>В июне 2021 года Группа приобрела 100% обыкновенных акций Центрекс Юроп Энерджи энд Газ АГ. Стоимость приобретения составила 16 868 млн руб. Оплата произведена денежными средствами. Акции приобретены у Группы Газпромбанк.</t>
  </si>
  <si>
    <t>Центрекс Юроп Энерджи энд Газ АГ</t>
  </si>
  <si>
    <t>В июле 2021 года Группа закрыла сделку по продаже материнской компании (GFI Investment Limited) и долга Группы компаний «Евроцемент» компании ООО «Михайловский комбинат строительных материалов» за 161,0 миллиард рублей. Группа консолидировала 100,0% акций головной компании группы Евроцемент в третьем квартале 2020 года в рамках процесса урегулирования долга.</t>
  </si>
  <si>
    <t>Стройматериалы</t>
  </si>
  <si>
    <t>В первом квартале 2021 года Группа, группа «М.Видео — Эльдорадо» и основатель и совладелец Goods.ru закрыли сделку по приобретению Группой доли в маркетплейсе Goods.ru. В результате доля Группы в капитале Goods.ru составит 85,0%; 10,0% сохраняет за собой группа «М.Видео — Эльдорадо», 5,0% — основатель и совладелец Goods.ru. Маркетплейс Goods.ru присоединился к экосистеме Сбера под брендом СберМегаМаркет.</t>
  </si>
  <si>
    <t>Интернет</t>
  </si>
  <si>
    <t>Маркетплейс Goods.ru</t>
  </si>
  <si>
    <t>НПФ</t>
  </si>
  <si>
    <t>АО «Негосударственный Пенсионный Фонд Сбербанка» завершил сделку по приобретению 100,0% акций АО «Негосударственный Пенсионный Фонд Ренессанс пенсии». Клиентами АО «Негосударственный Пенсионный Фонд Ренессанс пенсии», основанного в 2002 году являются около 200 компаний, в том числе крупные международные холдинги. В пенсионных программах фонда участвуют более 42 000 клиентов. Объём активов фонда составляет около 25,0 миллиарда рублей.</t>
  </si>
  <si>
    <t>Yandex.Market B.V.</t>
  </si>
  <si>
    <t>В августе 2019 года Группа и Rambler Group завершили сделку по созданию совместного предприятия ООО «Эпоха Диджитал». По состоянию на 31 декабря 2019 года доля Группы в совместном предприятии составляла 49,5%. Совместное предприятие объединяет медиаактивы Rambler Group, онлайн-кинотеатра «ОККО» и кинотеатра «Художественный». Инвестиция Группы в совместное предприятие направлена на создание лидера рынка средств массовой информации и развлечений в Российской Федерации</t>
  </si>
  <si>
    <t>Медиа</t>
  </si>
  <si>
    <t>В третьем квартале 2020 года Группа получила контроль в Rambler Group, выкупив казначейскую долю в размере 6.95% в рамках предоставления дополнительного финансирования и долю в размере 1.5% у компании A&amp;NN, второго участника Rambler Group. Таким образом, доля Группы в капитале Rambler Group увеличилась до 55,0%.</t>
  </si>
  <si>
    <t>Rambler Group</t>
  </si>
  <si>
    <t>A&amp;NN; казначейские акции</t>
  </si>
  <si>
    <t>В декабре 2019 года Группа и Mail.ru Group завершили формирование стратегического партнерства. Данное партнерство включает создание совместного предприятия с распределением долей между партнерами в соотношении 45%:45% c целью создания ведущей российской платформы O2O-сервисов (online-to-offline) в сфере ключевых видов сервиса: еды и транспорта. До 10% акций совместного предприятия будет направлено на формирование долгосрочной программы мотивации сотрудников платформы O2O. Совместное предприятие включает компании Delivery Club, YouDrive, Ситимобил, SberFood (бывший Foodplex) и некоторые другие дополнительные активы. Группа вложила в совместное предприятие 39,7 миллиарда рублей. денежными средствами. В рамках сделки Группа обязуется внести в 2021 году дополнительный вклад в O2O в размере 10,1 миллиарда рублей. Совместное предприятие будет использовать технологии и инфраструктуру Mail.ru Group и Сбербанка для развития текущих услуг и внедрения новых. Совместное предприятие нацелено на развитие транспортных услуг (такси и каршеринг), доставки еды и других услуг «онлайн - офлайн».</t>
  </si>
  <si>
    <t>25%+1 акция</t>
  </si>
  <si>
    <t>Сервис 2ГИС</t>
  </si>
  <si>
    <t>В августе 2020 года Группа закрыла сделку по приобретению 72,0%-ной доли в сервисе 2ГИС. Оценка 100,0%-ной доли в компании для целей сделки составила 14,3 миллиарда рублей. 2ГИС - ведущая российская компания в сфере разработки цифровых карт и справочников городов, предоставляющая геоинформационные сервисы в России и других странах.</t>
  </si>
  <si>
    <t>ГИС-сервисы</t>
  </si>
  <si>
    <t>BNP Paribas Group</t>
  </si>
  <si>
    <t>В четвертом квартале 2020 года Банк приобрел 20,8% акций «Сетелем Банк» ООО у BNP Paribas Group. В результате сделки Банк стал единственным акционером Сетелем Банка.</t>
  </si>
  <si>
    <t>СберМаркет</t>
  </si>
  <si>
    <t>Онлайн-сервис доставки</t>
  </si>
  <si>
    <t>В четвертом квартале 2020 года Группа получила контроль в СберМаркет. Таким образом, доля Группы в
СберМаркет составила 81,2%.</t>
  </si>
  <si>
    <t>DenizBank</t>
  </si>
  <si>
    <t>В мае 2018 года ПАО Сбербанк и Emirates NBD Bank PJSC («Emirates NBD») заключили обязывающее соглашение о продаже 99,85% акций DenizBank за 14,6 миллиарда турецких лир с расчетами по сделке по механизму «locked box». Цена была основана на консолидированных собственных средствах DenizBank на 31 октября 2017 года. В дополнение Emirates NBD должен был выплатить проценты на покупную цену за период с 31 октября 2017 и по дату закрытия сделки. Расчеты по сделке должны были быть произведены в долларах США, и договор включал элемент хеджирования, предусматривающий определение курса конверсии TRY/US Dollar внутри узкого диапазона. Как часть сделки Emirates NBD приобретает у Сбербанка по номинальной стоимости права требования по субординированным кредитам DenizBank, ранее предоставленным Сбербанком. В апреле 2019 года ПАО Сбербанк и Emirates NBD подписали соглашение с обновленными условиями, в соответствии с которым: (i) общая стоимость сделки составила 15,48 миллиарда турецких лир без дополнительной выплаты процентов на покупную цену, (ii) элемент хеджирования курса конверсии TRY/US Dollar был заменен на другой способ расчета курса конверсии и (iii) были пересмотрены некоторые другие права и обязательства сторон. В конце июля 2019 года сделка была завершена.</t>
  </si>
  <si>
    <t>Emirates NBD Bank PJSC</t>
  </si>
  <si>
    <t>В декабре 2017 года Сбербанк Европа завершил сделку по выбытию 99,9230% акций украинской дочерней компании PJSC «VS Bank». Таким образом, Группа передала контроль над PJSC «VS Bank» покупателю.</t>
  </si>
  <si>
    <t>Sberbank Slovensko a.s.</t>
  </si>
  <si>
    <t>Словакия</t>
  </si>
  <si>
    <t>Курортная деятельность</t>
  </si>
  <si>
    <t>17 декабря 2015 года Руководство Группы анонсировало план по продаже принадлежащего ей дочернего Банка Sberbank Slovensko a.s., расположенного в Словакии. Согласно подписанному соглашению группа Penta Investments станет новым владельцем 99,5% акций Sberbank Slovensko a.s. Решение о продаже Sberbank Slovensko a.s. было принято в соответсвии со стратегическим видением присутствия Sberbank Europe AG на международном рынке. Закрытие сделки состоится после согласований с Антимонопольной службой Словацкой Республики и Европейским центральным банком и планируется на первое полугодие 2016 года. Стороны решили не разглашать информацию о сумме сделки. По состоянию на 31 декабря 2015 года Sberbank Slovensko a.s. был классифицирован Группой в раздел внеобороные активы, удерживаемые для продажи.
В июле 2016 года был осуществлен переход права собственности на акции Sberbank Slovensko a.s., составляющие 99,5% уставного капитала компании. Таким образом, Группа передала контроль над Sberbank Slovensko a.s. покупателю. В результате передачи контроля над Sberbank Slovensko a.s. Группа признала прибыль от продажи в сумме 3,0 миллиарда рублей, которая включена в статью прочие чистые операционные доходы в консолидированном отчете о прибылях и убытках.</t>
  </si>
  <si>
    <t xml:space="preserve">Penta Investments </t>
  </si>
  <si>
    <t>75,0% минус 1 рубль</t>
  </si>
  <si>
    <t>BNP Paribas Personal Finance</t>
  </si>
  <si>
    <t>В третьем квартале 2013 года Группа и BNP Paribas Personal Finance закрыли сделку, в соответствии с условиями которой Группа увеличила свою долю в «Сетелем Банк» ООО с 70,0% до 74,0%. В соответсвии с условиями сделки корпоративное управление осталось без изменений. Сумма, уплаченная Группой, составила 0,4 миллиардов рублей. Через три года Группа может довести свою долю в «Сетелем Банк» ООО до 80,0% при условии достижения заранее согласованных показателей результатов деятельности.</t>
  </si>
  <si>
    <t>В апреле 2013 года DenizBank и Ситибанк подписали договор по приобретению Денизбанком подразделения по банковскому обслуживанию физических лиц Ситибанка в Турции. Сделка была одобрена турецкими властями в июне 2013 года. На дату одобрения сделки бизнес Ситибанка в Турции по банковскому обслуживанию физических лиц насчитывал более 600 000 клиентов, справедливая стоимость кредитов и авансов клиентам составляла 1,2 миллиарда турецких лир, тогда как справедливая стоимость депозитов составляла 1,4 миллиарда турецких лир. Сделка по приобретению подразделения по банковскому обслуживанию физических лиц Ситибанка в Турции была завершена в июле 2013 года.</t>
  </si>
  <si>
    <t>Подразделение по банковскому обслуживанию физических лиц Ситибанка в Турции</t>
  </si>
  <si>
    <t>Dexia</t>
  </si>
  <si>
    <t>В продолжение подписанного в июне 2012 года договора купли‐продажи между Банком и акционерами банка DenizBank AS («DenizBank»), компанией Dexia NV/SA и Dexia Participation Belgique SA (совместно –«Dexia»), в сентябре 2012 года Банк закрыл сделку по приобретению 99,85% акций DenizBank. DenizBank занимает 6 место среди частных банков Турции и девятое место среди всех банков страны по размеру общих консолидированных активов. Сделка является важным шагом на пути реализации стратегии Группы, позволяя выйти на быстрорастущий банковский рынок Турции. Стоимость приобретения составила 6,5 миллиарда турецких лир. Расчеты были осуществлены в евро по обменному курсу на дату платежа. В декабре 2012 года Банк выплатил Dexia дополнительные 0,4 миллиарда турецких лир.</t>
  </si>
  <si>
    <t>Каймановы острова</t>
  </si>
  <si>
    <t>Тройка Диалог</t>
  </si>
  <si>
    <t>В декабре 2011, в соответствии с обязывающей документацией, подписанной в мае 2011 года, Группа получила контроль над операционной и финансовой политикой Группы компаний «Тройка Диалог» (далее Компания или Тройка Диалог). По состоянию на 31 декабря 2011 года Компания была полностью консолидирована в качестве 100% дочерней компании Группы. Документация по сделке предусматривает оплату покупки в два транша: (а) первый платеж в размере 1 000 миллиона долларов за 100% акций компании Тройка Диалог и (б) последующий платеж, размер которого зависит от дохода Компании в 2011‐2013 годах. По состоянию на 31 декабря 2011 года первый транш был учтен как обязательство в размере 32 196 миллионов рублей, которое было погашено в январе 2012 года. Банк определил, что вторая часть платежа будет включать в себя две части. Первая часть представляет собой цену приобретения, отраженную на 31 декабря 2011 года в консолидированной финансовой отчетности в качестве обязательства, в размере 3 937 миллионов рублей. Группа оценивает соответствующее условное обязательство на основе бизнес‐планов и синергий от слияния Компании с Группой. Второй транш представляет собой компенсацию работникам Компании, которая будет начислена в течение 2012‐2013 годов. Банк приобрел Тройку Диалог, следуя своей стратегии по развитию диверсифицированного спектра продуктов для корпоративного бизнеса, малых предприятий и розничных клиентов и повышению прибыльности и эффективности операций Группы. Основанная в 1991 году, Тройка Диалог является одной из ведущих инвестиционных компаний, работающих на рынках стран СНГ. Ключевыми направлениями деятельности компании являются торговые операции с ценными бумагами, инвестиционно‐банковские услуги, доверительное управление активами, прямые и венчурные инвестиции, розничные операции и альтернативные инвестиции. Деятельность Компании Тройка Диалог представлена в 21 городе России, а также в Лондоне, Нью‐Йорке, Киеве, Алматы и Никосии.</t>
  </si>
  <si>
    <t>В июне 2011 года Группа продала 93,44%‐ную долю владения в ОАО «Павловская керамика», компании, занимающейся производством и реализацией строительных материалов; в октябре 2011 года Группа продала 93,44%‐ную долю владения в ООО «Павлово‐Посадское Горнодобывающее Объединение». Сумма сделки составила 197 миллионов рублей.</t>
  </si>
  <si>
    <t>Правительство Республики Беларусь</t>
  </si>
  <si>
    <t>В течение года, закончившегося 31 декабря 2010 года, Группа выкупила дополнительную 4,61%-ную долю акционерного капитала ОАО «БПС Банк». Величина доли неконтрольного участия, приобретенной в течение 2010 года, составила 367 миллионов рублей.</t>
  </si>
  <si>
    <t>В декабре 2009 года Банк приобрел 93,3% акционерного капитала ОАО «БПС Банк», ранее контролируемого Правительством Республики Беларусь.</t>
  </si>
  <si>
    <t>В январе 2010 года в результате урегулирования задолженности заемщик уступил Группе 50,01% уставного капитала ООО «Хрустальные Башни» - компании, владеющей единичным активом. Данный актив компании представляет собой незавершенное строительство бизнес-центра в Москве.</t>
  </si>
  <si>
    <t>В течение 2010 года в результате урегулирования задолженности заемщики уступили Группе 51,0% акций «Вестер Ритэйл Н.В.» (Vester Retail N.V.) – холдинговой компании группы, специализирующейся в сфере розничной торговли и осуществляющей свою деятельность преимущественно на территории Российской Федерации.</t>
  </si>
  <si>
    <t>Производство упаковочных материалов</t>
  </si>
  <si>
    <t>В апреле 2010 года в результате урегулирования задолженности заемщик уступил Группе 60,0% акций ЗАО УК ГП «ГОТЭК». Компания УК ГП «ГОТЭК» является холдинговой компанией группы, осуществляющей деятельность по производству упаковочных материалов.</t>
  </si>
  <si>
    <t>В апреле 2010 года в результате урегулирования задолженности заемщики уступили Группе 93,44% акций ОАО «Павловская Керамика». Компания осуществляют деятельность по производству и реализации строительных материалов.</t>
  </si>
  <si>
    <t>В апреле 2010 года в результате урегулирования задолженности заемщики уступили Группе 93,44% в уставном капитале ООО «Павлово-Посадское Горнодобывающее Объединение». Компания осуществляют деятельность по производству и реализации строительных материалов.</t>
  </si>
  <si>
    <t>В декабре 2020 года Группа заключила инвестиционный договор в отношении участия в ООО «Центр Хранения данных», которое является дочерним обществом ПАО «Ростелеком». Сделка была завершена в январе 2021 года. Группа внесла вклад в капитал ООО «Центр Хранения данных» в сумме 35,0 миллиарда рублей и приобрела долю в размере 44,77%.</t>
  </si>
  <si>
    <t>ИТ: хранение данных</t>
  </si>
  <si>
    <t>В апреле 2021 года Группа приобрела 30% долю в ООО "Игора Драйв", увеличив долю участия до 45%.</t>
  </si>
  <si>
    <t>ООО "Игора Драйв"</t>
  </si>
  <si>
    <t>Деятельность зрелищно-развлекательная прочая</t>
  </si>
  <si>
    <t>lvl.ru Media Limited</t>
  </si>
  <si>
    <t>Онлайн-кинотеатр</t>
  </si>
  <si>
    <t>миноритарный</t>
  </si>
  <si>
    <t>В июне 2021 года Группа приобрела миноритарный пакет акций Delimobil Holding S.A. Delimobll Holding S.A. является холдинговой компанией российского оператора краткосрочной аренды автомобилей (бренды «Делимобиль» и «Anytime»).</t>
  </si>
  <si>
    <t>В июне 2021 года Группа приобрела миноритарный пакет акций lvl.ru Media Limited. Ivl.ru Media Limited является холдинговой компанией российского онлайн-кинотеатра.</t>
  </si>
  <si>
    <t>Delimobil Holding S.A.</t>
  </si>
  <si>
    <t>Кар-шэринг</t>
  </si>
  <si>
    <t>В июне 2021 года Группа приобрела 11.2% акций компании Ristango Holding Limited, которая является владельцем 100% доли в ООО «Биннофарм Групп». Биннофарм Групп - российский фармацевтический холдинг полного цикла, объединяющий пять операционных площадок в нескольких регионах России.</t>
  </si>
  <si>
    <t>Во втором квартале 2021 года Группа продала свою долю участия в ГОК Пекин, АО, относившуюся к отчетному сегменту «Прочий бизнес».</t>
  </si>
  <si>
    <t>ГОК Пекин, АО</t>
  </si>
  <si>
    <t>В 2020 году Группа увеличила свою долю участия в ЗАО «Управляющая компания Динамо» с 75,0% до 92,3% путем приобретения неконтрольных допей участия за сумму 0,7 миллиарда рублей.</t>
  </si>
  <si>
    <t>В марте 2020 года Группа завершила сделку по продаже 55% доли в ООО «Т2 РТК Холдинг», принадлежащей компании Т2 (Нидерланды) Б.В., в пользу ПАО «Ростелеком». Т2 (Нидерланды) Б.В. является совместным предприятием Группы и консорциума инвесторов. На дату сделки Группе принадлежало 50% акций в Т2 (Нидерланды) Б.В. Также Группа владела 25% в компании Инвинтеп Б.В., акции которой были приобретены в феврале 2020 года. Компания Инвинтел Б.В. являлась владельцем 40% акций Т2 (Нидерланды) Б.В. Вознаграждение по сделке, полученное дочерней компанией Т2 (Нидерланды) Б.В., включало 7,84% обыкновенных акций ПАО «Ростелеком» и 108,0 миллиарда рублей. Одновременно Банк приобрел в рамках дополнительной эмиссии 21,57% обыкновенных акций ПАО «Ростелеком» за 66,0 миллиарда рублей. В дальнейшем пакет акций ПАО «Ростелеком», полученный дочерней компанией Т2 (Нидерланды) Б.В., и часть обыкновенных акций, приобретенных Банком в ходе дополнительной эмиссии ПАО «Ростелеком», были проданы компании АО «Телеком Инвестиции», которая является совместным предприятием Группы и консорциума инвесторов. В результате указанных сделок Группа стала владельцем: 1) 8,44% обыкновенных акций ПАО «Ростелеком» (права Группы по распоряжению и отчуждению данных акций ограничены в течение 4-х летнего периода с даты сделки в соответствии с положениями акционерного соглашения между Группой и Российской Федерацией); 2) 43,91% в АО «Телеком Инвестиции», которому принадлежат 20,98% обыкновенных акций ПАО «Ростелеком».</t>
  </si>
  <si>
    <t>В марте 2020 года Группа приобрела 50,0% обыкновенных акций Тамань Грейн Терминал Холдинге Лимитед за 61 миллион евро (5,3 миллиарда рублей). В апреле 2020 года Группа заключила соглашение о привлечении стратегических инвесторов к участию в своей дочерней компании, ООО «Деметра Холдинг», которая контролировала по состоянию на 31 марта 2020 года ООО «Новороссийский зерновой терминал» и ООО «Мирогрупп ресурсы», а также владела долями в следующих ассоциированных компаниях и совместных предприятиях Группы: ПАО «Новороссийский комбинат хлебопродуктов», АО «Объединенная зерновая компания», Рустранском ПЛС и Тамань Грейн Терминал Холдинге Лимитед. После завершения сделки ООО «Деметра Холдинг» является совместным предприятием Группы и инвесторов, доля Группы в котором составляет 50,001%.</t>
  </si>
  <si>
    <t>В сентябре 2020 года Группа приобрела часть дополнительной эмиссии акций ПАО «Почта Банк», пропорциональную допе участия Группы, за 5,0 миллиарда рублей. Доля участия Группы осталась равной 50,00% минус одна акция.</t>
  </si>
  <si>
    <t>В июле 2020 года Группа приобрела 15,0% долю в ООО «Игора Драйв» за 2,8 миллиарда рублей.</t>
  </si>
  <si>
    <t>В январе 2019 года Группа приобрела 81,1% обыкновенных акций ПАО «Саровбизнесбанк». В результате объединения бизнеса Группа ожидает расширить филиальную сеть и свое представительство в Нижегородской области.</t>
  </si>
  <si>
    <t>В соответствии с российским законодательством в марте 2019 года Группа сделала обязательное предложение о выкупе неконтрольных допей участия ПАО «Саровбизнесбанк» на сумму 1,6 миллиарда рублей. В мае 2019 года в результате исполнения обязательного предложения Группа увеличила свою долю участия в ПАО «Саровбизнесбанк» до 84,4% путем приобретения 40 873 763 акций на сумму 0,3 миллиарда рублей.</t>
  </si>
  <si>
    <t>ООО "МПЖБ-18"</t>
  </si>
  <si>
    <t xml:space="preserve">Производство изделий из бетона для использования в строительстве </t>
  </si>
  <si>
    <t>В октябре 2020 года Группа получила контроль в отношении ООО "МПЖБ-18" в трезультате урегулирования задолженности.</t>
  </si>
  <si>
    <t>23 декабря 2020 г. Компания заключила сделку по продаже 10-процентной доли в ООО «Восток Ойл» за 7 млрд евро (644 млрд руб. по курсу на дату получения денежных средств). Основными дочерними обществами ООО «Восток Ойл» являются АО «Таймырнефтегаз» и ООО «НГХ-Недра», приобретенные Компанией в декабре 2020 года, АО «Ванкорнефть», АО «Сузун» и ООО «Тагульское».</t>
  </si>
  <si>
    <t>В феврале 2019 года Группа приобрела контроль над АО НПФ «Магнит» у своей ассоциированной компании. В результате объединения бизнеса Группа ожидает расширить продуктовую линию «Пенсионный бизнес» в составе Розничного бизнеса.</t>
  </si>
  <si>
    <t>В соответствии с российским законодательством в ноябре 2018 года Группа сделала обязательное предложение о выкупе неконтрольных долей участия Банка «Возрождение» (ПАО) на сумму 1,7 миллиарда рублей. В феврале 2019 года в результате исполнения обязательного предложения Группа увеличила свою долю участия в Банке «Возрождение» (ПАО) с 85,0% до 96,3% путем приобретения 2 683 425 акций на сумму 1,3 миллиарда рублей. В мае 2019 Группа увеличила свою долю участия в Банке «Возрождение» (ПАО) до 100.0% путем приобретения 878 879 акций на сумму 0,4 миллиарда рублей.</t>
  </si>
  <si>
    <t>В апреле 2019 года Группа ВТБ приобрела 99,9961% обыкновенных акций АО «Футбольный клуб «Динамо-Москва» за общее вознаграждение в размере 1 рубль.</t>
  </si>
  <si>
    <t>Портовый терминал</t>
  </si>
  <si>
    <t>В мае 2019 года Группа приобрела 99,99% обыкновенных акций ЗАО «Новороссийский зерновой терминал» за общее вознаграждение в размере 35.8	миллиарда рублей. ЗАО «Новороссийский зерновой терминал» является одним из крупнейших портовых терминалов России, предназначенных для перевалки зерна и масличных культур.</t>
  </si>
  <si>
    <t>В августе 2019 года Группа приобрела 70% обыкновенных акций ООО «Мирогруп ресурсы». Вследствие наличия потенциальных прав голоса Группа получает экономические выгоды и осуществляет контроль в отношении 100% доли. Справедливая стоимость вознаграждения составила 1,0 миллиарда рублей и включает в себя первоначальный платеж в сумме 0,1 миллиарда рублей вместе с условным вознаграждением в сумме ожидаемых платежей второй и третьей очереди и по колл-опциону. Условное вознаграждение отражено как обязательство по справедливой стоимости и подлежит переоценке на ежеквартальной основе. ООО «Мирогруп ресурсы» - российская компания, занимающаяся продажей и экспортом зерна и сельскохозяйственной продукции.</t>
  </si>
  <si>
    <t>Торговля с/х продукцией</t>
  </si>
  <si>
    <t>В феврале 2019 года в результате урегулирования задолженности Группа получила долю в 50,0% минус 1 акцию АО «Объединенная зерновая компания», оценочная справедливая стоимость которой составила 9,7 миллиарда рублей, которая была уточнена до 11,5 миллиарда рублей после финализации распределения цены сделки. АО «Объединенная зерновая компания» -агропромышленная компания с государственным участием, ориентированная на развитие и эксплуатацию объектов инфраструктуры зернового рынка, реализацию российского зерна на мировом рынке, проведение торгово-закупочной деятельности на внутреннем зерновом рынке.</t>
  </si>
  <si>
    <t>В июне 2019 года Группа увеличила долю своего владения в предприятии ПАО «Новороссийский комбинат хлебопродуктов». По состоянию на 31 декабря 2019 года доля Группы составляет 35,36%.</t>
  </si>
  <si>
    <t>В декабре 2019 года Группа увеличила долю участия в «ЮНИКОМ 24» 000. предоставляющем сервисы управления жилой и коммерческой недвижимостью. По состоянию на 31 декабря 2019 года доля участия Группы составляет 27,04%.</t>
  </si>
  <si>
    <t>В ноябре 2019 года Группа приобрела 72.28% 000 «Домилецд», предоставляющего сервисы управления жилой и коммерческой недвижимостью.</t>
  </si>
  <si>
    <t>В рамках сложившейся экономической конъюнктуры, а также для оптимизации структуры Группы, было принято решение о передаче миноритарного пакета акций АО АКБ «Еврофинанс Моснарбанк», принадлежащего Группе, в пользу Российской Федерации в лице Федерального агентства по управлению государственным имуществом. Миноритарный пакет, принадлежащий Банку ВТБ (ПАО), в размере 7,99% был передан в первом квартале 2019 года. Оставшаяся часть пакета акций была переклассифицирована в состав активов группы выбытия в первом квартале 2019 года и передана во втором квартале 2019 года. Справедливая стоимость 25% пакета была оценена в сумме 2,9 миллиарда рублей. Передача пакета была отражена как уменьшение нераспределенной прибыли в качестве прочих распределений в пользу акционеров.</t>
  </si>
  <si>
    <t>РФ (ФАУГИ)</t>
  </si>
  <si>
    <t>В августе 2019 года Группа приобрела 50% плюс 1 акцию ПАО «Рустранском» стоимостью 31,0 миллиарда рублей, включая корректировку стоимости, признанную в 4 квартале 2019 года. Группа осуществляет совместный контроль над данной компанией, так как в соответствии с акционерным соглашением все ключевые решения в отношении деятельности данной компании требуют единогласного одобрения двух ее акционеров. Основная деятельность ПАО «Рустранском» относится к услугам в сфере железнодорожных перевозок.</t>
  </si>
  <si>
    <t>Ж/д перевозки</t>
  </si>
  <si>
    <t>В октябре 2018 года Группа приобрела 85,0% обыкновенных акций и 9,6% привилегированных акций Банка «Возрождение» (ПАО). Справедливая стоимость уплаченного вознаграждения составила 9.7 миллиарда рублей.</t>
  </si>
  <si>
    <t>В октябре 2018 года Группа закрыла сделку по продаже 100% своего страхового подразделения, СК «ВТБ Страхование» Страховой Группе «СОГАЗ». СК «СОГАЗ» и ее дочерние компании осуществляют деятельность в страховом бизнесе. В периметр сделки вошли все компании Группы ВТБ Страхование, включая ВТБ Страхование жизни и ВТБ Медицинское страхование. В качестве вознаграждения за продажу Группа получила а) 10% обыкновенных акций СК «СОГАЗ» (по предварительной оценке справедливая стоимость которых составляет 55.8 млрд, рублей) и б) 14,6 млрд, рублей, которые будут выплачены Группе в срок не позднее 30 июня 2019 года. Размер денежного вознаграждения может быть уменьшен на сумму, не превышающую 3,6 млрд, рублей, в зависимости от результатов оценки отдельных активов СК «СОГАЗ», которые не были включены в предварительную оценку.</t>
  </si>
  <si>
    <t>В августе 2018 года Группа получила контроль над ООО Техут Инвестментс в результате урегулирования его задолженности.</t>
  </si>
  <si>
    <t>В июле 2018 года Банк продал 100,0% акций АО «Банк ВТБ (Белград)» за общее вознаграждение 0,9 миллиарда рублей</t>
  </si>
  <si>
    <t>Деятельность ломбардов</t>
  </si>
  <si>
    <t>В апреле 2018 года Группа продала 100,0% ООО «Мосгорломбард-Авто» за вознаграждение в сумме 0,1 миллиарда рублей.</t>
  </si>
  <si>
    <t xml:space="preserve">В феврале 2018 года Группа продала 100,0% акций ОАО «Гостиница «Алтай» за вознаграждение в сумме 1,0 миллиарда рублей. </t>
  </si>
  <si>
    <t>Бургер Кинг Раша, Лтд</t>
  </si>
  <si>
    <t>В феврале 2018 года Группа продала 16.62% акций ассоциированной компании Бургер Кинг Раша (Кипр), Лтд, за денежное вознаграждение в сумме 4,6 миллиарда рублей.</t>
  </si>
  <si>
    <t>В январе 2018 года Группа продала 100,0% акций АО «Гостиница «Восход» за вознаграждение в сумме 0,9 миллиарда рублей.</t>
  </si>
  <si>
    <t>В ноябре 2018 года ВТБ Капитал осуществил продажу 22.5% акций Лагартино Партнере. Продажа была осуществлена несвязанной стороне по стоимости 1,7 миллиардов рублей с признанием дохода в 0,2 миллиарда рублей.</t>
  </si>
  <si>
    <t>В апреле 2018 года Группа продала 11.82% акций ПАО «Магнит».</t>
  </si>
  <si>
    <t>В феврале 2018 года Группа приобрела 29,10% обыкновенных акций ПАО «Магнит» за 138,2 миллиарда рублей. ПАО «Магнит» и его дочерние компании работают в сфере розничной торговли и продажи товаров народного потребления, торговля осуществляется через магазины в формате «у дома», магазины косметики, гипермаркеты и прочие.</t>
  </si>
  <si>
    <t>В июне 2018 года Группа приобрела 40,0% долю участия в компании ООО «Группа «Техносерв». Группа «Техносерв» является российским системным интегратором, специализирующимся на системной интеграции, облачных сервисах, информационной безопасности, сетевых технологиях и мультимедиа-решениях.</t>
  </si>
  <si>
    <t>Системная интеграция</t>
  </si>
  <si>
    <t>В августе 2018 года в результате урегулирования долга Группа приобрела 29,9% акций ПАО «Новороссийский комбинат хлебопродуктов». Новороссийский комбинат хлебопродуктов представляет из себя глубоководный терминал, расположенный на побережье Черного моря в Краснодарском крае и осуществляющий перевалку, перепродажу зерна и иные виды торговли.</t>
  </si>
  <si>
    <t>В апреле 2018 года была завершена сделка по приобретению доли в компании «Геленджик Аэропорт», ООО в результате чего Банк стал владельцем 49,5 % акций компании.</t>
  </si>
  <si>
    <t>Аэропорт</t>
  </si>
  <si>
    <t>Азербайджан</t>
  </si>
  <si>
    <t>В 2017 году Группа увеличила долю участия в ОАО «Банк ВТБ Азербайджан» с 51% до 100%.</t>
  </si>
  <si>
    <t>2 акции</t>
  </si>
  <si>
    <t>Менеджмент</t>
  </si>
  <si>
    <t>В декабре 2017 года ПАО ‘Банк ВТБ 24" передал 2 акции ПАО “Почта Банк" Президенту-председателю правления ПАО "Почта Банк". По состоянию на 31 декабря 2017 года каждому из основных акционеров ПАО “Банк ВТБ 24' и ПАО “Почта России' принадлежало 50% минус 1 акция в уставном капитале ПАО "Почта Банк". Однако ПАО "Банк ВТБ 24 " сохранил контроль в соответствии с МСФО над ПАО "Почта Банк" по условиям Акционерного соглашения между крупнейшими акционерами.</t>
  </si>
  <si>
    <t>В апреле 2017 года в результате погашения задолженности по кредиту Группа приобрела долю в 49,0% акций АО «Московский Метрострой», справедливая стоимость которой оценивается в 26,8 миллиарда рублей. АО «Московский метрострой» - строительная компания, занимающаяся в том числе строительством объектов системы метрополитена, подземных сооружений, транспортной инфраструктуры, гражданских и прочих объектов.</t>
  </si>
  <si>
    <t>В сентябре 2017 года Группа приобрела 100,0% долей участия в ГЛАВКИНО, АО. Возмещение, выплаченное Группой, состояло из денежного возмещения и взаимоотношений с приобретенной компанией, существовавших ранее в форме кредитов, предоставленных одному из ее дочерних обществ.</t>
  </si>
  <si>
    <t>В декабре 2017 года Группа получила оферту на приобретение 100.0% долей участия в ООО «Волей Гранд». Группа расценила полученные потенциальные права голоса как реальные и отразила данную сделку как приобретение бизнеса.</t>
  </si>
  <si>
    <t>Производство кинофильмов, видеофильмов и телевизионных программ</t>
  </si>
  <si>
    <t>В январе 2017 года Группа продала 59,7% акций АО «Эстонский кредитный банк», классифицированного в качестве активов, предназначенных для продажи, несвязанной стороне за денежное вознаграждение 0,8 миллиарда рублей.</t>
  </si>
  <si>
    <t>Эстония</t>
  </si>
  <si>
    <t>В апреле 2017 года в рамках сделки по урегулированию кредиторской задолженности АО «Московский метрострой» Группа заключила опционы, по условиям которых получила потенциальные права голоса, дающие контроль наднесколькими дочерними компаниями АО «Московский метрострой», которые владеют несколькими земельными участками в Москве и осуществляют девелоперскую деятельность.</t>
  </si>
  <si>
    <t>В сентябре 2017 года Группа продала долю участия 25,0% в ассоциированной компании «Талита Трейдинг», Лтд. и 25,0% субординированного кредита, представленного «Талита Трейдинг», Лтд., которые были классифицированы в качестве активов, предназначенных для продажи на 30 июня 2017 года, несвязанной стороне за денежное вознаграждение 236 миллионов евро (15,9 миллиарда рублей), с нулевым результатом от реализации.</t>
  </si>
  <si>
    <t>В марте 2017 года Группа продала 100,0% акций в ООО «Галс-Инвест Девелопмент» несвязанной стороне за денежное вознаграждение 9,2 миллиарда рублей. Чистые активы ООО «Галс-Инвест Девелопмент» составляли на дату продажи 8,6 миллиарда рублей.</t>
  </si>
  <si>
    <t>В июне 2016 года Группа продала свою долю участия в размере 99,33% в ЗАО «Марийский НПЗ» независимой третьей стороне за вознаграждение в размере 4,2 миллиарда рублей, представляющее собой существующий кредит, который был признан в консолидированном отчете о финансовом положении Группы по оценочной справедливой стоимости при выбытии этой дочерней компании.</t>
  </si>
  <si>
    <t>В октябре 2016 года Группа продала свою долю участия в АО «Гостиничный комплекс «Орехово» независимой третьей стороне за вознаграждение в размере 1,0 миллиарда рублей. Чистые активы АО «Гостиничный комплекс «Орехово» на момент продажи составляли 2.3 миллиарда рублей.</t>
  </si>
  <si>
    <t>В июне 2016 года Группа продала свою инвестицию в ОАО «Чайка» за общее вознаграждение в размере 2,0 миллиарда рублей. Прибыль от выбытия дочерней компании составила 0,7 миллиарда рублей.</t>
  </si>
  <si>
    <t>Деятельность больничных организаций</t>
  </si>
  <si>
    <t>Строительство и Недвижимость</t>
  </si>
  <si>
    <t>Земельные участки в Московской области и три компании-застройщика</t>
  </si>
  <si>
    <t>В августе 2016 года Группа приобрела у третьих сторон 90% акций и долей участия в трех компаниях-застройщиках. занимающихся строительством жилой недвижимости в Москве. Стоимость возмещения, переданного за приобретение Компаний, составила 11,6 миллиарда рублей денежными средствами и 1,1 миллиарда рублей в качестве обязательства по выплате условного возмещения, уплачиваемого в соответствии с условиями сделки в случае достижения Компаниями установленных показателей эффективности и прибыльности проектов в будущем. В октябре 2016 года Группа завершила сделку по приобретению земельных участков в Московской области у несвязанной с Группой третьей стороны. Эта сделка, а также вышеуказанное приобретение трех компаний-застройщиков, были согласованы совместно в рамках урегулирования существовавших деловых взаимоотношений между Группой и бенефициаром компаний-продавцов за совокупное денежное вознаграждение в размере 18.0 миллиарда рублей, уплаченное Группой.</t>
  </si>
  <si>
    <t>В ноябре 2016 года Группа приобрела 100% акций ОАО СК «Росно-МС» за общее вознаграждение в размере 2.6 миллиарда рублей. Справедливая стоимость приобретенных идентифицируемых активов и обязательств была определена с привлечением независимого профессионального оценщика и на дату приобретения составила 2.1 миллиарда рублей.</t>
  </si>
  <si>
    <t>В декабре 2016 года Группа продала свою инвестицию в ФК «Динамо-Москва» за общее вознаграждение в размере 1 рубль. Прибыль от выбытия дочерней компании составила 2,9 миллиарда рублей.</t>
  </si>
  <si>
    <t xml:space="preserve">В августе 2016 года Группа приобрела инвестицию в форме 20% минус одна акция в компании Вива Телеком (Люксембург) С.А. и конвертируемого в акции кредита в размере 20,6 миллионов евро (1,5 миллиарда рублей). </t>
  </si>
  <si>
    <t>20%-1 акция</t>
  </si>
  <si>
    <t>Вива Телеком С.А.</t>
  </si>
  <si>
    <t>В феврале 2016 года ОАО «Банк Москвы» продал компании, не связанной с Группой. 49.00% акций ассоциированной компании ОАО «Перовское» за 0,7 миллиарда рублей по цене, равной балансовой стоимости указанной инвестиции на дату продажи.</t>
  </si>
  <si>
    <t>В декабре 2016 года Группа продала 23,079% минус одна акция в ООО «Западная Голд Майнинг» за 3,1 миллиарда рублей (51,3 миллиона долларов).</t>
  </si>
  <si>
    <t>В январе 2016 года дочерняя компания Группы ПАО «Банк ВТБ 24» и ФГУП «Почта России», компания, контролируемая государством, подписали обязывающее соглашение о создании «Почта Банка» на базе ПАО «Лето Банк». В рамках сделки ПАО «Банк ВТБ 24» продало 49,99% акций ПАО «Лето Банк» дочерней компании ФГУП «Почта России» за 5,5 миллиарда рублей. В связи с тем, что Группа сохранила контроль над ПАО «Лето Банк», разница между величиной отраженной неконтрольной доли участия и справедливой стоимостью полученного возмещения отражена непосредственно в составе собственных средств как уменьшение суммы нераспределенной прибыли.</t>
  </si>
  <si>
    <t>23,079%-1акция</t>
  </si>
  <si>
    <t>В феврале 2015 года Группа реализовала внеоборотный актив, предназначенный для продажи, "Башня Б бизнес-центра "СкайЛайт" за 0,9 миллиарда рублей и отразила прибыль от выбытия в размере 0,2 миллиарда рублей в составе выручки от прочей небанковской деятельности.</t>
  </si>
  <si>
    <t>Башня Б бизнес-центра "СкайЛайт"</t>
  </si>
  <si>
    <t>Банк "ВРБ Москва" (ООО)</t>
  </si>
  <si>
    <t>В августе 2015 года Группа реализовала Банк "ВРБ Москва" (ООО), отраженный в категории "Прочее", за 0,5 миллиарда рублей.</t>
  </si>
  <si>
    <t>В сентябре 2015 года ВТБ конвертировал кредиты, предоставленные ранее ПАО "ВТБ Банк" (Украина), в общей сумме 44.5 миллиарда рублей в обыкновенные акции ПАО "ВТБ Банк" (Украина) (эквивалент 14,5 миллиарда украинских гривен на дату конвертации). Доля ВТБ в уставном капитале ПАО "ВТБ Банк” (Украина) увеличилась с 99.98% до 99,99%.</t>
  </si>
  <si>
    <t>ПАО "ВТБ Банк" (Украина)</t>
  </si>
  <si>
    <t>В течение 2015 года Группа увеличила свою долю в ОАО «Банк Москвы» с 96.88% до 100,00%. В результате неконтрольная доля участия снизилась на 8,0 миллиардов рублей.</t>
  </si>
  <si>
    <t>ООО "Компания Сити Лэнд Групп"</t>
  </si>
  <si>
    <t>В марте 2015 года Группа получила контроль над компанией-застройщиком ООО "Компания Сити Лэнд Групп" (далее - "СЛГ"), увеличив свою долю участия в СЛГ с 27,9% до 71,1%. Группа не выплачивала дополнительного вознаграждения и получила контроль в результате приобретения компанией СЛГ собственных обыкновенных акций у бывшего акционера. Одновременно с приобретением контроля Группа взяла на себя обязательства предоставить СЛГ 15.1 миллиарда рублей для целей пополнения оборотного капитала и погашения ряда обязательств перед бывшим акционером. Для целей учета обьединения бизнеса по состоянию на 31 марта 2015 года Группа использовала предварительную оценочную справедливую стоимость чистых активов СЛГ на дату приобретения. Первоначальный учет обьединения бизнеса не был завершен по состоянию на 31 марта 2015 года поскольку оценка инвестиционной недвижимости была завешена к 31 декабря 2015 года и привела к снижению балансовой стоимости инвестиционной недвижимости на 8 млрд, рублей вследствие коррекции ее справедливой стоимости по состоянию на дату приобретения, а стоимость чистых активов СЛГ по состоянию на дату приобретения сократилась на 7,5 миллиардов рублей.</t>
  </si>
  <si>
    <t>В январе 2014 года Группа приобрела 22,5% долю участия в Lagartino Partners Inc., которая является материнской компанией "Русской Фитнес Группы" (РФГ), за 19,3 миллиона долларов США (0,7 миллиарда рублей) и отнесла данные инвестиции в категорию переоцениваемых по справедливой стоимости через прибыль или убыток.</t>
  </si>
  <si>
    <t>Услуги фитнеса</t>
  </si>
  <si>
    <t>В январе 2014 года Группа продала финансовому инвестору долю участия в размере 12,2% в 'Бургер Кинг Раша (Кипр)’, Лтд. за 25 миллионов долларов США (0,9 миллиарда рублей). В результате доля участия "Голден Стар Инвестментс”, Лтд. в "Бургер Кинг Раша (Кипр)’, Лтд. уменьшилась до 36,6%.</t>
  </si>
  <si>
    <t>ООО "Деревообработка-Проект"</t>
  </si>
  <si>
    <t>Деревообработка</t>
  </si>
  <si>
    <t>В феврале 2014 года Группа приобрела 100% долю участия в ООО "Деревообработка-Проект" за неденежное вознаграждение в размере 4,0 миллиарда рублей.</t>
  </si>
  <si>
    <t>В первом квартале 2014 года Группа реализовала свою долю участия в ООО "Оренбургская буровая компания" организации, связанной с государством.</t>
  </si>
  <si>
    <t>В марте 2014 года Группа реализовала ОАО "Российский национальный коммерческий банк" за общее вознаграждение в размере 1,2 миллиарда рублей. Убыток от выбытия дочернего банка составил 0,1 миллиарда рублей.</t>
  </si>
  <si>
    <t>ОАО "Российский национальный коммерческий банк"</t>
  </si>
  <si>
    <t>В апреле 2014 года Группа приобрела долю участия в размере 29,75% в ОАО "Перовское" за неденежное вознаграждение в размере 0,4 миллиарда рублей и осуществила учет данной инвестиции с использованием метода долевого участия.</t>
  </si>
  <si>
    <t>В сентябре 2014 года Группа продала 100% своих акций в ОАО "Сегежский целлюлозно-бумажный комбинат" и 100% акций в ООО "Деревообработка-Проект" за общее вознаграждение в размере 11.4 миллиарда рублей. Результат от выбытия дочерних компаний составил 1,2 миллиарда рублей. Прибыль от выбытия была отражена в составе прибыли после налогообложения, полученной от дочерних компаний, приобретенных исключительно в целях перепродажи.</t>
  </si>
  <si>
    <t>В 2014 году капитал ПАО "Банк ВТБ 24" был увеличен на 17 170 489 958 обыкновенных акций. Новые выпущенные акции были приобретены Банком ВТБ за 43.9 миллиарда рублей, в результате чего доля участия Банка ВТБ увеличилась с 99,90% до 99,96%.</t>
  </si>
  <si>
    <t>В марте 2014 года капитал Банка ВТБ (Грузия) был увеличен на 11 миллиона обыкновенных акций. Новые выпущенные акции были приобретены Банком ВТБ за 0,2 миллиарда рублей, в результате чего доля участия Банка ВТБ увеличилась с 96,59% до 96,81%.</t>
  </si>
  <si>
    <t>В августе 2014 года Группа увеличила свою долю участия в ОАО "Галс-Девелопмент" с 51,24% до 93,51% посредством приобретения 4 741 540 обыкновенных акций у третьих сторон за 7,3 миллиарда рублей. В результате нераспределенная прибыль Группы уменьшилась на 21,5 миллиарда рублей, а неконтрольные доли участия увеличились на 14,2 миллиарда рублей. В сентябре 2014 года Группа сделала обязательное предложение о приобретении оставшихся 728 271 акции ОАО "Галс-Девелопмент” у их владельцев по 1 543 рубля за акцию. В декабре 2014 года после принятия предложения акционерами третьей стороны Группа получила дополнительный пакет акций в ОАО "Галс-Девелопмент" в размере 2,93% и увеличила свою долю участия в компании до 96,44%.</t>
  </si>
  <si>
    <t>В марте 2014 года Группа получила контроль над ООО "Строительное управление Космос-М". В результате получения контроля Группа признала гудвил и впоследствии отразила его обесценение в размере 0,5 миллиарда рублей.</t>
  </si>
  <si>
    <t>В июне 2014 года Группа продала свои акции в ООО "Офис - Отель комплекс". Общая сумма вознаграждения составила 5,1 миллиарда рублей. Прибыль от выбытия дочернего банка составила 0,1 миллиарда рублей.</t>
  </si>
  <si>
    <t>В октябре 2014 года Группа продала независимым сторонам свой пакет акций ОАО "Банк Москва-Минск" в размере 100% за 55,7 миллиона долларов США (2,4 миллиарда рублей). Прибыль от выбытия дочерней компании составила 0.5 миллиарда рублей. Сумма в размере 0,3 миллиарда рублей из вышеупомянутой прибыли относится к сумме фонда накопленных курсовых разниц, переклассифицированного в состав прибыли на дату потери контроля.</t>
  </si>
  <si>
    <t>В декабре 2014 года Группа продала независимым сторонам свою долю участия в ЧП "ВТБ Лизинг Украина" в размере 100% за 1,5 миллиона рублей. Прибыль от выбытия дочерней компании составила 0,5 миллиарда рублей, из которых 0.4 миллиарда рублей относятся к сумме фонда накопленных курсовых разниц, переклассифицированного в состав прибыли на дату потери контроля.</t>
  </si>
  <si>
    <t>В феврале 2014 года Группа приобрела 95% долю в ОАО "Московская инвестиционная строительная компания" за 0,7 миллиарда рублей, что эквивалентно справедливой стоимости чистых активов приобретенной компании.</t>
  </si>
  <si>
    <t>ОАО "Московская инвестиционная строительная компания"</t>
  </si>
  <si>
    <t>ООО "Строительное управление Космос-М"</t>
  </si>
  <si>
    <t>ОАО "Перовское"</t>
  </si>
  <si>
    <t>ОАО "Сегежский целлюлозно-бумажный комбинат" и ООО "Деревообработка-Проект"</t>
  </si>
  <si>
    <t>ООО "Горки-8"</t>
  </si>
  <si>
    <t>В июле 2014 года Группа реализовала свою долю участия в ООО "Горки-8" в размере 74,9% и признала доход в размере 2,5 миллиарда рублей в составе доходов от выбытия дочерних и ассоциированных компаний. В результате выбытия Группа также приобрела дополнительную долю участия в компании-застройщике, которая представляет собой инвестицию, имеющуюся в наличии для продажи.</t>
  </si>
  <si>
    <t>ПАО "Банк ВТБ 24"</t>
  </si>
  <si>
    <t>Банка ВТБ (Грузия)</t>
  </si>
  <si>
    <t>ОАО "Галс-Девелопмент"</t>
  </si>
  <si>
    <t>ООО "Офис - Отель комплекс"</t>
  </si>
  <si>
    <t>В апреле 2014 года Группа приобрела 100% акций ОАО "Гостиничная компания", ОАО "Агрокомбинат 'Южный" и ОАО "Авиапарк". Сумма вознаграждения, уплаченного за каждую из компаний, была эквивалентна справедливой стоимости чистых активов приобретенной компании.</t>
  </si>
  <si>
    <t>ОАО "Гостиничная компания", ОАО "Агрокомбинат 'Южный" и ОАО "Авиапарк"</t>
  </si>
  <si>
    <t>ОАО "Кунцевский рынок"</t>
  </si>
  <si>
    <t>В апреле 2014 года Группа приобрела 100% акций ОАО МГКЛ "Мосгорпомбард" за 0,7 миллиарда рублей. Сумма вознаграждения была эквивалентна справедливой стоимости чистых активов приобретенной компании.</t>
  </si>
  <si>
    <t>В апреле 2014 года Группа приобрела 100% акций ОАО "Кунцевский рынок" за 0,7 миллиарда рублей. Сумма вознаграждения была эквивалентна справедливой стоимости чистых активов приобретенной компании.</t>
  </si>
  <si>
    <t>В апреле 2014 года Группа приобрела 100% акций ОАО "Вепозаводский рынок" за 0,5 миллиарда рублей. Сумма вознаграждения была эквивалентна справедливой стоимости чистых активов приобретенной компании.</t>
  </si>
  <si>
    <t>В сентябре 2014 года Группа продала принадлежавшие ей акции ОАО "Авиапарк" за 4,4 миллиарда рублей, при этом в отчете о прибылях и убытках не было признано никаких доходов или расходов.</t>
  </si>
  <si>
    <t>ОАО "Авиапарк"</t>
  </si>
  <si>
    <t>ОАО "Бумажнополиграфическое объединение "Печатники"</t>
  </si>
  <si>
    <t>Полиграфическая деятельность</t>
  </si>
  <si>
    <t>В июне 2014 года Группа получила контрольный пакет акций в размере 74,4% в ОАО "Бумажнополиграфическое объединение "Печатники" в рамках договора об урегулировании задолженности с ЗАО ’Инвестлеспром". В результате Группа получила контроль над ОАО "Полиграфический комплекс "Пушкинская площадь" и ОАО "Медиа Центр".</t>
  </si>
  <si>
    <t>ОАО "Банк Москва-Минск"</t>
  </si>
  <si>
    <t>ЧП "ВТБ Лизинг Украина"</t>
  </si>
  <si>
    <t>В 2013 году Группа приобрела за 24 миллиона долларов США (0,7 миллиарда рублей) долю участия в компании "Иррико", Лтд в размере 49,0%, которая затем уменьшилась до 34,15% в результате дополнительного взноса несвязанной стороны в акционерный капитал этой ассоциированной компании.</t>
  </si>
  <si>
    <t>В 2013 году Группа продала долю участия в "Русс аут оф хоум", БВ в размере 9,34% за 0,6 миллиарда рублей.</t>
  </si>
  <si>
    <t>"Русс аут оф хоум"</t>
  </si>
  <si>
    <t>В ноябре 2016 года Группа приобрела 31,65% в «Иррико», Лтд, увеличив долю владения с 34,15% до 65,80%.</t>
  </si>
  <si>
    <t>ОАО "Столичная страховая группа"</t>
  </si>
  <si>
    <t>В октябре 2013 года Группа продала третьей стороне долю участия в размере 50% в компании "Т2 (Нидерланды)”, Б.В., являющейся правопреемником компании "Теле2 Россия” в качестве новой холдинговой компании Группы Теле2. Оставшаяся доля инвестиций в 'Т2 (Нидерланды)', Б.В. учитывается Группой как инвестиции в совместное предприятие, переоцениваемые по справедливой стоимости через прибыль или убыток. На 31 декабря 2013 года Группа не имела условных обязательств или инвестиционных обязательств, связанных с 'Т2 (Нидерланды)', Б.В.</t>
  </si>
  <si>
    <t>"Т2 (Нидерланды)”, Б.В.</t>
  </si>
  <si>
    <t>В 2013 году земельные участки, а также объекты коммерческой и жилой недвижимости общей стоимостью 4,2 миллиарда рублей (в 2012 году: 2,2 миллиарда рублей), были непосредственно переданы в собственность Группы в обмен на урегулирование задолженности заемщиков по кредитам, выданным Группой. Недвижимость стоимостью 0,5 миллиарда рублей (в 2012 году: 1,2 миллиарда рублей) была получена путем обращения взыскания на имущество, переданное в залог по договорам ипотечного кредитования.</t>
  </si>
  <si>
    <t>Земельные участки, а также объекты коммерческой и жилой недвижимости</t>
  </si>
  <si>
    <t>В 2013 году в ходе обычной деятельности Группа приобрела объекты коммерческой недвижимости и земельные участки общей стоимостью 7,1 миллиарда рублей (в 2012 году: 0,6 миллиарда рублей) с целью их девелопмента и последующей перепродажи.</t>
  </si>
  <si>
    <t>Объекты коммерческой недвижимости и земельные участки</t>
  </si>
  <si>
    <t>ОАО "Сегежский целлюлозно-бумажный комбинат"</t>
  </si>
  <si>
    <t>В мае 2013 года Группа приобрела 50% плюс одна акция (контрольный пакет) ОАО "Сегежский целлюлозно-бумажный комбинат" в рамках выпуска приобретенной компанией дополнительных акций. Общая сумма уплаченного возмещения составила 6,3 миллиарда рублей, включая денежные средства в размере 0,5 миллиарда рублей. В августе 2013 года Группа увеличила долю участия в ОАО 'Сегежский целлюлозно-бумажный комбинат" до 100% путем приобретения 50% минус одна акция у другого акционера за 0,5 миллиарда рублей в рамках обязательного предложения о выкупе ценных бумаг. В результате данной сделки неконтрольная доля участия увеличилась на 3,2 миллиарда рублей, а нераспределенная прибыль уменьшилась на 3,8 миллиарда рублей.</t>
  </si>
  <si>
    <t>В ноябре 2013 года Группа получила контроль над долей участия (99,3%) в ЗАО "Марийский НПЗ" за общее вознаграждение в неденежной форме в размере 5,7 миллиарда рублей.</t>
  </si>
  <si>
    <t>В 2013 году Группа продала свои инвестиции в Энергокомплекс компании, связанной с государством, за вознаграждение в неденежной форме и признала доход от выбытия инвестиции в размере 0,8 миллиарда рублей в составе доходов от выбытия дочерних и ассоциированных компаний.</t>
  </si>
  <si>
    <t>Энергокомплекс</t>
  </si>
  <si>
    <t>В апреле 2013 года Группа стала единоличным исполнительным органом ОАО "Полиграфический комплекс "Пушкинская площадь", таким образом получив контроль без увеличения доли участия в компании, которая составляет 3,85%. В сентябре 2013 года Группа перестала исполнять функции единоличного исполнительного органа вышеуказанной дочерней компании, что привело к деконсолидации компании.</t>
  </si>
  <si>
    <t>ОАО "Полиграфический комплекс "Пушкинская площадь"</t>
  </si>
  <si>
    <t>ПИФ</t>
  </si>
  <si>
    <t>В мае 2013 года Группа приобрела 100% акций ЗПИФ "Глобус" за 1,3 миллиарда рублей, таким образом получив контроль над ООО "Головино Плаза", ООО "НПО Информатика", ЗАО "Траст-Резерв" и ЗАО "ИПО Полигран".</t>
  </si>
  <si>
    <t>ЗПИФ "Глобус" (ООО "Головино Плаза", ООО "НПО Информатика", ЗАО "Траст-Резерв" и ЗАО "ИПО Полигран")</t>
  </si>
  <si>
    <t>В сентябре 2013 года ОАО "Столичная страховая группа" приобрела у несвязанной стороны 50,0% ее собственных акций, выкупленных у акционеров, что позволило Группе получить контроль над ОАО "Столичная страховая группа", которое ранее учитывалось по методу долевого участия. Валовая договорная сумма дебиторской задолженности от страховой деятельности ОАО "Столичная страховая группа" на дату приобретения составила 7,6 миллиарда рублей. Прогнозируемый размер договорных денежных потоков, которые, как ожидается, не будут получены, составил 2,0 миллиарда рублей.</t>
  </si>
  <si>
    <t>В мае 2013 года Группа приобрела контрольную долю участия в размере 79,0% в ЗПИФ "Гостиницы и курорты" за счет покупки дополнительной доли за 0,5 миллиарда рублей, таким образом получив контроль над ЗАО "Гостиница "Сокольники" и ЗАО "Управляющая компания "Отель Менеджмент".</t>
  </si>
  <si>
    <t>ЗПИФ "Гостиницы и курорты" (ЗАО "Гостиница "Сокольники" и ЗАО "Управляющая компания "Отель Менеджмент")</t>
  </si>
  <si>
    <t>В октябре 2013 года Группа увеличила свою долю участия в ЗАО "Банк ВТБ (Беларусь)" до 97,37% с 71,42% посредством приобретения 72 974 обыкновенных акций банка за 19,1 миллиона долларов США (617,2 миллиона рублей) в рамках договора купли-продажи с Государственным комитетом по имуществу Республики Беларусь. В декабре 2013 года Группа увеличила свою долю участия в ЗАО "Банк ВТБ (Беларусь)" до 100,00% с 97,37% посредством приобретения 7 406 обыкновенных акций банка за 1,9 миллиона долларов США (63,8 миллиона рублей).</t>
  </si>
  <si>
    <t>ЗАО "Банк ВТБ (Беларусь)"</t>
  </si>
  <si>
    <t>6 декабря 2013 года Группа приобрела 100% находящихся в обращении акций "Авиа Кэпитал Менеджмент", Лтд. у компании, связанной с государством. “Авиа Кэпитал Менеджмент", Лтд. является компанией, зарегистрированной на Бермудских островах и специализирующейся на лизинге воздушных судов крупной авиакомпании, связанной с государством, в рамках договоров операционного лизинга. Группа приобрела "Авиа Кэпитал Менеджмент", Лтд. с целью расширения своего присутствия на рынке лизинга коммерческого пассажирского авиатранспорта.</t>
  </si>
  <si>
    <t>"Авиа Кэпитал Менеджмент", Лтд.</t>
  </si>
  <si>
    <t>Британские Виргинские острова</t>
  </si>
  <si>
    <t>ООО "БМ Проект - Лакокраска"</t>
  </si>
  <si>
    <t>В 2013 году Группа осуществила сделку по продаже ООО "БМ Проект - Лакокраска" с прибылью в размере 0,9 миллиарда рублей.</t>
  </si>
  <si>
    <t>"Системапсис С.А.Р.Л."</t>
  </si>
  <si>
    <t>Во втором квартале 2012 года Группа приобрела долю участия в размере 48,8% в "Бургер Кинг Раша (Кипр)", Лимитед (совместное предприятие с участием "Бургер Кинг Уорлдуайд Холдинга Инк." и ООО "Бургер Рус") за 50 миллионов долларов США (1,6 миллиарда рублей).</t>
  </si>
  <si>
    <t>В третьем квартале 2012 года Группа увеличила свою долю участия в ООО "Западная Голд Майнинг" с 9,92% до 23.08% путем приобретения дополнительных долей участия за 32 миллиона долларов США (1,0 миллиард рублей).</t>
  </si>
  <si>
    <t xml:space="preserve">В январе 2012 года Группа получила 100% контроль над компанией "Системапсис С.А.Р.Л." путем приобретения у третьих лиц, не связанных с Группой, дополнительной 50% доли участия за 1,3 миллиарда рублей. </t>
  </si>
  <si>
    <t>В феврале 2012 года Группа получила контрольный пакет акций в размере 84.91% в ОАО "Российский Национальный Коммерческий Банк" путем покупки дополнительной доли участия в размере 45.11% за 0,4 миллиарда рублей у третьих лиц, не связанных с Группой. В результате приобретения Группа признала превышение справедливой стоимости приобретенных чистых активов над их стоимостью приобретения в сумме 0,1 миллиарда рублей в составе прочих операционных доходов, а также неконтрольную долю участия в сумме 0,2 миллиарда рублей. В июне 2012 года Группа увеличила свою долю в ОАО "Российский Национальный Коммерческий Банк" до 96.80%. В августе 2012 года доля Группы в уставном капитале ОАО "Российский Национальный Коммерческий Банк" увеличилась с 96.80% до 98,78%.</t>
  </si>
  <si>
    <t>В феврале 2012 года ЦБ РФ зарегистрировал дополнительную эмиссию акций ОАО "ТрансКредитБанк", в результате которой уставный капитал ОАО "ТрансКредитБанк" увеличился до 4.3 миллиарда рублей. Группа выкупила дополнительную эмиссию в полном объеме на общую сумму 7,6 миллиарда рублей, в количестве 334 373 607 штук, по цене 22,69 рублей за акцию, увеличив свою долю в ОАО "ТрансКредитБанк" до 77,86%. В результате дополнительной эмиссии акций неконтрольные доли участия увеличились на 0,3 миллиарда рублей. В сентябре 2012 года ВТБ увеличил свою долю участия в ОАО "ТрансКредитБанк" с 77,86% до 99,66% путем покупки 571 650 529 обыкновенных акций по цене 38,67 рубля за акцию по договору со связанной стороной Группы о приобретении неконтрольной доли участия в ОАО "ТрансКредитБанк", принадлежащей этой связанной стороне. В результате неконтрольные доли участия уменьшились на 11,7 миллиарда рублей.</t>
  </si>
  <si>
    <t>В июле 2012 года Группа получила контрольную долю в размере 100% в бывшей ассоциированной компании ООО "Пенсионный резерв" путем покупки дополнительного пакета в размере 81% за 0.3 миллиарда рублей у третьих лиц, не связанных с Группой. В результате приобретения Группа признала гудвил в размере 0,2 миллиарда рублей.</t>
  </si>
  <si>
    <t>В июле 2012 года Группа приобрела долю в размере 53,30% в ООО “Оренбургская буровая компания" за 0,9 миллиарда рублей. Предварительная справедливая стоимость идентифицируемых активов и обязательств приобретаемой компании, составившая 6,2 миллиарда рублей и 4,3 миллиарда рублей, соответственно, была определена на основе результатов независимой оценки на дату приобретения. Группа признала доход в размере 0,1 миллиарда рублей, представляющий собой превышение стоимости приобретенных идентифицируемых чистых активов над стоимостью инвестиции.</t>
  </si>
  <si>
    <t>В сентябре 2012 года Группа продала свою долю участия в размере 96.36% в ЗАО "Западный мост" третьему лицу за 1,4 миллиарда рублей и признала доход от выбытия дочерней компании в размере 0,1 миллиарда рублей.</t>
  </si>
  <si>
    <t>В апреле 2013 года Группа приобрела 100% долю участия в одной из крупнейших российских телекоммуникационных компании "Tele2 Россия" за 2,4 миллиарда долларов США (75,3 миллиарда рублей). Контроль со стороны Группы над данной инвестицией в уставный капитал будет временным, поскольку инвестиция была осуществлена и удерживается исключительно с целью ее последующей продажи в ближайшем будущем - в течение одного года с даты приобретения.</t>
  </si>
  <si>
    <t>В марте 2011 года ЗАО "ВТБ Долговой центр", 100%-ная дочерняя компания Группы, выпустил 2 825,2 миллиона дополнительных обыкновенных акций номинальной стоимостью 2 825,2 миллиона рублей. ВТБ выкупил весь выпуск по номинальной стоимости.</t>
  </si>
  <si>
    <t>В июне 2011 года ЗАО "Банк ВТБ (Казахстан)" осуществил дополнительный выпуск 1 100 000 обыкновенных акций номинальной стоимостью 10 000 казахских тенге за акцию. Совокупная стоимость выпуска, полностью приобретенного Группой, составила 11 миллиардов казахских тенге (2,1 миллиарда рублей).</t>
  </si>
  <si>
    <t>В декабре 2011 года Группа увеличила свою долю в "ВТБ Банк (Франция)" до 96,22%, получив 15 275 акций "ВТБ Банк (Франция)" от Центрального Банка Российской федерации. Данная передача была осуществлена в рамках сделки, подписанной в 2006 году, которая зависела от успешного разрешения судебного процесса вокруг данных акций между Центральным Банком Российской Федерации и предыдущим акционером.</t>
  </si>
  <si>
    <t>В декабре 2011 года ЗАО "ВТБ Арена" произвела эмиссию 135 248 дополнительных акций с номинальной стоимостью 24 010 рублей за акцию на общую сумму 3,2 миллиарда рублей. Из этих акций 101 436 были приобретены Группой, в результате чего доля участия ВТБ в ЗАО "ВТБ Арена" увеличилась с 75% до 77,3%. Неконтролирующие акционеры могут воспользоваться своим правом покупки оставшейся части акций до августа 2012 года.</t>
  </si>
  <si>
    <t>В декабре 2011 года Группа получила контроль над несколькими взаимосвязанными компаниями путем приобретения 100% доли участия в ОАО "Объединенная компания", включая ОАО "Корнет" (94,2%), ОАО "Московский Межреспубликанский Винодельческий Завод" (94,1%), ОАО "ТД "Межреспубликанский винзавод" (95,6%).</t>
  </si>
  <si>
    <t xml:space="preserve">В апреле 2010 года Группа приобрела 100%-ную долю участия в группе компаний "Русский элеватор" путем заключения дополнительных соглашений с заемщиками о передаче Группе в собственность имущества, являющегося обеспечением обязательств таких заемщиков по кредитным договорам с Группой, в обмен на погашение требований по данным кредитам. </t>
  </si>
  <si>
    <t>В мае 2010 года Группа приобрела 50%-ную долю участия в ОАО "ПЛ Камелия" за 42,4 миллиона долларов США (1,3 миллиарда рублей). В результате приобретения доля Группы в капитале ОАО "ПЛ Камелия" составляет 100%. До сделки приобретения доля участия Группы в капитале ОАО "ПЛ Камелия" в размере 50% отражалась в учетных записях через приобретение ассоциированных компаний "Астанда", Лтд и "Система Сарайа", Лтд. как компании-владельцы ОАО "ПЛ Камелия".</t>
  </si>
  <si>
    <t>В августе 2010 года ВТБ увеличил свою долю в АО "Банк ВТБ (Грузия)" с 90,74% до 96,16% путем приобретения 5,42% (7 730 073 обыкновенных акций) у миноритарных акционеров за 4,25 миллиона долларов США (128,5 миллиона рублей).</t>
  </si>
  <si>
    <t>В июле 2010 года ЗАО "Банк ВТБ (Казахстан)" осуществило дополнительный выпуск 296 000 обыкновенных акций номинальной стоимостью 10 000 казахских тенге за акцию. Группа полностью приобрела выпуск совокупной стоимостью 2 960 миллионов казахских тенге (0,6 миллиарда рублей), сохранив за собой 100%-ную долю участия в капитале ЗАО 'Банк ВТБ (Казахстан)"</t>
  </si>
  <si>
    <t>В сентябре 2010 года Группа приобрела 75% минус одна акция ЗАО "ВТБ-Арена", которое владеет 100% акций ЗАО 'Петровский Парк Арена", и 75% минус одна акция ЗАО "Управляющая компания "Динамо", которому принадлежит 68,92% акций ЗАО "Футбольный клуб "Динамо". Денежные средства в размере 18,0 миллиардов рублей были внесены в уставный капитал вновь учрежденной компании ЗАО "ВТБ-Арена". Группа осуществила инвестиции в ЗАО "ВТБ-Арена" для целей эффективной реализации проекта по строительству объектов недвижимости, что существенно укрепляет позитивную репутацию Группы в качестве общенационального российского бренда.</t>
  </si>
  <si>
    <t>В октябре 2010 года ПАО "ВТБ Банк" (Украина) выпустило 24 870 миллионов дополнительных обыкновенных акций номинальной стоимостью 2 487 миллионов украинских гривен (9,4 миллиарда рублей), 99,99% которых было приобретено Группой. В результате доля ВТБ в капитале ПАО "ВТБ Банк’ (Украина) увеличилась с 99,96% до 99,97%.</t>
  </si>
  <si>
    <t>В ноябре 2010 года ВТБ увеличил свою долю в АО "Банк ВТБ (Грузия)" с 96,16% до 96,31%, путем приобретения 5 491 266 обыкновенных акций нового выпуска номинальной стоимостью 1 грузинский лари каждая за 5,5 миллиона грузинских лари (95,1 миллиона рублей).</t>
  </si>
  <si>
    <t>ОАО "ТрансКредитБанк"</t>
  </si>
  <si>
    <t>В июле и августе 2011 года Группа увеличила свою долю участия в ОАО "ТрансКредитБанк" с 43,18% до 74,48% посредством приобретения 715 694 742 акций, относившихся к неконтропьной допе участия, за 17,4 миллиарда рублей, включая 6 957 836 акций, приобретенных на основании обязательного предложения. В ноябре 2011 года Группа увеличила свою долю участия в ОАО "ТрансКредитБанк" с 74,48% до 74,62% путем приобретения 3 186 312 акций у неконтрольных долей участия на сумму 0,1 миллиарда рублей.</t>
  </si>
  <si>
    <t>ООО "Пенсионный резерв"</t>
  </si>
  <si>
    <t>Финансы</t>
  </si>
  <si>
    <t>ООО "Западная Голд Майнинг"</t>
  </si>
  <si>
    <t>Земельные участки, объекты коммерческой и жилой недвижимости</t>
  </si>
  <si>
    <t>В 2012 году земельные участки, а также объекты коммерческой и жилой недвижимости общей стоимостью 2,2 миллиарда рублей были непосредственно переданы в собственность Группы в обмен на урегулирование задолженности заемщиков по кредитам, выданным Группой.</t>
  </si>
  <si>
    <t>Недвижимость стоимостью 1,2 миллиарда рублей была получена путем обращения взыскания на имущество, переданное в залог по договорам ипотечного кредитования.</t>
  </si>
  <si>
    <t>В 2012 году в ходе обычной деятельности Группа приобрела земельные участки стоимостью 0,6 миллиарда рублей с целью их освоения и последующей перепродажи.</t>
  </si>
  <si>
    <t>Земельные участки</t>
  </si>
  <si>
    <t>В августе 2012 года Группа увеличила свою долю участия в компании, специализирующейся на сбыте электроэнергии, до 49.0%. Балансовая стоимость, по которой учитывается данная инвестиция, составляет 8,5 миллиарда рублей.</t>
  </si>
  <si>
    <t>ЗАО "ВТБ Арена"</t>
  </si>
  <si>
    <t>В марте 2012 года неконтролирующие акционеры ЗАО "ВТБ Арена" частично реализовали свое право на покупку 33 812 дополнительно выпущенных акций номинальной стоимостью 24 010 рублей, что привело к увеличению неконтрольных долей участия на 0,1 миллиарда рублей и уменьшению доли ВТБ в ЗАО "ВТБ Арена" с 77,3% до 76,91%. В августе 2012 года неконтролирующие акционеры ЗАО "ВТБ Арена" реализовали свое право на покупку 28 177 дополнительно выпущенных акций номинальной стоимостью 24 010 рублей, что привело к уменьшению доли ВТБ в ЗАО "ВТБ Арена" с 76,91% до 75,00% минус 1 акция. Во втором квартале 2012 года ЗАО "ВТБ Арена" простило долг в размере 1,4 миллиарда рублей своей дочерней компании, существенное влияние на которую имеют держатели неконтрольных долей участия. В результате неконтрольные доли участия увеличились на 0,3 миллиарда рублей.</t>
  </si>
  <si>
    <t>2,3%-1акция</t>
  </si>
  <si>
    <t>ОАО "Банк Москвы"</t>
  </si>
  <si>
    <t>В феврале 2011 года ВТБ приобрел 25% плюс одну акцию ОАО "Столичная страховая группа" за 10,2 миллиарда рублей. В результате консолидации ОАО "Банк Москвы" доля участия Группы в ОАО "Столичная страховая группа" увеличилась до 50% минус 1 акция.</t>
  </si>
  <si>
    <t>25%+1акция</t>
  </si>
  <si>
    <t>В апреле 2012 года Группа увеличила свою долю в ОАО "Банк Москвы" до 94,87% в результате добровольной оферты, сделанной акционерам ОАО "Банк Москвы" в марте 2012 года. Оферта была сделана только акционерам, владевшим акциями на дату приобретения ВТБ доли участия правительства Москвы в ОАО "Банк Москвы", а именно 1 030 акционерам, владевшим до 0.05% акций ОАО "Банк Москвы". Оферту приняли менее 80 акционеров, которые продали 75 700 акций ОАО "Банк Москвы" за общую сумму 0,1 миллиарда рублей. В июне 2012 года Группа увеличила свою долю участия в ОАО "Банк Москвы" до 95,52% путем покупки 1 745 965 акций у неконтролирующих акционеров за 1,6 миллиарда рублей, что привело к уменьшению неконтрольных долей участия на 1,5 миллиарда рублей.</t>
  </si>
  <si>
    <t>В феврале 2011 года ВТБ приобрел 46,48% ОАО "Банк Москвы" за 92,8 миллиарда рублей.</t>
  </si>
  <si>
    <t>30 сентября 2011 года Группа получила контроль над ОАО "Банк Москвы”, увеличив свою долю через дочернее предприятие Группы - ЗАО "ВТБ Долговой центр" - до 80,57%. ЗАО "ВТБ Долговой центр" приобрел акции ОАО "Банк Москвы” от третьих лиц, не являющихся связанными с Группой и от ассоциированной компании Группы. Сделка была проведена в соответствии с Генеральным соглашением о мерах финансовой поддержки ОАО "Банк Москвы”, подписанным в июле 2011 года ОАО "Банк Москвы", АСВ и компаниями Группы. Приобретение ОАО "Банк Москвы' является частью реализации стратегии Группы по увеличению доли рынка розничного и корпоративного бизнеса, а также повышения прибыльности за счет экономии в результате увеличения масштабов деятельности.</t>
  </si>
  <si>
    <t>В декабре 2011 года ЗАО *ВТБ Долговой центр" приобрел 20 967 789 акций ОАО “Банк Москвы" у неконтролирующих акционеров, являвшимися связанными сторонами с Группой, на общую сумму 17,3 миллиарда рублей. Кроме того, в декабре 2011 года ОАО "Банк Москвы" разместил 100 миллионов акций дополнительной эмиссии при цене 1111 рублей за акцию. Данная операция была проведена в рамках Плана финансовой поддержки ОАО 'Банк Москвы". Группа приобрела долю общей стоимостью около 102 миллиардов рублей. В результате этих операций доля Группы в ОАО "Банк Москвы" увеличилась до 94,85%.</t>
  </si>
  <si>
    <t>В апреле 2012 года Группа приобрела за 1,0 миллиард рублей 100% акций ЗАО "СтройПромОбьект", которому принадлежит 50% акций ЗАО "Галс-Технопарк", бывшей ассоциированной компании Группы. В результате приобретения доля участия Группы в ЗАО "Галс-Технопарк" составила 100%.</t>
  </si>
  <si>
    <t>ОАО "Мосводоканалбанк"</t>
  </si>
  <si>
    <t>В июле 2012 года Группа продала долю участия в размере 92,74% в уставном капитале ОАО "Мосводоканалбанк" за 0.3 миллиарда рублей.</t>
  </si>
  <si>
    <t>В июне 2012 года Группа увеличила свою долю участия в ОАО "Мосводоканалбанк" до 92.74% путем покупки дополнительной доли участия в размере 26,87% за 0,1 миллиарда рублей.</t>
  </si>
  <si>
    <t>ЗАО "Западный мост"</t>
  </si>
  <si>
    <t>В феврале 2011 года Группа заключила договор о продаже акций ОАО КБ "Еврофинанс Моснарбанк" за 2,3 миллиарда рублей, в результате чего доля участия Группы в ассоциированной компании ОАО КБ "Еврофинанс Моснарбанк" снизилась до 25% плюс 0,5 акции, и Группа отразила прибыль до налогообложения в размере 0,9 миллиарда рублей в результате частичной реализации ассоциированной компании.</t>
  </si>
  <si>
    <t>В январе 2011 года "Вьетнамско-российский совместный банк" увеличил сбой уставный капитал до 168,5 миллиона долларов США, а ВТБ увеличил свою долю во "Вьетнамско-российском совместном банке" с 49,00% до 50,00% посредством взноса в капитал в размере 53,6 миллиона долларов США (1,6 миллиарда рублей).</t>
  </si>
  <si>
    <t>"Вьетнамско-российский совместный банк"</t>
  </si>
  <si>
    <t>ОАО КБ "Еврофинанс Моснарбанк"</t>
  </si>
  <si>
    <t>В 2011 году земельные участки, а также объекты коммерческой и жилой недвижимости общей стоимостью 3,9 миллиарда рублей были непосредственно переданы в собственность Группы в обмен на урегулирование задолженности заёмщиков по кредитам, выданных Группой.</t>
  </si>
  <si>
    <t>В 2011 году недвижимость стоимостью 0,6 миллиарда рублей была получена путем обращения взыскания на имущество, переданное в залог по договорам ипотечного кредитования.</t>
  </si>
  <si>
    <t>В 2010 году земельные участки, а также объекты коммерческой и жилой недвижимости общей стоимостью 12,3 миллиарда рублей были непосредственно переданы в собственность Группы в обмен на урегулирование задолженности заёмщиков по кредитам, выданных Группой.</t>
  </si>
  <si>
    <t>В 2010 году недвижимость стоимостью 0,8 миллиарда рублей была получена путем обращения взыскания на имущество, переданное в залог по договорам ипотечного кредитования.</t>
  </si>
  <si>
    <t>В январе 2011 года ЗАО "Управляющая компания "Динамо" продала ЗАО "Петровский Парк Арена" свой пакет акций ЗАО "Футбольный клуб "Динамо" в размере 50,92%. В июле Группа пересмотрела инвестиционные договоры между соинвесторами (включая ЗАО "Футбольный клуб "Динамо") и застройщиком ЗАО "Управляющая компания "Динамо" и внесла существенные доработки в концепцию проекта. В результате данных сделок и других перераспределений между дочерними компаниями ЗАО "ВТБ Арена" неконтрольная доля участия сократилась на 1,1 миллиард рублей.</t>
  </si>
  <si>
    <t>ЗАО "Управляющая компания "Динамо"</t>
  </si>
  <si>
    <t>ЗАО "Футбольный клуб "Динамо"</t>
  </si>
  <si>
    <t>ЗАО "Петровский Парк Арена"</t>
  </si>
  <si>
    <t>ЗАО "ВТБ Долговой центр"</t>
  </si>
  <si>
    <t>ЗАО "Банк ВТБ (Казахстан)"</t>
  </si>
  <si>
    <t>"ВТБ Банк (Франция)"</t>
  </si>
  <si>
    <t>В мае 2011 года Группа приобрела 80% акций ЗАО "ВТБ Регистратор" (ранее ЗАО "Центральный объединенный регистратор") за 4,5 миллиона долларов США (0,1 миллиарда рублей), увеличив свою долю в ЗАО "ВТБ Регистратор" до 100%.</t>
  </si>
  <si>
    <t>ЗАО "ВТБ Регистратор"</t>
  </si>
  <si>
    <t>Деятельность регистраторов</t>
  </si>
  <si>
    <t>На 31 декабря 2010 года ВТБ приобрел 43,18% акций ОАО "ТрансКредитБанк". Группа получила контроль над ОАО "ТрансКредитБанк" на основании существования потенциальных прав голоса на ту же дату. Группа пришла к выводу, что потенциальные права голоса на данный момент не обеспечивают ей доступ к экономическим выгодам, и по этой причине консолидировала ОАО "ТрансКредитБанк" со своей текущей долей участия в размере 43,18% (неконтропьная доля участия составила 56,82%).</t>
  </si>
  <si>
    <t>ЗАО "ТКБ Капитал"</t>
  </si>
  <si>
    <t>В июне 2011 года Группа продала третьей стороне 51% акций ЗАО "ТКБ Капитал" (дочерней компании ОАО "ТрансКредитБанк") за 0,4 миллиарда рублей. По состоянию на дату выбытия чистые активы ЗАО "ТКБ Капитал" составляли 0,9 миллиарда рублей. Сумма выбывших денежных средств составила 1,5 миллиарда рублей.</t>
  </si>
  <si>
    <t>В июне 2011 года Группа приобрела долю участия в "Ситер Инвест" Б.В. в размере 50,5% за 45,6 миллиона долларов США (1,3 миллиарда рублей). По состоянию на дату приобретения справедливая стоимость чистых активов составляла 2,4 миллиарда рублей. Неконтрольная доля участия в чистых активах приобретенной компании составляла 1,2 миллиарда рублей. В результате приобретения Группа признала гудвил в размере 0,1 миллиарда рублей.</t>
  </si>
  <si>
    <t>"Ситер Инвест" Б.В.</t>
  </si>
  <si>
    <t>ЗПИФ недвижимости "Аруджи - фонд недвижимости 1"</t>
  </si>
  <si>
    <t>В октябре 2011 года Группа приобрела долю участия в размере 100% в Закрытом паевом инвестиционном фонде недвижимости "Аруджи - фонд недвижимости 1" за вознаграждение в размере 2,1 миллиарда рублей что равнялось справедливой стоимости идентифицируемых чистых активов на дату приобретения.</t>
  </si>
  <si>
    <t>ОАО "Объединенная компания" (ОАО "Корнет", ОАО "Московский Межреспубликанский Винодельческий Завод", ОАО "ТД "Межреспубликанский винзавод")</t>
  </si>
  <si>
    <t>В 2010 году Группа приобрела акции дополнительного выпуска компании "Финнист Риал Эстейт С.А.Р.Л" по номинальной стоимости 0,6 миллиарда рублей.</t>
  </si>
  <si>
    <t>"Финнист Риал Эстейт С.А.Р.Л"</t>
  </si>
  <si>
    <t>Оъекты коммерческой и жилой недвижимости</t>
  </si>
  <si>
    <t>В 2010 году объекты коммерческой и жилой недвижимости стоимостью 1,2 миллиарда рублей были непосредственно переданы в собственность Группы в обмен на урегулирование непогашенных кредитов, выданных Группой.</t>
  </si>
  <si>
    <t>В 2010 году земельные участки стоимостью 11,1 миллиарда рублей были непосредственно переданы в собственность Группы в обмен на урегулирование непогашенных кредитов, выданных Группой.</t>
  </si>
  <si>
    <t>В 2010 году объекты недвижимости стоимостью 0,8 миллиарда рублей была получена путем обращения взыскания на имущество, переданное в залог по договорам ипотечного кредитования.</t>
  </si>
  <si>
    <t>В феврале 2010 года "Банк ВТБ (Азербайджан)" дополнительно выпустил 16 000 000 обыкновенных акций номинальной стоимостью 1,0 азербайджанский манат каждая (37,5 рубля) на сумму 16 миллионов азербайджанских манатов (0,6 миллиарда рублей). Группа приобрела 8 160 000 обыкновенных акций за 8 миллионов азербайджанских манатов (0,3 миллиарда рублей), сохранив свою долю участия без изменения.</t>
  </si>
  <si>
    <t>"Банк ВТБ (Азербайджан)"</t>
  </si>
  <si>
    <t>В апреле 2010 года ВТБ увеличил свою долю участия в ЗАО "Банк ВТБ (Беларусь)" с 69,70% до 71,42% путем покупки 4 826 обыкновенных акций у миноритарных акционеров за 48,6 миллионов рублей.</t>
  </si>
  <si>
    <t>ЗАО "Эквивалент" (материнская компания ЗАО "М")</t>
  </si>
  <si>
    <t>В апреле 2010 года Группа увеличила свою долю участия в капитале ЗАО "М" до 100% путем приобретения оставшейся 50%-ной доли участия в капитале ЗАО "Эквивалент", материнской компании ЗАО "М", за 80 миллионов долларов США (2,3 миллиарда рублей) через дочернюю компанию ОАО "Система-Галс”. В 2008 году вложения Группы в 50%-ную долю участия в капитале ЗАО "Эквивалент" составили 87,5 миллиона долларов США. На дату приобретения справедливая стоимость данного финансового актива составила 2,3 миллиарда рублей.</t>
  </si>
  <si>
    <t>ОАО "ПЛ Камелия"</t>
  </si>
  <si>
    <t>АО "Банк ВТБ (Грузия)"</t>
  </si>
  <si>
    <t>75%-1акция</t>
  </si>
  <si>
    <t>ЗАО "ВТБ Арена", ЗАО "Управляющая компания "Динамо"</t>
  </si>
  <si>
    <t>В декабре 2010 года ЗАО "ВТБ-Арена" приобрело всю эмиссию дополнительных акций ЗАО "Футбольный клуб ’Динамо" (11 227 930 акций) за 6,6 миллиарда рублей. В результате доля ЗАО "ВТБ-Арена" в ЗАО "Футбольный клуб "Динамо’ увеличилась до 76,09%. В результате данного изменения доли участия было признано перераспределение нераспределенной прибыли, приходящейся на неконтрольные доли участия, в размере 1,5 миллиарда рублей, которое было отражено в составе собственных средств.</t>
  </si>
  <si>
    <t>ЗАО "ВТБ-Арена"</t>
  </si>
  <si>
    <t>New Age M12 Holdings
Limited</t>
  </si>
  <si>
    <t>Конго</t>
  </si>
  <si>
    <t>Во втором квартале 2019 г. компания Группы заключила соглашение с компанией New Age M12 Holdings
Limited о приобретении 25% доли участия в проекте Marine XII в Республике Конго (Конго-Браззавиль),
разрабатываемого на условиях соглашения о разделе продукции. Сделка в сумме 51,4 млрд руб. (768 млн
долл. США) была закрыта в сентябре 2019 г. после выполнения всех отлагательных условий, в том числе
получения одобрения государственных органов Республики Конго.</t>
  </si>
  <si>
    <t>Проект Marine XII</t>
  </si>
  <si>
    <t>Мексика</t>
  </si>
  <si>
    <t>Проект Блок 4</t>
  </si>
  <si>
    <t>Концессия Гаша (Ghasha)</t>
  </si>
  <si>
    <t>ОАЭ</t>
  </si>
  <si>
    <t>Национальной нефтяной компании Абу-Даби</t>
  </si>
  <si>
    <t>В июле 2019 г. Группа реализовала дочернюю компанию OOO «Страховое общество «Сургутнефтегаз». Выбытие данной компании не оказало существенного влияния на показатели консолидированной финансовой отчетности.</t>
  </si>
  <si>
    <t>В июне 2018 г. Группа реализовала дочернюю компанию ОАО «Совхоз «Червишевский». Выбытие данной компании не оказало существенного влияния на показатели консолидированной финансовой отчетности.</t>
  </si>
  <si>
    <t>18 июня 2019 года ПАО АНК «Башнефть» приобрело 51% ООО «РН-кат» за совокупное денежное вознаграждение 1,500 млн рублей. ООО «РН-кат» владеет патентами на производство катализаторов современного уровня для НПЗ и планирует обеспечивать потребности в катализаторах НПЗ в России, включая НПЗ группы ПАО «НК «Роснефть».</t>
  </si>
  <si>
    <t>Neste Oyj</t>
  </si>
  <si>
    <t>В июне 2021 года Группа и «TOTAL E&amp;P Transshipment SAS» (дочернее общество «TotalEnergies SE») заключили договор, согласно которому «TOTAL E&amp;P Transshipment SAS» приобрела 10%-ную долю участия в ООО «Арктическая Перевалка», являющемся оператором двух строящихся терминалов по перевалке СПГ на Камчатке и в Мурманской области. Сделка была закрыта в июле 2021 года. Возмещение по сделке включает денежный платеж в размере 368 млн рублей (эквивалент 5 млн долл. США)полученный в июле 2021 года, а также потенциальные платежи в размере до суммы, эквивалентной 20 млн долл. США, зависящие от наступления определенных событий в будущем. Группа сохранила 90%-ную долю участия в ООО «Арктическая Перевалка» после завершения сделки; при этом условия сделки предусматривают, что ключевые стратегические, операционные и финансовые решения подлежат единогласному утверждению участниками компании. В результате этих изменений, в момент закрытия сделки контроль Группы над «Арктической Перевалкой» сменился совместным контролем.</t>
  </si>
  <si>
    <t>Газопереработка (производство СПГ)</t>
  </si>
  <si>
    <t>В марте 2019 года Группа продала 10%-ную долю участия в ООО «Арктик СПГ 2» компании «TOTAL E&amp;P Salmanov», являющейся 100%-ным дочерним обществом компании «TOTAL S.A.». «Арктик СПГ 2» реализует проект по строительству на полуострове Гыдан нового завода по производству сжиженного природного газа на ресурсной базе Салмановского (Утреннего) месторождения. В рамках сделки по продаже 10%-ной доли участия в «Арктик СПГ 2», «TOTAL E&amp;P Salmanov» обязуется осуществить следующие платежи:
1) денежные платежи в пользу Группы в размере эквивалента 1'300 млн долл. США, из которых эквивалент 600 млн долл. США был выплачен при закрытии сделки, а оставшаяся сумма была получена в течение 12 месяцев с этой даты, в первом квартале 2020 года;
2) условное возмещение в пользу Группы, состоящее из денежных траншей в общей сумме до эквивалента 800 млн долл. США, зависящих от среднего уровня котировок цен на нефть за год, предшествующий каждому платежу. Даты платежей привязаны к срокам запуска очередей завода СПГ Проекта;
3) платежи в виде вкладов в имущество «Арктик СПГ 2», составляющие эквивалент от 363 млн до 863 млн долл. США (данные суммы приведены, в том числе, с учетом уточнений по результатам вхождения в Проект дополнительных трех новых участников в июле 2019 года, см. ниже), размер и сроки платежей по которым определяются в зависимости от объема программы капитальных вложений Проекта, предусмотренного в Окончательном инвестиционном решении, и даты запуска производства на первой линии завода СПГ Проекта.
Группа сохранила 90%-ную долю участия в ООО «Арктик СПГ 2» после завершения сделки; при этом условия сделки предусматривают, что ключевые стратегические, операционные и финансовые решения подлежат единогласному одобрению участниками компании. В результате этих изменений в момент закрытия сделки контроль Группы над ООО «Арктик СПГ 2» сменился совместным контролем.</t>
  </si>
  <si>
    <t>В июне 2019 года Группа подписала договоры с компаниями «CNPC», «CNOOC Limited», «Mitsui &amp; Co., Ltd.» и «JOGMEC» о вхождении в проект «Арктик СПГ 2». В соответствии с данными договорами, компании «CNODC Dawn Light Limited» и «CEPR Limited», являющиеся дочерними обществами «CNPC» и «CNOOC Limited» соответственно, и «Japan Arctic LNG B.V.», являющееся совместным предприятием «Mitsui &amp; Co., Ltd.» и «JOGMEC», приобрели 10%-ные доли участия в ООО «Арктик СПГ 2» каждая на условиях, аналогичных вышеприведенным условиям вхождения «TOTAL S.A.» в Проект. Данные сделки были закрыты в июле 2019 года.</t>
  </si>
  <si>
    <t>В четвертом квартале 2020 года Группа продала 100%-ную долю участия в ООО «Черничное» своему совместному предприятию ЗАО «Тернефтегаз» за 730 млн рублей. «Черничное» является держателем лицензии на геологическое изучение, разведку и добычу углеводородов в пределах Черничного лицензионного участка недр, расположенного в ЯНАО.</t>
  </si>
  <si>
    <t>В феврале 2018 года по результатам аукциона, проведенного АК «АЛРОСА» (ПАО), Группа приобрела за денежное вознаграждение в размере 30,3 млрд рублей 100%-ные доли владения в «Maretiom Investments Limited» и «Velarion Investments Limited». Данным компаниям принадлежали 100%-ные доли владения в АО «Геотрансгаз» (в ноябре 2018 года переименовано в АО «НОВАТЭК-Пур») и ООО «Уренгойская газовая компания» (в январе 2019 года присоединено к ООО «НОВАТЭК-Юрхаровнефтегаз»), владевших лицензиями на геологическое изучение, разведку и добычу углеводородов в пределах Берегового и УстьЯмсовейского лицензионных участков, расположенных в ЯНАО, соответственно.</t>
  </si>
  <si>
    <t>В июле 2017 года «НОВАТЭК» приобрел 51%-ную долю участия в ООО «Криогаз-Высоцк» за денежное вознаграждение в размере 1'583 млн рублей. «Криогаз-Высоцк» осуществляет проект по строительству первой очереди среднетоннажного завода по производству сжиженного природного газа мощностью 660 тыс. тонн в год, расположенного в порту Высоцк на берегу Балтийского моря.</t>
  </si>
  <si>
    <t>Реализация нефти и нефтепродуктов</t>
  </si>
  <si>
    <t>В течение 2018 года Группа реализовала 100% долю участия в ИП «Славнефтехим» ЗАО несвязанной стороне, сумма сделки составила 113 млн руб. (2 млн долл. США по курсу на дату сделки). По условиям договора оплата будет проведена в 2019 году.</t>
  </si>
  <si>
    <t>Росимущество</t>
  </si>
  <si>
    <t>Добыча и реализация нефти</t>
  </si>
  <si>
    <t>Добыча и реализация нефти и газа</t>
  </si>
  <si>
    <t>В августе 2016 года Материнской компанией были приобретены 6 880 привилегированных акций ОАО «Варьеганнефть», что составило 0,026% от уставного капитала. Изменение в неконтролирующей доле участия отражено в консолидированном отчете об изменениях в капитале и составляет 4 млн. руб.</t>
  </si>
  <si>
    <t>В рамках сделок конвертации задолженности по векселям перед группой Glencore в акции Материнской компании Компания приобрела у связанных сторон группы Glencore неконтролирующие доли участия в добывающих дочерних компаниях. Общая сумма сделок составляет 85 млн. долл. США или 5 552 млн. руб. по курсу на дату сделки.</t>
  </si>
  <si>
    <t>Global Energy Cyprus Limited
(GCM)</t>
  </si>
  <si>
    <t>Добыча и реализация нефти СРП</t>
  </si>
  <si>
    <t>В феврале 2014 года Группа приобрела 100% долю в компании Global Energy Cyprus Limited (GCM), которая владеет 100% долей в компании GEA Holdings Limited (GEA). Компания GEA через свои дочерние компании и совместные предприятия участвует в проектах,осуществляющих разработку и добычу нефти в Республике Азербайджан по схеме соглашений о разделе продукции (СРП), заключенных с Государственной Нефтяной Компанией Азербайджанской Республики (ГНКАР) и Нефтяной Аффилированной Компанией ГНКАР (НАК). Общая справедливая стоимость приобретения составила 870 млн. долл. США или 30 665 млн. руб. по курсу на дату сделки, включая оплату денежными средствами в сумме 9 млн. долл. США или 298 млн. руб. по курсу на дату оплаты и приобретение финансовых активов (займов) 779 млн. долл. США или 27 469 млн. руб. (по курсу на дату сделки), которые были оплачены векселями со сроком погашения в декабре 2020 года. Кроме того, в сумму вознаграждения включено приобретение непосредственно 100% доли участия в GCM, которое было профинансировано выпущенными векселями с аналогичным сроком погашения.</t>
  </si>
  <si>
    <t>Общая стоимость приобретения 100% номинальных долей участия в ЗАО «ХантыМансийская нефтяная компания» и ЗАО «Назымская нефтегазоразведочная экспедиция» составила 28 млн. долл. США или 1 315 млн. руб. по курсу на дату сделки, все расчеты осуществлены денежными средствами и были завершены до окончания отчетного периода.</t>
  </si>
  <si>
    <t>В 2014 году дочерние компании ОАО «Варьеганнефть» и ОАО МПК «Аганнефтегазгеология» осуществили выкуп собственных акций у неконтролирующих акционеров за 3 млн. долл. США. В результате сделок доли выкупленных собственных акций оставили на балансе ОАО «Варьеганнефть» 1,76% от уставного капитала, ОАО МПК «Аганнефтегазгеология» 1,06%, что привело к изменениям в долях участия по голосующим акциям ОАО «Варьеганнефть» − 52%, ОАО МПК «Аганнефтегазгеология» − 98%. Разница между стоимостью приобретения и балансовой стоимостью неконтролирующей доли несущественна.</t>
  </si>
  <si>
    <t>В декабре 2013 года Группа приобрела через свою дочернюю компанию 100% долю участия в ООО «РедОйл». Общая стоимость приобретения ООО «РедОйл» составила 100 млн. долл. США, включая выкуп финансовой задолженности в сумме 19 млн. долл. США. Расчеты за приобретенные доли осуществлены денежными средствами в сумме 76 млн. долл. США, остаток задолженности на 31 декабря 2013 г. в сумме 24 млн. долл. США по условиям договора купли-продажи долей планируется погашать в течение двух лет равными ежеквартальными платежами. В отчетном периоде было погашено по графику платежей 9 млн. долл. США, остаток задолженности на 31 декабря 2014 г. составляет 15 млн. долл. США.</t>
  </si>
  <si>
    <t>В октябре 2013 года Группа достигла договоренностей о продаже 100% доли в дочерней компании Navitas Global Resources Limited. Сумма сделки несущественная, была оплачена денежными средствами в 2013 году.</t>
  </si>
  <si>
    <t>Navitas Global Resources Limited</t>
  </si>
  <si>
    <t>В декабре 2013 года дочерние компании ОАО «Варьеганнефть» и ОАО МПК «Аганнефтегазгеология» осуществили выкуп собственных акций у неконтролирующих акционеров за 12 млн. долл. США. В результате сделки доли выкупленных собственных акций составили на балансе ОАО «Варьеганнефть» 1,32% в уставном капитале, ОАО МПК «Аганнефтегазгеология» 0,95% соответственно.</t>
  </si>
  <si>
    <t>Прочая</t>
  </si>
  <si>
    <t>Общая стоимость приобретения ООО «Средне-Васюганское» и ООО «Муромское» составила 7 млн. долл. США (по курсу на дату приобретения), включая приобретение финансовой задолженности на сумму 4 млн. долл. США, все расчеты осуществленых денежными средствами.</t>
  </si>
  <si>
    <t>Перевалка зерновых и масличных культур</t>
  </si>
  <si>
    <t>Перевалка грузов</t>
  </si>
  <si>
    <t>В декабре 2017 года Группа приобрела доли 25% в уставных капиталах АО «Усть-Луга Ойл» и Sandmark Operations Limited на общую сумму 38 160 млн рублей. АО «Усть-Луга Ойл» и Sandmark Operations Limited представляют собой единый бизнес по перевалке нефтепродуктов в порту Усть-Луга, где АО «Усть-Луга Ойл» является владельцем производственного комплекса и мощностей по перевалке нефтепродуктов и осуществляет операционную деятельность, а Sandmark Operations Limited выступает в качестве контрагента по контрактам с клиентами и осуществляет их сопровождение, получая агентскую комиссию.</t>
  </si>
  <si>
    <t>Перевалка нефтепродуктов</t>
  </si>
  <si>
    <t>В марте 2017 года Группа приобрела 57,41% паев в закрытом комбинированном паевом инвестиционном фонде «Газпромбанк - Финансовый» на общую сумму 60 млрд рублей.</t>
  </si>
  <si>
    <t>В третьем квартале 2021 года Компания закрыла сделки по продаже инвестиции в 50% акций АО «Томскнефть», которая ранее учитывалась как участие в совместных операциях, и 100% долей в капитале дочерних обществ, основной деятельностью которых было участие в совместных операциях по добыче и транспортировке газа во Вьетнаме.</t>
  </si>
  <si>
    <t>В мае 2021 года Группа приобрела 25,0% акций АО «Просвещение». Сумма сделки была определена исходя из стоимости 100,0% акций компании, составившей 108,0 миллиарда рублей. АО «Просвещение» — это крупнейший в России бренд на рынке учебной литературы.</t>
  </si>
  <si>
    <t>В августе 2021 года Группа приобрела 48% акций АО «Современные платежные решения» (в рамках выпуска дополнительных акций), увеличив свою долю до 49%. В соответствии с условиями корпоративного договора Группа осуществляет совместный контроль в отношении данной инвестиции вместе с другими акционерами. Группа учла данную инвестицию как совместное предприятие по методу долевого участия. В сентябре 2021 года АО «Современные платежные решения» завершило сделку по приобретению 99,99% доли в ООО Небанковская кредитная организация «Мобильная карта».</t>
  </si>
  <si>
    <t>В сентябре 2021 года Группа приобрела 32,89% акций в АО «Первый канал».</t>
  </si>
  <si>
    <t>В мае 2021 года Группа приобрела 100% обыкновенных акций АО «Инфотекс Интернет Траст» за 2,3 миллиарда рублей. АО «Инфотекс Интернет Траст» является компанией по разработке программного обеспечения в электронном документообороте и сертификатах электронной подписи. Группа находится в процессе выделения и оценки различных компонентов идентифицируемых активов и обязательств на дату приобретения.</t>
  </si>
  <si>
    <t>ИТ: Разработка ПО</t>
  </si>
  <si>
    <t>В течение девяти месяцев, закончившихся 30 сентября 2021 года, Группа увеличила свою долю участия в ЗАО «Управляющая компания Динамо» с 92,3% до 100,0% путем приобретения неконтрольных долей участия за сумму 0,3 миллиарда рублей.</t>
  </si>
  <si>
    <t>В июне 2021 года Группа заключила соглашение о приобретении у ПАО «Газпром нефть» 49%-ной доли участия в ООО «Газпромнефть-Сахалин» за денежное вознаграждение в размере 1 655 млн рублей. Сделка была завершена в июле 2021 года. ООО «Газпромнефть-Сахалин» владеет лицензией на разведку и разработку Северо-Врангелевского лицензионного участка, расположенного в восточной части Восточно-Сибирского и западной части Чукотского морей.</t>
  </si>
  <si>
    <t>ООО "Уралкалий-Инвест"</t>
  </si>
  <si>
    <t>В феврале-марте 2021 года ООО "Уралкалий-Инвест" приобрело у связанной стороны 240 565 083 обыкновенных акций ПАО "УРАЛКАЛИЙ", составляющих 18,53% от уставного капитала Компании, за совокупное денежное вознаграждение в сумме 97 376 млн. руб. (1 290 451 тыс. долл. США).</t>
  </si>
  <si>
    <t>В 2019 году Компания приобрела 7 594 929 обыкновенных акций в результате реализации акционерами права выкупа в соответствии с Федеральным законом "Об акционерных обществах". Общая стоиомсть приобретения составила 671 млн. руб.</t>
  </si>
  <si>
    <t>В 2018 году Компания приобрела 51 908 433 обыкновенных акций в результате реализации акционерами права выкупа в соответствии с Федеральным законом "Об акционерных обществах". Общая стоиомсть приобретения составила 7 057 млн. руб.</t>
  </si>
  <si>
    <t>В 2017 году Компания приобрела 11 109 568 обыкновенных акций в результате реализации акционерами права выкупа в соответствии с Федеральным законом "Об акционерных обществах". Общая стоиомсть приобретения составила 1 516  млн. руб.</t>
  </si>
  <si>
    <t>23 ноября 2015 года Совет директоров Компании одобрил программу приобретения обыкновенных акций Компании (включая обыкновенные акции, права на которые удостоверены ГДР) на открытом рынке. Программа началась 24 ноября 2015 года и завершилась 31 марта 2016 года. Сначала программы было выкуплено 101 117 702 акций и 8 506136 ГДР, что составляет 4.9% акционерного капитала Компании (включая 28 428 735 акций и 8 430 936 ГДР, которые были приобретены в ноябре и декабре 2015 года).
18 мая 2016 года Совет директоров Компании одобрил еще одну программу выкупа обыкновенных акций Компании на открытом рынке. Программа также включала приобретение ГДР Компании в рамках частных сделок. Программа выкупа действовала с 19 мая по 19 сентября 2016 года, по результатам которой Группа приобрела 92 272 796 акций и 1 215 191 ГДР. что составляет 3,4% от акционерного капитала Компании.
Общая сумма средств, потраченных Компанией за 2016 год на приобретение акций и ГДР Компании, составила 33 635 млн руб.</t>
  </si>
  <si>
    <t>23 апреля 2015 года Группа утвердила программу приобретения обыкновенных акций Компании (включая обыкновенные акции, права на которые удостоверены ГДР) в объеме не более 468 750 000 штук по цене 3,2 доллара США за одну обыкновенную акцию (16,0 долларов США за одну ГДР). Результаты тендерного предложения были объявлены 25 мая 2015 года.
24 августа 2015 года Группа одобрила еще одно тендерное предложение по приобретению не более 411 042 224 обыкновенных акций Компании (включая обыкновенные акции, права на которые удостоверены ГДР) по цене 3,2 доллара США за одну обыкновенную акцию (16,0 долларов США за одну ГДР). 25 сентября 2015 года Группа приняла решение увеличить максимальное число ценных бумаг к приобретению до 704 643 813 обыкновенных акций. Результаты второго тендерного предложения были объявлены 28 сентября 2015 года.
В результате двух тендерных предложений в мае-июне и сентябре-октябре 2015 года было приобретено 984 649 841 акций (включая обыкновенные акции, права на которые удостоверены ГДР), что составляет приблизительно 33,54% размещенных акций Компании.
23 ноября 2015 года Совет директоров Компании одобрил программу выкупа акций и ГДР на открытом рынке. Программа началась 24 ноября 2015 года и завершилась 31 марта 2016 года. На 31 декабря 2015 года было выкуплено 28 428 735 акций и 8 430 936 ГДР, что составляет 2,40% акционерного капитала Компании.
В течение 2015 года общая сумма средств, потраченных Компанией на приобретение акций и ГДР Компании, составляет 204 887 млн. рублей, включая затраты по оформлению сделок.</t>
  </si>
  <si>
    <t>В 2014 году Компания приобрела 2 957 805 собственных обыкновенных акций. Общая стоиомсть приобретения составила 1 млн. руб.</t>
  </si>
  <si>
    <t>В 2013 году Компания приобрела 363 494 972 собственных обыкновенных акций. Общая стоиомсть приобретения составила 182 млн. руб.</t>
  </si>
  <si>
    <t>ЕвроХим</t>
  </si>
  <si>
    <t>В августе 2021 года ЕвроХим подписал соглашение о приобретении у компании Yara International ASA фосфатного проекта Serra do Salitre на сумму 410 млн долларов США. Проект включает в себя карьер и предприятие по добыче и переработке руды мощностью 350 млн тонн, которое после ввода в эксплуатацию в 2023 году позволит увеличить мощности Группы по производству фосфатов на 1 млн тонн за счет линий по производству моноаммонийфосфата/сульфоаммофоса (MAP/NP) и простого/тройного суперфосфата (SSP/TSP). Рудник и комбинат расположены в сельскохозяйственном центре Бразилии, в юго-восточном штате Минас-Жерайс. Завершение сделки планируется в первом квартале 2022 года.</t>
  </si>
  <si>
    <t>Serra do Salitre</t>
  </si>
  <si>
    <t>Yara International ASA</t>
  </si>
  <si>
    <t>В декабре 2021 года ЕвроХим объявил о подписании соглашения о покупке контрольного пакета в размере 51,48% акций бразильского дистрибутора удобрений Fertilizantes Heringer за 96,5 млн долларов США. Fertilizantes Heringer считается важным участником бразильского агропромышленного комплекса, являясь четвертой крупнейшей дистрибуционной компанией по мощности, составляющей более 4 млн тонн в год. Эта сделка даст возможность ЕвроХиму получить дополнительные каналы поставок сырья и продукции, закупаемых на внутренних рынках.</t>
  </si>
  <si>
    <t>Fertilizantes Heringer</t>
  </si>
  <si>
    <t>Реализация удобрений</t>
  </si>
  <si>
    <t>В феврале 2022 года ЕвроХим объявил о начале эксклюзивных переговоров о покупке азотного бизнеса у группы Borealis после подачи обязывающего предложения стоимостью 455 млн евро. Borealis Nitro владеет пятью производственными предприятиями в Австрии, Франции и Германии. Имея более 50 дистрибуторских центров по всей Европе и ежегодно поставляя около четырех миллионов тонн продукции (в том числе порядка 0,8 млн тонн жидкого технического азота и около 0,15 млн тонн меламина) в Западную, Центральную и Юго-Восточную Европу, компания Borealis Nitro является перспективным дополняющим активом для глобальных операций ЕвроХима.</t>
  </si>
  <si>
    <t>Borealis Nitro</t>
  </si>
  <si>
    <t>Borealis</t>
  </si>
  <si>
    <t>В декабре 2020 г. Группа продала два портовых терминала в г. Мурманск и Туапсе компаниям, являющимся связанными сторонами, за общую сумму вознаграждения 283 млн долл. США, выраженного в российских рублях (21 309 млн руб.), которое будет получено в течение шести месяцев.</t>
  </si>
  <si>
    <t>2 портовых терминала в г. Мурманск и Туапсе</t>
  </si>
  <si>
    <t>В мае 2018 г. Совет Директоров Группы принял решение продать две компании на Украине, входящих в состав Дивизиона Продажи. К концу мая 2018 г. Группа продала 100% акций обеих компаний несвязанным сторонам за 53 064 тыс. долл. США. Вознаграждение было получено в форме векселей, номинированных в украинских гривнах, подлежащих уплате через 5 лет, дисконтированная стоимость которых составила 29 397 тыс. долл. США. В третьем квартале 2018 г. часть векселей с балансовой стоимостью 18 043 тыс. долл. США была продана связанной стороне за вознаграждение 28 638 тыс. долл. США в украинских гривнах.</t>
  </si>
  <si>
    <t>EuroChem USA, LLC</t>
  </si>
  <si>
    <t>В первом квартале 2018 г., Группа приобрела у материнской компании «AIM Capital S.E.» компанию, владеющую земельным участком для строительства завода азотных удобрений. Компания расположена в США.</t>
  </si>
  <si>
    <t>AIM Capital S.E.</t>
  </si>
  <si>
    <t>В октябре 2017 г. Совет Директоров принял решение продать ООО «Севернефть-Уренгой», компанию нефтегазового дивизиона. В ноябре 2017 г. после соблюдения некоторых условий и одобрения антимонопольной службы Российской Федерации, Группа продала 100% акций компании ООО «Севернефть-Уренгой» несвязанной стороне. Сумма вознаграждения (выраженная в рублях) в сумме 225 174 тыс. долл. США была полностью получена денежными средствами.</t>
  </si>
  <si>
    <t>28 февраля 2017 г. Группа завершила приобретение 100% акций компании «Agricola Bulgaria» Ead, дистрибутора минеральных удобрений в Болгарии, переименована в «EuroChem Agro Bulgaria». Основной целью данного приобретения является дальнейшее развитие сбытовой сети Группы в Болгарии и в Восточной Европе. Общая стоимость приобретения составила 320 тыс. долл. США (выраженных в евро) и была уплачена денежными средствами.</t>
  </si>
  <si>
    <t>Дистрибутор минеральных удобрений</t>
  </si>
  <si>
    <t>7 июля 2017 г. Группа завершила приобретение 100% акций компании компании «Emerger Fertilizantes S.A.», частного дистрибутора премиальных и стандартных удобрений в Аргентине. Основной целью данного приобретения является дальнейшее развитие сбытовой сети Группы в Латинской Америке. Общая стоимость приобретения составила 6 732 тыс. долл. США и включала сумму 3 366 тыс. долл. США, уплаченную денежными средствами, а также отсроченный платеж в сумме 3 366 тыс. долл. США, подлежащий уплате через 12 месяцев с даты приобретения компании.</t>
  </si>
  <si>
    <t>Аргентина</t>
  </si>
  <si>
    <t>В июне 2017 г. Группа приобрела долю 50% минус одна акция в капитале «Hispalense de Líquidos S.L.», дистрибуторе удобрений, имеющего собственное производство жидких удобрений и расположенного на юге Испании.</t>
  </si>
  <si>
    <t>В апреле 2017 г., Группа приобрела 10,0% доли в капитале ООО «Биохим Технологии», компании, специализирующейся на исследованиях и разработке биотехнологий в сельском хозяйстве и промышленности и расположенной в г. Москве, Россия.</t>
  </si>
  <si>
    <t>В декабре 2017 г., Группа приобрела 24,89% доли в капитале ООО «Азоттех», компании, специализирующейся на буровзрвывных работах и расположенной в Пермском крае, Россия.</t>
  </si>
  <si>
    <t>50% - 1 акция</t>
  </si>
  <si>
    <t>Дистрибуций и производство минеральных удобрений</t>
  </si>
  <si>
    <t>Испания</t>
  </si>
  <si>
    <t>Буровзрывные работы</t>
  </si>
  <si>
    <t>Перевалка</t>
  </si>
  <si>
    <t>В апреле 2016 г. Группа завершила приобретение 100% доли ЗАО «Агросфера», стивидорной компании расположенной в России. Основной деятельностью компании является перевалка минеральных удобрений на экспорт в Мурманском морском порту.
Основная цель данного приобретения – увеличить собственные мощности Группы по перевалке минеральных удобрений на экспорт из России. Общая стоимость приобретения (выраженная в рублях) составила 11 344 тыс. долл. США, уплаченных денежными средствами.</t>
  </si>
  <si>
    <t>50% + 1 акция</t>
  </si>
  <si>
    <t>В сентябре 2016 г. Группа подписала договор купли-продажи на приобретение контрольного пакета акций компании «Fertilizantes Tocantins Ltda», ведущей компании по дистрибуции минеральных удобрений в Бразилии. Данное приобретение обусловлено стратегией Группы по усилению ее присутствия на быстро растущем рынке минеральных удобрений Латинской Америки. В соответствии с договором, Группа приобрела 50 % капитала компании плюс одна акция и получила пут и колл опцион со сроком погашения в 2022 г. на оставшиеся 50% капитала минус одна акция. С учетом всех определений и условий данного договора, было применено суждение, что все риски и выгоды, связанные с приобретением 100% капитала, перешли к Группе, таким образом, доля неконтролирующих акционеров не была признана и операция была учтена как приобретение 100% капитала компании «Fertilizantes Tocantins Ltda». Общая сумма приобретения за 100% капитала «Fertilizantes Tocantins Ltda» включала 93 195 тыс. долл. США, уплаченные денежными средствами в сентябре 2016 г., 9 886 тыс. долл. США, уплаченные денежными средствами в декабре 2016 года и обязательство, возникшее в результате опциона пут и колл, в размере 101 529 тыс. долл. США и подлежащее к уплате в 2022 г.</t>
  </si>
  <si>
    <t>В январе 2016 г. Группа заключила соглашение о долевом инвестировании с компанией «Agrinos AS» на покупку 18,78% доли в капитале компании. В августе 2016 г. Agrinos AS завершил конвертацию облигаций, в результате которых доля владения Группы в капитале компании изменилась до 14,52%.</t>
  </si>
  <si>
    <t>На 30 сентября 2016 г. инвестиция в ассоциированную компанию ПАО «Мурманский морской торговый порт» с балансовой стоимостью 110 313 тыс. долл. США была реклассифицирована в активы, удерживаемые для продажи, после того, как руководство Группы приняло решение о продаже своей доли в ассоциированной компании. В декабре 2016 г. акции компании были проданы за вознаграждение в размере 142 612 тыс. долл. США (выраженное в руб.), из которых сумма 82 852 тыс. долл. США была получена в декабре 2016 г., остальная сумма в размере 59 760 тыс. долл. США была погашена в январе 2017 г. Группа признала прибыль в сумме 23 641 тыс. долл. США от продажи в консолидированном отчете о прибылях и убытках.</t>
  </si>
  <si>
    <t>В феврале 2014 г. Группа приобрела 20,1% уставного капитала ОАО «Астраханская нефтегазовая компания», расположенного в Астаханской области Российской Федерации, за 37 500 тыс. долл. США., выплаченных денежными средствами.</t>
  </si>
  <si>
    <t>В ноябре 2013 г. Группа заключила соглашение с компанией «H.K. Migao Industry limited» с целью создать совместное предприятие «EuroChem – Migao Ltd», расположенное в Гонконге. «EuroChem – Migao Ltd» было основано в феврале 2014 г. и после получения разрешения соответствующих государственных органов, приобрело 100% капитала компании «Yunnan Migao Fertilizer Co., Ltd», представляющей собой предприятие по производству нитрата калия и сложных удобрений в Китае. В 2014 г. Группа сделала вклад в уставный капитал совместного предприятия в сумме 18 000 тыс. долл. США.</t>
  </si>
  <si>
    <t>Гонконг</t>
  </si>
  <si>
    <t>Производство нитрата калия и сложных удобрений</t>
  </si>
  <si>
    <t>В апреле 2013 г. Группа приобрела 53 943 обыкновенные акции ОАО «Мурманский морской торговый порт», расположенного на северо-западе России, владеющего 100% ЗАО «Агросфера», за 3 113 860 тыс. руб., выплаченных денежными средствами. Из общей суммы, 2 522 755 тыс. руб. были выплачены в декабре 2012 г. и 591 105 тыс. руб. – в апреле 2013 г. В сентябре 2013 г. в рамках обязательного предложения о выкупе акций Группа приобрела 670 обыкновенных акций Ассоциированной компании за 38 675 тыс. руб., выплаченных денежными средствами. Акционерный капитал ОАО «Мурманский морской торговый порт» состоит из 113 160 обыкновенных акций и 37 718 привилегированных акций. Обыкновенные акции, находящиеся в собственности Группы, в количестве 54 613 штук, представляют 48,26% от общего числа обыкновенных акций и 36,20% от общего уставного капитала.</t>
  </si>
  <si>
    <t xml:space="preserve">В 2012 г. Группа завершила приобретение компаний «EuroChem Agro» (ранее «К+S Nitrogen») и «EuroChem Antwerpen NV». </t>
  </si>
  <si>
    <t>В течении второго квартала 2012 г. Группа приобрела 40 455 обыкновенных акций «K+S Group» у связанной стороны за 59 607 тыс. руб., выплаченных денежными средствами.</t>
  </si>
  <si>
    <t>В течение года, закончившегося 31 декабря 2012 г., Группа продала 13 475 191 обыкновенных акций «K+S Group» материнской компании «EuroChem Group S.E.» за 20 415 641 тыс. руб.</t>
  </si>
  <si>
    <t>В течение года, закончившегося 31 декабря 2013 г., Группа продала компании «EuroChem Group S.E»., являющейся материнской компанией Группы, акции «K+S Group» в количестве 2 005 434 штук за 1 404 529 тыс. руб. Из общего количества выбывших акций, 89 436 акций были проданы за вознаграждение в сумме 101 489 тыс. руб., вылаченные в течение десяти рабочих дней, и 1 915 998 акций были проданы за 1 303 040 тыс. руб. с отсрочкой платежа с процентной ставкой в размере трехмесячного ЛИБОР +2%. Данный отсроченный платеж был признан как займ и погашен в декабре 2013 г.</t>
  </si>
  <si>
    <t>В январе 2012 г. Группа приобрела 100% уставного капитала ООО «Севернефть-Уренгой», оплатив стоимость покупки в сумме 6 682 169 тыс. руб. денежными средствами. Платежи были сделаны в декабре 2011 г. и в январе 2012 г. в сумме 62 170 тыс. руб. и 6 619 999 тыс. руб. соответственно.</t>
  </si>
  <si>
    <t>31 марта 2012 г. Группа завершила приобретение компании, которая получила название «EuroChem Antwerpen NV», владеющей активами «BASF» по производству удобрений и логистике, расположенными в городе Антверпен (Бельгия). Данное приобретение было осуществлено в рамках реализации стратегии Группы по сближению с покупателями на ключевых рынках сбыта удобрений. Приобретенные активы включают мощности по производству азотной кислоты, сложных (НПК) и азотных удобрений (кальциево-аммиачная и аммиачная селитры), а также связанных с ними объектов логистики. Общая стоимость приобретения 100% уставного капитала составила 893 140 тыс. евро, включая отсроченный платеж в размере 142 240 тыс. евро, подлежащий выплате в период с 2013 г. до 2016 г. Справедливая стоимость отсроченного платежа составила 129 600 тыс. евро. Таким образом, общая справедливая стоимость приобретения составила 880 500 тыс. евро.</t>
  </si>
  <si>
    <t>Производство удобрений и логистика</t>
  </si>
  <si>
    <t>2 июля 2012 г. Группа завершила сделку по приобретению группы компаний «K+S Nitrogen» после получения 25 июня 2012 г. разрешения от соответствующих антимонопольных органов. После приобретения компании были переименованы в «EuroChem Agro», продолжая осуществлять дистрибьюторскую деятельность и специализирующиеся в сегменте азотных удобрений в Германии, Франции, Испании, Италии, Греции, Турции, Мексике, Сингапуре и Китае. Данное приобретение продолжает стратегию Группы прямого выхода на конечных покупателей на ключевых рынках сбыта минеральных удобрений, вместе с дальнейшим расширением ассортимента предлагаемой продукции.
Общая стоимость приобретения 100% акций компаний составила 195 655 тыс. евро, выплаченная денежными средствами. Кроме того, Группа сделала предоплату в сумме 50 тыс. евро за дочернее предприятие, расположенное в Китае, которое на данный момент находится в процессе регистрации.</t>
  </si>
  <si>
    <t>В течение года, закончившегося 31 декабря 2010 г., Группа продала 2 710 000 обыкновенных акций «K+S Group» на открытом рынке за 5 382 667 тыс. руб.</t>
  </si>
  <si>
    <t>На 31 декабря 2010 года Группа увеличила свою долю участия в капитале дочернего предприятия «Lifosa AB» с с 94,8% до 99,1%. Стоимость приобретения за год, закончившийся 31 декабря 2010 г. составила 448 983 тыс. руб.</t>
  </si>
  <si>
    <t>На 31 декабря 2011 года Группа увеличила свою долю участия в капитале дочернего предприятия «Lifosa AB» с 99,1% до 100%. Стоимость приобретения за год, закончившийся 31 декабря 2011 г. составила 176 715 тыс. руб., выплаченных денежными средствами. Оставшаяся часть от общей суммы отраженной в отчете о движении денежных средств в размере 33 814 тыс. руб. была выплачена за приобретение дополнительной доли участия в дочернем строительном предприятии.</t>
  </si>
  <si>
    <t>В июне 2011 г. Группа приобрела 76,6% акций ОАО «Монтажник» и 100% акций ЗАО «Спецпроммонтаж» с целью улучшения собственных строительных мощностей. Обе указанные строительные компании зарегистрированы в Российской Федерации.
Менеджмент рассматривает эти компании как приобретение единого бизнеса, так как обе приобретаемые компании представляют собой интегрированную совокупность видов деятельности и активов. Цена приобретения составила 146 321 тыс. руб., выплаченных денежными средствами.</t>
  </si>
  <si>
    <t>Деятельность вспомогательная прочая, связанная с перевозками</t>
  </si>
  <si>
    <t>В апреле 2019 г. на внеочередном общем собрании участников ООО «Трест ТСНХРС» принято решение о приобретении 100% пакета акций в уставном капитале НАО «Транскама» на общую стоимость 335 млн руб.</t>
  </si>
  <si>
    <t>Химическое производство; Энергетика</t>
  </si>
  <si>
    <t>В апреле 2021 г. Группа и АО «ТАИФ» (холдинговая компания, владеющая контрольными пакетами нефтехимических компаний и 100% акций ТГК-16, далее «ТАИФ») подписали соглашение о создании объединенной компании для консолидации нефтегазохимических и энергетических бизнесов. Группа и ТАИФ 4 октября 2021 г. подписали соглашение, по условиям которого Группа приобрела 100% долю в АО «ТАИФ» в обмен на дополнительную эмиссию акций ПАО «СИБУР Холдинг» (эквивалент 15% доли в объединенной компании) и комбинацию денежных и заемных средств стоимостью 3 млрд долл. США на дату сделки.</t>
  </si>
  <si>
    <t>В декабре 2020 г. Группа продала 40% долю в Амурском ГХК, который стал совместным предприятием Группы и Sinopec с долями владения 60% и 40% соответственно. Денежное вознаграждение в размере 19 004 млн руб. было получено в январе 2021 г. По условиям соглашения ключевые стратегические, операционные и финансовые решения подлежат единогласному одобрению участниками. В результате Группа признает Амурский ГХК совместным предприятием и учитывает оставшуюся инвестицию по методу долевого участия. Стороны совместно осуществляют инвестиционный проект, включающий строительство установки пиролиза смешанного сырья и установок производства полимеров в Амурской области, Россия</t>
  </si>
  <si>
    <t>В июле 2019 г. последовала покупка дополнительной 50% доли в ООО «Полиом». В результате ООО «Полиом» стало совместным предприятием Группы ПАО «СИБУР Холдинг» и группы «Газпромнефть» в равных долях. Приобретение дополнительных акций было профинансировано за счет выдачи займа на рыночных условиях, который представлен в составе инвестиций в ООО «Полиом».</t>
  </si>
  <si>
    <t>Manucor S. p. A.</t>
  </si>
  <si>
    <t>В сентябре 2019 г. Группа приобрела 50% доли Manucor S. p. A., который стал совместным предприятием с равными долями Группы и PS Film S.p.A, входящим в PillarStone Fund. Компания является производителем БОПП-пленок, расположена в Италии</t>
  </si>
  <si>
    <t>В декабре 2019 года Группа приобрела 1/3 часть в NOVARCTIC SNC у TECHNIP Group. В результате NOVARCTIC SNC стало совместным предприятием Группы, SOFRESID SA и TECHNIP INGENIERIE DEFENSE учрежденным с равными долями во Франции. NOVARCTIC SNC оказывает услуги по проектированию, закупкам и строительству для завода по производству СПГ с использованием оснований гравитационного типа в рамках проекта ООО «Арктик СПГ 2» для ПАО «НОВАТЭК»</t>
  </si>
  <si>
    <t>NOVARCTIC SNC</t>
  </si>
  <si>
    <t>TECHNIP Group</t>
  </si>
  <si>
    <t>EPC (проектирование, закупки, строительство)</t>
  </si>
  <si>
    <t>В феврале 2019 г. Группа приобрела 33,3% неконтролирующей доли участия в ООО «Пластик-Геосинтетика» за денежное вознаграждение в сумме 300 млн руб. В результате Группа стала единственным участником ООО «Пластик-Геосинтетика» и впоследствии ликвидировала его. Разница между выплаченным вознаграждением и соответствующей долей неконтролирующих акционеров была признана в нераспределенной прибыли.</t>
  </si>
  <si>
    <t>НОВАИНЖИНИРИНГ</t>
  </si>
  <si>
    <t>Technip France и Linde AG</t>
  </si>
  <si>
    <t>НИПИГАЗ</t>
  </si>
  <si>
    <t>В январе 2018 года часть доли участия НИПИГАЗ в компании НОВАИНЖИНИРИНГ была продана Technip France и Linde AG за денежное вознаграждение в размере 16 млн руб. В результате доля участия НИПИГАЗ в компании НОВАИНЖИНИРИНГ снизилась до 50,1%. В соответствии с Уставом компании НОВАИНЖИНИРИНГ и другими документами, подписанными для реализации проекта «Арктик СПГ-2» и других проектов, участники осуществляют совместный контроль над значимой деятельностью НОВАИНЖИНИРИНГ и руководство Группы определяет данную компанию как совместное предприятие. Руководство Группы планирует сохранять мажоритарную долю владения Группы в НОВАИНЖИНИРИНГ. Справедливая стоимость оставшейся инвестиции Группы в НОВАИНЖИНИРИНГ приблизительно соответствует ее балансовой стоимости на дату выбытия.</t>
  </si>
  <si>
    <t>В 2017 г. Компания осуществила продажу 100% доли участия в АО «Уралоргсинтез» компании ОАО «ЭКТОСинтез» («Покупатель»), которая является российским производителем антидетонационных присадок, в основном метил-трет-бутилового эфира («МТБЭ»), за денежное вознаграждение в размере 22 000 млн руб. с корректировкой на стоимость оборотного капитала в размере 175 млн руб., полученные в первом полугодии 2017 года. Основными видами деятельности АО «Уралоргсинтез» являются переработка углеводородного сырья в СУГ и нафту, и производство бензола и МТБЭ, высокооктановой топливной присадки.</t>
  </si>
  <si>
    <t>В мае 2014 г. АО «Сибгазполимер» выкупила 50% долю владения в ООО «Полиом»
у АО «ГК Титан» за денежное вознаграждение в размере 2 297 млн руб. и условное вознаграждение в размере 2 131 млн руб. Распределение цены приобретения привело к признанию гудвилла в сумме 5 960 млн руб., который был включен в балансовую стоимость инвестиции в ООО «Полиом»</t>
  </si>
  <si>
    <t>В июне 2016 г. Компания продала 44% долю владения (представляющую 50% голосующих акций) в дочернем обществе Группы АО «НИПИгазпереработка» («НИПИГАЗ») внешним компаниям, контролируемым акционерами Группы, некоторые из которых также входят в состав высшего руководства Группы. В результате эффективная доля владения Группы акционерным капиталом НИПИГАЗа снизилась до 45% (представляющих 50% голосующих акций).</t>
  </si>
  <si>
    <t>Переработка газа</t>
  </si>
  <si>
    <t>В феврале 2016 г. Компания приобрела 100% долю участия в ООО «Тобольская ТЭЦ» («Тобольская ТЭЦ») у третьей стороны ОАО «Фортум» («Продавец») в рамках дальнейшего развития Тобольской производственной площадки. Компания приобрела долю участия в Тобольской ТЭЦ за денежное вознаграждение в сумме 1 200 млн руб. с корректировкой на стоимость оборотного капитала в сумме 254 млн руб., выплаченные в полном объеме в 2016 году. Компания также обязуется возместить Продавцу все денежные потоки Тобольской ТЭЦ по договорам о поставке мощности – вид выручки, представляющий собой гарантируемое законодательством Российской Федерации возмещение капитальных затрат по новым объектам генерации. Возмещение выплачивается ежемесячно начиная с даты приобретения до 2020 года. Кроме того, предусмотрено условное вознаграждение, подлежащее выплате после 1 апреля 2018 г., в случае получения Группой синергетического эффекта от интеграции Тобольской ТЭЦ в инфраструктуру Тобольской производственной площадки.
На дату сделки сумма возмещения, составляющая 5 870 млн руб., была рассчитана на основе оценочных будущих денежных потоков по договорам о поставке мощности, дисконтированных по средневзвешенной стоимости капитала Группы. В 2017 г. и 2016 г. Компания выплатила Продавцу 2 108 млн руб. и 1 192 млн руб. соответственно.</t>
  </si>
  <si>
    <t>В ноябре 2015 г. Компания продала 100% долю в ООО «Портэнерго», дочернем обществе Группы, которое осуществляет управление терминалом по перевалке сжиженных углеводородных газов и нафты в городе Усть-Луга, Ленинградская область «Терминал»), компании Baltic Sea Transhipment PTE Ltd («Покупатель») и подписала долгосрочный договор на перевалку на условиях «бери или плати» с ООО «Портэнерго» на срок до декабря 2029 г. («Договор на перевалку»). В соответствии с Договором на перевалку Компания должна осуществлять перевалку своих сжиженных углеводородных газов («СУГ») и использовать мощности Терминала по перевалке СУГ в полном объеме. Кроме того, Компания должна осуществлять перевалку нафты использовать определенную мощность Терминала по перевалке нафты при отсутствии других заказчиков. После продажи дочернее общество Группы ООО «УК «СИБУР-Портэнерго» («Управляющая компания») управляет операционной деятельностью Терминала за вознаграждение. Покупатель имеет право в любой момент расторгнуть договор об оказании услуг, заключенный с Управляющей компанией.
Доля Компании в ООО «СИБУР-Портэнерго» была продана за денежное вознаграждение в сумме 21 335 млн руб., полученное на дату продажи, а также отложенное и условное вознаграждения. Отложенное вознаграждение было получено в полном объеме после подтверждения общей мощности терминала в сумме 3 445 млн руб. в июле 2016 года. Условное вознаграждение в сумме 18 млн долл. США подлежит выплате через семь лет после даты продажи и рассчитывается по специальной формуле, привязанной к превышению цен в долгосрочных контрактах ООО «СИБУР-Портэнерго» на перевалку над установленным пороговым значением. По состоянию на 31 декабря 2017 г. и 31 декабря 2016 г., условное вознаграждение составило 736 млн руб. и 719 млн руб. соответственно.</t>
  </si>
  <si>
    <t>В декабре 2015 г. по итогам приватизационного аукциона Компания заключила договор с Правительством Республики Башкортостан о приобретении 17,5% неконтролирующей доли участия в АО «Полиэф» за денежное вознаграждение в сумме 500 млн руб. После завершения сделки в январе 2016 г. Компания, которая ранее владела 82,5% долей в предприятии, стала единственным владельцем АО «Полиэф». Результат от сделки, представляющий собой разницу между ценой покупки доли и соответствующей долей неконтролирующих акционеров, в сумме 193 млн руб. был признан в нераспределенной прибыли.</t>
  </si>
  <si>
    <t>Правительство Республики Башкортостан</t>
  </si>
  <si>
    <t>6 марта 2014 г. Компания приобрела у группы «Роснефть» (бывшая группа «ТНК-ВР») оставшиеся 49% в ООО «Юграгазпереработка» за денежное вознаграждение в сумме 55 733 млн руб. (эквивалент 1 567 млн долл. США). В результате Компания приобрела контроль над ООО «Юграгазпереработка» и его производственными дочерними обществами. В марте 2014 г., согласно условиям договора купли-продажи акций, Компания уплатила 20 548 млн руб. (эквивалент 567 млн долл. США). Оставшаяся сумма в размере 61 410 млн руб. (эквивалент 1 000 млн долл. США) была выплачена в первом полугодии 2015 г.</t>
  </si>
  <si>
    <t>ИТ услуги</t>
  </si>
  <si>
    <t>25 июня 2015 г. Компания приобрела 100% долю в ООО «ИТ-Сервис», провайдере ИТ-услуг, у своего совместного предприятия ООО «ИТСК» за денежное вознаграждение в сумме 197 млн руб. (цена приобретения 232 млн руб. за вычетом денежных средств на дату приобретения в сумме 35 млн руб.) с целью перепродажи приобретенной компании.</t>
  </si>
  <si>
    <t>Химическая промышленность</t>
  </si>
  <si>
    <t>29 марта 2012 года Группа приобрела дополнительную 50%-ную долю в ООО «Биаксплен», производителе БОПП-пленок, за 1 200 млн. рублей, увеличив свою долю владения до 100%. Целью данного приобретения было укрепление позиций Группы на растущем российском рынке БОПП-пленок, так как ООО «Биаксплен» является одним из ведущих производителей БОПП-пленок в России.</t>
  </si>
  <si>
    <t>В июле 2011 года в целях освоения нового рынка Группа приобрела 100%-ную долю в Группе Акрилат за денежное вознаграждение в сумме 1 673 млн. рублей. Группа Акрилат является единственным производителем акриловой кислоты в России.</t>
  </si>
  <si>
    <t>Группе Акрилат</t>
  </si>
  <si>
    <t>В 2005 году Группа и ЗАО «Лукойл-Нефтехим» создали совместное предприятие ООО «Отечественные полимеры», над которым они осуществляли совместный контроль, с целью приобретения доли в ОАО «Полиэф», производителе терефталевой кислоты и полиэтилентерефталата, расположенном в Башкортостане.
В июне 2011 года Группа напрямую приобрела 18% в ОАО «Полиэф» у ОАО «Банк ВТБ» за денежное вознаграждение в сумме 1 554 млн. рублей с отсрочкой выплат до 2019 года. Данная инвестиция была признана на дату приобретения по справедливой стоимости 941 млн. рублей. Для определения справедливой стоимости была применена рыночная процентная ставка 8%.
В октябре 2011 года Группа приобрела контроль над ОАО «Полиэф», путем увеличения своей доли в ООО «Отечественные полимеры» с 50% до 100% за 9 003 000 долл. США (283 млн. рублей). Таким образом, Группа увеличила свою долю в ОАО «Полиэф» до 83%, включая прямое владение долей в 18% и косвенное владение (через ООО «Отечественные Полимеры») долей в 65%.</t>
  </si>
  <si>
    <t>Группа Амтел</t>
  </si>
  <si>
    <t>В период с августа по ноябрь 2011 года Группа приобрела дочернюю компанию Группы Амтел – ОАО «Кировский шинный завод» и практически все активы Воронежского шинного завода в рамках процедуры банкротств.</t>
  </si>
  <si>
    <t>В декабре 2011 года Группа продала свою дочернюю компанию – ОАО «Кировский шинный завод», которой принадлежали активы Кировского шинного завода. В феврале 2012 года Группа продала свое вновь сформированное дочернее общество – ЗАО «Воронежский шинный завод», которому принадлежали активы Воронежского шинного завода и которое было отражено в составе активов, классифицируемых как предназначенные для продажи, по состоянию на 31 декабря 2011 года.</t>
  </si>
  <si>
    <t>Citco Waren-Handelsgesellschaft m.b.H.</t>
  </si>
  <si>
    <t>В июле 2009 г. Группа приобрела у третьей стороны 100% акционерного капитала Citco Waren-Handelsgesellschaft m.b.H. за денежное вознаграждение в сумме 9 708 млн. рублей (222 млн. евро). На долю приобретенной компании приходится 41 838 млн. рублей выручки и 805 млн. рублей чистой прибыли Группы за период со 2 июля 2009 г. по 31 декабря 2009 г. В 2011 году Citco Waren-Handelsgesellschaft m.b.H. была переименована в SIBUR International GmbH.</t>
  </si>
  <si>
    <t>В 2011 г. Группа продала долю в ООО «Синтез-Инвест», г. Воронеж.</t>
  </si>
  <si>
    <t>Sibur Limited</t>
  </si>
  <si>
    <t>В ноябре 2011 года Компания приобрела у Sibur Limited 100% акций ЗАО «Миракл» за 1 млн. рублей. ЗАО
«Миракл» не является бизнесом в соответствии с определением МСФО 3 «Объединение бизнеса», поэтому
данное приобретение не было отражено в учете по методу покупк</t>
  </si>
  <si>
    <t>В январе 2010 года Группа приобрела 67%-ную долю в уставном капитале созданного предприятия ООО «Пластик-Геосинтетика» путем передачи незавершенного строительства на сумму 570 млн. рублей. Другой участник Венчурный фонд «Лидер-Инновации», являвшийся в тот момент связанной стороной Группы, получил 33%-ную долю уставного капитала путем взноса денежных средств в общей сумме 300 млн. рублей. Группа контролирует и консолидирует это предприятие.</t>
  </si>
  <si>
    <t>В сентябре 2010 года Группа приобрела 100 процентов капитала ООО «Новатэк-Полимер» (переименовано в ООО «Биаксплен НК» в декабре 2010 года) за денежное вознаграждение в сумме 2 400 млн. рублей. После данной операции компания-продавец (OAO «НОВАТЭК») стала связанной стороной Группы. Приобретенная компания является одним из крупнейших производителей БОПП-пленки и изоляционных антикоррозионных материалов на полиэтиленовой основе в России и странах СНГ. С данным приобретением у Группы появился дополнительный канал сбыта базовых полимеров в России. На долю приобретенной компании пришлось выручки на сумму 640 млн. рублей и прибыли на сумму 56 млн. рублей за период с даты приобретения по 31 декабря 2010 года.</t>
  </si>
  <si>
    <t>В августе 2010 г. Группа приобрела 100%-ную долю в уставном капитале ЗАО «Промышленный капитал» и 97%-ную долю в уставном капитале ОАО «Тюменьпромжелдортранс», владеющих транспортной инфраструктурой в районе Тобольска, у группы физических лиц за общее денежное вознаграждение в сумме 1 004 млн. рублей в целях обеспечения транспортной инфраструктурой в Тюменской области и снижения транспортных расходов Группы.
На долю приобретенной компании пришлось выручки на сумму 143 млн. рублей и убытков на сумму 72 млн. рублей на период с даты приобретения по 31 декабря 2010 года.</t>
  </si>
  <si>
    <t>В июне 2010 года Группа продала 100% акций в дочерней компании ОАО «Каучук» за 758 млн. рублей Группе РОЭЛ. Прибыль в размере 62 млн. рублей была отражена в комбинированном отчете о совокупном доходе как доход от выбытия инвестиций.</t>
  </si>
  <si>
    <t>Группа РОЭЛ</t>
  </si>
  <si>
    <t>В апреле 2011 года Группа реализовала 100% акций в дочерней компании ЗАО «Новокуйбышевская нефтехимическая компания» за 728 млн. рублей компании ООО «Нефтеоргсинтез». Убыток в размере 156 млн. рублей был отражен в комбинированном отчете о совокупном доходе как убыток от выбытия инвестиций.</t>
  </si>
  <si>
    <t>В июне 2011 года Группа реализовала 100% акций в дочерней компании ОАО «Саранский завод «Резинотехника» за 400 млн. рублей компании ОАО «Курскрезинотехника». Убыток в размере 224 млн. рублей был отражен в комбинированном отчете о совокупном доходе как убыток от выбытия инвестиций.</t>
  </si>
  <si>
    <t>В сентябре 2010 года Группа приобрела 50%-ную долю в ООО «НПП Нефтехимия» у ОАО «Московский НПЗ» за денежное вознаграждение в сумме 3 360 млн. рублей с целью увеличения доли Группы на российском рынке полипропилена и для обеспечения поставок сырья компаниям Группы Биаксплен.</t>
  </si>
  <si>
    <t>В декабре 2009 г. Группа приобрела за денежное вознаграждение 1 000 млн. рублей 50%-ную долю в компании ООО «Биаксплен», которая является производителем ПЭТФ. 29 марта 2012 года Группа приобрела дополнительную 50%-ную долю в ООО «Биаксплен» за денежное вознаграждение в сумме 1 200 млн. рублей, увеличив долю владения в Обществе до 100%.</t>
  </si>
  <si>
    <t>В январе 2009 года Группа продала свою долю в ООО «Сибметахим» (бизнес по производству метанола) за общую сумму 6 333 млн. рублей путем погашения полученного займа. Прибыль от продажи в размере 3 500 млн. рублей была отражена в комбинированном отчете о совокупном доходе как прибыль от выбытия инвестиций.</t>
  </si>
  <si>
    <t>Геологоразведка и добыча полезных ископаемых</t>
  </si>
  <si>
    <t>В декабре 2020 года Группой была выкуплена доля в уставном капитале ООО «Межозерное» в размере 40% по цене 10 млн руб., в результате Группа стала единственным участником ООО «Межозерное».</t>
  </si>
  <si>
    <t xml:space="preserve">В сентябре 2021 года Компания продала 100% долю в уставном капитале дочерней компании ООО «Сахагазсинтез-Недра» третьей стороне. </t>
  </si>
  <si>
    <t>В июле 2017 года Компания продала 100% долю в уставном капитале дочерней компании ООО «Мирныйнефтегаз» третьей стороне.</t>
  </si>
  <si>
    <t>В октябре 2011 года Группа приобрела 60% акций ООО «Межозерное», основной деятельностью которого является геологоразведка и разработка газовых месторождений. Данное предприятие имеет две лицензии на добычу и геологоразведку на Буратинском и Майском газовых месторождениях, расположенных в Республике Калмыкия в Российской Федерации.</t>
  </si>
  <si>
    <t>В апреле 2019 года в результате проведенной сделки, Группа завершила приобретение доли в 16,4% в ГРО «Катока», увеличив собственную эффективную долю в ГРО «Катока» на 8,2% до 41%, одновременно признав дополнительные 8,2% в данной компании в сумме 4 175 млн руб., что эквивалентно 70 млн долларов США, в составе активов, предназначенных для продажи.</t>
  </si>
  <si>
    <t xml:space="preserve">В декабре 2020 года Группа получила денежное вознаграждение 70 млн долларов США, что эквивалентно 5 132 млн руб., от Национальной алмазной компании Анголы – «ЭНДИАМА, Э.П.» (далее - «ЭНДИАМА») за 8,2% в ГРО «Катока». 4 ноября 2021 Группа завершила сделку по продаже 8,2% в ГРО «Катока» «ЭНДИАМЕ», признав доход по сделке в сумме 957 млн руб. в составе курсовых разниц в прочих операционных доходах. </t>
  </si>
  <si>
    <t>Добыча алмазов</t>
  </si>
  <si>
    <t>Обработка алмазов</t>
  </si>
  <si>
    <t>Ангола</t>
  </si>
  <si>
    <t>В марте 2020 года Группа приобрела у третьей стороны 100% долю в группе компаний «Синтез» за совокупное вознаграждение в размере 1.4 млрд рублей (20 млн долларов США по курсу на дату транзакции). «Синтез» находится в г. Дзержинск и производит широкий ассортимент уникальных порошков карбонильного железа.</t>
  </si>
  <si>
    <t>Производство карбонильного железа</t>
  </si>
  <si>
    <t>В сентябре 2021 года Группа приобрела 24,5% акций ООО «Башни ВРС» (с ноября 2021 предприятие переименовано в ООО «ВиндарСеверсталь») за совокупное вознаграждение 1 млн долларов США, в результате чего доля в совместном предприятии составила 49%.</t>
  </si>
  <si>
    <t>В июле 2020 года Группа приобрела 24% акций ООО «Линде Северсталь» за совокупное вознаграждение 2 млн долларов США, в результате чего доля в ассоциированной компании составила 50%.</t>
  </si>
  <si>
    <t>TenarisSeverstal РТЕ. Ltd</t>
  </si>
  <si>
    <t>В июле 2019 года Группа приобрела 26% акций ООО «Линде Северсталь» за общую сумму 1 млн долларов США. ООО «Линде Северсталь» производит спиральные теплообменники для использования на средних и крупных заводах по производству сжиженного природного газа.</t>
  </si>
  <si>
    <t>В марте 2019 года Группа приобрела 51% акций в TenarisSeverstal РТЕ. Ltd за номинальное общее вознаграждение, близкое к нулю. TenarisSeverstal РТЕ. Ltd является единственным участником ООО «ТенарисСеверсталь», который будет заниматься производством труб для нефтяной промышленности в Сургуте, Западная Сибирь, Россия. В 2019 году Группа внесла дополнительный вклад в капитал в размере 20 млн долларов США.</t>
  </si>
  <si>
    <t>Производство спиральных теплообменников</t>
  </si>
  <si>
    <t xml:space="preserve">В июле 2019 года Группа продала 100 % акций АО «Северсталь - Сортовой завод Балаково» третьей стороне на общую сумму 215 млн долларов США, из которых 205 млн долларов США относились к погашению внутригруппового займа. </t>
  </si>
  <si>
    <t>Чугунно-сталелитейный комбинат</t>
  </si>
  <si>
    <t>В апреле 2017 года Группа продала 100% долю в Redaelli Тесла S.p.A. третьей стороне за вознаграждение в 37 млн. евро (2.3 млрд, рублей по обменному курсу на дату транзакции).</t>
  </si>
  <si>
    <t>В октябре 2017 года Группа продала 98.7% долю в ЧАО «Днепрометиз» третьей стороне за вознаграждение в 10 млн. долларов США (0.6 млрд, рублей по обменному курсу на дату транзакции).</t>
  </si>
  <si>
    <t>Производство метизов</t>
  </si>
  <si>
    <t>EVRAZ Stratcor Inc.</t>
  </si>
  <si>
    <t>Производство ванадия</t>
  </si>
  <si>
    <t>В апреле 2013 года Группа приобрела 51% долю участия в совместном предприятии с АЛРОСА по разработке 4 месторождений железной руды на юге часть Якутии в России. В соответствии с соглашением о совместном предприятии основные операционные и финансовые решения принимаются с единогласного согласия Группой и АЛРОСА, и ни один участник не имеет возможности контролировать деятельность в одностороннем порядке. Следовательно, Группа учитывает свою долю участия в компании «Тимир» по методу долевого участия. Сумма вознаграждения Группы за этот пакет составила 4 950 млн рублей (159 млн долларов США по обменному курсу на дату сделки) и подлежит оплате в рассрочку до 15 июля 2014 г. Сумма вознаграждения оценивалась как текущая стоимость ожидаемого оттока денежных средств. Позже оплата график был изменен путем продления периода платежей до 2019 года. С даты внесения поправок Группа понесла процентные расходы по неоплаченному обязательству. В 2019 году Группа выплатила 480 млн рублей (8 млн долларов США) в качестве вознаграждения за покупку и 1 млн долларов США в виде процентов. Ранее Группа платила основной долг в размере 4 470 миллионов рублей (113 миллионов долларов США). Впоследствии инвестиции в Тимир обесценились из-за переноса производства и дополнительно уменьшились в результате девальвации российского рубля.</t>
  </si>
  <si>
    <t>15 ноября 2019 года Группа продала свою дочернюю компанию «Евразтранс Украина», находящуюся в полной собственности, третьей стороне за денежное вознаграждение в размере 8 млн долл. США. Евразтранс Украина — железнодорожный экспедитор, расположенный в Украине, входил в 2 сегмента деятельности Группы — прочие операции и металлургия. Денежные средства, переданные дочерней компании, составили ноль долларов. На 31 декабря 2019 года продажи рассмотрение было незаконченным. В 2020 году он был полностью получен наличными.</t>
  </si>
  <si>
    <t>Ж/д транспорт</t>
  </si>
  <si>
    <t>Ярцевский сталепрокатный завод</t>
  </si>
  <si>
    <t>Производство стального проката</t>
  </si>
  <si>
    <t>Исторически Группа была одним из основных кредиторов сталепрокатного завода в Ярцево, расположенного в Смоленской области России. Завод вошел в процедуру банкротства, и в 1-м полугодии 2019 года Группа обесценила долгосрочный финансовый актив, относящийся к комбинату, признав сумму в размере 56 млн долларов США как убыток. По состоянию на 30 июня 2019 г. итоговая балансовая стоимость долгосрочного финансового актива составила 21 миллион долларов США. В ноябре 2019 года Группа приобрела основные средства и инвентарь этого прокатного стана с аукциона, проведенного в ходе процедуры банкротства, на сумму 22 миллиона долларов США с целью последующей продажи третьему лицу. Выручка от продажи была использована конкурсным управляющим для частичного погашения долгов завода, большую часть которых составляли долги перед Группой. Вскоре после приобретения Группа продала завод за денежное вознаграждение в размере 66 млн долларов США стороннему покупателю. На момент приобретения у Группы не было никаких договоренностей о продаже завода новому покупателю, поэтому сделки купли-продажи не рассматривались как связанные.</t>
  </si>
  <si>
    <t>EVRAZ Palini e Bertoli</t>
  </si>
  <si>
    <t>2 декабря 2019 года Группа продала свою дочернюю компанию EVRAZ Palini e Bertoli, находящуюся в полной собственности, третьей стороне за денежное вознаграждение в размере 36 млн долл. США. ЕВРАЗ Palini e Bertoli, итальянский прокатный завод, был включен в сталелитейный сегмент деятельности Группы. Денежные средства, отчужденные от дочерней компании, составили 47 миллионов долларов. По состоянию на 31 декабря 2019 года вознаграждение за продажу в размере 3 млн долл. США не было урегулировано. В 2020 году он был полностью получен наличными.</t>
  </si>
  <si>
    <t>Lanebrook Limited</t>
  </si>
  <si>
    <t>15 июня 2017 года Группа продала свою 100-процентную дочернюю компанию «ЕВРАЗ Находкинский морской торговый порт» («НМТП») 100-процентной дочерней компании Lanebrook Limited (конечным держателем контрольного пакета акций Группы) за денежное вознаграждение в размере 332 млн долл. США. В связи со сделкой купли-продажи Группа заключили договор с НМТП, в соответствии с которым последний будет осуществлять перевалку угля и металлов Группы в установленных объемах в течение 5 лет на условиях, указанных в договоре. Группа получила вознаграждение в размере 8 млн долл. США по соглашению о перевалке, которое было признаны доходом будущих периодов с 5-летним периодом амортизации. До продажи дочерняя компания входила в состав угольного сегмента.</t>
  </si>
  <si>
    <t>1 июня 2017 года Группа продала украинский железорудный рудник «Сухая Балка», в котором ей принадлежало 99,42 %, третьему лицу за вознаграждение в размере 109 миллионов долларов. В 2017 году Группа получила 94 миллиона долларов США. На 31 декабря 2017 г. невыплаченная сумма составила 15 млн долл. США плюс 3 млн долл. США проценты, начисленные в связи с продажей Сухой Балки. Эта сумма была полностью получена в первом полугодии 2018 года. До выбытия дочерняя компания
входит в стальной сегмент.</t>
  </si>
  <si>
    <t>11 октября 2019 года Группа продала свою дочернюю компанию EVRAZ Stratcor Inc., находящуюся в полной собственности, третьей стороне за денежное вознаграждение в размере 1 доллар США. EVRAZ Stratcor Inc. — производитель ванадия, расположенный в США, входил в стальной сегмент деятельности Группы.</t>
  </si>
  <si>
    <t>Портовый терминал (Перевалка и хранение грузов)</t>
  </si>
  <si>
    <t>Коксохимия</t>
  </si>
  <si>
    <t>19 декабря 2017 г. Группа продала украинский коксохимический завод «Южкокс», в котором ей принадлежало 94,96 %, третьему лицу за денежное вознаграждение в размере 63 млн долл. США, включая 16 млн долл. США предоплаты за продажу этой дочерней компании, полученной в 2016 году. До продажи дочерняя компания была включена в стальной сегмент.</t>
  </si>
  <si>
    <t>В 2015 году Группа продала активы Portland Structural Tubing за денежное вознаграждение в размере $51 млн.</t>
  </si>
  <si>
    <t>6 марта 2018 г. Группа продала ЧАО «ЕВРАЗ – Днепропетровский металлургический завод им. Петровского» (Украина), в котором ей принадлежало 97,73 %, третьему лицу за вознаграждение в размере 35 миллионов долларов. Вознаграждение подлежало оплате двумя частями: 25 миллионов долларов США были получены после подписания документов по сделке и остаток был погашен в декабре 2018 года. Группа получила процентный доход по отложенному вознаграждению в размере 1 млн долл. США. До продажи дочерняя компания была включена в стальной сегмент.</t>
  </si>
  <si>
    <t>ПАО "Распадская"</t>
  </si>
  <si>
    <t>В 2020 году Группа приобрела дополнительную долю в размере 2,73% в Распадской, дочерней компании Группы, за денежное вознаграждение в размере 27 млн долл. США.</t>
  </si>
  <si>
    <t>В 2019 году Группа приобрела дополнительную долю в размере 1,8% в Распадской за денежное вознаграждение в размере 25 млн долл. США.</t>
  </si>
  <si>
    <t>В 2018 году Группа приобрела дополнительную долю в размере 1,89% в Распадской за денежное вознаграждение в размере 24 млн долл. США.</t>
  </si>
  <si>
    <t>Western Canada Machining Inc.</t>
  </si>
  <si>
    <t>В июне 2017 года Группа приобрела бизнес компании Western Canada Machining Inc. (Альберта, Канада), которая производит муфты для использования в нефтегазовой отрасли. Сумма вознаграждения составила 5 миллионов долларов наличными.</t>
  </si>
  <si>
    <t>В октябре 2012 года EVRAZ plc заключил предварительное соглашение с Adroliv Investments Limited о приобретении 50% доли участия в Corber, материнской компании угледобывающей компании «Распадская», при условии получения разрешений регулирующих органов и выполнения ряда других условий. 16 января 2013 г. все условия были выполнены, и Группа получила контроль над предприятием. В результате 16 января 2013 года Corber стала дочерней компанией Группы. Стоимость покупки включала 132 653 006 акций EVRAZ plc, выпущенных 16 января 2013 г., варранты на подписку на дополнительные 33 944 928 акций EVRAZ plc, подлежащие реализации по нулевой цене в период с 17 января по 17 апреля 2014 г., и денежное вознаграждение в размере 202 млн долл. США, подлежащее выплате в равными ежеквартальными платежами до 15 января 2014 г. Справедливая стоимость переданного вознаграждения составила 964 млн долл. США, включая 611 млн долл. США, относящихся к выпущенным акциям, 156 млн долл. США, представляющих собой справедливую стоимость варрантов, и 197 млн ​​долл. США, представляющих собой текущую стоимость денежного компонента покупка рассмотрение. Справедливая стоимость акций и варрантов была определена исходя из рыночной стоимости акций EVRAZ plc на дату приобретения.</t>
  </si>
  <si>
    <t>В 2013 г. Группа приобрела дополнительную долю в размере 45,5% в MediaHolding Provincia за денежное вознаграждение в размере 11 млн долл. США. Справедливая стоимость доли участия, ранее принадлежавшей Группе (30%), составила 4 миллиона долларов США. Группа зафиксировала убыток в размере $5 млн в связи с прекращением признания доли участия в MediaHolding Provincia, принадлежавшей до объединения бизнеса. Группа признала деловую репутацию в размере 4 млн долларов США по сделке. Впоследствии Группа приобрела все неконтролирующие доли участия (3 млн долл. США), погашенные путем передачи имущества, и признала превышение балансовой стоимости приобретенных неконтролирующих долей над суммой вознаграждения в размере 1 млн долл. США в качестве добавочного капитала.</t>
  </si>
  <si>
    <t>MediaHolding Provincia</t>
  </si>
  <si>
    <t>В 2013 году Группа заплатила 1 миллион долларов США компании, находящейся под контролем двух основных акционеров, за приобретение Телекон, телерадиовещательной компании в Нижнем Тагиле, Россия. Независимый оценщик оценил этот бизнес в 5 миллионов долларов.</t>
  </si>
  <si>
    <t>В 2015 году Группа продала 10% акций Vametco третьей стороне и получила вознаграждение в размере 1 млн долларов США. Выбывшая неконтрольная доля участия составила 2 миллиона долларов. Группа также признала обязательство в размере 3 млн долл. США по гарантированным дивидендам, которые должны быть объявлены и выплачены до марта 2020 года, с соответствующим дебетом накопленной прибыли.</t>
  </si>
  <si>
    <t>Vametco</t>
  </si>
  <si>
    <t>Телекон</t>
  </si>
  <si>
    <t>Телерадиовещание</t>
  </si>
  <si>
    <t>EVRAZ Vitkovice Steel</t>
  </si>
  <si>
    <t>Чехия</t>
  </si>
  <si>
    <t>В апреле 2014 года Группа продала свою дочернюю компанию EVRAZ Vitkovice Steel, находящуюся в полной собственности, третьей стороне за денежное вознаграждение в размере 287 млн долл. США на основе нормированного оборотного капитала без долгов. Транзакционные издержки составили 3 миллиона долларов. По состоянию на 31 декабря 2014 г. Группа задолжала покупателю EVRAZ Vitkovice Steel 25 млн долл. США. В 2015 году эта сумма была полностью погашена путем зачета дебиторской задолженности бывшей дочерней компании.Группа признала прибыль в размере 90 млн долл. США от продажи дочерней компании, в том числе 61 млн долл. США совокупной прибыли от курсовых разниц, реклассифицированной из
прочего совокупного дохода в консолидированный отчет о прибылях и убытках. Денежные средства, отчужденные от дочерней компании, составили 20 миллионов долларов США.</t>
  </si>
  <si>
    <t>Добыча железной руды; электрогенерация</t>
  </si>
  <si>
    <t>Активы Евразруды (Красноярская и Кемеровская области)</t>
  </si>
  <si>
    <t>В 2014 году Группа продала железорудный рудник и ТЭЦ, расположенные в Красноярской и Кемеровской областях России. Прибыль от этих операций составила 25 млн долл. США, включая 5 млн долл. США совокупной прибыли от курсовой разницы.</t>
  </si>
  <si>
    <t>В 2013 году Группа продала 2 железорудных рудника, горно-обогатительную фабрику и 2 электрогенерирующие компании, расположенные в Хакасии, Россия. Выручка от этих сделок составила 21 млн долларов.</t>
  </si>
  <si>
    <t>Центральная ТЭЦ (Кемеровская область)</t>
  </si>
  <si>
    <t>В октябре 2013 года Группа продала 100-процентное дочернее предприятие ЕВРАЗ Высокогорский горно-обогатительный комбинат («ВГОК») НПРО УРАЛ. Вознаграждение включало денежные средства в размере 20 миллионов долларов США с чистой приведенной стоимостью 18 миллионов долларов США и справедливую стоимость 10-летнего соглашения о переработка на ВГОК некоторых отходов ЕВРАЗ НТМК. Справедливая стоимость этого контракта была оценена на основе дополнительного дохода Группы и составила приблизительно 47 миллионов долларов США. Он был признан нематериальным активом в категории «Условия договора».</t>
  </si>
  <si>
    <t>В сентябре 2013 года Группа продала Центральную ТЭЦ, расположенную в Кемеровской области (Россия), за 300 долларов США.</t>
  </si>
  <si>
    <t>НПРО УРАЛ</t>
  </si>
  <si>
    <t>В июне 2012 года Группа приобрела дополнительную долю в размере 9,996% в компании Actionfield Limited, которая владеет и управляет проектом Межегейского угольного месторождения. В результате Группа увеличила свою долю в проекте примерно до 60,016%. Справедливая стоимость вознаграждения составила 36 миллионов долларов США. Было решено урегулировать обязательства по покупке путем зачета кредита, полученного Группой.</t>
  </si>
  <si>
    <t>Сorber</t>
  </si>
  <si>
    <t>В 2012 году «Распадская», дочерняя компания Corber, совместного предприятия Группы, выкупила у акционеров 9,94% своих акций. В конце февраля 2012 года Корбер продал 48 351 712 акций обратно Распадской за 248 миллионов долларов. В результате обратного выкупа Corber фактически приобрел дополнительные 1,95% акций Распадской, и его доля владения увеличилась до 81,95%.</t>
  </si>
  <si>
    <t>ЗАО "Казанковская"</t>
  </si>
  <si>
    <t>В январе 2013 года Группа дополнительно приобрела 50% акций Казанковской у Магнитогорского металлургического комбината за денежное вознаграждение в размере 167 долларов США. Основной причиной объединения бизнеса была подготовка к последующей продаже рудника.</t>
  </si>
  <si>
    <t>Днепродзержинский коксохимический завод</t>
  </si>
  <si>
    <t>В августе 2012 года Группа продала материнской компании контрольный пакет акций убыточного коксохимического завода, расположенного в Украине. Денежное вознаграждение составило 4 доллара.</t>
  </si>
  <si>
    <t>В декабре 2012 года Группа продала третьему лицу бизнес своей дочерней компании «Евразтранс», которая оказывает услуги дальних железнодорожных перевозок с использованием собственных и арендованных вагонов. Сумма денежного вознаграждения составила 306 миллионов долларов США.</t>
  </si>
  <si>
    <t>Frotora Holdings Ltd</t>
  </si>
  <si>
    <t>Портовая деятельность</t>
  </si>
  <si>
    <t>В апреле 2012 года Группа продала свою долю в дочерней компании, активы которой состояли только из прав по долгосрочной аренде земли под строительство морского торгового порта в Украине. Эти права были включены в категорию договорных условий нематериальных активов.</t>
  </si>
  <si>
    <t>Качканарская ТЭЦ</t>
  </si>
  <si>
    <t xml:space="preserve">1 января 2012 г. Группа получила контроль над операционной деятельностью Качканарской ТЭЦ (Россия), за которую Группа заплатила 20 млн долл. США в 2011 г.
</t>
  </si>
  <si>
    <t>Металлолом</t>
  </si>
  <si>
    <t>Склады металлолома</t>
  </si>
  <si>
    <t>В 2012 году Группа заплатила 12 млн долл. США за склады металлолома, расположенные в США.</t>
  </si>
  <si>
    <t>17 февраля 2012 г. Группа приобрела оставшиеся глобальные депозитарные расписки, представляющие 96 607,67 акций Evraz Group S.A., за 4 млн долл. США и обменяла их на вновь выпущенные акции EVRAZ plc. С этой даты Evraz Group S.A. стала дочерней компанией, находящейся в полной собственности EVRAZ plc, и признание неконтрольной доли участия в размере 10 млн долл. США было прекращено.</t>
  </si>
  <si>
    <t>Evraz Group S.A.</t>
  </si>
  <si>
    <t>В 2011 г. Группа приобрела дополнительную неконтрольную долю в размере 24% в «Евразтрансе», дочернем предприятии, оказывающем услуги железнодорожного транспорта. Вознаграждение наличными составило 51 миллион долларов.</t>
  </si>
  <si>
    <t>В 2010 г. Группа приобрела дополнительную неконтрольную долю участия в размере 5,92% в Strategic Minerals Corporation («Stratcor») за денежное вознаграждение в размере 8 млн долл. США, выплаченное в 2009 г.</t>
  </si>
  <si>
    <t>В 2010 г. Группа приобрела дополнительную неконтролирующую долю в размере 25% в ОАО «Завод труб большого диаметра» за денежное вознаграждение в размере 8 млн долл. США.</t>
  </si>
  <si>
    <t>30 декабря 2020 г. Группа приобрела 100%-ю долю в Южкузбассугле. Стоимость покупки в размере 67,741 млн. руб. и начисленные на нее проценты в сумме 872 млн. руб., были в полном объеме выплачены ЕВРАЗ НТМК в апреле 2021 года.</t>
  </si>
  <si>
    <t>ЕВРАЗ НТМК</t>
  </si>
  <si>
    <t>В январе 2020 года Группа начала переговоры о продаже ООО «Эльгауголь», ООО «Эльга-Дорога» и ООО «Мечел-Транс Восток» (далее – «Эльгинский угольный комплекс») потенциальному покупателю, третьей стороне. 21 апреля 2020 г. Группа получила необходимое в соответствии с опционом пут (в июне 2016 года было подписано соглашение, наделяющее Газпромбанк правом продать свои доли участия (полностью или частично) в Эльгинском угольном комплексе в течение трех лет по истечении пятилетнего льготного периода или в случае нарушения условий, предусмотренных данным соглашением. Доля участия Газпромбанка в Эльгинском угольном комплексе составляла 49%. Данное соглашение позволяло Группе сохранять контроль над 100% долей участия, и поэтому по данному соглашению было признано долгосрочное финансовое обязательство) согласие Газпромбанка на продажу покупателю 51% доли в Эльгинском угольном комплексе. 21 апреля 2020 г. Группа подписала договор купли-продажи, в соответствии с которым Эльгинский угольный комплекс был продан за 89 млрд руб. С этой даты Группа потеряла контроль над Эльгинским угольным комплексом. Сделка была завершена 30 апреля 2020 г. после государственной регистрации перехода права собственности.</t>
  </si>
  <si>
    <t>В июне 2016 года в рамках исполнения опциона, предоставленного Газпромбанку, ему была продана 49%-ная доля участия в Эльгинском угольном комплексе за 34 300 млн руб. Группа продала Газпромбанку по запросу 49%-ную долю участия в ООО «Эльгауголь», имеющем лицензию на пользование Эльгинским угольным месторождением, 49%-ную долю участия в ООО «Эльга-Дорога», владеющем железнодорожной веткой Улак-Эльга, которая была внесена в качестве вклада в уставный капитал данной недавно учрежденной компании (учреждена в марте 2016 года), 49%-ную долю участия в ООО «Мечел-Транс Восток», являющемся железнодорожным перевозчиком (совместно именуемые – «целевые компании»). Одновременно с продажей 49%-ной доли участия в целевых компаниях Газпромбанку был предоставлен опцион пут с фиксированной ценой и годовой процентной ставкой на уровне ключевой ставки ЦБ РФ плюс 2%. В рамках опциона пут Газпромбанк имеет право продать свои доли участия (полностью или частично) в целевых компаниях в течение трех лет по истечении пятилетнего льготного периода или в случае нарушения условий, предусмотренных данным соглашением, что позволило Группе сохранить контроль над всеми долями в указанных компаниях. Соглашения по опциону пут подписаны АО ХК «Якутуголь» и ООО «Мечел-Транс» (продавцами долей участия в целевых компаниях), и гарантии по ним предоставлены АО «Мечел-Майнинг» и УК ЮК. Если Группа не исполнит свои обязательства по опционам пут, Газпромбанк вправе выкупить в рамках опциона колл оставшиеся доли участия, принадлежащие Группе в целевых компаниях, и 100%-ную долю участия в АО «Порт Мечел-Ванино». В качестве обеспечения по опциону колл Газпромбанку предоставлена в залог 1,99%-ная доля участия в каждой целевой компании.</t>
  </si>
  <si>
    <t>ПАО "ЧМК"</t>
  </si>
  <si>
    <t>В сентябре 2020 года Компании выкупила 7 427 собственные акции за 20 947 тыс. руб.</t>
  </si>
  <si>
    <t>В сентябре 2021 года Компания продала ПАО «Мечел» 7 427 собственные акции за 30 451 тыс. руб.</t>
  </si>
  <si>
    <t>АО «Разрез Томусинский» является дочерним предприятием Группы, которое занимается добычей угольной продукции. В июне 2017 года Группа приобрела дополнительную долю в размере 22.95% уставного капитала АО «Разрез Томусинский».</t>
  </si>
  <si>
    <t>ПАО "УК "Южный Кузбасс"</t>
  </si>
  <si>
    <t>24 июня 2021 г. Группа приобрела у связанной стороны 100% долей в уставном капитале OOО «ПРОФИКО» за денежное вознаграждение в размере 3 800 млн руб. OOО «ПРОФИКО» является собственником офисного здания, которое до момента приобретения предоставлялось в аренду Группе. Группа применила необязательный тест концентрации активов и сделала вывод о том, что практически вся справедливая стоимость приобретаемых активов сконцентрирована в одном активе - в офисном  дании. Группа отразила данную операцию как приобретение активов.</t>
  </si>
  <si>
    <t>Офисная недвижимость</t>
  </si>
  <si>
    <t>27 апреля 2021 г. Группа приобрела у третьей стороны 100% долей в уставном капитале ООО «Губкин-Инвест» за денежное вознаграждение в размере 501 млн руб. Группа применила необязательный тест концентрации активов и сделала вывод о том, что практически вся справедливая стоимость приобретаемых активов сконцентрирована в земельных участках. Группа отразила данную операцию как приобретение активов.</t>
  </si>
  <si>
    <t>2 февраля 2022 года Группа подписала соглашение с Загорским трубным заводом (ЗТЗ) о продаже 100% акций «Уральской стали». Группа планирует завершить продажу в феврале 2022 года. Группа продолжит поставлять «Уральской стали» железорудное сырье на рыночных условиях.</t>
  </si>
  <si>
    <t>Загорский трубный завод</t>
  </si>
  <si>
    <t>Собственные выкупленные акции в количестве 19 127 760 штук (24% акционерного капитала Компании) были выкуплены у акционеров Компании в декабре 2012 г. за 3 022 698 тыс. долл. США или 92 134 млн руб. Указанные обыкновенные акции предоставляют права голоса в том же соотношении, что и прочие обыкновенные акции. Руководство Группы фактически контролирует осуществление права голоса, предоставляемое обыкновенными акциями, которые принадлежат ее дочерним предприятиям. 6% собственных выкупленных акций принадлежат Компании, не предоставляют права голоса, и по ним не начисляются дивиденды. На основании решения акционеров Компании эти акции должны быть реализованы или погашены не позднее одного года с даты их приобретения.</t>
  </si>
  <si>
    <t>Агропромышленный комплекс</t>
  </si>
  <si>
    <t>29 января 2013 г. Группа приобрела у связанной стороны 100% долей участия в ООО «АрконГрупп» за денежное вознаграждение в размере 416 389 тыс. руб. или 13 844 тыс. долл. США. ООО «АрконГрупп» является держателем 100% долей участия в ООО «Агрофирма Горняк», ООО «Агрофирма Металлург» и ООО «Уральский Сервис» – двух агропромышленных предприятиях и одного обслуживающего предприятия.</t>
  </si>
  <si>
    <t>В мае 2012 г. Группа продала третьей стороне 100% доли участия в капитале ООО «Металлоинвесттранс» за денежное вознаграждение в размере 17 296 млн руб.</t>
  </si>
  <si>
    <t>Лицензия на разработку Сладковско-Заречного месторождения нефти и газа</t>
  </si>
  <si>
    <t>В 2012 году Группа продала лицензию на разработку Сладковско-Заречного месторождения нефти и газа и связанные с ней расходы на разведку и оценку, объекты основных средств и прочие активы третьему лицу за вознаграждение в размере 4 047 млн руб. Лицензия была приобретена Группой в 2008 году за 100 000 тыс. долл. США, что эквивалентно 2 380 млн руб.</t>
  </si>
  <si>
    <t>ПАО "Ашинский металлургический завод"</t>
  </si>
  <si>
    <t>Во второй половине 2019 года Группа приобрела на открытом рынке 7 500 тыс. обыкновенных акций Компании на общую сумму 35 025 тысяч рублей.</t>
  </si>
  <si>
    <t>В течение 2013 году Группа продала доли в компаниях ООО «Амет-Урал» и ООО «Содружество». Балансовая стоимость чистых активов по этим компаниям составила 44 479 тыс.руб., денежное возмещение составило 8 350 тыс.руб.</t>
  </si>
  <si>
    <t>В сентябре 2021 года Компания заключила сделку по продаже 5-процентной доли в ООО «Восток Ойл» за 3,5 млрд евро (299 млрд руб. по курсу на дату получения денежных средств).</t>
  </si>
  <si>
    <t>В июле 2021 г. компания Группы заключила соглашение о приобретении 50%-ной операторской доли участия в проекте Блок 4 в Мексике путем покупки холдинговой компании, владеющей компанией-оператором. Стоимость приобретения составила 435 млн долл. США плюс фактически понесенные в 2021 и 2022 гг. расходы по состоянию на дату закрытия сделки. Во втором полугодии 2021 г. компания Группы выплатила аванс по данному соглашению в размере 43,5 млн долл. США (3,2 млрд руб.). Сделка была закрыта 24 февраля 2022 г. после выполнения отлагательных условий, включая одобрение властями Мексики.</t>
  </si>
  <si>
    <t>В декабре 2021 г. компания Группы заключила с ПАО «Газпромнефть» договор купли-продажи 50%-ной доли в уставном капитале ООО «Меретояханефтегаз», 100%-го дочернего предприятия ПАО «Газпром нефть», в размере 52 млрд руб., включая переуступку прав требования по займам ПАО «Газпромнефть» на сумму 35 млрд руб. Договор заключен в рамках создания совместного предприятия для разработки нефтегазового кластера в Надым-Пур-Тазовском регионе Ямало-Ненецкого автономного округа. Также компании согласовали программу геологического доизучения участков, принадлежащих ООО «Меретояханефтегаз», обязательства по которой в размере 8,9 млрд руб. будут профинансированы ПАО «ЛУКОЙЛ». Сделку планируется закрыть в 2022 году после выполнения отлагательных условий, включая получение корпоративных одобрений и согласование с Федеральной антимонопольной службой.</t>
  </si>
  <si>
    <t>PETRONAS</t>
  </si>
  <si>
    <t>В октябре 2021 г. компания Группы заключила соглашение c компанией PETRONAS о приобретении 15,5%- ной доли участия в газовом проекте Шах-Дениз в азербайджанском секторе Каспийского моря за 2,25 млрд долл. США. В декабре 2021 г. в соглашение были внесены изменения в результате переговоров с партнерами по проекту Шах-Дениз по вопросу реализации преимущественных прав. В соответствии со внесенными изменениями, приобретаемая Группой доля была снижена до 9,99%, а сумма сделки пропорционально уменьшена до 1,45 млрд долл. США. В четвертом квартале 2021 г. компания Группы выплатила аванс по данному соглашению в размере 92,5 млн долл. США (6,7 млрд руб.). Сделка была закрыта 17 февраля 2022 г. после выполнения отлагательных условий, включая согласование Государственной нефтяной компании Азербайджанской Республики SOCAR. В результате сделки доля Группы в проекте увеличилась с 10% до 19,99%.</t>
  </si>
  <si>
    <t>Газовый проект Шах-Дениз</t>
  </si>
  <si>
    <t>Нефтегазохимия</t>
  </si>
  <si>
    <t>В 3 квартале 2021 г. Группа приобрела бизнес по проведению геологических и промысловогеофизических работ путем покупки доли в ООО «ТНГ-АлГИС» у третьей стороны ООО «ТНГ-Групп» и получила контроль, став единственным участником ООО «ТНГ-АлГИС».</t>
  </si>
  <si>
    <t>ПАО "Кокс"</t>
  </si>
  <si>
    <t>Производство чугуна и кокса</t>
  </si>
  <si>
    <t>В январе 2022 г. дочерняя компания Группы приобрела 37 958 929 акций Компании на общую сумму 6 110 млн руб</t>
  </si>
  <si>
    <t>В феврале 2017 г. Компания приобрела 135 400 акций на сумму 11 млн руб. В феврале 2018 года эти акции были проданы дочерней компании Группы.</t>
  </si>
  <si>
    <t>Изготовление чугунных изделий</t>
  </si>
  <si>
    <t>В августе 2022 года Группа заключила сделку о продаже АО «СЧЗ».</t>
  </si>
  <si>
    <t>В декабре 2018 года Арбитражным судом Тульской области было вынесено решение о расторжении договора купли-продажи доли в уставном капитале ООО «ТУЛАЧЕРМЕТ-СТАЛЬ» (компания под общим контролем конечного контролирующего собственника Группы), в соответствии с которым ПАО «Тулачермет» (дочернее предприятие Группы) вернуло себе долю в уставном капитале ООО «ТУЛАЧЕРМЕТ-СТАЛЬ» в размере 33,3%. На 31 декабря 2018 г. она была классифицирована и учтена в консолидированной финансовой отчетности как актив, предназначенный для продажи. В августе 2019 года Группа продала свою долю в уставном капитале ООО «ТУЛАЧЕРМЕТ-СТАЛЬ» в размере 33,3%.</t>
  </si>
  <si>
    <t>В сентябре 2018 Группа продала 100% долю в ЗAO «Сибирские ресурсы» за 8 тыс. руб.</t>
  </si>
  <si>
    <t>В январе 2018 г. Группа дополнительно приобрела 4% (4,1% голосующих акций) в уставном капитале ПАО «Тулачермет». Сумма вознаграждения, уплаченного за дополнительные акции, составила 38 млн руб. В результате этой операции Группа увеличила свою долю в этой компании до 97,87% (99,2% голосующих акций).</t>
  </si>
  <si>
    <t>Производство чугуна</t>
  </si>
  <si>
    <t>В январе 2018 г. Группа дополнительно приобрела 1,3% (1,3% голосующих акций) в уставном капитале ПAO «ЦОФ «Березовская». Сумма вознаграждения, уплаченного за дополнительные акции, составила 6 млн руб. В результате этой операции Группа увеличила свою долю в этой компании до 98,7% (98,7% голосующих акций).</t>
  </si>
  <si>
    <t>Производство угольного концентрата</t>
  </si>
  <si>
    <t>ПАО "Кузбасская Топливная Компания"</t>
  </si>
  <si>
    <t>В 2020 году одной из дочерних компаний Группы были выкуплены акции материнской компании (ПАО «КТК») в количестве 67 230 штук. Стоимость приобретения составила 11 млн. руб. В результате, с учетом ранее выкупленных акций (в течение 2018 года), по состоянию на 31 декабря 2020 года на балансе данной дочерней компании находится 148 050 акций ПАО «КТК» или 0,15% от общего количества выпущенных акций. Собственные выкупленные акции учитываются в капитале по стоимости уплаченного возмещения и уменьшают капитал Группы.</t>
  </si>
  <si>
    <t>ПАО "Кузбасская Топливная Компания" (ПАО "КТК")</t>
  </si>
  <si>
    <t>В 2018 году одной из дочерних компаний Группы были выкуплены акции материнской компании ПАО «КТК» в количестве 80 820 штук или 0,09% от общего количества выпущенных акций. Уплаченное возмещение составило 16 млн. руб. Собственные выкупленные акции учитываются в капитале по стоимости уплаченного возмещения и уменьшают капитал Группы.</t>
  </si>
  <si>
    <t>В марте 2015 года Группа продала долю в компании ООО «Новобачатский-2» за денежное вознаграждение в размере 20 млн.руб. Прибыль от выбытия компании составила 302 млн.руб.</t>
  </si>
  <si>
    <t>ОАО "Белон"</t>
  </si>
  <si>
    <t>АО "СУЭК"</t>
  </si>
  <si>
    <t>Красноярская ГРЭС-2</t>
  </si>
  <si>
    <t>Во второй половине 2021 года Группа приобрела оставшуюся долю в ООО «СК «Малый порт» за 55 млн долларов США у третьих лиц. Порт способен переваливать любые насыпные грузы, в настоящее время он специализируется на перевалке угля.</t>
  </si>
  <si>
    <t>В марте 2020 года Группа приобрела генерирующие и прочие активы Красноярской ГРЭС-2 у третьей стороны за 156 млн долларов США. Основной деятельностью приобретенного бизнеса является производство и продажа электроэнергии. На момент покупки справедливая стоимость приобретенных активов, которые в большей степени представлены основными средствами, и обязательств была оценена в 158 млн долларов США и 2 млн долларов США, соответственно.</t>
  </si>
  <si>
    <t>Рефтинская ГРЭС</t>
  </si>
  <si>
    <t>В октябре 2019 года Группа приобрела у третьей стороны генерирующие и прочие активы Рефтинской ГРЭС за 345 млн долларов США, включая условное вознаграждение. В 2019 и 2020 году Группа выплатила 259 млн долларов США и 57 млн долларов США, соответственно</t>
  </si>
  <si>
    <t>Приморской ГРЭС</t>
  </si>
  <si>
    <t>В ноябре 2020 года Группа приобрела у связанной стороны 100% ООО «Приморская ГРЭС» за 49 млн долларов США. Основной деятельностью приобретенного бизнеса является производство и продажа электроэнергии. Разница между стоимостью покупки и чистыми активами компании была учтена в нераспределенной прибыли в размере 5 млн долларов США. На момент покупки балансовая стоимость приобретенных активов, которые в большей степени представлены основным средствами, и обязательств ООО «Приморская ГРЭС» была оценена в 73 млн долларов США и 13 млн долларов США, соответственно. По состоянию на 31 декабря 2020 года балансовая стоимость активов и обязательств составила 63 млн долларов США и 14 млн долларов США, соответственно. Прочие операции в капитале и консолидированном отчете о движении денежных средств включают дополнительный взнос в капитал, сделанный предыдущим владельцем в размере 8 млн долларов США.</t>
  </si>
  <si>
    <t>В декабре 2020 года для целей усиления своих позиций на рынке логистики Группа приобрела ООО «Туапсинский балкерный терминал» и ООО «Мурманский балкерный терминал» у группы ЕвроХим за 114 млн долларов США и 168 млн долларов США, соответственно.</t>
  </si>
  <si>
    <t>ООО СГК</t>
  </si>
  <si>
    <t>Покупка группы СГК. В августе 2018 года Группа приобрела у материнской компании 99,9% компании ООО СГК за 1,916 млн долларов США. В 2019 году стоимость приобретения в сумме 1,916 млн долларов США и начисленные проценты в сумме 25 млн долларов США были полностью выплачены</t>
  </si>
  <si>
    <t>В декабре 2016 года СУЭК приобрела 36.2% акций ПАО «Мурманский морской торговый порт» («ММТП») за 144 млн. долларов США у Группы ЕвроХим. Сумма сделки установлена в российских рублях и подлежит оплате в первом квартале 2017 года. Результатом данной операции стало уменьшение доли неконтролирующих акционеров на 80 млн. долларов США и уменьшение нераспределенной прибыли на 64 млн. долларов США.</t>
  </si>
  <si>
    <t>В мае и июне 2017 года Группа приобрела 9,38% акций ПАО «Мурманский морской торговый порт» («ММТП») за 40 млн долларов США у третьей стороны. Результатом данной операции стало уменьшение доли неконтролирующих акционеров на 24 млн долларов США и уменьшение нераспределенной прибыли на 16 млн долларов США.</t>
  </si>
  <si>
    <t>Компания, предоставляющая в аренду вагоны</t>
  </si>
  <si>
    <t>В октябре 2017 года Группа приобрела 100% акций компании, предоставляющей в аренду вагоны, за 120 млн долларов США. Поскольку приобретение рассматривается как сделка в отношении компании под общим контролем, Группа ретроспективно отразила приобретение в консолидированной финансовой отчетности, как если бы сделка была осуществлена 1 января 2016 г., т.е. в начале самого раннего сравнительного периода. Операция учитывается с использованием данных предыдущего собственника по балансовой стоимости активов и обязательств.</t>
  </si>
  <si>
    <t>В первом квартале 2018 года АО «Кузбассэнерго» приобрело 77.6% акций бизнеса, связанного с производством энергии и мощности, за 504 млн долларов США у третьих лиц. Основным видом деятельности приобретенного бизнеса является производство и продажа электроэнергии, теплоэнергии и мощности.</t>
  </si>
  <si>
    <t>Производство энергии и мощности</t>
  </si>
  <si>
    <t>Компания по производству энергии и мощности</t>
  </si>
  <si>
    <t>В первом полугодии 2018 года Группа приобрела 15.15% АО «Мурманский морской торговый порт» за 63 млн долларов США у третьих лиц, в результате чего доля неконтролирующих акционеров снизилась на 43 млн долларов США, а накопленная прибыль снизилась на 20 млн долларов США. Приобретение увеличило долю Группы в дочернем обществе до 100%.</t>
  </si>
  <si>
    <t>В четвертом квартале 2018 года Группа приобрела 19.49% акций дочернего общества за 101 млн долларов США у третьих лиц, в результате чего доля неконтролирующих акционеров снизилась на 107 млн долларов США, а накопленная прибыль увеличилась на 6 млн долларов США. Приобретение увеличило долю Группы в дочернем предприятии до 97.09%.</t>
  </si>
  <si>
    <t>В мае 2015 года Группа приобрела у третьей стороны дополнительную 80,49% компании, оказывающей транспортные и сопутствующие услуги в Хакасском районе за 49 миллионов долларов США. Приобретение увеличило долю Группы в компании до 100%.</t>
  </si>
  <si>
    <t>Компания, оказывающая транспортные услуги</t>
  </si>
  <si>
    <t>В мае 2015 года Группа приобрела 1,8% акций ПАО «Мурманский морской торговый порт» («ММТП») за 9 млн долларов США от третьего лица и увеличил свою долю до 39,3%. Эта сделка привела к уменьшение неконтролирующей доли участия в размере 3 миллионов долларов США и уменьшение нераспределенной прибыли в размере 6 миллионов долларов США</t>
  </si>
  <si>
    <t>В первой половине 2015 года Группа приобрела в общей сложности 15,46% ОАО «Приморскуголь» за 11 млн долларов США у третьих лиц и увеличил свою долю до 100%. Эти сделки привели к уменьшению неконтролирующей доли участия в размере 10 миллионов долларов США и уменьшение нераспределенной прибыли на 1 млн долл. США.</t>
  </si>
  <si>
    <t>В июне и октябре 2013 г. СУЭК приобрела 13% ОАО «Разрез Изыхский» за 4 млн долл. США у третьей стороны. Сделка привела к уменьшению неконтролирующей доли участия в размере 4 млн долларов США.</t>
  </si>
  <si>
    <t>В марте и ноябре 2013 г. СУЭК приобрела 16% ОАО «Ургалуголь» за 9 млн долларов США у третьих лиц. Сделка привела к уменьшению неконтролирующая доля участия в размере 18 миллионов долларов США и увеличение нераспределенной прибыли в размере 9 миллионов долларов США.</t>
  </si>
  <si>
    <t>В феврале 2012 г. Группа приобрела 24,91% ММТП за 106 млн долларов США.</t>
  </si>
  <si>
    <t>В период с апреля по октябрь 2012 г. СУЭК приобрела неконтрольные пакеты акций СУЭК-Кузбасс и СУЭК-Красноярск за 269 млн долларов США у третьей стороны и увеличил свою долю до 100%. Соглашения об опционах пут и колл на 10% СУЭК-Кузбасс и 10% СУЭК-Красноярск были прекращены. Эти сделки привели к уменьшению неконтролирующих долей участия на 27 миллионов долларов США и уменьшение нераспределенной прибыли на 20 млн долл. США.</t>
  </si>
  <si>
    <t>ОАО "СУЭК-Кузбасс" и ОАО "СУЭК-Красноярск"</t>
  </si>
  <si>
    <t>В декабре 2012 года СУЭК приобрела дополнительные 24,95% акций ММТП и увеличили свою голосующую долю до 49,86%. В декабре 2012 г. СУЭК дополнительно приобрела 25% ММТП за 53 млн долл. США у Министерством имущественных отношений Российской Федерации и увеличило свою голосующую долю до 49,9% и была консолидирована в соответствии с МСБУ 27 «Консолидированная и отдельная финансовая отчетность» 31 декабря 2012 года.</t>
  </si>
  <si>
    <t>В октябре 2011 года ОАО «СУЭК» продало 10% акций ОАО «Ургалуголь» и некоторые несущественные дочерние компании третьим лицам за 199 млн руб.</t>
  </si>
  <si>
    <t>В сентябре 2011 года ОАО «СУЭК» продало 10% акций ОАО «СУЭК-Красноярск», 10% акций ОАО «СУЭК-Кузбасс» и 10% акций ОАО «Приморскуголь» третьим лицам за 7303 млн руб.</t>
  </si>
  <si>
    <t>27 мая 2011 года компания приобрела 225 845 000 акций ОАО «СУЭК», что составляет 87,7409% выпущенных ею обыкновенных акций, у Donalink Ltd за 7,151 млн долларов США.</t>
  </si>
  <si>
    <t xml:space="preserve">Donalink Limited </t>
  </si>
  <si>
    <t>SUEK plc</t>
  </si>
  <si>
    <t>В мае 2011 года ОАО «СУЭК» и дочерняя компания этой компании приобрели у Donalink Limited 31 155 000 акций (12,10%) ОАО «СУЭК» («казначейские акции») за 993587,648 долларов США (28,237 миллионов рублей).</t>
  </si>
  <si>
    <t>ПАО "ГМК "Норильский никель"</t>
  </si>
  <si>
    <t>Добыча цветных и драгоценных металлов</t>
  </si>
  <si>
    <t>Проект Honeymoon well</t>
  </si>
  <si>
    <t>В сентябре 2020 года Группа продала ряд активов, принадлежащих австралийскому предприятию Группы MPI Nickel Pty Ltd, в том числе никелевый проект Honeymoon well за денежное вознаграждение 2 286 млн. руб. (40 млн. австралийских долл). Чистый приток денежных средств от выбытия активов составил 2 187 млн. руб. и был отражен в консолидированном отчете о движении денежных средств за вычетом расходов на продажу в размере 99 млн. руб. Прибыль от реализации в размере 1 370 млн. руб. признана в консолидированном отчете о прибылях и убытках.</t>
  </si>
  <si>
    <t>Строительная компания</t>
  </si>
  <si>
    <t>6 апреля 2017 года Группа продала долю в дочернем обществе, которое владеет инвестиционной недвижимостью, за вознаграждение 6 349 млн. руб. Поступления денежных средств от выбытия дочернего общества, отраженные в консолидированном отчете о движении денежных средств, составили 4 631 млн. руб. за вычетом выбывших денежных средств и их эквивалентов, и расходов на продажу в размере 917 млн. руб. и 98 млн. руб. соответственно. Прибыль от выбытия в размере 954 млн. руб. была признана в консолидированном отчете о прибылях и убытках.</t>
  </si>
  <si>
    <t>Компания, которая владеет инвестиционной недвижимостью</t>
  </si>
  <si>
    <t>Highland Fund</t>
  </si>
  <si>
    <t>В мае 2017 года Группа продала Highland Fund 2,66% долю в капитале Быстринского проекта за 1 203 млн. руб. (21 млн. долл. США).</t>
  </si>
  <si>
    <t>В октябре 2017 года Группа продала связанной стороне 36,66% долю в капитале Быстринского проекта за 15 699 млн. руб. (275 млн. долл. США).</t>
  </si>
  <si>
    <t>В июле 2016 года Группа продала китайскому инвестору Highland Fund 10,67% долю в капитале Быстринского проекта за 5 049 млн. руб. (80 млн. долл. США).</t>
  </si>
  <si>
    <t>Горная металлургия</t>
  </si>
  <si>
    <t>Морской порт</t>
  </si>
  <si>
    <t>29 ноября 2016 года Группа продала 74.8% долю в ОАО «Архангельский морской торговый порт», дочернем предприятии, расположенном в Российской Федерации, за вознаграждение в размере 419 млн. руб. Балансовая стоимость чистых активов на дату выбытия составляла 479 млн. руб. Убыток от реализации в размере 60 млн. руб. был признан в консолидированном отчете о прибылях и убытках.</t>
  </si>
  <si>
    <t>В 2021 году Группа приняла участие в выкупе акций «Норильского Никеля» с целью привлечения дополнительных средств для финансирования собственной инвестиционной программы. Количество 3 691 465 акций было продано по цене 27 780 рублей за акцию, за общее вознаграждение 1 418 млн долл. США. Балансовая стоимость проданных акций составила 313 млн долл. США, накопленный убыток 613 млн долл. США от пересчета курсовых разниц, относящийся к акциям, был перенесен из резерва в прибыли/(убытки) периода, в результате образовалась прибыль 492 млн долл. США, признанная в консолидированном отчете о прибылях и убытках. Эффективная доля участия в «Норильском Никеле», принадлежащая Группе после сделки, составила 26,39%.</t>
  </si>
  <si>
    <t>В июле 2016 года Группа заключила соглашение о продаже своей 100% доли в Alumina Partners of Jamaica («Alpart») китайской государственной промышленной группе JIUQUAN IRON &amp; STEEL (GROUP) Co. Ltd. («JISCO») за вознаграждение в размере 299 миллионов долларов США. В ноябре 2016 года Группа завершила продажу Alpart и получила полное вознаграждение денежными средствами.</t>
  </si>
  <si>
    <t>В марте 2021 года Группа приобрела дополнительные 55% доли в ООО «Матенвунай» в обмен на денежное вознаграждение в размере $1 млн, увеличив долю голосующих акций до 80%.</t>
  </si>
  <si>
    <t>В апреле 2022 года Группа выкупила дополнительные 27,7% доли в ООО «Пекинская горнодобывающая компания» за денежное вознаграждение в размере $1 млн, в результате доля голосующих акций Компании возросла до 62,7%.</t>
  </si>
  <si>
    <t>Добыча</t>
  </si>
  <si>
    <t>Левобережное</t>
  </si>
  <si>
    <t xml:space="preserve">В июне 2021 года Группа продала третьей стороне 100% доли в небольшом дочернем предприятии «Левобережное» в обмен на денежное вознаграждение в размере $2 млн и условное вознаграждение, оцениваемое в $7 млн на дату договора купли-продажи. </t>
  </si>
  <si>
    <t>В октябре 2021 года Группа приобрела 100% доли в ООО ГПХ «РусКит» (Рускит) в обмен на денежное вознаграждение в размере $2 млн и отложенное вознаграждение, оцениваемое на дату приобретения в $10 млн. Рускит принадлежит лицензия на месторождение Кегали, расположенное в Магаданской области. Выплачиваемое вознаграждение относится к приобретению прав на разработку недр в размере $12 млн, классифицированных как поисковый актив в составе основных средств.</t>
  </si>
  <si>
    <t>В октябре 2020 года Полиметалл согласился инвестировать $0,5 млн в обмен на получение 35% доли в ООО «Пекинская горнодобывающая компания» (Пекинская) с возможностью ее увеличения до 100% в течение нескольких лет через инвестиции («earn-in») в геологоразведку, проведение технологических исследований и выполнение технико-экономического обоснования. Пекинская является геологоразведочной компанией и ведет геологоразведочные работы, направленные на нахождение золотомедных месторождений с серебром в Таймырском Долгано-Ненецком муниципальном районе Красноярского края. Компания занимается получением лицензии на проведение геологоразведки на данной территории.</t>
  </si>
  <si>
    <t>Mineral Exploration Network (Finland) Ltd</t>
  </si>
  <si>
    <t>В мае 2019 года Полиметалл подписал соглашение о намерениях с Mineral Exploration Network (Finland) Ltd (“MEN”) на участие в поисковых работах в Чаунском районе Чукотского АО, Россия. В марте 2020 года сделка была завершена, и Группа инвестировала $0,3 млн в обмен на 25% доли в ООО «Матенвунай». Полиметалл также заключил опцион на увеличение доли в совместном предприятии для финансирования геологоразведочных работ, проведения технологических исследований и подготовки ТЭО в соответствии с Кодексом JORC с правом увеличить долю владения до 80% по завершении указанных работ.</t>
  </si>
  <si>
    <t>Chesterfield Resources PLC</t>
  </si>
  <si>
    <t>В ноябре 2020 года Полиметалл заключил соглашение о приобретении 22,9% доли акций Chesterfield Resources PLC за вознаграждение в размере $2,8 млн. Юниорная компания Chesterfield проводит поисково-разведочные работы на территории Республики Кипр, направленные на нахождение золотомедных месторождений. Сделка была завершена в декабре 2020 года в рамках стратегии Полиметалла по инвестированию в горнодобывающие предприятия в регионах присутствия Компании и расширению портфолио медьсодержащих месторождений.</t>
  </si>
  <si>
    <t>7 августа 2020 года Группа приобрела 75% доли в компании ООО «Новопетровское», дочернем предприятии Росгео, владеющем лицензией на Новопетровскую площадь, за денежное вознаграждение в размере $7 млн. Полиметалл получил 7-летний колл-опцион на выкуп оставшейся 25% доли после постановки запасов на баланс ГКЗ. Компания также получила 7-летний пут-опцион, предоставляющей право обратной продажи 75% доли по номинальной цене. Реализация опциона возможна после постановки запасов на баланс ГКЗ. Колл-опцион не предоставляет потенциального права голоса, так как на данный момент не реализован и имеет нулевую стоимость по состоянию на 31 декабря 2020 года.</t>
  </si>
  <si>
    <t>В апреле 2018 года Группа завершила приобретение месторождения серебра «Прогноз» в Якутии, Россия («Прогноз»), посредством двух последовательных сделок. 13 апреля 2018 г. Группа завершила сделку по приобретению 45 % акций у Polar Acquisition Ltd (PAL) за вознаграждение, выплаченное путем выпуска 6 307 000 новых обыкновенных акций Полиметалла, и 23 апреля 2018 г. приобрела оставшиеся 50 % акций у частного инвестора за вознаграждение, выплаченное путем выпуска 14 152 668 новых обыкновенных акций Компании. В дополнение к вознаграждению за акции, выплаченному PAL и частному инвестору, Полиметалл также обязался выплатить роялти в виде чистого дохода плавильного завода («NSR»). В результате сделок Полиметалл консолидировал свою 100% долю в Прогнозе. Группа определила, что она получила контроль над «Прогнозом» по состоянию на 23 апреля 2018 года. Прогноз является крупнейшим неразрабатываемым месторождением первичного серебра в Евразии с установленными и предполагаемыми ресурсами, соответствующими JORC, которые оцениваются Группой в 2018 году в 256 млн унций при содержании серебра в эквиваленте 789 г/т. Поскольку операции «Прогноз» представляют собой интегрированный комплекс работ с акцентом на геологоразведку.</t>
  </si>
  <si>
    <t>Нежданинское золоторудное месторождение</t>
  </si>
  <si>
    <t>Имущество РМК в Восточном Тарутине</t>
  </si>
  <si>
    <t>Русская медная компания</t>
  </si>
  <si>
    <t>В апреле 2018 года Полиметалл достиг соглашения с Русской медной компанией («РМК») об обмене всего пакета акций Тарутинского месторождения Полиметалла в России на 85% имущества РМК в Восточном Тарутине в Казахстане. В результате сделки Полиметалл получил 85% ТОО «Тарутинское», владельца лицензии на медно-золотое Восточно-Тарутинское месторождение, расположенное в Казахстане. Взамен Полиметалл передал 100% ООО «Восточная База», владельца лицензии на медно-золотое Тарутинское месторождение, расположенное в Российской Федерации. Сделка представляет собой обмен активами и не влечет за собой никаких дополнительных платежей или отложенных платежей. Восточный Тарутин представляет собой медно-золотое месторождение, расположенное в непосредственной близости от Варваринской обогатительной фабрики. Ожидается, что руда будет поставляться для дальнейшей переработки на Варваринском хабе.
В результате Группа приобрела права на добычу полезных ископаемых на сумму 3 млн долл. США.</t>
  </si>
  <si>
    <t>Порт</t>
  </si>
  <si>
    <t>Активы в Охотском порту</t>
  </si>
  <si>
    <t>В ноябре 2018 года Группа продала свою 100% долю в проекте по разведке платины на Светлоборе группе не связанных между собой частных российских покупателей за 5,5 млн долл. США наличными. Чистые активы Светлобора были незначительными, и была зарегистрирована прибыль от выбытия в размере 5 млн долларов США.</t>
  </si>
  <si>
    <t>Проект Светлобор</t>
  </si>
  <si>
    <t>В ноябре 2015 года Группа приобрела 24,9% акций проекта по разведке алмазов, расположенного на северо-западе Российской Федерации, за денежное вознаграждение в размере 2 млн долл. США. В течение года, закончившегося 31 декабря 2017 года, Группа увеличила свою долю в ООО «Проэкс» до 30% за вознаграждение в размере 1 млн долларов США. Группа определила, что имеет значительное влияние на предприятие, и инвестиции учитываются по методу долевого участия.</t>
  </si>
  <si>
    <t>В мае 2017 года Полиметалл приобрел 100% доля ООО «Приморская ГГК», владеющей несколькими лицензиями на разработку серебряно-золотых месторождений, расположенных в Приморском крае России, у несвязанной стороны за денежное вознаграждение в размере 2 млн долл. США</t>
  </si>
  <si>
    <t>В течение года, закончившегося 31 декабря 2016 г., Группа заключила соглашения о продаже своей дочерней компании ООО «Ильинское» и ее ассоциированной компании АО «Верхнетисская горнорудная компания» за совокупное денежное вознаграждение в размере, эквивалентном 20 млн долларов США, подлежащее выплате траншами в течение 2016 г., из из которых 19,8 млн долларов США были отнесены к стоимости активов Высокого месторождения, принадлежащих ООО «Ильинское», а оставшаяся часть – к АО «Верхнетисская горнорудная компания». Выбытие ООО «Ильинское» было завершено 11 мая 2016 года.</t>
  </si>
  <si>
    <t>16 апреля 2015 г. Группа заключила условный договор купли-продажи в отношении продажи своей доли в размере 95,7% в АО ЗДП «Кобольдо». Выбытие было завершено 22 апреля 2015 года. Кобольдо — россыпное месторождение, расположенное в Амурской области на Дальнем Востоке России и представляющее сегмент россыпных месторождений.</t>
  </si>
  <si>
    <t>29 ноября 2013 года Группа продала 76,62% своих инвестиций в ОАО «Берелех» и его дочерних компаниях ООО «Малдяк», ООО «Монолит» и ООО «Элита» за общую сумму денежного вознаграждения в размере 25 млн долларов США.</t>
  </si>
  <si>
    <t>8 июля 2013 г. Группа продала свою долю в размере 21% в ОАО «Верхнетисская горнорудная компания» в пользу ОАО «Красноярская ГГК» за общую сумму денежного вознаграждения в размере 172 756 долл. США и признала прибыль от выбытия 0,5 миллиона долларов США. Группа сохранила оставшиеся 49% в Верхнетисской ГРК, и, соответственно, Верхнетисская ГРК стала ассоциированной компанией Группы с этой даты.</t>
  </si>
  <si>
    <t>4 декабря 2012 г. Группа продала свою 65% долю в ЗАО «ЗРК «Омчак» и его дочернем предприятии ООО «Каурчак» за общую сумму денежного вознаграждения в размере 21,7 млн долларов США. Группа сохранила за собой 25% долю в Омчаке, и, соответственно, с этой даты Омчак стал ассоциированной компанией Группы.</t>
  </si>
  <si>
    <t>7 февраля 2012 г. Группа продала свою долю в дочернем предприятии ЗАО «СеверХром» за общую сумму денежного вознаграждения в размере 7,8 млн долларов США и признала прибыль от выбытия в размере 1,3 млн долларов США. Чистый приток денежных средств от выбытия составил 5,6 млн долларов США.</t>
  </si>
  <si>
    <t>5 декабря 2012 года Группа продала свою долю в дочернем предприятии ООО «Удума» за общую сумму денежного вознаграждения в эквиваленте 4,8 млн долларов США, из которых 2,6 млн долларов США были непогашенными по состоянию на 31 декабря 2012 года, и признала прибыль. о выбытии 2,4 млн долларов США. Чистый приток денежных средств от выбытия составил 2,1 млн долларов США.</t>
  </si>
  <si>
    <t>В соответствии с условиями соглашения о совместном предприятии между Группой и Aluminium Corporation of China Limited («Чайналко»), подписанного и одобренного Министерством торговли Китая 12 августа 2008 г., для создания совместно контролируемого китайского проекта совместного предприятия по переработке титановой губки. , Heilongjiang Jiatai Titanium Co. Limited («Jiatai Titanium») была создана в КНР, при этом 65% акций принадлежат Группе, а остальные 35% принадлежат партнеру по совместному предприятию. Для всех стратегических финансовых и операционных решений, касающихся Jiatai Titanium, требуется единодушное согласие обеих сторон. 11 апреля 2011 года Группа приобрела оставшиеся 35% акций у партнера по совместному предприятию за денежное вознаграждение в размере 11,5 млн долларов США, в результате чего Jiatai Titanium стала дочерней компанией Группы. Приобретенные активы превышают уплаченное вознаграждение в размере 1,4 млн долларов США, что было признано исключительной прибылью.</t>
  </si>
  <si>
    <t>Aluminium Corporation of China Limited</t>
  </si>
  <si>
    <t>Переработка титана</t>
  </si>
  <si>
    <t>Heilongjiang Jiatai Titanium Co. Limited</t>
  </si>
  <si>
    <t>Highland Gold Mining</t>
  </si>
  <si>
    <t>В июне 2022 года Группа приобрела 100%-ные доли владения в ООО «Удинск Золото» и ООО «Берилл Золото» у группы компаний Highland Gold Mining за уплаченное денежное вознаграждение в сумме 8,012 млн рублей и последующие корректировки в сумме 482 млн рублей, которые будут выплачены в будущем. Приобретение было оценено как выгодная покупка, что привело к признанию дохода в сумме 986 млн рублей в промежуточном сокращенном консолидированном отчете о прибылях и убытках. Приобретенные компании дают группе 100%-ную долю в золоторудном месторождении Чульбаткан. Чульбаткан - это месторождение с высоким содержанием золота, расположенное в Хабаровском крае (на Дальнем Востоке). В соответствии с МСФО (IFRS) 3 Группа предварительно оценила справедливую стоимость идентифицируемых активов и обязательств приобретенных компаний на дату приобретения. Данные оцененные суммы являются предварительными и могут быть корректированы в течение периода оценки (не превышающего один год с даты приобретения).</t>
  </si>
  <si>
    <t>Исполнение опциона</t>
  </si>
  <si>
    <t>Ростех</t>
  </si>
  <si>
    <t>Роснедра</t>
  </si>
  <si>
    <t>Месторождение Сухой Лог</t>
  </si>
  <si>
    <t>26 января 2017 года Федеральное Агентство по Недропользованию Российской Федерации («Роснедра») подвело результаты аукциона на право предоставления лицензии на разработку месторождения Сухой Лог - одно из крупнейших неразрабатываемых месторождений в мире и самое крупное в Российской Федерации. На основании информации, имеющейся в наличии у руководства, ООО «СЛ Золото» («СЛ Золото») - дочернее предприятие Группы, одним из крупнейших акционеров (с долей в 49%) которого является Государственная Корпорация Российские технологии («Ростех»), подала заявку с максимальной ценой в размере 9,406 млн. рублей (в том числе 8,551 млн. рублей аванса, уплаченного Роснедрам 21 декабря 2016 года за право за участие в аукционе на право получения лицензии на Сухой Лог). 17 февраля 2017 года распоряжением Правительства Российской Федерации победителем конкурса была признана компания СЛ Золото. На выдачу лицензии на месторождение Сухой Лог Роснедрам может потребоваться до трех месяцев (или более продолжительный период). В соответствии с рядом опционных соглашений, заключенных между АО «Полюс» и Ростехом 16 декабря 2016 года. АО «Полюс» ожидает, что увеличит долю владениям в СЛ Золото на 23.9% уставного капитала в течении следующих пяти лет (с правом досрочного заключения сделок и погашения соответствующих обязательств). Общая сумма ожидаемого вознаграждения составляет приблизительно 8,340 млн. рублей (переведено из долларов США в рубли по курсу на дату аукциона) и должна быть выплачена следующим образом: В первой половине 2017 года - 3,6% (1,248 млрд.руб.); в начале 2019 года - 4,8% (1,668 млрд.руб.); в начале 2020 года - 4,8% (1,668 млрд.руб.); в начале 2021 года - 4,8% (1,668 млрд.руб.); в начале 2022 года - 5,9% (2,088 млрд.руб.);</t>
  </si>
  <si>
    <t>Limpieza Ltd</t>
  </si>
  <si>
    <t>Добыча ильменит-циркониевого концентрата</t>
  </si>
  <si>
    <t>Добыча олова</t>
  </si>
  <si>
    <t>ПАО "Русолово"</t>
  </si>
  <si>
    <t>В декабре 2020 года Группой получен контроль над компанией ООО «Нирунган». Величина приобретаемой доли составила 70%, доля приобретена у связанной стороны. В течение 2020 года ПАО «Селигдар» выступал в качестве единственного подрядчика по отработке месторождения россыпного золота на ручье Юрский для ООО «Нирунган».</t>
  </si>
  <si>
    <t>В январе 2020 года Группа реализовала компанию ООО «Азимут» за 415 500 тысяч рублей. ООО «Азимут» не вело активной деятельности</t>
  </si>
  <si>
    <t>В марте 2022 года ООО «Белое Золото» получило от Федерального агентства по недропользованию лицензию на геологическое изучение, разведку и добычу полезных ископаемых на месторождении Кючус. Стоимость лицензии по итогам аукциона составила 7 735 млн рублей, лицензия оплачена полностью.</t>
  </si>
  <si>
    <t>Федеральное агентство по недропользованию</t>
  </si>
  <si>
    <t>Лицензия на геологическое изучение, разведку и добычу полезных ископаемых на месторождении Кючус</t>
  </si>
  <si>
    <t>В марте 2022 года Общим собранием акционеров ПАО «Селигдар» принято решение об увеличении уставного капитала компании путем дополнительного размещения обыкновенных акций в количестве 37 645 270 штук по закрытой подписке. Дополнительная эмиссия осуществляется с учетом действия преимущественного права; потенциальные приобретатели ценных бумаг: ООО «Максимус» и АО «Трежери Инвест», являющиеся акционерами ПАО «Селигдар». Государственная регистрация дополнительного выпуска обыкновенных акций осуществлена Банком России 25 апреля 2022 года. 27 апреля 2022 года Советом директоров ПАО «Селигдар» определена цена размещения дополнительных обыкновенный акций в размере 50,10 рублей за одну акцию.</t>
  </si>
  <si>
    <t>В мае 2022 года ПАО «Селигдар» приобрело 75% доли в уставном капитале ООО «Хатырхай», владеющего лицензией на геологическое изучение, включающее поиск и оценку месторождения, расположенного на территории Республики Саха (Якутия)</t>
  </si>
  <si>
    <t>В августе 2022 года ООО «Управление золотыми активами», дочерняя компания ПАО «Селигдар», приобрело 33,30% доли в уставном капитале ООО «Белое Золото», став его единственным участником. В результате сделки эффективная доля владения ПАО «Селигдар» в ООО «Белое Золото» увеличилась с 34,02% до 51%.</t>
  </si>
  <si>
    <t>ООО "Юрский"</t>
  </si>
  <si>
    <t>В августе 2022 года ПАО "Селигдар" приобрело 30,00% в уставном капитале ООО "Юрский", став его единственным участником. В результате сделки эффективная доля владения ПАО "Селигдар" в ООО «Нирунган», дочернем предприятии ООО "Юрский", увеличилась с 69,59% до 99,41%.</t>
  </si>
  <si>
    <t>В 3 квартале 2019 года Группой приобретено две компании, ООО «Газнефтеинжиниринг» и ООО «Капитал Центр» у связанных сторон. Величина приобретаемой доли составила 100%.</t>
  </si>
  <si>
    <t>В четвертом квартале 2019 года Группа реализовала компанию АО «Прейсиш-Эйлау» за 706 362 тысяч рублей.</t>
  </si>
  <si>
    <t>Эксплуатация зданий</t>
  </si>
  <si>
    <t>В ноябре 2019 года Группа приобрела дополнительно 2,86% пакет акций ПАО «Русолово»</t>
  </si>
  <si>
    <t>В октябре 2017 года Группа купила дополнительно 3,5% пакет акций ПАО «Русолово» за 117 047 тыс. руб.</t>
  </si>
  <si>
    <t>В декабре 2017 года Группа получила контроль над компанией ООО «Правоурмийское». В течение предыдущих периодов Группа имела контроль над 33,33% Компании. В декабре 2017 года Группа была назначена управляющей компанией над ООО «Правоурмийское», что в соответствии с Уставом дает право определять решения ООО «Правоурмийское». Группа расценивает эту событие как получение контроля над Компанией. Общая стоимость сделки составила 548 078 тыс. рублей.</t>
  </si>
  <si>
    <t>Капиталовложения в ценные бумаги</t>
  </si>
  <si>
    <t>Добыча олова и вольфрама</t>
  </si>
  <si>
    <t>В октябре 2016 года Группа реализовала компанию ООО "Авес-Байкал".</t>
  </si>
  <si>
    <t>22 сентября 2020 года, после одобрения внеочередным Общим собранием акционеров ПАО «Лензолото», АО «Полюс Красноярск» приобрело 94,4% акций АО «ЗДК «Лензолото» и выплатило денежными средствами 19,900 млн рублей. АО «ЗДК «Лензолото» владеет всеми производственными активами и лицензиями на добычу.</t>
  </si>
  <si>
    <t>В январе 2021 года АО «Полюс Красноярск» приобрело 1 002 обыкновенных акций ПАО Лензолото за 19,6 млн. рублей в рамках финальных процедур по Предложению по выкупу акций. По итогам реализации Предложения АО «Полюс Красноярск» в настоящее время владеет 94,79% обыкновенных и 4,46% привилегированных акций «Лензолото» (73,68% от уставного капитала ПАО «Лензолото»).</t>
  </si>
  <si>
    <t>Рудник Зун-Холба</t>
  </si>
  <si>
    <t>В апреле 2021 года руководство Группы приняло решение о продаже рудника Зун-Холба. В этом же месяце была осуществлена сделка по продаже 100% доли дочерней компании. Вознаграждение по сделке составило 200 000 тыс. руб., полученное в виде денежных средств. Чистые активы дочерней компании на момент выбытия были равны -344 871 тыс. руб. Одновременно с продажей доли в уставном капитале дочерней компании была оформлена переуступка внутригруппового долга на сумму 589  389 тыс. руб. Вознаграждение по этой операции составило 218 519 тыс. руб. Убыток, отраженный в отчете о прибылях и убытках в составе прочих расходов, составил 370 870 тыс. руб.</t>
  </si>
  <si>
    <t>Добыча полиметаллов</t>
  </si>
  <si>
    <t>В течение 2018 года Компания осуществила вклад в имущество дочерней компании в размере 3 400 000 тыс.руб. Кроме того, 11 декабря 2018 года Группа приобрела дополнительные 23% в АО «Сибирь-Полиметаллы» за 504 435 тыс. руб., увеличив свою долю с 61% до 84%.</t>
  </si>
  <si>
    <t>Tenaris</t>
  </si>
  <si>
    <t>Производство трубопроводных систем для атомной промышленности</t>
  </si>
  <si>
    <t>Услуги по нанесению покрытий на трубы</t>
  </si>
  <si>
    <t>В марте 2020 г. Группа приобрела 49%-ную долю в компании АО «Уралчермет», которая специализируется на предоставлении услуг по нанесению покрытий на трубы, за вознаграждение в размере 121. До даты приобретения АО «Северский трубный завод» (дочернее предприятие ПАО «ТМК») владело 26%-ной долей в Уралчермет, которая была учтена в качестве инвестиций в ассоциированную компанию. Оценка активов и обязательств Уралчермет была завершена во 2 квартале 2020 года. По состоянию на дату сделки справедливая стоимость приобретенных активов и принятых обязательств компании составила 2 021 и 1 768 соответственно. Стоимость неконтролирующих долей участия составила 63.</t>
  </si>
  <si>
    <t>В 2018 г. Группа частично утратила контроль над предприятием ТМК Gulf International Pipe Industry L.L.C., расположенным в Султанате Оман, и производящим сварные трубы; вознаграждение за выбывшую долю составило 158. Группа отразила прибыль от данной транзакции в размере 729 (включая перевод из состава капитала накопленных курсовых разниц от пересчета в валюту представления в размере 1851 и от хеджирования чистой инвестиции в иностранные компании в размере 1095 за вычетом налога на прибыль в размере 274). Балансовая стоимость выбывших чистых активов и обязательств составила 598, балансовая стоимость неконтролирующих долей участия, признание которых было прекращено, составила 294. Оставшаяся доля участия в предприятии была отражена по справедливой стоимости в размере 119 в составе инвестиций в ассоциированные компании и совместные предприятия.</t>
  </si>
  <si>
    <t>OFS Development S.a r.l.</t>
  </si>
  <si>
    <t>Сервис трубной продукции</t>
  </si>
  <si>
    <t>4 и 5 марта 2021 г. Группа заключила соглашения о продаже компаний, относящихся к сегменту нефтепромысловых сервисных услуг «Нефтесервисного дивизиона», и компании ООО «Киберсталь», относящейся к сегменту по производству стальных труб. Общее вознаграждение по соглашениям составило 10 139, все расчеты были завершены в марте 2021 г. Поступление денежных средств (за вычетом денежных средств выбывших компаний) составило 8 620.</t>
  </si>
  <si>
    <t>В 2019 году Группа выкупила неконтролирующую долю владения в ПАО "Ижнефтемаш" у третьей стороны за денежное вознаграждение 86</t>
  </si>
  <si>
    <t>ПАО "Ижнефтемаш"</t>
  </si>
  <si>
    <t>Изготовление и сбыт насосов</t>
  </si>
  <si>
    <t>В 2020 году Группа приобрела 100% долю в АО «Группа ЧТПЗ» у акционера, осуществляющего контроль над Группой, за денежное вознаграждение в размере 3,287. Данная сделка была классифицирована как покупка актива, поскольку приобретенная компания не отвечает критериям бизнеса как это определено в МСФО 3. АО «Группа ЧТПЗ» на момент приобретения не имела существенных активов и обязательств за исключением нематериальных активов, представленных в виде товарных знаков, используемых компаниями Группы ЧТПЗ. Справедливая стоимость приобретения доли в АО «Группа ЧТПЗ» была определена независимым оценщиком и отнесена на приобретенные товарные знаки в полном объеме.</t>
  </si>
  <si>
    <t>Холдинговая компания (Держатель объектов интеллектуальной собственности)</t>
  </si>
  <si>
    <t>Изготовление и сбыт штампосварных деталей трубопроводов и трубопроводной арматуры</t>
  </si>
  <si>
    <t>В 2018 году Группа выкупила неконтролирующую долю владения в ООО «Этерно» и MSA у связанной стороны за денежное вознаграждение в размере 5,300, а также неконтролирующую долю владения в ИНМ у третьей стороны за денежное вознаграждение в размере 204</t>
  </si>
  <si>
    <t>В 2018 году Группа выкупила неконтролирующую долю владения в ООО «Этерно» и MSA у связанной стороны за денежное вознаграждение в размере 5,300, а также неконтролирующую долю владения в ИНМ у третьей стороны за денежное вознаграждение в размере 205</t>
  </si>
  <si>
    <t>В декабре 2016 года Группа завершила продажу третьей стороне контрольного пакета акций дочерней компании операционного сегмента «Нефтесервисный дивизион» ООО «Юганскнефтегазгеофизика» («ЮНГГФ»).</t>
  </si>
  <si>
    <t>В августе 2021 года был заключен договор с ООО «Трансэнергопром» о продаже принадлежащих Группе 100 процентов акций АО «Чувашская энергосбытовая компания» за денежное вознаграждение в размере 300 млн рублей. Сделка была завершена в сентябре 2021 года после погашения обязательств АО «Чувашская энергосбытовая компания» по существующим кредитным обязательствам перед банками и снятия с Общества поручительств по данным кредитным соглашениям.</t>
  </si>
  <si>
    <t>В течение 2020 года Группа завершила сделку по обмену активами с ООО «МК «Доналинк», которая включает обмен 100 процентов акций АО «ЛУР» и 100-процентной доли в уставном капитале ООО «Приморская ГРЭС» на 41,98 процента акций дочернего  общества Группы ПАО «ДЭК». Справедливая стоимость переданных активов была определена в сумме 5 640 млн рублей, что эквивалентно величине справедливой стоимости полученного пакета акций ПАО «ДЭК».</t>
  </si>
  <si>
    <t>В декабре 2019 года был заключен договор с ОАО «Разданская энергетическая компания (РазТЭС)» о продаже принадлежащих Группе 90 процентов акций ЗАО «Международная энергетическая компания» (ЗАО «МЭК») за денежное вознаграждение в размере 173 млн рублей. Сделка была завершена в марте 2020 года после погашения покупателем кредитных обязательств ЗАО «МЭК» перед Европейским банком реконструкции и развития и Азиатским банком развития, и снятия с Общества поручительств по данным кредитам.</t>
  </si>
  <si>
    <t>В декабре 2016 года Группа завершила сделку по продаже Группе «Интер РАО» 100 процентов доли в уставном капитале ООО «ЭСКБ» (энергосбытовая компания, являющаяся гарантирующим поставщиком по реализации электрической энергии на территории Республики Башкортостан). Прибыль от продажи ООО «ЭСКБ» в сумме 3 048 млн рублей отражена в составе прочих операционных доходов за год, закончившийся 31 декабря 2016 года.</t>
  </si>
  <si>
    <t>В марте-мае 2020 года Группа приобрела 0,166% обыкновенных акций и 3,657% привилегированных акций ПАО «Тамбовская энергосбытовая компания» у неконтролирующих акционеров (0,602% от общего числа голосующих акций компании) в рамках добровольного публичного предложения за 2 млн. руб. В результате Группа увеличила свое участие в ПАО «Тамбовская энергосбытовая компания» до 85,64%.</t>
  </si>
  <si>
    <t>Rus Gas Turbines Holdings B.V.</t>
  </si>
  <si>
    <t>В сентябре 2020 года Группа приобрела контроль в компании Rus Gas Turbines Holdings B.V., увеличив свою долю c 50% до 50,999%. В рамках сделки было заключено опционное соглашение на покупку и продажу оставшейся доли акций компании Rus Gas Turbines Holdings B.V. с периодом исполнения от 4 до 6 лет и с дополнительной возможностью пролонгации до 1 года. Стоимость реализации опционного соглашения варьируется и зависит от достижения компанией уровня локализации производимых турбин. Справедливая стоимость опциона на дату приобретения составила 3 263 млн. руб. и была отражена в составе долгосрочного обязательства, как часть вознаграждения, переданного при приобретении. Одновременно Rus Gas Turbines Holdings B.V. заключила лицензионное соглашение с компанией General Electric, согласно которому получила эксклюзивные права на производство и сервисное обслуживание турбин сроком на 25 лет, которое было учтено на дату приобретения как идентифицируемый актив справедливой стоимостью 9 879 млн. руб. в составе внеоборотных активов. Справедливая стоимость доли Группы в Rus Gas Turbines Holdings B.V. в размере 50% на момент приобретения составила 1 543 млн. руб. и была учтена как часть возмещения переданного при приобретении.</t>
  </si>
  <si>
    <t>Производство и сервисное обслуживание турбин</t>
  </si>
  <si>
    <t>В мае 2021 года Группа приобрела 100% доли участия в уставном капитале ИТ-компании ООО «Сигма» (включая два дочерних общества) у третьих лиц за денежное вознаграждение в размере 9 700 млн. руб. Группа «Сигма» оказывает комплексные услуги по цифровизации электроэнергетического сектора России, включая разработку, внедрение и поддержку аналитических, биллинговых и платежных систем, мобильных решений, продуктов и услуг для автоматизации электросетевых и энергосбытовых компаний. Приобретенные компании в секторе информационных технологий обеспечат высокий уровень цифровой трансформации для существующих и новых активов Группы «Интер РАО». Синергетический эффект будет достигнут за счет оптимизации ключевых бизнес-процессов в части управления производственными активами и энергосбытовой деятельностью, внедрения новых цифровых продуктов и сервисов, а также развития новых компетенций в ИТ сфере. Гудвил, возникающий при приобретении и обусловленный указанными выше факторами, составил 8 693 млн. руб.</t>
  </si>
  <si>
    <t>Электроэнергетика (EPC и АСКУЭ)</t>
  </si>
  <si>
    <t>В мае 2021 года Группа приобрела 100% доли участия в уставном капитале 11 строительно-инжиниринговых компаний (ООО «Энергосеть», ООО «СтройЭнергоКом», ООО «НПК Химстройэнерго», ООО «Сиб МИР», ООО «Маштехстрой», ООО «КПЭИ», ООО «И-Трейд», ООО «эВ-групп», ООО «Энергетическое строительство», ООО «ИК Энергия», ООО «Инженерные Технологии») у третьих лиц за денежное вознаграждение в размере 37 197 млн. руб. Данные компании выполняют функции генерального подрядчика, проектировщика и поставщика оборудования в энергетическом и электросетевом секторах, а также проектировщика и установщика автоматизированных систем контроля и учета электроэнергии (АСКУЭ). Данная сделка способствует повышению контроля за надежностью, качеством, сроками исполнения, закупками оборудования и себестоимостью при реализации проектов строительства энергетических объектов и осуществлении программы установки интеллектуальных систем учета. Приобретенные компании позволят создать в отрасли крупных игроков с надежной репутацией, выйти на новые рынки, расширить номенклатуру продукции и услуг. Компании образуют синергию с действующими активами Группы за счет экономии на подрядных работах и закупках оборудования, а также сформируют новые компетенции в сфере электроэнергетики и смежных отраслях посредством оказания услуг внешним заказчикам. Гудвил, возникающий при приобретении и обусловленный указанными выше факторами, составил 36 074 млн. руб.</t>
  </si>
  <si>
    <t>В феврале 2019 года Группа приобрела 11,53% обыкновенных акций и 4,71% привилегированных акций АО «Томскэнергосбыт», принадлежащих неконтролирующим акционерам (10,83% от общего числа голосующих акций компании), в результате добровольной публичной оферты от 12 ноября 2018 г., за денежное вознаграждение в размере 270 млн. руб. Таким образом, Группа увеличила свое участие в АО «Томскэнергосбыт» до 95,84%.</t>
  </si>
  <si>
    <t>24 мая 2019 г. Группа приобрела 2,85% обыкновенных акций и 15,67% привилегированных акций на общую сумму 104 млн. руб. и увеличила свое участие в АО «Томскэнергосбыт» с 95,84% до 100,00%.</t>
  </si>
  <si>
    <t>В декабре 2019 года Группа приобрела 0,06% обыкновенных акций и 0,01% привилегированных акций ПАО «Тамбовская энергосбытовая компания» у неконтролирующих акционеров (0,06% от общего числа голосующих акций компании) в рамках добровольного публичного предложения за 0,3 млн. руб. В результате Группа увеличила свое участие в ПАО «Тамбовская энергосбытовая компания» до 85,04%.</t>
  </si>
  <si>
    <t>В августе 2019 года Группа приобрела 20,25% обыкновенных акций и 0,13% привилегированных акций ПАО «Тамбовская энергосбытовая компания», принадлежащих неконтролирующим акционерам (17,74% от общего числа голосующих акций компании), за денежное вознаграждение в размере 77 млн. руб. Таким образом, Группа увеличила свое участие в ПАО «Тамбовская энергосбытовая компания» до 84,98%.</t>
  </si>
  <si>
    <t>По состоянию на 31 декабря 2017 г. Группа владела 93,58% акций АО «Томскэнергосбыт». В августе 2018 года АО «Томскэнергосбыт» выпустило дополнительно 1 260 000 тысяч обыкновенных акций в пользу одной из компаний Группы. В результате дополнительной эмиссии Группа увеличила свое участие в АО «Томскэнергосбыт» на 1,43% до 95,01%.
В октябре 2018 года Группа продала 10% обыкновенных акций АО «Томскэнергосбыт» третьей стороне за денежное вознаграждение в размере 244 млн. руб. Таким образом, Группа сократила свое участие в АО «Томскэнергосбыт» до 85,01%.
12 ноября 2018 г. Группа объявила добровольное публичное предложение о приобретении обыкновенных акций АО «Томскэнергосбыт», принадлежащих неконтролирующим акционерам. Цена предложения была установлена на уровне 0,44 руб. за одну акцию. По состоянию на 31 декабря 2018 г. Группа признала обязательство по выкупу акций неконтролирующих акционеров в сумме 373 млн. руб.</t>
  </si>
  <si>
    <t>В ноябре 2017 года Группа дополнительно приобрела 1,81% обыкновенных акций и 6,05% голосующих привилегированных акций ПАО «Тамбовская энергосбытовая компания» (рассчитывается исходя из общего количества голосующих акций) за 14 млн рублей. В результате приобретения Группа увеличила свою долю в дочерней компании ПАО «Тамбовская энергосбытовая компания» до 67,24%.</t>
  </si>
  <si>
    <t>В ноябре 2017 года Группа дополнительно приобрела 2,87% голосующих привилегированных акций ПАО «Саратовэнерго» (рассчитывается исходя из общего количества голосующих акций) за 12 млн рублей. В результате приобретения Группа увеличила свою долю в дочернем предприятии ПАО «Саратовэнерго» до 59,84%.</t>
  </si>
  <si>
    <t>По состоянию на 31 декабря 2016 г. Группа владеет 93,99% обыкновенных акций АО «Мосэнергосбыт». В июне 2016 года годовым собранием акционеров ОАО «Мосэнергосбыт» принято решение об увеличении уставного капитала Общества путем размещения по закрытой подписке обыкновенных акций Общества. В феврале 2017 года Группа приняла участие в размещении акций ОАО «Мосэнергосбыт» на сумму 3 935 млн рублей. Общая сумма размещения акций составила 4 020 млн рублей. 19 июня 2017 года Группа объявила о добровольной публичной оферте о приобретении обыкновенных акций АО «Мосэнергосбыт», принадлежащих неконтролирующим акционерам. Цена размещения была установлена в размере 0,405 рубля за одну обыкновенную акцию. Срок действия оферты истек 28 августа 2017 г. В результате добровольной публичной оферты Группа увеличила свою долю в ОАО «Мосэнергосбыт» до 100%.</t>
  </si>
  <si>
    <t>ПАО "Энел Россия"</t>
  </si>
  <si>
    <t>В августе 2017 года Группа приобрела за денежное вознаграждение 100%-ную долю участия в компании ООО «Энел Рус Винд Дженерейшн» и ее дочерних компаниях ООО «Виндлайф Кола Ветро ЛЛ1» и ООО «Азовская ВЭС». Компании были приобретены для дальнейшей реализации проектов ветрогенерации. Приобретенные идентифицируемые активы в основном представляют собой предоплату по соглашениям о предоставлении технических услуг. В 2018 году компании ООО «Азовская ВЭС» и ООО «Виндлайф Кола Ветро ЛЛ1» были переименованы в ООО «Энел Рус Винд Азов» и ООО «Энел Рус Винд Кола», соответсвенно.</t>
  </si>
  <si>
    <t>ООО "Юнипер НефетеГаз"</t>
  </si>
  <si>
    <t>ООО "Юнипер НефетеГаз" (100% дочерняя компания ПАО «Юнипро») было приобретено 30 сентября 2021 года. Справедливая стоимость возмещения на дату приобретения составила 173 832 тыс. руб. Затраты на приобретение равнялись 147 181 тыс. руб. Сумма неблагоприятной репутации, возникшая в результате приобретения, составляет 26 651 тыс. руб.</t>
  </si>
  <si>
    <t>23 мая 2017 года Члены Правления ПАО «Юнипро» одобрили план мероприятий по отчуждению 51%-ной доли акций ОАО «Шатурская управляющая компания», принадлежащих ПАО Юнипро. 17 октября 2017 года доля была продана компании АО «ЖКХ Столица» за 16 000 тыс. руб., которые были получены денежными средствами в октябре 2017 года.</t>
  </si>
  <si>
    <t>14 июля 2016 года аффилированная с ПАО «Юнипро» компания OOO «Э.ОН Коннектинг Энерджис» приобрела 50% акций в АО «НАТЭК Инвест-Энерго», которое владеет и эксплуатирует мини-ТЭЦ в Красногорском районе Московской области. 25 мая 2016 года сделка была одобрена Федеральной антимонопольной службой. Общая стоимость 50%-ной доли участия в АО «НАТЭК Инвест-Энерго», согласно Договору куплипродажи, подлежащая выплате компанией ООО «Э.ОН Коннектинг Энерджис» (Покупатель), состоит из следующих компонентов: 1) первая выплата - денежный платеж в сумме 383 000 тыс. руб. в пользу Первоначального акционера (Продавец) за приобретение доли в размере 50% (платеж совершен 21 июля 2016 года); 2) вторая выплата - денежный платеж в сумме 100 000 тыс. руб. в пользу Первоначального акционера (Продавец) при условии получения первого авансового платежа по договору на техническое подключение к сетям теплоснабжения БЦ «Два Капитана» (запланированный платеж в срок до 31 декабря 2017 года не был осуществлен, так как не было произведено технического подключения, данное подключение и платеж возможно будут осуществлены в 2018 году); 3) третья выплата - денежный платеж в сумме 50 000 тыс. руб. в пользу Первоначального акционера (Продавец) спустя один год после подписания последнего из актов о техническом подключении к сетям теплоснабжения и технологическом присоединении к электрическим сетям БЦ «Два Капитана», но не позднее 31 декабря 2017 года, при условии, что оба акта (о техническом подключении к сетям теплоснабжения и технологическом подсоединении к электрическим сетям) подписаны на эту дату. Запланированный платеж в срок до 31 декабря 2017 года не был осуществлен, так как не было произведено технического подключения, данное подключение и платеж возможно будет осуществлен в 2018 году); 4) финальная выплата - денежный платеж в сумме не более 100 000 тыс. руб. в пользу Первоначального акционера (Продавец) в рамках Переменной части Цены покупки, рассчитываемый на основании фактического полезного отпуска электрической и тепловой энергии за 2018 года (платеж возможно будет совершен в срок до 31 января 2019 года). Возмещение, переданное ООО «Э.ОН Коннектинг Энерджис», было основано на результатах оценки стоимости бизнеса приобретенного предприятия в целом, произведенной внешним оценщиком АО КПМГ. Однако, в соответствии с МСФО (IFRS) 3 «Объединение бизнеса» Группа должна отражать приобретения по справедливой стоимости приобретенных активов и принятых при приобретении обязательств и условных обязательств АО «НАТЭК Инвест-Энерго» на дату приобретения. Эти два разных подхода могут привести к расхождениям в учете.</t>
  </si>
  <si>
    <t>E.ON Connecting Energies GmbH</t>
  </si>
  <si>
    <t>1 июня 2015 г. Совет директоров ОАО «Э.ОН Россия» одобрил продажу 50%-ной доли владения в 100%-ном дочернем обществе ООО «Э.ОН Коннектинг Энерджис», которое владеет 67%-ной долей участия в ООО «Ногинский Тепловой Центр». Доля была продана компании E.ON Connecting Energies GmbH (связанная сторона через материнскую компанию) за 1 000 тыс.руб., которые были получены денежными средствами в июле 2015 года. В результате этих изменений доля владения Группы в ООО «Э.ОН Коннектинг Энерджис» составила 50 %, и Группа потеряла контроль над ООО «Э.ОН Коннектинг Энерджис» с 01 июля 2015 г. После потери контроля Группа определила ООО «Э.ОН Коннектинг Энерджис» как совместное предприятие в сфере технологий распределенного производства энергии на территории Российской Федерации и учитывает свою долю в чистых активах компании по методу долевого участия. Соглашение акционеров также предусматривает, что ключевые стратегические, операционные и финансовые решения подлежат одобрению единогласно обоими участниками. В результате этой сделки эффективная доля участия Группы в ООО «Ногинский Тепловой Центр» снизилась с 67% до 34%.</t>
  </si>
  <si>
    <t>Предоставление распределенных энергетических решений для всех видов заказчиков</t>
  </si>
  <si>
    <t xml:space="preserve">29 января 2014 года ООО «Э.ОН Коннектинг Энерджис» (компания Группы) и компания AMG Industrial Investment Corporation AG заключили Договор купли-продажи в отношении 67% доли участия в ООО «Ногинский Тепловой Центр» (далее «сделка»). ООО «Ногинский Тепловой Центр» управляет двумя газотурбинными ТЭЦ общей мощностью 30 МВт и производит электрическую и тепловую энергию и реализует ее покупателям, расположенным в Индустриальном Парке Борилово в Ногинском районе  Московской области в России. В число арендаторов парка (клиентов ООО «Ногинский Тепловой Центр») входят такие ведущие компании, как химико-фармацевтическая группа Bayer, международный производитель косметики Oriflame, розничная сеть Metro и американская корпорация быстрого питания Макдоналдс. К апрелю 2014 года Группа получила безусловное и безоговорочное разрешение на осуществление сделки от Федеральной антимонопольной службы России. 15 апреля 2014 года Группа признала приобретение 67%-ной доли участия в ООО «Ногинский Тепловой Центр». Общая стоимость 67%-ной доли участия в ООО «Ногинский Тепловой Центр», согласно Договору купли-продажи, подлежащая выплате компанией ООО «Э.ОН Коннектинг Энерджис», состоит из следующих компонентов: 1) первая выплата - денежный платеж в сумме 22 040 630 евро (1 099 519 тыс. руб.) в пользу AMG Industrial Investment Corporation AG (платеж совершен 15 апреля 2014 года); 2) остаток - денежный платеж в виде 2 000 000 евро в пользу AMG Industrial Investment Corporation AG (платеж будет совершен в срок до 31 декабря 2018 г.); 3) бонус - денежный платеж от нуля до 272 100 тыс. руб. ООО «Э.ОН Коннектинг Энерджис» обязан дополнительно выплатить 10 547 рублей за каждый полный кВт законтрактованной ООО «Ногинский Тепловой Центр» мощности сверх 25.45 мВт, законтрактованных на дату Договора купли-продажи, но не более чем на 272 100 тыс. руб. в совокупности за период до 31 декабря 2018 года. Второй и третий компоненты учтены по справедливой стоимости в сумме 278 486 тыс. руб. Справедливая стоимость была определена на основе применения метода дисконтированных денежных потоков. Оценка справедливой стоимости второго компонента определена путем дисконтирования денежного платежа с применением ставки дисконтирования в размере 3,6%, представляющей стоимость долгового финансирования. Оценка справедливой стоимости третьего компонента определена путем дисконтирования максимального денежного платежа с применением средневзвешенной стоимости капитала в размере 9,6%. В результате приобретения Группа получила контроль над операционной и финансовой деятельностью ООО «Ногинский Тепловой Центр» за счет возможности использования большинства голосов на общем собрании акционеров. Возмещение, переданное Группой, было основано на результатах оценки стоимости бизнеса приобретенного предприятия в целом, произведенной внешним оценщиком KPMG AG Wirtschaftsprüfungsgesellschaft. Однако, в соответствии с МСФО (IFRS) 3 «Объединение бизнеса» Группа должна отражать приобретения по справедливой стоимости приобретенных активов и принятых при приобретении обязательств и условных обязательств ООО «Ногинский Тепловой Центр» на дату приобретения. Эти два разных подхода могут привести к расхождениям в учете, и, как представлено в таблице ниже, признанию гудвила. </t>
  </si>
  <si>
    <t>Группа ОГК-1</t>
  </si>
  <si>
    <t>27декабря 2019 года Группа приобрела 38% долю в уставном капитале ООО «ГЭХ Индустриальные активы» за 20 000 млн рублей с оплатой денежными средствами. Указанная инвестиция учитывается как инвестиция в ассоциированную организацию Группы по методу долевого участия по состоянию на 31 декабря 2020 года. Вид деятельности ООО «ГЭХ Индустриальные активы» - разработка и изготовление энергосберегающего турбокомпрессорного и газоперекачивающего оборудования.</t>
  </si>
  <si>
    <t>Производство оборудования</t>
  </si>
  <si>
    <t>Группа ТГК-1</t>
  </si>
  <si>
    <t>ООО "Дубровская ТЭЦ"</t>
  </si>
  <si>
    <t>27 Апреля 2012 года Группа продала 100% акций дочерней компании ООО «Кольская тепловая компания» третьей стороне по договорной цене 13 950 тыс. руб.</t>
  </si>
  <si>
    <t>ТГК-2</t>
  </si>
  <si>
    <t>В сентябре 2020 года Группа приобрела контроль над ООО «ПГЛЗ» в результате покупки 99,9% акций предприятия. Группа определила, что приобретенные активы и процессы в значительной мере способствуют возникновению выручки, и сделала вывод, что купила бизнес. Вознаграждение составило 71 млн. долл. США и было уплачено деньгами до 1 января 2020 года. Справедливая стоимость чистых активов составила 24 млн. долл. США, включая основные средства, оцененные в 21 млн. долл. США.</t>
  </si>
  <si>
    <t>Глинозем</t>
  </si>
  <si>
    <t>В 2021 году Группа увеличила свою эффективную долю участия в «Иркутскэнерго» с 93,2% до 98,03% за 44 млн долларов США.</t>
  </si>
  <si>
    <t>В 2019 году Группа приобрела 0,4% акций «Иркутскэнерго» за 5 млн долларов США. В результате доля Группы в ОАО «Иркутскэнерго» по состоянию на 31 декабря 2019 года увеличилась до 93,2%.</t>
  </si>
  <si>
    <t>В 2018 году Группа приобрела 0,3% акций Иркутскэнерго за 3 млн долл. США, в результате чего доля владения Группы по состоянию на 31 декабря 2018 года: 92,8%</t>
  </si>
  <si>
    <t>В июне 2016 года Группа приобрела 40,3% акций ПАО «Иркутскэнерго» у компании «Интер РАО» за вознаграждение в размере 1 047 млн долл. США (70 млрд руб.) при следующих условиях платежа: - первый взнос осуществляется в день заключения сделки в размере совершения 676 млн долл. США (45 млрд руб.) - в течение следующих 2 лет выплачиваются 8 равных ежеквартальных взносов в размере 46,75 млн долл. США за квартал (3 125 млн руб.). Справедливая стоимость вознаграждения была определена путём дисконтирования долгосрочной части кредиторской задолженности по ставке в 11,9% и составила 1 020 млн долл. США. Приобретение финансируется посредством получения синдицированного кредита от ПАО «ВТБ Банк» (ВТБ) и ПАО «Сбербанк» (Сбербанк).</t>
  </si>
  <si>
    <t>В июне 2016 года АО «Евросибэнерго» сделало обязательное предложение миноритарным акционерам «Красноярской ГЭС» на приобретение неконтролирующего пакета акций. Цена предложения была основана на средневзвешенной цене за шестимесячный период торгов до предложения и составила 81,1 руб. за акцию (1,2 долл. США). Результатом предложения стало приобретение 10,0% акций за 50 млн долл. США.</t>
  </si>
  <si>
    <t>В ноябре 2010 года Группа приобрела 100% акций Catona Commercial Limited, которая является партнером с ограниченной ответственностью Wolfensohn Capital Partners, L.P. с долей 40% от общей суммы обязательств партнеров (250 млн долларов США), за 23 млн долларов США, оплаченных денежными средствами. Инвестиции были приобретены у связанной стороны, находящейся под общим контролем с Группой. Справедливая стоимость инвестиций по состоянию на 31 декабря 2016 г. была определена в размере 23 млн долл. США (31 декабря 2015 г.: 27 млн долл. США, 31 декабря 2014 г.: 41 млн долл. США). В течение 2016 года Группа внесла ноль долларов США в пользу Wolfensohn Capital Partners, L.P. и получила 11 миллионов долларов США (в 2015 году ноль миллионов долларов США и 10 миллионов долларов США, в 2014 году 1 миллион долларов США и 13 миллионов долларов США соответственно).
Оставшееся изменение между признанной стоимостью инвестиций на 31 декабря 2016 г. и изменениями в течение 2016 г. было признано в составе прочего совокупного дохода как нереализованная прибыль от инвестиций, имеющихся в наличии для продажи, в размере 7 млн долл. США (31 декабря 2015 г.: убыток в размере 4 долл. США). миллионов, 31 декабря 2014 г.: ноль миллионов долларов США)</t>
  </si>
  <si>
    <t>Catona Commercial Limited</t>
  </si>
  <si>
    <t>В январе 2017 года Группа приобрела 100% акций ООО «ГрандСтрой», Кредитора Материнской Компании по кредитному соглашению, за денежное возмещение в размере 3 млн долл. США</t>
  </si>
  <si>
    <t>27 декабря 2019 года Группа приобрела 43,066% долю в уставном капитале ООО «ГЭХ Индустриальные активы» за 22 700 млн рублей с оплатой денежными средствами. ООО «ГЭХ Индустриальные активы» и его дочерние организации осуществляют свою деятельность преимущественно в Российской Федерации, основной деятельностью которых является разработка и изготовление энергосберегающего турбокомпрессорного и газоперекачивающего оборудования. 31 декабря 2020 года доля Группы уменьшилась с 43,066% до 42,185% с связи с увеличением уставного капитала ООО «ГЭХ Индустриальные активы» путем внесения дополнительного вклада одним из участников общества – АО «Газпром энергоремонт».</t>
  </si>
  <si>
    <t>Разработка и изготовление энергосберегающего турбокомпрессорного и газоперекачивающего оборудования</t>
  </si>
  <si>
    <t>Проектирование</t>
  </si>
  <si>
    <t>В январе 2017 года Группа приобрела 100% долю в уставном капитале ООО «Мосэнергопроект» за 650 млн рублей с оплатой денежными средствами.</t>
  </si>
  <si>
    <t>28 сентября 2017 года Группа приобрела 80% долю в уставном капитале ООО «Ремонтпроект» за 15 млн рублей, а 4 октября 2017 года еще 19% - за 4 млн рублей с оплатой денежными средствами. Итого приобретенная доля в ООО «Ремонтпроект» составила 99%.</t>
  </si>
  <si>
    <t>В декабре 2017 года дочернее общество Группы ООО «Долговое агентство» приобрело 398 225 млн штук обыкновенных акций ПАО «ТГК-2» (27% от уставного капитала), которые были переданы в доверительное управление ООО «СОВЛИНК». С марта 2018 года по июль 2019 года доверительное управление правами по обыкновенным акциям Общества, принадлежащим ООО «Долговое агентство» на праве собственности, осуществляла компания КОСТРОМА КОГЕНЕРАЦИЯ ЛИМИТЕД (KOSTROMA KOGENERATS1YA LIMITED). С 27 марта 2020 г. по 27 декабря 2021 г. пакет акций в полном объеме (27%) находился в доверительном управлении ООО «СОВЛИНК». С 28 декабря 2021 г. 25% от уставного капитала Общества, принадлежащие ООО «Долговое агентство» на праве собственности, находятся в доверительном управлении ООО «СОВЛИНК». Данные акции отражаются в консолидированном отчете о финансовом положении как собственные выкупленные акции по поминальной стоимости, а разница между суммой переданного возмещения, включая все непосредственно связанные со сделкой дополнительные затраты (за вычетом налога на прибыль), и номинальной стоимостью акций были признаны в составе эмиссионного дохода. В консолидированном отчете о совокупном доходе не признавались никакие доходы и расходы, связанные с выкупом собственных акций.</t>
  </si>
  <si>
    <t>ПАО "Иркутскэнерго"</t>
  </si>
  <si>
    <t>МКПАО ЭН+ ГРУП</t>
  </si>
  <si>
    <t>21,37% котируемых акций ЭН+ ГРУП, приобретенные Группой в феврале 2020 года</t>
  </si>
  <si>
    <t>ПАО "Иркутскэнерго" (Группа)</t>
  </si>
  <si>
    <t>В марте 2021 года Группа реализовала обыкновенные именные акции Компании в количестве 5 085 986 штук связанной стороне за 58 млн руб.</t>
  </si>
  <si>
    <t>Предоставление бухгалтерских услуг</t>
  </si>
  <si>
    <t>В октябре 2016 года Группа дополнительно приобрела у третьей стороны долю в компании ООО «Комплексный Расчетный Центр г. Петрозаводска» (далее ООО «КРЦ Петрозаводска») в размере 51% за вознаграждение в сумме 0,7 млн. руб. без учета полученных денежных средств в размере 17 млн. руб. В результате сделки доля владения компанией ООО «КРЦ Петрозаводска» увеличилась до 100%. На дату приобретения ООО «КРЦ Петрозаводска» владеет 95% акций ООО «КАРТЭК».
Основной деятельностью ООО «КРЦ Петрозаводска» является предоставление бухгалтерских услуг по учету оплаты жилищно-коммунальных услуг. Основной деятельностью ООО «КАРТЭК» является сбыт тепловой энергии в республике Карелия. Компания была приобретена с целью расширения присутствия в Республике Карелия.</t>
  </si>
  <si>
    <t>ПАО "Камчатскэнерго"</t>
  </si>
  <si>
    <t>В октябре 2015 года Группой были проданы акции дочерней компании АО «Камчатскэнергоремонт». Сумма сделки составила 8 млн рублей. Вся сумма полностью оплачена денежными средствами. Продажа компании осуществлена в соответствии с решением Совета директоров ПАО «Камчатскэнерго» (Протокол от 14 мая 2015 года № 21). Величина чистых активов АО «Камчатскэнергоремонт» на момент выбытия была отрицательной и составляла 16 млн рублей. Прибыль от продажи составила 24 млн рублей.</t>
  </si>
  <si>
    <t>Производство, передача и распределение пара и горячей воды (тепловой энергии), кондиционирование воздуха</t>
  </si>
  <si>
    <t>ПАО "Курганская генерирующая компания"</t>
  </si>
  <si>
    <t>В 2020 году были проданы ООО «Шадринские тепловые сети» (16 декабря 2020 г) и ООО «Курганские теплоэнергетические системы» (29 октября 2020 г.)</t>
  </si>
  <si>
    <t>ОАО «Курганская генерирующая компания» 30 октября 2012 года приобрела долю в размере 45,45% в Открытом акционерном обществе «Современные коммунальные системы» (сокращенное наименование -ОАО «СКС»). С 04 февраля 2014 года Компания начала принимать активное участие в принятии решений по финансовой и операционной политике ОАО «СКС» через представительство в Совете Директоров. В сентябре 2015 года ОАО «Курганская генерирующая компания» приобрела дополнительно 24,38% долей участия за 213 782 тыс. руб., в связи с чем доля участия увеличилась до 69,9297% и по состоянию на 30 сентября компания ОАО «СКСэ была переклассифицирована в дочернюю.</t>
  </si>
  <si>
    <t>В сентябре и декабря 2015 года ПАО «Курганская генерирующая компания» приобрела 52,0085% долей участия в ООО «Курганский индустриальный парк» за 334 931 тыс. руб. и по состоянию на 31 декабря 2015 года компания ООО «Курганский индустриальный парк», включая три дочерних (ООО «Литейный завод», ООО «Курганский завод колесных тягачей» и ООО «Гальваника»), была включена в состав Группы.</t>
  </si>
  <si>
    <t>Сдача в наем собственного недвижимого имущества</t>
  </si>
  <si>
    <t>ПАО "Мурманская ТЭЦ"</t>
  </si>
  <si>
    <t>27 апреля 2012 года Группа продала 100% акций дочерней компании ООО «Кольская тепловая компания» третьей стороне по договорной цене 13 950 тыс. руб.</t>
  </si>
  <si>
    <t>Группа "РАО ЭС Востока"</t>
  </si>
  <si>
    <t>В 2018 году Группа увеличила свою долю владения акциями ОАО «Кубанские магистральные сети» и ОАО «Томские магистральные сети» с 75,3% и 77,9% до 100% и 87,2% соответственно. Стоимость приобретения дополнительного пакета акций составила 504 млн. рублей.</t>
  </si>
  <si>
    <t>В 2019 году Группа увеличила свою долю в ОАО «Томские магистральные сети» с 87,2% до 90,5%. Стоимость приобретения дополнительного пакета акций составила 74 млн. рублей.</t>
  </si>
  <si>
    <t>На 29 июня 2018 Группа заключила соглашения о продаже 10 440 000 тыс. шт. акций или 10% из 18,57% своей доли в уставном капитале ПАО «ИНТЕР РАО ЕЭС» компаниям АО «Интер РАО Капитал» (6 608 643 тыс. шт. акций или 6,33%), ООО «ДВБ Лизинг» (3 132 000 тыс. шт. акций или 3%) и ООО «Практика» (699 357 тыс. шт. акций или 0,67%) по цене 3,3463 рубля за акцию. По состоянию на 31 декабря 2018 года 6 608 643 и 3 132 000 тыс. шт. акций ПАО “ИНТЕР РАО ЕЭС” были переданы АО «Интер РАО Капитал» и ООО «ДВБ Лизинг», соответственно.</t>
  </si>
  <si>
    <t>В 2017 году Группа увеличила свою долю. владения акциями ОАО «Кубанские магистральные сети» и ОАО «Томские магистральные сети» с 49% и 52% до 75,3% и 77,9% соответственно. Стоимость приобретения дополнительного пакета акций составила 817 млн. рублей.</t>
  </si>
  <si>
    <t>Электроэнергетика (Сети)</t>
  </si>
  <si>
    <t>В течение девяти месяцев 2021 года Группа приобрела обыкновенные акции АО «Чеченэнерго», ПАО «Россети Северный Кавказ» и ПАО «Россети Кубань» в рамках программ увеличения уставного капитала дочерних обществ. В результате сделок доля Группы в уставном капитале дочерних общества увеличилась до 77,01%, 99,07% и 93,56% соответственно.</t>
  </si>
  <si>
    <t>25 марта 2020 года Группа получила контроль над ООО «Инфраструктурные инвестиции – 3» в результате приобретения 100% доли участия в уставном капитале, а также прав требования по акционерным займам, у участников ООО «Инфраструктурные инвестиции – 3»: 1) Сделка с участником ООО «РФПИ Управление активами»: приобретение 49% доли участия в уставном капитале за 133 млн руб. и прав требования по акционерному займу за 481 млн. руб. 2) Сделка с участником ООО «Серти Севенз Инвестмент Компани ЛЛС»: приобретение 51% доли участия в уставном капитале за 139 млн руб. и прав требования по акционерному займу за 500 млн руб. Основными видами деятельности ООО «Инфраструктурные инвестиции – 3» являются реализация мероприятий по снижению потерь электроэнергии в дочерних обществах Группы, осуществляющих передачу электроэнергии на определенных территориях», и деятельность по предоставлению в аренду оборудования.</t>
  </si>
  <si>
    <t>Электроэнергетика (Снижение потерь в сетях)</t>
  </si>
  <si>
    <t>7 августа 2020 года Группа получила контроль над ООО «БрянскЭлектро» в результате приобретения 100% доли участия в уставном капитале за 320 млн руб. Основными видами деятельности приобретенного общества является передача электроэнергии по сетям 0,4 и 6-10 кВ, а так же оказание услуг технологического присоединения потребителей к сетям на территории Брянска и Брянской области.</t>
  </si>
  <si>
    <t>В сентябре 2020 года Группа приобрела 3 283 182 штук обыкновенных акций дополнительной эмиссии ценных бумаг в рамках реализации программы увеличения уставного капитала ПАО «Россети Северный Кавказ». Приобретение акций было оплачено Группой денежным средствами в размере 107 млн руб.</t>
  </si>
  <si>
    <t>В декабре 2020 года Группа приобрела 106 796 754 штук обыкновенных акций дополнительной эмисии ценных бумаг в рамказ реализации программы увеличения уставного капитала ПАО «Россети Северный Кавказ». Приобретение акций было оплачено Группой денежными средствами в размере 3 464 млн руб. В результате доля Группы увеличилась до 98,90%.</t>
  </si>
  <si>
    <t>В сентябре 2020 года Группа приобрела 261 729 787 штук обыкновенных акций дополнительной эмиссии ценных бумаг в рамках реализации программы увеличения уставного капитала АО «Чеченэнерго». Приобретение акций было оплачено Группой денежными средствами в размере 262 млн руб.</t>
  </si>
  <si>
    <t>В декабре 2020 года Группа приобрела 1 256 139 961 обыкновевенный акций ополнительной эмиссии ценных бумаг в рамках реализации программы увеличения уставного капитала АО «Чеченэнерго». Приобретение акций было оплачено Группой денежными средствами в размере 1 256 млн руб. В результате доля Группы увеличилась до 76,95%.</t>
  </si>
  <si>
    <t>Приобретено 20 июня 2019 года – 100% доля в уставном капитале АО «Волгоградские межрайонные электрические сети» (АО «ВМЭС») за денежные средства в сумме 2 700 млн руб. по итогам участия в открытом конкурсе по продаже акций АО «ВМЭС»</t>
  </si>
  <si>
    <t>Приобретено 17 мая 2019 года – 100% доля в уставном капитале ООО «ЮгСтройМонтаж» за дебиторскую задолженность в сумме 159 млн руб. Основным видом деятельности ООО «ЮгСтройМонтаж»» является передача электроэнергии и технологическое присоединение к электросетям, производство электромонтажных работ.</t>
  </si>
  <si>
    <t>Приобретено 20 ноября 2019 года – 100% доля в уставном капитале АО «Воронежские городские электрические сети» (АО «ВГЭС») за денежные средства в сумме 1 534 млн руб. по итогам участия в открытом конкурсе по продаже акций АО «ВГЭС». Право собственности на акции АО «ВГЭС» переходит на момент выполнения условий конкурса, однако Группа получила контроль над приобретаемой компанией с даты избрания совета директоров АО «ВГЭС», состоящего из представителей Группы. Дата избрания совета директоров - 20 ноября 2019 года</t>
  </si>
  <si>
    <t>Приобретено 30 декабря 2019 года – 69,9992% доля в уставном капитале АО «Тульские городские электрические сети» (АО «ТГЭС»). Цена покупки АО «ТГЭС» определена как 903 003 тыс. руб., при этом 903 000 тыс. руб. оплачивается путем передачи прав требования по дебиторской задолженности, 3 тыс. руб. денежными средствами</t>
  </si>
  <si>
    <t>В течение 2019 года Группа приобрела 30 864 487 штук обыкновенных акций дополнительной эмиссии ценных бумаг в рамках реализации программы увеличения уставного капитала ПАО «Кубаньэнерго». Группа оплатила приобретение денежными средствами в размере 3 086 млн руб. По итогам эмиссии акций ПАО «Кубаньэнерго» доля владения Группы увеличилась с 92,78% до 93,44%.</t>
  </si>
  <si>
    <t>В течение 2019 года Группа приобрела 37 861 258 штук обыкновенных акций дополнительной эмиссии ценных бумаг в рамках реализации программы увеличения уставного капитала ПАО «Россети Северный Кавказ». Приобретение акций было оплачено Группой денежным средствами в размере 661 млн руб. По итогам эмиссии акций ПАО «Россети Северный Кавказ» доля Группы увеличилась до 98,77%.</t>
  </si>
  <si>
    <t>6 апреля 2021 года Группой приобретено 100% обыкновенных именных бездокументарных акций компании электросетевого сектора за денежные средства в результате заключения договора купли-продажи. Основными видами деятельности приобретаемой компании является передача электроэнергии и технологическое присоединение к электросетям. Договор купли-продажи (в электронной форме) на приобретение 100% обыкновенных именных бездокументарных акций приобретаемой компании был заключен 30 марта 2021 года. В соответствии с условиями договора, акции считаются переданными в собственность Группы с момента внесения в реестр владельцев акций приобретаемой компании соответствующей записи о покупателе акций как собственника акций - 6 апреля 2021 года. Цена покупки определена как 1 030 млн руб. и оплачена денежными средствами.</t>
  </si>
  <si>
    <t>В ходе дополнительной эмиссии акций АО «Чеченэнерго» в 2019 году размещено 1 333 802 459 штук обыкновенных акций. Из них Группа приобрела 1 193 324 569 штук. Приобретение акций было оплачено Группой денежными средствами в размере 1 193 млн руб. Оставшаяся часть ценных бумаг в размере 140 477 890 штук акций была выкуплена Министерством имущественных и земельных отношений Республики Чечня путем внесения в уставной капитал объектов основных средств стоимостью 140 млн руб. По итогам размещения дополнительных акций АО «Чеченэнерго» доля Группы увеличилась до 73,65%.</t>
  </si>
  <si>
    <t>В течение 2019 года Группа приобрела 82 600 538 248 штук обыкновенных акций дополнительной эмиссии ценных бумаг ПАО «Россети Юг». Приобретение ценных бумаг было оплачено Группой денежными средствами в размере 8 260 млн руб. С учетом фактически размещенных акций ПАО «Россети Юг» доля Группы увеличилась до 84,12%.</t>
  </si>
  <si>
    <t>28 августа 2018 года Группа заключила соглашение о продаже 1 080 646 965 штук собственных акций компании «ГЕННОРД ПРОДЖЕКТС ЛИМИТЕД». Цена сделки составила 900 млн руб. По состоянию на 31 декабря 2018 года акции были переданы покупателю.</t>
  </si>
  <si>
    <t>23 августа 2016 года на внеочередном Общем собрании акционеров ПАО «МРСК Северного Кавказа» было принято решение об увеличении уставного капитала путём размещения дополнительных обыкновенных именных бездокументарных акций в количестве 3 258 695 653 штук номинальной стоимостью 1 рубль каждая. Цена размещения составила 17,45 руб. за акцию. В 2018 году Группа приобрела 462 235 043 акций и с учетом фактически размещенных акций текущей эмиссии доля Группы составила 98,71%.</t>
  </si>
  <si>
    <t>5 сентября 2016 года внеочередным Общим собранием акционеров АО «Чеченэнерго», являющегося дочерним обществом Группы, было утверждено увеличение уставного капитала АО «Чеченэнерго» путем выпуска дополнительных 5 068 551 655 обыкновенных акций номинальной стоимостью 1 руб. за каждую, по закрытой подписке. Цена размещения составила 1 руб. за акцию. В 2018 году Группа приобрела 1 030 515 558 обыкновенных акций и с учетом фактически размещенных акций текущей эмиссии доля Группы составила 71,73%.</t>
  </si>
  <si>
    <t>6 июня 2016 года на годовом Общем собрании акционеров ПАО «МРСК Юга», являющегося дочерним обществом Группы, было утверждено увеличение его уставного капитала путем выпуска дополнительных 11 615 110 154 обыкновенных акций, номинальной стоимостью 0,1 руб. каждая, по открытой подписке. Цена размещения составила 0,1 руб. за акцию. В 2016 году из данного выпуска 1 438 276 000 акций было приобретено Группой. Группа осуществила оплату акций денежными средствами на сумму 144 млн руб. В результате размещения акций доля Группы в ПАО «МРСК Юга» по состоянию на 31 декабря 2016 года составила 53,01%.</t>
  </si>
  <si>
    <t>В феврале 2017 года Группа дополнительно приобрела из данного выпуска 9 927 951 400 акций ПАО «МРСК Юга». Группа осуществила оплату акций денежными средствами на сумму 993 млн руб.</t>
  </si>
  <si>
    <t>7 апреля 2017 года внеочередным Общим собранием акционеров ПАО «МРСК Юга» было утверждено увеличение его уставного капитала путем выпуска дополнительных 13 015 185 446 обыкновенных акций, номинальной стоимостью 0,1 руб. каждая. В 2017 году Группа дополнительно приобрела из данного выпуска 7 860 248 600 акций ПАО «МРСК Юга». По состоянию на 31 декабря 2017 года с учетом фактически размещенных акций текущей эмиссии доля Группы составила 65,12%.</t>
  </si>
  <si>
    <t>19 сентября 2016 года внеочередным Общим собранием акционеров ПАО «Кубаньэнерго», являющегося дочерним обществом Группы, было утверждено увеличение уставного капитала ПАО «Кубаньэнерго» путем выпуска дополнительных 57 457 846 обыкновенных акций номинальной стоимостью 100 руб. за каждую, по открытой подписке. Цена размещения составила 100 руб. за акцию. Выпуск акций был зарегистрирован Центральным Банком Российской Федерации 16 декабря 2016 года. На 31 декабря 2016 года Группа перечислила аванс за акции на сумму 2 072 млн руб. По состоянию на 31 декабря 2017 года Группа дополнительно приобрела 20 925 205 акций из данного выпуска и с учетом фактически размещенных акций текущей эмиссии доля Группы составила 92,78%.</t>
  </si>
  <si>
    <t>5 сентября 2016 года внеочередным Общим собранием акционеров АО «Чеченэнерго», являющегося дочерним обществом Группы, было утверждено увеличение уставного капитала АО «Чеченэнерго» путем выпуска дополнительных 5 068 551 655 обыкновенных акций номинальной стоимостью 1 руб. за каждую, по закрытой подписке. Цена размещения составила 1 руб. за акцию. По состоянию на 31 декабря 2017 года Группа приобрела 1 310 260 884 обыкновенных акций и с учетом фактически размещенных акций текущей эмиссии доля Группы составила 77,64%.</t>
  </si>
  <si>
    <t>30 сентября 2016 года на внеочередном Общем собрании акционеров ПАО «МРСК Волги», было утверждено увеличение уставного капитала ПАО «МРСК Волги» путем выпуска дополнительных 8 996 857 669 обыкновенных акций, номинальной стоимостью 0,1 руб. каждая, по открытой подписке. Цена размещения составила 0,1 руб. за акцию. В 2016 году из данного выпуска 4 709 200 000 акций было приобретено Группой.</t>
  </si>
  <si>
    <t>23 августа 2016 года на внеочередном Общем собрании акционеров ПАО «МРСК Северного Кавказа» было принято решение об увеличении уставного капитала путём размещения дополнительных обыкновенных именных бездокументарных акций в количестве 3 258 695 653 штук номинальной стоимостью 1 рубль каждая. Цена размещения составила 17,45 руб. за акцию. По состоянию на 31 декабря 2017 года Группа приобрела 234 654 020 акций и с учетом фактически размещенных акций текущей эмиссии доля Группы составила 97,30%.</t>
  </si>
  <si>
    <t>30 сентября 2016 года на внеочередном Общем собрании акционеров ПАО «МРСК Волги», было утверждено увеличение уставного капитала ПАО «МРСК Волги» путем выпуска дополнительных 8 996 857 669 обыкновенных акций, номинальной стоимостью 0,1 руб. каждая, по открытой подписке. Цена размещения составила 0,1 руб. за акцию. В 2017 году акционеры ПАО «МРСК Волги» дополнительно приобрели из данного выпуска 140 042 413 акций. По состоянию на 31 декабря 2017 года с учетом фактически размещенных акций текущей эмиссии доля Группы составила 67,97%.</t>
  </si>
  <si>
    <t>Дистрибуция азотных удобрений</t>
  </si>
  <si>
    <t>20 июня 2013 года на годовом общем собрании акционеров ОАО «Ленэнерго», являющегося дочерним обществом Группы, было утверждено увеличение его уставного капитала путем выпуска дополнительных 926 876 304 обыкновенных акций, номинальной стоимостью 1 руб. каждая, по открытой подписке. Цена размещения составила 6.06 руб. за акцию. Выпуск акций был зарегистрирован службой Банка России по финансовым рынкам 10 сентября 2013 года. В 2013 году из данного выпуска 495 049 505 акций было приобретено Группой.</t>
  </si>
  <si>
    <t>В 2014 году из данного выпуска 28 685 116 акций было приобретено Группой. Сумма, уплаченная за акции, составила 174 млн. руб. В результате размещения акций доля Группы в ОАО «Ленэнерго» увеличилась с 53,71% до 67.55%.</t>
  </si>
  <si>
    <t>Доля группы 53,81% обыкновенных акций или 49% голосующих акций; Денежное вознаграждение 800 млн. руб. + акции ПАО «Ленэнерго» на сумму 949,751  млн. руб.</t>
  </si>
  <si>
    <t>24 ноября 2015 года на внеочередном Общем собрании акционеров ПАО «Ленэнерго», являющегося дочерним обществом Группы, было утверждено увеличение его уставного капитала путем выпуска дополнительных 18 882 455 451 обыкновенных акций, номинальной стоимостью 1 руб. каждая, по открытой подписке. Цена размещения составила 6,99 руб. за акцию. В 2015 году из данного выпуска 4 660 980 974 акций было приобретено Группой, 2 179 903 032 акций было приобретено городом Санкт-Петербург в лице Комитета имущественных отношений. Группа осуществила оплату акций облигациями федерального займа на сумму 32 000 млн. руб., а также денежными средствами на сумму 580 млн. руб. Увеличение капитала в доле, принадлежащей держателям неконтролирующих долей, в размере 15 091 млн. руб. было признано в составе неконтролирующей доли в 2015 году. В результате размещения акций доля Группы в ПАО «Ленэнерго» увеличилась с 67,55% до 68,01%.</t>
  </si>
  <si>
    <t>26 июня 2015 года на годовом Общем собрании акционеров ПАО «МРСК Сибири», являющегося дочерним обществом Группы, было утверждено увеличение его уставного капитала путем выпуска дополнительных 5 071 030 570 привилегированных акций, номинальной стоимостью 0,1 руб. каждая, по закрытой подписке. Цена размещения составила 0,1 руб. за акцию. В 2016 году Группа приобрела все акции данного выпуска. Группа осуществила оплату акций денежными средствами на сумму 507 млн. руб. Отчет об итогах выпуска зарегистрирован 18 февраля 2016 года. В результате размещения акций доля Группы в ПАО «МРСК Сибири» увеличилась с 55,59% до 57,84%.</t>
  </si>
  <si>
    <t>27 ноября 2015 года на внеочередном Общем собрании акционеров ПАО «МРСК Волги», являющегося дочерним обществом Группы, было утверждено увеличение его уставного капитала путем выпуска дополнительных 10 685 233 931 обыкновенных акций, номинальной стоимостью 0,1 руб. каждая, по открытой подписке. Цена размещения составила 0,1 руб. за акцию. В 2015 году из данного выпуска 668 600 000 акций было приобретено Группой. Группа осуществила оплату акций денежными средствами на сумму 67 млн. руб. В результате размещения акций доля Группы в ПАО «МРСК Волги» увеличилась с 67,63% до 67,75%.</t>
  </si>
  <si>
    <t>5 июня 2013 года на внеочередном общем собрании акционеров ОАО «Чеченэнерго», являющегося дочерним обществом Группы, было утверждено решение об увеличении уставного капитала путем выпуска дополнительных 8 383 427 634 обыкновенных акций, номинальной стоимостью 1 руб. каждая, по закрытой подписке. Цена размещения составила 1 руб. за акцию. Выпуск акций был зарегистрирован Федеральной службой по финансовым рынкам 18 июля 2013 года. В 2013 году из данного выпуска 4 275 548 093 акций было приобретено Группой. 31 декабря 2013 года Министерство имущественных и земельных отношений Чеченской Республики передало ОАО «Чеченэнерго» основные средства в качестве предоплаты за 1 581 437 865 акций дополнительного выпуска. Увеличение капитала в доле, принадлежащей держателям неконтролирующих долей, в размере 1 581 млн. руб. было признано в составе неконтролирующей доли на 31 декабря 2013 года. В 2014 году Министерство имущественных и земельных отношений Чеченской Республики приобрело 1 608 545 572 акций данного выпуска. В результате размещения акций доля Группы в ОАО «Чеченэнерго» увеличилась с 51% до 72.66%.</t>
  </si>
  <si>
    <t>18 марта 2013 года Советом директоров ПАО «ФСК ЕЭС», являющегося дочерним обществом Группы, было утверждено увеличение уставного капитала путем выпуска дополнительных 9 431 399 773 обыкновенных акций, номинальной стоимостью 0.5 рублей каждая, по открытой подписке. Цена размещения составила 0.5 руб. за акцию. Выпуск акций был зарегистрирован службой Банка России по финансовым рынкам 21 ноября 2013 года. В 2013 году из данного выпуска 7 524 307 067 акций было приобретено существующими держателями неконтролирующих долей. Общая сумма, уплаченная за акции, составила 3 762 млн. руб. В результате завершения размещения акций в 2014 году доля Группы в ПАО «ФСК ЕЭС» уменьшилась 80.6% до 80.15%.</t>
  </si>
  <si>
    <t>15 марта 2013 года на внеочередном собрании акционеров ОАО «МРСК Северного Кавказа», являющегося дочерним предприятием Группы, было утверждено увеличение уставного капитала путем выпуска дополнительных 125 722 698 обыкновенных акций, номинальной стоимостью 1 руб. каждая, по открытой подписке. Цена размещения составила 25,94 руб. за акцию. Выпуск акций был зарегистрирован Федеральной службой по финансовым рынкам 30 мая 2013 года. В 2013 году из данного выпуска 98 441 239 акций было приобретено Группой и 28 548 акций было приобретено третьими сторонами и существующими держателями неконтролирующих долей. Общая сумма, уплаченная за акции составила 2 554 млн. руб. Увеличение капитала в доле, принадлежащей держателям неконтролирующих долей, в размере 0,7 млн. руб. было признано в составе неконтролирующей доли на 31 декабря 2013 года. В результате размещения акций доля Группы в ОАО «МРСК Северного Кавказа» увеличилась с 81,33% до 93,20%.</t>
  </si>
  <si>
    <t>18 марта 2013 года на внеочередном собрании акционеров ОАО «Кубаньэнерго», являющегося дочерним предприятием Группы, было утверждено увеличение уставного капитала путем выпуска дополнительных 214 877 270 обыкновенных акций, номинальной стоимостью 100 рублей каждая, по открытой подписке. Цена размещения составила 121,82 руб. за акцию. Выпуск акций был зарегистрирован Федеральной службой по финансовым рынкам 6 мая 2013 года. В 2013 году из данного выпуска 139 922 020 акций было приобретено Группой и 3 280 акций было приобретено третьими сторонами и существующими держателями неконтролирующих долей. Общая сумма, уплаченная за акции, составила 17 046 млн. руб. В результате размещения акций доля Группы в ОАО «Кубаньэнерго» увеличилась с 84,65% до 92,24%.</t>
  </si>
  <si>
    <t>18 марта 2013 года Советом директоров ОАО «ФСК ЕЭС», являющегося дочерним предприятием Группы, было утверждено увеличение уставного капитала путем выпуска дополнительных 9 431 399 773 обыкновенных акций, номинальной стоимостью 0,5 рублей каждая, по открытой подписке. Цена размещения составила 0,5 руб. за акцию. Выпуск акций был зарегистрирован службой Банка России по финансовым рынкам 21 ноября 2013 года. В 2013 году из данного выпуска 7 524 307 067 акций было  риобретено существующими держателями неконтролирующих долей. Общая сумма, уплаченная за акции, составила 3 762 млн. руб.</t>
  </si>
  <si>
    <t>Финансовая аренда</t>
  </si>
  <si>
    <t>ПАО "МРСК Центра и Приволжья" (ПАО "Россети Центр и Приволжье")</t>
  </si>
  <si>
    <t>25 ноября 2022 год Группой был заключен договор купли-продажи компании, основным видом деятельности которой является финансовая аренда. Группа получила контроль над компанией в результате приобретения 100% доли участия в уставном капитале у головной материнской компании за 311 000 тыс. руб.</t>
  </si>
  <si>
    <t>В июле 2019 года Группа продала инвестицию в дочернее общество АО «Берендеевское» третьей стороне. Цена продажи составила 45 000 тыс. руб. В декабре 2016 года руководством был утвержден план о продаже АО «Берендеевское» и был начат активный поиск покупателя. Доля Общества в уставном капитале АО «Берендеевское» составляла 100%. Основные виды деятельности предприятия – растениеводство, животноводство.</t>
  </si>
  <si>
    <t>Растениеводство, животноводство</t>
  </si>
  <si>
    <t>В октябре 2017 года АО «Свет» приобрело акции АО «Межрегиональная энергосервисная компания «Энергоэффективные технологии» в количестве 9 800 000 штук на сумму 1 855 тыс. руб. В результате покупки акций доля в АО «Межрегиональная энергосервисная компания «Энергоэффективные технологии» увеличилась с 51% до 100%.</t>
  </si>
  <si>
    <t>Электроэнергетика (Сервис)</t>
  </si>
  <si>
    <t>Группой 21 января 2022 года заключен договор купли-продажи 100% обыкновенных именных бездокументарных акций приобретаемой компании 1. Цена покупки определена независимым оценщиком, составила 255 917 тыс. руб. и оплачена денежными средствами.</t>
  </si>
  <si>
    <t>Группой 27 мая 2022 года заключен договор купли-продажи 100% обыкновенных именных бездокументарных акций приобретаемой компании 2. Цена покупки определена независимым оценщиком и составила 136 274 тыс. руб., которая был оплачена денежными средствами. Основными видами деятельности приобретенной дочерней компании является передача электроэнергии и технологическое присоединение к электросетям в одном из регионов РФ.</t>
  </si>
  <si>
    <t>Группой 21 июня 2022 года заключен договор купли-продажи неконтрольной доли участия в размере 30,0008% обыкновенных именных бездокументарных акций одной из дочерних компаний (далее - компания). Цена покупки определена независимым оценщиком как 500 000 тыс. руб. и была оплачена денежными средствами. После завершения сделки эффективная доля владения Группы в данной компании составила 100%.</t>
  </si>
  <si>
    <t>30 декабря 2019 года Группой приобретено 69,9992% обыкновенных акций в уставном капитале АО «Тульские городские электрические сети». Покупателями АО «ТГЭС» выступают дочерние организации Компании – АО «Санаторий Энергетик» и АО «Ярославская электросетевая компания», при этом АО «Санаторий Энергетик» приобрело 69,9990% доли в составе 100% пакета акций АО «ТГЭС», на которую приходится 341 003 штук обыкновенных именных бездокументарных акций, а АО «Ярославская электросетевая компания» приобрело 0,0002% доли в составе 100% пакета акций АО «ТГЭС», на которую приходится 1 (одна) обыкновенная именная бездокументарная акция. Основными видами деятельности АО «ТГЭС» является передача электроэнергии и технологическое присоединение к электросетям. Цена покупки АО «ТГЭС» определена как 903 003 тыс. руб., при этом 3 тыс. руб. оплачивается денежными средствами, а 903 000 тыс. руб. путем передачи имущественных прав – прав требования к АО «ТНС Энерго Тула», возникших из договоров оказания услуг по передаче электроэнергии. Уступка данных прав произведена связанной стороной ПАО «МРСК Центра и Приволжья» в пользу АО «Санаторий Энергетик», а затем АО «Санаторий Энергетик» в пользу продавца акций АО «ТГЭС».</t>
  </si>
  <si>
    <t>В рамках реализации Стратегии развития электросетевого комплекса РФ, утвержденной распоряжением Правительства РФ от 3 апреля 2013 года № 511-р, в целях сокращения количества действующих территориальных сетевых организаций Группой приобретено: 06 апреля 2021 года 100% обыкновенных именных бездокументарных акций компании электросетевого сектора за денежные средства в результате заключения договора купли-продажи. Группой 30 марта 2021 года заключен договор купли-продажи (в электронной форме) 100% обыкновенных именных бездокументарных акций приобретаемой компании. В соответствии с условиями договора акции считаются переданными в собственность Группы с момента внесения в реестр владельцев акций приобретаемой компании соответствующей записи о покупателе акций как собственника акций - 06 апреля 2021 года. Цена покупки определена как 1 030 000 тыс. руб. и оплачена денежными средствами. Основными видами деятельности приобретенной дочерней компании является передача электроэнергии и технологическое присоединение к электросетям в одном из регионов РФ.</t>
  </si>
  <si>
    <t>В рамках реализации Стратегии развития электросетевого комплекса РФ, утвержденной распоряжением Правительства РФ от 3 апреля 2013 года № 511-р, в целях сокращения количества действующих территориальных сетевых организаций («ТСО») Группой приобретено: 20 ноября 2019 года 100% обыкновенных акций АО «Воронежские городские электрические сети» (далее - АО «ВГЭС») за денежные средства в результате заключения договора купли-продажи акций с администрацией городского округа города Воронеж по итогам участия в открытом конкурсе по продаже акций АО «ВГЭС» (протокол от 05 ноября 2019 года). Справедливая стоимость активов и обязательств АО «ВГЭС» определена независимым
оценщиком в размере 1 533 899 тыс. руб. Группой приобретено 3 148 372 (три миллиона сто сорок восемь тысяч триста семьдесят две) обыкновенных именных бездокументарных акций, номинальной стоимостью 1 000 (одна тысяча) рублей за штуку, что составляет 100% уставного капитала АО «ВГЭС». Приобретение акций АО «ВГЭС» произведено дочерними организациями Компании – АО «Санаторий Энергетик» и АО «Ярославская электросетевая компания», при этом АО «Санаторий Энергетик» приобрело 99,99997% акций в составе 100% пакета акций АО «ВГЭС», на которую приходится 3 148 371 штук обыкновенных именных бездокументарных акций, а АО «Ярославская электросетевая компания» приобрело 0,00003% акций в составе 100% пакета акций АО «ВГЭС», на которую приходится 1 (одна) обыкновенная именная бездокументарная акция. В целях покупки акций АО «ВГЭС» АО «Санаторий Энергетик» получило займ от Компании сроком до 31.12.2022 года под 8% годовых на сумму 1 535 444 тыс. руб. Основными видами деятельности АО «ВГЭС» является передача электроэнергии и технологическое присоединение к электросетям.</t>
  </si>
  <si>
    <t>В рамках реализации Стратегии развития электросетевого комплекса РФ, утвержденной распоряжением Правительства РФ от 3 апреля 2013 года № 511-р, в целях сокращения количества действующих территориальных сетевых организаций («ТСО») Группой приобретено 07 августа 2020 года 100% доли в уставном капитале ООО «БрянскЭлектро» за денежные средства в результате заключения договора купли-продажи. Справедливая стоимость идентифицируемых активов и обязательств ООО «БрянскЭлектро» определена независимым оценщиком в размере 340 000 тыс. руб. Приобретение долей в уставном капитале ООО «БрянскЭлектро» произведено дочерними организациями Компании – АО «Санаторий Энергетик» и АО «Ярославская электросетевая компания», при этом АО «Санаторий Энергетик» приобрело долю в уставном капитале в размере 99,999%, а АО «Ярославская электросетевая компания» приобрело долю в уставном капитале в размере 0,001%. Основными видами деятельности ООО «БрянскЭлектро» является передача электроэнергии и технологическое присоединение к электросетям.</t>
  </si>
  <si>
    <t>В соответствии с решением Совета Директоров ПАО «Россети Юг» от 14 августа 2019 года одобрено прекращение участия ПАО «Россети Юг» в АО «ПСХ Соколовское» путем отчуждения акций со способом отчуждения продажей посредством публичного предложения с привлечением агента по реализации имущества (Выписка из протокола от 16 августа 2019 года № 329/2019). В соответствии с протоколом подведения итогов продажи от 30 апреля 2021 года№ 394BFA-3001-I167-1 торги признаны состоявшимися, имущество реализовано на торгах единым лотом по цене 48 000 тыс. руб. Победителем торгов признан участник — ИП глава Крестьянского (Фермерского) хозяйства Лльшенко Александр Николаевич. Заключен договор купли-продажи от 14 мая 2021 года с ИП главой Крестьянского (Фермерского) хозяйства Альшенко Александр Николаевич. Проведены мероприятия по переходу права собственности при совершении сделки - 26 мая 2021 года.</t>
  </si>
  <si>
    <t>ИП глава Крестьянского (Фермерского) хозяйства Лльшенко Александр Николаевич</t>
  </si>
  <si>
    <t>17 мая 2019 гола 100% долей в уставном капитале ООО «ЮгСтройМонтаж» за счет дебиторской задолженности ТСО «ТНС энерго Ростов-на-Дону» за услуги по передаче электроэнергии (протокол от 29 апреля 2019 года № 315/2019). Основными вилами деятельности ООО «ЮгСтройМонтаж» являются: передача электроэнергии и технологическое присоединение к распределительным электросетям;	производство электромонтажных работ.</t>
  </si>
  <si>
    <t>20 июня 2019 года 100% долей в уставом капитала АО «Волгоградские межрайонные электрические сети» («АО «ВМЭС») за счет денежных средств в результате заключения договора купли-продажи акций по итогам участия в открытом конкурсе по продаже акций АО «ВМЭС» (протокол от 29 апреля 2019 года №315/2019). Стоимость приобретения АО «ВМЭС» определена независимым оценщиком в соответствии с ценой по результатам открытого конкурса и не более рыночной стоимости акций в размере 2 700 000 тыс. руб. Количес тво приобретенных обыкновенных именных бездокументарных акций, номинальной стоимостью 1 (один) рубль 00 копеек за штуку, их доля в уставном капитале - 2 300 000 000 (два миллиарда триста миллионов) штук, что составляет 100% уставного каптала АО «ВМЭС». Основным видом деятельности АО «ВМЭС» является распределение электроэнергии.</t>
  </si>
  <si>
    <t>В 2019 году дочерним предприятием Группы, ООО «Управляющая компания «ЮГК», была приобретена доля в уставном капитале НАО «БШПУ» на сумму 850 млн руб. В 2019 году Группой было признано обесценение 100% суммы инвестиции, так как Группа не ожидала получения будущих экономических выгод. В 2021 году Группа восстановила убыток от обесценения своих инвестиций в НАО «БШПУ» в сумме 850 млн руб. и отразила по строке «Инвестиции в финансовые активы». Данные инвестиции были проданы в феврале 2022 года в зачет займа, полученного от ООО «РусФинИнвест».</t>
  </si>
  <si>
    <t>4 февраля 2020 года Группа приобрела обыкновенные акции, составляющие 22,37% долю в уставном капитале «Petropavlovsk PLC» (Великобритания), основные добывающие активы которой расположены в Амурской области на Дальнем Востоке России. 4 февраля 2020 года Группа также приобрела гарантированные конвертируемые облигации, вылущенные «Petropavlovsk 2010 Лимитед», дочерней компанией «Petropavlovsk PLC», совокупной номинальной стоимостью 1 793 млн руб. Купонный доход по облигациям составляет 8,25% годовых и выплачивается ежеквартально. Конвертируемые облигации были признаны в качестве финансовых активов, оцениваемых по справедливой стоимости через прибыль или убыток на основе их рыночной стоимости (Уровень 1 иерархии справедливой стоимости). 4 августа 2020 года Группа конвертировала данные облигации в обыкновенные акции «Petropavlovsk PLC», увеличив свою долю в уставном капитале до 25,88%. В период с августа по ноябрь 2020 года компания «Petropavlovsk PLC» получила уведомления о конвертации в отношении гарантированных конвертируемых облигаций от прочих держателей облигаций и дала согласие на выпуск новых обыкновенных акций. В результате доля Группы в «Petropavlovsk PLC» была разводнена до 24,03%. Прибыль от разводнения составила 773 млн руб. Изменение справедливой стоимости финансового актива вследствие переоценки облигаций по рыночным котировкам на дату конвертации 4 августа 2020 года составило 4 096 млн руб. В июне и июле 2021 Группа приобрела дополнительные обыкновенные акции «Petropavlovsk PLC», увеличив свою долю в уставном капитале до 29,19%.</t>
  </si>
  <si>
    <t>30 марта 2018 года ПАО «МОЭК» было реорганизовано путем присоединения к нему ПАО «Межрегионтеплосетьэнергоремонт» (ранее дочерняя организация ООО «Газпромэнергохолдинг»). Присоединение было осуществлено путем конвертации акций ПАО «Межрегионтеплосетьэнергоремонт» в акции ПАО «МОЭК» с коэффициентом конвертации 5 279,2703 акций ПАО «Межрегионтеплосетьэнергоремонт» в 1 акцию ПАО «МОЭК». В результате конвертации было размещено 5 326 453 обыкновенных именных акций «ПАО МОЭК».</t>
  </si>
  <si>
    <t>ПАО "МОЭК"</t>
  </si>
  <si>
    <t>В июле 2016 года Группа приобрела в собственность 77,49% доли в ООО «ТСК Новая Москва» (ранее 100% дочерняя организация ПАО «Мосэнерго»).</t>
  </si>
  <si>
    <t>14 декабря 2015 года ПАО «МОЭК» продал 100% акций дочерней организации АО «МОЭК-Проект» АО «Газпром Энергоремонт». Стоимость сделки составила 1 477 млн руб.</t>
  </si>
  <si>
    <t>В течение 2015 года ПАО «МОЭК» приобрело в собственность долю в ООО «ТСК Мосэнерго» (ранее 100% дочерняя организация ПАО «Мосэнерго»), составляющую 74,39% уставного капитала организации: 1) 30 сентября 2015 года приобретено 31,79% долей уставного капитала; 2) 31 декабря 2015 года приобретено 42,60% долей уставного капитала. В счет оплаты указанной доли, в качестве вклада в уставной капитал ООО «ТСК Мосэнерго», было передано имущество ПАО «МОЭК», расположенное на территории Троицкого и Новомосковского административных округов (ТиНАО) города Москвы, балансовой стоимостью 1 911 млн руб. Переданные активы ПАО «МОЭК» в ТиНАО были территориально обособлены и удалены от основных активов Компании. При этом ООО «ТСК Мосэнерго» располагает опытом эксплуатации теплоэнергетических активов в подмосковных городах и эффективного обеспечения теплоснабжения изолированных районов.</t>
  </si>
  <si>
    <t>Монтаж, ремонт и техническое обслуживание
приборов и инструментов для измерения, контроля,
испытания и прочих целей</t>
  </si>
  <si>
    <t>14 марта 2016 года ООО «ТСК Мосэнерго» продало 99% уставного капитала дочерней организации ООО «ТСК Метрология» ООО «АНТ-Сервис». Стоимость сделки составила 10 тыс. руб.</t>
  </si>
  <si>
    <t>Проектные работы</t>
  </si>
  <si>
    <t>С 1 июля 2019 года в результате предъявления своей доли к выкупу вторым участником Группа получила контроль над ООО «ТСК Метрология» (ранее 99% доли принадлежало ООО «ТЭК-Информ», дочерней организации ООО «Газпром энергохолдинг»). Данная сделка классифицирована как объединение бизнеса под общим контролем, поэтому эффект от присоединения в размере 1 млн руб. был признан непосредственно в составе собственного капитала. 26 декабря 2019 года ООО «ТСК Метрология» продало собственную долю в размере 99% ООО «Газпромэнергоремонт», в результате чего Группа утратила контроль над ООО «ТСК Метрология».</t>
  </si>
  <si>
    <t>В августе 2011 года Группа приобрела дополнительные 0,07% акций ОАО «МТК» за 15,6 млн. руб. В результате сделки по приобретению акций доля участия Группы в ОАО «МТК» увеличилась с 68,09% до 68,16%. Группа признала уменьшение неконтролирующей доли в размере 35,5 млн.руб. При приобретении возникло превышение доли Группы в остаточной стоимости приобретенных чистых активов над ценой покупки в размере 19,9 млн. руб., которое было признано в составе капитала.</t>
  </si>
  <si>
    <t>В октябре 2011 года Группа продала 0,27% акций ОАО «МТК» за денежное вознаграждение в размере 61,5 млн. руб., уменьшив тем самым свою долю в данном предприятии с 68,16% до 67,89%. В результате сделки Группа признала увеличение неконтролирующей доли в размере 135 млн. руб. При продаже возник убыток в размере 73,5 млн. руб., который был признан в составе нераспределенной прибыли.</t>
  </si>
  <si>
    <t>В течение 9 месяцев 2012 года Группа продала 0,68% акций ОАО «МТК» за денежное вознаграждение в размере 210 млн. руб., уменьшив тем самым свою долю в данном предприятии с 69,76% до 69,08%. В результате сделки Группа признала увеличение неконтролирующей доли в размере 380 млн. руб. При продаже возник убыток в размере 170 млн. руб., который был признан в составе нераспределенной прибыли.</t>
  </si>
  <si>
    <t>В сентябре 2012 года Группа завершила приобретение дополнительных 1,87% акций ОАО «МТК» за 579 млн. руб. В результате сделки по приобретению акций доля участия Группы в ОАО «МТК» увеличилась с 67,89% до 69,76%. Группа признала уменьшение неконтролирующей доли в размере 988 млн. руб. При приобретении возникло превышение доли Группы в остаточной стоимости приобретенных чистых активов над ценой покупки в размере 409 млн. руб., которое было признано в составе капитала.</t>
  </si>
  <si>
    <t>Передача тепловой энергии</t>
  </si>
  <si>
    <t>В ноябре 2010 года акции ОАО «Нижегородская теплоснабжающая компания», принадлежащие Группе, были проданы за вознаграждение 10 млн.руб. При продаже возникла прибыль в размере 10 млн. руб., что было отражено в отчете о совокупной прибыли. ОАО «Нижегородская теплоснабжающая компания» не осуществляло какую-либо операционную деятельность с момента своего создания.</t>
  </si>
  <si>
    <t>В июле 2010 года Группа приобрела дополнительные 0,17% акций ОАО «МТК» за 40 млн.руб. В результате сделки по приобретению акций доля участия Группы в ОАО «МТК» увеличилась с 94,49% до 94,66%. Группа признала уменьшение неконтролирующей доли участия в размере 60 млн.руб. При приобретении возникло превышение доли Группы в остаточной стоимости приобретенных чистых активов над ценой покупки в размере 20 млн. руб., которое было признано в составе капитала.
В июле 2010 года Группа продала 0,05% акций ОАО «МТК» за денежное вознаграждение в размере 10 млн. руб., уменьшив тем самым свою долю участия в данном предприятии с 94.66 % до 94,61 %. В результате сделки Группа признала увеличение неконтролирующей доли участия в размере 16 млн. руб. При продаже возник убыток в размере 6 млн. руб., который был признан в составе капитала.</t>
  </si>
  <si>
    <t>Электроэнергетика (Генерация)</t>
  </si>
  <si>
    <t>Электроэнергетика (Сбыт)</t>
  </si>
  <si>
    <t>5 июня 2017 года АО «ВТБ Капитал» выкупил акции ПАО ГК «ТНС энерго» в количестве 2 719 979 штук (19.9 % уставного капитала) за 5 999 947 тыс. руб. В этот же день материнской компанией с Банком заключена сделка беспоставочного форварда на этот же пакет акций со следующими сроками: 1) 755 549 акций до 6 июня 2022 года; 2) 755 550 акции до 6 июня 2022 года; 3) 755 550 акций до 5 июня 2023 года; 4) 453 330 акции до 5 июня 2024 года.</t>
  </si>
  <si>
    <t>В сентябре 2021 года Группа приобрела долю в 100% уставного капитала (100% голосов) в ООО "Гарант Энерго" у физического лица.</t>
  </si>
  <si>
    <t>ООО "Гарант Энерго"</t>
  </si>
  <si>
    <t>физ лицо</t>
  </si>
  <si>
    <t>В феврале 2020 года Группой продана 70% доля в дочерней компании ООО «ЕИРЦ КРАСНОДАРСКОГО КРАЯ» в связи с необходимостью оптимизации затрат по неосновной деятельности Группы.</t>
  </si>
  <si>
    <t>Реализация электроэнергии</t>
  </si>
  <si>
    <t>Начисление и прием платежей за коммунальные услуги</t>
  </si>
  <si>
    <t>В январе 2017 года ПАО «ТНС энерго Ростов-на-Дону» приобрело долю 100% уставного капитала ООО «ЕИРЦ Южный» у физических лиц за денежное вознаграждение. Компания приобретена с целью расширения бизнеса на новых территориях. ООО «ЕИРЦ «Южный» работает на территории г. Новочеркасска, г. Таганрога, г. Батайска, с перспективой развития на всю территорию Ростовской области и осуществляет функции расчетного центра для водоснабжающих и теплоснабжающих организаций и управляющих компаний по многоквартирным домам.</t>
  </si>
  <si>
    <t>физ лица</t>
  </si>
  <si>
    <t>На внеочередном ОСА от 11.02.2019г. одобрены сделки по продаже доли в размере 100% в уставном капитале ООО «ГЭСК», цена сделки 405 000 тыс. руб. и 0,1% в уставном капитале ООО «ЮА «Делегат» цена сделки 5 тыс. руб. Сделки состоялись 27.03.2019 г., покупателем является основной акционер группы ZEFAVEL TRADING LIMITED.</t>
  </si>
  <si>
    <t>ZEFAVEL TRADING LIMITED</t>
  </si>
  <si>
    <t>NA</t>
  </si>
  <si>
    <t>Юридичкские услуги</t>
  </si>
  <si>
    <t>Сектор</t>
  </si>
  <si>
    <t>CN</t>
  </si>
  <si>
    <t>Agro</t>
  </si>
  <si>
    <t>FN</t>
  </si>
  <si>
    <t>Ins</t>
  </si>
  <si>
    <t>OT</t>
  </si>
  <si>
    <t>Sport</t>
  </si>
  <si>
    <t>RE</t>
  </si>
  <si>
    <t>"Русский элеватор"</t>
  </si>
  <si>
    <t>RealEst</t>
  </si>
  <si>
    <t>Serv</t>
  </si>
  <si>
    <t>Тикер</t>
  </si>
  <si>
    <t>Hotel</t>
  </si>
  <si>
    <t>Fund</t>
  </si>
  <si>
    <t>Alco</t>
  </si>
  <si>
    <t>В 2010 году Группа реализовала 7,5%-ную долю участия в капитале "Талита Трейдинг" (бывшая несущественная дочерняя компания Группы) стороне, которая является связанной с Группой стороной, за 0,2 миллиарда рублей. Прибыль в размере 0,1 млрд. рублей, полученная в результате сделки, отражена в отчете о прибылях и убытках по статье "Прибыль от выбытия дочерних и ассоциированных компаний".</t>
  </si>
  <si>
    <t>Inv</t>
  </si>
  <si>
    <t>"Tele2 Россия"</t>
  </si>
  <si>
    <t>TL</t>
  </si>
  <si>
    <t>Mob</t>
  </si>
  <si>
    <t>OG</t>
  </si>
  <si>
    <t>OFS</t>
  </si>
  <si>
    <t>Rest</t>
  </si>
  <si>
    <t>MM</t>
  </si>
  <si>
    <t>EU</t>
  </si>
  <si>
    <t>Ret</t>
  </si>
  <si>
    <t>IRAO</t>
  </si>
  <si>
    <t>DVEC</t>
  </si>
  <si>
    <t>В августе 2020 года Общество приобрело у ПАО «НК «Роснефть» 7,68 процента акций АО «Сахалинская энергетическая компания» (АО «СЭК»), ассоциированной организации Группы, за денежное вознаграждение в размере 1 000 млн рублей. Доля участия Группы в АО «СЭК» увеличилась до 42,31 процента.</t>
  </si>
  <si>
    <t>TASB</t>
  </si>
  <si>
    <t>MSSB</t>
  </si>
  <si>
    <t>Gen</t>
  </si>
  <si>
    <t>OGKC</t>
  </si>
  <si>
    <t>ukgs</t>
  </si>
  <si>
    <t>SARE</t>
  </si>
  <si>
    <t>Grid</t>
  </si>
  <si>
    <t>IRGZ</t>
  </si>
  <si>
    <t>KRSG</t>
  </si>
  <si>
    <t>TN</t>
  </si>
  <si>
    <t>Port</t>
  </si>
  <si>
    <t>Heat</t>
  </si>
  <si>
    <t>OGK1</t>
  </si>
  <si>
    <t>TGKK</t>
  </si>
  <si>
    <t>PBSB</t>
  </si>
  <si>
    <t>ООО «Автозаводская ТЭЦ» принадлежит 80,98% доли в уставном капитале ЗАО «Волгаэнергосбыт»</t>
  </si>
  <si>
    <t>Электроэнергетика (тепло)</t>
  </si>
  <si>
    <t>KRGE</t>
  </si>
  <si>
    <t>Электроэнергетика (ПИР)</t>
  </si>
  <si>
    <t>MRKK</t>
  </si>
  <si>
    <t>RSTI</t>
  </si>
  <si>
    <t>MRKY</t>
  </si>
  <si>
    <t>MRKV</t>
  </si>
  <si>
    <t>KUBE</t>
  </si>
  <si>
    <t>TNSE</t>
  </si>
  <si>
    <t>MRKS</t>
  </si>
  <si>
    <t>LSNG</t>
  </si>
  <si>
    <t>FEES</t>
  </si>
  <si>
    <t>TORS</t>
  </si>
  <si>
    <t>mter</t>
  </si>
  <si>
    <t>TGKB</t>
  </si>
  <si>
    <t>Компания осуществляет комплексное обеспечение региональных энергосистем топливными ресурсами</t>
  </si>
  <si>
    <t>TGKE</t>
  </si>
  <si>
    <t>TGKF</t>
  </si>
  <si>
    <t>TGKI</t>
  </si>
  <si>
    <t>В феврале 2021 года Группа прекратила участие в уставном капитале непрофильного дочернего общества АО «Родник здоровья» в результате продажи доли в размере 100 % в пользу третьего лица.</t>
  </si>
  <si>
    <t>В июле 2020 года Совет директоров ПАО «ДЭК» одобрил участие конечной материнской компании Группы - ПАО «РусГидро» в уставном капитале АО «ДГК» для целей капитализации задолженности АО «ДГК» перед ПАО «РусГидро» по выданному займу. 10 сентября 2020 года Банк России зарегистрировал решение о дополнительном выпуске ценных бумаг АО «ДГК» по закрытой подписке в пользу ПАО «РусГидро». 23 сентября 2020 года было размещено 125 717 632 999 000 обыкновенных акций на сумму 40 500 млн рублей. В результате размещения акций дополнительного выпуска доля ПАО «РусГидро» в общем количестве голосующих акций АО «ДГК» составила 99.998 процента, доля ПАО «ДЭК» снизилась до 0,002 процента. Отчет об итогах дополнительного выпуска ценным бумаг зарегистрирован Банком России 2 ноября 2020 года.</t>
  </si>
  <si>
    <t>27 октября 2017 года Группой были проданы акции дочернего общества АО «СК Агроэнерго» (АО «Сельскохозяйственный комплекс
«Агроэнерго»). Сумма сделки составила 98 млн рублей. На дату сделки было оплачено 33 млн рублей. Продажа осуществлена в соответствии с решением Совета директоров ПАО «ДЭК» (Протокол от 29 сентября 2017 года № 300). Величина чистых активов АО «СК Агроэнерго» на момент выбытия составляла 116 млн рублей. Убыток от продажи составил 311 млн рублей и был отражен в составе прочих операционных расходов. В результате продажи неконтролирующая доля участия увеличилась на 228 млн рублей. До даты выбытия чистый убыток от деятельности АО «СК Агроэнерго» составил 214 млн рублей</t>
  </si>
  <si>
    <t>08 августа 2013 г. Группа приобрела контроль над Обществом с ограниченной ответственностью «Златоустовский завод металлоконструкций» (ООО «ЗЗМК») , занимающимся призводством металлических конструкций. Контроль был приобретен посредством вступления Компании в состав участников ООО «ЗЗМК» и внесении вклада в уставной капитал. В результате данной сделки доля Группы в капитале ООО «ЗЗМК»составила 100%.</t>
  </si>
  <si>
    <t>16 января 2013 г. Группа приобрела 50% доли в Установм капитале Общества с ограниченной ответственностью «Перспектива» (ООО «Перспектива»).</t>
  </si>
  <si>
    <t>Производство металлических конструкций</t>
  </si>
  <si>
    <t>ПАО "Челябэнергосбыт"</t>
  </si>
  <si>
    <t>21 декабря 2012 г. Группа приобрела контроль над Обществом с ограниченной ответственностью «Орский завод металлоконструкций» (ООО «ОЗМК»), занимающимся призводством металлических конструкций. Контроль был приобретен посредством вступления Компании в состав участников ООО «ОЗМК» и внесении вклада в уставной капитал. В результате данной сделки доля Группы в капитале ООО «ОЗМК»составила 86,75%. Посредством приобретения контроля над ООО «ОЗМК» Группа произвела диверсификацию своей деятельности, включив в нее производство. В качестве вклада в уставной капитал ООО «ОЗМК» Группа внесла имущество на сумму 411 369 тыс. руб. по справедливой стоимости.</t>
  </si>
  <si>
    <t>21 декабря 2012 г. Группа приобрела 21,88% в Обществе с ограниченной ответственностью «Златоустовский завод металлоконструкций» (ООО «ЗЗМК») посредством вступления Компании в состав участников ООО «ОЗМК» и внесении вклада в уставной капитал. Вклад был внесен имуществом на сумму 54 050 тыс. руб. по справедливой стоимости. Отраженная в консолидированной финансовой отчетности балансовая стоимость принадлежащей Группе доли чистых активов ООО «ЗЗМК»составляла на дату приобретения 63 315 тыс. руб.</t>
  </si>
  <si>
    <t>SAGO</t>
  </si>
  <si>
    <t>Протоколом №11/494 от 09.12.2022 г. Совет директоров Общества утвердил отчет об итогах предъявления акционерами заявлений о продаже принадлежащих им акций: 1)	акции обыкновенные именные бездокументарные, государственный регистрационный номер выпуска 1-02-00127-Л от 02.11.2006 г., международный код (номер) идентификации ценных бумаг (ISIN) RU0009098255$ 2) акции привилегированные тин А, государственный регистрационный номер выпуска 2-02-00127-А от 02.11.2006 г., международный код (номер) идентификации ценных бумаг (ISIN) RU0009084495. Общее количество акций - 215 372 872 штук. Акции приобретены Обществом на основании заявлений акционеров о продаже принадлежащих им акций Общества в соответствии с пунктом 2 статьи 72 Федерального закона «Об акционерных обществах» в связи с принятием 12.10.2022 г. Советом директоров решения о приобретении собственных размешенных акций (протокол № 06/449 от 13.10.</t>
  </si>
  <si>
    <t>ПАО "Самараэнерго"</t>
  </si>
  <si>
    <t>Min-Gold</t>
  </si>
  <si>
    <t>SELG</t>
  </si>
  <si>
    <t>ROLO</t>
  </si>
  <si>
    <t>Met-Tin</t>
  </si>
  <si>
    <t>POGR</t>
  </si>
  <si>
    <t>KBTK</t>
  </si>
  <si>
    <t>Min-Coal</t>
  </si>
  <si>
    <t>Oil-EP</t>
  </si>
  <si>
    <t>Gas-EP</t>
  </si>
  <si>
    <t>Gas-Int</t>
  </si>
  <si>
    <t>В октябре 2019 г. компания Группы приобрела 5% долю участия в Концессии Гаша (Ghasha) в ОАЭ у Национальной нефтяной компании Абу-Даби. Стоимость приобретения составила 13,8 млрд руб. (214 млн долл. США).</t>
  </si>
  <si>
    <t>NVTK</t>
  </si>
  <si>
    <t>100 % доля в «ВИБГ ГмбХ» и на 50 % доли в организациях «Винтерсхалл Ноордзее Б.В.» и «Винтерсхалл Сервисез Б.В.». «ВИБГ ГмбХ» в свою очередь имеет долю в «В и Г Бетайлигунгс-ГмбХ и Ко. КГ» и долю в «ВИЕХ ГмбХ и Ко. КГ» в размере 50,02 % и 50 % соответственно</t>
  </si>
  <si>
    <t>Gas-RM</t>
  </si>
  <si>
    <t>В ноябре 2017 года Группа приобрела за денежное вознаграждение в размере 13 062 млн рублей 100%-ную долю участия в OOO «Севернефть-Уренгой» (в январе 2019 г. присоединено к ООО «НОВАТЭКЮрхаровнефтегаз»), которое являлось держателем лицензии на геологическое изучение, разведку и добычу углеводородов в пределах Западно-Ярояхинского лицензионного участка, расположенного в ЯНАО.</t>
  </si>
  <si>
    <t>В декабре 2017 года Группа приобрела за денежное вознаграждение в размере 5 412 млн рублей 100%-ные доли владения в АO «Евротэк» и АО «Южно-Хадырьяхинское» (в мае 2018 года присоединено к ООО «НОВАТЭК-Таркосаленефтегаз»), которые являлись держателями лицензий на разведку и добычу углеводородов в пределах Сысконсыньинского лицензионного участка, расположенного в ХантыМансийском автономном округе, и Южно-Хадырьяхинского лицензинного участка, расположенного в ЯНАО, соответственно.</t>
  </si>
  <si>
    <t>Комментарии</t>
  </si>
  <si>
    <t>Min-Diam</t>
  </si>
  <si>
    <t>Min-Iron</t>
  </si>
  <si>
    <t>ПАО "Коршуновский горно-обогатительный комбинат"</t>
  </si>
  <si>
    <t>KOGK</t>
  </si>
  <si>
    <t>ПАО "Мечел"</t>
  </si>
  <si>
    <t>ПАО "Газпром нефть"</t>
  </si>
  <si>
    <t>ПАО НК "РуссНефть"</t>
  </si>
  <si>
    <t>Min-Div</t>
  </si>
  <si>
    <t>ПАО "Угольная компания "Южный Кузбасс"</t>
  </si>
  <si>
    <t>UKUZ</t>
  </si>
  <si>
    <t>UNKL</t>
  </si>
  <si>
    <t>GMKN</t>
  </si>
  <si>
    <t>LNZL</t>
  </si>
  <si>
    <t>ПАО "Челябинский цинковый завод"</t>
  </si>
  <si>
    <t>ПАО "Полюс"</t>
  </si>
  <si>
    <t>ПАО "Бурятзолото"</t>
  </si>
  <si>
    <t>RASP</t>
  </si>
  <si>
    <t>Полиметалл Интернэшнл плс</t>
  </si>
  <si>
    <t>Min-Silver</t>
  </si>
  <si>
    <t>CH</t>
  </si>
  <si>
    <t>Fert-Phos</t>
  </si>
  <si>
    <t>ПАО "Корпорация ВСМПО-АВИСМА"</t>
  </si>
  <si>
    <t>МК ПАО "ОК "РУСАЛ""</t>
  </si>
  <si>
    <t>BLNG</t>
  </si>
  <si>
    <t>Bank</t>
  </si>
  <si>
    <t>KSGR</t>
  </si>
  <si>
    <t>Met-Int</t>
  </si>
  <si>
    <t>Tire</t>
  </si>
  <si>
    <t>Div</t>
  </si>
  <si>
    <t>Oil-RM</t>
  </si>
  <si>
    <t>URKA</t>
  </si>
  <si>
    <t>1) 9930 обыкновенных акций (эффективная доля 33,1%) АО «ТНС энерго Тула»; 2) 371 021 тыс. обыкновенных акций (эффективная доля 49%) АО «ТНС энерго Карелия»;</t>
  </si>
  <si>
    <t>1) 1 051 391 тыс. обыкновенных акций (эффективная доля 12,9%) ПАО «ТНС энерго Ростов-на-Дону»; 2) 212 тыс. обыкновенных акций и 2 600 тыс. привилегированных (эффективная доля 13%) ПАО «ТНС энерго Ярославль»;</t>
  </si>
  <si>
    <t>1) 1 845 штук обыкновенных акций и 456 штук привилегированных (эффективная доля 0,003%) ПАО «ТНС энерго Воронеж»; 2) 3 058 штук обыкновенных акций (эффективная доля 0,02%) ПАО ГК «ТНС ЭНЕРГО»; 3) 20,8 тыс. штук обыкновенных акций (эффективная доля 0,02%) ПАО «ТНС энерго Марий Эл»; 4) 295 штук обыкновенных акций и 1 435 штук привилегированных (эффективная доля 0,036%) ПАО «ТНС энерго НН»; 5) 324 тыс. штук обыкновенных акций и 20 626 тыс. штук привилегированных (эффективная доля 11,82%) ПАО «ТНС энерго Ростов-на-Дону»; 6) 13 502 штук обыкновенных акций и 208 тыс. штук привилегированных (эффективная доля 13%) ПАО «ТНС энерго Ярославль»;</t>
  </si>
  <si>
    <t>924 тыс штук обыкновенных акций (в том числе 05.10.2021 были реализованы 650 тыс. штук обыкновенных акций в пользу АО "Янтарьэнергосбыт" на сумму 81 250 тыс. руб.)</t>
  </si>
  <si>
    <t>VRSB</t>
  </si>
  <si>
    <t>MISB</t>
  </si>
  <si>
    <t>RTSB</t>
  </si>
  <si>
    <t>KBSB</t>
  </si>
  <si>
    <t>NNSB</t>
  </si>
  <si>
    <t>ООО "КЭС"</t>
  </si>
  <si>
    <t>YRSB</t>
  </si>
  <si>
    <t>88291 обыкновенных акций</t>
  </si>
  <si>
    <t>838 263 привилегированных акций</t>
  </si>
  <si>
    <t>5 327 432 привилегированных акций</t>
  </si>
  <si>
    <t>1 255 305 обыкновенных акций</t>
  </si>
  <si>
    <t>4 770 обыкновенных акций</t>
  </si>
  <si>
    <t>1 300 770 обыкновенных акций</t>
  </si>
  <si>
    <t>1 728 182 обыкновенных акций</t>
  </si>
  <si>
    <t>904 629 обыкновенных акций</t>
  </si>
  <si>
    <t>2 765 144 привилегированных акций</t>
  </si>
  <si>
    <t>399 826 привилегированных акций</t>
  </si>
  <si>
    <t>1 193 обыкновенных акций</t>
  </si>
  <si>
    <t>1 730 обыкновенных акций и 2 286 привилегированных акций</t>
  </si>
  <si>
    <t>1 684 обыкновенных акций</t>
  </si>
  <si>
    <t>3 882 обыкновенных акций</t>
  </si>
  <si>
    <t>5 566 обыкновенных акций</t>
  </si>
  <si>
    <t>ООО "Гарант энерго"</t>
  </si>
  <si>
    <t>871 обыкновенных акций</t>
  </si>
  <si>
    <t>3 814 обыкновенных акций</t>
  </si>
  <si>
    <t>171 000 обыкновенных акций</t>
  </si>
  <si>
    <t>221 037 обыкновенных акций</t>
  </si>
  <si>
    <t>33 934 обыкновенных акций</t>
  </si>
  <si>
    <t>187 103 обыкновенных акций</t>
  </si>
  <si>
    <t>28 000 000 обыкновенных акций и 285 590 307 привилегированных акций</t>
  </si>
  <si>
    <t>574 456 привилегированных акций</t>
  </si>
  <si>
    <t>4 896 обыкновенных акций</t>
  </si>
  <si>
    <t>Раскопин Д.В. и Максимов К.А.</t>
  </si>
  <si>
    <t>26 762 обыкновенных акций у Раскопина Д.В. и 8 648 обыкновенных акций у Максимова К.А.</t>
  </si>
  <si>
    <t>ПАО "Владимирская энергосбытовая компания"</t>
  </si>
  <si>
    <t>ООО "Владимирэнергосбыт"</t>
  </si>
  <si>
    <t>ООО "Энерго Сервис"</t>
  </si>
  <si>
    <t>АО "ОХК "УРАЛХИМ"</t>
  </si>
  <si>
    <t>19 декабря 2013 года Группа приобрела 19.99% акций ПАО «Уралкалий». Несмотря на то, что Группе принадлежит менее 20% акций компании и она контролирует менее 20% голосов на собраниях акционеров, Группа оказывает существенное влияние на ПАО «Уралкалий» за счет того, что связанные стороны Группы представлены в Совете директоров компании. Члены Совета директоров компании подлежат переизбранию на ежегодной основе. В мае 2015 года в результате программы обратного выкупа акций, осуществленной ПАО «Уралкалий» эффективная доля владения Компании в акционерном капитале ПАО «Уралкалий» увеличилась до 26.37%.</t>
  </si>
  <si>
    <t>В июне 2015 года Компания приобрела 32.5% акций в ООО «Промканал-Техно».</t>
  </si>
  <si>
    <t>Прочие услуги</t>
  </si>
  <si>
    <t>Транспорт и логистика</t>
  </si>
  <si>
    <t xml:space="preserve">Латвия </t>
  </si>
  <si>
    <t>18 августа 2014 года дочернее предприятие, доля участия Группы в котором составляет 55%, приобрела 100% акций компании Ventamonjaks. Денежное вознаграждение по сделке составило 2 758 259 тыс.руб. Ventamonjaks - крупнейший на Балтийском море терминал по перевалке жидкого аммиака. Контрольная доля в Ventamonjaks была приобретена с целью повышения логистической надежности Группы.</t>
  </si>
  <si>
    <t>Ventamonjaks</t>
  </si>
  <si>
    <t>Auto</t>
  </si>
  <si>
    <t>В 2013 году Группа продала 100% долю участия в ООО «Управление автомобильного транспорта» за денежное вознаграждение в размере 150 000 тыс. руб. На дату выбытия величина денежных средств на балансе предприятия составила 51 257 тыс. руб. Балансовая стоимость чистых активов составила 114 926 тыс. руб. В результате данной сделки Группа признала прибыль в размере 35 074 тыс. руб., которая была показана в составе прочих доходов консолидированного отчета о прибылях и убытках.</t>
  </si>
  <si>
    <t>Транспорт (авто)</t>
  </si>
  <si>
    <t>Tsigonel Ltd</t>
  </si>
  <si>
    <t>В 2013 году Группа продала компании, находящейся под общим контролем, 100% долю участия в Tsigonel Ltd. за денежное вознаграждение в размере 552 486 тыс. руб. Через Tsigonel Ltd Группа владела 51% долей в ЗАО Кварцит, также выбывшем в результате сделки. На дату выбытия общая величина денежных средств на балансе предприятий составила 285 462 тыс. руб. Балансовая стоимость чистых активов составила 638 806 тыс. руб. В результате данной сделки Группа отразила уменьшение стоимости чистых активов, приходящихся на нсконтролируюшую долю, в размере 89 321 тыс. руб. Превышение суммы вознаграждения к получению над долей Группы в чистых активах выбывших предприятий в размере 3 001 тыс. руб. было отражено непосредственно в консолидированном отчете об изменениях в капитале как увеличение нераспределенной прибыли.</t>
  </si>
  <si>
    <t>В апреле 2014 года Группа приобрела дополнительно три акции ОАО «Тольяттиазот». Денежное вознаграждение по сделке составило 460 657 тыс. руб. Таким образом, по состоянию на 31 декабря 2014 года инвестиции, имеющиеся в наличии для продажи, включали в себя 9.97% акций «Тольяттиазот» (2013: 9.27%) на сумму 5 584 160 тыс. руб. (2013: 5 123 473 тыс. руб.) и прочие инвестиции, имеющиеся в наличии для продажи, в размере 2 076 тыс. руб. (2013: 4 248 тыс. руб.).</t>
  </si>
  <si>
    <t>ОАО "Минеральные удобрения" ("ПМУ")</t>
  </si>
  <si>
    <t>В течение девяти месяцев, закончившихся 30 сентября 2012 г., Группа приобрела в результате ряда сделок с неконтролирующими акционерами дополнительные 12,3% акций PMF за общую сумму денежного вознаграждения в размере 2 322 150 тыс. руб., увеличив свою долю владения до 100,0%. В результате этих операций Группа признала уменьшение чистых активов, приходящееся на неконтролирующие доли участия, в размере 1 318 091 тыс. руб. Превышение уплаченного вознаграждения над долей Группы в приобретенных чистых активах в размере 1 002 150 тыс. руб. было признано непосредственно в консолидированном отчете об изменениях в капитале как уменьшение нераспределенной прибыли.</t>
  </si>
  <si>
    <t>19 января 2012 г. Группа дополнительно приобрела 41,2% акций PMF за денежное вознаграждение в размере 7 762 894 тыс. руб., увеличив свою долю участия в PMF до 87,7%. По состоянию на 31 декабря 2011 г. первоначальная инвестиция в ФУП в размере  46,5% была отражена как инвестиция в ассоциированную компанию в размере 2 486 641 тыс. руб. При получении контроля над PMF прибыль от изменения справедливой стоимости ранее принадлежавшей доли участия была признана в консолидированном отчете о прибылях и убытках в размере 4 940 755 тыс. руб. и представляет собой разницу между справедливой стоимостью ранее принадлежавшей доли участия на дату приобретения в PMF и предыдущей сумме дохода, учитываемой в соответствии с МСФО (IAS) 28 "Инвестиции в ассоциированные компании".</t>
  </si>
  <si>
    <t>В течение года, закончившегося 31 декабря 2012 года, Группа довела свою эффективную долю владения в ЗМУ КЧХК до 100.0%. Величина денежного вознаграждения составила 8 266 тыс. долл. США. Балансовая стоимость чистых активов ЗМУ КЧХК на даты приобретения акций находилась в диапазоне от 423 107 тыс. долл. США до 437 873 тыс. долл. США. В результате данных сделок Группа отразила снижение стоимости чистых активов, приходящихся на неконтрольную долю владения, в размере 9 253 тыс. долл. США. Превышение стоимости приобретенных чистых активов, приходящихся на долю Группы, над выплаченным денежным вознаграждением, в размере 987 тыс. долл. США было отражено непосредственно в отчете об изменениях в капитале как увеличение нераспределенной прибыли.</t>
  </si>
  <si>
    <t>В течение года, закончившегося 31 декабря 2011 года, в результате ряда операций с держателями неконтрольной доли владения Группа приобрела дополнительно 10.1% акций ВМУ за денежное вознаграждение в размере 23 132 тыс. долл. США, доведя свою долю участия в компании до 100.0%. Текущая стоимость чистых активов ВМУ на даты покупки акций находилась в диапазоне от 279 008 до 279 934 тыс. долл. США. В результате данных операций Группа признала уменьшение чистых активов, приходящихся на держателей неконтрольной доли владения, в размере 27 860 тыс. долл. США. Превышение стоимости приобретенных чистых активов, приходящихся на долю Группы, над выплаченным денежным вознаграждением, в размере 4 728 тыс. долл. США показано в отчете об изменениях в капитале как увеличение нераспределенной прибыли.</t>
  </si>
  <si>
    <t>Fert-Div</t>
  </si>
  <si>
    <t>Производство минеральных удобрений (различных)</t>
  </si>
  <si>
    <t>Производство фосфоросодержащих удобрений</t>
  </si>
  <si>
    <t>В феврале 2017 года ПАО «Мосэнергосбыт» приобрело у третьих лиц неконтрольную долю участия в АО «ЭСКМО» за денежное вознаграждение 60 млн руб., в результате доля материнской компании в АО «ЭСКМО» и АО «Королевская электросеть СК» увеличилась до 100 процентов. В январе 2017 года ПАО «Мосэнергосбыт» было признано победителем торгов по приобретению неконтрольной доли АО «Энергосбытовая компания Московской области». Пакет акций АО «Энергосбытовая компания Московской области» в количестве 99 900 000 штук (49,95% уставного капитала) приобретен Группой за 60 млн руб.</t>
  </si>
  <si>
    <t>2 июня 2014 г. ПАО «Мосэнергосбыт» приобрело долю в размере 1,2% у МУП «Участок энергообеспечения» в ООО «МосОблЕИРЦ».</t>
  </si>
  <si>
    <t>3 июня 2014 г. ПАО «Мосэнергосбыт» продало долю в размере 25,1% в ООО «Мосэнергосбыт-ЕИРКЦ» сторонней компании. 17 июня 2014 г. было произведено увеличение уставного капитала в ООО «Мосэнергосбыт-ЕИРКЦ» на 194 863 тыс. руб. (в том числе 98 274 тыс. руб. со стороны доли, не обеспечивающей контроль). 10 июля 2014 г. ООО «Мосэнергосбыт-ЕИРКЦ» переименовано в ООО «Московский Областной Единый Информационный Расчетный Центр» (сокращенное наименование ООО «МосОблЕИРЦ»).</t>
  </si>
  <si>
    <t>27 декабря 2010 г. Группа получила контроль над угледобывающей компанией ООО «РОК» после приобретения 100% акций компании за 140 млн. рублей у третьей стороны. В результате получения контроля над ООО «РОК», Группа получила возможность провести оптимизацию своего производственного процесса посредством получения доступа к запасам угля.</t>
  </si>
  <si>
    <t>ОАО "ОГК-3"</t>
  </si>
  <si>
    <t>В январе 2011 года ООО «Профессиональный хоккейный клуб ЦСКА» было приобретено у ООО «УК «Спортивные проекты» за денежные средства в размере 300 млн. руб. Поскольку ООО «УК «Спортивные проекты» являлось дочерним предприятием «ГМК Норильский Никель», данная операция была учтена как приобретение под общим контролем.</t>
  </si>
  <si>
    <t>В октябре 2011 года Группа продала инвестицию в ООО «Профессиональный хоккейный клуб ЦСКА» связанной стороне за денежные средства в размере 10 тыс. руб. и признала прибыль от выбытия в размере 124 815 тыс. руб.</t>
  </si>
  <si>
    <t>12 октября 2009 года Группа приобрела 100% долю в уставном капитале ООО «Энергия Холдинг», компании по сбыту электроэнергии и мощности, осуществляющей деятельность в Санкт-Петербурге. Общая сумма вознаграждения, уплаченного Группой, составила 1 244 млн. руб</t>
  </si>
  <si>
    <t>ОАО "ТГК-5"</t>
  </si>
  <si>
    <t>28 апреля 2014 года Группа приобрела у сторонней компании 100% акций ОАО «Мариэнергоремонт» (далее - ОАО «МЭР») за 2 102 тыс, руб. В результате этих операций Группа стала контролирующим акционером ОАО «МЭР». Идентифицируемые чистые активы на дату приобретения ОАО «МЭР» составили 1 746 тыс. руб. В результате данной операции был признан гудвилл в размере 356 тыс. руб</t>
  </si>
  <si>
    <t>В течение 2014 года собственные обыкновенные акции в количестве 10 654 492 тыс. штук были проданы Integrated Energy Systems.</t>
  </si>
  <si>
    <t>28 августа 2013 г. Группа продала 85,82% акций ОАО «Свердловэлектроремонт» (далее -ОАО «СЭР») за 77 476 тыс. руб. Убыток от продажи ОАО «СЭР» составил 136 889 тыс. руб.</t>
  </si>
  <si>
    <t>6 марта 2012 г. Группа приобрела у сторонней компании 1,12% акций ОАО «Пермэнергоремонт» за 916 тыс. руб., увеличив свою долю участия с 85,36% до 86,48%.</t>
  </si>
  <si>
    <t>6 марта 2012 г. Группа приобрела у сторонней компании 5,22% акций ОАО «Свердловская энергосервисная компания» за 26 333 тыс. руб. увеличив свою долю участия с 80,60% до 85,82%. Группа признала уменьшение неконтролирующей доли в размере 44 735 тыс. руб.</t>
  </si>
  <si>
    <t>17 февраля 2011 года Группа приобрела у сторонней компании 85,36% акций ОАО «Пермэнергоремонт» (далее - ОАО «ПЭР») за 335 054 тыс. руб., 100% акций ОАО «Кировэнергоремонт» (далее - ОАО «КЭР») за 94 233 тыс. руб., 100% акций ОАО «Чувашэнергоремонт» (далее - ОАО «ЧЭР») за 145 771 тыс. руб., 80,6% акций ОАО «Свердловская энергосервисная компания» (далее - ОАО «СЭСК») за 457 706 тыс. руб и 100% акций ООО «Спецтурбмонтаж» (далее - ООО «СТМ») за 69 854 тыс. руб. В результате этих операций Группа стала контролирующим акционером ОАО «ПЭР», ОАО «КЭР», ОАО «ЧЭР», ООО «СТМ», ОАО «СЭСК» и её дочерней компании ОАО «Свердловэлектроремоит» (далее - ОАО «СЭР»), 100% акционерного капитала которой принадлежит ОАО «СЭСК». Возмещение, уплаченное за ОАО «СЭСК», было распределено между ОАО «СЭСК» и ОАО «СЭР» пропорционально приобретенным чистым активам.</t>
  </si>
  <si>
    <t>1 марта 2011 года Группа приобрела у сторонней компании 25% акций «Марийская теплоснабжающая компания» за 250 тыс. руб. увеличив свою долю участия с 75% до 100%.</t>
  </si>
  <si>
    <t>Электроэнергетика (Теплосети)</t>
  </si>
  <si>
    <t>ОАО "ТГК-6"</t>
  </si>
  <si>
    <t>21 августа 2014 года Группа приобрела 24,9% обыкновенных акций компании Inter Promo Trade Limited, которая контролирует активы холдинга «Российские коммунальные системы»(РКС) и ЗАО «Новогор». Размер сделки составил 5,318 млрд руб.</t>
  </si>
  <si>
    <t>В течение 2014 года собственные обыкновенные акции в количестве 1 361 323 тыс. штук были проданы Integrated Energy Systems Limited (Cyprus).</t>
  </si>
  <si>
    <t>Integrated Energy Systems Limited (Cyprus)</t>
  </si>
  <si>
    <t>21 Августа 2014 года Группа продала 99% акций ОАО «КРЦ-Прикамье» за 1 020 тыс. руб. третьей стороне. В результате данной сделки из Группы также выбыли дочерние компании ОАО «КРЦ-Прикамье»: ООО «Пермский коммунальный союз» и ООО «Информационнорасчетный центр». Чистые активы ОАО «КРЦ-Прикамье» на 30 июня 2014 года составили 4 870 тыс. руб.</t>
  </si>
  <si>
    <t>Heterson Management Limited</t>
  </si>
  <si>
    <t>11 декабря 2012 года Группа продала 51% долю в уставном капитале Heterson Management Limited (далее - Heterson LTD) за 200 000 тыс. руб. До выбытия Heterson LTD владел 77,76% ОАО «Коми Энергосбытовая компания» (далее - ОАО «КомиЭСБ»).
ООО «ЦентрРегоинИнвест» (далее - ООО «ЦРИ») приобрело у Heterson LTD 39,66% акций в уставном капитале ОАО «КомиЭСБ» за 94 630 тыс. руб. до выбытия Heterson LTD. В результате данной операции Группа утратила контроль над ОАО «КомиЭСБ», но сохранила значительное влияние, инвестиция в данную компанию стала учитываться методом долевого участия. Справедливая стоимость инвестиций в ОАО «КомиЭСБ» оценена Группой в размере 70 932 тыс. руб. Убыток от выбытия Heterson LTD и ОАО «КомиЭСБ» составил 62 163 тыс. руб.</t>
  </si>
  <si>
    <t>kesk</t>
  </si>
  <si>
    <t>28 июня 2011 года Группа приобрела у третьих лиц 100% доли в уставном капитале ООО «Центр Регион Инвест» (далее – ООО ЦРИ) за 11 380 000 тыс. руб. В результате данной операции Группа приобрела контроль над ООО ЦРИ, его дочерними компаниями ОАО «Оренбургэнергосбыт» (далее - ОАО «ОЭСб»), 100% акций которого принадлежит ООО ЦРИ, ОАО «Сердловэнергосбыт» (далее - ОАО «СЭСб»), 78.088% акций которого принадлежит ООО ЦРИ, компанию Heterson Management Limited (далее – Heterson LTD), 51 % доли которой принадлежит ООО ЦРИ и ОАО «Комиэнергосбытовая компания» (далее - ОАО «КомиЭСБ»), 77.7576% акций которого принадлежит Heterson Management Limited.</t>
  </si>
  <si>
    <t>Keeper Management Limited</t>
  </si>
  <si>
    <t>4 мая 2011 года ООО «Центр Регион Инвест» приобрело у Keeper Management Limited 51% долю в уставном капитале Heterson Management Limited за 1 075 050 тыс.руб.</t>
  </si>
  <si>
    <t>Basly Management Limited</t>
  </si>
  <si>
    <t>20 октября 2011 Группа приобрела у компании Basly Management Limited 100% акций ОАО «КРЦ-Прикамье» за 4 914 тыс. руб. В результате данной операции Группа приобрела контроль над ОАО «КРЦ-Прикамье» и его дочерним предприятием ООО «Информационнорасчетный центр» (далее - ООО ИРЦ), 75% доли в уставном капитале которого принадлежали ОАО «КРЦ-Прикамье».</t>
  </si>
  <si>
    <t>21 октября 2011 Группа приобрела у компании Grangeville Management Limited 100% долю в уставном капитале ООО «Учетно-финансовый сервис» (далее – ООО УФС) за 76,935 тыс. руб. В результате этой операции Группа стала контролирующим акционером ООО УФС.</t>
  </si>
  <si>
    <t>Grangeville Management Limited</t>
  </si>
  <si>
    <t>21 октября 2011 Группа приобрела у компании Grangeville Management Limited 100% долю в уставном капитале ООО «Юнис» за 10 тыс. руб. В результате этой операции Группа стала контролирующим акционером ООО «Юнис».</t>
  </si>
  <si>
    <t>Grossbeak Investments Limited</t>
  </si>
  <si>
    <t>20 октября 2011 Группа приобрела у компании Grossbeak Investments Limited 100% акций ЗАО «УК Энергостройсервис» (далее - ЗАО УК ЭСС) за 1 рубль. В результате этой операции Группа стала контролирующим акционером ЗАО УК ЭСС.</t>
  </si>
  <si>
    <t>В 2010 году до приобретения Группой, компания Heterson Ltd приобрела 51% акций в акционерном капитале ОАО «КомиЭСБ» за 139 034 тыс.руб. за денежные средства. Сумма была признана непосредственно в составе капитала в качестве выплат собственникам в рамках сделок по объединению бизнеса между предприятиями под общим контролем.</t>
  </si>
  <si>
    <t>Basly management Limited и Inguri management Limited</t>
  </si>
  <si>
    <t>30 июня 2011 года Группа приобрела у Basly management Limited и Inguri management Limited 20.76% акций в акционерном капитале ОАО «Владимирская энергосбытовая компания» (далее ОАО ВЭСК) за 133 487 руб. В результате данной операции Группа стала иметь значительное влияние на ОАО ВЭСК.</t>
  </si>
  <si>
    <t>VDSB</t>
  </si>
  <si>
    <t>SVSB</t>
  </si>
  <si>
    <t>UDSB</t>
  </si>
  <si>
    <t>KISB</t>
  </si>
  <si>
    <t>22 марта 2011 года в Группа продала 4.22% доли владения ОАО «Кировэнергосбыт» за 22,005 тыс.руб. и 7.88% доли владения ОАО «Удмуртская энергосбытовая компания» за 35,048 тыс.руб. 17 октября 2011 года Группа приобрела те же доли в данных компаниях за 51,541 тыс. руб. Группа признала увеличение неконтролирующей доли в размере 8,344 тыс. руб. и уменьшение нераспределенной прибыли в размере 2,834 тыс.руб.</t>
  </si>
  <si>
    <t>17 октября 2011 года Basly Management Limited безвозмездно передало 25 % доли участия в уставном капитале ООО «Пермская Сетевая Компания» Группе. В результате данной операции Группа увеличила долю владения в ООО «Пермская Сетевая Компания» с 75% до 100%, в ООО «ИнвестСпецПром» с 72.25% до 100%, в ООО «Пермский Коммунальный Союз» с 38.25% до 51%. Группа признала увеличение неконтролирующей доли и соответствующее уменьшение нераспределенной прибыли в размере 237 089 тыс.руб.</t>
  </si>
  <si>
    <t>21 октября 2011 Группа приобрела у третьих лиц 100% акций ЗАО «КЭС-Энергосбыт» (далее ЗАО КЭС ЭСб) за 6 100 тыс.руб. Идентифицируемые чистые активы на лату приобретения ЗАО «КЭС-Энергосбыт» составили 1 000 тыс.руб. В результате данной операции был признан гудвилл в размере 5 100 руб.</t>
  </si>
  <si>
    <t>В 2008 году Группа выкупила 725 282 150 собственных акций у акционеров на общую сумму 20 671 тыс. руб. Данные акции в 2012 году были проданы за 10 927 тыс. руб.</t>
  </si>
  <si>
    <t>Fix</t>
  </si>
  <si>
    <t>MGTS</t>
  </si>
  <si>
    <t>Sat</t>
  </si>
  <si>
    <t>IT</t>
  </si>
  <si>
    <t>В феврале 2022 года Группа приобрела 100% долю в VisionLabs B.V. («VisionLabs»), ведущем разработчике продуктов на базе компьютерного зрения и машинного обучения, за 6,556 млн руб. Приобретение направлено на расширение портфеля продуктов Группы в области искусственного интеллекта за счет направления видеоаналитики и повышение потенциала экосистемы цифровых сервисов Группы. Цена приобретения включала выплату денежными средствами в сумме 5,276 млн руб., отложенное вознаграждение в сумме 659 млн руб., и условное вознаграждение в сумме 621 млн руб. Условное вознаграждение подлежит выплате на основании достижения VisionLabs определенных финансовых показателей в периоды с 2022 по 2024 год.</t>
  </si>
  <si>
    <t>ПАО "МТС"</t>
  </si>
  <si>
    <t xml:space="preserve">VisionLabs B.V. </t>
  </si>
  <si>
    <t>В апреле 2022 года Группа приобрела 58.38% долю в АО «Гольфстрим охранные системы» («Гольфстрим»), один из лидеров российского рынка безопасности для жилых домов, автомобилей и коммерческих помещений, за 1,999 млн руб., выплаченных денежными средствами. Приобретение направлено на комплексное развитие новой бизнес-вертикали «Умный дом». Группа также приобрела колл и пут опционы на выкуп оставшейся доли в 41.62%, подлежащие исполнению начиная с 2025 года и с ценой исполнения, рассчитываемой на основании финансовых результатов Гольфстрим.</t>
  </si>
  <si>
    <t>В июле 2022 года Группа приобрела 100% доли в ООО «Компания Броневик» и ООО «Броневик Онлайн» (вместе - «Броневик»), одного из лидеров российского рынка онлайн-бронирования отелей. Приобретение направлено на развитие нового направления бизнеса MTS Travel в сфере путешествий и туризма. Цена приобретения в сумме 4,000 млн руб. была выплачена денежными средствами.</t>
  </si>
  <si>
    <t>Int-Shop</t>
  </si>
  <si>
    <t>В июле 2022 года Группа приобрела 75.5% доли в ООО «Вебинар» и ООО «Вебинар Технологии» (вместе - «Вебинар»), оказывающих услуги по предоставлению видеоконференцсвязи и корпоративных видеосервисов. Приобретение дополняет экосистему В2В-сервисов Группы и позволит разработку единого универсального приложения для видеозвоноков и конференций и интегрированных с видеоконференцсвязью коммуникационных сервисов. Цена приобретения в сумме 2,095 млн руб. была выплачена денежными средствами. Группа также приобрела колл и пут опционы на выкуп оставшейся доли в 24.5%. В сентябре 2022 года после частичного исполнения опционов на сумму 328 млн руб. доля Группы в Вебинар составила 84.25%. Оставшиеся колл и пут опционы подлежат исполнению в 2024 и 2025 годах, и с ценой исполнения, рассчитываемой на основании финансовых результатов Вебинар.</t>
  </si>
  <si>
    <t>Int-Serv</t>
  </si>
  <si>
    <t>NVision Czech Republic a.s.</t>
  </si>
  <si>
    <t>В апреле 2021 года Группа приобрела 100% долю в уставном капитале кредитного брокера ООО «Кредит Консалтинг». Цена приобретения включала выплату денежными средствами, произведенную в мае 2021 года, в сумме 10 тыс. руб. и условное вознаграждение в сумме 60 млн руб., подлежащее выплате в срок до 5 лет на основании достигнутых операционных показателей.</t>
  </si>
  <si>
    <t>В июне 2021 года Группа приобрела 100% долю в уставном капитале ОАО «Межрегиональный Транзит Телеком» (далее - «МТТ»), провайдера интеллектуальных решений для бизнеса, для расширения предложений для бизнес-клиентов за счет платформенных решений. Цена приобретения включала выплату денежными средствами, произведенную в июне 2021 года в сумме 3,680 млн руб., передачу дебиторской задолженности прежних владельцев на сумму 1.958 млн руб., и отложенное вознаграждение в сумме 160 млн руб.</t>
  </si>
  <si>
    <t>В июне 2021 года Группа приобрела 100% долю в уставном капитале ООО «ГДЦ Энерджи Групп», владельца и оператора ЦОД GreenBush, расположенного в особой экономической зоне Технополис. Ресурсы ЦОД GreenBush будут использоваться для предоставления услуг по размещению оборудования и облачных сервисов, и удовлетворения потребностей Группы в вычислительных мощностях и хранении информации. Цена приобретения включала выплату денежными средствами в сумме 5,200 млн руб., произведенную в июле 2021 года.</t>
  </si>
  <si>
    <t>В апреле 2021 года Группа приобрела дополнительную долю в Achemar Holdings Limited, владеющей операционными компаниями Группы «Зеленая точка», доведя свою долю владения до 100% и приобретя контроль над компанией, расширив свое присутствие на региональных рынках. До приобретения Группа владела 51% в уставном капитале Achemar Holdings Limited и учитывала инвестицию как инвестицию в совместное предприятие. Группа «Зеленая точка» владеет 100% долями в компаниях, предоставляющих услуги фиксированной связи в Тамбовской области и Ставропольском крае. Цена приобретения включала выплату денежными средствами в сумме 1,512 млн руб., произведенную в апреле 2021 года, и отложенный платеж в сумме 7 млн руб.</t>
  </si>
  <si>
    <t>FinTech</t>
  </si>
  <si>
    <t>Кредитный брокер</t>
  </si>
  <si>
    <t>В феврале 2021 года Группа продала 100% долю в уставном капитале ТОО «Ситроникс Телеком Солюшнс Украина» («СТС-Украина») за 52 млн руб.</t>
  </si>
  <si>
    <t>В июне 2020 года Группа приобрела 100% доли в уставном капитале ООО «Стопол Авто» и ООО «Коагент Рус» (далее совместно - «Стопол», позднее «МТС Авто»), занимающихся разработкой и поставкой мультимедийных устройств и бортовых информационных систем для автомобилей. Покупка позволит Группе выйти на рынок решений «умных» автомобилей. Цена приобретения включала выплату денежными средствами в сумме 312 млн руб., выплаченные в июле 2020 года, и отложенное вознаграждение.</t>
  </si>
  <si>
    <t>22 ноября 2019 года Группа подписала соглашение о продаже дочерней компании Preludium B.V., владевшей 100% в уставном капитале ПрАО «ВФ Украина» и ее дочерними компаниями, которые осуществляли деятельность Группы на территории Украины и составляли операционный сегмент «Украина». Сделка была завершена 3 декабря 2019 года. В соответствии с условиями договора купли-продажи в зависимости от финансовых результатов прекращенной деятельности в Украине Группа должна была получить дополнительное условное вознаграждение. Группа получила первую выплату дополнительного условного вознаграждения в марте 2021 года в сумме 1,234 млн руб. Справедливая стоимость условного вознаграждения, признанного по состоянию на 31 декабря 2021 года, составила 1,867 млн руб. В 2022 году в связи с неопределенностью, а также экономической волатильностью и санкциями в России, Группа признала резерв на полную сумму вознаграждения и его стоимость составила ноль.</t>
  </si>
  <si>
    <t>Группа продала АФК «Система» 100% дочернего предприятия АО «Энвижн Труп» 30 октября 2020 года. АО «Энвижн Труп» предоставлял услуги системной интеграции, а также выступал поставщиком программного обеспечения и входил в отчетный сегмент «Прочие». Выбытие АО «Энвижн Груп» было завершено 30 октября 2020 года и отражено в составе чистой прибыли от прекращенной деятельности в консолидированном отчете о прибылях и убытках. Вознаграждение в форме выплаты денежными средствами в сумме 369 млн руб. было получено в конце 2020 года.</t>
  </si>
  <si>
    <t>В октябре 2022 года Группа продала 100% долю в NVision Czech Republic a.s., входивший в отчетный сегмент «Прочие». Справедливая стоимость вознаграждения, подлежащего получению в течение пятилетнего срока, составила 453 млн руб., из которых 50 млн руб. было получено в 2022 году.</t>
  </si>
  <si>
    <t>В феврале 2020 года Группа приобрела 51% доли в компаниях Achemar Holdings Limited и Clarkia Holdings Limited, владеющих операционными компаниями группы компаний «Зеленая Точка», предоставляющей услуги фиксированной связи в ряде регионов России. Цена приобретения включала выплату денежными средствами в сумме 1,370 млн руб. Условия приобретения также включали получение колл и пут опционов на приобретение оставшихся долей в Achemar Holdings Limited и Clarkia Holdings Limited. Справедливая стоимость опционов была включена в сумме 166 млн руб. в цену приобретения.</t>
  </si>
  <si>
    <t>В июле 2021 года Группа приобрела 51% доли в Amaran Limited, единственном участнике ООО «Факторин» («Факторин») за 867 млн руб. Факторин, является разработчиком и владельцем основанной на блокчейне факторинговой платформы для финансовых торговых операций с фокусом на финансирование цепочек поставок и факторинг расчетов.</t>
  </si>
  <si>
    <t>В сентябре 2018 года Группа приобрела 13.68% долю в Youdo Web Technologies Limited (далее - «YouDo»), владеющей одним из крупнейших российских онлайн-сервисов по поиску исполнителей для решения бытовых и бизнес-задач, за денежное вознаграждение в сумме 824 млн руб. В ноябре 2021 года Группа увеличила долю до 14,39%. Несмотря на то, что Группа владеет долей менее 20% в уставном капитале YouDo, Группа считает, что имеет возможность существенно влиять на финансовую и операционную политику компании, основываясь на доле владения, участии в совете директоров и дополнительных правах Группы при принятии решений по вопросам управления.</t>
  </si>
  <si>
    <t>В сентябре 2022 года Группа приобрела 50,85% долю в Navitel, ведущем разработчике программ для спутниковой навигации, вложив 690 миллионов рублей. Группа владеет долей более 50% в уставном капитале Navitel. Группа считает, что имеет возможность существенно влиять на финансовую и операционную политику компании посредством участия в совете директоров.</t>
  </si>
  <si>
    <t>В феврале 2023 года Группа приобрела 67% долю в компании ООО «Баззула интернет технологии» («Buzzoola»), предоставляющей услуги в области рекламных технологий. Цена приобретения включала 371 млн руб., а также условное вознаграждение. Приобретение 67% долей было учтено как инвестиция в совместное предприятие.</t>
  </si>
  <si>
    <t>Navitel</t>
  </si>
  <si>
    <t>Int-Adv</t>
  </si>
  <si>
    <t>ИТ (Интернет-реклама)</t>
  </si>
  <si>
    <t>В июне 2019 года Группа приобрела 97.4% долю в уставном капитале АО «РИКТ» (далее - «РИКТ»), оператора фиксированной связи в одном из городов Кемеровской области. Цена приобретения включала выплату денежными средствами в сумме 360 млн руб. Приобретение позволит Группе увеличить долю рынка в Кемеровской области. В сентябре 2019 года Группа завершила процедуру обязательного выкупа акций у миноритарных акционеров РИКТ и довела свою долю в уставном капитале РИКТ до 100%.</t>
  </si>
  <si>
    <t>В апреле 2019 года Группа полностью приобрела «Кинополис» у дочерней компании АФК «Система» за 2,042 млн руб. Кинополис владеет полностью оборудованным кинопроизводственным комплексом в Санкт-Петербурге. Приобретение Кинополис позволит Группе развивать собственное производство развлекательного контента.</t>
  </si>
  <si>
    <t>Кинопроизводство</t>
  </si>
  <si>
    <t>Cinem</t>
  </si>
  <si>
    <t xml:space="preserve">В августе 2019 года Группа полностью приобрела бизнес-комплекс «Народное» у АФК «Система» за 329 млн руб. Бизнес-комплекс управляется по договору управления «Бизнес-Недвижимость», дочерним предприятием АФК «Система», и включает офисные помещения, арендуемые Группой, и помещение отеля, арендуемое третьей стороной. Приобретение позволит оптимизировать расходы Группы на аренду и улучшить ее портфель инвестиционной недвижимости. </t>
  </si>
  <si>
    <t>В марте 2019 года Группа продала АФК «Система» 18.69% долю в ОЗОН за вознаграждение в размере 7,902 млн руб. (из которых 3,000 млн руб. были получены Группой в 2019 году, 2,450 млн руб. в 2020 году и 2,452 млн руб. в 2021 году). После продажи указанной доли, у Группы не осталось вложений в ОЗОН.</t>
  </si>
  <si>
    <t>В декабре 2018 года МТС-Банк продал долю в размере 40.26% в ЗПИФ «Система - Рентная недвижимость 1» Бизнес-Недвижимости, дочерней компании АФК «Система» за денежное вознаграждение в сумме 450 млн руб. Основываясь на правилах управления инвестиционным фондом, подразумевающих совместный механизм принятия решений и правах участников на чистые активы предприятия, Группа классифицировала оставшуюся инвестицию в ЗПИФ как инвестицию в совместное предприятие и начала учитывать результаты его деятельности по методу долевого участия. В 2021 году ЗПИФ был прекращен по решению участников.</t>
  </si>
  <si>
    <t>В марте 2019 года, с целью оптимизации процессов управления недвижимостью, Группа реализовала АО «Бизнес-Недвижимость» (компания, контролируемая ПАО АФК «Система») недвижимое имущество, остаточной стоимостью 1,479 млн руб. по цене 7,247 млн руб. (в том числе НДС). Покупателю предоставлена рассрочка на 10 лет под 9% годовых. Одновременно с этим Группа заключила ряд договоров для обратной аренды части площадей на срок до 15 лет (продажа с обратной арендой).</t>
  </si>
  <si>
    <t>В первом полугодии 2015 года Группа продала 100% долю в уставном капитале АО «Рент-Недвижимость» в пользу Бизнес-Недвижимость за общее вознаграждение в размере 8,500 млн руб., из которых часть была погашена в 2015-2018 годы. Оставшаяся часть задолженности была реструктурирована в 2018 году по ключевой ставке ЦБ + 1.5% годовых с датой погашения 31 декабря 2021 года. В декабре 2021 года дебиторская задолженность в сумме 3,372 млн руб. была погашена в полном объеме.</t>
  </si>
  <si>
    <t>В сентябре 2021 года Группа приобрела оставшиеся 70% доли в капитале управляющей компании «Система Капитал» у дочерних компаний ПАО АФК «Система» за вознаграждение в размере 3,500 млн руб. Приобретение расширит экосистему финансовых сервисов Группы, добавив комплекс инвестиционных услуг.</t>
  </si>
  <si>
    <t>Недвижимое имущество</t>
  </si>
  <si>
    <t>OZON</t>
  </si>
  <si>
    <t>МТС-Банк (ПАО "МТС")</t>
  </si>
  <si>
    <t>В декабре 2019 года Группа приобрела 15.01% долю в SWIPGLOBAL Limited, материнской компании ООО «Умный кошелек», развивающего бесконтактную платежную систему с биометрической идентификацией покупателя, за денежное вознаграждение в сумме 75 млн руб. Несмотря на то, что Группа владеет долей менее 20% в уставном капитале SWIPGLOBAL, Группа считает, что имеет возможность существенно влиять на финансовую и операционную политику компании посредством участия в совете директоров и наличия дополнительных прав Группы при принятии решений по вопросам управления.</t>
  </si>
  <si>
    <t>Финансы (Инвестиции)</t>
  </si>
  <si>
    <t>В январе 2018 года Группа приобрела 78.2% долю в уставном капитале ООО «Культурная служба» (далее - «КС»), работающего под брендом Пономиналу.ру. Цена приобретения включала выплату денежными средствами, условное вознаграждение, подлежащее выплате через 12 месяцев с даты приобретения и вознаграждение по результатам выполнения финансовых показателей, подлежащее выплате в случае, если данные финансовые показатели будут достигнуты КС. Группа также заключила с участниками компании КС опционное соглашение, в рамках которого Группа имела право и обязательство (в форме опциона «на покупку и продажу»), по требованию неконтролирующих участников компании, выкупить их доли по цене, зависящей от результатов деятельности компании. Группа реализовала опцион в 2020 году по цене исполнения 20 млн руб.</t>
  </si>
  <si>
    <t>В августе 2018 года Группа приобрела 99% долю в уставном капитале ЗАО НПО «Прогрессивные технологии» (далее - «ПрогТех»), операторе высокоскоростной фиксированной связи в городах Жуковский и Анапа. Приобретение ПрогТех позволило Группе укрепить свою позицию на рынке широкополосного доступа в интернет («ШПД») и воспользоваться эффектами синергии. Цена приобретения включала выплату денежными средствами и отложенные платежи.</t>
  </si>
  <si>
    <t>В декабре 2018 года Группа приобрела 100% долю в уставном капитале ООО «ИТ-Град 1 Клауд» (далее - «ИТ-Град»), одного из крупнейших облачных провайдеров на российском рынке laaS. Приобретение ИТ-Град позволило Группе расширить присутствие на российском рынке облачных услуг. Цена приобретения включала выплату денежными средствами в размере 1,515 млн руб. и условное вознаграждение, подлежащее выплате в случае выполнения продавцами ряда условий, включающих передачу прав на определенные нематериальные активы и основные средства.</t>
  </si>
  <si>
    <t>В октябре 2018 года Группа полностью приобрела имущественный комплекс «Декарт» у дочерней компании АФК «Система» за 5,242 млн руб. Имущественный комплекс включает административное здание, частично занимаемое Группой, и частично сдаваемое прочим арендаторам, включая связанные стороны, машиноместа и инженерные сети, управляемые по договору управления «Бизнес-Недвижимость», дочерним предприятием АФК «Система». Приобретение позволит оптимизировать расходы Группы на аренду и улучшить ее портфель инвестиционной недвижимости.</t>
  </si>
  <si>
    <t>В декабре 2018 года Группа полностью приобрела имущественный комплекс «Серебряный Бор» у дочерней компании АФК «Система» за 1,711 млн руб. Имущественный комплекс включает земельный участок, административное здание, частично используемое Группой, а частично третьими сторонам, и инженерные сети.</t>
  </si>
  <si>
    <t>В феврале 2018 года Группа приобрела 100% долю в уставном капитале ООО «Московская Дирекция Театрально-концертных и Спортивно-зрелищных Касс» (далее - «МДТЗК»), работающего под брендом Ticketland.ru. Цена приобретения включала выплаченные денежные средства и условное вознаграждение. Приобретения позволили Группе выйти на рынок продаж билетов на развлекательные мероприятия, а также предложить абонентам сервис покупки электронных билетов, интегрированный в программу лояльности и экосистему мобильных приложений Группы.</t>
  </si>
  <si>
    <t>Финансы (Банк)</t>
  </si>
  <si>
    <t>В июле 2018 года Группа приобрела дополнительную долю в ее зависимой компании ПАО «МТС-Банк», что привело к увеличению доли владения с 26.6% до 55.4% и получению контроля над компанией. Сумма вознаграждения, выплаченная продавцу доли, АФК «Система», составила 8,273 млн руб. В течение 2019 года Группа участвовала в дополнительной эмиссии акций МТС-Банка и выкупила дополнительный пакет акций у АФК «Система», что привело к увеличению доли Группы в МТС-Банке до 99.9% на 31 декабря 2019 года. Сумма вознаграждения, выплаченная продавцу доли, АФК «Система», составила 12,855 млн руб.</t>
  </si>
  <si>
    <t>В июле 2017 года Группа приобрела 100% долю в уставном капитале ОАО «Сотовая связь Башкортостана» (далее -«ССБ»). ССБ ведет деятельность в Республике Башкортостан и обладает правами на использование радиочастот в диапазонах 450 и 2,100 МГц. Приобретение улучшило частотный ресурс Группы в Республике Башкортостан. Цена приобретения включала выплаченные денежные средства и условное вознаграждение, подлежащее выплате через 12 месяцев с даты приобретения.</t>
  </si>
  <si>
    <t>В октябре 2017 года Группа приобрела 50.82% долю в уставном капитале ООО «Облачный Ритейл» (торговая марка LiteBox), российского разработчика программного обеспечения для розничной торговли. Группа также заключила с участниками компании опционное соглашение в форме опциона «на покупку и на продажу» оставшейся 49.18% доли. Сделка выводит Группу на рынок «облачных» касс в качестве лицензированного оператора фискальных данных и поставщика готовых решений для кассового обслуживания бизнес-клиентов. Цена приобретения включала выплаченные денежные средства и условное вознаграждение, подлежащее выплате через 12 месяцев с даты приобретения. Также Группа внесла 420 млн руб. инвестиций в капитал компании на развитие бизнеса. Группа выбрала метод оценки неконтролирующей доли в приобретенной компании по справедливой стоимости на дату приобретения.</t>
  </si>
  <si>
    <t>В декабре 2017 года Группа приобрела 100% долю участия в компании «Praliss Enterprises» (далее - «Пралисс»), одном из лидирующих киберспортивных клубов мира Gambit Esports. Выход на рынок киберспорта соответствует стратегии Группы по развитию диджитал-направлений и продуктов, лежащих за пределами традиционных телекоммуникационных услуг. Цена приобретения включала выплаченные денежные средства, условное вознаграждение, подлежащее выплате через 12 месяцев с даты приобретения, и вознаграждение, подлежащее выплате в 2018 - 2019 годах если Пралисс выполнит определенные операционные показатели.</t>
  </si>
  <si>
    <t>В мае 2017 года МТС Банк продал АФК «Система» часть доли в размере 47% в East-West United Bank («Ист-Вест Юнайтед Банк»), сохранив долю меньше 20% и утратив контроль. В результате данной сделки накопленный резерв по пересчету в валюту представления отчетности в сумме 659 млн руб. был списан из состава накопленного прочего совокупного дохода Группы.</t>
  </si>
  <si>
    <t>CybSport</t>
  </si>
  <si>
    <t>ИТ (Киберспорт)</t>
  </si>
  <si>
    <t>East-West United Bank</t>
  </si>
  <si>
    <t>В 2018 году Группа неоднократно приобретала дополнительные доли в ОЗОН, что привело к росту доли владения Группы в ОЗОН с 11.19% на 31 декабря 2017 года до 18.69% по состоянию на 31 декабря 2018 года.</t>
  </si>
  <si>
    <t>В сентябре 2017 года Группа приобрела 30% долю в ООО УК «Система Капитал», управляющей компании. Сделка была структурирована через внесение ПАО «МТС» денежных средств в уставный капитал ООО УК «Система Капитал» в сумме 356 млн руб.</t>
  </si>
  <si>
    <t>В сентябре 2016 года Группа приобрела 100% долей участия в компании Смартс-Йошкар-Ола АО (далее - «Смартс-Йошкар-Ола»), осуществляющей операции в Республике Марий Эл и владеющей правами на использование радиочастот в диапазоне 1800 МГц. Приобретение улучшило частотный ресурс Группы в Республике Марий Эл. Приобретение было учтено по методу покупки.</t>
  </si>
  <si>
    <t>Смартс-Йошкар-Ола АО</t>
  </si>
  <si>
    <t>В феврале 2016 года Группа приобрела 946.347 обыкновенных акций ПАО «МТС Банк» из 3,588,304 обыкновенных акций, размещенных в ходе дополнительной эмиссии, за 1,325 млн руб. В результате дополнительной эмиссии доля Группы в ПАО «МТС Банк» снизилась с 27.0% до 26.8%.</t>
  </si>
  <si>
    <t>В ноябре 2016 года Группа приобрела 2,637,310 обыкновенных акций ПАО «МТС Банк» из 10,000,000 обыкновенных акций, размещенных в ходе дополнительной эмиссии, за 2,769 млн руб. В результате дополнительной эмиссии доля Группы в ПАО «МТС Банк» снизилась с 26.8% до 26.6%.</t>
  </si>
  <si>
    <t>Стрим является одним из лидеров рынка по продаже лицензионного видео-контента; дочерняя компания АФК "Система" вышла из состава участников "Стрим"в обмен на права на собственную задолженность на 561 млн. руб. и векселя ООО "Стрим-Диджитал" на сумму 1 089 млн. руб.</t>
  </si>
  <si>
    <t>В январе 2015 года Группа продала имеющуюся 47.3% долю в уставном капитале «Интеллект Телеком» в пользу АФК «Система» за денежное вознаграждение в размере 344 млн руб. Группа классифицировала инвестицию в зависимое предприятие как предназначенную для продажи на 31 декабря 2014 года. Финансовый результат от продажи был отражен как эффект сделки под общим контролем на счетах капитала.</t>
  </si>
  <si>
    <t>В мае 2012 года Группа приобрела 100% ЗАО «Таском» (далее -«Таском»), являющегося одним из лидеров рынка по предоставлению услуг связи для корпоративных клиентов в Москве и Московской области, за 1,437 млн. руб. Продавец гарантировал Группе возмещение всех убытков, связанных с налоговыми обязательствами, возникшими в периоде, предшествующему приобретению компании. По состоянию на дату приобретения Группа создала резерв по налоговым обязательствам и соответствующий актив по их возмещению в размере 236 млн. руб., относящийся к данной гарантии. На 31 декабря 2014 года актив по возмещению и соответствующий резерв по налоговым обязательствам уменьшились до 43 млн. руб.</t>
  </si>
  <si>
    <t>В апреле 2013 года Группа приобрела 25.1% долю в ПАО «МТС-Банк» (далее -«МТС-Банк») за 5,089 млн. руб. В результате этой сделки доля Группы в «МТС-Банк» возросла до 26.3%. В сентябре 2012 года Группа предоставила «МТС-Банк» субординированный заем на сумму 2,100 млн. руб. на срок 10 лет под 8.8% годовых. В октябре 2014 Группа предоставила «МТС-Банк» денежные средства в сумме 1.266 млн. руб. «МТС-Банк» не имеет обязательств по возврату этой суммы. В декабре 2014 через участие в дополнительном выпуске акций «МТС-Банк» Группа увеличила свою долю в «МТС-Банк» до 27.0%, заплатив 3,639 млн. руб. за акции дополнительного выпуска.</t>
  </si>
  <si>
    <t>В апреле 2014 года Группа приобрела за 2,702 млн. руб. (75 млн. долл. США) 10.82% акций Ozon Holdings Limited (далее - «Ozon») путем выкупа дополнительного выпуска акций. Руководство Группы считает, что располагает возможностью оказывать существенное влияние на деятельность Ozon путем прямого и косвенного владения акциями, участия в Совете директоров и наличия права «вето» на решения, противоречащие интересам Группы. Разница между стоимостью инвестиции в сумме 2,708 млн. руб. и стоимостью доли Группы в чистых активах зависимого предприятия в сумме 739 млн. руб. представляет собой эквивалент гудвила в отношении зависимого предприятия, относящийся к ожидаемым результатам синергий от программ сотрудничества и взаимодействия брендов.</t>
  </si>
  <si>
    <t>менеджмент</t>
  </si>
  <si>
    <t>Национальный инвестиционный фонд (FNI)</t>
  </si>
  <si>
    <t>1 июля 2021 года VEON реализовала опцион на продажу всей своей 45,57% доли в своей алжирской дочерней компании Omnium Telecom Algerie SpA (Алжир) Национальному инвестиционному фонду (FNI). Omnium владеет алжирским оператором мобильной связи Djezzy. В соответствии с условиями Акционерного соглашения сделка была завершена 5 августа 2022 года по цене продажи в размере 682 млн долларов США наличными.</t>
  </si>
  <si>
    <t>24 ноября 2022 года VEON заключила соглашение о продаже российских операций VEON некоторым старшим членам руководства ПАО «ВымпелКом» («ВымпелКом») во главе с его нынешним генеральным директором Александром Торбаховым. По соглашению VEON получит компенсацию в размере 130 млрд рублей (приблизительно 1,900 млн долларов США). Соглашение SPA содержит среди прочего положения о том, что в случае, если Вымпелком приобретет задолженность VEON Holdings B.V. сверх вознаграждения за продажу, VEON будет работать с покупателями, чтобы выполнить свои обязательства перед ними в качестве держателя облигаций. Сделка зависит от определенных условий закрытия, включая получение необходимых разрешений регулирующих органов и лицензий от соответствующих государственных органов в России и западных юрисдикциях (США, Великобритания, Европейский Союз и Бермудские острова) для предлагаемой структуры продажи. По состоянию на 24 июля 2023 г. были получены разрешения российских регулирующих органов, а также лицензия OFAC и необходимые разрешения властей Великобритании и Бермудских островов. Остальные условия закрытия, которые должны быть выполнены, включают любую необходимую лицензию от Европейского Союза или любое необходимое согласие кредиторов VEON для аннулирования долга, предоставленного в качестве вознаграждения, и / или завершения продажи. Остальными условиями закрытия, которые должны быть выполнены, являются любая необходимая лицензия от Европейского Союза или любое необходимое согласие кредиторов VEON для аннулирования долга, предоставленного в качестве вознаграждения, и/или завершения продажи. Ожидается, что сделка будет завершена в 2023 году.
В результате ожидаемого выбытия VEON классифицировала свою деятельность в России как предназначенную для продажи и прекратила деятельность после подписания соглашения 24 ноября 2022 года. В связи с этой классификацией Компания больше не учитывает износ и амортизацию. расходы на активы своих операций в России. Результаты деятельности в России в консолидированных отчетах о прибылях и убытках и консолидированных отчетах о движении денежных средств за 2022, 2021 и 2020 годы представлены отдельно.</t>
  </si>
  <si>
    <t>VEON (VEON Georgia Holdings B.V.)</t>
  </si>
  <si>
    <t>31 марта 2022 года VEON Georgia Holdings B.V. заключила необязывающее соглашение о покупке акций с ООО «Мирен Инвест» («Мирен»), бывшим местным партнером VEON, для продажи ООО «ВЕОН Джорджия» («VEON Грузия»), операционной компании в Грузии по продажной цене 45 млн долларов США наличными при условии корпоративного одобрения VEON и одобрения регулирующих органов. Впоследствии были получены необходимые разрешения, и продажа была завершена 8 июня 2022 года.</t>
  </si>
  <si>
    <t>VEON (Banglalink)</t>
  </si>
  <si>
    <t>Спектры частот (4,4 МГц в диапазоне 1800 МГц и спектр 5 МГц в диапазоне 2100 МГц)</t>
  </si>
  <si>
    <t>Комиссия по регулированию электросвязи Бангладеш (BTRC)</t>
  </si>
  <si>
    <t>В марте 2021 года Banglalink, стопроцентная дочерняя компания Компании в Бангладеш, приобрела спектр 4,4 МГц в диапазоне 1800 МГц и спектр 5 МГц в диапазоне 2100 МГц после успешного предложения на аукционе, проведенном Комиссией по регулированию электросвязи Бангладеш (BTRC). Недавно приобретенный спектр позволит Banglalink увеличить общий спектр с 30,6 МГц до 40 МГц. Общий объем инвестиций Banglalink в покупку спектра составит 10 миллиардов бангладешских динаров (115 млн долларов США).</t>
  </si>
  <si>
    <t>Бангладеш</t>
  </si>
  <si>
    <t>VEON</t>
  </si>
  <si>
    <t>VEON (ПАО "Киевстар")</t>
  </si>
  <si>
    <t>VEON (ПАО "Вымпелком")</t>
  </si>
  <si>
    <t>OTM</t>
  </si>
  <si>
    <t>В июне 2021 года VEON успешно приобрела контрольный пакет акций в размере 67% в OTM (технологическая платформа для автоматизации и планирования закупок онлайн-рекламы в России) за 16 млн долларов США.</t>
  </si>
  <si>
    <t>В октябре 2020 года VEON заключила соглашение о продаже своей операционной дочерней компании в Армении компании Team LLC за вознаграждение в размере 51 млн долларов США. Соответственно, чистая балансовая стоимость активов в размере 33 млн долларов США была прекращена, а накопленный резерв по пересчету иностранной валюты в размере 96 млн долларов США был реклассифицирован в состав прибылей и убытков, что привело к чистому убытку в размере 78 млн долларов США.</t>
  </si>
  <si>
    <t>Team LLC</t>
  </si>
  <si>
    <t>В августе 2019 года VEON завершила покупку 1 914 322 110 акций, что составляет примерно 40,55% выпущенных акций GTH, в связи с Обязательным предложением о покупке («ОПП»), которое началось в июле 2019 года. Общая цена покупки таких акций составила 9 725 миллионов египетских фунтов (приблизительно 587 млн долларов США), что отражает цену предложения за акцию в размере 5,08 египетских фунтов. После завершения MTO и в результате дальнейших покупок GTH по состоянию на 31 декабря 2019 г. VEON и GTH владеют примерно 99,54% общего непогашенного капитала GTH. ОСП финансировалось за счет наличных денежных средств и использования неиспользованных кредитных линий. Эти сделки представляют собой покупку неконтролирующих долей ("NCI") без смены контроля. Следовательно, разница между балансовой стоимостью НДУ (отрицательная стоимость в размере 1 986 млн долларов США) и стоимостью приобретения (608 млн долларов США) была отражена непосредственно в статье «Прочие капитальные резервы» в отчете об изменениях капитала (убыток в размере 2 594 млн долларов США).
После успешного завершения MTO VEON продолжила реструктуризацию GTH, которая включала успешный делистинг акций GTH с Египетской биржи и одобрение акционерами GTH предложения VEON о приобретении практически всех операционных активов GTH, оба из которых произошло 9 сентября 2019 года.
После этого одобрения VEON завершил внутригрупповые передачи Jazz, Banglalink и Med Cable. Операционные активы GTH ранее были и будут полностью консолидированы в балансе Группы VEON, и поэтому передача активов не оказывает существенного влияния на данную консолидированную финансовую отчетность.</t>
  </si>
  <si>
    <t>Global Telecom Holding S.A.E. (GTH)</t>
  </si>
  <si>
    <t>Omnium Telecom Algerie SpA (OTA)</t>
  </si>
  <si>
    <t>Service Telecom Group of Companies LLC</t>
  </si>
  <si>
    <t>National Tower Company (NTC)</t>
  </si>
  <si>
    <t>5 сентября 2021 г. Компания и VEON Holdings B.V., дочерняя компания Компании, подписали соглашение о продаже своей прямой дочерней компании, NTC, с Service Telecom Group of Companies LLC, ST, за 70 650 млн руб. (945 млн долл. США). ). Сделка подлежала одобрению регулирующих органов, которое было получено 12 ноября 2021 г., и выполнению других обычных условий закрытия, которые были завершены 1 декабря 2021 г. По условиям сделки Россия, операционный сегмент Компании, заключила долгосрочное соглашение об аренде с NTC, по которому Россия будет арендовать помещения из портфеля NTC, состоящего из 15 400 башен, сроком на 8 лет с возможностью продления до десяти периодов по 8 лет каждый. По тому же соглашению предполагается сдать в аренду еще 5000 башен. Договор аренды подписан 15 октября 2021 года.
5 сентября 2021 г. Компания классифицировала НТЦ как группу выбытия, предназначенную для продажи, включая деловую репутацию в размере 215 млн долл. США, распределенную НТЦ из России на основании ее относительной справедливой стоимости, поскольку НТЦ является частью российской генерирующей единицы. После отнесения к группе выбытия, предназначенной для продажи, Компания не учитывала амортизационные отчисления по активам НТК.
1 декабря 2021 г., после заключения договора купли-продажи с ST, контроль над НТЦ перешел к ST. В результате применения принципов учета продажи и обратной аренды к договору аренды в соответствии с условиями сделки Компания признала прибыль от продажи дочерней компании в размере 101 млн долларов США, а Россия признала активы в форме права пользования в размере 101 млн долларов США, что представляет собой пропорциональную справедливая стоимость оставшихся активов по отношению к балансовой стоимости проданных активов и обязательств по аренде в размере 718 млн долларов США на основе 8-летнего срока аренды по рыночным ставкам, а также пропорциональная сумма деловой репутации по отношению к части денежных средств генерирующие активы, оставшиеся в аренде, на сумму 168 млн долларов США. Часть деловой репутации также была сохранена в России в качестве активов, предназначенных для продажи в отношении будущих площадок, которые будут проданы в соответствии с соглашением</t>
  </si>
  <si>
    <t>CK Hutchison Holdings Ltd</t>
  </si>
  <si>
    <t>В июле 2017 года ПАО «ВымпелКом», дочернее предприятие Компании, заключило Рамочное соглашение с ПАО «МегаФон» («МегаФон») о ликвидации их совместного предприятия по розничным продажам «Евросеть Холдинг Н.В.» («Евросеть»). В соответствии с соглашением «МегаФон» приобрел 50-процентную долю ПАО «ВымпелКом» в «Евросети», а ПАО «ВымпелКом» заплатило 1,2 миллиарда рублей (21 млн доллар США) и приобрело права на 50-процентную долю примерно в 4000 розничных магазинов «Евросети» в России. Сделка была завершена в феврале 2018 года и была учтена как приобретение активов, в основном приобретение нематериальных активов на договорной основе, представляющих собой право пользования розничными магазинами.</t>
  </si>
  <si>
    <t>Розничные продажи (телекоммуникации)</t>
  </si>
  <si>
    <t>В июле 2018 года VEON заключила соглашение с CK Hutchison Holdings Ltd о продаже своей 50-процентной доли в итальянском совместном предприятии. В совместное предприятие в Италии вошли VIP-CKH Luxembourg S.à r.l и ее дочерние компании, которым принадлежат объединенные предприятия Wind и 3 Italia, а также финансовая компания VIP-CKH Ireland Limited. В сентябре 2018 года сделка была завершена, и было получено денежное вознаграждение в размере 2 450 млн евро (2 830 млн долларов США).</t>
  </si>
  <si>
    <t>Совместное предприятие (VIP-CKH Luxembourg S.à r.l и ее дочерние компании, которым принадлежат объединенные предприятия Wind и 3 Italia, а также финансовая компания VIP-CKH Ireland Limited)</t>
  </si>
  <si>
    <t>30 августа 2017 года «Pakistan Mobile Communications Limited» («PMCL»), дочерняя компания Группы, подписала соглашение о продаже своей дочерней компании Deodar (Private) Limited (‘‘Deodar’’) примерно за 940 млн долларов США, с учетом обычных корректировок закрытия, компании Tanzanite Tower (Private) Limited («Tanzanite»), управляющей компанией, принадлежащей edotco Group Sdn. Bhd. («edotco») и Dawood Hercules Corporation («Dawood»).
Deodar владеет башенным бизнесом PMCL, портфолио которого насчитывает около 13 000 вышек, и предоставляет услуги сетевых вышек в Пакистане. В результате этой ожидаемой сделки 30 июня 2017 года Компания классифицировала Deodar как группу выбытия, предназначенную для продажи. Завершение сделки зависит от соблюдения или отказа от определенных условий, включая получение обычных разрешений регулирующих органов.</t>
  </si>
  <si>
    <t>Deodar (Private) Limited</t>
  </si>
  <si>
    <t>Пакистан</t>
  </si>
  <si>
    <t>VEON (дочерняя компания Global Telecom Holdings S.A.E)</t>
  </si>
  <si>
    <t>Global Telecom Holdings S.A.E («GTH»), дочерняя компания Компании, выкупила 524 569 062 обыкновенных акции у своих акционеров за 4,1 миллиарда египетских фунтов (259 миллионов долларов США), сделка была заключена 21 февраля 2017 года. Компания не принимала участие в выкупе акций. В результате выкупа акций доля Компании в GTH увеличилась на 5,77% с 51,92% до 57,69%, что привело к убытку в размере 12 долларов США, признанному непосредственно в капитале. Аннулирование 524 569 062 обыкновенных акций было одобрено на внеочередном общем собрании акционеров GTH 19 марта 2017 г. и вступило в силу 16 апреля 2017 г. после ратификации Управлением финансового надзора Египта протокола внеочередного общего собрания от 19 марта 2017 г.</t>
  </si>
  <si>
    <t>Warid Telecom Pakistan LLC и Bank Alfalah Limited</t>
  </si>
  <si>
    <t>26 ноября 2015 г. компании International Wireless Communications Pakistan Limited и Pakistan Mobile Communications Ltd («PMCL»), являющиеся косвенными дочерними компаниями Компании, подписали соглашение с Warid Telecom Pakistan LLC и Bank Alfalah Limited об объединении их операций в Пакистане. 1 июля 2016 года сделка была закрыта, и PMCL приобрела 100% голосующих акций Warid Telecom (Pvt) Limited («Warid») за 15% акций PMCL. В результате Компания получила контроль над Warid.</t>
  </si>
  <si>
    <t>VEON (дочерние компании Wireless Communications Pakistan Limited и Pakistan Mobile Communications Ltd)</t>
  </si>
  <si>
    <t>18 ноября 2015 года Компания вместе со своей дочерней компанией GTH заключила соглашение с ZARNet (Private) Limited о продаже своей доли в Telecel International Limited за 40 млн долларов США. Telecel International Limited владеет 60% Telecel Zimbabwe (Pvt) Ltd. ZARNet полностью принадлежит правительству Республики Зимбабве через Министерство информационных и коммуникационных технологий, почтовых и курьерских служб. Из-за ограничений способности ZARNet полностью выплатить 40 млн долларов США за пределами Зимбабве, было решено, что ZARNet удовлетворит возмещение покупной цены денежными средствами в размере 21 млн долларов США (из которых 10 млн долларов США были получены в 2015 году, а 11 млн долларов США были получены в 2016 г.) и векселя поставщика на сумму 19 млн долларов США, подлежащие оплате через три года компании Global Telecom Netherlands B.V., дочерней компании GTH. Из-за валютных ограничений в Зимбабве руководство не включило примечание поставщика при определении результата продажи, поскольку в настоящее время неясно, будет ли оно возмещено.Сделка была закрыта 30 ноября 2016 г., в результате чего прибыль составила 21 млн долларов США.</t>
  </si>
  <si>
    <t>30 сентября 2016 г. Компания приобрела дополнительную долю в размере 16% в ТОО «2Day Telecom», увеличив свою долю до 75%, за денежное вознаграждение в размере 7 млн долларов США. В тот же день Компания приобрела дополнительные 24% доли в ТОО «КазЕвроМобайл» за 1 тенге, увеличив свою долю до 75%. Целью этих сделок является оптимизация структуры собственности Группы. Операции были учтены через собственный капитал путем увеличения прочих резервов капитала.</t>
  </si>
  <si>
    <t>30 января 2015 г. Группа и ее дочерняя компания GTH завершили продажу неконтролирующей доли в размере 51% в Omnium Telecom Algeria S.p.A. (ранее известной как Orascom Telecom Algérie S.p.A.) («OTA») Национальному инвестиционному фонду, Алжирский национальный инвестиционный фонд («FNI») за покупку в размере 2 643 млн долларов США. Компания и FNI заключили акционерное соглашение, которое регулирует их отношения в качестве акционеров OTA в будущем. Компания продолжит осуществлять оперативный контроль над ОТА и, как следствие, полностью консолидировать ОТА.
Непосредственно перед сделкой Компания владела 50,12% акций ОТА, а балансовая стоимость существующей неконтрольной доли участия в ОТА в размере 49,88% составляла 1 010 млн долларов США. Поскольку Компания сохранит контроль над OTA, сделка была учтена как сделка с капиталом, а неконтролирующая доля участия была скорректирована на 1 607 млн долларов США, чтобы отразить новую долю участия в OTA.</t>
  </si>
  <si>
    <t>15 июля 2013 г. ОАО «ВымпелКом», российская дочерняя компания VimpelCom Ltd., получила контроль над ЗАО «Раском», предприятием, которое до этого являлось совместным предприятием, учитываемым по методу долевого участия. Инвестиции и их консолидация не являются существенными для Группы и составляют 0,1% выручки Группы.</t>
  </si>
  <si>
    <t>В конце 2012 г. Компания приняла решение продать всю свою непрямую долю в размере 90,0% в Sotelco Ltd. («Sotelco»), ее дочерней компании и операторе в Камбодже, и формализовала соответствующий план. В соответствии с МСФО (IFRS) 5 «Внеоборотные активы, предназначенные для продажи, и прекращенная деятельность», активы и обязательства «Сотелко» были классифицированы как предназначенные для продажи в Отчете о финансовом положении по состоянию на 31 декабря 2012 г. 5 апреля 2013 г. «ВымпелКом» заключил сделку купли-продажи. соглашение о ее доле в Sotelco, и 19 апреля продажа была завершена, что привело к несущественным убыткам от продажи для Группы.</t>
  </si>
  <si>
    <t>7 декабря 2012 г. «ВымпелКом» приобрел 0,1% акций «Евросети», увеличив свою долю владения с 49,9% до 50%. Акции были выпущены Евросетью в пользу Компании одновременно с приобретением Мегафоном остальных 50% акций Евросети. «Евросеть» — стратегический партнер «ВымпелКома» и важный канал сбыта и обслуживания клиентов. В результате сделки «ВымпелКом» и «Мегафон» владеют по 50% «Евросети», фактически создав совместное предприятие с равными правами акционеров.</t>
  </si>
  <si>
    <t>OTH</t>
  </si>
  <si>
    <t>16 февраля 2012 г. «ВымпелКом» завершил выделение некоторых активов OTH балансовой стоимостью 650 млн долларов США в пользу Weather Investment II S.a.r.l. («Weather II»), владельца 72,65% акций Wind Telecom, до завершения приобретения Wind Telecom. Основные побочные активы включали инвестиции OTH в ECMS и Mobinil в Египте и Koryolink в Северной Корее. Завершение этой сделки является выполнением обязательств ВымпелКома по выделению в связи с приобретением Wind Telecom у Weather II.</t>
  </si>
  <si>
    <t>23 апреля 2012 г. «ВымпелКом» завершил продажу всей своей непрямой доли в 49,9% в GTEL Mobile компании GTEL Transmit and Infrastructure Service One Member Company Limited, или «GTEL Transmit», связанной стороне нашего бывшего вьетнамского местного партнера, Глобальной телекоммуникационной корпорации, или «GTEL» за денежное вознаграждение в размере 45 млн долларов США, что приводит к несущественным убыткам от продажи. «ВымпелКом» не имеет никаких дополнительных обязательств перед GTEL или GTEL Mobile в результате завершения продажи.</t>
  </si>
  <si>
    <t>15 апреля 2011 года «ВымпелКом» успешно завершил сделку по приобретению 100% акций Wind Telecom («Сделка»). В результате Сделки «ВымпелКом» через Wind Telecom владеет 51,9% Orascom Telecom и 100% Wind Italy.</t>
  </si>
  <si>
    <t>9 марта 2011 г. «ВымпелКом» приобрел 100% акций VimpelCom Holding Laos B.V. (Нидерланды), ранее называвшейся Millicom Holding Laos B.V., которому принадлежит 78% акций VimpelCom Lao Co., Ltd., ранее Millicom Lao Co., Ltd., оператора сотовой связи. оператор связи, работающий в Лаосской Народно-Демократической Республике («Millicom Lao»). Остальные 22% Millicom Lao принадлежат правительству Лаосской НДР в лице Министерства финансов.
Причиной приобретения стало получение доступа к новому рынку Лаосской Народно-Демократической Республики.</t>
  </si>
  <si>
    <t>29 марта 2011 г. «ВымпелКом» согласовал с GTEL, своим местным партнером во Вьетнаме, план финансирования их инвестиций, GTEL-Mobile, в результате чего Компания может предоставить инвестиции на общую сумму до 500 млн долларов США до 2013 г. Компания завершила первый этап плана финансирования, заплатив 196 миллионов долларов США за вновь выпущенные акции и тем самым увеличив свою долю в GTEL-Mobile с 40% до 49% 26 апреля 2011 года. Все средства от этого финансирования будут использованы для развития GTEL-Mobile. Компания согласилась инвестировать в рамках этого плана еще 304 млн долл. США, что увеличило бы ее экономическую долю участия в GTEL-Mobile с 49% до 65%. Дополнительное финансирование и увеличение собственного капитала зависят от выполнения определенных показателей деятельности GTEL-Mobile и получения дополнительных разрешений регулирующих органов. По итогам 2011 года эти цели не были достигнуты, в результате чего Компания была освобождена от своих обязательств по финансированию GTEL-Mobile.
Основной причиной увеличения доли собственности стало расширение деятельности «ВымпелКома» во Вьетнаме.</t>
  </si>
  <si>
    <t>7 июня 2011 года «ВымпелКом» приобрел 90% уставного капитала ОАО «Новая Телефонная Компания» («НТК») за общую сумму 10 835 миллионов рублей (эквивалент 390 млн долларов США на 7 июня 2011 года). 21 октября 2011 г. «ВымпелКом» завершил приобретение дополнительных 10% находящихся в обращении акций НТК. Общая цена приобретения составляет 438 млн долларов США. Общая сумма вознаграждения была выплачена денежными средствами.
Основной целью приобретения было усиление присутствия «ВымпелКома» на телекоммуникационном рынке Приморского региона и увеличение базы местных абонентов мобильной связи «ВымпелКом».</t>
  </si>
  <si>
    <t>8 июня 2011 года «ВымпелКом» приобрел 90% уставного капитала ОАО «Новая Телефонная Компания» («НТК») за общую сумму 10 835 миллионов рублей (эквивалент 390 млн долларов США на 7 июня 2011 года). 21 октября 2011 г. «ВымпелКом» завершил приобретение дополнительных 10% находящихся в обращении акций НТК. Общая цена приобретения составляет 438 млн долларов США. Общая сумма вознаграждения была выплачена денежными средствами.
Основной целью приобретения было усиление присутствия «ВымпелКома» на телекоммуникационном рынке Приморского региона и увеличение базы местных абонентов мобильной связи «ВымпелКом».</t>
  </si>
  <si>
    <t>21 января 2011 г. «ВымпелКом» приобрел 100% уставного капитала Закрытого акционерного общества «Элтел» («Элтел»), одного из ведущих альтернативных операторов фиксированной связи в Санкт-Петербурге, за денежное вознаграждение в размере 1 000 миллионов рублей (эквивалент 33 млн долларов США на 21 января 2011 г.). Справедливая стоимость консолидированных идентифицируемых активов и обязательств «Элтел» по состоянию на 21 января 2011 г. составляла 16 млн долларов США активов, 3 млн долларов США обязательств, что привело к превышению вознаграждения над справедливой стоимостью приобретенных чистых активов в размере 20 млн долларов США.</t>
  </si>
  <si>
    <t>21 ноября 2011 г. «ВымпелКом» приобрел у своего местного партнера дополнительную 8% долю участия в ООО «Таком», операторе сотовой связи, работающем в Таджикистане, за общую сумму 9,2 млн долл, доведя ьаким образом долю владения до 98%.</t>
  </si>
  <si>
    <t>21 апреля 2010 г. Компания приобрела 100% голосующих акций компании «Киевстар», расположенной в Украине и специализирующейся на предоставлении услуг беспроводной связи. Компания приобрела «Киевстар», потому что руководство считало, что это будет выгодно и будет отвечать интересам заинтересованных сторон Компании. Цена приобретения составила 5 596 млн долларов США, которая была рассчитана на основе рыночной стоимости акций ОАО «ВымпелКом» на 21 апреля 2010 г. (18,55 долларов США за акцию).</t>
  </si>
  <si>
    <t>ПАО "Ростелеком"</t>
  </si>
  <si>
    <t>B4N Group Limited</t>
  </si>
  <si>
    <t>1 марта 2018 г. Группа приобрела 75% долю в компании ООО «Открытая мобильная платформа» и 75% долю в компании ООО «Вотрон» (далее совместно именуемые «компании Группы Сэйлфиш»). В соответствии с договором участников Группа получает совместный контроль с другим участником (ООО «Открытая мобильная платформа-ЦР») над инвестициями в Группу Сэйлфиш. Приобретение долей в компании Группы Сэйлфиш учитывается как инвестиции в совместные предприятия. По состоянию на 30 июня 2018 г. Группа признала 75% в чистых активах компаний Группы Сэйлфиш. На дату утверждения данной отчетности Группа не завершила оценку справедливой стоимости активов совместных предприятий.</t>
  </si>
  <si>
    <t>15 мая 2018 г. Группа приобрела дополнительную эмиссию акций B4N Group Limited за денежное вознаграждение 95 млн руб. В результате приобретения доля Группы в B4N Group Limited увеличилась с 18,04% до 26,08%.</t>
  </si>
  <si>
    <t>12 января 2018 г. Группа приобрела контроль над ООО «Сервис телекоммуникаций». Дочерняя компания Группы ПАО «Башинформсвязь» подписала соглашение о приобретении 100% в ООО «Сервис телекоммуникаций» за денежное вознаграждение в сумме 250 млн руб. ООО «Сервис телекоммуникаций» владеет частотным ресурсом в Санкт-Петербурге и данное приобретение позволит Группе развивать технологию 5G, а также, в дальнейшем, развернуть пилотную зону сети 5G. Эффективная доля Группы в ООО «Сервис телекоммуникаций» по состоянию на 30 июня 2018 г. составляет 96,33%.</t>
  </si>
  <si>
    <t>21 мая 2018 г. Группа приобрела контроль над ООО «Солар Секьюрити». Дочерние компании Группы ООО «Центр хранения данных» и ПАО «Башинформсвязь» подписали соглашение о приобретении 70% и 30% в ООО «Солар Секьюрити» соответственно за вознаграждение в сумме 1 050 и 450. ООО «Солар Секьюрити» является технологическим лидером в сфере целевого мониторинга и оперативного управления информационной безопасностью (ИБ). Существующие ИБ-сервисы «Ростелекома», равно как и человеческие ресурсы, войдут в состав Solar Security, что позволит сформировать единый центр компетенций по вопросам кибербезопасности. Solar Security будет отвечать за развитие существующих продуктов и сервисов, а также реализацию внешних проектов ПАО «Ростелеком» по защите корпоративного и государственного сектора. Эффективная доля Группы в ООО «Солар Секьюрити» по состоянию на 30 июня 2018 г. составляет 98,90%.</t>
  </si>
  <si>
    <t>ИТ (кибербезопасность)</t>
  </si>
  <si>
    <t>В 2017 году Группа приобрела дополнительные 49,9% в ООО «Центр хранения данных» и увеличила свою долю до 100%. Денежное вознаграждение в сумме 2 255 было уплачено неконтролирующем акционерам.</t>
  </si>
  <si>
    <t>Data</t>
  </si>
  <si>
    <t>ИТ (хранение данных)</t>
  </si>
  <si>
    <t>Телекоммуникации (доступ в Интернет)</t>
  </si>
  <si>
    <t>В течение 2017 года Группа приобрела бизнес ООО Евразия Телеком, АО Тольятти Телеком и ООО РойКом, которые индивидуально не существенные.Общая сумма вознагражения составила 138 млн руб и была полностью выплачена в 2017 году.</t>
  </si>
  <si>
    <t>ООО Евразия Телеком, АО Тольятти Телеком и ООО РойКом</t>
  </si>
  <si>
    <t>20 декабря 2017 г. Группа приобрела контроль над ООО «Твинго телеком». Дочерняя компания Группы, ПАО «Башинформсвязь», приобрела 100% долю в ООО «Твинго телеком», крупнейшего интернет провайдера в г. Владикавказ за вознаграждение в сумме 398 млн руб. Вознаграждение состоит из денежного вознаграждения в сумме 298 млн руб и отложенного платежа в сумме 100 млн руб отраженного по справедливой стоимости и подлежащего оплате в период с 2018-2020 годов. ООО «Твинго телеком» предоставляет физическим лицам и корпоративным клиентам услуги доступа в Интернет, IPTV и IP телефонии. Компания эксплуатирует собственную волоконнооптическую сеть передачи данных, охватывающую почти всю многоэтажную (по технологии FTTB) и малоэтажную (по технологии GPON) застройки во Владикавказе и его пригородах. Оператор обслуживает около 30 000 домохозяйств и 1 000 корпоративных клиентов, занимая половину городского рынка доступа в интернет в сегменте B2С и треть рынка B2B. Причиной приобретения ООО «Твинго телеком» было увеличение рыночной доли ПАО «Ростелеком» и обеспечение лидирующего положения на рынке широкополосного доступа. Эффективная доля Группы в ООО «Твинго телеком» составляет 96,33%.</t>
  </si>
  <si>
    <t>5 апреля 2016 г. Группа приобрела контроль над рядом дочерних компаний Группы «Мортон», оказывающих телекоммуникационные услуги (далее – «Телекоммуникационный бизнес»). Дочерняя компания Группы, ПАО «Башинформсвязь», приобрела 100% соответствующих дочерних компаний Группы «Мортон» за денежное вознаграждение в сумме 633 млн руб. Телекоммуникационный бизнес Группы «Мортон» включает в себя три компании, которые предоставляют услуги широкополосного доступа в интернет, цифрового платного телевидения и телефонии. Компании обслуживают более 40 000 домохозяйств и 2 000 корпоративных клиентов, располагающихся в новых жилых домах Москвы и Московской области. Данное приобретение соответствует стратегии Группы по укреплению конкурентных позиций на рынке широкополосного доступа в интернет и платного телевидения. Сделка позволит Группе выйти в сектор новостроек, где исторически услуги Группы не были широко представлены. Эффективная доля Группы в Телекоммуникационном бизнесе Группы «Мортон» составляет 96,33%.</t>
  </si>
  <si>
    <t>20 июня 2016 г. Группа приобрела контроль над АО «Аист». Дочерняя компания Группы, ПАО «Башинформсвязь», приобрела 100% акций АО «Аист», лидера по предоставлению услуг широкополосного доступа в интернет и телефонии в Самарской области, за денежное вознаграждение в сумме 1 420 млн руб. АО «Аист» обслуживает около 130 000 потребителей услуг широкополосного доступа в интернет и телефонии, включая более 10 000 корпоративных клиентов. Данное приобретение усилит лидирующее положение Группы на рынке широкополосного доступа в интернет в Самарской области. Эффективная доля Группы в АО «Аист» составляет 96,33% по состоянию на 31 декабря 2016 г.</t>
  </si>
  <si>
    <t>Финансовая деятельность (Пенсионный фонд)</t>
  </si>
  <si>
    <t>23 июня 2016 г. Группа приобрела контроль над негосударственным пенсионным фондом «Альянс». Дочерняя компания Группы, ЗАО Вестелком, приобрела 51% акций Фонда за денежное вознаграждение в сумме 184 млн руб. Сделка по приобретению Фонда совершена с целью усиления контроля над осуществлением пенсионной программы.</t>
  </si>
  <si>
    <t>16 июня 2016 г. Группа приобрела контроль над ООО «Национальные Дата-центры» (ООО «НДЦ»), увеличив свою долю в компании с 50% до 100%. Дочерняя компания Группы, ООО «РТК-ЦОД» приобрела 50% в ООО «Национальные Дата-центры» за пять тысяч рублей. Эффективная доля Группы в ООО «НДЦ» по состоянию на 31 декабря 2016 г. составляет 75%. Общее вознаграждение за приобретение ООО «НДЦ» включает в себя эффективное урегулирование ранее существующих расчетов между дочерней компанией Группы, ЗАО «Вестелком», и ООО «НДЦ» по займу и процентам к уплате, которые ООО «НДЦ» должно ЗАО «Вестелком» в сумме 72. Доля в размере 50%, которой Группа владела ранее в ООО «НДЦ», учитывалась по методу долевого участия. Текущая стоимость инвестиции в ООО «НДЦ» непосредственно перед приобретением дополнительной доли составляла ноль и Группа ожидает, что справедливая стоимость данной инвестиции также приближена к нулю.</t>
  </si>
  <si>
    <t>ПАО "Ростелеком" (дочерняя компания ЗАО "Вестелком")</t>
  </si>
  <si>
    <t>29 декабря 2016 г. Группа приобрела контроль над ООО «Сибитекс». Дочерняя компания Группы, ПАО «Башинформсвязь», приобрела 100% ООО «Сибитекс», одного из двух ведущих независимых провайдеров интернета и телефонии в Тюмени, за денежное вознаграждение 83 млн руб. ООО «Сибитекс» предоставляет услуги доступа к интернету, телефонии и телевидения юридическим и физическим лицам, но исторически специализируется на предоставлении услуг корпоративным клиентам.</t>
  </si>
  <si>
    <t>В ноябре 2015 года Ростелеком выкупил за денежные средства в сумме 2 млрд. руб. доп. эмиссию своей зависимой компании АО «ЦТВ», доведя свою долю владения с 25,33% до 41,29%. Определение справедливой стоимости идентифицируемых активов и обязательств АО «ЦТВ» было завершено 31 декабря 2016 г.</t>
  </si>
  <si>
    <t>ИТ (Big Data)</t>
  </si>
  <si>
    <t>17 февраля 2015 года Группа приобрела контроль над ООО «Центр хранения данных» и его дочерними компаниями (обозначаемых совместно как Группа SafeData), крупнейшим российским оператором, предоставляющим услуги коммерческого хранения данных, услуги обмена трафиком и доставки контента и функционирующего под брэндом SafeData. Данное приобретение позволит Группе ускорить развитие национальной сети хранения и дистрибуции данных. Эта сеть включает в себя территориально-распределенную сеть центров обработки и хранения данных, объединяющие их каналы связи, точки обмена трафиком, системы доставки контента, а также системы защиты от сетевых атак и контроля трафика. Приобретение произошло как единая сделка, совершенная в несколько этапов: в течение первого этапа Группа приобрела 5,4% уставного капитала ООО «Центр хранения данных» номинальной стоимостью 10,152 у Бреннан Инвестментс Лимитед за денежное вознаграждение в размере 104. На втором этапе Группа увеличила свою долю до 50,1% путем взноса в уставный капитал ООО «Центр хранения данных» денежных средств в сумме 1 728,9 (вклад в уставный капитал), 423 из которых были использованы на приобретение контрольной доли в компаниях, являвшихся ассоциированными для ООО «Центр хранения данных», а именно: АО «Центр взаимодействия компьютерных сетей «МСК-IX» и ООО «Современные сетевые технологии». Таким образом, общее денежное вознаграждение, переданное в процессе приобретения бизнеса, составило 527. После приобретения контроля над Группой SafeData часть вклада в уставный капитал, оставшаяся в Группе, была использована на погашение обязательств,  меющихся у ООО «Центр хранения данных», а также на прочие операционные цели Группы SafeData. Структура Группы SafeData на дату приобретения (сразу же после приобретения) была следующей: Инвестиции ООО «Центр хранения данных» в ледующие компании: 1) ООО «РТК - ЦОД» – 100%; 2) ООО «Центр технологий визуализации» – 66,44%; 3) ООО «Центр технологий взаимодействия сетей» – 100%, который имеет инвестиции в следующие компании: 1. АО «Центр взаимодействия компьютерных сетей «МСК-IX» – 51%; 2. ООО «Современные сетевые технологии» – 50,1%.</t>
  </si>
  <si>
    <t>6 февраля 2015 года дочерняя компания ПАО «Ростелеком» ОАО «РТКомм.Ру» увеличила свою долю в АО «Востоктелеком» с 25% до 100% путем приобретения 75% акций у КДДИ Оверсиз Холдингс Б.В. и Соджитс Корпорэйшн за денежное вознаграждение в размере 203 млн руб.</t>
  </si>
  <si>
    <t>В 2013 году Арбитражный суд Москвы инициировал процедуру банкротства и ввод внешнего управления в ЗАО «Глобалстар – Космические телесистемы» (далее ЗАО «Глобал-Тел») как часть процедуры банкротства. Группа потеряла контроль над ЗАО «Глобал-Тел» с 1 июля 2013 года и деконсолидировала ЗАО «Глобал-Тел». В ходе конкурсного производства по делу о банкротстве ЗАО «Глобал-Тел» решением Арбитражного суда города Москвы от 16 января 2015 года по делу о банкротстве вынесено
заключение об утверждении мирового соглашения от 14 ноября 2014 года между ЗАО «Глобал-Тел» (должником) и конкурсными кредиторами, чьи требования включены в реестр требований кредиторов ЗАО «Глобал-Тел». В соответствии с указанным Мировым соглашением в порядке новации обязательства ЗАО «Глобал-Тел» перед Обществом были прекращены 27 января 2015 года выдачей Должником простого векселя со сроком погашения по предъявлению, но не ранее 30 ноября 2021 года и вексельной суммой 1 042,9 с процентной ставкой 13% годовых. Также 27 января 2015 года Общество по договору купли-продажи с Лорал Спейс энд Коммьюникейшинз Инк. приобрело два векселя за 108 на общую вексельную сумму 2 501,2, которые были получены продавцом от ЗАО «Глобал-Тел» в рамках погашения обязательств на основании Мирового соглашения по делу № A40-27560/2012. 16 февраля 2015 года вступило в силу решение Арбитражного суда города Москвы об утверждении Мирового соглашения, в результате чего конкурсное управление было прекращено. В результате Группа восстановила контроль над ЗАО «Глобал-Тел». Настоящая консолидированная финансовая отчетность содержит результаты деятельности ЗАО «Глобал-Тел» за десять месяцев с 1 марта 2015 года. Сумма, за которую Общество приобрело два векселя у Лорал Спейс энд Коммьюникейшинз Инк. расценивается как денежное вознаграждение, уплаченное за приобретение ЗАО «Глобал-Тел» поскольку данный платеж урегулирует споры между ЗАО «Глобал-Тел» и его кредиторами и прекращает иск о банкротстве.</t>
  </si>
  <si>
    <t>Лорал Спейс энд</t>
  </si>
  <si>
    <t xml:space="preserve">Коммьюникейшинз Инк. </t>
  </si>
  <si>
    <t>1 декабря 2015 года Группа приобрела контроль над компанией ЗАО «Айкумен ИБС», разработчика платформы, использующей технологии Big Data. Группа приобрела 75% акций ЗАО «Айкумен ИБС». Данное приобретение соответствует стратегии Группы в новых цифровых сегментах, включая быстрорастущий рынок Big Data.</t>
  </si>
  <si>
    <t>18 августа 2015 года Группа завершила приобретение бизнеса ОАО «Старт Телеком» (Старт Телеком) в г. Саранск и г. Дзержинск. Сделка была структурирована как приобретение объединенной группы телекоммуникационных активов и деятельности, включая соответствующие телекоммуникационные сети и клиентскую базу, за вознаграждение в сумме 217 млн руб. Клиентам Старт Телекома было предложено подписать контракт на обслуживание с Компанией до 1 декабря 2015 года, в то же время Компания принимает на себя все права и обязательства Старт Телекома по отношению к клиентам, принявшим предложение. Урегулирования с клиентами, которые не приняли предложение, а также урегидирование между Старт Телеком и Компанией были завершены до 1 декабря 2015 года.</t>
  </si>
  <si>
    <t>T2 РТК Холдинг</t>
  </si>
  <si>
    <t>1 апреля 2014 года Общество завершило первый этап сделки с мобильным оператором TELE2 Россия с целью создания нового российского мобильного оператора. На первой стадии Компания внесла дочерние компании и основные средства, относящиеся к мобильному бизнесу в уставный капитал T2 РТК Холдинг. Дочерние компании, переданные на первой стадии, это: 1) ЗАО «Акос»; 2) ОАО «Апекс»; 3) ЗАО «Астарта»; 4) ЗАО «Байкалвестком»; 5) ЗАО «БИТ»; 6) ЗАО «Дельта Телеком»; 7) ОАО «Калининградские мобильные сети»; 8) ОАО «Московская сотовая связь»; 9) ЗАО «МС-Директ»; 10) ЗАО «НСС»; 11) ООО «Пилар»; 12) ЗАО «Саратовская система сотовой связи»; 13) ЗАО «Скай-1800»; 14) ЗАО «Скай Линк»; 15) ЗАО «Уралвестком»; 16) ЗАО «Волгоград GSM»; 17) ЗАО «Енисейтелеком». По окончании первой стадии Группа получила 26% доли владения в ООО «T2 РТК Холдинг».
6 августа 2014 года ОАО «Ростелеком» завершил второй этап сделки с Tele2 Россия. С целью завершения финального этапа сделки в ЗАО «РТ-Мобайл» были выделены интегрированные мобильные активы ОАО «Ростелеком» и были переоформлены лицензии на эту компанию. По окончании второго этапа сделки Группа увеличила долю владения в ООО «Т2 РТК Холдинг» до 45%.</t>
  </si>
  <si>
    <t>В декабре 2014 года Группа передала акции дочерних компаний: ООО «НКС Медиа», ЗАО «НМА», ОАО «АртМедиаМаркт», а также денежные средства в размере 250 млн руб. и получила долю 25,33% в ОАО «Цифровое телевидение». Справедливая стоимость доли владения Группы в ОАО Цифровое телевидение после совершения сделки составила 1 319 млн руб.</t>
  </si>
  <si>
    <t>ИТ (Разработка ПО)</t>
  </si>
  <si>
    <t>Soft</t>
  </si>
  <si>
    <t>В июле 2012 года Группа завершила приобретение 100% доли в мобильном операторе ЗАО «Скай Линк». В рамках сделки ООО «Мобител», дочерняя компания Общества, приобрела 50% долю в ЗАО «Скай Линк» у ОАО «Связьинвест» в обмен на 1,91% обыкновенных акций ОАО «Ростелеком» (56 287 425 штук). В результате эффективная доля владения Группы в ЗАО «Скай Линк» стала равна 100%. ЗАО «МС-Директ», 100% дочерняя компания ЗАО «Скай Линк», владеет оставшейся 50% долей в ЗАО «Скай Линк». ЗАО «Скай Линк» в настоящее время владеет лицензиями в 76 субъектах Российской Федерации, покрывая 90% населения России, включая Москву, Санкт-Петербург и другие крупнейшие российские города. Лицензии ЗАО «Скай Линк» позволяют компании оказывать услуги стандартов CDMA-450 и UMTS-1900/2100 в 65 регионах, стандарта CDMA-450/2000 в 3 регионах, стандарта GSM-1800 в 45 регионах и стандарта GSM-900 в 1 регионе. Стратегическое приобретение ЗАО «Скай Линк» позволяет Группе усилить свои конкурентные позиции и увеличить стоимость Группы. ЗАО «Скай Линк» также является четвертым оператором, который получил оставшиеся доступные частоты 3G в России. Правительство Российской Федерации контролирует и Общество, и ОАО «Связьинвест». Поэтому Группа учитывала приобретение ЗАО «Скай Линк» как объединение бизнеса под общим контролем.</t>
  </si>
  <si>
    <t>Телекоммуникации (мобильная связь)</t>
  </si>
  <si>
    <t>Телекоммуникации (фискированная связь)</t>
  </si>
  <si>
    <t>ОАО "Связьинвест"</t>
  </si>
  <si>
    <t>Телекоммуникации (инвестиции)</t>
  </si>
  <si>
    <t>В сентябре 2010 года Группа приобрела 25% плюс одну акцию ОАО «Связьинвест», которые были оплачены наличными средствами в размере 26 000. Приобретение доли в ОАО «Связьинвест» привело к взаимному владению долями, поскольку ОАО «Связьинвест» является материнской компанией Общества. Общество является основной дочерней компанией ОАО «Связьинвест» и представляет собой большую часть группы ОАО «Связьинвест». Инвестиция в ОАО «Связьинвест» учитывается с использованием метода долевого участия, применяемого к структурам со взаимными долями владения. В марте 2012 года решение об объединении ОАО «Связьинвест» и Общества было утверждено Президентом Российской Федерации. Взаимное владении долями будет прекращено после завершения объединения.</t>
  </si>
  <si>
    <t>В июле 2009 года ОАО «Волгателеком» приобрело 100% доли в уставном капитале ООО «ГТС» за 350 млн руб., получив контроль над компанией. Основным видом деятельности ООО «ГТС» является предоставление телекоммуникационных услуг корпоративным клиентам и физическим лицам.</t>
  </si>
  <si>
    <t>В июле 2009 года ОАО «Ростелеком» приобрело 100% доли в уставном капитале ЗАО «Росмедиа» за 0.01 млн руб, получив контроль над компанией. ЗАО «Росмедиа» было приобретено с целью запуска проекта оказания услуг IPTV (Интернет –телевидения).</t>
  </si>
  <si>
    <t>В июне 2011 года Группа приобрела 38,78 % уставного капитала (40,16 % голосующих акций)
ОАО «Башинформсвязь» у ООО «Баштелекоминвест» за 3 640 млн руб.</t>
  </si>
  <si>
    <t>В декабре 2009 года ОАО «Уралсвязьинформ» приобрело 100% доли в уставном капитале ООО «ЮжноУральская Телефонная Компания» за 132 млн руб, получив контроль над компанией. ООО «Южно-Уральская Телефонная Компания» оказывает услуги фиксированной телефонной связи, интернет-услуги и услуги по передаче данных.</t>
  </si>
  <si>
    <t>в октябре 2009 года ОАО «Дальсвязь» приобрело дополнительно 49% акций ОАО «Сахателеком» за 1 318, увеличив свою долю владения до 100%.</t>
  </si>
  <si>
    <t>В августе 2011 года Группа приобрела дополнительно 50% в доле владения ЗАО «Волгоград-GSM», получив таким образом 100% контроль. Акции были приобретены у Группы «СМАРТС» за денежное вознаграждение в размере 2 322 млн руб. Основным видом деятельности ЗАО «Волгоград-GSM» является предоставление услуг мобильной связи.</t>
  </si>
  <si>
    <t>В сентябре 2011 года Группа приобрела дополнительно 49% в ЗАО «Оренбург-GSM» у Группы «СМАРТС» за денежное вознаграждение в размере 4 млн. долларов, увеличив таким образом контроль с 51% до 100%.</t>
  </si>
  <si>
    <t>В апреле 2011 года Группа приобрела дополнительно 49% ЗАО «СТС» у компании «Мелвонд Холдинг Лимитед» за денежное вознаграждение в размере 250 млн руб., увеличив таким образом долю владения с 51% до 100%.</t>
  </si>
  <si>
    <t>В июне 2010 года ОАО «Волгателеком» приобрело 98,19% уставного капитала компании «Телесет Нетворкс Паблик Компани Лимитед» за 4 283 млн руб, получив контроль над компанией. «Телесет Нетворкс Паблик Компани Лимитед» специализируется на предоставлении местных услуг связи в республике Татарстан и Ульяновской области.</t>
  </si>
  <si>
    <t>В декабре 2010 года, ОАО «Северо-Западный Телеком» приобрело 100% уставного капитала ЗАО «Северен –Телеком» за 863 млн руб., получив контроль над компанией. ЗАО «Северен-Телеком» предоставляет широкий спектр телекоммуникационных услуг в Санкт-Петербурге.</t>
  </si>
  <si>
    <t>В декабре 2012 года Группа приобрела 140 315 416 обыкновенных акций ОАО «Связьинвест» посредством выкупа дополнительной эмиссии акций ОАО «Связьинвест» (25% от дополнительной эмиссии). Цена покупки составила 1 720 илн руб.</t>
  </si>
  <si>
    <t>В мае 2022 года Группа продала 100% акций дочерней компании, занимающейся производством и реализацией навигационного оборудования компании, находящейся под общим контролем материнской компании Группы и занимающейся ГГ и телеком услугами, за денежное возмещение в сумме 62 млн руб. Выбытие активов и обязательств в рамках данной сделки рассматривается как вклад собственника в силу значительного превышения цены сделки над чистыми обязательствами компании, основная часть которых представлена обязательствами по кредиту, выданному дочерней компании материнской компанией Г руппы.</t>
  </si>
  <si>
    <t>АО "МТС Вэб Сервисы"</t>
  </si>
  <si>
    <t>В августе 2021 года Группа продала МТС принадлежащие ей 100% долей в уставном капитале ООО «Мультикабельные сети Балашихи» за денежное вознаграждение в сумме 25 млн руб. В результате продажи Группа признала обесценение гудвила в сумме 68 млн руб., так как справедливая стоимость чистых активов ООО «Мультикабельные сети Балашихи» за минусом затрат на продажу оказалась ниже их балансовой стоимости.</t>
  </si>
  <si>
    <t>Net</t>
  </si>
  <si>
    <t>Группа выделила «Бизнес-Недвижимость» из своего дочернего предприятия ЗАО «МГТС-Недвижимость» в сентябре 2013 года. В декабре 2013 года Группа продала 51% долю в уставном капитале «Бизнес-Недвижимость» в пользу АФК «Система». После продажи контрольной доли в дочернем предприятии Группа прекратила консолидировать «Бизнес-Недвижимость» и начала учитывать это финансовое вложение по методу долевого участия. В апреле 2014 года Группа продала в пользу АФК «Система» оставшуюся 49% долю в уставном капитале «Бизнес-Недвижимость» за 3.1 млрд, руб., подлежащих уплате в рассрочку до 31 июля 2015 года с учетом 9% годовых. Данное выбытие было учтено как операция между предприятиями, находящимися под общим контролем, непосредственно на счетах капитала.
76 объектов недвижимости общей площадью 178 тыс. кв.м. и 44 АТС</t>
  </si>
  <si>
    <t>АО "Энвижн Групп" (Nvision Group)</t>
  </si>
  <si>
    <t>В августе 2021 года Группа продала МТС принадлежащие ей 100% акций АО «НПО ПРОГТЕХ» за денежное вознаграждение в сумме 341 млн руб. В результате продажи Группа признала обесценение гудвила в сумме 160 млн руб., так как справедливая стоимость чистых активов АО «НПО ПРОГТЕХ» за минусом затрат на продажу оказалась ниже их балансовой стоимости. Компания оказывает телкоммуникационные услуги в г. Жуковский</t>
  </si>
  <si>
    <t>Телекоммуникации (НИОКР)</t>
  </si>
  <si>
    <t>В январе 2020 года ПАО «МТС» приобрело 13.3% инвестиционных паев компании, оплатив паи посредством передачи одного из своих зданий. В результате данной транзакции Группа признала увеличение доли неконтролирующих акционеров и инвестиционной недвижимости на 485 млн руб. На 31 декабря 2020 доля Группы в ЗПИФ составила 85.2%.</t>
  </si>
  <si>
    <t>В апреле 2017 года Группа приобрела у МТС 51% доли ООО «МКС-Балашиха» (далее - «МКС-Балашиха») за денежное вознаграждение в размере 29.2 млн руб. На дату приобретения контроля, оставшейся долей (49%) владела сама МКС-Балашиха, выкупившая ее у миноритария в декабре 2016 года. В мае 2017 года доля владения Группы в МКС-Балашиха возросла с 51% до 100% в связи с решением единственного участника МКС-Балашиха о распределении выкупленной у миноритария доли в уставном капитале МКС-Балашиха в пользу МГТС. Участие в МКС-Балашиха позволит МГТС оперативно управлять деятельностью оператора в городе Балашиха.</t>
  </si>
  <si>
    <t>Бизнес-комплекс на ул. Народного Ополчения</t>
  </si>
  <si>
    <t>Для обеспечения устойчивости и возможности развития технологической инфраструктуры, в августе 2019 года Группа приобрела бизнес по управлению бизнес-комплексом на ул. Народного Ополчения у АО «Бизнес-Недвижимость» (дочерняя компания АФК «Система») за денежное вознаграждение 329 млн руб. Приобретение было учтено как сделка под общим контролем. Активы и обязательства, представленные основными средствами и инвестиционной недвижимостью, были учтены по исторической стоимости в сумме 46 млн руб., а эффект от приобретения в сумме 226 млн руб. отражен в добавочном капитале Группы.</t>
  </si>
  <si>
    <t>В августе 2018 года Группа приобрела 100% акций ЗАО НПО «Прогтех» и его дочернего предприятия ЗАО «Прогтех Юг». Общая стоимость приобретения составила 425 млн руб., в том числе денежное вознаграждение в размере 392 млн руб., выплаченное в 2018 году, и два отложенных платежа: первый, в сумме 11 лиги руб., выплаченный в 2019 году, а второй, в сумме 22 млн руб. - в 2020 году.</t>
  </si>
  <si>
    <t>В июле 2019 года Группа продала 100% долю в уставном капитале Прогтех Юг в пользу ПАО МТС за 94 млн руб. Группа учла данное выбытие как операцию между предприятиями, находящимися под общим контролем, и отразила прибыль от сделки в добавочном капитале.</t>
  </si>
  <si>
    <t>В апреле 2019 года Группа приобрела 98.98% инвестиционных паев ЗПИФ ПАО «МТС». Паи были оплачены пятью зданиями МГТС. В результате сделки Группа сохранила контроль над переданными в ЗПИФ активами. В консолидированном отчете о финансовом положении по состоянию на 31 декабря 2019 года данные активы были отражены по исторической стоимости в составе основных средств и инвестиционной недвижимости в сумме 281 млн руб. и 234 млн руб. соответственно.</t>
  </si>
  <si>
    <t>Финансы (фонд инвестиций)</t>
  </si>
  <si>
    <t>Паи ЗПИФ</t>
  </si>
  <si>
    <t>В июне 2018 года Группа произвела выкуп 6,244 обыкновенных именных акций НИС за 5.4 млн руб., увеличив тем самым долю своего участия в НИС с 90% до 100%. Результаты сделок отражены в консолидированном отчете об изменениях в собственном капитале.</t>
  </si>
  <si>
    <t>Recr</t>
  </si>
  <si>
    <t>В январе 2018 года Группа выкупила 1,346 обыкновенных именных акций АО «Пансионата «Приазовье», что составляет 32.99% уставного капитала, за 13.97 млн руб., увеличив тем самым долю своего участия в АО «Пансионата «Приазовье» до 100%. Выкуп производился у 16 акционеров-физических лиц.</t>
  </si>
  <si>
    <t>В марте 2017 года Группа увеличила долю своего участия в НИС до 90%, путем выкупа 7.85% акций НИС у одного из миноритарных акционеров за 8.5 млн руб. В июне 2018 года Группа произвела выкуп 6,244 обыкновенных именных акций НИС за 5.4 млн руб., увеличив тем самым долю своего участия в НИС до 100%. Результаты сделок отражены в консолидированном отчете об изменениях в собственном капитале.</t>
  </si>
  <si>
    <t>Adv</t>
  </si>
  <si>
    <t>ОАО "КОМСТАР-ОТС"</t>
  </si>
  <si>
    <t>CMST</t>
  </si>
  <si>
    <t>ПАО "Центральный телеграф"</t>
  </si>
  <si>
    <t>В январе 2021 г. Группа приобрела контроль над ООО «Форкам». ПАО «Башинформсвязь» подписала соглашение о приобретении 51% в ООО «Форкам» за денежное вознаграждение в сумме 5 тыс. руб.</t>
  </si>
  <si>
    <t>В январе 2021 г. Группа приобрела контроль над ООО «Фастек». ПАО «Башинформсвязь» подписала соглашение о приобретении 51% в ООО «Фастек» за денежное вознаграждение в сумме 242 тыс. руб.</t>
  </si>
  <si>
    <t>В марте 2021 г. Группа приобрела контроль над ООО «Миралоджик Сервис Медиа». ПАО «Башинформсвязь» подписала соглашение о приобретении 100% в ООО «Миралоджик Сервис Медиа» за денежное вознаграждение в сумме 10 тыс. руб.</t>
  </si>
  <si>
    <t>В декабре 2021 г. Группа приобрела контроль над ООО «РИЦ» путем внесения вклада в уставной капитал Общества долей владения в ООО «Войслинк» (51 %) и АО «Нетрис» (100%). После внесения вклада в уставной капитал ООО «РИЦ», Группа получила долю владения в размере 87,58%, при этом эффективная доля владения переданными дочерними обществами составила ООО «Войслинк» (45 %) и АО «Нетрис» (87,58%).</t>
  </si>
  <si>
    <t>В мае 2020 г. ПАО «Башинформсвязь» приобрела контроль над ООО «ВойсЛинк». ПАО «Башинформсвязь» подписала соглашение о приобретении 51% в ООО «ВойсЛинк» за денежное вознаграждение в сумме 500 000 тыс. руб. Вся сумма денежного вознаграждения была уплачена денежными средствами. Также в мае 2020 г. ПАО «Башинформсвязь» заключила опционные соглашения колл на приобретение оставшейся доли 49% в ООО «ВойсЛинк». Итоговая цена опционов будет зависеть от операционных результатов ООО «ВойсЛинк» с даты приобретения контроля до даты реализации опциона. Группа оценивает обязательство по опционам колл и пут по справедливой стоимости.</t>
  </si>
  <si>
    <t>Media</t>
  </si>
  <si>
    <t>В октябре 2020г. ПАО «Башинформсвязь» приобрела контроль над ЗАО «Синтерра Медиа». ПАО «Башинформсвязь» подписала соглашение о приобретении 100% в ЗАО «Синтерра Медиа» за денежное вознаграждение в сумме 2 347 362 тыс. руб. Вся сумма денежного вознаграждения была уплачена денежными средствами. Часть вознаграждения в сумме 2 050 000 тыс. руб. была уплачена денежными средствами. Оставшаяся часть вознаграждения в сумме 297 362 тыс. руб. будет уплачена денежными средствами в течение нескольких лет.</t>
  </si>
  <si>
    <t>В марте 2020 г. ПАО «Башинформсвязь» приобрела контроль над ООО «АТК». ПАО «Башинформсвязь» подписала соглашение о приобретении 99,99% в ООО «АТК» за денежное вознаграждение в сумме 718 196 тыс. руб. Часть вознаграждения в сумме 646 712 тыс. руб. была уплачена денежными средствами. Оставшаяся часть в сумме 71 484 тыс. руб. будет уплачена денежными средствами в течение нескольких лет.</t>
  </si>
  <si>
    <t>В марте 2020 г. ПАО «Башинформсвязь» приобрела контроль над ООО «РДП.РУ». ПАО «Башинформсвязь» подписала соглашение о приобретении 59,99% в ООО «РДП.РУ» за денежное вознаграждение в сумме 1 185 685 тыс. руб.. В июле 2020 г ПАО «Башинформсвязь» приобрело дополнительную долю ООО «РДП.РУ» в размере 25,01% за денежное вознаграждение в сумме 494 315 тыс. руб. Часть вознаграждения в сумме 1 176 000 тыс. руб. была уплачена денежными средствами. Оставшаяся часть в сумме 504 000 тыс. руб. будет уплачена денежными средствами в течение одного года.</t>
  </si>
  <si>
    <t>В марте 2020 г. ПАО «Башинформсвязь» приобрела контроль над ООО «РДП.РУ». ПАО «Башинформсвязь» подписала соглашение о приобретении 59,99% в ООО «РДП.РУ» за денежное вознаграждение в сумме 1 185 685. В июле 2020 г ПАО «Башинформсвязь» приобрело дополнительную долю ООО «РДП.РУ» в размере 25,01% за денежное вознаграждение в сумме 494 315 тыс. руб. Часть вознаграждения в сумме 1 176 000 тыс. руб. была уплачена денежными средствами. Оставшаяся часть в сумме 504 000 тыс. руб. будет уплачена денежными средствами в течение одного года.</t>
  </si>
  <si>
    <t>В ноябре 2020 г. Группа приобрела контроль над компаниями ООО «Созвездие Н», ООО «АйТиЭм Холдинг», ООО «МИРАЛОДЖИК СИ», ООО «КОМТЕХЦЕНТР» (далее - группа «Планета»). ПАО «Башинформсвязь» подписала соглашение о приобретении 99,99% в группе «Планета» за денежное вознаграждение в сумме 1 755 010 тыс. руб. Вся сумма денежного вознаграждения была уплачена денежными средствами.</t>
  </si>
  <si>
    <t>ИТ (разработка ПО)</t>
  </si>
  <si>
    <t>В течение 2021 года Группа реализовала 100% доли ООО «Интерпроект», ООО «Столица», ООО «Орион», ООО «Прогресс» за несущественное вознаграждение. Покупателем доли выступил АО «РТКомм.РУ» являющийся связанной стороной Группы и входящий в Группу ПАО Ростелеком (Материнская компания ПАО Башинформсвязь).</t>
  </si>
  <si>
    <t>В течение 2021 года Группа реализовала 100% доли ООО «Прометей» за денежное вознаграждение в размере – 190 082 тыс. руб. Покупателем доли выступил АО «Северен Телком» являющийся связанной стороной Группы и входящий в Группу ПАО Ростелеком (Материнская компания ПАО Башинформсвязь).</t>
  </si>
  <si>
    <t>В ноябре 2020 г. Группа приобрела контроль над ООО «Информ» (ООО «Лукойл-Информ»). ПАО «Башинформсвязь» подписала соглашение о приобретении 50,1% в ООО «Информ» за денежное вознаграждение в сумме 817 083 тыс. руб. Вся сумма денежного вознаграждения была уплачена денежными средствами. Также в мае 2020 г. ПАО «Башинформсвязь» заключила опционные соглашения колл и пут на приобретение оставшейся доли 49,9% в ООО «Информ» с периодом исполнения с 1 июля 2021 г. по 23 марта 2023 г. Итоговая цена опционов будет зависеть от операционных результатов ООО «Информ» с даты приобретения контроля до даты реализации опциона, но не менее 1 236 000 тыс. руб. Группа оценивает обязательство по опционам колл и пут по справедливой стоимости. Группа считает, что условия опционов колл и пут дают возможность получать выгоды, связанные с долей 49,9%.</t>
  </si>
  <si>
    <t>В августе 2019 г. Группа приобрела контроль над ООО «ОктопусНет», ООО «С25РУ», ООО «УссуриТелесервис», компаниями Группы АльянсТелеком. АльянсТелеком с 2007 года оказывает услуги доступа в интернет и телевидения физическим лицам и корпоративным клиентам на территории Приморского края во Владивостоке, Уссурийске, Находке и Артеме. ПАО «Башинформсвязь» подписала соглашение о приобретении 100% группы АльянсТелеком за вознаграждение денежными средствами в сумме 2 208 600 тыс. руб.</t>
  </si>
  <si>
    <t>В октябре 2019 г. Группа приобрела контроль над ООО «Связьсервис». ПАО «Башинформсвязь» подписала соглашение о приобретении 100% в ООО «Связьсервис» за денежное вознаграждение в сумме 336 511 тыс. руб.</t>
  </si>
  <si>
    <t>В ноябре 2019 г. Группа приобрела контроль на ООО «ДартИТ». ПАО «Башинформсвязь» подписала соглашение о приобретении 100% в ООО «ДартИТ» за вознаграждение в сумме 430 000 тыс. руб.</t>
  </si>
  <si>
    <t>В ноябре 2019 г. Группа приобрела контроль на ООО «Мегаком-ИТ» и ООО «Гарант - Сибирь», совместно называемыми Группа Мегаком. ПАО «Башинформсвязь» подписала соглашение о приобретении 100% в Группе Мегаком за денежное вознаграждение в сумме 464 958 тыс. руб.</t>
  </si>
  <si>
    <t>В марте 2019 года ПАО «Башинформсвязь» приобрела контроль над ООО «Инфолинк» и ООО «СвязьСтрой-21» (далее - «Инфолинк») входящих в группу Инфолинк, одного из крупнейших интернет провайдеров в Чувашской Республике. Группа приобрела 100% в Инфолинк за денежное вознаграждение в размере 348 000 тыс. рублей.</t>
  </si>
  <si>
    <t>В июне 2019 года Акционер Группы ПАО «Ростелеком» передал 100% доли ООО «Орион», ООО «Интерпроект», ООО «Столица» и ООО «Прогресс» входящих в группу Фрештел (далее «Фрештел») - ПАО Башинформсвязь. Данная сделка не предполагает передачу Акционеру денежного или иного вознаграждение.</t>
  </si>
  <si>
    <t>В июле 2019 г. Группа приобрела контроль над ООО «Прометей». ПАО «Башинформсвязь» подписала соглашение о приобретении 100% в ООО «Прометей» за денежное вознаграждение в сумме 700 000 тыс. руб.</t>
  </si>
  <si>
    <t>В октябре 2019 г. Группа приобрела контроль над ООО «ЛекСтар Коммуникейшн». ПАО «Башинформсвязь» подписала соглашение о приобретении 100% в ООО «ЛекСтар Коммуникейшн» за денежное вознаграждение в сумме 68 787 тыс. руб.</t>
  </si>
  <si>
    <t>ИТ (ремонт оборудования)</t>
  </si>
  <si>
    <t>ИТ (базы данных, торговля аппаратурой)</t>
  </si>
  <si>
    <t>В январе 2018 г. Группа приобрела контроль над ООО «Сервис телекоммуникаций». ПАО «Башинформсвязь» подписала соглашение о приобретении 100% в ООО «Сервис телекоммуникаций» за денежное вознаграждение в сумме 251 520 тыс. руб. ООО «Сервис телекоммуникаций» владеет частотным ресурсом в Санкт-Петербурге, и данное приобретение позволит Группе развивать технологию 5G, а также, в дальнейшем, развернуть пилотную зону сети 5G.</t>
  </si>
  <si>
    <t>ООО "Созвездие Н"</t>
  </si>
  <si>
    <t>В декабре 2020 года Группа приобрела 99,99% доли ООО "Созвездие Н" за денежное вознаграждение в размере 64 019 тыс. руб.</t>
  </si>
  <si>
    <t>В декабре 2018 года Группа приобрела контроль над ООО «Стар2Ком». ПАО «Башинформсвязь», подписала соглашение о приобретении 99,92% в ООО «Стар2Ком» за денежное вознаграждение в сумме 490 000 тыс. руб. Оставшаяся доля 0,08% включена в чистые активы приобретаемой компании.</t>
  </si>
  <si>
    <t>В декабре 2018 г. Группа приобрела контроль над ЗАО «Нетрис» ПАО «Башинформсвязь» подписала соглашение о приобретении 100% в ЗАО Нетрис за денежное вознаграждение 1 711 700 тыс. руб.</t>
  </si>
  <si>
    <t>В декабре 2019 года группа приобрела 44% доля АО НПФ «Альянс» за денежное вознаграждение 400 000 тыс. руб.</t>
  </si>
  <si>
    <t>В феврале 2019 года Группа приобрела 50% доли в ООО «Новые Цифровые Решения» за денежное вознаграждение 150 тыс. руб. Дополнительно, в соответствии с решением участников ООО «Новые Цифровые Решения», Группа внесла дополнительный вклад в уставной капитал общества в размере 156 000 тыс. руб.</t>
  </si>
  <si>
    <t>ПАО "Таттелеком"</t>
  </si>
  <si>
    <t>ООО "Алгоритм"</t>
  </si>
  <si>
    <t>Met-Pipe</t>
  </si>
  <si>
    <t>Met-Alum</t>
  </si>
  <si>
    <t>Met-Steel</t>
  </si>
  <si>
    <t>Met-Serv</t>
  </si>
  <si>
    <t>Met-Scrap</t>
  </si>
  <si>
    <t>В январе 2022 года ПАО «Селигдар» в рамках стратегии развития бизнеса, с целью расширения района присутствия и масштабов бизнеса, приобрело 100% доли в уставном капитале ООО ГПК «Восточная». Обществу предоставлены в пользование три лицензии на осуществление поиска и разведки полезных ископаемых на участках недр, расположенных на территории Республики Саха (Якутия).</t>
  </si>
  <si>
    <t>В феврале 2023 года второй участник реализовал опцион на продажу своей 50% доли в Алгоритме Группе за денежное вознаграждение 6 400, в результате доля Группы увеличилась до 100%.</t>
  </si>
  <si>
    <t>Группа завершила идентификацию активов и обязательств по приобретенной в декабре 2022 года 50% доли в ООО «Алгоритм» («Алгоритм»). Целью приобретения является дальнейшая реализация Группой проектов в области мобильного информирования и рекламы. Соответственно, признанный гудвил в основном относится к ожидаемому синергетическому эффекту от приобретения.</t>
  </si>
  <si>
    <t>5 августа 2021 года компания USM Investments Limited («USMI») реализовала опцион на покупку акций AER, который был заключен между USMI и Группой в первом полугодии 2021 года, и, соответственно, Группа продала принадлежавшие ей 24 000 000 акций AER компании USMI за денежное вознаграждение в сумме 40 853. из них часть была получена в августе 2021 года, а оставшаяся часть подлежит выплате в последующие периоды.</t>
  </si>
  <si>
    <t>Leas</t>
  </si>
  <si>
    <t>В сентябре 2021 года Группа сделала денежный вклад в сумме 7 502 в ООО «Диджитал Инвест», совместное предприятие «МегаФона» и ООО «ЮэСэМ Телеком» с равными долями участия, зарегистрированное на территории Российской Федерации. ООО «Диджитал Инвест» - это холдинговая компания, созданная для инвестирования в ООО «Диджитал Холдинг». Затем в сентябре 2021 года компания ООО «Диджитал Инвест» сделала денежный вклад в уставный капитал компании ООО «Диджитал Холдинг» в сумме 100 млн долларов США (7 251 по обменному курсу на дату платежа). В результате доля ООО «Диджитал Инвест» в компании ООО «Диджитал Холдинг» составила 51%.</t>
  </si>
  <si>
    <t>В марте 2023 года Группа приняла решение о выбытии доли в совместном предприятии АО «Садовое Кольцо» («Садовое Кольцо») и совершила ряд связанных сделок. Группа подписала договор о реализации своей 50% доли в холдинговой компании, владеющей 100% долей в Садовом Кольце, со связанной стороной ООО «ЮэСэМ Телеком» за денежное вознаграждение в сумме 4 221. «Садовое Кольцо», владеющее офисным зданием в центре Москвы, является совместным предприятием Группы со «Сбербанком». Группа заключила договор аренды с «Садовым Кольцом» на часть здания сроком на десять лет. В этом здании разместилась штаб-квартира Группы, что позволило консолидировать операции Группы в Москве в одном месте. Основным арендатором оставшейся части здания является «Сбербанк».</t>
  </si>
  <si>
    <t>Управдение недвижимостью</t>
  </si>
  <si>
    <t>В декабре 2021 года Группа продала всю свою долю в АО «МФ Технологии», которая владеет долей в Mail.Ru Group Limited («MGL») за денежное вознаграждение.</t>
  </si>
  <si>
    <t>ИТ (Интернет)</t>
  </si>
  <si>
    <t>В декабре 2021 года Группа внесла 100% акций АО «Первая Башенная Компания» («ПБК»), компании, владеющей и эксплуатирующей инфраструктуру телекоммуникационных вышек, в качестве вклада во вновь созданную 100% дочернюю компанию АО «Новые башни» («НБ»). В том же месяце Группа продала 60,68% акций НБ за денежное вознаграждение в размере 3 500 и долговую расписку к получению на сумму 17 281, сроки оплаты которой зависят от результатов дальнейшей работы НБ и/или действий с акциями НБ.</t>
  </si>
  <si>
    <t>В декабре 2021 года Группа внесла 100% акций АО «Первая Башенная Компания» («ПБК»), компании, владеющей и эксплуатирующей инфраструктуру телекоммуникационных вышек, в качестве вклада во вновь созданную 100% дочернюю компанию АО «Новые башни» («НБ»). В том же месяце Группа продала 60,68% акций НБ за денежное вознаграждение в размере 3 500 и долговую расписку к получению на сумму 17 281, сроки оплаты которой зависят от результатов дальнейшей работы НБ и/или действий с акциями НБ. В феврале 2022 года другой акционер сделал вложения активов в НБ, соответственно, доля Группы в НБ снизилась до 25%.</t>
  </si>
  <si>
    <t>В октябре 2021 года Группа приобрела 50% долю АО «Квантера» («Квангера»), разработчика дополнительных услуг, за денежное вознаграждение 1 000 и отсроченное вознаграждение 225, зависящее от финансовых результатов предприятия и подлежащее выплате не ранее чем через год после приобретения. Основной целью приобретения было укрепление опыта работы Группы на рынке дополнительных услуг и получение синергии для обеих компаний.</t>
  </si>
  <si>
    <t>В январе 2021 года Г руина увеличила свою долю в группе START до 50% за счет денежного вклада в уставный капитал ООО «Диджитал Медиа Холдинг» в размере 3 000. из которых 2 600 были выплачены в декабре 2020 года и 400 - в феврале 2021 года.</t>
  </si>
  <si>
    <t>В 2020 году Группа приобрела 33.8% долю в уставном капитале российской компании ООО «Диджитал Медиа Холдинг», что составило 25% в группе компаний, включающей ООО «Диджитал Медиа Холдинг» и его операционные дочерние компании («START»), производящие и поставляющие медиа-услуги. Основная цель приобретения инвестирование в перспективный, быстро развивающийся бизнес по предоставлению медиа-услуг, который принесет пользу клиентам Группы, потребляющим контент.</t>
  </si>
  <si>
    <t>Медиа-услуги</t>
  </si>
  <si>
    <t>Электронная коммерция</t>
  </si>
  <si>
    <t>Сингапур</t>
  </si>
  <si>
    <t>В ноябре 2019 года Группа продала около 5.87% из доли, составлявшей примерно 12% в ООО «Сити-Мобил» («Сиги-Мобил»). агрегаторе такси, за денежное вознаграждение в сумме 962. Затем, после последующих изменений в уставном капитале за счет взносов других акционеров, доля МегаФона в «Сити-Мобил» уменьшилась примерно до 2.63%.</t>
  </si>
  <si>
    <t>Агрегатор такси</t>
  </si>
  <si>
    <t>В октябре 2019 года Компания, Alibaba.com Singapore e-commerce private Lunited («Alibaba»). ООО «РФПИ Управление инвестициями-19» («РФПИ»), ООО «Mail.Ru» и AllExpress Russia Holding РТЕ. LTD создали совместное предприятие на базе существующего бизнеса электронной коммерции AER и Mail.Ru Group Limited ("MGL")-8 октября 2019 года МегаФон передал 9,97% долю в MGL компании Alibaba в обмен на 24.3% долю в AER. Целью сделки является создание уникального совместного предприятия в сфере электронной торговли для оказания лучших на рынке финансовых, медиа и прочих услуг российским потребителям. Справедливая стоимость доли Группы в AER была определена в сумме 35 942.</t>
  </si>
  <si>
    <t>В мае 2018 года Группа приобрела долю в DTSRetail Limited (компания группы «Связной»), которая составит 25% размешенных акций плюс одна акция после выполнения определенных условий, в обмен на внесение 100% акций компании «Евросеть» в группу компаний «Связной» и займа Lonestar Enterprises Ltd («Lonestar») в сумме 1 730, включая начисленные проценты. Основной целью сделки стало приобретение «МегаФоном» доли в крупнейшей розничной сети в технологическом секторе в Российской Федерации для участия в дальнейшем развитии сети омниканальных продаж. Справедливая стоимость доли Группы в группе «Связной» была оценена в сумме 15 440. Она примерно равнялась справедливой стоимости вознаграждения, переданного Группой (акции «Евросет и» и заем Lonestar).</t>
  </si>
  <si>
    <t>В июне 2018 года Группа приобрела 100% долю ООО «УК ТехноИнвестПроект» (впоследствии переименованного в ООО «Коркласс»), российского системного интегратора, за денежное вознаграждение 530. Основной целью приобретения было получение программного обеспечения и экспертизы для предоставления услуг клиентам государственного сектора по государственной программе «Безопасный город». Цена приобретения, главным образом, была распределена на программное обеспечение в сумме 416.</t>
  </si>
  <si>
    <t>ИТ (Системный интегратор)</t>
  </si>
  <si>
    <t>В январе 2018 года Группа учредила компанию АО «МФ Технологии», в которую в мае 2018 года вложила 11 500 100 акций класса А компании MGL, представляющих примерно 5% всех выпущенных акций (и примерно 59% голосующих акций) MGL посредством серии транзакций. После этого в июне 2018 года Группа продала 55% долю в АО «МФ Технологии» компаниям ООО «Финансовые Инвестиции», «Газпромбанк» и ООО «РТ-Развитие Бизнеса» (дочерней компании госкорпорации «Ростех») за совокупное денежное вознаграждение 247.5 млн долларов США (15 510 по обменному курсу на дату платежа). В результате продажи доля «МегаФона» в MGL снизилась примерно до 12% всех выпущенных акций или примерно 31% голосующих акций, соответственно. Справедливая стоимость оставшейся доли в MGL была оценена в сумме 46 052 по состоянию на 9 июня 2018 года. Справедливая стоимость доли Группы в акциях класса А MGL была оценена на основе цены их продажи в упомянутой выше сделке. Справедливая стоимость доли Группы в обыкновенных акциях MGL была оценена на основе их рыночной котировки.</t>
  </si>
  <si>
    <t>В апреле 2018 года Группа через дочернюю компанию АО «МегаЛабс» приобрела 18.37% доли и через MGL приобрела еще 15,75% доли в агрегаторе такси ООО «Сити-Мобил» («Сити-Мобил») за денежное вознаграждение, выплаченное в том же месяце. Затем после последующих изменений в количестве акционеров, дополнительных взносов акционеров и уменьшения доли «МегаФона» в MGL, доля Группы в «Сиги-Мобил» на 31 декабря 2018 года составила 15,61%. Общий вклад Группы в приобретение доли в «Сити-Мобил», исключая MGL, составил приблизительно 618.</t>
  </si>
  <si>
    <t>ESForce Holding Limited</t>
  </si>
  <si>
    <t>В апреле 2018 года MGL и, соответственно, Группа приобрели контроль над разработчиком мобильных игр PBL Bitdotgames Publishing Limited («BitGam.es»), а также 100% доли в ООО «33 слона» и в ООО «Технологии недвижимости» (вместе «33 слона»), цифровом агентстве недвижимости. В июне 2018 года Группа приобрела 100% долю в Consult Universal Corp ("InShopper"), поставщике технологии возврата наличных денежных средств. Общая сумма вознаграждения по сделкам, уплаченная денежными средствами, составила приблизительно 2 500 и условное вознаграждение, оцененное по справедливой стоимости на дату приобретения в сумме 93, на основе показателей эффективности в течение года после приобретения. Основной целью приобретения BitGames явилось укрепление позиций Группы на рынке мобильных игр. Цель приобретения компании «33 слона» - использование экспертных знаний Группы для достижения существенной синергии с продуктом Группы - онлайн агрегатором частных объявлений «Юла». Целью приобретения компании InShopper стало использование экспертных знаний Группы и ресурсов для достижения синергии с ее платежными технологиями и решениями.</t>
  </si>
  <si>
    <t>9 февраля 2017 года Группа завершила приобретение 15.2% доли в акционерном капитале MGL, представляющей 63.8% голосующих акций, у трех компаний, принадлежащих группе USM. Общая стоимость приобретения составила 740 млн долларов США (44 040 по обменному курсу на дату приобретения), из которых 640 млн долларов США (38 088 по обменному курсу на дату приобретения) были выплачены денежными средствами, а отложенное возмещение в сумме 100 млн долларов США (5 952 по обменному курсу на дату приобретения) подлежало оплате не позднее года с даты приобретения. Отложенное возмещение в сумме 100 млн долларов США (5 773 по обменному курсу на дату платежа) было выплачено в декабре 2017 года. Целью сделки являлось стратегическое партнерство для обеих компаний, включая расширение портфеля цифровых продуктов «МегаФона» и его каналов дистрибуции, запуск специального мобильного приложения «ВКмобайл» для пользователей социальной сети «ВКонтакте» и прочие возможные инициативы.</t>
  </si>
  <si>
    <t>ZakaZaka</t>
  </si>
  <si>
    <t>Доставка продуктов питания</t>
  </si>
  <si>
    <t>Deliv</t>
  </si>
  <si>
    <t>ИТ (сайт автообъявлений)</t>
  </si>
  <si>
    <t>Am.ru</t>
  </si>
  <si>
    <t>В 2016 году Группа приобрела 100% долю в ООО «Атланг Телеком», компании, являющейся альтернативным поставщиком услуг проводной связи и широкополосного доступа в Интернет в Москве и Московской области, за денежное вознаграждение в размере 62. Сумма гудвила составила 40.</t>
  </si>
  <si>
    <t>9 октября 2015 года «МегаФон» приобрел 49.999% уставного капитала Glanbury Investments Ltd. 100% владельца АО «Садовое Кольцо», которое владеет и управляет офисным зданием в центре Москвы. По условиям сделки, Группа должна заплатить за приобретаемую долю в Glanbury около 282 млн долларов США (17 550 по курсу на дату приобретения) и погасить задолженность «Садового Кольца» перед продавцом, переданную продавцом в качестве части сделки. На 31 декабря 2015 года Группа выплатила продавцу 252 млн долларов США (15 759 по курсу на дату оплаты), в том числе погасила задолженность по долгу «Садового Кольца» в сумме 63.6 млн долларов США (3 960 по курсу на дату платежа). Оставшаяся часть вознаграждения была выплачена в октябре 2016 года вместе с начисленными процентами по ставке 2.5% годовых. Одновременно «МегаФон» заключил соглашение о создании совместного предприятия для эксплуатации здания с кампанией Sberbank Investments Limited, дочерней компанией ПАО «Сбербанк» («Сбербанк»), которая также владеет 49.999% акционерного капитала Glanbury, и Woodsworth Investments Limited, независимым девелопером, владеющим остальными 0.002 % акций Glanbury. «МегаФон» подписал с «Садовым кольцом» договор аренды части здания сроком на десять лет. В этом здании разместится штаб-квартира Группы, что позволит консолидировать операции Группы в Москве в одном месте. Основным арендатором оставшейся части здания будет «Сбербанк».
Совместное предприятие «Садовое Кольцо» учитывается в консолидированной финансовой отчетности методом долевого участия.</t>
  </si>
  <si>
    <t>GARS Holding Limited (Гарс)</t>
  </si>
  <si>
    <t>18 сентября 2015 года Группа приобрела 100% акций компании «Гарс», предоставляющей полный спектр телекоммуникационных услуг фиксированной связи для арендаторов бизнес-центров в Москве и Санкт-Петербурге, за возмещение в сумме 2 213 на дату приобретения, состоящее из денежного вознаграждения в сумме 1 542 и отложенного возмещения в сумме 671. Основной целью этого приобретения является расширение присутствия Компании на рынке фиксированной связи в Москве и Санкт-Петербурге. Условные платежи в сумме 5 млн долларов США (325 по обменному курсу на дату платежа), на основании операционных результатов, были выплачены в полном объеме в 2016 году. Отложенное возмещение в сумме, приблизительно равной 4.3 млн долларов США (261 по курсу на 31 декабря 2016 года), подлежит оплате не позднее, чем через 2 года с даты приобретения.</t>
  </si>
  <si>
    <t>В декабре 2015 года Группа приобрела 100% акций ЗАО .Стартел», предоставляющей полный спектр телекоммуникационных услуг фиксированной связи для бизнес-клиентов в Москве и Твери, за денежное вознаграждение в размере 48. Гудвил, признанный в отчетности в результате приобретения, составил 43.</t>
  </si>
  <si>
    <t>1 октября 2013 года «МегаФон» приобрел 100% акций компании Maxilen Со Limited, владеющей 100% долей участия в группе предприятий, предоставляющих телекоммуникационные услуги 4G под брендом «Yota» (вместе «Скартел»), у компании Garsdale, контролирующего акционера Группы, за возмещение в сумме 55 736, состоящее из (1) отложенного вознаграждения в сумме 1 180 млн долларов США (38 331 по курсу на 1 октября 2013 года), 50% из которого выплачивается в течение одного года с даты приобретения с начислением процентов по ставке 6% годовых, а оставшиеся 50% — через два года с даты приобретения с начислением процентов по ставке 6% годовых; (2) погашения задолженности «Скартела» перед Telecominvest Holdings  Limited, дочерним предприятием Garsdale, в сумме 477 млн долларов США (15 483 по курсу на дату платежа); (3) имевшихся на дату приобретения аванса в сумме 1 069. выплаченного ранее «Скартелу» в счет оказания услуг в будущем, и дебиторской задолженности «Скартела» в сумме 853 за аренду телекоммуникационной сети Группы по состоянию на дату покупки. 24 июня 2014 года Группа досрочно погасила денежными средствами около 90% отложенного вознаграждения Garsdale, связанного с приобретением «Скартела», в сумме 37 925, включая основную сумму обязательства и проценты. Основной целью этого приобретения является существенное увеличение пропускной способности и качества сети, которое укрепит лидерские позиции Группы на быстрорастущем рынке мобильной передачи данных за счет расширения спектра предлагаемых услуг и повышения качества обслуживания клиентов. Это приобретение также позволит Группе сократить капитальные и операционные затраты на единицу трафика при развертывании сети 4G благодаря расширению доступного спектра частот; а также реализовать существенную экономию затрат при развертывании и эксплуатации сети, главным образом, за счет сокращения существенных текущих и будущих операционных расходов. Компания владеет 100% долей участия в группе предприятий, предоставляющих телекоммуникационные услуги 4G под брендом «Yota» (вместе «Скартел»).</t>
  </si>
  <si>
    <t>В 2014 году Группа приобрела 100% доли участия в ряде альтернативных провайдеров услуг фиксированной связи и широкополосного Интернета в некоторых регионах Российской Федерации за итоговое вознаграждение в сумме 381, из которых 150 составило условное вознаграждение, подлежавшее погашению в течение года с даты приобретения. Условное вознаграждение было скорректировано на 26, и его оставшаяся часть в сумме 124 была полностью выплачена Группой в 2015 году. Гудвил по этим приобретениям составил 374.</t>
  </si>
  <si>
    <t xml:space="preserve">6 декабря 2012 года Группа и Garsdale приобрели 50% долю владения в капитале «Евросети» через компанию Lefbord Investments Limited ("Lefbord"), в которой каждая сторона имела по 50% доле владения. В соответствии с договором купли-продажи с Garsdale, Группа обязалась в срок до 6 декабря 2013 года включительно (с возможностью отсрочки погашения данного обязательства до 6 декабря 2015 года) выкупить долю Garsdale в Lefbord за 535 млн долларов США (16 491 по обменному курсу на 6 декабря 2012 года), плюс проценты по ставке 8% годовых, плюс выплаты по результатам достижения «Евросетью» определенных целевых показателей. Цена покупки могла быть увеличена на дополнительные выплаты Garsdale в пользу Lefbord и уменьшена на выплаты Lefbord в пользу Garsdale. Группа имела право выбора в отношении способа погашения задолженности: денежными средствами или собственными обыкновенными акциями, исходя из среднерыночной цены ГДР «МегаФона» за шесть месяцев, предшествующих дате приобретения. Данное право, представляющее собой опцион, был признан в качестве финансового актива, оцениваемого по справедливой стоимости через прибыли и убытки. Исходя из условий обязательства по выкупу 50% доли Garsdale в Lefbord, Группа выработала суждение о том, что по отношению как к Lefbord, так и к «Евросети», Garsdale является номинальным держателем 25% косвенной доли владения в капитале «Евросети», и что Группа получила доступ к будущим экономическим выгодам и эффективно контролирует Lefbord с декабря 2012 года. Таким образом, через Lefbord Группа имеет 50%, а не 25% долю владения в капитале «Евросети» с декабря 2012 года. Соответственно Группа консолидировала Lefbord и классифицировала обязательство, причитающееся к оплате Garsdale («конвергируемый долговой инструмент»), как прочие краткосрочные финансовые обязательства в консолидированном отчете о финансовом положении с декабря 2012 года. В результате осуществления описанных выше сделок Группа приобрела 50% долю в «Евросети». Другие 50% «Евросети» принадлежат «ВымпелКом», российскому оператору связи. Lefbord и «ВымпелКом» осуществляют совместный контроль в отношении «Евросети», у каждого из них имеются действительные права голоса, позволяющие обеим сторонам эффективно участвовать в принятии всех значительных решений касательно «Евросети». Обязательство и нут-опцион в рамках конвертируемого долгового инструмента учитывались отдельно. Справедливая стоимость пут-опциона составляла 1 611 перед принятием решения о его погашении, которое описано ниже. В декабре 2013 года погашение обязательства, причитающегося к оплате Garsdale, было отложено на один год. 9 июля 2014 года Группа приняла решение досрочно погасить обязательство перед Garsdale за приобретенную долю в «Евросети». Сумма обязательства перед Garsdale за 50% долю в «Евросети» на дату исполнения обязательства составила 657 млн долларов США (22 628 по курсу на дату исполнения обязательства). Группа выбрала способ погашения обязательства собственными выкупленными акциями и, как это предусмотрено договором купли-продажи, собственные выкупленные акции были оценены по средневзвешенной рыночной цене ГДР Компании за шестимесячный период, предшествующий дате исполнения обязательства. После завершения расчетов количество собственных выкупленных акций Компании уменьшилось на 22 641 056 (или 16 201 по балансовой стоимости). Компания оценила переданные Garsdale собственные выкупленные акции по балансовой стоимости обязательства перед Garsdale на дату погашения в сумме 22 628 за вычетом справедливой стоимости пут-опциона на дату, предшествующую дате принятия решения об ускоренном погашении обязательства, которая составила 1611 (за вычетом налогового эффекта 322). Чистый эффект ог погашения обязательства в сумме 5 138 отражен непосредстенно в составе нераспределенной прибыли.
</t>
  </si>
  <si>
    <t>11 сентября 2012 года Группа приобрела 100% акций Felebior Holding Limited, которому принадлежит 100% доля участия в группе компаний, занимающихся поставкой мультимедийного контента, рингтонов, услуг геолокации, мобильных платежей и прочих дополнительных услуг в России («ВАС Медиа») за денежное возмещение в сумме 9 207, из которых 528 были фактически зачтены в счет погашения образовавшейся до приобретения кредиторской задолженности за услуги «ВАС Медиа». До приобретения «ВАС Медиа» являлась партнером Группы по различным проектам, таким как оказание дополнительных услуг абонентам Компании под брендом «МегаФон». Основной целью приобретения было укрепление позиции Группы на рынке
дополнительных услуг и ускорение разработки, внедрения и запуска новых услуг Группой.</t>
  </si>
  <si>
    <t>Int-Vid</t>
  </si>
  <si>
    <t>ИТ (Видео-услуги в Интернете)</t>
  </si>
  <si>
    <t>Как часть сделки по приобретению ВАС Медиа, Группа также приобрела 37,6% долю участия в капитале ООО «Ньюстюб», предоставляющего видео-услуги в Интернете.</t>
  </si>
  <si>
    <t>1 июня 2011 года Группа приобрела 100% долей в уставном капитале компании Fairlie Holding and Finance Limited, которой принадлежит 100% доля владения в группе предприятий, предоставляющих услуги широкополосного доступа в Интернет, IPтелефонии, IP-TV и другие мультимедийные услуги в России под брендом NetByNet («NetByNet»). Общее вознаграждение на дату приобретения составило 8 731 и состояло из денежного вознаграждения в размере 7 507 и условного вознаграждения в размере 1 224. Основной целью приобретения был выход Группы на рынок услуг по предоставлению широкополосного доступа в Интернет в Москве, Московской области и Центральном федеральном округе, где Группа ранее не предоставляла такие услуги конечным пользователям.</t>
  </si>
  <si>
    <t>13 декабря 2011 года Группа приобрела 100% долю участия в ОАО «Югрател», провайдере услуг широкополосного доступа в Интернет и услуг фиксированной телефонной связи в уральском регионе России, за общую сумму денежного вознаграждения около 2 421. Основной целью приобретения «Югрател» является усиление позиций Компании на рынке фиксированной связи в Уральском федеральном округе.</t>
  </si>
  <si>
    <t>В 2011 году Группа приобрела 100% долю участия в капитале ряда операторов фиксированного и широкополосного доступа в Интернет в разных субъектах Российской Федерации за общую стоимость приобретения 1 178.</t>
  </si>
  <si>
    <t>2 июня 2010 года Группа приобрела 100% долю участия в ЗАО «Синтерра», альтернативном операторе интегрированных телекоммуникационных услуг в России, у Synterra Cyprus Limited и Burnham Advisors Limited. Справедливая стоимость
приобретения на дату покупки составила 12 433, включая денежное вознаграждение в размере около 9 267, отложенные выплаты на сумму 1 214 и условные выплаты в сумме 1 952. «Синтерра» предлагает в России услуги фиксированной связи и владеет лицензиями на предоставление услуг местной и международной/междугородней связи, передачи данных, беспроводного широкополосного доступа и аренды каналов связи. Основной целью приобретения было укрепление позиции Группы на рынке фиксированной связи и реализация будущих операционных синергий и синергий в области сокращения затрат на основе возможностей конвергенции фиксированной и мобильной связи. Отложенные и условные платежи состоят из отложенных платежей, справедливая стоимость которых составляет 43 млн долларов США (1 336 по обменному курсу на 2 июня 2010 года) и нескольких условных платежей, суммарная справедливая стоимость которых составляет до 67 млн долларов США (2 082 по обменному курсу на 2 июня 2010 года), к оплате на дату или ранее истечения трех лет с даты приобретения. На 70 млн долларов США (2 175 по обменному курсу на 2 июня 2010 года) из общей суммы 110 млн долларов США (3 418 по обменному курсу на 2 июня 2010 года) отложенных и условных платежей начисляются проценты по ставке 2,75% годовых, на оставшиеся 40 млн долларов США (1 243 по обменному курсу на 2 июня 2010 года) проценты не начисляются. Выплата условного вознаграждения зависит от выполнения определенных условий.</t>
  </si>
  <si>
    <t>12 октября 2010 года Группа приобрела 100% долю участия в ЗАО «Метроком», операторе фиксированной связи, владеющем магистральной сетью в Санкт-Петербурге, за денежное вознаграждение в сумме около 2 000. Главной целью приобретения было укрепление позиции Группы на рынке фиксированной связи Санкт-Петербурга.</t>
  </si>
  <si>
    <t>ПАО "Магнит"</t>
  </si>
  <si>
    <t>Сельское хозяйство (выращивание овощей)</t>
  </si>
  <si>
    <t>5 августа 2022 г. Группа приобрела контроль над компанией ООО «Гринхаус» (далее – «Гринхаус») за счет покупки 100% долей участия в уставном капитале. Компания Гринхаус зарегистрирована в Российской Федерации, основным видом деятельности Гринхаус является выращивание овощей. Активы и обязательства Гринхаус, признанные в консолидированной финансовой отчетности на 31 декабря 2022 г., основывались на предварительной оценке их справедливой стоимости. В течение шести месяцев, закончившихся 30 июня 2023 г., Группа завершила оценку активов и обязательств Гринхаус. Группа пришла к выводу о том, что предварительная оценка активов и обязательств Гринхаус, отраженная в консолидированной финансовой отчетности на 31 декабря 2022 г., соответствует их справедливой стоимости.</t>
  </si>
  <si>
    <t>DIXY</t>
  </si>
  <si>
    <t>22 июля 2021 г. Группа приобрела контроль над Группой компаний ДИКСИ (далее – «Группа ДИКСИ»), за счет покупки 100% обыкновенных акций компании ДИКСИ Холдинг Лимитед (холдинговой компании Группы ДИКСИ, зарегистрированной в Республике Кипр, имеющей постоянное представительство и являющейся налоговым резидентом Российской Федерации). В состав Группы ДИКСИ также входят юридические лица, расположенные в Российской Федерации: АО «ДИКСИ Групп», АО «ДИКСИ-Юг», ООО «ДИКСИ-Снежинск», ООО «МИТ», ООО «Аргумент». Акции и ценные бумаги компаний Группы ДИКСИ не допущены к организованным торгам. Основным видом деятельности Группы ДИКСИ является розничная торговля продуктами питания на территории Российской Федерации. Под управлением Группы ДИКСИ на дату приобретения находились 2 438 магазинов у дома под брендом «ДИКСИ» и 39 супермаркетов под брендом «Мегамарт».</t>
  </si>
  <si>
    <t>ДИКСИ Холдинг Лимитед</t>
  </si>
  <si>
    <t>27 ноября 2018 г. Группа приобрела 100% долей участия в ООО «МФ-СИА», тем самым обеспечив себе контроль над группой компаний СИА (далее – «Группа СИА»). Все юридические лица, входящие в состав Группы СИА расположены в Российской Федерации, акции компаний Группы СИА не зарегистрированы на бирже. Группа СИА является одним из крупнейших дистрибьюторов лекарственных средств и продукции медицинского назначения. Группа располагает лицензиями, необходимыми для осуществления фармацевтической деятельности, а также контрактами с множеством крупнейших производителей лекарственных средств и продукции медицинского назначения в России и в мире. Группа приобрела Группу СИА с целью развития логистических мощностей и повышения эффективности работы форматов магазинов «Магнит Косметик» и «Магнит Аптека» за счет наличия углубленной экспертизы в аптечном бизнесе, существующей базы прямых контрактов с производителями лекарств, лицензированной и автоматизированной складской логистики.</t>
  </si>
  <si>
    <t>Розничная торговля (Фармацевтика)</t>
  </si>
  <si>
    <t>Ret-Pharm</t>
  </si>
  <si>
    <t>Ret-Food</t>
  </si>
  <si>
    <t>12 ноября 2013 года Группа приобрела 100% долю участия в бывшей связанной стороне, обществе с ограниченной ответственностью «ТД-Холдинг». Данная компания не зарегистрирована на бирже и расположена в Российской Федерации. Компания специализируется на производстве и переработке продовольственных товаров, а также их дальнейшей поставке компаниям Группы. Группа приобрела ООО «ТД-Холдинг» с целью повышения эффективности финансовой и операционной деятельности Группы.</t>
  </si>
  <si>
    <t>2 декабря 2013 года Группа приобрела 100% долю участия в ООО «МагнитЭнерго». Данная компания не зарегистрирована на бирже и расположена в Российской Федерации. ООО «МагнитЭнерго» закупает электроэнергию для Группы. Группа приобрела Компанию с целью повышения эффективности финансовой и операционной деятельности Группы. Приобретение компании не является для Группы существенным. Выплаченное вознаграждение составляет 2 000 тыс. руб. Чистые активы на дату приобретения составили 4 261 тыс. руб. Гудвил в результате приобретения компании признан не был.</t>
  </si>
  <si>
    <t>X5 Retail Group N.V.</t>
  </si>
  <si>
    <t>В 4 квартале 2022 года Группа приобрела 70% акций ООО «Смарт» (Красный Яр) и ООО «Маяк» (Слата), управляющих розничными сетями в Восточной Сибири, и предоставила опционы на продажу оставшихся 30% неконтролирующих долей участия. На момент приобретения розничные сети управляли 594 магазинами под брендами «Красный Яр», «Батон», «Слата», «ХлебСоль». Поскольку пут-опционы не дают текущей доли владения в акциях, подлежащих оферте, и в отсутствие конкретных указаний по учету пут-опционов по сравнению с неконтролируемыми процентами в действующих МСФО, Группа приняла учетную политику для учета первоначального признания. и дальнейшие изменения справедливой стоимости обязательства по опциону пут вместе с неконтролируемым процентным доходом в составе «Прочих резервов» в составе капитала. По состоянию на 31 декабря 2022 года обязательства по покупке неконтролирующих долей участия в рамках обязательства по опциону «пут» в сумме 2 204 руб. были включены в состав прочих долгосрочных обязательств в консолидированном отчете о финансовом положении. За год, закончившийся 31 декабря 2022 года, доход от приобретенного бизнеса составил 14 482 рубля с даты приобретения. Чистый убыток с даты приобретения составил 37 руб. Если бы приобретения произошли в начале года, выручка Группы составила бы 2 663 257 руб. Группа считает нецелесообразным раскрывать влияние приобретения на чистую прибыль Группы, поскольку до приобретения приобретенные предприятия не подготовили финансовую отчетность в соответствии с учетной политикой Группы. Вознаграждение за покупку за отчетный период составило 5 013 руб. и 1 073 руб. в виде денежного вознаграждения и отложенного вознаграждения соответственно.</t>
  </si>
  <si>
    <t>Несколько предприятий розничных сетей в регионах России</t>
  </si>
  <si>
    <t>В течение 2021 года Группа приобрела 100% нескольких предприятий других розничных сетей в регионах России. Приобретения по отдельности были несущественны. За год, закончившийся 31 декабря 2021 года, приобретенные предприятия принесли выручку в размере 5 996 рублей с даты приобретения. Поскольку предприятия не были приобретены как отдельные юридические лица, раскрыть чистую прибыль с даты приобретения практически невозможно. Эти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2021 года, как если бы дата приобретения была началом этого периода.
Вознаграждение за покупку за отчетный период включало вознаграждение, уплаченное денежными средствами, в размере 1 021 руб. и 265 руб. в качестве отложенного вознаграждения, оцениваемого по справедливой стоимости.</t>
  </si>
  <si>
    <t>В 2022 году Группа приобрела 100% нескольких предприятий других розничных сетей в регионах России. Приобретения по отдельности были несущественны. За год, закончившийся 31 декабря 2022 года, приобретенные предприятия принесли выручку в размере 3 391 руб. с даты приобретения. Если бы приобретения произошли в начале года, выручка Группы составила бы 2 607 521 руб. Группа считает нецелесообразным раскрывать влияние данного фактора на чистую прибыль Группы, поскольку до приобретения приобретенные предприятия не составляли финансовую отчетность в соответствии с учетной политикой Группы.
Сумма приобретения за отчетный период составила 648 руб., выплаченное денежными средствами.</t>
  </si>
  <si>
    <t>В течение 2020 года Группа приобрела 100% бизнеса нескольких предприятий других розничных сетей в регионах России. Приобретения по отдельности были несущественны. За год, закончившийся 31 декабря 2020 года, приобретенные предприятия принесли выручку в размере 8 137 рублей с даты приобретения. Поскольку предприятия не были приобретены как отдельные юридические лица, раскрыть чистую прибыль с даты приобретения практически невозможно. Эти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2020 года, как если бы дата  приобретения была началом этого периода. Вознаграждение за покупку за отчетный период включало вознаграждение, уплаченное денежными средствами, в размере 2 754 руб. и 841 руб. в качестве отложенного вознаграждения, оцениваемого по справедливой стоимости.</t>
  </si>
  <si>
    <t>В течение 2019 года Группа приобрела ряд магазинов торговой сети «Полушка» в Санкт-Петербурге и Ленинградской области. За год, закончившийся 31 декабря 2019 года, доход от приобретенного бизнеса составил 3 775 руб. с даты приобретения. Чистый убыток с даты приобретения составил 914 руб. Компания не подготовила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2019 года, как если бы дата приобретения была началом этого периода. Вознаграждение за покупку за отчетный период составило 2 200 руб. и 342 руб. в виде денежного вознаграждения и отложенного вознаграждения соответственно.</t>
  </si>
  <si>
    <t>В 2019 году Группа приобрела 100 предприятий ряда других розничных сетей в регионах России. Приобретения по отдельности были несущественны. За год, закончившийся 31 декабря 2019 года, приобретенные предприятия принесли выручку в размере 10 555 рублей с даты приобретения. Поскольку предприятия не были приобретены как отдельные юридические лица, раскрыть чистую прибыль с даты приобретения практически невозможно. Эти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2019 года, как если бы дата приобретения была началом этого периода. Вознаграждение за покупку за отчетный период включало вознаграждение, уплаченное денежными средствами, в размере 5 926 руб. и 317 руб. в качестве отложенного вознаграждения, оцениваемого по справедливой стоимости.</t>
  </si>
  <si>
    <t>В 2018 году Группа приобрела 100% нескольких предприятий других розничных сетей в регионах России. Приобретения по отдельности были несущественны. За год, закончившийся 31 декабря 2018 года, приобретенные предприятия принесли выручку в размере 8 320 руб. с даты приобретения. Поскольку предприятия не были приобретены как отдельные юридические лица, раскрыть чистую прибыль с даты приобретения практически невозможно.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2018 года, как если бы дата приобретения была началом этого периода. Вознаграждение за покупку включало передачу денежных средств и их эквивалентов в сумме 5 010 руб. и 1 173 руб. в качестве отложенного возмещения.</t>
  </si>
  <si>
    <t>В 2017 году Группа приобрела 100% нескольких предприятий других розничных сетей в регионах России. За год, закончившийся 31 декабря 2017 года, приобретенные предприятия принесли выручку в размере 8 742 руб. с даты приобретения.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2017 года, как если бы дата приобретения была началом этого периода. Вознаграждение за покупку за предыдущий период включало передачу денежных средств и их эквивалентов в сумме 6 472 руб. и 9 100 руб. в качестве отложенного вознаграждения.</t>
  </si>
  <si>
    <t>В 2016 году Группа приобрела 100% нескольких предприятий других розничных сетей в регионах России. Приобретения по отдельности были несущественны. За год, закончившийся 31 декабря 2016 года, приобретенные предприятия принесли выручку в размере 11 509 рублей с даты приобретения.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2016 года, как если бы дата приобретения была началом этого периода. Вознаграждение за покупку за отчетный период включает передачу денежных средств и их эквивалентов в сумме 6 654 руб., дебиторскую задолженность справедливой стоимостью 44 руб. и 1 руб. в качестве отложенного вознаграждения. В течение 12 месяцев, закончившихся 31 декабря 2016 года, Группа перечислила 4 руб. в качестве отсроченных платежей за приобретения предыдущего периода.</t>
  </si>
  <si>
    <t>В 2015 году Группа приобрела 100% нескольких предприятий других розничных сетей в регионах России. Вознаграждение за покупку за отчетный период включает передачу денежных средств и их эквивалентов в сумме 5 943 руб. и 5 руб. в качестве отложенного вознаграждения.</t>
  </si>
  <si>
    <t>В октябре 2014 г. Группа приобрела 100% долей в капитале ООО «Агроторг­Самара», российской розничной сети, операторе магазинов эконом­класса в Самарской области Российской Федерации. В течение года, закончившегося 31 декабря 2014 г., влияние приобретенного бизнеса ООО «Агроторг­Самара» на выручку составило 298 руб., а на чистый убыток – 312 руб. начиная с даты приобретения. Если бы розничная сеть ООО «АгроторгСамара» была приобретена 1 января 2014 г., выручка Группы за год, закончившийся 31 декабря 2014 г., составила бы 638 175 руб., а чистая прибыль Группы за год, закончившийся 31 декабря 2014 г., составила бы 12 796 руб. Оценка влияния на выручку и прибыль Группы основывается на примерной информации, полученной из консолидированной финансовой отчетности «Агроторг­Самара», подготовленной согласно МСФО.</t>
  </si>
  <si>
    <t>В 2014 г. Группа приобрела несколько компаний у других розничных сетей, работающих в российских регионах. Приобретенные компании не подготавливали соответствующую финансовую информацию непосредственно перед приобретением, в связи с чем представляется нецелесообразным раскрывать выручку и чистую прибыль Группы за год, закончившийся 31 декабря 2014 г., как если бы дата их приобретения приходилась на начало этого периода. Стоимость приобретения включает уплаченные денежные средства и их эквиваленты в сумме 1 546 руб.</t>
  </si>
  <si>
    <t>В 2013 г. Группа приобрела несколько предприятий у других розничных сетей, работающих в российских регионах. Приобретенные предприятия не подготавливали соответствующую финансовую информацию непосредственно перед приобретением, в связи с чем представляется нецелесообразным раскрывать выручку и чистую прибыль Группы за год, закончившийся 31 декабря 2013 г., как если бы дата их приобретения приходилась на начало этого периода. Стоимость приобретения включает оплату денежными средствами и их эквивалентами в размере 20 315 долл. США, а также отложенные выплаты в размере 1 435 долл. США.</t>
  </si>
  <si>
    <t>В 2012 году Группа приобрела несколько предприятий у других розничных сетей, работающих в российских регионах. Приобретенные предприятия не подготавливали финансовую отчетность непосредственно перед приобретением, в связи с чем представляется нецелесообразным раскрывать выручку и чистую прибыль Группы за год, закончившийся 31 декабря 2012 г., как если бы дата их приобретения приходилась бы на начало этого периода. Стоимость приобретения включает оплату денежными средствами и их эквивалентами в размере 77 432 долл. США, а также отложенные выплаты в размере 2 061 долл. США.</t>
  </si>
  <si>
    <t>В июне 2011 г. Группа приобрела 100% голосующих акций в ООО «Торговая компания ПиК», которому принадлежали магазины под названием «Народный» в Казани и Набережных Челнах. Если бы сеть магазинов «Народный» была приобретена 1 января 2011 г., выручка Группы за год, закончившийся 31 декабря 2011 г., составила бы 15 499 655 долл. США, а чистая прибыль Группы за год, закончившийся 31 декабря 2011 г., составила бы 302 317 долл. США. В течение года, закончившегося 31 декабря 2011 г., влияние приобретенного бизнеса «Народный» на выручку составило 5 695 долл. США, а на чистый убыток – 4 218 долл. США начиная с даты приобретения. Стоимость приобретения включает отложенное вознаграждение в сумме 13 514 долл. США, компенсируемое активом (актив для возмещения убытка), сумма которого удерживается из вознаграждения, перечисленного в рамках объединения бизнеса, при этом часть его в сумме 7 444 долл. США была уплачена в течение года, закончившегося 31 декабря 2011 г.</t>
  </si>
  <si>
    <t>В 2011 г. Группа приобрела несколько предприятий у других розничных сетей, работающих в российских регионах. Приобретенные предприятия не подготавливали финансовую отчетность непосредственно перед приобретением, в связи с чем представляется нецелесообразным раскрывать выручку и чистую прибыль Группы за год, закончившийся 31 декабря 2011 г., как если бы дата их приобретения приходилась бы на начало этого периода. Стоимость приобретения включает денежные средства и их эквиваленты в сумме 43 036 долл. США, отложенное вознаграждение в сумме 7 633 долл. США с учетом актива для возмещения убытка, удерживаемого из вознаграждения, перечисленного за сделку по объединению бизнеса.</t>
  </si>
  <si>
    <t>В декабре 2010 г. Группа приобрела100% бизнеса и активов «Копейки» (601 магазин, 277 тыс. м2 торговых площадей)</t>
  </si>
  <si>
    <t>В апреле 2010 г. Группа дополнительно приобрела 20% голосующих акций Retail Express Limited, в результате чего совокупная доля участия Группы в Retail Express Ltd достигла 60%.</t>
  </si>
  <si>
    <t>Retail Express Limited</t>
  </si>
  <si>
    <t>В сентябре 2011 г. Группа дополнительно приобрела 40% голосующих акций Retail Express Limited, в результате чего совокупная доля участия Группы в Retail Express Ltd достигла 100%. Стоимость приобретения включает уплаченные денежные средства и их эквиваленты в сумме 20 000 долл. США.</t>
  </si>
  <si>
    <t>В сентябре 2010 г. Группа приобрела 100% голосующих акций ЗАО «Остров-Инвест», которому принадлежали магазины в Москве и Московской области, работающие под брендом «Остров».</t>
  </si>
  <si>
    <t>ЗАО "Русское море"</t>
  </si>
  <si>
    <t>ОАО "Ярторгодежда"</t>
  </si>
  <si>
    <t>АО "Русская рыбная компания"</t>
  </si>
  <si>
    <t>Ret-Cloth</t>
  </si>
  <si>
    <t>Prod-Fish</t>
  </si>
  <si>
    <t>Prod-Meat</t>
  </si>
  <si>
    <t>ПАО "ДИКСИ Групп"</t>
  </si>
  <si>
    <t>В 2017 году Группа выкупила 25 967 277 акций на сумму 8 546 509</t>
  </si>
  <si>
    <t>За шесть месяцев, завершившихся 30 июня 2018 г., Группа выкупила 30 382 120 акций на сумму 10 328 151</t>
  </si>
  <si>
    <t>В 2016 году Группа выкупила 2 568 079 акций на сумму 789 978</t>
  </si>
  <si>
    <t>На 1 января 2015 года Группа владела 1,2% в уставном капитале ООО «Альбион-2002» (также известного как «Бристоль»). 23 апреля 2015 года Группа дополнительно приобрела долю участия в размере 31,8% в уставном капитале за денежное вознаграждение в размере 1 776 088, увеличив свою долю участия до 33,0%. 10 декабря 2015 года Группа продала свою долю участия за денежное вознаграждение в размере 1 831 000, при этом прибыль Группы составила 153 265. Доля Группы в убытках ассоциированной компании за отчетный период составила 135 883.</t>
  </si>
  <si>
    <t>6 ноября 2013 года Группа продала 78 140 акций за 32 271</t>
  </si>
  <si>
    <t>24 октября 2012 года Группа выкупила 78 140 акций на сумму 26 485.</t>
  </si>
  <si>
    <t>В марте 2013 года Группа выкупила 1% доли участия в ООО «Гамма Звездная» у владельцев неконтрольной доли участия за денежное вознаграждение в сумме 505 тыс. руб.</t>
  </si>
  <si>
    <t>15 июня 2011 года Группа приобрела 100% доли участия в ОАО ГК «Виктория», холдинговой компании, управляющей сетями магазинов различных форматов, таких как «магазины у дома», супермаркеты и мелкооптовые магазины. На 15 июня 2011 года ОАО ГК «Виктория» и его дочерним компаниям принадлежал 251 магазин общей площадью более 277 242 тыс. кв. м. в Москве, Санкт-Петербурге, а также в Калининградской и Тульской областях. Целью сделки является расширение бизнеса Группы в Москве и Санкт-Петербурге, а также развитие бизнеса Группы в Калининградской и Тульской областях. Сделка была осуществлена на условии выплаты денежного вознаграждения в размере 13 463 504 тыс. руб., передачи бывшим владельцам ОАО ГК «Виктория» акций Группы, справедливая стоимость которых составляет 6 389 425 тыс. руб. (передано акций в общем количестве 16 341 254), а также выплаты условного вознаграждения в размере 1 000 000 тыс. руб. (вознаграждение было выплачено в 2011 году). Акционеры-продавцы ОАО ГК «Виктория» подписали договор о возмещении возможных убытков, связанных с выплатой налогов, обязательств по операционной аренде и других условных обязательств, которые могут возникнуть в отношении компаний ОАО ГК «Виктория». По данному договору возможные налоговые выплаты и расходы, связанные с правом собственности, подлежат возмещению в полном объеме. Сумма возмещения по другим рискам ограничена. Группа перевела часть вознаграждения в размере 3 000 000 тыс. руб. в депонированный фонд в качестве обеспечения по договору о возмещении убытков. Бывшие акционеры ОАО ГК «Виктория» получат полный доступ к средствам фонда по истечении трех лет. Группа отразила актив на возмещение убытков на сумму 155 431 тыс. руб., эквивалентную справедливой стоимости обязательства по возмещению убытков, в составе торговой и прочей дебиторской задолженности. Затраты, связанные с приобретением, составили 36 683 тыс. руб. и были отражены в составе коммерческих, общехозяйственных и административных расходов консолидированного отчета о совокупном доходе. Гудвил на сумму 17 307 048 тыс. руб. относится к расширению бизнеса в Москве, Калининграде и СанктПетербурге, а также к ожидаемой синергии затрат в связи с объединением бизнеса. Предполагается, что отраженный гудвил не уменьшит налогооблагаемую базу. Со дня приобретения и по 31 декабря 2011 года приобретенный бизнес принес прирост выручки и прибыли в сумме 21 927 668 тыс. руб. и 318 602 тыс. руб., соответственно. Если бы приобретение ОАО ГК «Виктория» произошло 1 января 2011 года, выручка и прибыль Группы за год по 31 декабря 2011 года составила бы 121 800 351 тыс. руб. и 1 402 813 тыс. руб., соответственно.</t>
  </si>
  <si>
    <t>21 января 2011 года Группа продала 1 963 646 собственных акций, выкупленных у акционеров за 785 458 тыс.руб., компании под общим контролем Dixy Holding Limited.</t>
  </si>
  <si>
    <t>7 июня 2011 года Группа выкупила за 411 010 тыс. руб. 1 113 849 акций, которые затем были проданы по открытой подписке 14 июня 2011 года за 435 515 тыс. руб.</t>
  </si>
  <si>
    <t>28 июля 2011 года Группа выкупила 1 500 акций на сумму 554 тыс. руб.</t>
  </si>
  <si>
    <t>В октябре 2009 года Группа продала 11% доли участия в ОАО "Ярторгодежда" за денежное вознаграждение в сумме 2 328 тыс. руб. Группа признала увеличение неконтрольной доли участия на 8 896 тыс. руб. Возникший в результате данной сделки убыток в размере 6 568 тыс. руб. был отражен непосредственно в составе капитала. С целью доведения доли участия в ОАО "Ярторгодежда" до 100% в июле и декабре 2010 года Группа выкупила 11,57% и 3,65% ОАО "Ярторгодежда" у его контрольных акционеров за денежное вознаграждение в размере 3 365 тыс. руб. и 2 470 тыс. руб., соответственно. Возникшая в результате данной сделки чистая прибыль в размере 6 139 тыс. руб. была отражена непосредственно в составе капитала. На 31 декабря 2010 года доля Группы в ОАО "Ярторгодежда" составила 100%.</t>
  </si>
  <si>
    <t>ПАО "Астраханская энергосбытовая компания"</t>
  </si>
  <si>
    <t>В распоряжении Общества находятся 8 392 688 обыкновенных акций, выкупленных в 2017 г. за 4 582 тыс. руб., что подтверждено выпиской регистратора. У Общества есть намерения реализовать акции в январе 2022 г.</t>
  </si>
  <si>
    <t>MF</t>
  </si>
  <si>
    <t>Elec</t>
  </si>
  <si>
    <t>Cons</t>
  </si>
  <si>
    <t>Финансовые услуги</t>
  </si>
  <si>
    <t>ENPG</t>
  </si>
  <si>
    <t>Hold</t>
  </si>
  <si>
    <t>Publ</t>
  </si>
  <si>
    <t>Wood</t>
  </si>
  <si>
    <t>ПАО Банк ВТБ</t>
  </si>
  <si>
    <t>ПАО Банк ВТБ (Банк Москвы)</t>
  </si>
  <si>
    <t>ПАО Банк ВТБ (Т2 (Нидерланды) Б.В.)</t>
  </si>
  <si>
    <t>В феврале 2017 года Группа продала 100,0% акций ОАО «Велозаводский рынок», классифицированного в качестве активов, предназначенных для продажи, несвязанной стороне за денежное вознаграждение 0,7 миллиарда рублей. Чистые активы ОАО «Велозаводский рынок» на дату продажи составили 0,4 миллиарда рублей.</t>
  </si>
  <si>
    <t>Aero</t>
  </si>
  <si>
    <t>MGNT</t>
  </si>
  <si>
    <t>Enter</t>
  </si>
  <si>
    <t>VZRZ</t>
  </si>
  <si>
    <t>Rail</t>
  </si>
  <si>
    <t>NKHP</t>
  </si>
  <si>
    <t>DMOB</t>
  </si>
  <si>
    <t>ООО "Вегамашпроект"</t>
  </si>
  <si>
    <t>АО "Электрощит"</t>
  </si>
  <si>
    <t>ИТ (автоматизация производства)</t>
  </si>
  <si>
    <t>Производство силовых трансформаторов, трансформаторных подстанций, распределительных устройств и ИБП</t>
  </si>
  <si>
    <t>ИТ (Разработке ПО для эксплуатации технологического оборудования в отраслях ТЭК)</t>
  </si>
  <si>
    <t>В ноябре 2022 г. Группа приобрела 100% ООО "Вегамашпроект" (ИТ компания по разработке и модернизации систем программно-оптимизационных комплексов, применяемых при эксплуатации технологического оборудования в отраслях топливно-энергетического комплекса, а также созданию систем диагностики технологического оборудования и систем экологического контроля и мониторинга).</t>
  </si>
  <si>
    <t>В декабре 2022 года Группа приобрела 100% АО "Электрощит" (российский завод-производитель силовых трансформаторов марок ТМ, ТМГ, ТСЛ, комплектных трансформаторных подстанций, распределительных устройств и источников бесперебойного питания).</t>
  </si>
  <si>
    <t>В феврале 2023 года Группа получила 100% долю в ООО «Bera-ГАЗ» в качестве оплаты дополнительной эмиссии. ООО «Bera-ГАЗ» занимается промышленной автоматизацией объектов газовой и нефтяной отрасли, горнодобывающей, металлургической, пищевой и других отраслей промышленности.</t>
  </si>
  <si>
    <t>24 мая 2021 года было принято решение о приобретении 100% доли юридического лица ООО «Автоматизация и Телекоммуникации». ООО «Автелком» – компания, являющаяся строителем волоконно-оптических линий связи и инженерных коммуникаций, интегратором ИТ-систем.</t>
  </si>
  <si>
    <t>ИТ (системный интегратор)</t>
  </si>
  <si>
    <t>31 октября 2019 года было принято решение Совета директоров продать компанию ООО «РИНО.КОМ», представляющую собой дочернюю организацию находящуюся в собственности ООО «Наука-Связь» на 99%. 6 ноября 2019 года ООО «Наука-Связь» подписало договор купли-продажи ООО «РИНО.КОМ».</t>
  </si>
  <si>
    <t>Телекоммуникации (фиксированная связь)</t>
  </si>
  <si>
    <t>1 июля 2012 Группа приобрела 100% акций ООО «Полет-Связь», работающей в том же сегменте рынка, для расширения собственного бизнеса. В марте 2013 года ООО «Полет-Связь» была присоединена к ООО «Наука-Связь» и прекратила свое существование, как отдельное юридическое лицо.</t>
  </si>
  <si>
    <t>В октябре 2019 года Группа реализовала 100% в дочерней компании, расположенной в Республике Кипр, и ее 50% долю в дочерней компании в Республике Беларусь за 345 000 тыс. руб. акционеру непосредственной материнской компании Группы. На дату реализации чистые активы проданных дочерних компаний составляли 567 159 тыс. руб. Самая крупная проданная дочерняя компания специализируется на предоставлении услуг цифрового и аналогового телевидения, высокоскоростного доступа в Интернет, телефонии и видеонаблюдения частным клиентам на территории Минска, республика Беларусь.</t>
  </si>
  <si>
    <t>Дочерние компании</t>
  </si>
  <si>
    <t>Акционер</t>
  </si>
  <si>
    <t>Телекоммуникации (разное)</t>
  </si>
  <si>
    <t>В октябре 2020 года Группа приобрела 100% в дочерней компании, расположенной в Республике Кипр, и ее 50% долю в дочерней компании в Республике Беларусь за 345 000 тыс. руб. у связанной стороны с целью дальнейшего развития бизнеса на территории Республики Беларусь и извлечения прибыли для Группы. Приобретенная компания специализируется на предоставлении услуг цифрового и аналогового телевидения, высокоскоростного доступа в Интернет, телефонии и видеонаблюдения частным клиентам на территории Минска, республика Беларусь.</t>
  </si>
  <si>
    <t>Связанная сторона</t>
  </si>
  <si>
    <t>Виноделие</t>
  </si>
  <si>
    <t>Хранение зерна</t>
  </si>
  <si>
    <t>Деятельность зрелищно-развлекательная прочая (автодром)</t>
  </si>
  <si>
    <t>Тамань Грейн Терминал Холдинг Лимитед</t>
  </si>
  <si>
    <t>В январе 2019 года Группа приобрела 71,8% обыкновенных акций ПАО «Запсибкомбанк», а также 20,0% привилегированных акций с дивидендом в размере 30% годовых и 18,8% привилегированных акций с дивидендом в размере 100% годовых. В результате объединения бизнеса Группа ожидает расширить филиальную сеть и свое представительство в Тюменской области. В соответствии с российским законодательством в марте 2019 года Группа сделала обязательное предложение о выкупе неконтрольных долей участия ПАО «Запсибкомбанк» на сумму 2,5 миллиарда рублей. В мае 2019 года в результате исполнения обязательного предложения Группа увеличила свою эффективную долю участия в ПАО «Запсибкомбанк» до 99,4% путем приобретения 19 875 829 акций на сумму 2,4 миллиарда рублей. В декабре 2019 года в результате исполнения обязательного предложения Группа увеличила свою эффективную долю участия в ПАО «Запсибкомбанк» до 100,0% путем приобретения 738 507 акций на сумму 87,7 миллиона рублей.</t>
  </si>
  <si>
    <t>Портовый терминал и элеватор</t>
  </si>
  <si>
    <t>ООО "Техут Инвестментс "</t>
  </si>
  <si>
    <t>АО "ГЛАВКИНО"</t>
  </si>
  <si>
    <t>BISV</t>
  </si>
  <si>
    <t>5 декабря 2013 года VimpelCom Holdings B.V. заключила юридически обязывающее соглашение о покупке акций с целью приобретения 100% розничного бизнеса ION Group в России в 2017 году. о финансовых результатах ION Group за год, закончившийся 31 декабря 2016 г., и требует выполнения обширного списка предварительных условий. Цена сделки от 80 до 140 млн долл.</t>
  </si>
  <si>
    <t>РФ/Кипр</t>
  </si>
  <si>
    <t>В октябре 2017 года Группа реализовала 100% в дочерней компании ЗАО АкадоЕкатеринбург за 969 593 тыс. руб. На дату реализации чистые активы ЗАО АкадоЕкатеринбург составляли 478 894 тыс. руб.</t>
  </si>
  <si>
    <t>ЗАО "АкадоЕкатеринбург"</t>
  </si>
  <si>
    <t>В октябре 2017 года Группа реализовала 100% в дочерней компании ЗАО ТКС Нева за 350 407 тыс. руб. На дату реализации чистые активы ЗАО ТКС Нева составляли 170 450 тыс. руб.</t>
  </si>
  <si>
    <t>ЗАО "ТКС Нева"</t>
  </si>
  <si>
    <t>"Лагартино Партнерз" Инк.</t>
  </si>
  <si>
    <t>РФ/Британские Виргинсие острова</t>
  </si>
  <si>
    <t>ОАО МГКЛ "Мосгорломбард"</t>
  </si>
  <si>
    <t>Бермудские острова</t>
  </si>
  <si>
    <t>ЗАО "Стройпромобъект"</t>
  </si>
  <si>
    <t>20 октября 2008 года ЗАО «Русские навигационные технологии» приобрело ООО «Новые Технологии».</t>
  </si>
  <si>
    <t>ПАО "НК "РОСНЕФТЬ"</t>
  </si>
  <si>
    <t>АО "РН Холдинг"</t>
  </si>
  <si>
    <t>В январе 2011 года Группа приобрела у компании, контролируемой TNK-BP, доли неконтролирующих акционеров в нескольких сбытовых компаниях за 2 млрд рублей с оплатой денежными средствами. В результате этой сделки Группа признала снижение доли неконтролирующих акционеров на 2 млрд рублей.</t>
  </si>
  <si>
    <t>Компания, контролируемая TNK-BP</t>
  </si>
  <si>
    <t>неконтроль</t>
  </si>
  <si>
    <t>Сбыт</t>
  </si>
  <si>
    <t>Несколько сбытовых компаний</t>
  </si>
  <si>
    <t>В феврале 2011 года Группа приобрела у компании, контролируемой TNK-BP, 100%-ную долю участия в ЗАО «Радонеж Петролеум», которое владеет лицензиями на разведку и добычу нефти и газа в Тюменской области, за 4 млрд рублей с оплатой денежными средствами. В результате этой сделки Группа признала снижение добавочного капитала в сумме 4 млрд рублей.</t>
  </si>
  <si>
    <t>В феврале и марте 2012 года Группа приобрела 100%-ную долю в розничных активах в Тверской и Орловской областях России, вознаграждение составило 1 млрд рублей. Приобретение было отражено в учете как объединение бизнеса, а стоимость покупки была предварительно распределена на основные средства и соответствующие отложенные налоговые обязательства.</t>
  </si>
  <si>
    <t>Розничные активы в Тверской и Орловской областях России</t>
  </si>
  <si>
    <t>В марте 2012 года Группа завершила приобретение 100%-ной доли в ЗАО ТЗК «Кольцово», оператора хранилища авиационного топлива и заправочного комплекса в Международном аэропорту Екатеринбурга, и в ООО «ТЗК Актив», владельце активов топливозаправочного комплекса. Общая сумма вознаграждения составила 112 млн долларов США (3 млрд рублей). Приобретение было отражено в учете как объединение бизнеса, а стоимость покупки была предварительно распределена на нематериальные активы и соответствующие отложенные налоговые обязательства.</t>
  </si>
  <si>
    <t>В марте 2012 года Группа приобрела за вознаграждение в 1 млрд рублей 100%-ную долю участия в ООО «Абекс», компании, которая владеет участком земли и лицензией на строительство нефтепродуктового терминала в Ленинградской области. Цена покупки была распределена на основные средства и нематериальные активы</t>
  </si>
  <si>
    <t>Нефтепродуктовый терминал</t>
  </si>
  <si>
    <t>В августе 2012 года Группа приобрела доли неконтролирующих акционеров в ряде сбытовых дочерних обществ. Общая сумма вознаграждения составила 188 млн долларов США (6 млрд рублей) с оплатой денежными средствами. В результате этой сделки Группа признала снижение добавочного капитала в сумме 127 млн долларов США (4 млрд рублей) и снижение доли неконтролирующих акционеров на 61,5 млн долларов США (2 млрд рублей)</t>
  </si>
  <si>
    <t>В ноябре 2012 года Группа приобрела 100%-ную долю в ООО «Юпитер-А», которое владеет лицензиями на разведку и добычу нефти и газа в Оренбурге. Общая сумма вознаграждения составила 1 млрд рублей. Приобретение было отражено в учете как объединение бизнеса, а стоимость покупки была предварительно распределена на соответствующие нефтегазовые активы.</t>
  </si>
  <si>
    <t>В августе 2012 года Группа завершила продажу своих дочерних обществ ОАО «Новосибирскнефтегаз» и ОАО «Северноенефтегаз», добывающих компаний, расположенных в Западной Сибири (входящих в состав сегмента «Разведка и добыча»). Общая сумма вознаграждения составила 290 млн долларов США (9 млрд рублей). В результате этой сделки Группа признала прибыль от выбытия в сумме 102 млн долларов США (3 млрд рублей).</t>
  </si>
  <si>
    <t>В июле 2011 года Группа завершила продажу дочернего общества, которое владело офисным зданием в Москве (Российская Федерация) за общую сумму 238 млн долл. США. По итогам этой сделки была признана прибыль от продажи в размере 143 млн долл. США.</t>
  </si>
  <si>
    <t>Общество, которое владело офисным зданием в Москве</t>
  </si>
  <si>
    <t>В сентябре 2010 года Группа приобрела у компании, контролируемой ТНК-ВР, 100-процентную долю в ряде активов под брендом ВР за 1 156 млн долл. США. Эти розничные активы под брендом ВР были приобретены ТНК-ВР на дату создания компании. Группа отражает приобретение розничных активов под брендом ВР у контролируемой ТНК-ВР компании как сделку под общим контролем. По состоянию на 1 января 2009 года Группа отразила соответствующие чистые активы в размере 367 млн долл. США, уменьшение собственного капитала в размере 789 млн долл. США и задолженность за приобретение дочерних обществ в размере 1 156 млн долл. США.</t>
  </si>
  <si>
    <t>В ноябре 2010 года Группа завершила сделку по продаже ООО «Тарховское», актива на поздней стадии разработки, в Тюменской области за общую сумму 33 млн долл. США. В результате этой сделки в консолидированном отчете о прибылях и убытках
в статье «Прибыль от выбытия дочерних обществ» была отражена прибыль в размере 23 млн долл. США за год, закончившиеся 31 декабря 2010.</t>
  </si>
  <si>
    <t>В марте 2010 года дочернее общество Группы приобрело 100-процентную долю в ООО «Университет-Недра» и ООО «Ключи», владеющих лицензиями на разработку месторождений и добычу нефти и газа в Оренбургской области, за 50 млн долл. США, которые были выплачены в апреле 2010 года. Это приобретение учитывалось по методу приобретения, и стоимость приобретения была отнесена на основные средства, связанные с недоказанными запасами.</t>
  </si>
  <si>
    <t>Розничные активы под брендом ВР</t>
  </si>
  <si>
    <t>В октябре — ноябре 2010 года Группа приобрела ряд розничных активов в Псковской и Белгородской областях за 46 млн долл. США. Приобретение учитывалось по методу приобретения, а стоимость приобретения была отнесена на основные средства и нематериальные активы.</t>
  </si>
  <si>
    <t>Розничные активы в Псковской и Белгородской областях России</t>
  </si>
  <si>
    <t>В ноябре 2010 года Группа приобрела у контролируемой ТНК-ВР компании 5-процентный пакет акций дочернего общества ОАО «ВЧНГ» за 49 млн долл. США с оплатой в денежной форме. В результате Группа признала уменьшение добавочного капитала в размере 32 млн долл. США и уменьшение неконтролируемой доли на 17 млн долл. США.</t>
  </si>
  <si>
    <t>В декабре 2010 года Группа приобрела у контролируемой ТНК-ВР компании 26-процентную долю в дочернем обществе ТД «ОНАКО» за 22 млн долл. США с оплатой в денежной форме. В результате Группа признала уменьшение добавочного капитала в размере 1 млн долл. США и уменьшение неконтролируемой доли на 20 млн долл. США.</t>
  </si>
  <si>
    <t>В декабре 2009 года Группа приобрела 100-процентную долю в Розничных активах у компании, контролируемой ТНК-ВР, за 719 млн долларов США. Розничные активы были приобретены ТНК-ВР в период с декабря 2007 года по март 2008 года за 710 млн долларов США. Группа отразила приобретение Розничных активов у компании, контролируемой ТНК-ВР, в качестве сделки под общим контролем. Превышение цены приобретения над балансовой стоимостью Розничных активов в консолидированной финансовой отчетности ТНК-ВР было отражено как уменьшение добавочного капитала Группы на 9 млн долларов США за год, закончившийся 31 декабря 2008 года. По состоянию на 31 декабря 2009 года Группа уплатила компании, контролируемой ТНК-ВР, 216 млн долларов США. В феврале 2010 Группа выплатила еще 495 млн долларов. Оставшаяся сумма в размере 8 млн долларов США и 503 млн долларов США по состоянию на 31 декабря 2010 года и 31 декабря 2009 года, соответственно, была отражена в консолидированном балансе по статье «Задолженность за приобретение дочерних обществ». В феврале 2011 года Группа уплатила оставшуюся сумму в размере 9 млн долларов США.</t>
  </si>
  <si>
    <t>Розничные активы</t>
  </si>
  <si>
    <t>Компания, контролируемая TNK-BP и не входящая в Группу АО "РН Холдинг"</t>
  </si>
  <si>
    <t>Weatherford International Ltd.</t>
  </si>
  <si>
    <t>Нефтесервисные компании ТНК-ВР</t>
  </si>
  <si>
    <t>В июле 2009 года Группа приобрела мажоритарный пакет акций компании ОАО «ТНК-Ярославль» у «Славнефть» за 20 млн долларов США. Посредством этого приобретения Группа получила контроль над рядом автозаправочных станций и нефтебаз в Ярославской, Костромской и Ивановской областях России. В декабре 2009 года Группа приобрела дополнительный пакет акций ОАО «ТНК-Ярославль» у неконтролирующих акционеров за 9 млн долларов США.</t>
  </si>
  <si>
    <t>Доля в дочерней компании ООО «Росомаха» (100%) была продана в начале января 2022 г. Убы-ток от выбытия дочерней компании в сумме (3 930 тыс.руб.) отражен в промежуточной сокра-щенной финансовой отчетности за шесть месяцев, закончившихся 30.06.2022 г.</t>
  </si>
  <si>
    <t>ПАО "КЗМС"</t>
  </si>
  <si>
    <t>Производственные услуги</t>
  </si>
  <si>
    <t>CHEP</t>
  </si>
  <si>
    <t>РФ/Германия</t>
  </si>
  <si>
    <t>В августе 2021 года ООО «Лента», непрямая дочерняя компания МКПАО «Лента», завершила сделку по приобретению бизнеса супермаркетов Billa Russia GmbH путем приобретения 100% акций ООО «Билла Риэлти» и ООО «Билла» за вознаграждение, включая уплаченные денежные средства в размере 19 596 144 руб. за вычетом поправки на оборотный капитал. Это приобретение значительно ускорит расширение «Ленты» в Москве. Краткая инфо о Билле: 159 супермаркетов, 136 тыс. м2 торговых площадей, 40 тыс. м2 плоащадей DC (Distribution Center), 4000 сотрудников.</t>
  </si>
  <si>
    <t>В сентябре 2021 года Группа приобрела 100% акций Группы компаний «Семья», одного из крупнейших ритейлеров в Пермском крае, за денежное вознаграждение в размере 2 454 904 руб. Это приобретение дополнительно поддерживает стратегическую  экспансию «Ленты» в сегментах супермаркетов и магазинов «у дома», поскольку в результате сделки «Лента» значительно увеличит свою общую долю на рынке розничной торговли продуктами питания в Пермском крае. Краткая инфо о Семье: 75 супермаркетов, 47 тыс. м2 торговых площадей, 14,1 тыс. м2 плоащадей DC (Distribution Center), 2600 сотрудников.</t>
  </si>
  <si>
    <t>30 ноября 2016 года Группа приобрела бизнес розничной торговли продуктами питания Kesko в России («KFR»), работающий под брендом «K-Ruoka». Группа стала владельцем 100% долей участия в шести компаниях KFR, зарегистрированных в России и занимающихся розничной торговлей продовольственными и непродовольственными товарами через сеть из 11 гипермаркетов. В результате стоимость приобретения всех долей участия в шести компаниях для Группы составила 11 296 152 руб., включая уплаченное денежное вознаграждение в размере 11 414 113 руб. за вычетом поправки на оборотный капитал в размере 117 961 руб. на дату приобретения.</t>
  </si>
  <si>
    <t>РФ/Финляндия</t>
  </si>
  <si>
    <t>XE:SDF</t>
  </si>
  <si>
    <t>O'KEY Group S.A.</t>
  </si>
  <si>
    <t>32 супермаркета</t>
  </si>
  <si>
    <t>В декабре 2017 года Группа подписала рамочное соглашение с X5 Retail Group о продаже большей части бизнеса супермаркетов, состоящего из 32 магазинов. Соглашение включало в себя перечень сделок. Общая сумма вознаграждения по договору составила 7 222 176 тыс. руб. Рассмотрев условия договора, Группа пришла к выводу, что контроль над 28 из 32 магазинов по существу был передан покупателю в декабре 2017 года и признала в 2017 году соответствующий доход в сумме 6 677 176 тыс. руб. Активы, относящиеся к выбывшей части бизнеса, в основном включают землю и здания, оборудование, права аренды и краткосрочную дебиторскую задолженность. Балансовая стоимость активов, относящихся к выбывшей части бизнеса, составила 2 031 973 тыс. руб. Остальные 4 магазина были переданы покупателю в апреле 2018 года, и соответствующий доход в сумме 545 000 тыс. руб. был признан в 2018 году. Активы, относящиеся к выбывшей части бизнеса, в основном включают землю и здания, оборудование, права аренды и краткосрочную дебиторскую задолженность. Балансовая стоимость активов, относящихся к выбывшей части бизнеса, составила 208,985 тыс. руб. Из общей суммы возмещения без НДС 7 069,951 тыс. руб. были зафиксированы покупателем денежными средствами в 2018 году. Оставшаяся сумма в сумме 120 686 тыс. руб., непогашенная по состоянию на 31 декабря 2018 года, подлежит оплате в 2019 году в соответствии с условиями договора и включена в состав торговых и прочая дебиторская задолженность.</t>
  </si>
  <si>
    <t>В течение шести месяцев, закончившихся 30 июня 2023 и 2022 годов, Группа приобрела 19,121,920 и 17,435,310 обыкновенных акций Компании на общую сумму 1,348 млн руб. и 1,717 млн руб., соответственно, в рамках программы обратного выкупа акций</t>
  </si>
  <si>
    <t>ПАО "Детский мир"</t>
  </si>
  <si>
    <t>DSKY</t>
  </si>
  <si>
    <t>Ret-Toy</t>
  </si>
  <si>
    <t>Розничная торговля (детские товары)</t>
  </si>
  <si>
    <t>В течение 2020 года Группа в ряде сделок выкупила 1,212,210 собственных обыкновенных акций общей стоимостью 90 млн руб.</t>
  </si>
  <si>
    <t>В течение 2019 года Группа в ряде сделок выкупила 1,556,610 собственных обыкновенных акций общей стоимостью 139 млн руб.</t>
  </si>
  <si>
    <t>В течение 2018 года Группа в ряде сделок выкупила 2,127,840 собственных обыкновенных акций общей стоимостью 195 млн рублей.</t>
  </si>
  <si>
    <t>В течение 2019 года Группа продала 381,578 обыкновенных акций Компании руководству Группы на общую сумму 36 млн рублей, соответственно.</t>
  </si>
  <si>
    <t>В течение 2018 года Группа продала 443,310 обыкновенных акций Компании руководству Группы на общую сумму 38 млн рублей, соответственно.</t>
  </si>
  <si>
    <t>В течение года, закончившегося 31 декабря 2017 года, Группа выкупила 3,680,480 собственных акций на общую сумму 375 млн рублей. Также в 2017 году в рамках исполнения долгосрочной программе мотивации было использовано 2,629,472 собственных выкупленных акций, дополнительно 429,535 выкупленных акций были проданы руководству Группы.</t>
  </si>
  <si>
    <t>ПАО "Сбербанк России"</t>
  </si>
  <si>
    <t>В сентябре 2013 года Советом директоров была утверждена покупка Группой 185,000.000 выпущенных обыкновенных акций Компании у ОАО «Сбербанк России» за денежное вознаграждение в размере 4 542 514 тысяч рублей.</t>
  </si>
  <si>
    <t>24 июля 2012 года Группа завершила сделку по приобретению у третьих лиц 100% доли в уставном капитале ООО «Куб-Маркет» за денежное вознаграждение в размере 15 250 тыс. долл. США. ООО «Куб-Маркет» является франчайзи Early Learning Centre (далее - «ELC») в России и на момент приобретения представляла розничную сеть из 19 арендованных магазинов. Группа приобрела ООО «Куб-Маркет» с целью расширения ассортимента товаров и выхода на рынок детских товаров для раннего развития.</t>
  </si>
  <si>
    <t>В мае 2010 года АФК «Система» выкупила обыкновенные акции в количестве 615 штук на сумму 1,561 тыс. руб. ($51,412 по обменному курсу 30 36 руб за 1 долл. США, действовавшему на дату платежа). ОАО «Детский мир - розничные активы», включенное в комбинированную отчетность за 2010 год, произвело выкуп 22 обыкновенных акций путем передачи права на использование торгового знака «Детский мир» и 50% доли участия в «Детский мир - Орел».</t>
  </si>
  <si>
    <t>В декабре 2010 года «Сбербанк России» («Сбербанк») приобрел 25%+1 акцию ОАО «Детский мир - Центр» за вознаграждение в размере около 3.4 млрд руб. (по состоянию на 31 декабря 2010 года - около $108.672). «Сбербанк», как держатель 25%+1 акции ОАО «Детский мир -Центр», может назначать двух из восьми членов Совета Директоров.</t>
  </si>
  <si>
    <t>25%+1</t>
  </si>
  <si>
    <t>Финансы (Финтех)</t>
  </si>
  <si>
    <t>13 октября 2021 года Группа приобрела дочернюю организацию у связанной стороны. Дочерняя компания ООО «Директ Кредит Центр», которая является материнской компанией группы Директ Кредит («группа Директ Кредит»), была приобретена в рамках дальнейшего расширения деятельности Группы в сфере финтех направления и улучшения собственного сервиса. На дату приобретения группа Директ Кредит являлась связанной стороной Группы.</t>
  </si>
  <si>
    <t>ПАО "М.видео"</t>
  </si>
  <si>
    <t>В апреле 2021 года Группой была реализована 40% доля в ООО «МАРКЕТПЛЕЙС». Вознаграждение составило 4 134, а балансовая стоимость выбывшей доли 563. В результате сделки был отражен доход 3 571 в составе прочих операционных доходов. Кроме того, в апреле 2021 года новым участником был внесен дополнительный взнос в капитал ООО «МАРКЕТПЛЕЙС», в результате чего доля Группы снизилась до 10%, и она утратила существенное влияние на деятельность ООО «МАРКЕТПЛЕЙС».</t>
  </si>
  <si>
    <t>В 2022 Группа осуществила продажу третьей стороне 10% доли в ООО «МАРКЕТПЛЕЙС» за денежное вознаграждение в размере 4 514. Разница между ценой продажи и балансовой стоимостью инвестиций на момент выбытия отражена по строке Убытки от выбытия финансовых активов.</t>
  </si>
  <si>
    <t>Ret-Elec</t>
  </si>
  <si>
    <t>Розничная торговля (бытовая электроника)</t>
  </si>
  <si>
    <t>Бовесто Лимитед (материнская компания группы Эльдорадо)</t>
  </si>
  <si>
    <t>31 августа 2018 года ООО «МВМ» приобрело 99% доли в ООО «Медиа-Сатурн-Руссланд» и 100% доли в МЕДИА-САТУРН РУССЛАНД БЕТАЙЛИГУНГЕН ГМБХ. После приобретения ООО «Медиа-Сатурн-Руссланд» был переименован в ООО «БТ Холдинг», а МЕДИА-САТУРН РУССЛАНД БЕТАЙЛИГУНГЕН ГМБХ в ЭМВЭЛ Инвестишн ГМБХ. Дочерние компании ООО «Медиа-Сатурн-Руссланд» и МЕДИА-САТУРН РУССЛАНД БЕТАЙЛИГУНГЕН ГМБХ, которые являлись контролирующими компаниями группы Медиа Маркт в России («Медиа Маркт»), были приобретены в рамках дальнейшего расширения деятельности Группы в сфере розничной торговли. На дату приобретения компании находились под общим контролем. (42 MediaMarkt stores; 90 “shop-in-shops” in Metro Cash&amp;Carry; www.mediamarkt.ru’, ‘www.003.ru’)</t>
  </si>
  <si>
    <t>30 апреля 2018 года ООО «МВМ» приобрело 100% акций компании Бовесто Лимитед. Бовесто Лимитед являлась холдинговой компанией для ООО «Эльдорадо», ООО «Инвест-Недвижимость», ООО «Рентол», ООО «ТК «Пермский», ООО «Эльдомаркет». Дочерняя компания Бовесто Лимитед, которая является материнской компанией группы Эльдорадо («группа Эльдорадо»), была приобретена в рамках дальнейшего расширения деятельности Группы в сфере розничной торговли. На дату приобретения группа Эльдорадо находилась под общим контролем с Группой. (415 stores; 1400 m2 average sellimg space; 5200 RUR average ticket; market share 8.8% (online 8.2%); total area 762 000 m2)</t>
  </si>
  <si>
    <t>ПАО "ОРГ"</t>
  </si>
  <si>
    <t>23 октября 2015 г. Группой была приобретена 100% долей в обувной компании ООО «Мастершуз» за 94 532 тыс. руб. Группа приобрела компанию ООО «Мастершуз», поскольку ООО «Мастершуз» обладает уникальными компетенциями в области производства обуви, современных технологий, а также владеет высокопроизводительным оборудованием для изготовления обуви. Приобретение данного актива позволяет Группе выйти на новые рынки сбыта и расширить спектр предлагаемой клиентам продукции в сегменте обувь стиля casual, полуспорт, трекинговая обувь, обувь для повседневной носки, прогулок и активного отдыха, а также обувь для эксплуатации в экстремальных погодных условиях и обувь специального назначения. При производстве такой обуви используются специальные технологии и полимерные материалы, которые позволяют добиваться улучшения таких свойств, как износостойкость, морозостойкость, теплоизоляция, устойчивость к скольжению.</t>
  </si>
  <si>
    <t>Prod-Shoe</t>
  </si>
  <si>
    <t>Производство обуви</t>
  </si>
  <si>
    <t>13 августа 2014 г. ОАО «ОР» (через ее собственника г-на Титова А.М) было приобретено 100% обувной компании «Россита» за 430 010 тыс. руб., которой принадлежат розничные бренды «Россита» и «Lisette». ГК «Россита» была приобретена Титовым А.М. по договору купли-продажи долей в уставном капитале обществ с ограниченной ответственностью: ООО «Интегра», ООО «МираСтиль», ООО «МодернШуз», ООО «Торговый дом «Россита», ООО «СтильМаркет», ООО «Дион», ООО «Дизайн-Студия». Группа приобрела ГК «Россита», поскольку это позволяет ей расширить спектр предлагаемой клиентам продукции в сегменте «розничная торговля обувью, аксессуарами и сопутствующими товарами». Между Группой и Титовым А.М. был заключен договор существенного опциона на приобретение Группой 100% долей в уставном капитале ГК «Россита», при исполнении которого прибыль, распределенная в пользу собственника с момента приобретения ГК «Россита», должна быть передана в Группу. На основании данного существенного опциона, а также прочих фактов и обстоятельств, Группа с июля 2014 года осуществляет контроль над ГК «Россита». Группа воспользовалась своим правом по договору и реализовала опцион в июле 2017 года.</t>
  </si>
  <si>
    <t>Ret-Shoe</t>
  </si>
  <si>
    <t>Издательство (учебная литература)</t>
  </si>
  <si>
    <t>Интернет и Медиа</t>
  </si>
  <si>
    <t>12 октября 2015 в результате проведения открытого конкурса Группа заключила соглашение о продаже доли в компании НАО «Красная Поляна», составляющую 96,914% уставного капитала компании. Цена сделки составила 35 миллиардов рублей. Согласно условиям соглашения цена сделки и начисляемые на размер непогашенной задолженности проценты выплачиваются несколькими траншами до 31 декабря 2022 года в соответствии с графиком. Переход права собственности на акции оформляется в результате выполнения условий, согласованных сторонами соглашения. Данные условия включают, в том числе, получение всех необходимых корпоративных и правовых согласований, завершение передачи в пользу Группы обеспечения, а также оплату в пользу Группы первых двух траншей в соответствии с графиком соглашения. На дату выпуска отчетности Группа получила платежи в соответствии с графиком соглашения и ожидает, что остальные условия соглашения для закрытия сделки будут завершены до середины 2016 года. В мае 2016 года в результате выполнения условий, согласованных участниками сделки, был осуществлен переход права собственности на акции НАО «Красная Поляна», составляющие 96,914% уставного капитала компании. Таким образом, Группа передала контроль над НАО «Красная Поляна» покупателю. По результатам продажи акций НАО «Красная Поляна» Группа признала прибыль от продажи в сумме 12,2 миллиарда рублей, которая включена в статью прочие чистые операционные доходы в консолидированном отчете о прибылях и убытках.</t>
  </si>
  <si>
    <t>В течение года, закончившегося 31 декабря 2012 года, Группа приобрела контрольные пакеты акций в ОАО «Красная Поляна». По состоянию на 31 декабря 2012 года Группой было выдано обеспечение в виде залогов и поручительства по полученным кредитам и займам расчетной справедливой стоимостью 17,7 млрд. руб., а также был передан в залог принадлежащий группе 50,029%‐пакет акций ОАО «Красная Поляна» в качестве обеспечения по кредитам, полученным Группой от ГК «Внешэкономбанк».</t>
  </si>
  <si>
    <t>Интернет (Платежная система)</t>
  </si>
  <si>
    <t>Вестер Ритэйл Н.В. (Vester Retail N.V.)</t>
  </si>
  <si>
    <t>В августе 2012 года Банк и BNP Paribas Personal Finance, подразделение потребительского кредитования группы BNP Paribas, занимающее лидирующие позиции на рынке потребительского кредитования во Франции и Европе, закрыли сделку по созданию банка на рынке кредитования в точках продаж в России. Созданный банк «БНП Париба Восток» ООО будет работать под брендом Cetelem. Доля Банка составила 70%, остальными 30% владеет BNP Paribas Personal Finance France, обладатель прав на бренд Cetelem. Банк позволит Группе завоевать лидирующие позиции на российском рынке кредитования в точках продаж. Цена приобретения составила 5,2 миллиарда рублей.</t>
  </si>
  <si>
    <t>Sberbank Europe AG</t>
  </si>
  <si>
    <t>В феврале 2012 года в продолжение подписанного в сентябре 2011 года договора купли‐продажи Банк закрыл сделку по приобретению 100% акций Sberbank Europe AG. Окончательная цена приобретения составила 0,5 миллиарда евро. Данная сделка является первым существенным приобретением Банка за пределами стран СНГ и является шагом в трансформации Банка из крупного национального финансового учреждения в ведущий международный банк. Sberbank Europe AG имеет 295 отделений и более 600 000 клиентов. Дочерние банки VBI входят в топ‐10 финансовых учреждений по размеру активов в Боснии и Герцеговине, Словакии, Чехии, Хорватии и в топ‐15 финансовых учреждений (по количеству активов) в Венгрии, Сербии и Словении. Банк также присутствует на Украине и имеет банковскую лицензию в Австрии. Стоимость кредитов и дебиторской задолженности до вычета резерва под обесценение, приобретенных
Группой в процессе объединения компаний, составила 301,2 миллиард рублей. Сумма денежных потоков, которые Группа не ожидает получить, составляет 18,2 миллиардов рублей. Убыток Sberbank Europe AG с даты приобретения составил 8,0 миллиардов рублей.</t>
  </si>
  <si>
    <t>В июне 2012 года в результате урегулирования задолженности заемщик уступил Группе 100%‐ную долю в ЗАО «Рублево‐Архангельское», строительной компании, оперирующей в России. Убыток ЗАО «Рублево‐Архангельское» с даты приобретения составил 0,2 миллиарда рублей.</t>
  </si>
  <si>
    <t>В 2012 году Группа реализовала 100% долю в ОАО ХК «ГВСУ Центр». Сумма сделки составила 5,4 миллиарда рублей. Прибыль от выбытия составила 0,1 миллиарда рублей</t>
  </si>
  <si>
    <t>В декабре 2012 года были реализованы принадлежащие группе 100% акций ЗАО «НК «Дулисьма» по цене 2,0 миллиарда рублей и 27 миллионов долларов США, убыток от выбытия дочерней компании составил 3,6 миллиарда рублей.</t>
  </si>
  <si>
    <t>В декабре 2012 был реализован 38%‐пакет акций компании Vester Retail N.V., специализирующейся на розничной торговле, по цене 1,6 миллиарда рублей. По состоянию на 31 декабря 2012 года оставшийся в собственности Группы 16%‐пакет акций компании Vester Retail N.V. классифицирован в состав инвестиционных ценных бумаг, имеющихся в наличии для продажи.</t>
  </si>
  <si>
    <t>Pack</t>
  </si>
  <si>
    <t>ПАО "НоваБев Групп" (ПАО "Белуга Групп"; ПАО "Синергия")</t>
  </si>
  <si>
    <t>В марте 2021 года Группа приобрела 88,5% акций в АО «Спиртзавод Чугуновский», расположенный в Нижегородской области. Компания занята в производстве спирта для изготовления алкогольных напитков.</t>
  </si>
  <si>
    <t>Производство спирта для изготовления алкогольных напитков</t>
  </si>
  <si>
    <t>АО "Птицефабрика Михайловская" вместе с принадлежащим ему АО "ППЗ "Царевщинский-2"</t>
  </si>
  <si>
    <t>Prod-Food</t>
  </si>
  <si>
    <t>Производство племенного яйца, мяса птицы и продуктов из мяса птицы</t>
  </si>
  <si>
    <t>В 2020 году Группа заключила договор продажи АО "Птицефабрика Михайловская" вместе с принадлежащим ему АО "ППЗ "Царевщинский-2" (далее – Выбывающая группа). Сделка завершена в марте 2021 года. Общества были заняты в производстве племенного яйца, мяса птицы и продуктов из мяса птицы.</t>
  </si>
  <si>
    <t>BELU</t>
  </si>
  <si>
    <t>Производство и продажа алкогольных напитков</t>
  </si>
  <si>
    <t>В июне 2021 года Группа провела размещение 2 000 тысяч акций ПАО «Белуга Групп» в рамках вторичного публичного предложения. Для размещения были использованы собственные акции, ранее выкупленные у акционеров. Цена предложения составила 2 800 руб. за акцию.</t>
  </si>
  <si>
    <t>В отчетном периоде 3 600 тысяч акций было погашено и на 31 декабря 2020 года общее количество выпущенных акций ПАО «Белуга Групп» составило 15 800 тысяч обыкновенных акций.</t>
  </si>
  <si>
    <t>В 2018 году Компания погасила 5 554 тысячи акций и количество выпущенных акций на 31 декабря 2018 года и на 31 декабря 2019 года составило 19 400 тысяч акций.</t>
  </si>
  <si>
    <t>В течение 2018 года  2 378 тысяч акций выкуплены на рынке на общую сумму 1 435 млн. руб. В консолидированном отчете об изменениях в капитале признано изменение на 238 млн. руб. в стоимости собственных акций и 1 197 млн. руб. в уменьшение эмиссионного дохода.</t>
  </si>
  <si>
    <t>По состоянию на 31 декабря 2017 года количество собственных акций, выкупленных у акционеров, составило 8 622 тысяч акций.</t>
  </si>
  <si>
    <t>Производство вина, выращивании винного и столового винограда</t>
  </si>
  <si>
    <t>Производство алкогольных напитков</t>
  </si>
  <si>
    <t>не контроль</t>
  </si>
  <si>
    <t>В течение года, закончившегося 31 декабря 2020 года, Группа не участвовала в сделках по объединению бизнесов, но провела оплаты в сумме 1 483 млн. руб., в том числе 917 млн. руб. за приобретенное в 2018
году ООО «Поместье Голубицкое», а также 556 млн. руб. за приобретение в 2020 году неконтролирующей доли участия в АО «ЛВЗ Хабаровский» и АО «Алвиз».</t>
  </si>
  <si>
    <t>В августе 2018 года Группа приобрела 79,5% в ООО «Вилла Романов» (переименовано в ООО «Поместье Голубицкое») и контрольные доли в двух вспомогательных компаниях. Компании заняты в производстве вина, выращивании винного и столового винограда. За год, закончившийся 31 декабря 2021 года, Группа выплатила 1 063 млн. руб. в рамках сделок по объединению бизнесов, в том числе последний платеж за приобретение ООО «Поместье Голубицкое» (приобретено в 2018 году) в сумме 514 млн. руб., приобретение неконтролирующей доли участия в ряде компаний Группы в сумме 36 млн. руб. В течение года, закончившегося 31 декабря 2020 года, Группа не участвовала в сделках по объединению бизнесов, но провела оплаты в сумме 1 483 млн. руб., в том числе 917 млн. руб. за приобретенное в 2018 году ООО «Поместье Голубицкое», а также 556 млн. руб. за приобретение в 2020 году неконтролирующей доли участия в АО «ЛВЗ Хабаровский» и АО «Алвиз».</t>
  </si>
  <si>
    <t>Розничная продажа алкогольных напитков</t>
  </si>
  <si>
    <t>В январе 2018 года Группа увеличила долю владения в АО «Винлаб» с 49% до 100%. Группа компаний «Винлаб» владеет и управляет сетью специализированных алкогольных магазинов.</t>
  </si>
  <si>
    <t>В течение 2017 года 1 459 тысяч акций выкуплены на рынке на общую сумму 913 млн. руб. В отчете об изменениях в капитале признано изменение на 145 млн. руб. в стоимости собственных акций и 768 млн. руб. в уменьшение эмиссионного дохода.</t>
  </si>
  <si>
    <t>По состоянию на 31 декабря 2016 года количество собственных акций, выкупленных у акционеров, составило 7 696 тысяч акций.</t>
  </si>
  <si>
    <t>В течение 2017 года 301 тысяча акций выкуплены на рынке на общую сумму 179 млн. руб.</t>
  </si>
  <si>
    <t>В январе 2017 года Группа приобрела дополнительные 19% в АО «Винлаб» (увеличив свою долю с 30% до 49%.) за 380 млн. руб. Группа компаний «Винлаб» владеет и управляет сетью специализированных алкогольных магазинов.</t>
  </si>
  <si>
    <t>В 2015 году Группа приобрела компанию Union Negoce, SAS (Акционерное общество упрощенного типа «Юнион Негос»), зарегистрированную в Бордо, Франция, за 0,1 млн. руб. Компания не ведет собственной торговой деятельности и предназначена для содействия импорту вин из Франции в Российскую Федерацию.</t>
  </si>
  <si>
    <t>В течение 2015 года 150 тысяч акций были выкуплены на рынке на общую сумму 177 млн. руб. В отчете о движении капитала признано изменение на 15 млн. руб. в стоимости казначейских акций и 162 млн. руб. в величине эмиссионного дохода.</t>
  </si>
  <si>
    <t>В течение 2014 года 720 тысяч акций были выкуплены на рынке на общую сумму 418 млн. руб., включая 72 млн. руб. как изменение стоимости казначейских акций и 346 млн. руб. как изменение прочих резервов.</t>
  </si>
  <si>
    <t>В декабре 2014 года Группа приобрела ЗАО «Примтехпромснаб» за 11 млн. руб. Приобретенная компания не ведет деятельности и является владельцем дистрибьюторской компании ООО «Красное и Белое». Совпадение названия с известной розничной сетью магазинов «Красное и Белое» является случайным, дистрибьюторская компания переименована в ООО «Синергия Маркет Пермь». Приобретенные компании не привнесли выручки и чистой прибыли с момента приобретения, так как приобретение произошло близко к концу отчетного периода.</t>
  </si>
  <si>
    <t>В июне 2015 года Группа инвестировала 700 млн. руб. в увеличение капитала АО «ВинЛаб». В адрес Группы были выпущены новые акции, составляющие 30% уставного капитала. АО «ВинЛаб» владеет и управляет сетью специализированных алкогольных магазинов.</t>
  </si>
  <si>
    <t>В июне 2013 года Группа приобрела 100% долей в ООО «Акрукс» за 21 млн. руб. Приобретенная компания является дистрибутором в г. Нижнем Новгороде и Нижегородской области. С момента приобретения компания привнесла выручку в сумме 589 млн. руб. и чистый убыток в сумме 3 млн. руб. После приобретения компания переименована в ООО «Синергия Маркет Нижний Новгород».</t>
  </si>
  <si>
    <t>В декабре 2013 года Группа приобрела 100% в Мискеллано Инвестментс Лимитед, владеющей четырьмя дистрибуционными компаниями в сегменте алкогольной продукции. Приобретенные компании не привнесли выручки и чистой прибыли с момента приобретения, так как компания была приобретена близко к концу отчетного периода.</t>
  </si>
  <si>
    <t>В течение 2013 года 1 003 тыс. акций были выкуплены на рынке на общую сумму 535 млн.руб.</t>
  </si>
  <si>
    <t>В декабре 2011 года Группа приобрела 100% долю в Р-Стор Холдингз Лимитед за 1 300 тыс. руб. Приобретенная компания является холдинговой компанией, владельцем двух дистрибуционных компаний в сегменте алкогольной продукции и в сегменте продуктов питания.</t>
  </si>
  <si>
    <t>Р-Стор Холдингз Лимитед</t>
  </si>
  <si>
    <t>В марте 2011 года произошло выбытие из Группы 100% владения в дочерней компании Роял Восток Инвестментс Лимитед.</t>
  </si>
  <si>
    <t>В августе 2011 года произошло выбытие 100% владения в дочерней компании ОАО «Племрепродуктор 1 порядка “Зоринский"» за 66 500 тыс. руб.</t>
  </si>
  <si>
    <t>Роял Восток Инвестментс Лимитед</t>
  </si>
  <si>
    <t>Разведение сельскохозяйственной птицы</t>
  </si>
  <si>
    <t>Выращивание однолетних культур</t>
  </si>
  <si>
    <t>В апреле 2010 г., Группа приобрела 100% долю в ЗАО «Русский Гектар Урожай» за 10 000 тыс. руб. Стоимость приобретения была распределена по приобретённым активам и принятым обязательствам. Приобретенная компания принесла выручку в размере 55 764 тыс. руб. и прибыль в размере 30 772 тыс. руб.</t>
  </si>
  <si>
    <t xml:space="preserve">В марте 2009 г. Группа приобрела 100% владения в Мильпетран Холдингс Лимитед за 1 450 тыс. руб., выплаченных денежными средствами. Приобретенная дочерняя компания является держателем торговой марки. Стоимость приобретения была отнесена к приобретенным активам и принятым обязательствам. Приобретенная компания привнесла выручку в размере 20 684 тыс. руб. доход в размере 20 241 тыс. руб. </t>
  </si>
  <si>
    <t>В декабре 2009 г. произошло выбытие долей Группы в следующих дочерних компаниях: 100% в ООО «Акрукс» на сумму 50 400 тыс. руб. и 73% в ОАО «КВЭН» на сумму 70 328 тыс. руб.</t>
  </si>
  <si>
    <t>В июне 2009 г. произошло выбытие долей Группы в дочерней компании ЗАО «Родстор» (100%) и дочерней компании ЗАО «Русский Гектар Урожай» на сумму 10 000 тыс. руб.</t>
  </si>
  <si>
    <t>В июне 2009 г. частично выбыли доли Группы в двух дочерних компаниях.</t>
  </si>
  <si>
    <t>Производство питьевого молока и питьевых сливок</t>
  </si>
  <si>
    <t>14 декабря 2015 года ЗАО "Абрау-Дюрсо" приобрело 100% доли в уставном капитале ООО "Абрау-Дюрсо", основной деятельностью которой является выращивание винограда, используемого при производстве продукции в ЗАО "Абрау-Дюрсо".</t>
  </si>
  <si>
    <t>ООО "Абрау-Дюрсо"</t>
  </si>
  <si>
    <t>ПАО "Абрау-Дюрсо"</t>
  </si>
  <si>
    <t>ПАО "Абрау-Дюрсо" (ЗАО "Абрау-Дюрсо")</t>
  </si>
  <si>
    <t>Производство и продажа алкогольных напитков (Выращивание винограда)</t>
  </si>
  <si>
    <t>14 мая 2015 года ПАО "Абрау-Дюрсо" приобрело 51% доли в уставном капитале ООО "Управляющая компания «Донвингром». В связи с данным приобретением Группа получила контроль над группой компаний «Ведерников».</t>
  </si>
  <si>
    <t>6 декабря 2016 года был заключен договор купли-продажи части доли в дочерней компании Группы ООО "ТД "2А" в размере 50%. Запись в ЕГРЮЛ внесена 13 декабря 2016 г.. В связи с продажей доли в уставном капитале ООО "ТД "2А" Группа на отчетную дату утратила 100%-ый контроль над компанией и учитывает ее в качестве ассоциированной по методу долевого участия.</t>
  </si>
  <si>
    <t>ООО "ТД "2А"</t>
  </si>
  <si>
    <t>7 февраля 2022 года ПАО «Абрау-Дюрсо» приобрело 100% доли в уставном капитале ООО «АДКМ». Основной деятельностью ООО «АДКМ» является ресторанный бизнес.</t>
  </si>
  <si>
    <t>Консультирование по вопросам коммерческой деятельности и управления</t>
  </si>
  <si>
    <t>Производство и продажа алкогольных напитков (Выращивание винограда + производство и реализация вина)</t>
  </si>
  <si>
    <t>12 ноября 2020 года ПАО «Абрау-Дюрсо» приобрело 100% доли в уставном капитале ООО «Агрофирма «Юбилейная» и ООО «Винодельня Юбилейная». Основной деятельностью ООО «Агрофирма «Юбилейная» является выращивание винограда, используемого при производстве продукции в ООО «Винодельня Юбилейная». В связи с данным приобретением Группа получила контроль над компаниями входящими в группу Юбилейная. ООО «Винодельня Юбилейная» является дочерней компанией ООО «Агрофирма «Юбилейная». Основной деятельностью ООО «Винодельня Юбилейная» является производство и реализация вина.</t>
  </si>
  <si>
    <t>22 декабря 2020 года ПАО «Абрау-Дюрсо» приобрело 100% доли в уставном капитале ООО «Агрофирма «Ахтанизовская».</t>
  </si>
  <si>
    <t>Розничная торговля алкогольными и другими напитками</t>
  </si>
  <si>
    <t>4 апреля 2018 года Группа приобрела компанию ООО "Восточный ветер". Компания занимается розничной реализацией алкогольных напитков в хуторе Ведерников Ростовской области.</t>
  </si>
  <si>
    <t>ООО "Восточный ветер"</t>
  </si>
  <si>
    <t>1 акция</t>
  </si>
  <si>
    <t>10 декабря 2015 года ПАО «Абрау-Дюрсо» была продана 1 акция дочерней компании Группы ЗАО «Абрау-Дюрсо».</t>
  </si>
  <si>
    <t>Производство и продажа алкогольных напитков (Деятельность по управлению холдинг-компаниями+Выращивание винограда)</t>
  </si>
  <si>
    <t>Производство и продажа алкогольных напитков (Производство виноградного вина)</t>
  </si>
  <si>
    <t>15 сентября 2015 года была продана доля в дочерней компании Группы ООО «Абрау-Дюрсо коммунальные системы» в размере 100%.</t>
  </si>
  <si>
    <t>Управление недвижимым имуществом</t>
  </si>
  <si>
    <t>В марте 2010 произошла сделка по передаче доли (60% от УК) в ООО «Территория Абрау-Дюрсо» от ЗАО «Абрау-Дюрсо» к ОАО «Абрау-Дюрсо», в связи с этим увеличилась доля Группы до 84%.</t>
  </si>
  <si>
    <t>Производство и продажа алкогольных напитков (Развитие)</t>
  </si>
  <si>
    <t>В феврале 2011 года Группа заключила соглашение о создании совместного предприятия с компанией Japan Centre Group Limited, которая управляет японскими ресторанами в Великобритании и других странах. 22 февраля 2011 года Группа приобрела 50% акций Rosinter-Umai UK Limited за общее вознаграждение в размере 1 фунт стерлингов (47,32 руб. по обменному курсу на 22 февраля 2011 года).</t>
  </si>
  <si>
    <t>Группа продала долю в совместной деятельности третьей стороне 1 июня 2016 года за вознаграждение 242 500 фунтов стерлингов (23 345 тыс.руб. по курсу на 01.06.2016)</t>
  </si>
  <si>
    <t>В январе 2014 года руководство Группы приняло решение о продаже дочерних предприятий Rosinter Polska Sp. z.o.o. и American Cuisine Warsaw Sp. z.o.o., доля Группы в которых составляла по 100%. В марте 2014 года переговоры были завершены, и Группа продала указанные дочерние предприятия компании, находящейся под общим контролем, за 1 500 тыс. долларов США (53 531 тыс. руб. по курсу на 31 марта 2014 года: 109 324 тыс. руб. по курсу на 31 декабря 2015 года).</t>
  </si>
  <si>
    <t>В сентябре 2014 года Группа продала дочернее предприятие Aero Restaurants, доля Группы в котором составляла 100%. Группа продала указанное дочерние предприятие компании, находящейся под общим контролем, за 920.5 тыс. долларов США (34 214 тыс. руб. по курсу на 11 сентября 2014 года; 67 089 тыс. руб. по курсу на 31 декабря 2015 года).</t>
  </si>
  <si>
    <t>В декабре 2013 года Группа продала дочерние предприятия Rosinter Czech Republic s.r.o., Rosinter Andel s.r.o., Rosinter Hungary Kft и ООО «Росинтер Украина», доля Группы в которых составляла соответственно 100%, 100%, 100% и 51%. Группа продала указанные дочерние предприятия компании, находящейся под общим контролем, за 3 доллара США (98,19 руб. по курсу на 31 декабря 2013 года).</t>
  </si>
  <si>
    <t>Rosinter Polska Sp. z.o.o. и American Cuisine Warsaw Sp. z.o.o.</t>
  </si>
  <si>
    <t>13 июня 2012 года Группа приобрела 50% акций компании Rosworth Investments Limited за общее вознаграждение в размере 1 доллар США (32.59 руб. по курсу на 13 июня 2012 года). Компания не зарегистрирована на бирже и расположена на Кипре. До 13 июня 2012 года Rosworth являлась совместным предприятием Группы и учитывалась по методу долевого участия. Инвестиции в компанию были полностью обесценены на дату приобретения. Rosworth принадлежит 100%-ная доля участия в ООО «Брава». Данная компания не зарегистрирована на бирже, расположена в Российской Федерации и управляет кофейнями Costa Coffee. До приобретения Группа выдала Rosworth ряд займов общей балансовой стоимостью 92 267 тыс. руб. и справедливой стоимостью 92 267 тыс. руб. на дату приобретения. Приобретение Rosworth привело к возникновению прибыли от выгодного приобретения на сумму 34 369 тыс. руб., которая была отражена в составе прочей прибыли в консолидированном отчете о прибылях и убытках Группы. Группа признала прибыль от выгодного приобретения в связи с успешным завершением переговоров с компанией Costa Limited. Сделка по приобретению была осуществлена в соответствии с ожидаемым эффектом синергии от объединения активов и деятельности приобретенной компании с активами и деятельностью Группы.</t>
  </si>
  <si>
    <t>ПАО "РОСИНТЕР РЕСТОРАНТС ХОЛДИНГ"</t>
  </si>
  <si>
    <t>Rostik International S.A.</t>
  </si>
  <si>
    <t>На 8 февраля 2011 года, Группа приобрела у Rostik International S.A., компании, находящейся под общим контролем, оставшуюся долю участия в размере 1,3% в дочерней компании ООО "Росинтер Ресторантс" за вознаграждение на общую сумму 1 600 тыс. долл. США (45 723 тыс. руб. по курсу на 8 февраля 2011 года). Данная сумма была отражена непосредственно в составе капитала.</t>
  </si>
  <si>
    <t>ООО "Росинтер Ресторантс"</t>
  </si>
  <si>
    <t>28 декабря 2010 г. Группа приобрела долю участия в размере 100% в компании American Cuisine Warsaw sp.z o.o. за общее вознаграждение в размере 1 595 тыс. долл. США (48 586 тыс. руб. по курсу на 28 декабря 2010 г.). Компания не зарегистрирована на бирже, расположена в Варшаве и управляет рестораном T.G.I. Friday's. В результате приобретения цена покупки превысила справедливую стоимость чистых активов, принятых в размере 15 570 тыс. руб., и данная разница была отражена в составе гудвила в размере 33 016 тыс. руб., что связано с предполагаемым эффектом синергии и прочими выгодами от объединения активов и деятельности приобретенной компании с активами и деятельностью Группы.</t>
  </si>
  <si>
    <t>29 ноября 2010 года Группа приобрела дополнительную долю в размере 30% в уставном капитале своих дочерних компаний ЗАО "Инкорост", ЗАО "Инкорост 2003" и ЗАО "Патио Пицца" за вознаграждение в денежной форме в размере 196 397 тыс. руб. В результате приобретения цена покупки превысила балансовую стоимость доли партнера на 196 397 тыс. руб. Сумма превышения отражена непосредственно в составе капитала.</t>
  </si>
  <si>
    <t>ЗАО "Инкорост", ЗАО "Инкорост 2003" и ЗАО "Патио Пицца"</t>
  </si>
  <si>
    <t>Кыргызстан</t>
  </si>
  <si>
    <t>ПАО "Газпром"</t>
  </si>
  <si>
    <t>ПАО "НК "ЛУКОЙЛ"</t>
  </si>
  <si>
    <t>ПАО "Аптечная сеть 36,6"</t>
  </si>
  <si>
    <t>В ноябре 2021 года Группа приобрела 100% долей в уставном капитале ООО «36,6-Здоровье 36» и ООО «Прайд». По ожиданиям руководства Группы, приобретение розничного фармацевтического бизнеса в г. Тверь приведет к усилению рыночных позиций в российском секторе фармацевтического ритейла.</t>
  </si>
  <si>
    <t>Фармацевтический ритейл</t>
  </si>
  <si>
    <t>В четвертом квартале 2020 года Группа заключила соглашение с третьими лицами о продаже ООО «ДжиДиПи», ООО «ДжиДиПи +» и ООО «Омега-Фарм», которые занимались всеми дистрибьютерскими операциями Группы по реализации лекарственной продукции и оборудования. 21 декабря 2020 года произошло выбытие в пользу третьей стороны 100% доли участия в ООО «ДжиДиПи», также 23 октября 2020 года произошло выбытие 100% доли в ООО «ДжиДиПи +» и ООО «Омега-Фарм».</t>
  </si>
  <si>
    <t>Дистрибьютерские операции по реализации лекарственной продукции и оборудования</t>
  </si>
  <si>
    <t>Розничная торговля лекарственными препаратами</t>
  </si>
  <si>
    <t>В феврале 2022 года Группа приобрела аптечную сеть «Калина Фарм». По состоянию на отчетную дату Группа завершила оценку суммы вознаграждения за приобретение компаний Группы «Калина Фарм», в результате чего итоговая сумма вознаграждения составила 700 млн руб. Оплата приобретения была произведена денежными средствами в размере 557 млн руб. в периодах, предшествующих отчетному году, и 97 млн руб. в отчетном году. По ожиданиям руководства Группы, приобретение розничного фармацевтического бизнеса приведет к усилению рыночных позиций в российском секторе фармацевтического ритейла, а также увеличению доходности Группы в целом за счет ожидаемой синергии в закупках и иных бизнес-лроцессах.</t>
  </si>
  <si>
    <t>В августе 2022 года Группа приобрела три юридических лица с целью расширения географии своего присутствия на российском секторе фармацевтического ритейла (ООО «Фарма»; ООО «КИТФарма» (29 аптек); ООО «Прогресс-Фарма»).</t>
  </si>
  <si>
    <t>В январе 2016 года крупнейшие акционеры Компании и контролирующие акционеры А5 Pharmacy Retail Limited (головная компания аптечной сети «А5») достигли предварительных договоренностей о слиянии аптечных сетей. Объединение произошло в декабре 2016 года в рамках дополнительной эмиссии акций ПАО «Аптечная сеть 36,6», которое осталось головной компанией объединенной группы. Дополнительная эмиссия была осуществлена в форме открытой подписки, часть которой была оплачена за счет внесения акций головной компании аптечной сети А5. Оставшаяся часть была предложена для свободного приобретения текущим акционерам ПАО «Аптечная сеть 36,6» и иным инвесторам. В рамках допэмиссии было размещено 1,354,196,378 акций, что составляет 90,28% от запланированного объема выпуска. Акционеры, обладающие преимущественным правом выкупа, приобрели 799,201,459 акций. По итогам допэмиссии основной акционер компании, Palesora Limited, сохранил контрольный пакет. ООО «Концерн «РОССИУМ» получил 10,08% объединенной компании, фонд Baring Vostok стал владельцем 13,73% через «Доуфлеро Холдингз Лимитед».</t>
  </si>
  <si>
    <t>В апреле 2016 года дочерняя компания Группы ООО «Аптека-А.в.е» приобрела 100% акций компании Alliance Boots Holdings B.V., являющейся холдинговой структурой российского дистрибьютерского бизнеса Alliance Healthcare Russia (далее - «Альянс»). Данное приобретение укладывается в стратегию Группы по развитию оптового сегмента бизнеса и позволит значительно увеличить количество и объемы прямых контрактов с производителями фармацевтической продукции. В свою очередь в апреле 2016 года Alliance Boots Holdings Limited (Walgreens Boots Alliance) получила 15% акций ПАО «Аптечная сеть 36,6». В состав Alliance Boots Holdings Limited  входят - Альянс Бутс Холдингс Б.В, А.П. Аптека Холдинг Лимитед, ООО «Альянс Хелскеа Рус», АO «Аптека-Холдинг», ООО «Аптека-Холдинг1», ООО «Окулюс-Север». Сумма вознаграждения представляет собой рыночную стоимость 15% акций ПАО «Аптечная сеть 36,6» на 9 апреля 2016 года. При приобретении дочерних компаний в результате превышения цены приобретения над стоимостью приобретенных чистых активов возник гудвил в сумме 1,974 млн руб., обесценение которого было отражено в консолидированном отчете о прибылях и убытках и прочем совокупном доходе доход за 2016 год. Расходы по сопровождению сделки составили 114 млн руб.</t>
  </si>
  <si>
    <t>29 декабря 2016 года из Группы в пользу третьих лиц выбыли следующие дочерние предприятия, доли в которых составляли 100%, а именно ООО «Аптека А5», ООО «Аптека А5 Регион», ООО «Аптека народная», ООО «Аптека Норма Низкие Цены», ООО «Аптека Норма Низкие Цены-М», ООО «Аптеки А5 Центр», ООО «Аптеки А5 Ленинградская Область», ООО «Аптеки А5 Московская область», ООО «Аптеки А5 Санкт-Петербург», ООО «Аптеки А5 Ярославль», АО «Торговая Сеть «Аптечка», АО «Мособлфармация», АО «Сап», ЗАО «Сап Приволжья», ООО «Стиль Фарма», ООО «Элитторг», основные торговые точки А5 продолжают находиться под контролем Группы.</t>
  </si>
  <si>
    <t>В течение 2015 года из Группы выбыли следующие дочерние предприятия, доли в которых составляли 100%, а именно ООО «Проект», ООО «Аптеки 36,6 «Область», ЗАО «Атлант», ООО «Незабудка», ОАО «Аптека №98», ОАО «Аптека 188 Пресненская», ООО «ПОС-Холдинг», ООО «ПОС-Холдинг Регион», ООО «Санрайз», ООО «Сервис-комплект», ООО «Дон-лав», ООО «ЗЕМ фарм», ООО «ЛеММ», ЗАО «Фармакон-Центр», ООО «Медпроект», ООО «Медлюкс», ОАО «Аптека 19», ЗАО «Интерлек», ООО «Фармтраст», ООО «Сервис-Центр 36,6», Molten Trading Limited, Simison Holdings Limited, WEBB Trade S.A., ООО «Фармопт», ООО «Витим и Ко», ООО «Рентсервис», ООО «03 АПТЕКА».</t>
  </si>
  <si>
    <t>APTK</t>
  </si>
  <si>
    <t>Группа "Ориола"</t>
  </si>
  <si>
    <t>Розничная и оптовая торговля лекарственными препаратами</t>
  </si>
  <si>
    <t>Данные отчета о финансовом положении Компании и ее дочерних предприятий на 31 декабря 2013 года включены в данную консолидированную отчетность в оценке, соответствующей допущению, что аптечная сеть «А.в.е» приобрела бизнес Компании «36,6» в эту дату, с применением требований МСФО 3 «Объединение бизнеса».</t>
  </si>
  <si>
    <t>В течение 2014 года Группа продала третьим сторонам 100% долей участия в дочерних предприятиях, осуществлявших свою деятельность в регионах, а именно ООО «Мегастиль», ООО «Мега-стиль», ООО «Тайга Фудс», ООО «Аист АС», ООО Фирма «Аванта», ООО «Мульти-Фарма», ООО «Аптеки 36,6 «Северо-Запад», ООО «Астра-Трейд», ОАО «Фармация», ООО «Аптеки 36,6 «Центр», ООО «ФармФирма «Аптечный склад «Новый», ООО «Рикс», ООО «Парацельс», ООО «Аквимекс», ООО «Аптечная сеть «Южный Урал», ООО «Башмедснаб», ООО «Фармацевтическая Фирма «Илья», ООО «Вита Плюс», ООО «Оптовая компания «Вита Плюс», ООО «Фирма «ИКА», ООО ФК «Медитек», ООО «Юнит-П», ООО «Чаша Здоровья», ООО «Фармация 5», ООО «Фармация 4», ООО «Фармация», ООО «Аптека «Сервис*», ООО «Аптечная сеть «Атолл-Фарм», ООО «Оптовый склад «Атолл-фарм», ООО «Юнит-Е», ООО «Фармацевтический Центр», ООО «Аптеки 36,6 «Тюмень», ООО «Аптеки 36,6 «Поволжье», ООО «Экорос-фарм», ООО «Аптеки 36,6 «Нижний Новгород», ООО «Нижегородский Аптечный Дом», ООО «Центр», ООО «Аптеки 36,6 «Юг», ООО «Три Фарма», ООО «Три Фарма-С», ООО «Аптеки 36,6 «Волгоград», ООО «Аптеки 36,6 «Краснодар», ООО «Аптеки 36,6 «Ростов», ООО «Аптеки 36,6 «Западная Сибирь», ООО «Суперлаб» и ЗАО «Время».</t>
  </si>
  <si>
    <t>8 декабря 2014 года Группа приобрела следующие дочерние предприятия, представлявшие собой российский бизнес группы «Ориола» за 3,7 млрд. руб.: ООО «Ориола» (0,798 млрд. руб.), ООО «03 Аптека» (0,887 млрд.руб.) и ООО «Витим и Ко» (2,015 млрд. руб.).</t>
  </si>
  <si>
    <t>2 апреля 2014 года Группа приобрела 50% долей участия в дочернем предприятии ЗАО «Незабудка» у третьей стороны, увеличив долю владения до 100%. Продажа была оплачена денежными средствами в сумме 3,5 млн. долл. США.</t>
  </si>
  <si>
    <t>VRPH</t>
  </si>
  <si>
    <t>Розничная торговля лекарственными препаратами (вспомогательная деятельность)</t>
  </si>
  <si>
    <t>В сентябре 2013 года Группа продала третьей стороне свою долю 52.015% в ОАО «Верофарм» за 5 млрд, руб., представлявший собой отдельный операционный сегмент («Производство лекарственных средств») до даты выбытия.</t>
  </si>
  <si>
    <t>В декабре 2013 года Группа продала третьей стороне 100% в ЗАО «Фармацевтическая торсовая компания» за 34 млн. руб., представлявший собой отдельный операционный сегмент («Вспомогательная деятельность») до даты выбытия.</t>
  </si>
  <si>
    <t>В июле 2012 года Группа продала третьей стороне свою 50% долю в ООО «Куб Маркет» за 7.4 млн. долл. США (242 млн. руб. по курсу на дату сделки), представлявший собой отдельный операционный сегмент до даты выбытия.</t>
  </si>
  <si>
    <t>Prod-Pharm</t>
  </si>
  <si>
    <t>21 апреля 2012 года в соответствии с учредительными документами закончился срок действия дочернего предприятия Группы ЗПИФ Ренессанс-Бизнес-Недвижимость (далее -«ЗПИФ» или «Фонд»), По состоянию на 21 апреля 2012 году Группа владела паями в количестве 5,735 штук, что составляло 59% от общего количества паев Фонда размере 525 млн. руб. не была погашена по состоянию на 31 декабря 2012 года и была включена в состав прочей дебиторской задолженности в консолидированном отчете о финансовом положении. В результате данной транзакции неконтролирующая доля участия увеличилась с 41% до 72%. Данное увеличение в размере 890 млн. руб. было отражено в консолидированном отчете об изменениях в капитале. В ноябре 2012 года в рамках предусмотренного законодательством процесса по прекращению деятельности ЗПИФ осуществил продажу основных средств балансовой стоимостью 338 млн. руб. за денежное вознаграждение в размере 2,058 млн. руб. Прибыль от выбытия основных средств в размере 1,720 млн. руб. была отражена в консолидированном отчете о совокупном доходе/(убытке) Группы за 2012 год. Часть денежных средств, полученных от продажи основных средств, в размере 1,592 млн. руб. Фонд направил на погашение паев пайщиков, что было также отражено в консолидированном отчете об изменениях в капитале. 17 декабря 2012 года Фонд погасил все принадлежащие Группе на эту дату паи в количестве 2,725 штук, выплатив Группе 810 млн. руб. В июне-июле 2012 года Группа продала 3,010 паев ЗПИФ компании СИА ИНТЕРНЕЙШНЛ ЛТД, что составляло 31% от общего количества паев Фонда, за 890 млн. руб., что являлось справедливой стоимостью паев на дату продажи. Часть задолженности СИА ИНТЕРНЕЙШНЛ ЛТД перед Группой за приобретенные паи в размере 365 млн. руб. была зачтена против кредиторской задолженности Группы перед СИА ИНТЕРНЕЙШНЛ ЛТД.</t>
  </si>
  <si>
    <t>30 ноября 2011 года Группа реализовала свою долю в уставном капитале компаний Pegasus Bay Investments Inc. и Bermax Investments Limited связанной стороне за вознаграждение в сумме 127 млн. долларов США.</t>
  </si>
  <si>
    <t>ПАО "Аптечная сеть 36,6" (ПАО "ВЕРОФАРМ")</t>
  </si>
  <si>
    <t>ПАО "Отисифарм"</t>
  </si>
  <si>
    <t>10 ноября 2016 г. Группа заключила договор на покупку 100% акций ЗАО «Тауфарм», владеющего правами на торговый знак «Тауфон» за общую сумму вознаграждения 40 млн. долл. США. Данный договор имеет форму соглашения опциона-колл, который
может быть исполнен Группой с получением неограниченных юридических прав на владение акциями ЗАО «Тауфарм» в срок до 30 апреля 2020 г. в любой момент при условии полной оплаты суммы вознаграждения. Права по опциону обеспечены залогом акций ЗАО «Тауфарм» в пользу Группы. Руководство считает, что на дату заключения опционного соглашения приобретение представляет собой группу активов и обязательств и не представляет собой бизнес, как это определено в МСФО (IFRS) 3, поскольку до приобретения компания являлась держателем нематериального актива (торгового знака), отсутствовали бизнес-процессы, как они определены в МСФО (IFRS) 3. В результате этой сделки Группа признала нематериальный актив в сумме 2 455 355 тыс. руб., равной дисконтированной сумме всех денежных платежей, уплачиваемых в рамках договора. Поскольку приобретение не являлось объединением бизнесов и не повлияло на бухгалтерскую либо налоговую прибыль, было применено освобождение, предусмотренное МСФО (IAS) 12 при первоначальном признании, и Группа не признала отложенное налоговое обязательство или актив в отношении данного приобретения. По условиям соглашения 21 ноября 2016 г. продавцу была оплачена сумма 4 000 тыс. долл. США (260 409 тыс. руб. по курсу на дату оплаты). Далее при исполнении продавцом определенного плана по налаживанию кооперации по закупке основного сырья, производству, маркетингу и реализации существующего препарата Тауфон и расширений данного бренда на базе ЗАО «Тауфарм» с достижением определенных финансовоэкономических показателей предусмотрена поэтапная оплата Группой суммы оставшегося вознаграждения по следующему графику: - в 2017 году в сумме 17 700 тыс. долл. США; - в 2018 году в сумме 8 850 тыс. долл. США; - в 2019 году в сумме 8 850 тыс. долл. США; - в 2020 году в сумме 600 тыс. долл. США. В случае невыполнения вышеуказанного плана у Группы есть возможность отменить реализацию опциона-колл с возвратом продавцом полученного вознаграждения и начислением процентов за пользование финансовыми средствами, однако, на дату выпуска консолидированной финансовой отчетности вероятность такого невыполнения оценивается как низкая. В целях исполнения условий оплаты по договору опцион-колл Группа использует часть кредитных средств, привлеченных в рамках кредитной линии в Сбербанке РФ. На 31 декабря 2016 г. оставшаяся общая сумма обязательства по уплате вознаграждения составила 2 088 374 тыс. руб. Из данной суммы отражено в составе текущей кредиторской задолженности обязательство в размере 1 073 627 тыс. руб. и в составе прочих долгосрочных обязательств обязательство в размере 1 014 747 тыс. руб.</t>
  </si>
  <si>
    <t>ПАО "Фармстандарт"</t>
  </si>
  <si>
    <t>В 2016 году Группа купила 7 258 730 акций дополнительной эмиссии Argos за денежное вознаграждение в сумме 38 881 тыс. долл. США (2 588 184 тыс. руб.). В результате покупки акций доля Группы увеличилась, эффект увеличения доли составил 283 263 тыс. руб. убытка, включая накопленные отрицательные курсовые разницы на сумму 20 276 тыс. руб., реклассифицированные в состав убытков за год. Вместе с акциями дополнительной эмиссии Argos распределил варранты, предусматривающие право акционера на покупку дополнительных акций по фиксированной цене, а также возможность расчетов денежными средствами на нетто-основе. Эффект признания обязательства по варрантам на балансовую стоимость инвестиции составил 407 449 тыс. руб. убытка. На 31 декабря 2016 года доля Группы в капитале Argos составила 32,10% (31 декабря 2015 года: 27,65%).</t>
  </si>
  <si>
    <t>27 января 2017 года компания Jounce Therapeutics Inc. осуществила первичное размещение 6 365 000 шт. обыкновенных акций на бирже NASDAQ. 31 января 2017 года Pharmstandard International S.A. приобрела обыкновенные акции Jounce Therapeutics Inc. за денежное вознаграждение в размере 1 000 тыс. долл. США (60 161 тыс. руб.). Таким образом, Группа увеличила свою долю в капитале компании с 2,04% до 2,06%. Jounce Therapeutics Inc. зарегистрирована в США и специализируется на разработке антител против мишеней иммуносупрессорного контроля по онкологическим показаниям.</t>
  </si>
  <si>
    <t>ПАО "Фармстандарт" (Pharmstandard International S.A.)</t>
  </si>
  <si>
    <t>Jounce Therapeutics Inc.</t>
  </si>
  <si>
    <t>30 января 2017 года Pharmstandard International S.A. приобрела простые акции EnGene Inc. за денежное вознаграждение в размере 13 тыс. евро (848 тыс. руб.), также 1 марта 2017 года были приобретены привилегированные акции EnGene Inc. за денежное вознаграждение в размере 839 тыс. долл. США (48 646 тыс. руб.). Таким образом, Группа увеличила свою долю в капитале компании с 4,18% до 6%. EnGene Inc. зарегистрирована в Канаде и занимается разработкой доставки нуклеотидов (DNA и RNAi) в ткани слизистых оболочек с целью терапии хронических заболеваний посредством супрессии или индукции синтеза белков.</t>
  </si>
  <si>
    <t>EnGene Inc.</t>
  </si>
  <si>
    <t>30 марта 2017 года Pharmstandard International S.A. приобрела привилегированные акции Avelas Biosciences за денежное вознаграждение в размере 2 500 тыс. долл. США (142 560 тыс. руб.). Таким образом, с учетом разводнения, Обществу принадлежит 9,46% доли в компании. Avelas Biosciences зарегистрирована в США и разрабатывает пептидные продукты, расщепляемые матриксными металлопротеиназами с образованием клеточно-пенетрирующих пептидов, конъюгированных с флюорофором, для интраоперационной флуоресцентной диагностики позитивного хирургического края опухоли, а также региональных лимфоузлов.</t>
  </si>
  <si>
    <t>Avelas Biosciences</t>
  </si>
  <si>
    <t>21 апреля 2017 года Компания продала третьим лицам 50% акций своей дочерней компании ПАО «Фармстандарт-Биолек» на общую сумму 1,8 млн. долл. США. После данной операции процент владения составил 46,93%. Компания утратила контроль над дочерней компанией ПАО «Фармстандарт-Биолек».</t>
  </si>
  <si>
    <t>ООО “Гостинично-офисный комплекс “Барский луг”</t>
  </si>
  <si>
    <t>5 февраля 2016 года Компания приобрела долю участия в ООО “Гостинично-офисный комплекс “Барский луг”, активы, обязательства и операции данной компании не существенны для Группы.</t>
  </si>
  <si>
    <t>В 2013 году компания Pharmstandard International S.A. уплатила 36,8 млн. долл. США (1 206 457 тыс. руб.) для покупки 35% голосующих привилегированных акций компании Argos Therapeutics, Inc. (далее − "Argos"), зарегистрированной в штате Делавэр, США. В феврале 2014 года компания Pharmstandard International S.A. дополнительно уплатила 10,2 млн. долл. США (354 233 тыс. руб.). В феврале 2014 года "Argos" конвертировал голосующие привилегированные акции в голосующие обыкновенные акции и выпустил определенное количество дополнительных голосующих обыкновенных акций. В результате данных операций доля участия Группы в "Argos" была разводнена до 30,44%. Разводнение учитывалось как условное выбытие, в результате которого возник убыток в размере 1 669 тыс. руб., включая накопленные положительные курсовые разницы на сумму 9 382 тыс. руб., реклассифицированные в состав прибыли за год. 7 февраля 2014 г. акции "Argos" были размещены на бирже NASDAQ, при этом все привилегированные акции были конвертированы в обыкновенные акции. В апреле и декабре 2015 года "Argos" выпустил дополнительные обыкновенные акции. В результате данных операций доля участия Группы в "Argos" была разводнена до 27,65%. Разводнение учитывалось как условное выбытие, в результате которого возник доход в размере 184 194 тыс. руб., включая накопленные курсовые разницы на сумму – 3 276 тыс. руб., реклассифицированные в состав прибыли за год. "Argos" − биофармацевтическая компания, специализирующаяся на разработке и коммерциализации полностью персонализированных иммунотерапий для лечения рака и инфекционных заболеваний с использованием своей технологической платформы Arcelis™. В соответствии с условиями договора купли-продажи, Компания получила право назначить двух членов Совета директоров, таким образом, Компания получила возможность оказывать существенное влияние на деятельность "Argos" и признала его своей ассоциированной компанией, применив для учета метод долевого участия.</t>
  </si>
  <si>
    <t>30 апреля 2014 г. Компания заключила договор с акционерами Biocad Holding Limited ("Biocad"), компании, зарегистрированной в соответствии с законодательством Кипра, с целью приобретения 20% находящихся в обращении акций "Biocad" за общее денежное вознаграждение в размере 100 млн. долл. США (3 503 870 тыс. руб.). "Biocad" является контролирующим акционером ряда компаний, которые занимаются исследованием, разработкой, производством и распространением различной фармацевтической и биофармацевтической продукции преимущественно в Российской Федерации. Основные дочерние компании являются юридическими лицами, зарегистрированными в Российской Федерации: ЗАО "Биокад", ООО "Биокад-Фарм", ООО "Ай-Маб". Кроме того, у "Biocad" есть несколько несущественных дочерних компаний, зарегистрированных в соответствии с законодательством других стран. 27 июля 2014 г. Компания завершила сделку по приобретению. Согласно договору с акционерами, Компания получила существенное влияние на стратегические вопросы и операционную политику "Biocad" и признала данную компанию в качестве ассоциированной по методу долевого участия.</t>
  </si>
  <si>
    <t>Protagonist Therapeutics Inc.</t>
  </si>
  <si>
    <t>24 марта 2016 г. Pharmstandard International S.A. приобрела дополнительные привилегированные акции Protagonist Therapeutics Inc. за денежное вознаграждение в размере 843 тыс. долл. США (57 071 тыс. руб.). Таким образом, с учетом разводнения, Группе принадлежит 7,22% доли в компании. Protagonist Therapeutics Inc. зарегистрирована в США и работает над созданием технологии пептидов, которая применяется главным образом для лечения заболеваний кишечника.</t>
  </si>
  <si>
    <t>В августе 2013 года Группа приобрела 100% акционерного капитала компании "Bever Pharmaceutical Pte Ltd" (далее − "Bever"), находящейся под контролем Александра Шустера, члена Совета директоров Компании. "Bever" является компанией, владеющей единственным активом, которая заключила контракт на двадцать лет по предоставлению исключительных прав на уникальное сырье − АФИ, которые использовались при производстве ведущих продуктов Группы "Арбидола" и "Афобазола", а также на их реализацию в России и странах СНГ. Данное приобретение имело отношение к планам по выделению брендированного безрецептурного бизнеса. Группа отразила приобретение "Bever" в учете как приобретение нематериального актива (т.е., исключительный выгодный договор купли-продажи). Учитывая тот факт, что приобретение было частично оплачено акциями материнской компании, оно учитывалось как выплата на основе долевых инструментов. Нематериальный актив был оценен при признании по справедливой стоимости в размере 13 936 025 тыс. руб. с соответствующим увеличением капитала на 12 353 287 тыс. руб. в части вознаграждения, выплаченного акциями (оставшаяся сумма в размере 1 582 738 тыс. руб. была уплачена денежными средствами). 23 декабря 2013 г. "Bever" был переведен в "Отисифарм" в результате выделения брендированного безрецептурного бизнеса.</t>
  </si>
  <si>
    <t>В мае 2013 года Компания приобрела 41,93% долю участия в ПАО "Фармстандарт-Биолек", увеличив свою долю участия до 96,93%. Общая сумма денежного вознаграждения, выплаченного за приобретенную неконтрольную долю участия, составила 125 253 тыс. руб.</t>
  </si>
  <si>
    <t>ПАО "Фармстандарт-Биолек"</t>
  </si>
  <si>
    <t>В апреле 2013 года Компания приобрела «Pharmstandard International S.A.», неактивное предприятие, зарегистрированное в Люксембурге, за общее вознаграждение в размере 1 240 тыс.руб. с целью венчурного инвестирования за пределами Российской Федерации.</t>
  </si>
  <si>
    <t>Венчурное инвестирование</t>
  </si>
  <si>
    <t>ПАО "Фармстандарт" (ОАО "Фармстандарт-Лексредства" )</t>
  </si>
  <si>
    <t>PHST</t>
  </si>
  <si>
    <t>В 2012 году ОАО "Фармстандарт-Лексредства" приобрело 1 365 000 обыкновенных акций Компании (что представляет собой около 3,61% разрешенного к выпуску уставного капитала Компании), уплатив денежное вознаграждение в общей сумме 1 976 415 тыс. руб.</t>
  </si>
  <si>
    <t>В 2011 году ОАО "Фармстандарт-Лексредства" приобрело 1 824 750 обыкновенных акций Компании (что представляет собой около 4,83% разрешенного к выпуску уставного капитала Компании), уплатив денежное вознаграждение в сумме 5 474 250 тыс. руб.</t>
  </si>
  <si>
    <t>В ноябре 2013 года Компания приобрела 1 436 920 обыкновенных акций Компании (также в форме ГДР) у акционеров, воздержавшихся от голосования за план по выделению безрецептурного бизнеса Группы на Внеочередном общем собрании акционеров Компании, проведенном в сентябре 2013 года. Общая сумма денежного вознаграждения, выплаченного за приобретение, составила 3 132 486 тыс. руб.</t>
  </si>
  <si>
    <t>В период с апреля по июль 2013 года ОАО "Фармстандарт-Лексредства" приобрело 3 752 291 обыкновенных акций Компании в форме глобальных депозитарных расписок (ГДР) (одна обыкновенная акция эквивалентна четырем ГДР) и 140 000 обыкновенных акций Компании (что представляет собой около 10,3% разрешенного к выпуску уставного капитала Компании), уплатив денежное вознаграждение в общей сумме 7 944 034 тыс. руб. Разница между номинальной стоимостью всех приобретенных обыкновенных акций и вознаграждением, уплаченным за вышеуказанные обыкновенные акции, была отражена непосредственно в составе нераспределенной прибыли. После осуществления указанных операций ОАО "Фармстандарт-Лексредства" владело примерно 18,74% выпущенных акций Компании (собственные акции) для Группы. Все вышеуказанные акции использовались для расчетов при приобретении компании Bever.</t>
  </si>
  <si>
    <t>Pharmstandard International S.A.</t>
  </si>
  <si>
    <t>20 ноября 2012 г. Компания подписала договоры с акционерами компании ЗАО «Лекко» («Лекко»), зарегистрированной в соответствии с законодательством Российской Федерации с целью приобретения 100% акций в обращении компании «Лекко» на общее денежное встречное вознаграждение на сумму 21.8 миллионов долларов США (691,206 росс. руб.). Производственные помещения компании «Лекко» расположены во Владимирской области, и настоящая компания участвует в производстве ряда фармацевтической продукции. До приобретения компания «Лекко» была связанной стороной Группы и по заказу Группы производила определенную фармацевтическую продукцию (например, «Аципол»/Acipol и «Альтевир»/Altevir). Руководство cчитает, что приобретение расширит портфель Группы и сократит расходы на производство продукции, выпускаемой компанией «Лекко». Компания получила контроль на компанией «Лекко» 21 ноября 2012 г.</t>
  </si>
  <si>
    <t>25 июня 2012 г. Компания подписала контракты с акционерами компании «Бигперл Трейдинг Лимитед» («Бигперл»), зарегистрированной в соответствии с законодательством Кипра, с целью приобретения 50,005% акций в обращении компании «Бигперл» за общее встречное денежное вознаграждение на сумму 57 миллионов долларов США (1,910,589 росс. руб.). В 2012 году Группа приобрела 50,005% находящихся в обращении акций "Bigpearl Trading Limited" (далее, "Bigpearl"). Bigpearl является контролирующим акционером ряда компаний, зарегистрированных в соответствии с законодательством Российской Федерации и занимающихся производством различных фармацевтических препаратов, вакцин и активных фармацевтических субстанций (совместно именуемые "Группа компаний "Биопроцесс"), включая две основные компании - ОАО "Биомед им. И.И. Мечникова" и ООО "Фармапарк", а также три вспомогательные компании (ОАО "Фармацевтические инновации", ОАО "ЕКК" и ЗАО "ПКБ Биомедпрепаратов им. И.И. Мечникова").</t>
  </si>
  <si>
    <t>В августе 2013 года Компания приобрела неконтрольную долю участия в размере около 11% в Donelle Company Limited (далее − "Donelle"). Общая сумма денежного вознаграждения, выплаченного за приобретенную неконтрольную долю участия, составила 235 112 тыс. руб. В декабре 2013 года "Donelle" была переведена в состав "Отисифарм" в результате выделения брендированного безрецептурного бизнеса.  Donelle является единоличным акционером ЗАО "Афофарм" ("Афофарм"), которому принадлежит товарный знак "Афобазол" (единственный актив "Афофарм").</t>
  </si>
  <si>
    <t>В 1-ом квартале 2013 г. руководство Компании утвердило план по приобретению неконтрольных долей участия в ПАО «Фармстандарт - Биолек». В мае 2013 г. Компания приобрела 41.93% доли в ПАО «Фармстандарт - Биолек», что привело к увеличению доли Компании до 96.93%. Общая сумма вознаграждения, выплачиваемая денежными средствами для приобретения неконтрольных долей участия, составила 125,253 росс. руб. Разница в 53,047 росс. руб. между общей суммой вознаграждения и балансовой стоимостью неконтрольных долей участия, приобретенных за 72,206 росс. руб., была дебетована напрямую в уставной капитал. В дополнение, в январе 2013 г. Группа приобрела 0.1% неконтрольных долей участия в ОАО «Биомед» имени И.И. Мечникова за денежное встречное вознаграждение на сумму 322 росс. руб. Разница в 589 росс. руб. между общей суммой вознаграждения и балансовой стоимостью неконтрольных долей участия, приобретенных за 911 росс. руб., была зачислена напрямую в собственный капитал.</t>
  </si>
  <si>
    <t>ПАО "Харковское предприятие по производству иммунобиологических и лекарственных препаратов "Биолек"</t>
  </si>
  <si>
    <t>В 4 квартале 2010 года Компания заключила соглашения с акционерами Публичного акционерного общества "Харьковское предприятие по производству иммунобиологических и лекарственных препаратов "Биолек" ("Биолек") с целью приобретения 55% обыкновенных голосующих акций "Биолек", компании, расположенной в Украине, которая занимается производством и реализацией различных фармацевтических препаратов, за общее денежное вознаграждение в размере 397 017 руб. (13 086 тыс. долл. США). ПАО "Фармстандарт-Биолек" является организацией, не зарегистрированной на бирже. "Биолек" ведет бухгалтерский учет в украинских гривнах. Из общей суммы вознаграждения гарантийный платеж в размере 39 670 руб. (1 320 тыс. долл. США) подлежал выплате при достижении "Биолек" определенных операционных и финансовых показателей к 31 декабря 2011 года. В 2011 и 2012 годах Группа полностью осуществила гарантийный платеж (2011 г.: 10 625 руб.). В январе 2011 года Компания завершила процесс приобретения 55% обыкновенных акций, и 18 января 2011 года приобретенные акции '’Биолек” были переданы Компании. В июне 2011 года ПАО "Биолек" было переименовано в ПАО "Фармстандарт-Биолек". В 2011 году Группа завершила (i) реорганизацию управленческой и организационной структуры "Биолек" и (ii) внесла изменения в процедуры внутреннего контроля "Биолек" в соответствии с корпоративной политикой и процедурами Группы. Основной причиной приобретения было намерение Группы расширить свою деятельность на рынке Украины. Это намерение может быть реализовано как за счет реализации собственной продукции "Биолек", так и за счет маркетинга и продвижения некоторых фармацевтических брендов ОАО "Фармстандарт”. Гудвил в размере 359 531 руб. представляет стоимость ожидаемого синергического эффекта от приобретения и возможности расширения деятельности Группы.</t>
  </si>
  <si>
    <t>В четвертом квартале 2010 года Совет директоров Компании принял предложение продать 1 090 844 обыкновенные акции "Гриндекс" третьему лицу. В октябре 2010 года все обыкновенные акции "Гриндекс" были проданы за денежное вознаграждение в размере 12 447 тыс. евро (528 552 руб.).</t>
  </si>
  <si>
    <t xml:space="preserve">В апреле 2010 года Группа приобрела 1 090 844 обыкновенные акции (представляющих долю участия в размере 11,38% уставного капитала) АО "Гриндекс" ("Гриндекс"), компании, зарегистрированной в соответствии с законодательством Латвийской Республики, за денежное вознаграждение в размере 12 210 тыс. евро (481 065 руб.). Обыкновенные акции "Гриндекс" котируются на фондовой бирже "NASDAQ OMX Riga". В рамках стратегического партнерства с "Гриндекс" с января 2008 года Группа осуществляла сбыт и маркетинг своего фармацевтического препарата Милдронат® в Российской Федерации. </t>
  </si>
  <si>
    <t>ПАО "ПРОТЕК"</t>
  </si>
  <si>
    <t>В мае 2018 г. дочерняя организация Группы ООО «Альфа Живика», в которой Группа имеет 51% долю владения, приобрела 100% долю организации ООО «Аптека-Сити». Данное приобретение представляет собой покупку аптечных сетей с налаженными бизнес-процессами и квалифицированным персоналом.</t>
  </si>
  <si>
    <t>В апреле 2018 г. Группа приобрела 100% долю организации ООО «Город», аптечную сеть. Данное приобретение представляет собой покупку аптечных сетей с налаженными бизнес-процессами и квалифицированным персоналом.</t>
  </si>
  <si>
    <t>В феврале 2019 г. Группа приобрела 100% долю организации ООО «Аптека 313». Данное приобретение представляет собой покупку аптечной сети с налаженными бизнес-процессами и квалифицированным персоналом.</t>
  </si>
  <si>
    <t>Аптечная сеть</t>
  </si>
  <si>
    <t>PRTK</t>
  </si>
  <si>
    <t>В течение года, закончившегося 31 декабря 2019 г., Группа выкупила собственные акции на сумму 1 370 625 тыс.руб. На 31 декабря 2019 г. собственные акции, выкупленные у акционеров, включали 13 521 032 обыкновенных акций Организации, принадлежащих дочерней организации Группы, находящейся в полной собственности Группы. Указанные обыкновенные акции предоставляют право голоса также как и прочие обыкновенные акции. Руководство Группы фактически контролирует осуществление права голоса, предоставленного обыкновенными акциями, которые принадлежат дочерней организации Группы.</t>
  </si>
  <si>
    <t>17 апреля 2017 г. Группа приобрела 100% акций организации АО «Рафарма», представляющей собой фармацевтический комплекс полного цикла по производству лекарственных средств в соответствии со стандартом GMP Евросоюза. Приобретенная дочерняя организация позволит Группе расширить свою долю на фармацевтическом рынке и, как ожидается, повысит прибыльность путем повышения эффективности за счет экономии на масштабе.</t>
  </si>
  <si>
    <t>В июле 2017 г. Группа приобрела контроль над организациями АО «Аптечная сеть «ДОМфарма» и ООО «СветАл Фарм», представляющими собой аптечную сеть «ДОМфарма». Приобретенная аптечная сеть увеличит присутствие Группы на розничном фармацевтическом рынке Московской области.</t>
  </si>
  <si>
    <t>В течение 2015 г. Группа выкупила собственные акции Организации на сумму 1 269 474 тыс. руб. На 31 декабря 2015 г. собственные акции, выкупленные у акционеров, составляли 46 341 164 обыкновенные акции Организации. 7 апреля 2016 г. дочерние организации Группы – держатели обыкновенных акций Организации заключили договоры купли-продажи акций с акционером Организации ООО «ПРОТЕК», в соответствии с которыми все выкупленные собственные акции Организации, находящиеся в собственности Группы по состоянию на 31 декабря 2015 г., были проданы ООО «ПРОТЕК» по стоимости 67 руб. за акцию. Возмещение за проданные акции в размере 3 104 858 тыс. руб. было получено Группой в июне-июле 2016 г., соответствующая сумма налога на прибыль составила 218 845 тыс. руб.</t>
  </si>
  <si>
    <t>В течение 2014 г. Группа выкупила собственные акции на сумму 668 588 тыс.руб. (2013 г.: 41 062 тыс. руб.). На 31 декабря 2014 г. собственные акции, выкупленные у акционеров, включали 18 052 485 обыкновенных акций Предприятия (на 31 декабря 2013 г.: 2 415 000 обыкновенных акций; на 31 декабря 2012 г.: 1 415 000 обыкновенных акций), принадлежащих дочерним предприятиям Группы, находящимся в полной собственности Группы. Указанные обыкновенные акции представляют собой право голоса в том же соотношении, что и прочие обыкновенные акции. Руководство Группы фактически контролирует осуществление прав голоса, предоставленного обыкновенными акциями, которые принадлежат предприятиям в составе Группы.</t>
  </si>
  <si>
    <t>В 2012 г. предприятие ООО «Альфа Живика», в котором Группа имеет 51 % долю владения, приобрело 100% долю предприятия ООО «НПО «Карат», аптечную сеть.</t>
  </si>
  <si>
    <t>В июле 2011 г. Группа приобрела контроль над ООО «АнвиЛаб». ООО «АнвиЛаб» является правообладателем более 40 товарных знаков и патентообладателем 13 изобретений для производства фармацевтических препаратов, среди них один из первых отечественных комбинированных противопростудных препаратов. Гудвил, возникший при приобретении ООО «АнвиЛаб» в 2011 г., главным образом относится к ожидаемой прибыльности приобретенных лекарственных средств благодаря их широкой
известности на рынке, уникальности составов и форм выпуска, а также синергетическому эффекту с существующим продуктовым портфелем ЗАО «ФармФирма «Сотекс».</t>
  </si>
  <si>
    <t>В 2010 году Группа приобрела 25 % доли участия в 2008 году (в рамках приобретения доли в ООО «АСБ-Центр», которое являлось материнской компанией) и 26% доли участия в 2010 году за 144 760 тыс. руб. Компании «Живика» включают: ООО «Альфа Живика», ООО «Бета Живика», ООО «Гамма Живика», ООО «Вега Живика», ООО «Дельта Живика», ООО «АС Бюро Плюс»; ПРОТЕК приобрел 25% в 2008 году и 26% в 2010 году</t>
  </si>
  <si>
    <t>В 2010 году Группа приобрела 100% доли участия в аптечной сети.</t>
  </si>
  <si>
    <t>В 2010 году Группа продала долю участия, не обеспечивающую контроль, а именно 49% доли в ООО «Ригла-Екатеринбург», за 24 502 тыс. руб. Данная операция отражена через капитал как выбытие доли участия, не обеспечивающей контроль.</t>
  </si>
  <si>
    <t>В сентябре – октябре 2010 г. Группа приобрела 1 415 000 собственных акций на рынке на сумму 85 007 тыс. рублей.</t>
  </si>
  <si>
    <t>В мае 2010 г. 57 142 857 новых выпущенных обыкновенных акций Компании были проданы компании Tantarra Holdings Ltd. путем закрытой подписки по цене 3,29 долл. США за акцию, результатом чего был получен эмиссионный доход в размере 5 804 004 тыс. руб.</t>
  </si>
  <si>
    <t>Tantarra Holdings Ltd.</t>
  </si>
  <si>
    <t>В апреле 2010 г. Tantarra Holdings Ltd. и Streitum Investments Ltd осуществили первичное публичное размещение 114 285 714 акций Компании на фондовых биржах РТС и ММВБ по цене 3.50 долл. США за акцию.</t>
  </si>
  <si>
    <t>Tantarra Holdings Ltd. и Streitum Investments Ltd</t>
  </si>
  <si>
    <t>В 2009 году Группа приобрела 100% долю участия в компании Moxania Estates Ltd, которой принадлежит 100% доля участия в компании ООО «Риэлти-А», владеющей торговым помещением в г. Москва.</t>
  </si>
  <si>
    <t>В 2012 году Компания выпустила 2 605 000 обыкновенных акций, которые в июле 2012 года были приобретены компанией Sympatica Pharmaceuticals (Кипр) в обмен на 100% акций компании LIFEBio Laboratories LLC (США, Дэлавер).</t>
  </si>
  <si>
    <t>В апреле 2013 года Компания выпустила 50 725 149 обыкновенных акций из которых 37 137 994 акции были куплены АО «РОСНАНО» и 13 587 071 акция -ОРКО Pharmaceuticals, LLC.</t>
  </si>
  <si>
    <t>В апреле 2014 года Компания выпустила 26 874 911 обыкновенных акций, из которых 14 873 100 акций были приобретены АО «РОСНАНО» и 12 001 811 акций - ОРКО Pharmaceuticals, LLC.</t>
  </si>
  <si>
    <t>В течение 2020 года дочерняя компания LIFEBio Laboratories LLC продала принадлежавшие ей 11 909 100 обыкновенных акций Компании, и на 31 декабря 2020 года количество обыкновенных акций Компании, находящихся во владении LIFEBio Laboratories LLC, составило 12 штук.</t>
  </si>
  <si>
    <t>28 июня 2023 года завершена сделка по продаже 100% доли в уставном капитале АО «ВАКЦИНЫ». 19 ноября 2020 года зарегистрировано юридическое лицо АО «ВАКЦИНЫ», 100% дочернее общество ПАО «Фармсинтез», основной целью создания которого является реализация новых проектов по разработке и выводу на рынок оригинальных вакцин и лекарственных средств, включая профилактику и лечение новой коронавирусной инфекции.</t>
  </si>
  <si>
    <t>В 2022 году и 1-м полугодии 2023 года Группа осуществила размещение обыкновенных акций ПАО «Фармсинтез» в рамках дополнительной эмиссии, состоящей из 139 384 100 акций. Акции были размещены по открытой подписке по цене 5,05 рублей за акцию. По состоянию на 30 июня 2023 года отчет об итогах дополнительного выпуска акций находился в процессе регистрации Банком России. Отчет был зарегистрирован 7 июля 2023 года. Сумма денежных средств, привлеченных Группой в результате дополнительного выпуска акций, составила 703 890 тысяч рублей. В связи с тем, что на отчетную дату все акции дополнительного выпуска были размещены и оплачены и в процессе размещения акций не было допущено нарушений действующего законодательства, руководство Группы считает, что у Группы отсутствовали обязательства по возврату полученных денежных средств. С учетом указанного обстоятельства руководство классифицировало полученные денежные средства в качестве капитала, а не обязательства.</t>
  </si>
  <si>
    <t>ПАО "Фармсинтез"</t>
  </si>
  <si>
    <t>27 апреля 2016 г. Группа приобрела 47.2% голосующих акций (4 416 102 обыкновенных акций) компании Xenetic Biosciences Inc.(США, Массачусетс), в обмен на объекты интеллектуальной собственности, защищающие права на разработку и коммерциализацию препарата Вирекса (Virexxa), и путем конвертации в акции приобретенных ранее конвертируемых процентных векселей Xenetic Biosciences Inc. В результате данное транзакции Группа сохранила контроль над правами, защищающими разработку и коммерциализацию препарата Вирекса. Xenetic Biosciences Inc. расположена в США и специализируется на научных исследованиях и разработках биологических лекарственных препаратов и инновационных орфанных онкологических препаратов. Акции Xenetic Biosciences Inc. включены в котировальный список фондовой биржи NASDAQ (США). Xenetic Biosciences Inc. владеет 100% в компаниях Xenetic Biosciences Inc. (UK), Lipoxen Technologies Ltd (UK), Xenetic Technologies Inc. (USA) и SymbioTec Gmbh. Целью приобретения компании Xenetic Biosciences Inc., является получение доступа к ее исследованиям и разработкам, а также возможность выхода на рынки США и Европы. 23 сентября 2016 года компания Xenetic Biosciences Inc. конвертировала часть обыкновенных голосующих акций в привилегированные, что привело к увеличению доли Группы до 53.28%. С даты приобретения вклад компании Xenetic Biosciences Inc. в выручку Группы в 2016 году составил 201,105 тыс. рублей, в убыток Группы до налогообложения за 2016 год - 26,233 тыс. рублей. Если бы сделка по приобретению бизнеса была осуществлена 1 января 2016 года, то по оценкам руководства Группы, консолидированная выручка за 2016 год увеличилась бы на 201,105 тыс. рублей, а консолидированный убыток до налогообложения за 2016 год на 1,205,923 тыс. рублей.</t>
  </si>
  <si>
    <t>Xenetic Biosciences Inc.</t>
  </si>
  <si>
    <t>XBIO</t>
  </si>
  <si>
    <t>Res-Pharm</t>
  </si>
  <si>
    <t>Научные исследования и разработки биологических лекарственных препаратов</t>
  </si>
  <si>
    <t>LIFE</t>
  </si>
  <si>
    <t>Реализация новых проектов по разработке и выводу на рынок оригинальных вакцин и лекарственных средств, включая профилактику и лечение новой коронавирусной инфекции.</t>
  </si>
  <si>
    <t>LIFEBio Laboratories LLC</t>
  </si>
  <si>
    <t>Relative Core Cyprus Limited</t>
  </si>
  <si>
    <t>В феврале 2017 года был зарегистрирован выпуск 149 286 362 обыкновенных акций Компании, из которых: - 58 087 621 акция были приобретены АО «РОСНАНО», из которых 40 759 528 акций было передано в обмен на долю участия в ООО «Синбио»;- 57 760 628 акций были приобретены ООО «АйсГен» в обмен на долю участия в ООО «Синбио»;- 21 611 001 акция были приобретены Relative Core Cyprus Limited; - 11 827 112 акций были приобретены дочерней компанией LIFEBio Laboratories LLC и оплачены путем взаимозачета встречного обязательства, образовавшегося в рамках сделки купли-продажи интеллектуальной собственности.</t>
  </si>
  <si>
    <t>ОРКО Pharmaceuticals, LLC.</t>
  </si>
  <si>
    <t xml:space="preserve">ООО "Синбио" (включая ООО "Центр Петар") </t>
  </si>
  <si>
    <t>28 февраля 2017 года Группа завершила регистрацию дополнительного выпуска собственных ценных бумаг, в обмен на часть которого был получен контроль над 100% долей ООО Синбио, а также ООО Центр Петар, являющейся дочерней компанией ООО Синбио. Обе компании расположены в Российской Федерации и специализируются на научно-исследовательских разработках лекарственных препаратов медицинских технологий. Группа приобрела компанию ООО Синбио, поскольку это позволяет ей получить доступ к исследованиям и разработкам этой компании.
28 февраля 2017 года Компания получила 100% долей ООО -Синбио- от связанных сторон - АО «Роснано« и ООО “Айсген" в обмен на 98 520 156 собственных акций дополнительной эмиссии, завершенной в 2017 году, по цене 25.45 рублей за штуку. Данная операция представляет собой приобретение актива, поскольку ООО «Синбио» не является бизнесом. На момент подготовки данной консолидированной финансовой отчетности Группа не завершила оценку справедливой стоимости приобретенных активов, в связи с чем активы и обязательства ООО «Синбио* были включены в настоящую отчетность по их балансовой стоимости на дату приобретения.</t>
  </si>
  <si>
    <t>Guardum Pharmaceuticals, LLC</t>
  </si>
  <si>
    <t>16 апреля 2013 года Компания приобрела 100% акций компании Guardum Pharmaceuticals, LLC (США, Флорида) у ОРКО Pharmaceuticals, LLC и впоследствии заключила соглашения о сотрудничестве с ОРКО Diagnostics, LLC и ОРКО IP Holdings II, Inc. для дальнейшей разработки и коммерциализации полученных через приобретение Guardum Pharmaceuticals, LLC технологий. В качестве вознаграждения за услуги группы компаний ОРКО по данным соглашениям, Компания выпустила векселя на общую номинальную стоимость 9 500 000 долларов США (312 755 тысяч рублей по историческому обменному курсу), которые впоследствии полностью были оплачены Компанией и ее дочерними обществами.</t>
  </si>
  <si>
    <t>AS Kevelt</t>
  </si>
  <si>
    <t>Sympatica Pharmaceuticals (Кипр)</t>
  </si>
  <si>
    <t>15 марта 2011 г. Группа приобрела 100% акций компании Кевельт АС, Эстония. Приобретение произошло в рамках программы Группы по увеличению производственных мощностей и расширению рынка сбыта лекарств в Европе. В четвертом квартале 2011 года компания AS Kevelt зарегистрировала в Финляндии дочернюю организацию Kevelt Pharmaceuticals OY.</t>
  </si>
  <si>
    <t>ПАО "Артген" (ПАО "ИСКЧ")</t>
  </si>
  <si>
    <t>GEMA</t>
  </si>
  <si>
    <t>ABIO; ISKJ</t>
  </si>
  <si>
    <t>В результате проведенного Компанией 10 декабря 2009 г. IPO было размещено 15 000 000 обыкновенных акций (дополнительная эмиссия − 20% УК) в секторе ИРК ММВБ по 9,5 рублей за акцию. Отчет об итогах дополнительного выпуска ценных бумаг (обыкновенных акций) был зарегистрирован в апреле 2010 года.</t>
  </si>
  <si>
    <t>В 2022 году уставный капитал был увеличен до 9 264 545 рублей путем дополнительного выпуска 1-01-08902-A-004D от 19.08.2021г. количестве 7 645 951 штук в пользу ПАО «ММЦБ» и других акционеров, реализовавших преимущественное право приобретения акций по цене размещения 80 руб. за акцию.</t>
  </si>
  <si>
    <t>В течении 2022 года 501 тыс. шт. акций ПАО «Артген» были реализованы участникам ООО «Гистографт» при покупке доли ООО «Гистографт». ООО "Гистографт" было зарегистрировано в декабре 2012г. в России частными лицами. Начиная с 2016 года ПАО «Артген» осуществляло финансирование компании через целевые займы. В течение 2022 года в результате конвертации займов и частичного выкупа долей у основателей компании размер пакета ПАО «Артген» был увеличен и к 31.12.2022 г. достиг 57,7%. Компания была квалифицирована, как дочерняя. ООО "Гистографт" - российская биотехнологическая научно-производственная компания, сфокусированная на разработке и внедрении в клиническую практику ген-активированных материалов для регенерации различных тканей. Продукты компании - инновационные медицинские изделия, востребованные в хирургической стоматологии, челюстно-лицевой хирургии, травматологии и ортопедии, общей хирургии и комбустиологии, обладают импортозамещающим и экспортным потенциалом.</t>
  </si>
  <si>
    <t>Исаев А.А.</t>
  </si>
  <si>
    <t>GECO</t>
  </si>
  <si>
    <t>ПАО «ЦГРМ «ГЕНЕТИКО» - «Центр Генетики и Репродуктивной Медицины «ГЕНЕТИКО» является правопреемником зарегистрированной в 2012 году 100% дочерней компании ПАО «Артген» – ООО «ЦГРМ «ГЕНЕТИКО» (прежнее наименование – ООО «ЦГРМ ИСКЧ»). В 2021 году ООО «ЦГРМ «ГЕНЕТИКО» было преобразовано в акционерное общество, а с ноября 2022 года приобрело публичный статус. Общество было создано для осуществления деятельности по проведению исследований и разработок в области медицинской генетики и внедрению их результатов в практическое здравоохранение. Коммерциализация результатов НИОКР происходит посредством оказания медицинских услуг. В 2014 году, в целях совместного финансирования социально-значимого проекта Genetico® (развитие в РФ персонализированной медицины в области диагностики и профилактики наследственных заболеваний, а также патологий с генетической составляющей, в т.ч. в репродуктивной сфере), в состав участников ООО «ЦГРМ «ГЕНЕТИКО» было принято ООО «Биофармацевтические инвестиции РВК» (ООО «Биофонд РВК»). Принадлежащий ПАО «ЦГРМ «ГЕНЕТИКО» Центр Genetico® имеет комплекс лабораторий, оказывающий широкий спектр медико-генетических услуг как для врачей, так и для пациентов, услуги по разработке, проведении и анализу индивидуальных исследований для научных сообществ. Занимается разработкой тестсистем как молекулярно-генетических исследований.
В ноябре 2020 года Биофонд РВК продал свою долю 17,79 % основателю и Председателю Совета директоров ПАО «Артген» А.А. Исаеву, а в декабре 2020 года 10% от этой доли перешло во владение ООО «АйсГен 2» (новое наименование – ООО «ИСКЧ Венчурс»).
В соответствии с решением Банка России от 20.10.2022 г. осуществлена государственная регистрация дополнительного выпуска и регистрация проспекта обыкновенных акций ПАО «ЦГРМ Генетико», размещаемых путем открытой подписки. Количество ценных бумаг дополнительного выпуска: 10 000 000 штук, общий объем дополнительного выпуска по номинальной стоимости 100 000 руб. 25 апреля 2023 года ПАО «ЦГРМ «Генетико» завершило размещение на Московской бирже ценных бумаг в рамках IPO в количестве 10 млн штук. При номинальной стоимости акции в 0,01 рубля, фактическая цена составила 17,88 за единицу. В результате размещения компания привлекла 178,8 млн. руб. Одновременно ООО «ИСКЧ Венчурс» реализовало акции ПАО «ЦГРМ Генетико» на Бирже в количестве 2 968 910 шт., выручив 103 943 тыс. руб. Доля ПАО «Артген» по состоянию на 30.06.2023 г. составила 78,7 %.</t>
  </si>
  <si>
    <t>В январе 2020 года ПАО «Артген» приобрело 60%-ю долю в ООО «Скинцел», зарегистрированном в марте 2018 года. Компания осуществляет разработку метода лечения пациентов с буллезным эпидермолизом на основе трансплантации аллогенных фибробластоподобных клеток человека с использованием технологической платформы SPRS-терапии®. Совместно НИТУ МИСиС (г. Москва) проводится разработка метода получения кожного эквивалента, основанного на биопринтинге с использованием технологической платформы SPRS-терапии®.</t>
  </si>
  <si>
    <t>ООО «Витацел» (учреждено в 2009 году) - компания-разработчик клеточных и ткане-инженерных технологий в области регенеративной медицины. Доля в уставном капитале ООО «Витацел» в размере 60% была приобретена ПАО «Артген» в апреле 2010 года. Компания разработала SPRS-терапию® — инновационную клеточную технологию применения собственных дермальных фибробластов для коррекции возрастных и рубцовых дефектов кожи. SPRG-терапия® (Service for Personal Regeneration of Gum) - комплекс персонифицированных процедур для восстановления мягких тканей пародонта. На основе SPRG®-терапии совместно с клиникой МЕDИ (г. Санкт-Петербург) разработан ткане-инженерный продукт: "Персонализированные ткане-инженерные биокомпозиты для восстановления мягких тканей пародонта". Все технологии защищены патентами.</t>
  </si>
  <si>
    <t>минор</t>
  </si>
  <si>
    <t>ООО «Генотаргет». По состоянию на 31.12.2022г. Компания признана ассоциированной в результате дополнительного приобретения долей со стороны ПАО «ИСКЧ» в течение 2022 года. ООО "Генотаргет" разрабатывает и внедряет геннотерапевтические препараты для лечения орфанных нейромышечных заболеваний. В основе пайплайна - технология генного трансфера с помощью рекомбинантных адено-ассоциированных вирусов.</t>
  </si>
  <si>
    <t>ООО «Ангиогенезис» было зарегистрировано в сентябре 2016 года. После приобретения доли миноритарного акционера доля ПАО «ИСКЧ» к 31.12.2022 г. достигла 100 %. 24.01.2023г. Принято решение о реорганизации в форме присоединения к ООО «ИСКЧ ВЕНЧУРС». Основной вид деятельности компании - научные исследования и разработки в области естественных и технических наук (в частности - НИОКР с целью внедрения инновационных геннотерапевтических препаратов для лечения сердечно-сосудистой патологии).</t>
  </si>
  <si>
    <t>ООО «ЛКТ» («Лаборатории Клеточных Технологий») учреждено ПАО «ИСКЧ» апреле 2007 года. В декабре 2018 года Группой ИСКЧ была осуществлена покупка доли миноритарного участника ООО «ЛКТ» в результате чего эффективная доля владения ПАО «ИСКЧ» составила 100% против бывших 75%. Цель ООО «ЛТК» - осуществление исследований в области клеточных и генных технологий, разработка новых методов лечения и, в дальнейшем, внедрение этих методов в клиническую практику. Компания владеет рядом патентов, в т.ч. по перспективным направлениям, включая технологию создания плюрипотентных клеток.</t>
  </si>
  <si>
    <t>АО «Крионикс» осуществляет деятельность в области биотехнологии, фармакологии и медицины. Ведущими R&amp;D проектами компании являются внедрение инновационных препаратов на базе гистона Н1 для лечения ряда онкогематологических заболеваний, а также разработка лекарственных средств на основе стволовых клеток. Компания «Крионикс» является давним партнером ИСКЧ, представлявшим услуги Гемабанка® в Санкт-Петербурге и Ленинградской области. Также АО "Крионикс", наряду с ПАО "ИСКЧ", является участником ООО "АйсГен 2". Доля в АО «Крионикс» в размере 50% была приобретена ПАО «ИСКЧ» в 2011 году. В апреле 2011 года была докуплена доля 5,98%. В течение 2013 года доля в АО «Крионикс» увеличилась на 3% в результате неисполнения договора займа, залогом по которому являлись 903 обыкновенные именные бездокументарные акции АО «Крионикс», и перехода залога к ПАО «ИСКЧ». Таким образом, суммарно доля в уставном капитале АО «Крионикс» по состоянию на 31 декабря 2013 г. составила 58,98%. В 2014 году ПАО «ИСКЧ» произвело оплату акций по закрытой подписке дополнительного выпуска ценных бумаг АО « Крионикс». В ноябре 2014 года произведена Государственная регистрация отчета об итогах дополнительного выпуска ценных бумаг. В результате Группа увеличила долю своего участия в АО «Крионикс» до 70,11%. В сентябре 2017 года ПАО «ИСКЧ» выкупило доли у 2-х миноритарных акционеров  акции, в результате чего доля Группы выросла до 70,13%. В 2018 году в результате разделения ООО «АйсГен» эффективная доля владения ПАО «ИСКЧ» (доля Группы) в АО «Крионикс» составила 100%: ПАО «ИСКЧ» - 70,13%, 000 «АйсГен 2» - 29,87%.</t>
  </si>
  <si>
    <t>ООО «ММЦБ» (ООО "Международный Медицинский Центр Обработки и Криохранения Биоматериалов") было зарегистрировано как 100%-я дочерняя компания ПАО «Артген» в октябре 2014 года. Компания была создана для реализации деятельности Артген по персональному банкированию гемопоэтических стволовых клеток пуповинной крови (ГСК ПК) и других ценных биоматериалов под брендом Гемабанк® отдельным юридическим лицом. Выделение было произведено в целях более эффективного управления бизнесом Гемабанка®, созданного Артген в 2003 году, для использования
государственных льгот по налогообложению прибыли медицинских компаний, а также для повышения прозрачности Группы Артген в целом. Оказывать услуги Гемабанка® компания ММЦБ начала с 1 октября 2015 г. после соответствующего лицензирования. В мае 2019 года АО «ММЦБ» было преобразовано в ПАО с целью размещения дополнительного выпуска акций в свободное обращение на бирже. В результате прошедшего на Московской Бирже в июле 2019 года IPO компания разместила 15% акций увеличенного уставного капитала (223 948 акций) и привлекла более 150 млн. рублей на расширение производственных мощностей и развитие бизнеса (тикер: GEMA). Доля ПАО «ИСКЧ» в результате сократилась до 85%. В связи с реализацией акций на бирже в течении 2020-2022 г.г. доля ПАО «ИСКЧ» на 31.12.2022 г. составила 81,63 %.</t>
  </si>
  <si>
    <t>В марте 2010 года Советом директоров ПАО «ИСКЧ» было принято решение о приобретении доли в уставном капитале Товариства з обмеженою вiдповiдальнiстю «Медичний центр Гемафонд» (ООО «Медицинский центр «Гемафонд»), г. Киев, в размере 50%. Данная сделка была осуществлена 20 апреля 2010 г.</t>
  </si>
  <si>
    <t>В соответствии с договором купли-продажи (уступки) доли в уставном капитале ООО «Медицинский Центр «Гемафонд» от 17 февраля 2015 года ПАО «ИСКЧ» произвел отчуждение своей доли участия в данной ассоциированной компании в полном объеме в пользу NORD STATE LTD. (ПАО «ИСКЧ» реализовало долю в уставном капитале ООО «Медицинский центр «Гемафонд» за сумму 10 000 000,00 рублей). Государственная регистрация перехода права собственности на указанную долю к покупателю прошла 25 августа 2016 г.</t>
  </si>
  <si>
    <t>Проектная компания – ООО «СинБио» - была учреждена в 2011 году. В соответствии с условиями Инвестиционного соглашения ПАО «ИСКЧ» приобрело долю в проектной компании номинальной стоимостью 613 078 тыс. руб. (28,11%). Имуществом, внесенным ОАО «ИСКЧ» в качестве вклада в уставный капитал ООО «СинБио», являлось: НМА, финансовые вложения, денежные средства. Дочерней компанией ИСКЧ АО «Крионикс» была приобретена доля капитале ООО «СинБио» номинальной стоимостью 118 799 тыс. руб. (5,46%) посредством внесения прав по сублицензионному договору, вытекающих из лицензионного соглашения на передачу исключительного права и лицензии разработку, исследование, производство, использование, продажу, лизинг, аренду, введение в оборот и рекламирование всей продукции с использованием лицензионных патентов и ноу-хау. В том же 2011 году для последующей консолидации активов (долей) участников ООО "СинБио" (исключая АО "РОСНАНО") в качестве компании-балансодержателя было учреждено ООО «АйсГен», в котором доля ПАО «ИСКЧ» составила 39,48%, а доля АО «Крионикс» - 9,31%. Консолидация долей произошла 2014 году: в феврале-марте 2014 г., во исполнение условий Инвестиционного соглашения, участники проекта «СинБио» (исключая РОСНАНО) консолидировали свои активы в компании ООО «АйсГен» путем передачи в ее УК в качестве дополнительных вкладов принадлежавших им с 2011 года долей в ООО «СинБио». В результате участниками ООО «СинБио» стали 2 стороны: АО «РОСНАНО» (41%) и ООО «АйсГен» (59%), которая представляет интересы всех других участников Проекта, среди которых ИСКЧ и Крионикс. Таким образом, с 14 февраля 2014 г. ПАО «ИСКЧ» и АО «Крионикс» перестали быть участниками ООО «СинБио» и Группа стала иметь косвенное участие в данной компании через свою долю в ООО «АйсГен». А после государственной регистрации увеличения уставного капитала ООО «АйсГен» (4 марта 2014 г.) доля участия Группы в компании ООО «АйсГен» не изменилась, но Группа утратила над ней контроль и стала учитывать деятельность ООО «АйсГен» методом долевого участия. В 2016 году ООО «АйсГен» произвело отчуждение своей доли в ООО «СинБио» в обмен в обмен на акции ПАО « Фармсинтез», выпущенные в рамках допэмиссии при увеличении УК ПАО « Фармсинтез».</t>
  </si>
  <si>
    <t>Serv-Med</t>
  </si>
  <si>
    <t>MD MEDICAL GROUP INVESTMENTS PLC</t>
  </si>
  <si>
    <t>Медицинские услуги (держатель торговых марок)</t>
  </si>
  <si>
    <t>В 2017 году Компания приобрела 15% акций дочерней компании, которую она контролирует, за 33 000 тыс. руб. В результате неконтролирующая доля участия в дочернем предприятии уменьшилась на 5 433 тыс. руб. Разница в размере 27 567 тыс. руб. между вознаграждением, выплаченным миноритарному акционеру, и суммой приобретенной неконтролирующей доли участия была учтена как сделка с капиталом.</t>
  </si>
  <si>
    <t>В 2017 году Компания приобрела 10% акций дочерней компании, которую она контролирует, за 20 000 тыс. руб. В результате неконтролирующая доля участия в дочерней компании уменьшилась на 7 328 тыс. руб. Разница в размере 12 672 тыс. руб. между вознаграждением, выплаченным миноритарному акционеру, и суммой приобретенной неконтролирующей доли участия была учтена как сделка с капиталом.</t>
  </si>
  <si>
    <t>В течение 2018 года Группа приобрела дополнительно 30% акций ООО «Мать и дитя Юго-Запад» и ООО «ФимедЛаб», 26% акций ООО «Велум», 20% акций ООО «Клиника здоровья» и 15% акций ООО «Капитал Групп», ООО «Мать и дитя Пермь», ООО «Мать и дитя Уфа», ООО «Мать и дитя Санкт-Петербург» за 12 335 тыс. долларов США, что соответствует 790 231 тыс. руб. на дату передачи акций и 768 235 тыс. руб. на дату оплаты. В результате неконтролирующая доля участия в данных дочерних обществах уменьшилась на 170 692 тыс. руб. Разница в размере 619 539 тыс. руб. между стоимостью инвестиций на дату перехода права собственности и приобретенной неконтролирующей долей участия была учтена как операция с долевым капиталом.</t>
  </si>
  <si>
    <t>В течение года, закончившегося 31 декабря 2014 года, Компания приобрела 230 000 собственных акций (0,3% от общего количества выпущенных акций) общей стоимостью 73 086 тыс. руб.</t>
  </si>
  <si>
    <t>MDMG</t>
  </si>
  <si>
    <t>В конце января 2016 года Компания приобрела у третьей стороны 100% акций пяти предприятий. Все эти организации зарегистрированы по российскому законодательству и расположены в Красноярске, Омске, Новосибирске и Барнауле. Приобретение было осуществлено за денежное вознаграждение в размере 485 000 тыс. руб. Приобретение соответствует стратегии MDMG по региональной экспансии и развитию высококачественной сети амбулаторных клиник, специализирующихся на ЭКО, акушерстве, гинекологии и педиатрии.</t>
  </si>
  <si>
    <t>ARTMed Group (5 предприятий)</t>
  </si>
  <si>
    <t>В конце декабря 2015 года Компания приобрела ООО «Медика 2», российскую компанию, предоставляющую различные медицинские услуги в различных областях, таких как гинекология, лечение бесплодия и экстракорпоральное оплодотворение («ЭКО»). Данное предприятие находится в российском городе Новокузнецке. Целью приобретения было географическое расширение деятельности Группы.</t>
  </si>
  <si>
    <t>В октябре 2014 года Компания приобрела Ivicend Holding Ltd., кипрскую холдинговую компанию с российскими дочерними компаниями, которые предоставляют различные медицинские услуги в различных дисциплинах, таких как гинекология, педиатрия, лечение бесплодия и лечение методом искусственного оплодотворения («ЭКО»). в российском городе Новосибирске.Целью приобретения было расширение географии деятельности Группы.</t>
  </si>
  <si>
    <t>Ivicend Holding Ltd. (Avicenna Medical Center)</t>
  </si>
  <si>
    <t>Vitanostra Ltd</t>
  </si>
  <si>
    <t>Дочерние компании, приобретенные в 2013 году, предоставляют медицинские услуги в таких областях, как гинекология, педиатрия, фертильность и экстракорпоральное оплодотворение («ЭКО»). Данные предприятия расположены в Самаре и Иркутске. Целью данных приобретений было географическое расширение деятельности Группы за счет смежного бизнеса. ООО «Центр репродуктивной медицины» приобретено в мае 2013 г.</t>
  </si>
  <si>
    <t>Дочерние компании, приобретенные в 2013 году, предоставляют медицинские услуги в таких областях, как гинекология, педиатрия, фертильность и экстракорпоральное оплодотворение («ЭКО»). Данные предприятия расположены в Самаре и Иркутске. Целью данных приобретений было географическое расширение деятельности Группы за счет смежного бизнеса. Vitanostra Ltd приобретена в марте 2013 г.</t>
  </si>
  <si>
    <t>В июле 2013 года Компания приобрела дополнительные 5% акций ООО «Центр репродуктивной медицины» за денежное вознаграждение в размере 9,884 тыс. руб. В результате сделки эффективная доля владения в ООО «Центр репродуктивной медицины» увеличилась с 80% до 85%.</t>
  </si>
  <si>
    <t>Дочерние компании, приобретенные в 2011 году, предоставляют медицинские услуги в таких областях, как гинекология, неонатология и педиатрия, лечение бесплодия и экстракорпорального оплодотворения («ЭКО»), семейная медицина и стоматологическая помощь. Данные предприятия расположены в Москве, Санкт-Петербурге, Уфе и Перми. Целью данных приобретений было географическое расширение деятельности Группы на смежные направления бизнеса и расширение спектра услуг, предлагаемых Группой, с целью предоставления более полного спектра медицинских услуг для матери, ребенка и семьи.</t>
  </si>
  <si>
    <t>Дочерние компании, приобретенные через опцион колл в январе 2011 г.</t>
  </si>
  <si>
    <t>Дочерние компании приобретены в ноябре 2011 г.</t>
  </si>
  <si>
    <t>Дочерняя компания приобретена в мае 2011 г.</t>
  </si>
  <si>
    <t>UNITED MEDICAL GROUP CY PLC</t>
  </si>
  <si>
    <t>21 февраля 2017 года Группа приобрела 100% доли владения ООО «Роддом XXI» в денежном выражении на сумму 20 295 тыс. евро у третьих лиц. ООО «Роддом XXI» приобретено с целью продолжения расширения деятельности Группы и предоставления медицинских услуг по лечению бесплодия, уходу за беременными, уходу за новорожденными, уходу за матерями, акушерству и гинекологии. Больница отвечает самым высоким международным медицинским стандартам в области акушерства и ухода за новорожденными. В течение года, закончившегося 31 декабря 2018 года, состоялось присоединение ООО «Роддом XXI» к ЗАО «Европейский медицинский центр».</t>
  </si>
  <si>
    <t>8 марта 2018 года Группа приобрела 100% акций компании Overseas Medical Centers Limited («Оверсиз Медикал Сентр Лимитед», ОМС) номиналом 1,00 фунт стерлингов у стороны, находящейся под общим контролем с Группой, по номинальной стоимости.</t>
  </si>
  <si>
    <t>Габралтар</t>
  </si>
  <si>
    <t>Медицинские услуги (Торговая компания)</t>
  </si>
  <si>
    <t>28 июня 2019 года Группа приобрела 50,1% доли владения ООО «Медстатус» в денежном выражении на сумму 697 тыс. евро у третьих лиц. Компания «Медстатус» была приобретена с целью дальнейшего расширения деятельности Группы и продвижения медицинских услуг.</t>
  </si>
  <si>
    <t>25 ноября 2019 года и 11 ноября 2019 года Группа приобрела 33,3% и 61,7% (соответственно) доли владения ООО «Топатомклиник» за 98 тыс. евро в рамках регионального расширения деятельности Группы в области лечения онкологических заболеваний.</t>
  </si>
  <si>
    <t>В мае 2022 года Группа приобрела у третьих лиц 72% ООО «Астра-77» (Астра-77) за 52 739 тысяч евро. Предприятие «Астра-77» было приобретено как расширение деятельности Группы в новом сегменте «Торговля медицинским оборудованием и реактивами для лабораторных исследований». Приобретение «Астра-77» укрепит позиции Группы на динамично развивающемся рынке лабораторных тестов. Важно, что данная компания занимается не только поставкой сложного медицинского оборудования, но и его техническим обслуживанием, что является принципиально значимым в нынешних условиях. «Астра-77» также обладает глубокими знаниями в сфере цифровизации, повышения эффективности и разработке лабораторий, имеет многолетний опыт работы с крупнейшими централизованными лабораториями как государственного, так и коммерческого сегментов, позволяя им повышать эффективность, производительность и качество своих исследований.</t>
  </si>
  <si>
    <t>Медицинские услуги (Поставка медицинского оборудования)</t>
  </si>
  <si>
    <t>В феврале 2010 г. Совет директоров Группы принял решение продать ОАО «Славнефть-ЯНПЗ им. Менделеева» (Русойл). В мае 2012 г. Группа завершила продажу ОАО «Славнефть-ЯНПЗ им. Менделеева» (Русойл) третьим сторонам за 21 млн рублей.</t>
  </si>
  <si>
    <t>В феврале 2010 г. Совет директоров Группы принял решение продать ЗАО «Русойл-Москва» третьим сторонам. В декабре 2012 г. Группа завершила продажу ЗАО «Русойл-Москва» третьим сторонам за 20 млн рублей.</t>
  </si>
  <si>
    <t>В апреле 2011 г. Группа завершила продажу ЗАО «СП МеКаМи Нефть» третьим лицам за 970 млн рублей.</t>
  </si>
  <si>
    <t>В августе 2011 г. Группа завершила продажу ООО «Мегион сервис» третьим лицам за 1 293 млн рублей .</t>
  </si>
  <si>
    <t>В сентябре 2009 г. Совет директоров Группы принял решение продать ЗАО «Мессояханефтегаз» Основным акционерам Группы. В декабре 2010 г. Группа завершила продажу 50% ЗАО «Мессояханефтегаз» ОАО «ТНК-ВР Холдинп» за 585 млн рублей, выплаченных денежными средствами. В феврале 2011 г. Группа завершила продажу 50% ЗАО «Мессояханефтегаз» ООО «Газпромнефть-Инвест» (компании, аффилированной с Основным акционером - ОАО «Газпром нефть») за 585 млн рублей, выплаченных денежными средствами. В результате этой сделки Группа отразила прибыль в размере 2 917 млн рублей в отчете о совокупном доходе в 2010 г., когда Группа потеряла контроль над ЗАО «Мессояханефтегаз». Сумма займов, предоставленных ЗАО «Мессояханефтегаз», на 1 января 2011 г. составляла 6 095 млн рублей.</t>
  </si>
  <si>
    <t>РОС АГРО ПЛС</t>
  </si>
  <si>
    <t>22 октября 2021 года Группа приобрела 25% дополнительных акций ООО «Приморская соя», тем самым увеличив свою долю в уставном капитале до 100% (2020 год: 75%). Общее превышение выплаченного вознаграждения над долей Группы в идентифицируемых чистых приобретенных активах в размере 55 541 руб. было отражено как операция с капиталом в консолидированном отчете об изменениях в собственном капитале.</t>
  </si>
  <si>
    <t>Пищевая промышленность (Производство и переработка масла)</t>
  </si>
  <si>
    <t>Пищевая промышленность (Разведение свиней)</t>
  </si>
  <si>
    <t>26 февраля 2019 года Группа дополнительно приобрела 0,78% ОАО "Пугачевский элеватор", тем самым увеличив свою долю в уставном капитале ОАО "Пугачевский элеватор" до 84,95% (2018 г.: 84,17%). Общее превышение доли Группы в приобретенных идентифицируемых чистых активах над уплаченным вознаграждением в размере 1 643 рублей было отражено как операция с капиталом в консолидированном отчете об изменениях капитала.</t>
  </si>
  <si>
    <t>20 августа 2019 г. Группа приобрела 22,5% долевого участия в ООО «ГК Агро-Белогорье», одного из крупнейших производителей свинины в России и крупного землевладельца в Белгородской области. Общая сумма денежного вознаграждения, переданного по сделке, составила 8 500 000 руб. Ключевыми сферами деятельности предприятия являются промышленное свиноводство и мясопереработка, молочное животноводство, растениеводство и кормопроизводство.</t>
  </si>
  <si>
    <t>Промышленное свиноводство и мясопереработка, молочное животноводство, растениеводство и кормопроизводство</t>
  </si>
  <si>
    <t>30 апреля 2019 г. Группа продала 100% доли владения ООО «Колышлейский Элеватор», расположенной в Пензенской области, по цене реализации 478 710 тыс. руб..</t>
  </si>
  <si>
    <t>25 февраля 2019 г. Группа приобрела 100% доли владения уставного капитала в недавно учрежденной компании Ros Agro China Limited, адрес регистрации – Гонконг.</t>
  </si>
  <si>
    <t>Ros Agro China Limited</t>
  </si>
  <si>
    <t>Группа приобрела 100% доли владения уставного капитала в недавно учрежденных компаниях: - Rosagro Meat Product Co., Ltd расположенной в Китае, Циндао 31 июля 2019 г.; - Hangzhou Rusagro Trading Limited расположенной в Китае, Ханчжоу 31 июля 2019 г.; - ROS AGRO TRADING LIMITED 19 сентября 2019 г.</t>
  </si>
  <si>
    <t>Rosagro Meat Product Co., Hangzhou Rusagro Trading Limited и ROS AGRO TRADING LIMITED 19 сентября 2019 г.</t>
  </si>
  <si>
    <t>Пищевая промышленность (Элеватор)</t>
  </si>
  <si>
    <t>27 февраля 2018 г. Группа дополнительно приобрела 25,50% акций ОАО «Пугачевский элеватор», таким образом увеличив свою долю в уставном капитале ОАО «Пугачевский элеватор» до 84,17% (в 2017 г.: 58,67%). Общее превышение доли Группы в приобретенных идентифицируемых чистых активах над выплаченным вознаграждением составило 30 249 руб. и было отражено в консолидированном отчете об изменениях в капитале.</t>
  </si>
  <si>
    <t>В августе 2018 года в рамках одной сделки Группа приобрела 100,00% уставного капитала торговой компании ООО «Торговый дом КапиталАгро» и холдинговой компании ООО «Капитал-Инвест», расположенных в Белгородской области. На момент совершения сделки по покупке ООО «КапиталИнвест» контролировало 100,00% акций ЗАО «КапиталАгро», расположенного в Белгородской области. Общая сумма вознаграждения, переданного по сделке, составила 557 000 тыс. руб. Близкое расположение приобретенных компаний к другим мясным компаниям Группы позволит повысить эффективность и конкурентные преимущества, а также позволит развить взаимопомощь и добиться экономии затрат при объединении бизнеса.</t>
  </si>
  <si>
    <t>19 сентября 2018 г. Группа приобрела 100% доли владения уставного капитала в ООО «Возрождение», которое владеет 11 тыс. Га земли в Тамбовской области. Компания планирует внедрить севооборот свеклы на этой земле и развивать систему орошения. Общая сумма денежного вознаграждения составила 217 850 тыс. руб.</t>
  </si>
  <si>
    <t>В 2017 году Группа приобрела 100% доли участия в уставном капитале ООО «Регионстрой», строительной компании, расположенной на Дальнем Востоке. Разница между переданным денежным возмещением в сумме 10 руб. и общей справедливой стоимостью чистых обязательств в сумме 108 382 руб., была немедленно признана обесценением и отражена в прочих операционных расходах.</t>
  </si>
  <si>
    <t>Пищевая промышленность (Переработка сахарной свеклы и сахара-сырца)</t>
  </si>
  <si>
    <t>В 2017 г. Группа увеличила свои доли участия в ПАО «Пугачевский элеватор», ОАО «Геркулес» и ОАО Имени «Генерала Ватутина». Разница между балансовой стоимостью неконтролирующей доли участия и переданного возмещения в сумме 79 194 руб. была отражена как сделка с капиталом в отчете об изменениях в капитале.</t>
  </si>
  <si>
    <t>В декабре 2016 г. Группа увеличила свою долю в ОАО «Кривец-Сахар» до 98,82%. Уплаченное возмещение составило 141 256 руб. Разница между балансовой стоимостью неконтролирующей доли участия и уплаченным возмещением в сумме 161 879 руб. была отражена как сделка с капиталом в отчете об изменениях в капитале.</t>
  </si>
  <si>
    <t>В 2016 г. Группа увеличила свою долю в ОАО «Валуйкисахар» до 100,0%. Уплаченное возмещение составило 1 594 руб. Разница между балансовой стоимостью неконтролирующей доли участия и переданного возмещения в сумме 2 607 руб. была отражена как сделка с капиталом в отчете об изменениях в капитале.</t>
  </si>
  <si>
    <t>В 2016 г. Группа продала 10% доли участия в ОАО «Геркулес» за денежное возмещение в сумме 37 613 руб. Разница между балансовой стоимостью неконтролирующей доли участия и полученного вознаграждения в сумме 17 526 руб. была отражена как сделка с капиталом в отчете об изменениях в капитале.</t>
  </si>
  <si>
    <t>Пищевая промышленность (Завод по переработке гречихи)</t>
  </si>
  <si>
    <t>В 2017 году Группа продала свою долю в уставном капитале ЗАО «Статус» за 42 116 руб.</t>
  </si>
  <si>
    <t>Регистратор</t>
  </si>
  <si>
    <t>4 августа 2015 года Группа приобрела 29,00% уставного капитала ОАО «Пугачевский элеватор» за 320 000 рублей. 12 мая 2016 года Группа увеличила свою долю в уставном капитале ОАО «Пугачевский элеватор» до 66,87%. По состоянию на 31 декабря 2015 года приобретение ОАО «Пугачевский элеватор» было учтено с использованием предварительной суммы активов и обязательств объекта инвестиций. В 2016 году независимый профессиональный оценщик провел оценку справедливой стоимости данных активов и обязательств на дату приобретения. Справедливая стоимость оказалась равна предварительной стоимости, представленной по состоянию на 31 декабря 2015 года. Остатки не пересчитывались.</t>
  </si>
  <si>
    <t>В 2015 году Группа увеличила свою долю в ОАО «Знаменский сахарный завод» до 100,0%. Выплаченное вознаграждение составило 45 175 рублей. Разница между балансовой стоимостью неконтролирующей доли участия и стоимостью приобретения в сумме 245 903 руб. была отражена как капитальная операция в отчете об изменениях в капитале.</t>
  </si>
  <si>
    <t>В 2015 году Группа увеличила свою долю в ОАО «Валуйкисахар» до 99,9%. Выплаченное вознаграждение составило 122 496 рублей. Разница между балансовой стоимостью неконтролирующей доли участия и стоимостью приобретения в сумме 233 356 млн. руб. была отражена как капитальная операция в отчете об изменениях в капитале.</t>
  </si>
  <si>
    <t>В 2015 году Группа продала 10% акций ОАО «Валуйкисахар» за вознаграждение в размере 122 496 руб. Разница между балансовой стоимостью неконтролирующей доли участия и полученным возмещением в сумме 37 473 руб. была отражена как капитальная операция в отчете об изменениях в капитале.</t>
  </si>
  <si>
    <t>4 марта 2016 года Группа приобрела 100,00% доли в уставном капитале ООО «Колышлейский элеватор», элеватора, расположенного в Пензенской области, за денежное вознаграждение в размере 180 000 рублей. Гудвил, возникший при приобретении, был отнесен на ЕГДС «Сельскохозяйственный центр». Близкое расположение к другим агропредприятиям Группы позволит создать большую эффективность и конкурентное преимущество.</t>
  </si>
  <si>
    <t>12 мая 2016 года Группа увеличила свою долю в уставном капитале ОАО «Пугачевский элеватор» до 66,87%. Сумма переданного денежного вознаграждения составила 9 178 руб. Доля участия в ОАО «Пугачевский элеватор», принадлежавшая до объединения бизнеса, составила 29,00%. Зерновой элеватор расположен в непосредственной близости от маслоэкстракционного завода Группы ЗАО «Самараагропромпереработка». Гудвилл, возникший в результате приобретения и отнесенный к ЕГДС «Нефть Самара», позволит развить синергию и добиться экономии затрат при объединении бизнеса.</t>
  </si>
  <si>
    <t>17 октября 2016 года Группа приобрела 100,00% доли в уставном капитале ООО «Алексеевка-Агроинвест», сельскохозяйственного предприятия, расположенного в Белгородской области, за денежное вознаграждение в размере 216 102 руб. Группа приобрела ООО «Алексеевка-Агроинвест» с целью расширения своего бизнеса в Белгородской области путем слияния с существующим и успешно действующим предприятием ООО «Русагро-Инвест». Процедура слияния была завершена 30 марта 2017 года.</t>
  </si>
  <si>
    <t>В мае 2016 года Группа приобрела 92,89% акций в уставном капитале ОАО «Геркулес», завода по переработке гречихи, расположенного в Воронежской области. Общая сумма переданного вознаграждения составила 347 559 руб. Гудвил, возникающий при приобретении, относится на счет приобретенной клиентской базы и ожидаемой прибыльности приобретенного бизнеса и распределяется на ЕГДС, генерирующую сахар.</t>
  </si>
  <si>
    <t xml:space="preserve">2 февраля 2015 года Группа приобрела 100,00% уставного капитала ООО «Русагро-Приморье» за денежное вознаграждение в сумме 322 242 руб. </t>
  </si>
  <si>
    <t>22 января 2015 года Группа приобрела 100,00% уставного капитала ОАО «Учхоз ПГСХА» за денежное вознаграждение в сумме 131 471 руб.</t>
  </si>
  <si>
    <t>8 октября 2015 года Группа приобрела 75,00% уставного капитала ООО «Приморская соя» за денежное вознаграждение в размере 983 981 руб. Предприятие расположено в Дальневосточном Приморском крае и занимается добычей и переработкой соевого масла. Гудвил, возникший при приобретении, был отнесен на ЕГДС «Нефтяное Приморье» и отнесен на счет приобретенной клиентской базы и ожидаемой прибыльности приобретенного бизнеса.</t>
  </si>
  <si>
    <t>21 марта 2014 года Группа приобрела 31,00% уставного капитала ОАО «Тоцкое хлебоприемное предприятие» за 23 601 руб.</t>
  </si>
  <si>
    <t>26 августа 2014 года Группа приобрела дополнительные 68,87% уставного капитала и получила контроль над ОАО «Тоцкое хлебоприемное предприятие»</t>
  </si>
  <si>
    <t>26 сентября 2014 года Группа приобрела 10,50% в уставном капитале ЗАО «Статус» за 33 867 руб. Вместе с ранее имевшейся долей 14,50% доля Группы в ЗАО «Статус» достигла 25,00%.</t>
  </si>
  <si>
    <t>В 2015 году Группа увеличила свою долю в ОАО «Знаменский сахарный завод» до 100,0% Уплаченное возмещение составило 45 175 руб. Разница между балансовой стоимостью неконтролирующей доли участия и уплаченным возмещением в сумме 245 903 руб. была отражена как сделка с капиталом в отчетах об изменениях в капитале.</t>
  </si>
  <si>
    <t>В 2014 году Группа увеличила свою долю в ООО «Жердевский элеватор» и ОАО «Тоцкое хлебоприемное предприятие» до 100%. Уплаченное возмещение составило 531 руб. Разница между балансовой стоимостью неконтролирующей доли участия и переданного возмещения в сумме 3 руб. была отражена как сделка с капиталом в отчетах об изменениях в капитале.</t>
  </si>
  <si>
    <t>В 2013 году Группа увеличила свою долю в ЗАО «Самараагропромпереработка» на 25,1%. Уплаченное возмещение составило 251 000 руб. Превышение размера выплаченного возмещения над долей Группы в приобретенных идентифицируемых чистых активах составило 196 465 руб.</t>
  </si>
  <si>
    <t>В 2014 г. Группа продала 10% доли участия в ОАО «Знаменский сахарный завод» за денежное возмещение в сумме 41 070 руб. Разница между балансовой стоимостью неконтролирующей доли участия и переданного возмещения в сумме 188 661 руб. была отражена как сделка с капиталом в отчетах об изменениях в капитале.</t>
  </si>
  <si>
    <t>Пищевая промышленность (Производство масла)</t>
  </si>
  <si>
    <t>В 2012 году Группа увеличила свою долю в ОАО «Жировой комбинат» до 100%. Выплаченное вознаграждение составило 219 104 руб. Разница между балансовой стоимостью неконтролирующей доли участия и стоимостью приобретения в сумме 260 237 руб. была отражена как капитальная операция в отчете об изменениях в капитале.</t>
  </si>
  <si>
    <t>Пищевая промышленность (Переработка растительного масла)</t>
  </si>
  <si>
    <t>В 2012 году Компания приобрела 721 609 собственных ГДР, что эквивалентно примерно 144 322 акциям, путем покупок на Основном рынке Лондонской фондовой биржи. Общая сумма, уплаченная за приобретение ГДР, составила 158 097 рублей.</t>
  </si>
  <si>
    <t>В 2016 году группа продала 6 666 собственных ГДР из числа казначейских акций.</t>
  </si>
  <si>
    <t>В 2014 году Компания приобрела 200 040 собственных ГДР, что эквивалентно примерно 40 008 акций, путем приобретения на Основном рынке Лондонской фондовой биржи (2013 г.: не было приобретения собственных ГДР). Общая сумма, уплаченная за приобретенные ГДР, составила в 2014 г. 44 033 руб.</t>
  </si>
  <si>
    <t>В 2011 году Группа увеличила свою долю в ОАО "Сахарный завод Никифоровский" до 100%. Выплаченное вознаграждение составило 104 983 руб. Разница между балансовой стоимостью неконтролирующей доли участия и стоимостью приобретения в сумме 203 553 руб. была отражена как капитальная операция в отчете об изменениях в капитале.</t>
  </si>
  <si>
    <t>В марте 2011 года Группа приобрела 74,9% акций ООО «Самараагропромпереработка», маслоэкстракционного завода в Самарской области. Целью приобретения было получение контроля над источником растительного масла, необходимого масложировому комбинату Группы. Гудвилл, возникший при приобретении, был отнесен на генерирующую единицу «Нефть Самара» и в основном отнесен к ожидаемой прибыльности приобретенного бизнеса вследствие значительной ожидаемой экономии совокупных затрат. Сумма приобретения в сумме 269 058 млн. руб. состояла из 10,5% доли участия в ОАО «Масложировой комбинат», дочерней компании Группы. Доля участия была передана продавцу в результате выпуска дополнительных акций, который состоялся в сентябре 2011 года. Справедливая стоимость вознаграждения была определена на основе расчета ценности использования с использованием прогнозов движения денежных средств ОАО «Масложировой комбинат». на основе финансовых бюджетов, утвержденных руководством Группы.</t>
  </si>
  <si>
    <t>В апреле 2011 года Группа приобрела 100% долю участия в ООО «Олхи», сельскохозяйственном предприятии в Тамбовской области, за общую сумму 4 393 руб.</t>
  </si>
  <si>
    <t>Во второй половине 2011 года Компания приобрела 1 290 999 собственных ГДР (что эквивалентно примерно 258 200 акциям) посредством покупок на Основном рынке Лондонской фондовой биржи. Общая сумма, уплаченная за приобретение акций, составила 303 750 рублей. Акции удерживаются как «казначейские акции».</t>
  </si>
  <si>
    <t>В ноябре 2009 года Группа приобрела 100% долю участия в ЗАО «Русский сахар» на общую сумму 1 462 367 рублей. ЗАО «Русский сахар» владело 100% акций ООО «Элеватор «Агроник» и 70,26% уставного капитала сахарного завода ОАО «Сахарный завод Никифоровский». Гудвилл, возникающий при приобретении, в первую очередь обусловлен ожидаемой прибыльностью приобретенного бизнеса вследствие значительной ожидаемой экономии совокупных затрат.</t>
  </si>
  <si>
    <t>Во второй половине 2008 года Группа приобрела контроль над несколькими сельскохозяйственными предприятиями и элеватором в Тамбовской области. Гудвилл, возникший в результате приобретений, связан с синергией объединенных трудовых ресурсов и культурных сфер.</t>
  </si>
  <si>
    <t>В 2009 году Группа также увеличила свою долю в ОАО «Жердевский элеватор» до 84,60%. Выплаченное вознаграждение составило 1 627 рублей. В результате данного приобретения был признан гудвилл в сумме 1 861 млн. руб.</t>
  </si>
  <si>
    <t>ПАО "Группа Черкизово"</t>
  </si>
  <si>
    <t>27 декабря 2022 года Группа приобрела у банка «Траст» часть бизнеса группы компаний «Здоровая ферма», состоящую из 100% акций ООО «Уральская мясная компания», ООО «Группа компаний «Здоровая ферма», ООО «Здоровая ферма деликатесы», ООО ТД «Здоровая ферма», АО «Уралбройлер» (далее совместно — «Группа «Здоровая ферма»), а также права требования долга от вышеуказанных компаний, ранее принадлежавшие банку «Траст» и АО «Птицефабрика «Комсомольская». Общая сумма вознаграждения составила 4 060 и была выплачена денежными средствами. Приобретенная деятельность представляет собой вертикально интегрированный сельскохозяйственный бизнес в Челябинской области, являющийся ведущим производителем мяса птицы на Урале, включая производство комбикормов и мясных полуфабрикатов. Это приобретение позволит Группе расширить географию своего присутствия в российских регионах, в частности, на Урале.</t>
  </si>
  <si>
    <t>Банк Траст</t>
  </si>
  <si>
    <t>15 декабря 2022 года Группа приобрела у банка «Траст» часть бизнеса группы компаний Русское зерно Уфа, состоящую из 100% акций АО «Башкирская птицефабрика», АО «Турбаслинские бройлеры», АО «Уфимский комбинат хлебопродуктов», ООО «Башкирское зерно+», «ООО Башкирское зерно» и ООО «ТД Турбаслинский бройлер» (далее совместно — «Группа «Русское зерно Уфа»), а также права требований по кредитным договорам «Траста». Общая сумма вознаграждения составила 6 370 и была выплачена денежными средствами. Приобретенная деятельность представляет собой вертикально интегрированный сельскохозяйственный бизнес в Башкортостане, являющийся ведущим производителем мяса птицы, включая производство комбикормов и выращивание зерновых культур в регионе. Это приобретение позволит Группе расширить географию своего присутствия в российских регионах.</t>
  </si>
  <si>
    <t xml:space="preserve">15 декабря 2022 года Группа заключила договор на продажу АО «Башкирская птицефабрика», подразделение по производству яиц недавно приобретенной группы компаний Русское Зерно, за денежное вознаграждение в размере 1 996, включая права требования долга, ранее принадлежавшие одному из дочерних предприятий Группы, в размере 501. Вознаграждение было уплачено в денежной форме до 31 декабря 2022 года. Целью выбытия была продажа неосновного бизнеса Группы и генерирование денежных потоков для расширения других бизнесов Группы. Продажа была завершена 20 декабря 2022 года, когда контроль над АО «Птицефабрика Башкирская» перешел к приобретателю. Балансовая стоимость чистых активов дочернего предприятия составила 1 996, в результате чего прибыль/убыток от выбытия были равны нулю. </t>
  </si>
  <si>
    <t>2 ноября 2022 года Группа заключила сделку по приобретению 100% Селекционно-генетического центра «Вишневский» за денежное вознаграждение в размере 3 402. СГЦ «Вишневский» расположен в Оренбургской области и занимается разведением свиней породы йоркширская, дюрок и ландрас, а также гибридных свиней первого поколения. Другие направления деятельности центра включают свиноводство и производство свинины на пяти производственных площадках, включая репродукторные хозяйства, фермы, кормозавод и скотобойню. Эта сделка позволит Группе расширить географию своего присутствия в российских регионах, в частности, в Оренбургской области.</t>
  </si>
  <si>
    <t>Группы Атриа (Финляндия)</t>
  </si>
  <si>
    <t>18 мая 2022 года Группа приобрела у финской Группы Атриа 100% ООО «Сибилла РУС» («Сибилла») за денежное вознаграждение в размере 630. Приобретенная компания специализируется на продаже готовых решений для производства и сбыта продуктов быстрого питания (хот-доги, бургеры, тортильи и т.д.) и работает в формате «магазин в магазине». На дату приобретения у «Сибиллы» были заключены контракты на поставку продукции в более 4 000 точек продаж, расположенных в основном на заправочных станциях и в местах отдыха (парки, стадионы) в различных регионах России и странах СНГ.</t>
  </si>
  <si>
    <t>Grupo Fuertes (Испания)</t>
  </si>
  <si>
    <t>1 апреля 2022 года Группа приобрела контроль в ООО «Мясокомбинат Всеволжский» («Самсон – Продукты Питания»), расположенным в Ленинградской области, путем приобретения оставшихся 25% акций за денежное вознаграждение в размере 59.</t>
  </si>
  <si>
    <t>В январе 2022 года Группа закрыла сделку по приобретению оставшихся 50% акций компании «Тамбовская индейка» (бренд «Пава-Пава»), второго по величине производителя индейки в России, у испанской компании Grupo Fuertes. Общая сумма вознаграждения составила 3 598 и была выплачена 1 175 028 акциями ПАО «Группа Черкизово», дополнительно выпущенными Компанией в начале 2022 года. Целью приобретения была полная консолидация производственных мощностей «Тамбовская индейка» с целью дальнейшего развития Группой сегмента индейки.</t>
  </si>
  <si>
    <t>Аркадий Левин и другие акционеры</t>
  </si>
  <si>
    <t>28 декабря 2021 года Группа подписала соглашение с владельцами Краснобора о выкупе их долей в компании. 30 декабря 2021 года Фонд «Russia Partners» продал долю в размере 57.7 % Группе за денежное вознаграждение в размере 973. Оставшиеся доли Группа приобрела в январе 2022 года, у Аркадия Левина, основателя компании «Краснобор», было выкуплено 24.5% и у других миноритарных акционеров – 17.8 % за денежное вознаграждение в размере 531. Компания Краснобор владеет площадками по выращиванию индейки и производству мяса индейки в Ленинском и Новомосковском районах Тульской области. Компания предлагает широкий ассортимент продукции под брендом Краснобор. Приобретение было направлено на увеличение производственных мощностей Группы по производству индейки и расширение присутствия Группы на рынке индейки.</t>
  </si>
  <si>
    <t>30 апреля 2021 года Группа завершила сделку по приобретению 100% ООО «Пит-Продукт» (Ленинградская область) у финской группы Атрия за денежное вознаграждение в размере 2 840. В результате Черкизово приобрело два новых мясоперерабатывающих завода по производству колбас, хот-догов и мясных деликатесов. Сделка также включала логистические объекты и торговые марки, в том числе их основной бренд – Пит Продукт.</t>
  </si>
  <si>
    <t>25 декабря 2018 года Группа приобрела 75% ООО «Мясокомбинат Всеволжский» и ООО «Свежий Продукт» (вместе «Самсон – Продукты Питания») за денежное вознаграждение в размере 350 к уплате на дату приобретения и условное возмещение к уплате в течение двух лет с даты приобретения. Условное возмещение зависит от результатов деятельности Самсон – Продукты Питания в 2019 году и на основании результатов деятельности ассоциированного предприятия за 2019 года было оценено по нулевой стоимости. На дату приобретения Группа также подписала акционерное соглашение с АО «Самсон – Продукты Питания», являющимся Продавцом и владельцем 25% долей в приобретенных компаниях. В соответствии с условиями этого соглашения, Группа согласилась с тем, что операционное управление, включая решения о назначении Генерального директора, остается в компетенции Продавца до окончательной продажи оставшихся 25% долей. Исходя из вышеизложенного, Группа отразила инвестиции в 75% долей «Самсон – Продукты Питания» как инвестицию в ассоциированную организацию. В июне 2021 года ООО «Свежий продукт» было реорганизовано в форме слияния с ООО «Мясокомбинат Всеволжский». Самсон – Продукты Питания работает в Северо-Западном регионе России и занимается мясопереработкой, и реализацией мясной продукции под брендами «Самсон», «Грильмания», «Филея» и прочими.</t>
  </si>
  <si>
    <t>Каргилл (Cargill)</t>
  </si>
  <si>
    <t>1 октября 2020 года Группа завершила сделку по приобретению у Каргилла 100% доли ООО «Компас Фудс», производителя полуфабрикатов из мяса птицы, расположенного в городе Ефремов Тульской области. Основным каналом сбыта продукции приобретенной компании является сеть ресторанов быстрого питания Макдональдс. Общая сумма вознаграждения составила 2 813 и была выплачена денежными средствами. Приобретение позволит Группе расширить продуктовую линейку и укрепить свои лидирующие позиции на рынке.</t>
  </si>
  <si>
    <t>21 декабря 2018 года Группа приобрела у Россельхозбанка права требования долга (кредитов) к ООО «Белая Птица Курск» (далее «Белая Птица Курск») и соответствующие соглашения об обеспечении (залога) за общую сумму в 5 639. Соглашения об обеспечении включают в себя договоры о залоге имущества большинства основных средств Белой Птицы Курск, а также договоры о залоге 100% капитала ООО «Белая Птица Курск». Для финансирования сделки Группа привлекла в Россельхозбанке пятилетний кредит в рублях на сумму 5 639 под 0% годовых в течение первых двух лет и 10% впоследствии. Справедливая стоимость кредита на дату признания составила 4 685 и была определена с использованием рыночной процентной ставки 10%.  Вознаграждение, подлежащее уплате за приобретенные права, было зачтено в счет суммы к получению по кредитному договору с Россельхозбанком. Движения денежных средств в данной сделке не происходило. На дату приобретения права требования долга Белой Птицы Курск были учтены по справедливой стоимости, которая была приравнена к справедливой стоимости кредита, полученного от Россельхозбанка. Группа планирует возместить права требования долга путем получения обеспечения в момент, когда оно станет юридической собственностью Группы. На дату приобретения прав требования производственные активы Белой Птицы Курск не работали, Группа арендовала данные активы и возобновила производство на площадках в 1 квартале 2019 года, используя синергию в сочетании с существующими площадками родительского стада птицы и комбикормовыми заводами Группы.</t>
  </si>
  <si>
    <t>Россельхозбанк</t>
  </si>
  <si>
    <t xml:space="preserve">4 октября 2019 года Группа завершила сделку по приобретению 100% акций ЗАО «Ровеньский Бройлер», производителя инкубационного яйца, расположенного в Белгородской области, за денежное вознаграждение в размере 1 664. </t>
  </si>
  <si>
    <t>28 ноября 2018 года Группа завершила сделку по приобретению 100% акций АО «Алтайский Бройлер» за денежное вознаграждение в размере 4 588. АО «Алтайский бройлер» является одним из ведущих игроков на сибирском рынке птицеводства с годовым объемом производства 67 тыс. тонн в живом весе (58 тыс. тонн готовой продукции). На сегодняшний день это современное птицеводческое предприятие, в состав которого входят инкубаторий, комбикормовый завод, четыре площадки откорма, завод по убою и переработке мяса птицы в Бийске. Это приобретение позволит Группе Черкизово получить доступ к рынку Сибирского федерального округа и укрепить лидирующие позиции на отечественном рынке мяса птицы.</t>
  </si>
  <si>
    <t>23 октября 2018 года Группа приобрела все материальные активы, включая родительское стадо птицы, четырех производственных площадок по производству инкубационных яиц ЗАО «Краснояружский бройлер» (Белгородская область) и наняла большинство сотрудников, работающих на этих участках. Общая сумма вознаграждения составила 1 799 и была выплачена денежными средствами. Приобретение позволит Группе поставлять в Алтайский Бройлер инкубационные яйца и покрыть все потребности Группы в инкубационных яйцах.</t>
  </si>
  <si>
    <t>Сельское хозяйство (Растениеводство)</t>
  </si>
  <si>
    <t>28 апреля 2017 года Группа завершила сделку по приобретению 100% акций НАПКО, одного из ведущих российских производителей зерновых, за денежное вознаграждение в размере 4 872 000, у компании под общим контролем. Банк сельскохозяйственных земель НАПКО в размере 147 000 гектаров и соответствующая инфраструктура для культивации земли и хранения зерновых расположены в Липецкой, Тамбовской и Пензенской областях. В 2016 году НАПКО произвело 250 000 тонн зерновых культур.</t>
  </si>
  <si>
    <t>НАПКО</t>
  </si>
  <si>
    <t>24 марта 2014 года Группа завершила приобретение 100% акций в уставном капитале ЗАО «ЛИСКО Бройлер» («ЛИСКО») за денежное вознаграждение в размере 3 306 158, из которых 3 227 025 были оплачены денежными средствами до 31 декабря 2014 года (представлены в отчете о движении денежных средств за вычетом приобретенных денежных средств в сумме 178 737) и 79 133 будут оплачены по окончании процедуры регистрации права собственности на ряд земельных участков.</t>
  </si>
  <si>
    <t>14 апреля 2013 года Группа завершила приобретение 95% уставного капитала комбината «Данковский» за денежное вознаграждение в размере 1 130 тыс. долл. Мясокомбинат находится в городе Данков, Липецкая область, недалеко от существующих свиноводческих ферм Группы. Компания, основанная в 1936 году, специализируется на забое, обвалке и замораживании крупного рогатого скота и свиней, а также на производстве колбас. Убойная мощность завода составляет около 500 свиней в смену, мощность по производству готовой продукции составляет около 68 тонн в сутки. Завод имеет холодильные камеры на 500 тонн единовременного хранения. Группа планирует увеличить мощности приобретенного комбината.</t>
  </si>
  <si>
    <t>НАФКО (связанная сторона)</t>
  </si>
  <si>
    <t>В третьем квартале 2012 года Группа приобрела 100% уставного капитала компании Воронежмясопром и Воронежмясо, включая селекционно-генетический свинокомплекс в Воронежской области, элеваторы в Воронежской и Пензенской областях, строящийся комбикормовый завод и около 30 000 гектаров земель сельскохозяйственного назначения в Воронежской области у НАПКо. связанной стороны, находящейся под общим контролем с Группой. Эти приобретения были отражены как операции под общим контролем и учтены по балансовой стоимости на дату приобретения с соответствующей ретроспективной корректировкой всех представленных предыдущих отчетных периодов. В соответствии с условиями договора купли-продажи доли, 19 682 тыс. долл. были выплачены денежными средствами и 12 828 тыс. долл. должны быть либо выплачены денежными средствами или фиксированным количеством акций Группы (795 266 акций) по усмотрению Группы. Опцион на оплату акциями Группы не был отражен в учете отдельно, так как его справедливая стоимость на дату приобретения и впоследствии была несущественной. Обязательство по оплате акциями было исполнено Группой передачей акций, выкупленных ранее у акционеров. Задолженность была записана как уменьшение добавочного капитала Группы.</t>
  </si>
  <si>
    <t>В течение первого квартала 2012 года Группа дополнительно приобрела 1,76% акций ОАО МК Ульяновский за денежное вознаграждение в 94 тыс. долл., 1,29% акций ОАО Пензенское Хлебоприемное предприятие за денежное вознаграждение в 31 тыс. долл. и 1,14% акций ОАО Ожерельевский ККЗ за денежное вознаграждение 67 тыс. долл.. Эти покупки были учтены как операции с капиталом. Балансовая стоимость неконтрольной доли участия была скорректирована с учетом изменения доли участия в ОАО МК Ульяновский, ОАО Пензенское Хлебоприемное предприятие и ОАО Ожерельевский ККЗ. Разница между справедливой стоимостью уплаченного вознаграждения и суммой корректировки неконтрольной доли участия была признана в составе капитала, относящегося к Группе.</t>
  </si>
  <si>
    <t>19 мая 2011 года Группа приобрела 100% акций ЗАО «Прогресс» («Прогресс») у НАФКО, связанной стороны, находящейся под общим контролем с Группой, за денежное вознаграждение в размере 4 268 тыс. долл. Данное приобретение было учтено как приобретение предприятия, находящегося под общим контролем, по балансовой стоимости в капитале в текущем периоде. Группа не произвела ретроспективных корректировок предыдущих периодов, связанных с приобретением компании, находящейся под общим контролем, поскольку влияние данной операции несущественно как для текущего, так и для предшествующих периодов. Приобретенный свиноводческий комплекс находится в Пензенской области и будет переоборудован в 27 птичников, с общей мощностью 1,18 миллионов бройлеров. Это предприятие будет интегрировано в существующий проект в Пензе, который был создан в конце 2009 года, и таким образом еще больше увеличит мощность блока.</t>
  </si>
  <si>
    <t>26 августа 2011 года Группа приобрела 100% акций ООО «Большевик» («Большевик») у НАФКО, связанной стороны, находящейся под общим контролем с Группой, за денежное вознаграждение в размере 10 387 тыс. долл.. Данное приобретение было учтено как приобретение предприятия, находящегося под общим контролем, по балансовой стоимости в капитале в текущем периоде. Группа не произвела ретроспективных корректировок предыдущих периодов, связанных с приобретением компании, находящейся под общим контролем, поскольку влияние данной операции несущественно как для текущего, так и для предшествующих периодов. Приобретенный свиноводческий комплекс находится в Пензенской области и будет интегрирован в существующий проект в Пензе и таким образом еще больше увеличит мощность блока.</t>
  </si>
  <si>
    <t>12 мая 2011 года Группа завершила приобретение 100% акций в уставном капитале ЗАО «Моссельпром». В соответствии с условиями договора купли-продажи, сумма в размере 44 235 тыс. долл. была оплачена наличными средствами, а 27 000 тыс. долл. подлежат оплате в течение 150 дней с даты приобретения либо наличными средствами, либо фиксированным числом акций Группы (894 418 акций) по усмотрению Группы.</t>
  </si>
  <si>
    <t>В четвертом квартале 2010 года Группа приобрела у группы НАПКО, которая является связанной стороной, находящейся под общим контролем, 100% акций «Пензенской зерновой компании» и компании «Липецкмясо» (свиноводческие фермы, расположенные в Липецкой и Пензенской областях). Данные приобретения были учтены по балансовой стоимости как сделки с предприятием, находящимся под общим контролем. Все предыдущие периоды были ранее скорректированы таким образом, как если бы приобретение было завершено в наиболее раннем периоде, в котором мажоритарный акционер Группы создал данные юридические лица. Уплаченное вознаграждение в размере 325 009 тыс. руб. (10 686 тыс. долл. по состоянию на дату заключения сделки) было учтено как уменьшение добавочного капитала Группы.</t>
  </si>
  <si>
    <t>15 сентября 2010 года Группа приобрела 100% акций Отечественного продукта, выплатив при этом 4 106 тыс. долл. Отечественный продукт является мясоперерабатывающим комбинатом, расположенный в Калининградской области. Комбинат будет специализироваться на производстве мясных деликатесов, включая мясные копчености, ветчину и вареную колбасу.</t>
  </si>
  <si>
    <t>16 сентября 2010 года Группа приобрела 100% акций Заречной, выплатив при этом 5 211 тыс. долл. Приобретенная птицефабрика находится в Пензенской области. В ее состав входит 41 птичник общим объемом 1.55 млн. птицемест. Данное производство будет включено в состав текущего Пензенского проекта, начатого в конце 2009 года, в результате чего планируется увеличение производственной мощности в данном сегменте.</t>
  </si>
  <si>
    <t>В первом квартале 2010 года Группа приобрела дополнительно 4.47% акций ЗАО «Петелинская птицефабрика» за 557 тыс. долл.. Данная операция была учтена как операция с капиталом. Балансовая стоимость неконтрольной доли участия была скорректирована с учетом изменения доли участия в ЗАО «Петелинская птицефабрика». Разница между справедливой стоимостью уплаченного вознаграждения и суммой корректировки по неконтрольной доле участия была признана в составе собственного капитала, относящегося к Группе.</t>
  </si>
  <si>
    <t>3 марта 2009 года Группа приобрела 57,29% акционерного капитала ОАО «Пензенский комбинат хлебопродуктов», за денежное вознаграждение в размере 1 867 тыс. долл., размер транзакционных издержек был незначительным. «Пензенский комбинат хлебопродуктов» («Пензенсхий») представляет собой элеватор и компанию, производящую комбикорма, и расположен вблизи ОАО «Васильевская птицефабрика» в Пензенской области Российской Федерации. Группа приобрела данную компанию для получения доступа к ее зерновым складским сооружениям.</t>
  </si>
  <si>
    <t>В 2009 году Группа приобрела 11.7% Ардымского Хлебоприемного предприятия (АХП) за 102 тыс. долл. Данная операция была учтена как операция с капиталом. Балансовая стоимость неконтрольной доли участия была скорректирована с учетом изменения доли участия в АПХ. Разница между справедливой стоимостью уплаченного вознаграждения и суммой корректировки по неконтрольной доли участия была признана в составе собственного капитала, относящегося к Группе.</t>
  </si>
  <si>
    <t>После приобретения 57.29% Пензенского Комбината Хлебопродуктов Группа приобрела 4.91% компании за 185 тыс. долл. Данная операция была учтена как операция с капиталом. Балансовая стоимость неконтрольной доли участия была скорректирована с учетом изменения доли участия в «Пензенском». Разница между справедливой стоимостью уплаченного вознаграждения и суммой корректировки неконтрольной доли участия была признана в составе собственного капитала, относящегося к Группе.</t>
  </si>
  <si>
    <t>В декабре 2009 года Группа продала 6% ОАО «Бирюлевский мясоперерабатывающий комбинат» (ОАО Биком) за 12 тысяч рублей. Так как контроль не был потерян, сделка была учтена как операция с капиталом. Балансовая стоимость неконтрольной доли участия была скорректирована с учетом изменения доли участия в ОАО БМПК. Разница между справедливой стоимостью уплаченного вознаграждения и суммой корректировки неконтрольной доли участия была признана в составе собственного капитала, относящегося к Группе.</t>
  </si>
  <si>
    <t>ПАО "ИНАРКТИКА" (ПАО "Русская Аквакультура")</t>
  </si>
  <si>
    <t>В январе 2023 года Группа заключила договор купли-продажи компаний ООО «Архангельский водорослевый комбинат», ООО «Русские водоросли - Муксалма», ООО «Русские водоросли -Карелия» за общее денежное вознаграждение 448,050. Продавцом по договору купли-продажи выступила компания, контролируемая ООО «УК Свиньин и партнеры». Компании специализируются на добыче и переработке водорослей.</t>
  </si>
  <si>
    <t>В марте 2023 года Группа заключила договор купли-продажи компаний ООО «Мулинское Рыбоводное хозяйство» за общее денежное вознаграждение 147,529. Компании специализируются на выращивании малька лососевых пород для обеспечения форелевых хозяйств рыбопосадочным материалом.</t>
  </si>
  <si>
    <t>В марте 2023 года Группа заключила договор купли-продажи компаний ООО «ЦБТ-Энерго» за общее денежное вознаграждение 2,000. Компании специализируются на предоставлении услуг энергии.</t>
  </si>
  <si>
    <t>В декабре 2022 года Группа продала компании Oyralaks AS («Ойралакс АС»), Villa Smolt AS («Вилла Смолт АС»), Oldenselskapene AS («Олденсэлскапене АС»), Olden Oppdrettsanlegg AS («Олден Оппдреттсанлегг АС»), Setran Settefisk AS («Сетран Сеттэфиск АС»), зарегистрированные в Норвегии, за общее вознаграждение 584,954, которое по условиям заключенного договора купли-продажи будет оплачено в соответствии с рассрочкой платежа до 1 декабря 2029 года. Покупателем выступила компания, конечный бенефициар которой ранее входил в состав Совета Директоров Группы и на дату совершения сделки перестал выполнять функции члена Совета Директоров. Продажа данных компаний произошла по причине возникновения регуляторных рисков бизнеса в Норвегии.</t>
  </si>
  <si>
    <t>В октябре 2022 года Группа заключила договор купли-продажи компаний ООО «Селекционный центр аквакультуры» и ООО «Центр аквакультуры» за общее денежное вознаграждение 438,616. Компании специализируются на выращивании малька лососевых пород для обеспечения форелевых хозяйств рыбопосадочным материалом.</t>
  </si>
  <si>
    <t>В четвертом квартале 2021 года Группа заключила договор купли-продажи компании Setran Settefisk AS («Сетран Сеттэфиск АС») за общее денежное вознаграждение 5,325,000 норвежских крон (43,705 по курсу на дату приобретения). Компания обладает лицензией на производство малька морской форели и атлантического лосося суммарной мощностью до 190 тонн в год, что составляет 1,5-2,5 млн. штук в зависимости от средней массы рыбы.</t>
  </si>
  <si>
    <t>В сентябре 2020 года Группа заключила опционные соглашения на приобретение 60% долей в компаниях, расположенных в Мурманске и занимающихся арендой и управлением недвижимым имуществом (ООО «Три Ручья») и переработкой и консервированию рыбы, ракообразных и моллюсков (ООО «Мурманрыбпром») за общее вознаграждение в размере 4,819,624 долл. США (379,712 по курсу на 30 сентября 2020 года), доведя свою долю владения в компаниях до 100%.
В мае 2021 года Группа реализовала опционный договор и заключила договора купли-продажи компаний за общее денежное вознаграждение, номинированное в рублях, в размере 355,087. 40,000 вознаграждения были выплачены денежными средствами в течение четвертого квартала 2020 года.</t>
  </si>
  <si>
    <t>AQUA</t>
  </si>
  <si>
    <t>В течение 2019 года Группа приобрела 982,941 акций компании ПАО «Русская Аквакультура» общей стоимостью 219,122</t>
  </si>
  <si>
    <t>В течение 2018 года Группа приобрела 138,020 акций компании ПАО «Русская Аквакультура» общей стоимостью 16,561</t>
  </si>
  <si>
    <t>В течение шести месяцев, закончившихся 30 июня 2023 года, Группа приобрела 14,543 акций компании ПАО «ИНАРКТИКА» общей стоимостью 9,246</t>
  </si>
  <si>
    <t>В течение 2022 года Группа приобрела 783,912 акций компании ПАО «Инарктика» общей стоимостью 453,425</t>
  </si>
  <si>
    <t>В течение 2021 года Группа приобрела 1,034,490 акций компании ПАО «Русская Аквакультура» общей стоимостью 420,599</t>
  </si>
  <si>
    <t>В течение 2020 года Группа приобрела 1,107,830 акций компании ПАО «Русская Аквакультура» общей стоимостью 249,604</t>
  </si>
  <si>
    <t>В течение 2017 года Группа приобрела 2 компании, занимающиеся производством рыбопосадочного материала в Норвегии. 19 октября 2017 года Группа завершила сделку по приобретению 100% долей компаний Oldenselskapene AS и Olden Oppdrettsanlegg AS. Общее денежное вознаграждение, выплаченное за приобретение компаний, составило 207,670. Компании обладают лицензиями на производство малька морской форели и смолта атлантического лосося суммарной мощностью 2 млн. шт. ежегодно. Группа получила первый посадочный материал с обоих заводов в течение года, закончившегося 31 декабря 2018 года.</t>
  </si>
  <si>
    <t>Oldenselskapene AS и Olden Oppdrettsanlegg AS</t>
  </si>
  <si>
    <t>4 августа 2016 года Группа завершила продажу дистрибуционного бизнеса, представленного АО «Русская рыбная компания» и ее двумя дочерними компаниями - ООО «Русское море -Калининград» и RSEA CYPRUS LIMITED.</t>
  </si>
  <si>
    <t>В январе 2014 года Группа также выкупила 263,100 собственных акций за 17,376. Покупка привела к увеличению количества собственных выкупленных акций до 301,700.</t>
  </si>
  <si>
    <t>В марте 2014 года все 301,700 собственных выкупленных акций были проданы Группой на ММВБ-РТС за 20,147.</t>
  </si>
  <si>
    <t>В декабре 2013 года Группа выкупила 38.600 собственных акций на ММВБ-РТС. Общая сумма, уплаченная за данные акции, составила 1,103.</t>
  </si>
  <si>
    <t>В течение 2013 года Группа завершила ряд соглашений по продаже стратегическому инвестору ЗАО "Русское море", которое представляло сегмент готовой рыбной продукции</t>
  </si>
  <si>
    <t>В ноябре 2008 года Группа приобрела 3,615,254 собственных обыкновенных акций за денежное вознаграждение 415,758.</t>
  </si>
  <si>
    <t>ПАО "Русгрэйн Холдинг"</t>
  </si>
  <si>
    <t>В первом полугодии 2016 года из Группы выбыли две дочерние компании ОАО "Аграрная компания "Цветнополье" и ОАО "Цветнополье" составляющие отдельный сегмент - крупный рогатый скот. В результате данной сделки Группа получила вознаграждение в сумме 165 000 тыс. руб.</t>
  </si>
  <si>
    <t>В течение 2016 года из Группы выбыли три дочерние компании - ОАО «Птицефабрика «Башкирская» составляющая сегмент яичного производства, а также ОАО «Цветнополье» и ОАО «Аграрная компания «Цветнополье». В результате данной сделки Группа получила вознаграждение в сумме 304 984 тыс. руб. По состоянию на 31 декабря 2016 года денежные средства от продажи ОАО «Цветнополье» и ОАО «Аграрная компания «Цветнополье» были получены Группой в полном объеме.</t>
  </si>
  <si>
    <t>ОАО "Аграрная компания "Цветнополье" и ОАО "Цветнополье"</t>
  </si>
  <si>
    <t>Сельское хозяйство (КРС)</t>
  </si>
  <si>
    <t>Сельское хозяйство (Яичное производство)</t>
  </si>
  <si>
    <t>Сельское хозяйство (Переработка и хранение зерна)</t>
  </si>
  <si>
    <t>ОАО "КХП Тихорецкий (доля в УК 93,6%), ЗАО "КХП Тихорецкий" (100%)</t>
  </si>
  <si>
    <t>ОАО "Хлеб Кубани" (87,8%) и ОАО "Урбахский КХП" (89,7%)</t>
  </si>
  <si>
    <t>В 2015 году из Группы выбыли четыре дочерние компании - ОАО "Урбахский КХП”, ОАО "КХП Тихорецкий", ЗАО "КХП Тихорецкий" и ОАО "Хлеб Кубани", входившие в сегмент переработки и хранения зерна. В результате данной сделки Группа получила вознаграждение в сумме 435 966 тыс. руб.</t>
  </si>
  <si>
    <t>В первом полугодии 2015 года из Группы выбыли две дочерние компании: ОАО "КХП Тихорецкий и ЗАО "КХП Тихорецкий" (во втором полугодии 2015 выбыло еще две дочерние компании того же сегмента: ОАО "Хлеб Кубани" и ОАО "Урбахский КХП"), составляющие сегмент переработки и хранения зерна. В результате этих двух сделок Группа получила вознаграждение в сумме 275 966 тыс. руб.</t>
  </si>
  <si>
    <t>В 2011 году Группа продала долю участия в дочерних компаниях ООО СП "Маяк", ООО "КЛИП", ООО "Новь", ООО "Медвежье" компании, находящейся под общим контролем, за денежное вознаграждение в размере 5 115 тыс. руб.</t>
  </si>
  <si>
    <t>ООО СП "Маяк", ООО "КЛИП", ООО "Новь", ООО "Медвежье"</t>
  </si>
  <si>
    <t>В 2010 году Группа приобрела дополнительную долю участия в размере 25% в ОАО "Башкирская птицефабрика’ за денежное вознаграждение в сумме 222 570 тью. руб. В результате данной сделки Группа признала снижение неконтрольной доли участия на 158 061 тью. руб. Превышение балансовой стоимости приобретенной неконтрольной доли участия над уплаченным вознаграждением в сумме 64 509 тыс. руб. было признано в составе нераспределенной прибыли в капитале.</t>
  </si>
  <si>
    <t xml:space="preserve">В 2010 году Группа продала долю участия в дочерней компании ООО "Цветнополье" компании, находящейся под общим контролем, за денежное вознаграждение в размере 10 тыс. руб. </t>
  </si>
  <si>
    <t>ООО "Цветнополье"</t>
  </si>
  <si>
    <t>CybSec</t>
  </si>
  <si>
    <t>В мае 2021 года Группа завершила приобретение 100% доли участия в ООО «Оней Банк». Целью приобретения было предоставление Группе необходимой лицензии для расширения собственных финансовых услуг Группы. Общая сумма денежного вознаграждения по сделке составила 615.</t>
  </si>
  <si>
    <t>Ozon Holdings PLC</t>
  </si>
  <si>
    <t>В течение года, закончившегося 31 декабря 2019 года Группа продала доли в компаниях ЗАО «ПКФ «Невский фильтр» и ООО «А-ГАЗ» в пользу конечных выгодоприобретателей Группы.</t>
  </si>
  <si>
    <t>ПАО "Группа Компаний  "Роллман"</t>
  </si>
  <si>
    <t>Prod-Filt</t>
  </si>
  <si>
    <t>Упаковка и продажа газовых баллонов</t>
  </si>
  <si>
    <t>Производство фильтров различного направления</t>
  </si>
  <si>
    <t>В первом квартале 2014 года Группа осуществила продажу двух дочерних компаний – ЗАО «ГЗП Пласт» и ООО «ГЗП МБП Пласт». Соответствующие продажи связаны с непрофильными видами деятельности дочерних компаний. Чистые активы выбывших дочерних компаний по состоянию на дату продажи составили, соответственно, 15 168 тыс. рублей и 13 782 тыс. рублей.Сумма сделки составила 28 950 тыс. рублей.</t>
  </si>
  <si>
    <t>Prod-Plast</t>
  </si>
  <si>
    <t>Производство изделий из пластмасс</t>
  </si>
  <si>
    <t>QIWI PLC (КИВИ ПиЭлСи)</t>
  </si>
  <si>
    <t>Таксиагрегатор</t>
  </si>
  <si>
    <t>В течение декабря 2021 года – января 2022 года Группа завершила ряд сделок, связанных с приобретением активов бизнеса «Таксиагрегатор» в сочетании с наймом его сотрудников в существующую дочернюю компанию Группы ООО «КИВИ Технологии». В январе 2022 года Группа получила контроль над бизнесом «Таксиагрегатор». В результате группе принадлежит 80% бизнеса, а остальные 20% принадлежат основателю «Таксиагрегатора». Приобретение было учтено по методу приобретения. Taxiaggregator — это SaaS-платформа, предоставляющая платежные решения и инструмент анализа данных для таксомоторных компаний и водителей такси. Платформа позволяет водителям видеть балансы и историю заказов со всех агрегаторов, консолидированную в режиме реального времени в удобном интерфейсе, и получать мгновенные выплаты после каждой поездки. Сделка соответствует стратегии Группы по дальнейшему развитию ценностного предложения в сегменте платежей для самозанятых. С самого начала QIWI является эксклюзивным платежным партнером Таксиагрегатора. Расходы Группы на информационные услуги от бизнеса за год, закончившийся 31 декабря 2021 года, составили 139.</t>
  </si>
  <si>
    <t>ИТ (SaaS-платформа)</t>
  </si>
  <si>
    <t>RealWeb</t>
  </si>
  <si>
    <t>ИТ (цифровой маркетинг)</t>
  </si>
  <si>
    <t>В декабре 2022 года Группа завершила серию сделок, связанных с приобретением дочерних компаний группы RealWeb. В середине декабря 2022 года Группа получила контроль над бизнесом RealWeb. В результате Группа владеет 79% бизнеса и намерена увеличить свою долю до 100% в течение 2023 года. Приобретение было учтено по методу приобретения. Ранее существовавшие отношения между Группой и RealWeb не были значительными. Realweb — ведущий поставщик услуг цифрового маркетинга полного цикла в России, который предоставляет услуги по управлению контекстной и медийной рекламой, присутствию в социальных сетях, программатик, CPA и услуги мобильного маркетинга. Сделка позволит Группе занять лидирующие позиции в растущих сегментах бизнеса в области рекламы и цифрового маркетинга на основе опыта RealWeb и еще больше диверсифицировать продуктовый портфель Группы.
Возмещение, переданное продавцу, состояло только из денежных средств и составило 1 773.</t>
  </si>
  <si>
    <t>Advanced Digital Applications Holding Ltd (ADAH) (материнская компания финтех-компании PYYPL)</t>
  </si>
  <si>
    <t>В конце сентября 2022 года Группа приобрела 9,9% акций Advanced Digital Applications Holding Ltd (ADAH), материнской компании финтех-компании PYYPL, которая предоставляет финансовые услуги клиентам, не имеющим доступа к банковским услугам в регионе Ближнего Востока и Северной Африки. Сделка соответствует планам руководства по выходу на международные рынки Fintech. Группа считает, что имеет значительное влияние на объект инвестиций, поскольку имеет гарантированное место (одно из трех) в Совете директоров и, следовательно, может участвовать в принятии решений, касающихся ее соответствующей деятельности. Таким образом, Группа признает данную инвестицию как ассоциированную компанию и учитывает ее по методу долевого участия. Сделка была профинансирована за счет свободных денежных средств Группы. В рамках сделки Группа бесплатно получила опцион на увеличение своей доли в будущем до 26% на льготных условиях до конца апреля 2024 года.</t>
  </si>
  <si>
    <t>В третьем квартале 2021 года Группа завершила продажу своей 40% доли (45% экономической доли) в капитале ассоциированной компании «Точка» третьей стороне. Дивиденды и фиксированная сумма денежного вознаграждения были получены в третьем квартале 2021 года. Условная часть была получена во втором квартале 2022 года в сумме 4 855. Получение дивидендов было существенным условием сделки и рассматривалось как часть цены. Дивиденды были получены после того, как Группа прекратила применять метод долевого участия для ассоциированной компании.</t>
  </si>
  <si>
    <t>22 марта 2017 г. Группа приобрела 82% акций Flocktory Ltd, частной компании, работающей в России и Испании. Flocktory Ltd осуществляет свою деятельность через свои дочерние компании Flocktory Spain S.L. и ООО «ФриАтЛаст» (Россия). Бизнес Flocktory в первую очередь ориентирован на разработку автоматизированных маркетинговых решений для электронной коммерции, финансов, медиа и туристической индустрии, которые основаны на сборе и анализе данных и по сути представляют собой платформу SAAS для управления жизненным циклом клиентов и персонализации. Группа также заключила опционные соглашения «колл» и «пут» в отношении оставшихся 17% акций Flocktory Ltd. 2 декабря 2019 года опционы «пут» были исполнены, и Группа получила единоличный контроль над Flocktory Ltd. Приобретение было учтено по методу приобретения.</t>
  </si>
  <si>
    <t>Flocktory Ltd</t>
  </si>
  <si>
    <t>РФ/Испания</t>
  </si>
  <si>
    <t>ИТ (SaaS-платформа, цифровой маркетинг)</t>
  </si>
  <si>
    <t>Billing Online Solutions LLC</t>
  </si>
  <si>
    <t>ИТ (Разработке ПО)</t>
  </si>
  <si>
    <t>В четвертом квартале 2019 года Группа завершила серию сделок, связанных с приобретением активов бизнеса Billing Online в сочетании с наймом своих сотрудников во вновь созданную компанию Billing Online Solutions LLC. К 31 декабря 2019 года Группа получила контроль над онлайн-бизнесом Billing. Предприятие предлагает программные услуги предприятиям ЖКХ, а в перспективе обеспечит интерфейс для домохозяйств для оплаты коммунальных услуг с использованием платежных систем QIWI. Приобретение было учтено по методу приобретения. Ранее существовавшие отношения между Группой и Billing Online не были значительными. Вознаграждение за выставление счетов онлайн-бизнесу включает в себя денежные средства в сумме
из 129 (50 были выплачены в течение 2019 года и 79 подлежат выплате по состоянию на 31 декабря 2019 года). Справедливая стоимость выявленных нематериальных активов составила 78 и состояла в основном из программного обеспечения и товарных знаков. Предварительный гудвил образовался в результате разницы между справедливой стоимостью чистых активов, приобретенных в результате объединения бизнеса, и уплаченным вознаграждением, составив 51 и связан с потенциальной синергией с сегментом платежных услуг Группы. Гудвил был отнесен на платежные услуги, генерирующие ЕГДС. Ожидается, что никакая часть признанной гудвила не будет подлежать вычету для целей налога на прибыль. Выручка и чистая прибыль онлайн-бизнеса «Биллинг» с даты приобретения до отчетной даты были незначительными. Если бы онлайн-бизнес «Биллинг» вошел в состав Группы с начала года, выручка и чистая прибыль Группы изменились бы незначительно.</t>
  </si>
  <si>
    <t>В июле 2018 года Группа получила контроль над бизнесом Рокетбанка, который не представляет собой отдельное юридическое лицо и будет работать на основании банковской лицензии QIWI банка. Рокетбанк в первую очередь ориентирован на потребительские финансовые услуги. Сделка была структурирована как приобретение активов в сочетании с наймом Группой сотрудников Рокетбанка. Приобретение было учтено по методу приобретения. Существовавшие ранее отношения между Группой и Рокетбанком не были значительными. Вознаграждение, выплаченное за бизнес Рокетбанка, состоит только из денежных средств в сумме 183.</t>
  </si>
  <si>
    <t>Рокетбанк</t>
  </si>
  <si>
    <t>В июне 2018 года Группа, руководство Банка ФК «Открытие» и «Точка» подписали соглашение о сотрудничестве по созданию новой структуры для совместного развития проекта «Точка» как мультибанковской платформы. В июле 2018 года было создано новое предприятие АО «Точка». «Точка» — цифровой банковский сервис, ориентированный на предоставление широкого спектра услуг малому и среднему бизнесу. Структура капитала новой компании следующая: банку «Открытие» принадлежит 50%+1 акция, QIWI — 40% и менеджменту «Точки» — 10%—1 акция, а дивиденды и потенциальный прирост капитала распределяются следующим образом: QIWI и банк «Открытие» получат по 45% каждый, а 10% будет принадлежать менеджменту "Точки". QIWI Group оценивает свою долю в новой компании в 45% (согласно ее доле в дивидендах и потенциальном приросте капитала). «Открытие» может навязывать свои решения, принудительно приобретая акции других партнеров в случае возникновения тупиковых ситуаций, поэтому Группа считает, что имеет существенное влияние только на АО «Точка». Группа признает данную инвестицию как ассоциированную компанию и учитывает ее по методу долевого участия. В рамках сделки руководство Банка «Финансовая корпорация Открытие», руководство «Точки» и Группа согласились внести в новое предприятие свои активы, включая программное обеспечение, оборудование и денежное финансирование.</t>
  </si>
  <si>
    <t>В декабре 2016 года Группа заключила соглашение о продаже всей своей доли в непрофильном бизнесе ООО «Процессинговый центр Рапида», 100% дочерней компании.</t>
  </si>
  <si>
    <t>Финансы (Проведение онлайн-платежей)</t>
  </si>
  <si>
    <t>29 декабря 2015 г. Компания заключила соглашение о продаже всей своей доли в непрофильном бизнесе ООО «СМТ Инжиниринг», 100% дочерней компании.</t>
  </si>
  <si>
    <t>1 мая 2015 года Компания заключила соглашение о продаже всей своей доли в IT Billion LLC и QIWI USA LLC. В соглашении указывалось, что Компания утратит контроль над этими предприятиями с даты заключения соглашения, но юридическое право собственности оставалось за Компанией до момента получения вознаграждения, которое произошло 13 июля 2015 года.</t>
  </si>
  <si>
    <t>IT Billion LLC и QIWI USA LLC</t>
  </si>
  <si>
    <t>Финансы (Оператор киосков платежей)</t>
  </si>
  <si>
    <t>2 и 30 июня 2015 года Компания завершила связанную сделку по приобретению 70% и 30% непубличной компании ООО «ЦИХРУС» и ее дочерних компаний: ООО «Аттениум», ООО «Гикор», ООО «Рапида», ООО «Процессинговый центр «Рапида» (далее ЦИГРУС). группа). Основной деятельностью группы CIHRUS является эксплуатация системы денежных переводов Contact («Контакт») и системы обработки платежей Rapida («Рапида»). Данное приобретение увеличивает долю рынка и способствует укреплению позиций Группы в категориях финансовых услуг и денежных переводов. Приобретение было учтено по методу приобретения как одна сделка. Существовавшие ранее отношения между Группой и группой CIHRUS не были значительными.</t>
  </si>
  <si>
    <t>Финансы (Производство и продажа платежных киосков)</t>
  </si>
  <si>
    <t>27 декабря 2013 г. Группа приобрела оставшиеся 62,5% ранее принадлежащей Blestgroup Enterprize Limited – ассоциированной компании с долей в 37,5% ее дочерней компании K5 Retail LLC. Основной деятельностью ООО «К5 Ритейл» является субаренда площадей под электронные платежные киоски. До даты приобретения ООО «К5 Ритейл» являлось ассоциированной компанией Группы.</t>
  </si>
  <si>
    <t>Непрофильные дочерние и зависимые компании</t>
  </si>
  <si>
    <t>В рамках реструктуризации 30 июня 2012 г. Совет директоров Группы утвердил единый согласованный план по продаже непрофильных дочерних и зависимых компаний, как описано ниже: (i) украинский бизнес и международный бизнес за пределами СНГ на ранней стадии, образующий два основных географических региона деятельности сегмента QIWI Distribution, классифицируемых как прекращенная деятельность; (ii) группа Diomachin – занимается производством устройств регистрации транзакций для платежных киосков, классифицированных как прекращенная деятельность; (iii) ООО «Мастер Лото», ООО «Лото Интегратор» и ООО «Лото Мастер» занимаются распространением лотерей через электронные терминалы онлайн-платежей – не включены в прекращаемую деятельность как несущественные. Все эти компании были проданы к 30 сентября 2012 года.</t>
  </si>
  <si>
    <t>9 февраля 2011 г. компания «Ахрон Финанс Лтд.», дочерняя компания Группы, приобрела 100% компании Freshpay IT Solutions PVl Ltd («Freshpay»). Freshpay управляет системой электронных онлайн-платежей в Индии.</t>
  </si>
  <si>
    <t>23 декабря 2011 года ЗАО «Объединение Системы Моментальных Платежей», дочерняя компания Группы, приобрело 60% компании Instant Payments LLP («Мгновенные платежи») за денежное вознаграждение в размере 6 и получила прибыль от выгодной покупки в размере 14 765, относящуюся к на выгодных условиях, согласованных со связанной стороной, членом ключевого руководства Общества. Instant Payments управляет системой электронных онлайн-платежей в Казахстане и дополняет существующий бизнес Группы в этой стране, предоставляя услуги некоторым ключевым местным торговцам. Доля Группы в чистых активах приобретенной дочерней компании не была существенной для дальнейшего раскрытия. С момента приобретения по 31 декабря 2011 г. компания Instant Payments принесла несущественные суммы выручки и чистых убытков.</t>
  </si>
  <si>
    <t>Dengionline Ltd</t>
  </si>
  <si>
    <t>15 мая 2012 года Группа приобрела 49% акций Dengionline Ltd и опцион на приобретение оставшихся 51% у существующих акционеров Dengionline за 3 000 000 долларов США (что эквивалентно 90 796). Цена исполнения опциона составляет 51% от восьмикратного показателя EBITDA группы Dengionline за год, закончившийся 1 апреля 2017 г., и опцион может быть исполнен в течение шести месяцев, начиная с 1 мая 2017 г. На основе расчетной цены исполнения, рассчитанной с использованием прогнозируемого Dengionline согласно бизнес-плану, опцион был вне денег на дату приобретения и по состоянию на 31 декабря 2012 года, а его справедливая стоимость была несущественной на обе даты. 2 декабря 2013 года Группа продала инвестицию в Dengionline Ltd. за 1 доллар США и отказалась от опциона за номинальное вознаграждение. Основным видом деятельности ООО «Денгионлайн» являются услуги по агрегированию электронных платежных систем в режиме онлайн.</t>
  </si>
  <si>
    <t>ПАО "Объединенная авиастроительная корпорация" (ПАО "ОАК")</t>
  </si>
  <si>
    <t>В мае 2009 года Группа получила контроль над АО «НАЗ «Сокол», поскольку дочернее предприятие Группы АО «Корпорация «Иркут» получило 22% акций АО «НАЗ «Сокол» от третьей стороны в качестве обеспечения векселей этой третьей стороны, приобретенных ОАО «Корпорация «Иркут» в 2008 году на общую сумму 826 млн руб. В результате этой сделки Группа получила 60% контроля над АО «НАЗ «Сокол», и поэтому данная сделка была учтена в соответствии с МСФО (IFRS) 3 «Объединения бизнеса», который требует, чтобы активы, обязательства и условные обязательства учитывались по их соответствующей справедливой стоимости. на дату приобретения, при этом любое превышение стоимости приобретения над справедливой стоимостью приобретенных чистых активов отражается как гудвил. В связи с тем, что справедливая стоимость приобретенных чистых активов была отрицательной, а также с учетом обязательств Группы поддерживать деятельность НАЗ «Сокол», которая, как ожидалось, будет убыточной в обозримом будущем, возникающая разница между стоимостью контрольного пакета акций приобретены, и сумма чистых активов (отрицательная) была немедленно признана в составе прибыли или убытка.</t>
  </si>
  <si>
    <t>В январе 2015 года Группа приобрела у физического лица долю в компании АО «Поволжский Подшипниковый Завод», таким образом, Акционерное Общество стало ассоциированной компанией по отношению к Группе с долей владения 25%.</t>
  </si>
  <si>
    <t>АО "НПК "Уралвагонзавод" имени Ф.Э. Дзержинского"</t>
  </si>
  <si>
    <t>По состоянию на отчетную дату в Группу вошло предприятие ООО «Юргинский Машиностроительный Завод» с долей участия 89,99% в ее уставном капитале. Указанное дочернее общество по состоянию на 31.12.2015 года являлось ассоциируемой компанией с 45% долей участия в ее уставном капитале. Предприятие стало дочерним зависимым обществом в связи с реклассификацей ООО «УВЗ-Логистик» в состав активов, удерживаемых для продажи, которому ранее принадлежало с долей владения 90% и позднее было переведена в состав Группы как дочернее зависимое общество.</t>
  </si>
  <si>
    <t>Машиностроение</t>
  </si>
  <si>
    <t>Машиностроение (Производство подшипников)</t>
  </si>
  <si>
    <t>По состоянию на отчетную дату в Группу вошли АО «НПО Электромашина» и ООО «ЧТЗУралтрак» с более 50% долей участия в их уставном капитале. Указанные дочерние общества по состоянию на 31.12.2014 года являлись ассоциируемыми компаниями с менее, чем 50% долей участия в их уставных капиталах и отражались в консолидированной финансовой отчетности как инвестиции, учитываемые методом долевого участия. Предприятия стали дочерними зависимыми обществами в силу увеличения доли Группы в их уставных капиталах при приобретении дополнительных пакетов акций в связи с переуступкой права требования от 10.12.2015 г. по Соглашению об отступном по договору о предоставлении займа № 2-33 от 15 марта 2012 r. В случае с ООО «ЧТЗ-Уралтрак» и в связи с обменом пакетами акций с ПАО «Мотовилихинские заводы», как это произошло в случае с АО «НПО Электромашина» по договору мены от 16 марта 2015 г. № РТ/1538-10942.</t>
  </si>
  <si>
    <t>Также в Группу вошло новое предприятие ООО «Технопарк Тракторозаводский» как дочернее зависимое предприятие ООО «ЧТЗ-Уралтрак» с 100% долей участия в нем. Таким образом доля участия Группы в уставном капитале ООО «Технопарк Тракторозаводский» по состоянию на 31 декабря 2015 года составило более 50%.</t>
  </si>
  <si>
    <t>В 2012 году Группой была продана доля участия в ОАО «Востокнефтетранс» в размере 48.95% за 3,600 млн. руб. Прибыль от продажи составила 47 млн. руб. Балансовая стоимость инвестиций в ОАО «Востокнефтетранс» на дату продажи составляла 3,553 млн. руб.</t>
  </si>
  <si>
    <t>В связи с Распоряжением Федерального агентства по управлению государственным имуществом от 27 ноября 2012 года № 1986-р Компании были переданы 2.756.001 акция ОАО «ЦНИИ «Буревестник» общей стоимостью 348 млн. руб. В результате эффективная доля владения в ОАО «ЦНИИ «Буревестник» составила 60.36%.</t>
  </si>
  <si>
    <t>В связи с Распоряжением Федерального агентства по управлению государственным имуществом от 10 января 2013 года №01-р Компании были переданы 42.426 акций ОАО «НИИД» общей стоимостью 45 млн. руб. В результате эффективная доля владения вОАО «НИИД» составила 85.10%.</t>
  </si>
  <si>
    <t>В связи с Распоряжением Федерального агентства по управлению государственным имуществом от 29 ноября 2012 года № 2003-р Компании были переданы 497.751 акция ОАО «Уралтрансмаш» общей стоимостью 465 млн. руб. В результате эффективная доля владения в ОАО «Уралтрансмаш» составила 85.66%.</t>
  </si>
  <si>
    <t>В феврале 2013 года, во исполнение Указа Президента №891 от 25 июня 2012 года в собственность Компании перешли следующие пакеты акций: 42.48% от уставного капитала ОАО «Тверской вагоностроительный завод»; 99.99% от уставного капитала ОАО «Томский электротехнический завод».</t>
  </si>
  <si>
    <t>Wag</t>
  </si>
  <si>
    <t>Sambre et Meuse</t>
  </si>
  <si>
    <t>Машиностроение (Ж/д)</t>
  </si>
  <si>
    <t>В ноябре-декабре 2010 года Группа приобрела контроль над французской компанией «Sambre et Meuse», посредством покупки 52.1% голосующих акций данной компании за 360 млн. руб. Компания «Sambre et Meuse» является производителем литых тележек, боковых рам и иных частей железнодорожного подвижного состава. Приобретение контроля над компанией «Sambre et Meuse» позволит Группе получить выгоды от получения доступа к ее технологиям и увеличить объем производства железнодорожных подвижных составов. За период с даты приобретения до 31 декабря 2010 года прирост выручки компании «Sambre et Meuse» составил 53 млн. руб., убыток 5 млн. руб. Если бы сделка по приобретению бизнеса была осуществлена 1 января 2010 года, то по оценкам руководства консолидированная выручка составила бы на 636 млн. руб. больше, а консолидированная прибыль за год была бы на 66 млн. руб. меньше. При определении этих показателей руководство исходило из допущения о том. что корректировки до справедливой стоимости, осуществленные на дату приобретения, были бы такими же. если бы приобретение имело место 1 января 2010 года.</t>
  </si>
  <si>
    <t>ПАО "Научно-производственная корпорация "Объединенная Вагонная Компания" (ПАО "НПК "ОВК")</t>
  </si>
  <si>
    <t>В декабре 2015 года Группа получила контроль над строящейся электростанцией, ООО «Трансмашэнерго», путем приобретения 100% уставного капитала за 6 004 000 тыс. рублей, у компаний, находящихся под общим контролем с Группой. Дочернее предприятие было приобретено в конце 2015 года, и. следовательно, не принесло какой-либо выручки или прибыли за 2015 год. Также ООО «Трансмашэнерго» не вело операционной деятельности в 2015 году, и, следовательно, если бы сделка по приобретению состоялась 1 января 2015 года, консолидированные выручка и убыток Группы за 2015 год не претерпели бы существенных изменений.</t>
  </si>
  <si>
    <t>В декабре 2015 года Группа получила контроль над вагоноремонтным депо, АО «Тихвинский Сборочный Завод «Титран-Экспресс», путем приобретения опциона колл на покупку 100% акций общества, у компаний, находящихся под общим контролем с Группой. Дочернее предприятие было приобретено в конце 2015 года, и, следовательно, не принесло какой-либо выручки или прибыли за 2015 год. В 2015 году большая часть покупателей АО «ТСЗ Титран-Экспресс» была представлена дочерними предприятиями Группы, и, следовательно, если бы сделка по приобретению состоялась 1 января 2015 года, консолидированная выручка Группы за 2015 год не претерпела бы существенных изменений. Если бы приобретение произошло 1 января 2015 года, консолидированный убыток Группы за 2015 год увеличился бы примерно на 119 228 тыс. рублей.</t>
  </si>
  <si>
    <t>Услуги оперирования (транспортные железнодорожные перевозки)</t>
  </si>
  <si>
    <t>17 ноября 2016 года Группа заключила соглашение о продаже дочерней компании ООО «Восток 1520», предоставлявшей услуги оперирования (транспортные железнодорожные перевозки).
В 2016 году между Группой и Группой «Промышленные Инвесторы» были достигнуты договоренности о сделке. Согласно условиям сделки, Акционерное общество «Первая Тяжеловесная Компания» (далее по тексту - АО «ПТК»), входящая в Группу «Промышленные Инвесторы», приобрела 100% долю в операторе ООО "Восток 1520», а Группа в свою очередь должна приобрести 19.9% акций компании АО «ПТК-Холдинг», акционера АО «ПТК». В ноябре 2016 года Группа завершила первый этап сделки: продала АО «ПТК» 100% долю в ООО «Восток 1520». Следующим этапом стало приобретение 19,9% акций компании АО «ПТК-Холдинг», в счет продажи оператора, которое было завершено после отчетной даты в начале апреля 2017 года. В результате указанных сделок в 2017 году Группа получила долю в ассоциированной компании АО «ПТК-Холдинг» в размере 19.9% акций и право назначить двух представителей из шести в Совете Директоров АО «ПТК-Холдинг». Помимо компании ООО «Восток1520» в состав Группы АО «ПТК-Холдинг» вошла лизинговая компания ООО «Нитрохимпром». В результате консолидации АО «ПТК» стало крупнейшим собственником и оператором железнодорожных грузовых вагонов нового поколения с парком более 23 тыс. единиц. В рамках указанной сделки также была договоренность о содействии со стороны Группы в рефинансировании кредитного портфеля ООО «Нитрохимпром», в рамках которого Группой был выкуплен вексель ООО «Нитрохимпром» на сумму 5 500 000 тыс. рублей со сроком погашения не ранее 2027 года и ставкой в 10% годовых, который был далее передан в залог новому банку-кредитору (ПАО «Сбербанк») в ходе сделки по рефинансированию.</t>
  </si>
  <si>
    <t>24 февраля 2022 года Группа осуществила продажу акций компании IMRCR LTD, совместного предприятия с Мицуи. Стоимость продажи составила 750 млн рублей и 50% от полной компенсации сумм остатков денежных средств на счетах IMRCR LTD и ООО «МРК 1520» на момент закрытия сделки и 50% от суммы компенсации возмещаемого ООО «МРК 1520» НДС, рассчитанной на момент закрытия сделки. Убыток от выбытия инвестиции в совместное предприятие составил 1 млн рублей.</t>
  </si>
  <si>
    <t>В феврале-марте 2020 года Компания в рамках создания Гражданского Дивизиона присоединила АО «ГСС», ООО «ОАК - Центр комплектования» и АО «НГТ» путем конвертации акций присоединяемых обществ на акции Компании за счет дополнительной эмиссии акций в количестве 1 318 298 509 штук. Сделка по присоединению была отражена в качестве сделки под общим контролем. Активы и обязательства присоединяемых компаний и их его дочерних предприятий были отражены по балансовой стоимости по состоянию на дату присоединения (18 февраля 2020 года для АО «ГСС» и АО «НГТ»; 1 марта 2020 года - для ООО «ОАК-ЦК»). Разница между балансовой стоимостью активов и обязательств за вычетом полученного возмещения отражена в составе накопленного убытка. В 2018-2019 гг АО «ГСС» являлась ассоциированной компанией Группы. В результате конвертации акций АО «ГСС» в акции Компании часть акций, находящаяся на балансе Компании, была погашена.</t>
  </si>
  <si>
    <t>ПАО "Яковлев" (ПАО "Корпорация "Иркут", ПАО "Яковлев")</t>
  </si>
  <si>
    <t>ПАО "КАМАЗ"</t>
  </si>
  <si>
    <t>В июне 2021 г. Группа приобрела бизнес по предоставлению площадей в аренду ООО «Балтийский индустриальный парк «Мастер». Стоимость приобретенных чистых активов составила 429 млн. руб., стоимость переданного вознаграждения составила 660 млн. руб. Гудвил, полученный в результате приобретения в сумме 231 млн. руб., был обесценен по результатам тестирования с отнесением на прочие операционные расходы.</t>
  </si>
  <si>
    <t>Машиностроение (двигателестроение)</t>
  </si>
  <si>
    <t>В сентябре 2019 года в результате дополнительного приобретения акций ПАО «Тутаевский моторный завод» (ПАО «ТМЗ») доля Группы составила 79,36% (ранее - 78,95). Отрасль ПАО «Тутаевский моторный завод» - Производство и реализация двигателей.</t>
  </si>
  <si>
    <t>В мае 2018 года было приобретено 106 289 обыкновенных и 50 514 привилегированных акций ПАО «Тутаевский моторный завод» (ПАО «ТМЗ») на основании обязательного предложения. В результате чего доля Группы составила 78,95% (ранее 67,87%). Отрасль ПАО «Тутаевский моторный завод» - Производство и реализация двигателей.</t>
  </si>
  <si>
    <t>На конец 2017 года Компания получила опционы на заключение договоров купли-продажи 51% акций АО «Объединенные автомобильные технологии» (АО «ОАТ»). Руководство пришло к выводу, что данные опционы предоставляют достаточные права и полномочия, чтобы управлять значимой деятельностью АО «ОАТ», в результате чего Группа получила контроль над АО «ОАТ». Один из опционов на приобретение 49% акций АО «ОАТ» был исполнен Группой путем заключения Договора приобретения ценных бумаг от 30 января 2018 г. Опцион на оставшиеся 2% акций АО «ОАТ» может быть исполнен Группой до 27 декабря 2020 г. Получение контроля над АО «ОАТ» было отражено в отчетности за 2017 год по методу приобретения. Группа консолидировала результаты деятельности приобретенных активов с даты получения контроля над АО «ОАТ» – 27 декабря 2017 г. В сентябре 2018 года была завершена оценка справедливой стоимости активов и обязательств АО «ОАТ». В результате Группа провела окончательное распределение цены приобретения на справедливую стоимость приобретенных активов и обязательств. В результате уточнения расчетов гудвил составил на 31 декабря 2017 г. 1 416 млн. руб. Распределение цены приобретения на справедливую стоимость приобретенных активов и обязательств по состоянию на 31 декабря 2017 г. в отчетности за 2017 год было предварительным.</t>
  </si>
  <si>
    <t>Машиностроение (автомобилестроение)</t>
  </si>
  <si>
    <t>В сентябре 2016 года Группа приобрела 31,78% акций ОАО «Тутаевский моторный завод» (ОАО «ТМЗ»). Данное приобретение позволяет осуществлять контроль над ОАО «ТМЗ». На конец 2015 года Группа владела 18,17% акций ОАО «Тутаевский моторный завод» (ОАО «ТМЗ»). В связи с наличием значительного влияния Группы на ОАО «ТМЗ», данная инвестиция признавалась в отчетности за 2015 год как инвестиция в ассоциированную компанию. В сентябре 2016 года Группа увеличила долю в ТМЗ, после чего Группа стала владеть 61% обыкновенных акций и 17% привилегированных акций, что составляет 49,95% от общего размера уставного капитала ОАО «ТМЗ». Проанализировав структуру владения, Группа пришла к выводу о наличии контроля над ОАО «ТМЗ». Получение контроля над ОАО «ТМЗ» было отражено в учете по методу приобретения. Группа консолидировала результаты деятельности приобретенных активов с даты получения контроля − 30 сентября 2016 г. Отрасль ПАО «Тутаевский моторный завод» - Производство и реализация двигателей.</t>
  </si>
  <si>
    <t>В ноябре 2015 года Группа приобрела 18,87% акций ОАО «Тутаевский моторный завод» (ОАО «ТМЗ»). В связи с наличием значительного влияния Группы на ОАО «ТМЗ», данная инвестиция признается в отчетности как инвестиция в ассоциированную компанию. Отрасль ПАО «Тутаевский моторный завод» - Производство и реализация двигателей.</t>
  </si>
  <si>
    <t>Бизнес по продажам автомобилей</t>
  </si>
  <si>
    <t>Продажа автомобилей</t>
  </si>
  <si>
    <t>В мае 2015 года Группа продала бизнес по продажам автомобилей в Казахстане, в результате операции был отражен убыток в сумме 223 млн. руб.</t>
  </si>
  <si>
    <t>В июле 2014 года Группа выкупила у миноритариев 34,6% пакет акций компании ОАО «Автоприцеп-КАМАЗ», в результате чего доля Группы в этой компании увеличилась до 84,9%.</t>
  </si>
  <si>
    <t>Машиностроение (Производство и реализация прицепов и запасных частей)</t>
  </si>
  <si>
    <t>В марте 2014 года Группа продала зарубежному партнеру бизнес по продажам и сервису автомобилей на Украине. В результате сделки Группа признала прибыль в сумме 58 млн. руб.</t>
  </si>
  <si>
    <t>В марте 2014 года Группа продала бизнес по авиаперевозкам, в результате операции был признан убыток в сумме 74 млн. руб.</t>
  </si>
  <si>
    <t>Авиаперевозки</t>
  </si>
  <si>
    <t>Бизнес по авиаперевозкам</t>
  </si>
  <si>
    <t>KMAZ</t>
  </si>
  <si>
    <t>В октябре 2013 года Группа выкупила 26 323 428 акций (3,72% акционерного капитала) у акционера, имеющего значительное влияние. Результат от данной операции признан непосредственно в составе капитала в консолидированном отчете об изменении капитала на 31 декабря 2014 и 31 декабря 2013 гг.</t>
  </si>
  <si>
    <t xml:space="preserve">В декабре 2013 года Группа приобрела 42,07% пакет акций компании «Камаз Вектра Моторз Лимитед», в результате чего доля Группы в этой компании увеличилась до 100%. Справедливая стоимость вознаграждения за приобретение этой доли составила 68 млн. руб. Справедливая стоимость чистых активов компании «Камаз Вектра Моторз Лимитед» на дату приобретения составила 68 млн. руб. </t>
  </si>
  <si>
    <t>Продажа и техобслуживание автомобилей</t>
  </si>
  <si>
    <t>Машиностроение (Капитальный ремонт автомобилей и агрегатов)</t>
  </si>
  <si>
    <t>В ноябре 2012 года Группа продала принадлежащий ей пакет акций ЗАО «Ремдизель» одному из миноритарных акционеров. Результат от данной операции составил 0 млн. руб.</t>
  </si>
  <si>
    <t>Машиностроение (Авиастроение)</t>
  </si>
  <si>
    <t>27 мая 2013 года дочернее предприятие Группы ООО «Международные вертолетные программы» продало 50% доли в уставном капитале ЗАО «ХелиВерт», предприятия, которое осуществляет сборку вертолетов марки AW139, за денежное вознаграждение 10 тыс. руб. AgustaWestland S.p.A. Группа отразила результат от выбытия ЗАО «ХелиВерт» в размере 179 млн. руб. в составе статьи «Прочие операционные расходы». С 27 мая 2013 года ЗАО «ХелиВерт» является совместным предприятием с AgustaWestland S.p.A. и учитывается по методу долевого участия.</t>
  </si>
  <si>
    <t>15 июля 2014 года Группа приобрела 100% доли в уставном капитале ООО «Информационно-консалтинговая группа «Инфинтраст» за денежное вознаграждение 2 271 млн. руб.</t>
  </si>
  <si>
    <t>АО "Вертолеты России"</t>
  </si>
  <si>
    <t>В августе 2015 года АО «Вертолеты России» в оплату дополнительной эмиссии акций получило от Государственной корпорации «Ростех» акции авиационных ремонтных заводов: 99,9 % доли в уставном капитале АО «419 АРЗ», АО «810 АРЗ», АО «150 АРЗ», АО «12 АРЗ» и 69,85 % - АО «356 АРЗ» в общей сумме вознаграждения по договору 3 118 млн. руб. Идентифицируемые активы приобретаемых авиационных ремонтных заводов на дату приобретения составили: 9 115 млн. руб., идентифицируемые обязательства - 5 848 млн. руб.</t>
  </si>
  <si>
    <t>В сентябре 2016 года АО «Вертолеты России» в оплату дополнительной эмиссии акций получило от Государственной корпорации «Ростех» акции АО «99 ЗАТО» - 99,99 % доли в уставном капитале в сумме вознаграждения по договору 867 млн. руб. Идентифицируемые активы общества на дату приобретения составили: 1 036 млн. руб., идентифицируемые обязательства - 368 млн. руб.</t>
  </si>
  <si>
    <t>Heli</t>
  </si>
  <si>
    <t>Машиностроение (Вертолетостроение)</t>
  </si>
  <si>
    <t>Машиностроение (Вертолетостроение - ремонт и обслуживание)</t>
  </si>
  <si>
    <t>Машиностроение (Авиастроение - ремонт и обслуживание)</t>
  </si>
  <si>
    <t>ЗАО «Авиакомпания «Роствертол-Авиа» («Роствертол-Авиа»). 31 марта 2011 года «Роствертол», дочернее предприятие Группы, приобрело 95% доли участия в вРоствертол-Авиа». предоставляющем услуги по техническому обслуживанию вертолетов, за 620 млн. руб. Вознаграждение в денежной форме было выплачено в 2010 году.</t>
  </si>
  <si>
    <t>31 марта 2011 года «Роствертол», дочернее предприятие Группы, приобрело дополнительную долю участия в размере 98% в ЗАО «Санаторий «Зорька» («Зорька»), санатории в г. Туапсе, за 130 млн. руб., увеличив свою долю участия до 100%. Вознаграждение в денежной форме было выплачено в 2010 году. Приобретение было учтено по методу покупки. Группа определила справедливую стоимость идентифицируемых активов, обязательств и условных обязательств «Зорьки» на дату приобретения. Основным активом «Зорьки» являются земельные участки; стоимость приобретенного гудвила, а также других приобретенных активов и принятых обязательств является незначительной.</t>
  </si>
  <si>
    <t>ОАО «Роствертол» («Роствертол») - компания, занимающаяся производством вертолетов, производственная база которой расположена в г. Ростов-на-Дону, Российская Федерация. 10 и 11 декабря 2010 года Компания дополнительно приобрела 52,3% доли участия в «Роствертол», которая ранее являлась ассоциированной компанией Группы, за денежное вознаграждение в размере 3 230 млн. руб., увеличив принадлежащую ей долю до 75,1%. В результате приобретения Группа получила контроль над деятельностью «Роствертол». Целью данного приобретения было установление контроля над деятельностью последнего независимого производителя вертолетов в Российской Федерации и полное завершение консолидации предприятий данной отрасли в России. В составе активов, полученных в результате приобретения контрольной доли участия в «Роствертол», Группа приобрела 2,6% доли участия в ОАО «Московский вертолетный завод им. М.Л. Миля». Кроме того, Группа приобрела 0,62% доли участия в «Оборонпром», являющемся единственным акционером Группы. Инвестиции в акции «Оборонпром» были отражены по справедливой стоимости (на дату приобретения) в размере 231 млн. руб. 21 февраля 2011 года Компания сделала обязательное предложение о выкупе оставшихся 24,9% неконтрольных долей участия в «Роствертол» по 2,69 руб. за обыкновенную акцию. 27 июня 2011 года Компания приобрела дополнительно 389 775 598 обыкновенных акций «Роствертол» за денежное вознаграждение в размере 1 049 млн. руб. В результате данной операции фактическая доля участия Группы в «Роствертол» увеличилась с 75,1% до 92%. Держатели оставшихся 8% неконтрольной доли участия отклонили предложение. Сумма превышения стоимости приобретенных неконтрольных долей участия над величиной выплаченного вознаграждения была отражена как увеличение нераспределенной прибыли на 168 млн. руб.</t>
  </si>
  <si>
    <t>ОАО «Редуктор-ПМ» («Редуктор»). 23 января 2012 года Компания дополнительно приобрела 500 обыкновенных акций компании «Редуктор» за денежное вознаграждение в размере 45 млн. руб. В результате вышеуказанной операции фактическая доля участия Группы в компании «Редуктор» увеличилась с 80,8% до 88,2%. Превышение стоимости приобретенных неконтрольных долей участия над величиной выплаченного вознаграждения было отражено как увеличение нераспределенной прибыли на 126 млн. руб.</t>
  </si>
  <si>
    <t>ОАО «Кумертауское авиационное производственное предприятие» («КУМАПП»). 29 марта 2012 года компания «КУМАПП» завершила дополнительный выпуск 46 340 обыкновенных акций номинальной стоимостью 3 301 руб. за акцию, которые были приобретены «Оборонпромом» за денежное вознаграждение в размере 153 млн. руб. «Оборонпром» передал приобретенные акции «КУМАПП» Группе в обмен на дополнительный пакет из 279 116 обыкновенных акций Компании. Вознаграхщение в размере 153 млн. руб., уплаченное «Оборонпром» за обыкновенные акции «КУМАПП», было отражено в составе акционерного и добавочного капитала</t>
  </si>
  <si>
    <t>АО "Вертолеты России" (через материнскую компанию - Оборонпром)</t>
  </si>
  <si>
    <t>8 ноября 2011 года Компания продала 20 500 000 обыкновенных акций «КВЗ» за денежное вознаграждение в размере 2 101 млн. руб. В результате данной операции фактическая доля участия Группы в «КВЗ» уменьшилась с 93,5% до 80,2%. Сумма превышения величины полученного вознаграждения над размером увеличения неконтрольных допей участия была отражена как увеличение нераспределенной прибыли на 682 млн. руб.</t>
  </si>
  <si>
    <t>KHEL</t>
  </si>
  <si>
    <t>ОАО «Казанский вертолетный завод» («КВЗ»). 30 июля 2010 года «КВЗ», дочернее предприятие Группы, продало 48,2% доли в уставном капитале ООО «ТФК», ассоциированной компании Группы, за денежное вознаграждение в размере 476 млн. руб. До даты продажи ООО «ТФК» являлось владельцем 11,4% прямой доли (что эквивалентно 3% фактической доли участия Группы, с учетом владения Группой акциями «КВЗ» и ООО «ТФК») в уставном капитале «КВЗ». В результате выбытия инвестиций в ООО «ТФК» фактическая доля участия Группы в «КВЗ» уменьшилась с 57,5% до 54,5%. Выбытие перекрестной доли участия было учтено посредством увеличения неконтрольных долей участия на 272 млн. руб., увеличения балансовой стоимости инвестиций в ООО «ТФК» на 123 млн. руб. и уменьшения нераспределенной прибыли на 149 млн. рублей.
8 сентября 2010 года «Оборонпром» приобрел вышеуказанные 11,4% доли в уставном капитале «КВЗ» у ООО «ТФК», ранее ассоциированной компании «КВЗ», за денежное вознаграждение в размере 765 млн. руб. Выплаченное «Оборонпром» вознаграждение было отражено в составе добавочного капитала в консолидированном отчете об изменениях в капитале. На дату приобретения балансовая стоимость чистых активов «КВЗ» в консолидированной финансовой отчетности Группы составляла приблизительно 8 912 млн. руб. В результате данной операции Группа признала снижение неконтрольных долей участия на 1 016 млн. руб. Сумма превышения стоимости приобретенных неконтрольных долей участия над величиной выплаченного вознаграждения была отражена как увеличение нераспределенной прибыли на 251 млн. руб.</t>
  </si>
  <si>
    <t>24 января 2011 года Компания приобрела дополнительно 33 200 000 обыкновенных акций «КВЗ» за денежное вознаграяодение в размере 3 403 млн. руб. В результате данной операции фактическая доля участия Группы в «КВЗ» увеличилась с 65,9% до 87,4%.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1 310 млн. руб.
11 февраля 2011 года в результате данной операции и в соответствии с Федеральным законом Российской Федерации «Об акционерных обществах» Компания сделала обязательное предложение по приобретению оставшихся неконтрольных долей участия в «КВЗ» по 102,5 руб. за обыкновенную акцию.</t>
  </si>
  <si>
    <t>27 июня 2011 года в рамках обязательного предложения Компания дополнительно приобрела 9 459 929 обыкновенных акций «КВЗ» за денежное вознаграждение в размере 970 млн. руб. В результате данной операции фактическая доля участия Группы в «КВЗ» увеличилась с 87,4% до 93,5%.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391 млн. руб.</t>
  </si>
  <si>
    <t>26 декабря 2011 года в соответствии с Федеральным законом Российском Федерации «Об акционерных обществах» Компания сделала обязательное предложение по приобретению оставшихся неконтрольных долей участия в «КВЗ» по 108 руб. за обыкновенную акцию, действующее в течение периода с 26 декабря 2011 года по 20 марта 2012 года. По состоянию на 31 декабря 2011 года в рамках данного предложения Компания признала обязательство о выкупе 30 000 002 обыкновенных акций «КВЗ» на сумму 3 252 млн. руб. Сумма превышения стоимости обязательства над стоимостью приобретаемых неконтрольных долей участия была отражена как уменьшение нераспределенной прибыли на 1 012 млн. руб.
20 марта 2012 года в рамках обязательного предложения Компания дополнительно приобрела 1 144 684 обыкновенных акций «КВЗ» за денежное вознаграждение в размере 124 млн. руб. В результате данной операции фактическая доля участия Группы в «КВЗ» увеличилась с 80,2% до 81,0%.</t>
  </si>
  <si>
    <t>17 апреля 2012 года в соответствии с Федеральным законом Российском Федерации «Об акционерных обществах» Компания сделала обязательное предложение по приобретению оставшихся неконтрольных долей участия в «КВЗ» по 108 руб. за обыкновенную акцию.
17 июля 2012 года в рамках обязательного предложения по выпуску акций Компания приобрела дополнительно 21 168 293 обыкновенных акций «КВЗ» за денежное вознаграждение в размере 2 290 млн. руб. В результате данной операции фактическая доля участия Группы в «КВЗ» увеличилась с 81,0% до 94,6%.</t>
  </si>
  <si>
    <t>Оборонпром</t>
  </si>
  <si>
    <t>ОАО «Арсеньевская авиационная компания «ПРОГРЕСС» («Прогресс»). 22 марта 2010 года «Оборонпром» приобрел у ЗАО «Активные операции» («ЗАО «АО») 25% доли в уставном капитале «Прогресс» за денежное вознаграждение в размере 440 млн. руб. На дату приобретения балансовая стоимость чистых активов «Прогресс» в консолидированной финансовой отчетности Группы составляла 200 млн. руб. Результаты данной операции были представлены следующим образом:
Уменьшение доли участия в результате выбытия перекрестной доли участия ЗАО «АО»: В результате выбытия акций «Прогресс» фактическая доля участия Группы в «Прогресс» уменьшилась с 57% до 50% плюс одна акция. Таким образом, Группа отразила увеличение неконтрольных долей участия в размере 14 млн. руб. и увеличение балансовой стоимости инвестиций в ЗАО «АО» в размере 216 млн. руб. Разница в размере 202 млн. руб. была отражена как увеличение нераспределенной прибыли.</t>
  </si>
  <si>
    <t>28 апреля 2011 года ОАО «Прогресс» разрешило к выпуску и зарегистрировало 737 058 обыкновенных акций, из которых Группа приобрела 706 346 акций на сумму 3 050 млн. руб. Вознаграждение в денежной форме было выплачено в 2010 году. В результате данной операции фактическая доля участия Группы в «Прогресс» увеличилась с 75% до 88.5%. Сумма превышения стоимости приобретенных неконтрольных долей участия над величиной выплаченного вознаграхщения была отражена как уменьшение нераспределенной прибыли на 245 млн. руб.
2 июня 2011 года в результате данной операции и в соответствии с Федеральным законом Российской Федерации «Об акционерных обществах» Компания сделала обязательное предложение по приобретению оставшихся неконтрольных долей участия в «Прогресс» по 4 318 руб. за обыкновенную акцию.</t>
  </si>
  <si>
    <t>26 августа 2011 года в рамках обязательного предложения Компания приобрела дополнительно 46 054 обыкновенных акций «Прогресс» за денежное вознаграждение в размере 199 млн. руб. В результате данной операции фактическая доля участия Группы в «Прогресс» увеличилась с 88,5% до 92.5%.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72 млн. руб.
18 октября 2011 года в результате данной операции и в соответствии с Федеральным законом Российской Федерации «Об акционерных обществах» Компания сделала обязательное предложение по приобретению оставшихся неконтрольных долей участия в «Прогресс» по 4 770 руб. за обыкновенную акцию, действующее до 17 марта 2012 года.</t>
  </si>
  <si>
    <t>По состоянию на 31 декабря 2011 года в рамках данного обязательного предложения Компания приобрела дополнительно 6 961 обыкновенных акций «Прогресс» за денежное вознаграждение в размере 33 млн. руб. В результате данной операции фактическая доля участия Группы в «Прогресс» увеличилась с 92,5% до 93,1%.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11 млн. руб.</t>
  </si>
  <si>
    <t>27 марта 2012 года компания «Прогресс» завершила дополнительный выпуск 11 827 обыкновенных акций номинальной стоимостью 4 295 руб. за акцию, которые были приобретены «Оборонпром» за денежное вознаграждение в размере 51 млн. руб.
В результате операции фактическая доля участия Группы в капитале «Прогресс» уменьшилась с 94,3% до 93,4%, а нераспределенная прибыль увеличилась на 17 млн. руб.</t>
  </si>
  <si>
    <t>30 марта 2012 года в рамках обязательного предложения Компания приобрела дополнительно 13 038 обыкновенных акций «Прогресс» за вознаграждение в размере 67 млн. руб. В результате данной операции фактическая доля участия Группы в «Прогресс» увеличилась с 93,1% до 94,2%. По состоянию на 31 декабря 2012 года было прекращено признание невыплаченного обязательства в размере 159 млн. руб., относящегося к неисполненным опционам «пут» с истекшим сроком действия в рамках обязательного предложения по выкупу акций. Превышение невыплаченного обязательства в размере 55 млн. руб. над восстановленной неконтрольной долей участия в размере 104 млн. руб. было отнесено на увеличение нераспределенной прибыли Группы.</t>
  </si>
  <si>
    <t>RTVL</t>
  </si>
  <si>
    <t>ОАО «КАМОВ» («Камов»). 27 января 2011 года компания «Камов» разрешила к выпуску и зарегистрировала 1 362 900 000 обыкновенных акций, из которых Группа приобрела 1 360 000 000 акций на сумму 136 млн. руб. В результате данной операции фактическая доля участия Группы в компании «Камов» увеличилась с 98,5% до 99,8%. На дату выпуска дополнительных акций накопленный дефицит компании «Камов» составил 1 683 млн. руб. В результате данной операции неконтрольная доля участия увеличилась на 22 млн. руб.
26 марта 2012 года компания «Камов» завершила дополнительный выпуск 76 404 515 привилегированных акций номинальной стоимостью 1,78 руб. за акцию, которые были приобретены «Оборонпромом» за денежное вознаграждение в размере 136 млн. руб. В результате операции фактическая доля участия Группы в капитале компании «Камов» уменьшилась с 99,8% до 94,5%, а нераспределенная прибыль увеличилась на 302 млн. руб. По состоянию на дату дополнительного выпуска акций накопленный дефицит компании «Камов» составил 3 100 млн. руб. В результате данной операции неконтрольная доля участия уменьшилась на 166 млн. руб.</t>
  </si>
  <si>
    <t>ОАО «Улан-Удэнский авиационный завод» («Улан-Удэ»). 8 ноября 2011 года Компания приобрела дополнительно 26 000 000 обыкновенных акций «Улан-Удэ» за денежное вознаграждение в размере 2 111 млн. руб. В результате данной операции фактическая доля участия Группы в «Улан-Удэ» увеличилась с 75,1% до 84,8%.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571 млн. руб.
25 ноября 2011 года в результате данной операции и в соответствии с Федеральным законом Российской Федерации «Об акционерных обществах» Компания сделала обязательное предложение по приобретению оставшихся неконтрольных долей участия в «Улан-Удэ» по 81 руб. за обыкновенную акцию.</t>
  </si>
  <si>
    <t>ОАО «Московский вертолетный завод им. МЛ. Миля» («Московский вертолетный завод»). 27 февраля 2010 года ОАО «Роствертол», в то время являвшееся ассоциированной компанией Группы, приобрело дополнительно 2,6% доли в уставном капитале «Московского вертолетного завода» за денежное вознаграждение в размере 48 млн. руб. В результате данной операции фактическая доля участия Группы в «Московском вертолетном заводе» (отражающая 22,8% доли участия Группы в «Роствертол») первоначально увеличилась на 0,6%.
В декабре 2010 года в результате приобретения контрольных долей участия в «Роствертол» (см. выше) фактическая доля участия Группы в «Московском вертолетном заводе» увеличилась на 1,4%. На конец финансового года Группа являлась владельцем 74,4% фактической доли участия в «Московский вертолетный завод». В результате данных операций неконтрольные доли участия и нераспределенная прибыль сократились на 37 млн. руб. и 11 млн. руб., соответственно.
27 июня 2011 года в результате увеличения фактической доли участия Группы в «Роствертол» с 75,1% до 92,1% фактическая доля участия Группы в «Московском вертолетном заводе» увеличилась на 0,4%.</t>
  </si>
  <si>
    <t>В августе 2008 года ОАО «Вертолетная сервисная компания», дочернее предприятие Группы, приобрело 95.1% долю в ОАО «Новосибирский авиаремонтный завод», занимающегося ремонтом и техническим обслуживанием вертолетов, за денежное вознаграждение в размере 490 млн. рублей.</t>
  </si>
  <si>
    <t>ОАО "Вертолетная инновационная промышленная компания"</t>
  </si>
  <si>
    <t>АО "Вертолеты России" (ОАО "Улан-Удэнский авиационный завод")</t>
  </si>
  <si>
    <t>В апреле 2009 года ОАО "Улан-Удэнский авиационный завод", дочерняя компания Группы, приобрела 100% доли участия в ОАО "Вертолетная инновационная промышленная компания" за денежное вознаграждение в размере 744 млн. руб. При этом 
ОАО "Вертолетная инновационная промышленная компания" является владельцем 100% доли участия в ЗАО "Улан-Удэнский лопастной завод", занимающемся производством комплектующих для вертолетов.</t>
  </si>
  <si>
    <t>aakp</t>
  </si>
  <si>
    <t>UFMO</t>
  </si>
  <si>
    <t>Engin</t>
  </si>
  <si>
    <t>Машиностроение (Двигателестроение)</t>
  </si>
  <si>
    <t>ПАО "ОДК-УМПО" (ПАО "УМПО")</t>
  </si>
  <si>
    <t>В ноябре 2011 года ОАО "Уфимское моторостроительное производственное объединение" продало 572 000 собственных акций третьей стороне ЗАО "ФИНАМ" номинальной стоимостью 23 млн. руб. Общая цена продажи составила 10 млн. руб.</t>
  </si>
  <si>
    <t>В январе 2013 года Группа приобрела 27.73% акций ОАО «Уфимский машиностроительный завод», в результате чего доля Группы увеличилась до 100%.</t>
  </si>
  <si>
    <t>В первой половине 2013 года Группа приобрела активы и обязательства филиала, занимающегося научно - исследовательскими и опытно - конструкторскими работами, которые раннее учитывались на балансе ОАО «НПО «Сатурн». ОАО «НПО «Сатурн»
является дочерней организацией ОАО «Объединенная Двигателестроительная Корпорация», таким образом данное приобретение является операцией со стороной, находящейся под общим контролем. Не смотря на то, что юридически данное приобретение было оформлено серией договоров на приобретение отдельных активов и уступку обязательств, приобретенные активы и обязательства представляют собой бизнес в соответствии с определением МСФО 3 «Объединения бизнеса». В соответствии с учетной политикой Группы, данное приобретение было учтено методом объединения интересов.</t>
  </si>
  <si>
    <t>ЗАО "Мотор-Авиа"</t>
  </si>
  <si>
    <t>В июне 2012 года ЗАО "Мотор-Авиа" (дочернее предприятие в 2011 году, ассоциированная компания в 2012 году) выкупило у номинального акционера 50 419 449 акций Общества за 1 500 млн. руб. В результате данной сделки ЗАО "Мотор-Авиа" стало владельцем 16,3% акций Общества.</t>
  </si>
  <si>
    <t>В июне 2012 года Группа продала 81% акций дочернего предприятия ЗАО "Мотор-Авиа" физическому лицу, являющемуся связанной стороной. После этого Группа выдала долгосрочный займ ЗАО "Мотор-Авиа" в размере 1 615 млн. руб. Займ был предоставлен под 0,01% годовых и подлежит погашению в 2015 году. Займ выдан с целью выкупа акций Компании у других акционеров.</t>
  </si>
  <si>
    <t>В ноябре 2019г. Компания приобрела 100% долю в уставном капитале ООО «ВР Литейное производство». Стоимость доли подлежащей к возмещению, составила 48 171 тыс. руб. и была определена на основании Отчета независимого оценщика об оценке рыночной стоимости объекта оценки № 0434/19. Компания приобретена в результате сделки под общим контролем. Консолидированная финансовая отчетность учитывает итоги деятельности ООО «ВР Литейное производство» за один месяц, прошедший с даты приобретения. ООО «ВР Литейное производство» является акционером, владеющим 51% уставного капитала иностранной компании «А.А. Modelleria S.R.L.». Доля косвенного участия Компании в данной иностранной компании составила 51% уставного капитала.</t>
  </si>
  <si>
    <t>ПАО "ДИОД"</t>
  </si>
  <si>
    <t>22 ноября 2018г. в результате продажи 51% акций дочерней компании ЗАО «Корпорация ОЛИФЕН» Группа утратила контроль над 4 компаниями: ЗАО «Корпорация ОЛИФЕН»; ЗАО «Вега-Фарм»; ООО «ГИПОКСЕН»; ООО «МЕБИКС». Убыток от выбытия дочерних компаний составил 1,700 тыс. руб. Группа оказывает существенное влияние на данные компании, вследствие чего на дату продажи акций была определена справедливая стоимость инвестиций в ассоциированные компании в сумме 85,523 тыс. руб.: ЗЛО «Корпорация ОЛИФЕН» (доля владения 48,51%) -72,988 тыс. руб.; ЗАО «Вега-Фарм» (доля владения 48,02%) - 642 тыс. руб.; ООО «ГИПОКСЕН» (доля владения 33,31%) - 4,677 тыс. руб.; ООО «МЕБИКС» (доля владения 48,75%)- 7,215 тыс. руб.</t>
  </si>
  <si>
    <t>Производство лекарств (БАД)</t>
  </si>
  <si>
    <t>30.12.2015г была проведена продажа дочерней компании ЗАО «Фармлайн-Д», чистые активы на дату продажи – 63,380 тыс. руб., выбытие компании не привело к прекращению ни одного вида деятельности Группы. Стоимость продажи составила 435,863 тыс. руб. Финансовый результат от выбытия дочерней компании составил 364,356 тыс. руб. с учетом дисконтирования долгосрочной задолженности в размере 35 млн. руб.</t>
  </si>
  <si>
    <t>В январе 2014 г приобретена ООО «Оранж Фарма» в качестве Компании - держателя фармацевтических статей и регистрационных удостоверений на фармацевтические препараты. Приобретение Компании позволит расширить портфель фармацевтической продукции выпускаемой ЗАО «Корпорация Олифен».</t>
  </si>
  <si>
    <t>В феврале 2013 года инвестиции в ЗАО «Аметис» были проданы основному акционеру этой компании за 43,993 тыс. руб. Расходы по выбытию составили 8,870 тыс. руб. По данным МСФО убыток от выбытия инвестиций в акции ЗАО «Аметис» составил 169,434 тыс. руб.</t>
  </si>
  <si>
    <t>В феврале 2012г. Группой были приобретены дополнительно 95 акций ЗАО «Тайга-ГАЗ», что увеличило долю Группы в капитале ЗАО «Тайга-ГАЗ» до 51%. Размер инвестиций составил 3,497 тыс. руб. По дополнительному соглашению с ЗАО «Тайга-ГАЗ» 19 октября 2012г. были проданы 121 акции, 29 ноября 2012г. проданы 68 акций данного предприятия. В результате указанной сделки доля Группы снизилась до 24%. ЗАО «Тайга-ГАЗ» с 19.10.2012г. является ассоциированной компанией. На момент деконсолидации инвестиции Группы в ЗАО «Тайга-ГАЗ» в размере 24% были признаны по справедливой стоимости в размере 26,382 тыс. руб. с отнесением разницы от переоценки до справедливой стоимости на прибыль/(убыток).</t>
  </si>
  <si>
    <t>26 марта 2012г. из состава Группы выбыла дочерняя компания ЗАО «Экология питания» в результате продажи 70% доли физическому лицу за 77 тыс. руб. Убыток от выбытия компании составил 6.114 тыс. руб. Данное решение было принято в связи с нерентабельностью компании за период с 2008 года.</t>
  </si>
  <si>
    <t>В течение 2011г. Группой были приобретены дополнительно 36 акций ЗАО «Тайга-ГАЗ», что увеличило долю владения на 5.14%. Размер инвестиций равен 1,333 тыс. руб., прибыль от приобретения акций составила 4,931 тыс. руб. По состоянию на 31.12.2011 г. Группа владела 262 акциями ЗАО «Тайга-ГАЗ». что составляло 37.43% доли владения. Сумма инвестиций составила 9,797 тыс. руб.</t>
  </si>
  <si>
    <t>В результате дополнительного выпуска акций ЗАО «Аметис». произведенного в соответствии с решением общего собрания акционеров от 02.08.2010 г., размер доли владения Группы снизился до 34.23%. Отчет об итогах дополнительного выпуска ценных бумаг был зарегистрирован РО ФСФР в ДФО 22 фепраля 2012г. Тем не менее, на 31.12.2011г. Группа сохранила контроль в отношении компании ЗАО «Аметис».</t>
  </si>
  <si>
    <t>04.10.2011 г. Группой был сделан взнос (51%) в Уставный капитал вновь созданной компании ООО «ЛИТбромпрепарат». Целью создания данной компании яплялось развитие производства лечебной косметики на основе минеральной поды и разлитие бальнеологических услуг, получение коммерческих выгод при эксплуатации Знаменского месторождения высокомиисрализовапных промышленных под.</t>
  </si>
  <si>
    <t>В марте 2011г. была основана инвестиционная компания «DIOD INVESTMENT» Ltd. зарегистрированная на территории Республики Кипр для инвестиций в область фармацевтики согласно английскому праву.</t>
  </si>
  <si>
    <t>В 2010 году Группой приобретен контроль в отношении компании ЗАО «Тайга-Газ» на основании соглашения, достигнутого ОАО «ДИОД» с остальными акционерами компании, чистые активы на дату покупки – 127,762 тыс. руб. Общая сумма инвестиций Группы в акции ЗАО «Тайга-Газ» на 31 декабря 2010г. составила 8,465 тыс. руб.</t>
  </si>
  <si>
    <t xml:space="preserve">16.05.2018 ОАО «ДЗРД» приобрело долю в размере 100%  в уставном капитале Общества с ограниченной ответственностью «Мосэлектроприбор».  </t>
  </si>
  <si>
    <t>Производство элементов электронной аппаратуры</t>
  </si>
  <si>
    <t>8 февраля 2010 года Группа получила контроль над бизнесом ООО «Метатехнологий» (компании – разработчика программного обеспечения), заключив опционный договор на приобретение 100% долей за общее вознаграждение в 121 млн.руб. (3.9 млн.долл. США), из которых 29 млн.руб.(0.9 млн. долл. США) являются справедливой стоимостью условного вознаграждения, выплачиваемого в зависимости от чистой прибыли приобретенной компании в 2011-2014 годы. Менеджмент Группы оценил на дату приобретения годовые прибыли в течение следующих 4 лет в диапазоне от 15 млн.руб. (0.5 млн. долл. США) до 45 млн. руб. (1.5 млн. долл. США).</t>
  </si>
  <si>
    <t>ПАО "АРМАДА"</t>
  </si>
  <si>
    <t>ЗАО "ПМ Эксперт"</t>
  </si>
  <si>
    <t>В августе 2007 года Группа приняла участие в создании и учреждении ЗАО "ПМ Эксперт" (25,01%). Затем (в августе 2007 года) Группа выкупила еще 25% акций. По условиям договора Сделка в части оплаты за приобретение состоит из двух частей. Первая часть выплаты является фиксированной и составила 25 тыс. руб./ 1 тыс долл. США*. Вторая часть определялась на основании данных о чистой прибыли ЗАО "ПМ Эксперт" за 2008 финансовый год, определенной по данным бухгалтерской отчетности ЗАО "ПМ Эксперт", и подлежит выплате не позднее 1 декабря 2009 года. На 31 декабря 2007 года вторая часть платежа рассчитывалась из ожидаемой прибыли за 2008 год и составляла 41 млн. рублей/1.4 млн. долларов США*. Из расчета по фактической чистой прибыли по РСБУ за 2008 год вторая часть платежа изменилась и составила на 31 декабря 2008 года 23 млн. рублей/0.8 млн. долларов США*. На 31.12.2009 методика расчета ремежду сторон. Вторая часть платежа на конец 2009 года определяется на основе плановой прибыли по РСБУ за 2010 год. В связи с изменением расчета вторая часть платежа изменилась и составила 6 млн. рублей/0.2 млн. долларов США.</t>
  </si>
  <si>
    <t>28 сентября 2009 года из состава Группы выбыл ООО «Программный продукт». Влияние выбытия на финансовую отчетность Группы не значительно. В результате выбытия был признан убыток 12 тыс. рублей/ 400 долларов США*.</t>
  </si>
  <si>
    <t>11 мая 2011 года Группа получила контроль над бизнесом ООО «Пост Модерн Технолоджи» (компанией – разработчиком программного обеспечения) путем приобретения 51% долей за 153 млн.руб. / 4 млн.долл. США.</t>
  </si>
  <si>
    <t>В марте 2015 года Группа приняла решение о сокращении доли участия в уставном капитане ООО «Аккорд» со 100% до 49%. В апреле 2015 года Группа продана 51% доли в уставном капитане ООО «Аккорд». Оставшаяся доля в размере 49,001% была признана в составе инвестиций в ассоциированные компании Общая сумма убытка от утраты контроля над ООО «Аккорд» составила 153 261 тыс. руб.</t>
  </si>
  <si>
    <t>ПАО "Медиахолдинг" (O2TV)</t>
  </si>
  <si>
    <t>В ноябре 2015 года Группа приняла решение о прекращении участия Группы в уставном капитале ООО «ПМТ» путем продажи 90,91%-ой доли Группы в его уставном капитале. Данная доля была продала в ноябре 2015 года за 10 тыс. рублей, что соответствовало вкладу Группы в уставный капитал ООО «ПМТ». Общая сумма убытка от выбытия ООО «ПМТ» составила 1 тыс руб. С момента приюггия решения о продаже 90,91%-ой доли Группы в ООО «ПМТ» до момента продажи существенных доходов, расходов и денежных потоков от операционной, инвестиционной и финансовой деятельности в ООО «ПМТ» не было.</t>
  </si>
  <si>
    <t>Телевещание</t>
  </si>
  <si>
    <t>Производство телевизионного контента</t>
  </si>
  <si>
    <t>В 2012 году Группа приобрела 20% долю участия в капитале ООО «Пространство» за 20 тыс. рублей, а в январе 2014 года Группа продала долю участия в капитале ООО «Пространство» за эту же сумму (20 тыс. рублей).</t>
  </si>
  <si>
    <t>В декабре 2014 года Группа приобрела 100% долю участия в капитале ООО «Репаблик Медиа». Стоимость приобретения составила 192 825 тыс. руб.</t>
  </si>
  <si>
    <t>В декабре 2014 года Группа приобрела 100% долю участия в капитале ООО «Софит». На момент приобретения ООО «Софит» владело 100% долей участия в капитале ООО «ПМТ». Стоимость приобретения составила 247 309 тыс. руб.</t>
  </si>
  <si>
    <t>В июне 2015 года Группа приняла решение о прекращении участия Грхппы в уставном капитале ООО «Аккорд» пхтем продажи 49%-ой доли Группы в его уставном капитале. Долях частия Группы в ООО «Аккорд» в размере 49% была продана в ноябре 2015 года.</t>
  </si>
  <si>
    <t>Производство рекламы</t>
  </si>
  <si>
    <t>В 2012 году Группа приобрела 20% долю участия в капитале ООО «Пространство» за 20 тыс. рублей. По состоянию на 31 декабря 2012 года агрегированная сумма активов ООО «Пространство» составляла 106 тыс. рублей, обязательств - 3 тыс. рублей. Общая сумма прибыли ООО «Пространство» за 2012 год составила 2 тыс. рублей. За 2012 год ООО «Пространство» не имело выручки.</t>
  </si>
  <si>
    <t>05 сентября 2011г. ОАО «Медиахолдинг» продало принадлежащую ему долю 74% в уставном капитале ООО «02ТВ Медиа» за 7400 рублей.</t>
  </si>
  <si>
    <t>В 2013 году Группа через ОАО «Медиахолдинг» учредила компанию ООО «Гамма». Общая сумма инвестиций составила 10 000 рублей. Доля Группы в капитале ООО «Гамма» составила 100%.</t>
  </si>
  <si>
    <t>Equip</t>
  </si>
  <si>
    <t>20 сентября 2011 года Компания приобрела 24,8% долей в уставном капитале ООО «ИПК Плазменное оборудование» и ООО «МедПлазма» и заключила опционные соглашения на право приобретения оставшихся 75,2% долей в капитале данных компаний. Данные сделки были учтены как приобретение 100% долей в капитале ООО «ИПК Плазменное оборудование» и ООО «МедПлазма». Основной целью приобретений было упрощение выхода Группы на рынок применения плазменных технологий в металлообработке и медицине. Общее вознаграждение на дату приобретения составило 995 и состояло из денежного вознаграждения в размере 6 и отложенных платежей в форме опциона на выкуп оставшихся долей в размере 989. Группа оценила справедливую стоимость опциона в размере 989 на основании стоимости чистых активов ООО «ИПК Плазменное оборудование» и ООО «МедПлазма». Данная оценка справедливой стоимости основана на существенной информации, не наблюдаемой на рынке, и, таким образом, является оценкой Уровня 3. Компания консолидировала финансовое положение и результаты деятельности ООО «ИПК Плазменное оборудование» и ООО «МедПлазма» с 21 сентября 2011 года.</t>
  </si>
  <si>
    <t>21 сентября 2011 года Компания приобрела 24,8% долей в уставном капитале ООО «ИПК Плазменное оборудование» и ООО «МедПлазма» и заключила опционные соглашения на право приобретения оставшихся 75,2% долей в капитале данных компаний. Данные сделки были учтены как приобретение 100% долей в капитале ООО «ИПК Плазменное оборудование» и ООО «МедПлазма». Основной целью приобретений было упрощение выхода Группы на рынок применения плазменных технологий в металлообработке и медицине. Общее вознаграждение на дату приобретения составило 995 и состояло из денежного вознаграждения в размере 6 и отложенных платежей в форме опциона на выкуп оставшихся долей в размере 989. Группа оценила справедливую стоимость опциона в размере 989 на основании стоимости чистых активов ООО «ИПК Плазменное оборудование» и ООО «МедПлазма». Данная оценка справедливой стоимости основана на существенной информации, не наблюдаемой на рынке, и, таким образом, является оценкой Уровня 3. Компания консолидировала финансовое положение и результаты деятельности ООО «ИПК Плазменное оборудование» и ООО «МедПлазма» с 21 сентября 2011 года.</t>
  </si>
  <si>
    <t>В январе 2021 года Компания реализовала собственные акции, выкупленные у акционеров. Количество реализованных акций составило 546 518 штук, номинальной стоимостью 0,20 рублей Цена выкупа составила 196,24 рубля за акцию, стоимость реализации 182 рубля за акцию. Убыток от реализации собственных акций отражен в составе консолидированного отчета о прибылях и убытках в сумме 7 783 тыс. рублей.</t>
  </si>
  <si>
    <t>Собственные акции, выкупленные у акционеров, представляют собой акции, которыми владеет Группа. На 31 декабря 2020 года Группа владела 546 518 акциями Компании, стоимость выкупа 107 249 тыс. рублей</t>
  </si>
  <si>
    <t>NAUK</t>
  </si>
  <si>
    <t>ПАО НПО "Наука"</t>
  </si>
  <si>
    <t>ОАО "Живой офис"</t>
  </si>
  <si>
    <t>ZHIV</t>
  </si>
  <si>
    <t>Оптовая торговля (канцелярские товары)</t>
  </si>
  <si>
    <t>По состоянию на 31 декабря 2014 года выкупленные собственные обыкновенные акции Компании составляли 988 868 шт. В Консолидированном отчете о финансовом положении выкупленные акции отражены по средневзвешенной стоимости приобретения. В 2014 году дочернее предприятие Группы ООО «Спенс» осуществляло выкуп обыкновенных акций Компании у связанных сторон по рыночной стоимости на общую сумму 121 667 тыс. руб. в количестве 1 024 908 шт. В июле 2014 года 36 040 шт. ранее выкупленных обыкновенных акций были проданы. Превышение затрат по сделке с учетом соответствующей суммы налога на прибыль (4 043 тыс. руб.) над полученным возмещением (2 600 тыс. руб.) отнесено на счет акционеров Компании и отражено в отчете об изменении капитала по статье «Нераспределенная прибыль» (1 463 тыс. руб.).</t>
  </si>
  <si>
    <t>В июне 2014 года Компания выкупила собственные обыкновенные акции у компании ООО «Вершина» (578 948 шт., номинальной стоимостью 1 руб.) за 74 684 тыс. руб., компании ООО «Модерн» (80 000 шт., номинальной стоимостью 1 руб.) за 10 320 тыс. руб., и компании ООО «Прибой» (334 000 шт., номинальной стоимостью 1 руб.) за 33 400 тыс. руб.</t>
  </si>
  <si>
    <t>HeadHunter Group PLC</t>
  </si>
  <si>
    <t>По состоянию на 31 декабря 2020 года Группа владела долей в 25,01% и опционными контрактами на приобретение дополнительных 40,01% доли в ООО «Скиллаз», российской HR-технологической компании, которая автоматизирует рутинные процессы подбора персонала путем реализации комплексных интеграционных проектов. («Скиллаз»). По состоянию на 31 марта 2021 г., исходя из результатов деятельности Skillaz в первом квартале 2021 г., ее бизнес-плана и полученных в результате прогнозируемых будущих денежных потоков, исполнение опционов колл стало выгодным для Группы. Учитывая, что Группа получала переменные доходы от своего участия в объекте инвестиций, а также имела возможность использовать свою власть над объектом инвестиций, чтобы влиять на сумму этих доходов посредством потенциальных существенных прав, Группа пришла к выводу, что она получила контроль над объектом инвестиций. Скиллаз по состоянию на 31 марта 2021 г. Соответственно, Группа прекратила учитывать свои инвестиции в Skillaz по методу долевого участия и консолидировала Skillaz в качестве дочерней компании с 31 марта 2021 года. Для целей раскрытия информации ниже «датой приобретения» является 31 марта 2021 года. 25 мая 2021 г. Совет директоров одобрил исполнение опционных контрактов. 26 мая 2021 года опционные контракты были исполнены. Ранее принадлежавшая Группе доля в Skillaz была оценена по справедливой стоимости на дату приобретения, а соответствующая прибыль в размере 223 308 была признана в строке «Прибыль от переоценки ранее имевшейся доли в объектах инвестиций, учитываемых по методу долевого участия» в консолидированном отчете о прибылях и убытках и совокупном доходе. прибыль за год, закончившийся 31 декабря 2021 года. Справедливая стоимость опциона колл на дату приобретения составляла 59 999 (на 31 декабря 2020 г. – 25 491). Соответствующая прибыль в размере 34 508 включена в состав «Финансовые доходы» в консолидированном отчете о прибылях и убытках и совокупном доходе за год, закончившийся 31 декабря 2021 года. Ключевые допущения, использованные в модели ценообразования Блэка-Шоулза-Мертона («BSM»), были следующими: а) по состоянию на 31 декабря 2020 года: ожидаемая волатильность - 38%, безрисковая процентная ставка - 3,9%; б) на дату приобретения контроля: ожидаемая волатильность - 38%, безрисковая процентная ставка - 4,8%. По состоянию на 31 декабря 2021 года Группа завершила распределение цены приобретения Skillaz.</t>
  </si>
  <si>
    <t>ИТ (автоматизация процессов подбора персонала)</t>
  </si>
  <si>
    <t>28 июня 2021 г. Группа увеличила свою долю в Skillaz на 9,97% до 74,99% на общую сумму 155 177. Разница между суммой корректировки неконтролирующей доли участия и справедливой стоимостью уплаченного вознаграждения в размере 123 010 была отражена в составе нераспределенной прибыли, причитающейся владельцам Группы, в консолидированном отчете об изменениях в капитале за год, закончившийся 31 декабря 2021 г.</t>
  </si>
  <si>
    <t>ИТ (платформа об объявлениях о вакансиях)</t>
  </si>
  <si>
    <t>25 декабря 2020 г. Группа приобрела 100% выпущенного уставного капитала и голосующих акций ООО «Зарплата.ру» («Зарплата») у Hearst Shkulev Digital Regional Network B.V. «Зарплата» — это платформа объявлений о вакансиях, работающая в некоторых регионах России, таких как Сибирь и Урал. Он был сформирован путем консолидации местных городских порталов, что обеспечило высокую узнаваемость местного бренда и означает, что «Зарплата» имеет значительную долю органического трафика.
В результате оценка внедоговорных отношений с клиентами была обновлена, и справедливая стоимость внедоговорных отношений с клиентами на дату приобретения составила 528 772, что на 53 694 меньше предварительной стоимости. Был уточнен расчет налоговой базы по приобретенным нематериальным активам, в результате чего отложенное налоговое обязательство уменьшилось на 47 818. Также произошло соответствующее увеличение гудвила на 5 876, в результате чего общий гудвил, возникший в результате приобретения, составил 2 918 486.
Сравнительная информация за 2020 год была пересмотрена с учетом корректировки предварительных сумм. Уменьшение амортизационных отчислений по внедоговорным отношениям с клиентами с даты приобретения до 31 декабря 2020 г. не было существенным.</t>
  </si>
  <si>
    <t>28 октября 2021 года Группа заключила договор о подписке на акции и приобрела долю в размере 9,91% в YouDo Web Technologies Limited (Кипр) («YouDo»), ведущей торговой площадке онлайн-услуг по запросу в России, в обмен на денежную компенсацию. вознаграждение в размере $5 млн или 349 052 (по курсу на 28 октября 2021 г.). Затраты, связанные с приобретением, составили 17 329 и были включены в стоимость инвестиций. Основное место деятельности YouDo — Россия.
Группа пришла к выводу, что она имеет значительное влияние на YouDo, поскольку Группа имеет право участвовать в принятии решений по финансовой и операционной политике через свое представительство в Совете директоров YouDo. Таким образом, доля участия Группы в YouDo представляет собой инвестицию в ассоциированную компанию и учитывается по методу долевого участия, начиная с 28 октября 2021 года.</t>
  </si>
  <si>
    <t>YouDo Web Technologies Limited</t>
  </si>
  <si>
    <t>ИТ (торговая площадка онлайн-услуг по запросу)</t>
  </si>
  <si>
    <t>20 апреля 2021 г. Группа приобрела 25% в уставном капитале ООО «Дрим Джоб» (Россия), которое управляет платформой обзора работодателей dreamjob.ru, за денежный взнос в размере 61 млн руб., поскольку мы видим потребность в создании независимого и надежного портала обзора работодателей в России. .</t>
  </si>
  <si>
    <t>ИТ (платформа обзора работодателей)</t>
  </si>
  <si>
    <t>16 декабря 2022 года Группа приобрела 25% в уставном капитале ООО «Эдштейн» (Россия), управляющего системой обучения и развития сотрудников. Кроме того, Группа заключила опционные контракты на покупку дополнительных 60% акций Edstein в течение периода с 1 июля 2023 г. по 31 декабря 2024 г. стоимость опциона колл в размере 13 209 (которая представлена по строке «Прочие финансовые активы» в консолидированном отчете о финансовом положении). Финансовые результаты ООО «Эдштейн» за период с даты приобретения по 31 декабря 2022 года оказались несущественными.</t>
  </si>
  <si>
    <t>В течение 2021 года Группа выкупила на рынке в общей сложности 283 673 АДР на общую сумму 1 096 357.</t>
  </si>
  <si>
    <t>В течение 2022 года Группа выкупила на рынке в общей сложности 95 188 АДР на общую сумму 329 642.</t>
  </si>
  <si>
    <t>HHRU</t>
  </si>
  <si>
    <t>Int-EdTech</t>
  </si>
  <si>
    <t>ИТ (платформа образования)</t>
  </si>
  <si>
    <t>31 января 2023 года Группа приобрела дополнительную 3%-ную долю участия в ООО «Вся работа» за денежное вознаграждение в размере 775 тысяч бел. рублей, или 20 377 тысяч рос. рублей, увеличив таким образом свою долю с 50% до 53%.</t>
  </si>
  <si>
    <t>6 мая 2019 года Группа зарегистрировала долю в размере 25,01% в российской HR-технологической компании ООО «Скилаз» (далее — Скиллаз), которая автоматизирует рутинные процессы подбора персонала путем реализации комплексных интеграционных проектов. Основное место деятельности Skillaz — Россия.
Группа имеет значительное влияние на Skillaz, поскольку Группа имеет право участвовать в принятии решений по финансовой и операционной политике через свое представительство на Общем собрании участников Skillaz. Таким образом, доля участия Группы в Skillaz представляет собой инвестицию в ассоциированную компанию и учитывается по методу долевого участия, начиная с 6 мая 2019 года.
В январе 2020 года Группа завершила распределение цены приобретения Skillaz.</t>
  </si>
  <si>
    <t>31 мая 2023 г. в обмен на уплаченное вознаграждение в размере 3 299 млн руб., отложенное возмещение в размере 534 млн руб. и условное вознаграждение в размере 594 млн руб. Группа заключила договор купли-продажи 100% долей в уставном капитале АО «БэллИнтегратор Групп», АО «БеллИнтегратор», ООО «БэллИнтегратор (Минск)», АО «БэллИнтегратор», ООО «БэллИнтегратор Инновации», ООО «Би Телеком Солюшнз», ООО «БэллИнтегратор Сервис», ООО «Би Сервис» (далее –  БэллИнтегратор). Две компании ООО «БэллИнтегратор Инновации» и АО «БеллИнтегратор» имеют статус резидента Сколково. БэллИнтегратор оказывает услуги по заказной разработке, услуги по тестированию качества программного обеспечения и приложений, услуги по обслуживанию и технической поддержке наиболее критически важного и коммерчески чувствительного програмного обеспечения. У БэллИнтегратор выстроены длительные клиентские отношения с более чем 25 ведущими финансовыми организациями в России, включая ТОП-10 системно значимых банков РФ.</t>
  </si>
  <si>
    <t>ИТ (Разработка и тестирование ПО)</t>
  </si>
  <si>
    <t>29 июня 2023 г. в обмен на отложенное возмещение в размере 88 млн руб. и условное вознаграждение в размере 27 млн руб., зависящее от результатов деятельности приобретенных компаний, Группа заключила договор купли-продажи 100% долей в уставном капитале ООО АКБ «Барьер» и ООО «Сэйвит Эдьюкейшн» (далее – Барьер). ООО АКБ «Барьер» является аккредитованной ИТ компанией в реестре Минцифры РФ как разработчик. Компания занимается производством и продажей средств вычислительной техники в защищенном исполнении (СВТЗИ), соответствующих требованиям сертификата Федеральной службе по техническому и экспортному контролю (ФСТЭК) России. Барьер оказывает услуги в области защиты государственной тайны: аттестация объектов информатизации по требованиям безопасности информации, проведение спецпроверок и специсследований технических средств, специальных обследований помещений.</t>
  </si>
  <si>
    <t>ИТ (Кибербезопасность)</t>
  </si>
  <si>
    <t>5 июля 2023 г. в обмен на отложенное возмещение в размере 1 626 млн руб., Группа заключила договор купли-продажи 50,1% долей в уставном капитале ООО «Борлас АФС» (далее – Борлас).
В результате сделки Группа получила:
► 50,1% долей в уставном капитале ООО «Борлас АФС», ООО «Борлас», ООО «Борлас Секьюрити Системз», ООО «Группа Борлас», ООО «Борлас Инженерно технический центр». Группа заключила соглашения о колл-опционах и пут-опционах на 44,9% в уставном капитале данных компаний. Сделка была учтена по методу приобретения. Неконтролирующая доля участия учитывается в размере 5%.
► 37,6% долей в уставном капитале ООО «Центр Цифровой Трансформации» и ООО «Эдит Про». Группа заключила соглашения о колл-опционах и пут-опционах на 33,7% долей в уставном капитале данных компаний. Сделка была учтена по методу приобретения. Неконтролирующая доля участия учитывается в размере 28,7%.
Борлас является одним из лидеров по внедрению бизнес-приложений, систем управления ресурсами предприятия, систем управления жизненным циклом изделий, в том числе на отечественных платформах. Борлас занимается автоматизацией бизнес процессов на основе 1С и продажей лицензий 1С государственным компаниям.</t>
  </si>
  <si>
    <t>6 апреля 2023 г. в обмен на уплаченное вознаграждение в размере 181 млн руб., долгосрочное условное вознаграждение в размере 782 млн руб., краткосрочное условное вознаграждение в размере 400 млн руб. и краткосрочное отложенное вознаграждение в размере 134 млн руб. Группа заключила договор купли-продажи 100% долей в уставном капитале ООО «СЛ Софт», ООО «Цитрос», ООО «Преферентум», ООО «Робин», ООО «Робин Облако», АО «БОСС Кадровые системы», ООО «Реляционное программирование» (далее – СЛ Софт). СЛ Софт занимается производством и внедрением HRM-систем и HR-консалтингом, автоматизацией бизнес-процессов с использованием настраиваемых программных роботов и чат-ботов, разработкой и внедрением продуктов в области сквозной автоматизации процессов юридически значимого электронного документооборота, разрабатывает технологии для анализа массивов и потоков неструктурированной информации, платформу для разработки и эксплуатации высоконагруженных SQL-систем.</t>
  </si>
  <si>
    <t>16 марта 2023 г. в обмен на денежное возмещение в размере 1 млн руб., Группа заключила договор купли-продажи 80% долей в уставном капитале ООО «Брайтум» (далее – Брайтум). Идентифицируемые чистые активы по справедливой стоимости ООО «Брайтум» составили менее 1 млн руб. Гудвил при приобретении составил 1 млн руб.</t>
  </si>
  <si>
    <t>14 июня 2023 г. в обмен на краткосрочное отложенное вознаграждение в размере 100 млн руб. Группа заключила договор купли-продажи 70% долей в уставном капитале ООО «Сойка» (далее – Сойка).
Данное приобретение было учтено по методу приобретения. Неконтролирующая доля участия учитывается в размере 30%. Сойка разработала OCR-решение для автоматизации работы с документами: их обработки,
классификации, извлечения информации, проведения анализа данных и их проверки. SOICA – это no-code система, позволяющая реализовать сложные сценарии обработки как отдельных разнообразных документов, так и их комплектов.</t>
  </si>
  <si>
    <t>31 августа 2023 г. Группа заключила договор купли-продажи 51% долей в уставном капитале ООО «Активхост РУ» и ООО «Активные технологии» (далее – Эктив). По соглашению между сторонами расчеты по договору были осуществлены путем взаимозачета имеющихся на дату заключения договора задолженностей. Данная сделка была учтена по методу приобретения. Неконтролирующая доля участия учитывается в размере 49%. Эктив является ведущим поставщиком облачных решений, ИТ-инфраструктуры и хостинга для клиентов России и Беларуси. Основное направление деятельности компании: предоставление облачной инфраструктуры для размещения корпоративных систем, приложений и сайтов; оказание услуг по аудиту и миграции в облако, информационной безопасности, проектированию и техническому сопровождению облачных решений.</t>
  </si>
  <si>
    <t>ИТ (Поставщик облачных решений, ИТ-инфраструктуры и хостинга)</t>
  </si>
  <si>
    <t>22 декабря 2023 г. в обмен на уплаченное вознаграждение в размере 7 525 руб., краткосрочное отложенное вознаграждение в размере 152 млн руб., долгосрочное условное вознаграждение в размере 98 млн руб. и долгосрочное отложенное вознаграждение в размере 33 млн руб. Группа заключила договор купли-продажи 100% долей в уставном капитале ООО «Инверсум» (далее – Инверсум). Инверсум является производителем POS-терминального оборудования. Объединение компетенций и ресурсов Группы и Инверсум позволит разработать первую на российском рынке комплексную импортонезависимую линейку российских платежных терминалов, а также расширить присутствие на платежном рынке РФ и за рубежом.</t>
  </si>
  <si>
    <t>Производитель POS-терминального оборудования</t>
  </si>
  <si>
    <t>В течение года, закончившегося 31 декабря 2023 г., Группой заключались прочие индивидуально несущественные соглашения по купле-продаже долей, в том числе в компаниях ООО «ДИТ Финанс» и ООО «Перспектива и Развитие».</t>
  </si>
  <si>
    <t>24 января 2022 г. в обмен на отложенное возмещение в размере 210 млн руб. Группа заключила договор купли-продажи 70% долей в уставном капитале ООО «ММТР», ООО «ММТР Технологии» и ООО «СофтЭкспорт» (далее – ММТР). 25 января 2022 г. Группа заключила соглашения об колл-опционах и пут-опционах на оставшиеся 30% долей в уставном капитале ММТР. ММТР – это группа частных компаний с головным офисом в Костроме, специализирующихся на разработке и тестировании программного обеспечения и автоматизации бизнес-процессов. ММТР широко известны своим опытом в разработке сложных и комплексных высоконагруженных систем, автоматизированном тестировании, бизнес-аналитике и анализе данных, а также проектировании хранилищ и баз данных. ММТР также предлагают ведущие на рынке инструменты аренды специалистов (аутстаффинг) и услуги по обеспечению качества. Сделка позволит Группе более эффективно предоставлять клиентам экспертизу лучших специалистов из развивающихся рынков, помогая удовлетворить постоянно растущий спрос на ИТ-специалистов в области разработки приложений, модернизации и тестирования. Кроме того, инструменты ММТР для управления ресурсами позволят Группе более эффективно предоставлять клиентам необходимые экспертные знания.</t>
  </si>
  <si>
    <t>25 января 2022 г. в обмен на отложенное возмещение в размере 107 млн руб. Группа заключила договор купли-продажи 100% акций АО «Технический центр «Инженер» (далее – ТЦ Инженер) для расширения портфеля услуг Группы в области кибербезопасности и консультационных услуг, включая анализ соответствия стандартам. ТЦ Инженер – это частная компания с головным офисом в Москве. Ее основной деятельностью является консультирование по кибербезопасности, продажа лицензий на программное обеспечение и услуги, связанные с повышением осведомленности пользователей в области информационной безопасности.</t>
  </si>
  <si>
    <t>10 января 2022 г. в обмен на отложенное возмещение в размере 260 млн руб. и условное вознаграждение в размере 32 млн руб., зависящее от результатов деятельности Приобретенных компаний, Группа заключила договор купли-продажи 85% долей в уставном капитале АНО ДПО «Академия АйТи», ООО «Аплана Европа», ООО «АйТи. Образовательный холдинг» (далее – Академия АйТи). 10 января 2022 г. Группа заключила соглашения о коллопционах и пут-опционах на оставшиеся 15% долей в уставном капитале Академии АйТи. Академия АйТи – это группа частных компаний с головным офисом в Москве, занимающихся предоставлением образовательных и консультационных услуг в сфере информационных технологий. Группа заключила сделку для расширения экспертизы в подготовке специалистов в области информационных технологий. Данная сделка была учтена по методу приобретения. Неконтролирующая доля участия учитывается как приобретенная в обмен на условное вознаграждение со справедливой стоимостью, равной 31 млн руб. на дату приобретения.</t>
  </si>
  <si>
    <t>15 декабря 2022 г. в обмен на отложенное возмещение в размере 239 млн руб. Группа заключила договор купли-продажи 51 % долей в уставном капитале ООО «Полиматика Рус» (далее – Полиматика) c целью расширения портфеля собственных решений Группы. Полиматика – российский разработчик инструментов бизнес-аналитики и машинного обучения, позволяющих в режиме конструктора исследовать данные любого размера в режиме реального времени, оперативно визуализировать показатели в виде интерактивных информационных панелей и отчетов, создавать модели и стратегии принятия решений.</t>
  </si>
  <si>
    <t>1 июля 2022 г. в обмен на отложенное возмещение в размере 142 млн руб. и условное вознаграждение в размере 85 млн руб., зависящее от результатов деятельности приобретенных компаний, Группа заключила договор купли-продажи 75% долей в уставном капитале ООО «Ваш Платежный Проводник», ООО «Крествэйв Технолоджис», ООО «Крествэйв Электроникс», ООО «Скай Технолоджис» (далее – ВПП). ВПП – это группа частных компаний с головным офисом в Москве, занимается разработкой программного обеспечения в области платежных технологий, процессинговых систем, платежного программного обеспечения для POS-терминалов, систем управления оборудованием и обеспечения для криптографической защиты данных. ВПП предлагает уникальные продукты для банковского сектора – начиная с систем автоматизации управления эквайринговыми процессами и мультивендорного платежного программного обеспечения, заканчивая комплексными клиентскими решениями, интеграцией с кассовыми системами и внешним программным обеспечением.</t>
  </si>
  <si>
    <t>27 декабря 2022 г. в обмен на отложенное вознаграждение в размере 8 млн руб. Группа заключила договор купли-продажи 100% долей в уставном капитале ООО "ЛокалСофт" (далее – ЛокалСофт). ЛокалСофт оказывает услуги процессинга ATM платежей и банковских карт банкам. Помимо этого, ЛокалСофт имеет экспертизу в доработке, модификации и сопровождении программного обеспечения по процессингу ATM и банковских карт и заказной разработке специализированного программного обеспечения для банков.</t>
  </si>
  <si>
    <t>ООО "ЛокалСофт"</t>
  </si>
  <si>
    <t>ИТ (Услуги процессинга ATM платежей и банковских карт банкам)</t>
  </si>
  <si>
    <t>ПАО "Софтлайн" (Softline Holding PLC)</t>
  </si>
  <si>
    <t>23 апреля 2021 г. в обмен на отложенное возмещение в размере 550 млн руб. и условное вознаграждение в размере 456 млн руб. Группа заключила договор купли-продажи 100% доли в уставном капитале ООО «НАЦИОНАЛЬНЫЙ ЦЕНТР ПОДДЕРЖКИ И РАЗРАБОТКИ» (далее «НЦПР»). НЦПР - это компания с головным офисом в Москве, специализирующаяся в области открытых и безопасных информационных технологий. НЦПР является официальным представителем Alfresco Software в Российской Федерации и уполномочено заключать партнерские соглашения со своими клиентами. Alfresco Software - это разработчик программных продуктов с открытым исходным кодом, ориентированных на управление информационными ресурсами, часто выбираемых в качестве альтернативы известным коммерческим решениям промышленного уровня на рынке систем управления контентом и систем управления процессами от IBM, Open Text, Oracle и Microsoft.</t>
  </si>
  <si>
    <t>29 октября 2020 г. в обмен на отложенное возмещение в размере 163 млн руб. и условное вознаграждение в размере 51 млн руб., зависящее от результатов деятельности приобретенных компаний, Группа заключила договор купли-продажи 100%долей в уставном капитале ООО «Аплана. Центр разработки». ООО «Центр разработки программного обеспечения» и ООО «Аплана Международные проекты» (далее совместно именуемые «Аплана»). Аплана - это группа частных компаний с головным офисом в Москве, предоставляющая различные услуги в сфере информационных технологий, такие как разработка программного обеспечения на заказ и тестирование программного обеспечения. Аплана была приобретена для дальнейшего расширения возможностей Группы по разработке программного обеспечения путем присоединения к Группе 180 новых разработчиков и для наращивания экспертизы в сложных проектах по разработке программного обеспечения для корпоративных клиентов.</t>
  </si>
  <si>
    <t>25 июня 2021 г. Группа продала 100% акций Softline Management ApS за номинальное денежное вознаграждение компании Colbury Finance Limited, связанной стороне, принадлежащей контролирующему акционеру Группы. Результат выбытия в размере 434 млн руб. был признан как уменьшение нераспределенной прибыли в консолидированном отчете об изменениях в капитале за год, закончившийся 31 декабря 2021 г.</t>
  </si>
  <si>
    <t>30 сентября 2021 г. Группа продала свою 100% долю в ООО «СофтЛайн Энтерпрайс Солюшнс» (далее именуемое «СЛЭС») за номинальное денежное вознаграждение ООО «Софтлайн Директ», связанной стороне, принадлежащей контролирующему акционеру Группы. Результат выбытия в размере 1 227 млн руб. был признан как уменьшение нераспределенной прибыли в консолидированном отчете об изменениях в капитале за год, закончившийся 31 декабря 2021 г.</t>
  </si>
  <si>
    <t>31 марта 2021 г. Группа продала 100% акций Bolucom Holdings Limited, кипрской логистической компании, за номинальное денежное вознаграждение Softline Group Inc., связанной стороне, принадлежащей контролирующему акционеру Группы. Результат выбытия в размере 866 млн руб. был признан как уменьшение нераспределенной прибыли в консолидированном отчете об изменениях в капитале за год, закончившийся 31 декабря 2021 г.</t>
  </si>
  <si>
    <t>Softline Management ApS</t>
  </si>
  <si>
    <t>Colbury Finance Limited</t>
  </si>
  <si>
    <t>Softline Group Inc.</t>
  </si>
  <si>
    <t>Bolucom Holdings Limited</t>
  </si>
  <si>
    <t>20 августа 2019 г. в обмен на отложенное возмещение в размере 30 млн руб. и условное вознаграждение в размере 46 млн руб., зависящее от результатов деятельности приобретенных компаний, Группа приобрела 100% долей в уставном капитале ООО «Центр высоких технологий» и ООО «Инженерная информатика» (далее совместно именуемые «ЦВТ»), частных компаний с головным офисом в Ижевске, основной деятельностью которых является предоставление различных услуг в сфере информационных технологий, включая разработку программного обеспечения.</t>
  </si>
  <si>
    <t>ИТ (Услуги)</t>
  </si>
  <si>
    <t>10 марта 2022 г. Группа приобрела 100% долю в уставном капитале СООО «ДПА» в сделке под общим контролем, в результате чего уставный капитал Группы увеличился на 0,17 млн руб., а нераспределенная прибыль увеличилась на 80 млн руб.</t>
  </si>
  <si>
    <t>В период с 1 января 2024 года по дату подписания настоящей отчетности Компания приобрела 95 000 собственных акций на общую сумму 23 981 тыс. рублей в рамках Программы байбэка-2024</t>
  </si>
  <si>
    <t>С целью развития бизнеса Группы в странах СНГ, 1 сентября 2022 года Группа приобрела у связанной стороны 100% уставного капитала ТОО «ВУШ КЗ» и ООО «БУШ БЛ» за 70 тыс. рублей и 219 тыс. рублей соответственно. Данная операция учитывается используя метод приобретения. ТОО «ВУШ КЗ» и ООО «ВУШ БЛ» предоставляют услуги по краткосрочной аренде шеринговых СИМ в Республике Беларусь и Республике Казахстан. Они являются бизнесами, т. к. представляют собой интегрированную совокупность видов деятельности и активов, осуществление которых и управление которыми способно привести к предоставлению товаров или услуг покупателям, генерированию инвестиционного дохода (такого как дивиденды или проценты) или генерированию иных доходов от обычной деятельности. Результаты операций дочерних компаний включены в консолидированную отчетность с даты приобретения - 1 сентября 2022 года.</t>
  </si>
  <si>
    <t>ПАО "ВУШ Холдинг"</t>
  </si>
  <si>
    <t>WUSH</t>
  </si>
  <si>
    <t>Rent-Scot</t>
  </si>
  <si>
    <t>Услуги по краткосрочной аренде самокатов</t>
  </si>
  <si>
    <t>Казахстан, Беларусь</t>
  </si>
  <si>
    <t>ПАО "СОЛЛЕРС"</t>
  </si>
  <si>
    <t>Машиностроение (Производство отливок из всех марок чугунов)</t>
  </si>
  <si>
    <t>11 июля 2022 года после завершения процедуры одобрения Федеральной антимонопольной службы Группа заключила договор купли-продажи 50% доли в дочерней компании ООО «УАЗ-Автокомпонент». Цена продажи доли в компании зависит от результатов будущей деятельности компании в течение трех лет и составит не более 340 руб. (210 руб. фиксированная часть и 60 руб. в сторону уменьшения либо 130 руб. в сторону увеличения - переменная часть вознаграждения, зависящая от результатов будущей деятельности компании). Таким образом, 50% доля ООО УАЗ-Автокомпонент» была продана независимому покупателю. С покупателем было подписано корпоративное соглашение, регулирующие права и обязанности сторон, связанные с участием в совместном предприятии, а также иные действия по управлению совместным предприятием. Группа признала в отчетности оставшиеся у нее инвестиции как совместное предприятие с равными долями участия (50%:50%) справедливой стоимостью 161 руб. Основной деятельностью СП «УАЗ-Автокомпонент» является производство отливок для различных отраслей промышленности из всех марок серых и высокопрочных чугунов.</t>
  </si>
  <si>
    <t>В первом полугодии 2023 года Компанией было принято решение о приобретении 100% пакета акций АО «Исузу Рус», подписано соответствующее соглашение с Isuzu Motors Limited и Sojitz Corporation, а также получено одобрение на сделку Правительственной комиссии по контролю за осуществлением иностранных инвестиций в Российской Федерации. На базе активов АО «Исузу Рус» в Ульяновске планируется организация производства грузовых автомобилей в сотрудничестве с новым партнером. В июне 2023 года Группа осуществила платеж за приобретение 100% доли АО «Исузу Рус» в сумме 2 819 руб. Контроль над АО «Исузу Рус» переходит к Группе по мере исполнения сторонами отлагательных условий, предусмотренных вышеназванным соглашением. Отлагательные условия были выполнены в июле 2023 года, поэтому по состоянию на 30 июня 2023 года контроль над АО «Исузу Рус» остается у продавца. В связи с этим в отчетности Группы аванс за приобретение 100% доли АО «Исузу Рус» в сумме 2 819 руб. признан в составе прочих внеоборотных активов.</t>
  </si>
  <si>
    <t>Isuzu Motors Limited и Sojitz Corporation</t>
  </si>
  <si>
    <t>Машиностроение (Производство грузовых автомобилей)</t>
  </si>
  <si>
    <t>В мае и июне 2023 года Группа реализовала 643 тыс. собственных акций, выкупленных у акционеров. Стоимость проданных акций составила 155 руб., цена реализации 459 руб. Разница между ценой реализации и стоимостью приобретения в сумме 304 руб. была признана в составе капитала Группы.</t>
  </si>
  <si>
    <t>Машиностроение (Производство автомобилей)</t>
  </si>
  <si>
    <t>SVAV</t>
  </si>
  <si>
    <t>23 октября 2020 года Советом директоров ПАО «СОЛЛЕРС» принято решение о приобретении собственных акций Компании в соответствии с пунктом 2 статьи 72 Федерального закона № 208-ФЗ от 26.12.1995 «Об акционерных обществах» в количестве 1 713 507 акций. Стоимость приобретения составляет 267 рублей за одну акцию. Программа выкупа завершилась и 15 января 2021 Группа стала владельцем 1 713 499 (4,99997%) собственных акций общей стоимостью 457 руб.</t>
  </si>
  <si>
    <t>8 декабря 2021 года Советом директоров ПАО «СОЛЛЕРС» принято решение о приобретении собственных акций Компании в соответствии с пунктом 2 статьи 72 Федерального закона № 208-ФЗ от 26.12.1995 «Об акционерных обществах» в количестве
1 713 507 акций. Стоимость приобретения составляет 240,5 рублей за одну акцию. Программа выкупа завершилась и 18 февраля 2022 Группа стала владельцем 1 713 469 (5,263%) собственных акций общей стоимостью 412 руб.</t>
  </si>
  <si>
    <t>1 июля 2019 года ПАО «СОЛЛЕРС» приобрело контролирующую долю в размере 51% в уставном капитале СП «Форд-СОЛЛЕРС», основной деятельностью которого являются производство и продажа автомобилей Ford Transit. Совместное предприятие было переименовано в СП «Соллерс Форд» в 2020 году. Новое СП «Соллерс Форд» создано на базе существующего завода Соллерс Форд в Елабуге, который является резидентом Особой экономической зоны «АЛАБУГА». Группа консолидирует СП «Соллерс Форд» с 1 июля 2019 года, даты начала его операционной деятельности. СП «Соллерс Форд» приняло на себя выполнение гарантийного обслуживания и поставки запасных частей для всех автомобилей марки Ford, ранее проданных в России. Группа выплатила 4 730 руб. в качестве вознаграждения. Покупка была отражена по методу приобретения.</t>
  </si>
  <si>
    <t>Машиностроение (Производство и продажа легких коммерческих автомобилей, микроавтобусов, двигателей и запчастей)</t>
  </si>
  <si>
    <t>ZMZN</t>
  </si>
  <si>
    <t>В течение года, закончившегося 31 декабря 2019 г., в результате приобретения неконтролирующей доли фактическая доля участия Группы в акционерном капитале ПАО «Заволжский моторный завод» увеличилась по сравнению с 2018 годом. В течение 2019 года Группа выкупила у третьих лиц акции ПАО «ЗМЗ» за 8 руб. Результат Группы в сумме прибыли 17 руб. был признан в составе капитала.</t>
  </si>
  <si>
    <t>В течение года, закончившегося 31 декабря 2018 г., в результате приобретения неконтролирующей доли фактическая доля участия Группы в акционерном капитале ПАО «Заволжский моторный завод» увеличилась по сравнению с прошлым годом. В течение 2018 года Группа выкупила у третьих лиц акции ПАО «ЗМЗ» за 54 руб. Результат Группы в сумме прибыли 60 руб. был признан в составе капитала.</t>
  </si>
  <si>
    <t>В декабре 2015 года Группа продала 50% акций ЗАО «Соллерс-Исузу» партнеру по СП за 1 350 руб.</t>
  </si>
  <si>
    <t>В 2012 году Группа реализовала 16% акций ЗАО «Соллерс-Исузу» партнеру по СП, снизив долю своего
участия до 50%.</t>
  </si>
  <si>
    <t>В течение года, закончившегося 31 декабря 2015 года, Группа приобрела 3,6% УАЗ за 196 руб. Результат для
Группы (прибыль) в сумме 110 руб. был признан в отчете об изменениях капитала.</t>
  </si>
  <si>
    <t>UAZA</t>
  </si>
  <si>
    <t>В течение года, закончившегося 31 декабря 2014 года, в результате приобретения неконтролирующей доли фактическая доля участия Группы в акционерном капитале ЗМЗ увеличилась по сравнению с прошлым годом. В течение 2014 года Группа выкупила у третьих лиц акции ЗМЗ за 512 руб. Результат Группы в сумме прибыли 750 руб. был признан в составе капитала.</t>
  </si>
  <si>
    <t>В течение года, закончившегося 31 декабря 2014 года, фактическая доля участия Группы в акционерном капитале УАЗ увеличилась по сравнению с прошлым годом в результате приобретения неконтролирующей доли. В течение 2014 года Группа выкупила у третьих лиц акции УАЗ за 1 268 руб. Результат Группы в сумме прибыли 189 руб. был признан в составе капитала.</t>
  </si>
  <si>
    <t>В ноябре 2013 г. Группа выкупила у государства 13% акций ОАО «УАЗ» за 900 руб. Результат Группы в сумме 238 руб. был признан в составе капитала.</t>
  </si>
  <si>
    <t>Финансы (Лизинг)</t>
  </si>
  <si>
    <t>СП с банком по оказанию лизинговых услуг (в качестве вклада передано ООО "Соллерс-Финанс")</t>
  </si>
  <si>
    <t>В ноябре 2010 г. Группа учредила совместное предприятие с банком по оказанию лизинговых услуг, и в качестве вклада в совместное предприятие передала ООО "Соллерс-Финанс", ранее являвшееся ее дочерней компанией со 100%-ным участием. Валовые денежные поступления от продажи ООО «Соллерс-Финанс» составила 167 руб. Чистые поступления составила 164 руб. Оставшаяся доля Группы в совместном предприятии после выбытия составила 130 руб., что приблизительно равно справедливой стоимости на дату выбытия, и следовательно, переоценка оставшейся доли Группы составила равна нулю. На 31 декабря 2010 г. Группа владела оставшейся 50%-ной долей участия в ООО «Соллерс-Финанс» и 30%-
ной долей участия в ООО DaeWon-SeverstalAuto Elabuga (31 декабря 2009 г.: 30% доля участия в ООО DaeWon-SeverstalAuto Elabuga).</t>
  </si>
  <si>
    <t>В течение года, закончившегося 31 декабря 2012 г., Группа продала 1 047 тысяч обыкновенных акций и дополнительно приобрела 248 тысяч акций.</t>
  </si>
  <si>
    <t>В течение года, закончившегося 31 декабря 2011 г., Группа продала 228 тысяч обыкновенных акций и дополнительно приобрела 228 тысяч акций.</t>
  </si>
  <si>
    <t>В течение года, закончившегося 31 декабря 2010 г., Группа продала 285 тысяч обыкновенных акций и дополнительно приобрела 285 тысяч акций.</t>
  </si>
  <si>
    <t>В течение года, закончившегося 31 декабря 2009 г., Группа продала 807 тысяч обыкновенных акций и дополнительно приобрела 130 тысяч акций.</t>
  </si>
  <si>
    <t>В течение года, закончившегося 31 декабря 2008 г., Группа приобрела на рынке 726 тысяч обыкновенных акций Группы за 874 руб. по средней цене 1 203 руб. за акцию. Группа зарезервировала эти выкупленные акции для целей выполнения программы по предоставлению опциона старшему руководству</t>
  </si>
  <si>
    <t>В 2021 году Группа приобрела 6.07% в уставном капитале ПАО «Ижорские заводы», увеличив, таким образом, свою долю в этой компании и се дочерних обществах до 91.91%. Стоимость дополнительных акций составила 363 546 тыс. рублей.</t>
  </si>
  <si>
    <t>Машиностроение (Производство оборудования для АЭС и прочего оборудования)</t>
  </si>
  <si>
    <t>ПАО "Объединенные машиностроительные заводы" (ПАО "ОМЗ"; Группа Уралмаш-Ижора)</t>
  </si>
  <si>
    <t xml:space="preserve">В марте 2019 года Группа продала инвестиции в АО «ПО «Уралэнергомонтаж» и его дочерние компании, которые представлены в данной консолидированной финансовой отчетности в качестве прекращенной деятельности </t>
  </si>
  <si>
    <t>В марте 2017 года Группа продала конечной материнской компании инвестиции в ООО «ИЗ-КАРТЭКС имени П.Г. Коробкова» и его дочернюю компанию, которые представлены в данной консолидированной финансовой отчетности в качестве прекращенной деятельности. Сделка классифицирована как осуществленная под общим контролем.</t>
  </si>
  <si>
    <t>В декабре 2017 года Группа продала конечной материнской компании инвестиции в ООО «ОМЗ-Литейное производство», утратив контроль. Руководство Группы не рассматривает выбытие ООО «ОМЗ-Литейное производство» как реализацию самостоятельного крупного направления деятельности. Сделка классифицирована как осуществленная под общим контролем.</t>
  </si>
  <si>
    <t>Met-Div</t>
  </si>
  <si>
    <t>Машиностроение (Приозводство горного оборудования)</t>
  </si>
  <si>
    <t>Металлургия (Производство стальных отливок)</t>
  </si>
  <si>
    <t>В октябре 2015 года Группа дополнительно приобрела 1,5% в уставном капитале ПАО «Криогенмаш», увеличив, таким обратом, свою долю в этой компании и ее дочерних обществах до 95.99%. Стоимость дополнительных акции составила 79 832 тыс. рублей. В результате, дебетовый остаток неконтролирующей доли в НЛО «Криогенмаш», и его дочерних предприятиях уменьшилась на 34 тыс. рублей, нераспределенная прибыль Группы уменьшилась на 79 79S тыс. рублей.</t>
  </si>
  <si>
    <t>В октябре 2015 года Группа продала конечной материнской компании инвестиции в АО «МК «Уралмаш», ПАО «Уралмашзавод» и в их дочерние компании, которые представлены в данной консолидированной финансовой отчетности в качестве прекращенной деятельности. Сделка классифицирована как осуществленная под общим контролем.</t>
  </si>
  <si>
    <t>Машиностроение (Производство нефтегазового и воздухоразделительного оборудования)</t>
  </si>
  <si>
    <t>ПАО "Объединенные машиностроительные заводы" (ПАО "ОМЗ"; Группа Уралмаш-Ижора) - дочерняя компания SKODA JS. a.s.</t>
  </si>
  <si>
    <t>NPA. a.s.</t>
  </si>
  <si>
    <t>В 2013 году Группа приобрела через дочернюю компанию SKODA JS. a.s. 34% голосующую долю в уставном капитале компании NPA a.s. (Республика Чехия). За 2015 год доля Группы в убытке NPA, a.s. составила 152 тыс. рублей. В августе 2015 года компания NPA, a.s. была ликвидирована в соответствии с решением Собрания акционеров NPA a.s.</t>
  </si>
  <si>
    <t>В феврале 2017 г. Группа приобрела у компании, контролируемой Группой Basic Element, долю в уставном капитале ООО «Брянский тракторный завод» (бывш. ООО «ПО ХТЗ Белгород») в размере 99.90% за 303 тыс. руб./ 5 тыс. долл. США.</t>
  </si>
  <si>
    <t>ПАО "ГАЗ"</t>
  </si>
  <si>
    <t>В апреле 2017 года Группа приобрела у компании, контролируемой Группой Basic Element 99.99% акций ЗАО «НПП «Сотекс». занимающееся производством автокомпонентов, за 940,001 тыс. руб. / 16.320 тыс. долл. США.</t>
  </si>
  <si>
    <t>Машиностроение (Производство втокомонентов)</t>
  </si>
  <si>
    <t>ОАО "Брянский арсенал"</t>
  </si>
  <si>
    <t>В октябре 2017 года Группа продала имевшуюся у нее непрофильную инвестицию в компанию ОАО Брянский арсенал за 631.700 тыс. руб./ 10.967 тыс. долл. США. Убыток этого дочернего предприятия, включенный в состав чистой прибыли за год, составил 63,412 тыс. руб. / 1.101 тыс. долл. США, убыток от выбытия составил 127.461 тыс. руб. /2.213 тыс. долл. США.</t>
  </si>
  <si>
    <t>В декабре 2017 года Группа произвела выкуп акций ПАО «Автодизель» (ЯМЗ) у миноритарных акционеров за 624.400 тыс. руб. / 10.840 тыс. долл. США, оплаченных денежными средствами. По итогам данного приобретения неконтролирующая доля участия на 31 декабря 2017 года уменьшилась на 1.967.597 тыс. руб. / 34.160 тыс. долл. США эмиссионный доход увеличился на 1.343.197 тыс. руб. / 23.319 тыс. долл. США.</t>
  </si>
  <si>
    <t>Компания, которая занимается научно-исследовательской деятельностью в сфере развития транспортного строительства</t>
  </si>
  <si>
    <t>Sonderhoff Ltd.</t>
  </si>
  <si>
    <t>Машиностроение (научно-исследовательская деятельность в сфере развития транспортного строительства)</t>
  </si>
  <si>
    <t>В 2010 году Группа получила полный контроль над совместными предприятиями ООО «Русские Автобусы Марко» и ООО «МАГНА-ГАЗ джойнт супплаинг организейшн», в связи с выходом второго участника из состава учредителей в январе и сентябре 2010 года соответственно. Ранее данные компании были учтены в отчетности Группы по методу долевого участия. На дату приобретения балансовая стоимость данных инвестиций была равна 0, поскольку доля Группы в убытках данных предприятий, учитываемых по методу долевого участи, превысила стоимость инвестиций. На данную дату справедливая стоимость инвестиций была равна 0.</t>
  </si>
  <si>
    <t>В 2010 году Группа произвела выкуп акций ОАО «Автодизель» у миноритарных акционеров за 19,817 тыс. руб./ 650 тыс. долл.США, оплаченных денежными средствами. По итогам данного приобретения доля миноритарных акционеров на 31 декабря 2010 года уменьшилась на 13,282 тыс. руб. / 436 тыс.долл.США, эмиссионный доход уменьшился на 6,535 тыс. руб. / 214 тыс. долл.США</t>
  </si>
  <si>
    <t>В конце апреля 2013 года Группа приобрела 98% акций, включая 33% голосующих прав, в компании Sonderhoff Ltd. у связанной компании, за вознаграждение в сумме 1.600.000 тыс. руб. / 48.886 тыс. долл. США, выплаченное денежными средствами.. Приобретенные акции предоставляют только 33% голосующих прав, поэтому Группа отразила инвестицию как учитываемую по методу долевого участия по справедливой стоимостью Sonderhoff Ltd. владеет 100% долей лизинговой компании ООО «Элемент Лизинг». В результате приобретения Группа планирует увеличить продажи за счет реализации совместных программ.</t>
  </si>
  <si>
    <t>В июне 2014 года состоялся переход права собственности на 49% акций в компании, которая занимается научно-исследовательской деятельностью в сфере развития транспортного строительства. Акции приобретены у связанной компании за вознаграждение в сумме 700.000 тыс. руб. / 12.443 тыс. долл. США выплаченное в 2013 году денежными средствами. Инвестиция отражена в данной консолидированной финансовой отчетности как инвестиция, учитываемая по методу долевого участия по справедливой стоимости.</t>
  </si>
  <si>
    <t>В 2011 году Группа произвела выкуп акций ОАО «Автодизель» (ЯМЗ) у миноритарных акционеров за 14,912 тыс. руб. / 463 тыс. долл. США, оплаченных денежными средствами. По итогам данного приобретения неконтролирующая доля участия на 31 декабря 2011 года уменьшилась на 10,133 тыс. руб. / 315 тыс. долл. США, эмиссионный доход уменьшился на 4,779 тыс. руб. / 148 тыс. долл.США.</t>
  </si>
  <si>
    <t>миноритарная доля</t>
  </si>
  <si>
    <t>27 апреля 2011 года было принято решение о проведении выкупа собственных акций Группы, что предоставило акционерам возможность реализовать акции с премией к рыночной стоимости без существенных транзакционных расходов, связанных с совершением сделки. В рамках программы выкупа собственных акций Группа выкупила 7 319 202 обыкновенных и 543 241 привилегированных акций на сумму 10 996 726 тыс. руб.</t>
  </si>
  <si>
    <t>ОАО "Пивоваренная компания "Балтика"</t>
  </si>
  <si>
    <t>PKBA; PKBAP</t>
  </si>
  <si>
    <t>Производство и продажа алкогольных напитков (пиво)</t>
  </si>
  <si>
    <t>1 сентября 2011 года внеочередное собрание акционеров одобрило решение о конвертации привилегированных акций Группы в обыкновенные. Акционеры, которые были не согласны с предложением о конвертации акций, получили право на обратную продажу своих акций Группе. В результате Группа выкупила 91 628 привилегированных акций на сумму 107 635 тыс. руб.</t>
  </si>
  <si>
    <t>Снедвижимость (склад)</t>
  </si>
  <si>
    <t>В ноябре 2010 года Группа продала 3% акций ООО «Универсалоптторг» (склад) третьему лицу. В декабре 2010 года Группа продала оставшиеся акции тому же третьему лицу. Продажа дочернего предприятия не оказала существенного влияния на деятельность Группы.</t>
  </si>
  <si>
    <t>Min-Chrom</t>
  </si>
  <si>
    <t>Met-Nick</t>
  </si>
  <si>
    <t>Met-Oth</t>
  </si>
  <si>
    <t>Fert-Amm</t>
  </si>
  <si>
    <t>Fert-Pot</t>
  </si>
  <si>
    <t>Oil-Int</t>
  </si>
  <si>
    <t>BANE; BANEP</t>
  </si>
  <si>
    <t>Whol-Oth</t>
  </si>
  <si>
    <t>В марте 2010 года Группа увеличила свою долю в уставном капитале ЗАО «Донская аграрная группа» с 25%+1 акции до 100% путем приобретения акций у предприятия, находящегося под общим контролем с Группой. Сумма возмещения за 100% долю в уставном капитале составила 608 млн руб. и была уплачена денежными средствами. Превышение возмещения уплаченного над балансовой стоимостью чистых активов приобретенного предприятия в сумме 38 млн руб. было отражено в составе собственного капитала.</t>
  </si>
  <si>
    <t>ПАО "Группа Разгуляй"</t>
  </si>
  <si>
    <t>Доля участия в дочернем предприятии, контролирвавшаяся до приобретения - 97%</t>
  </si>
  <si>
    <t>Доля участия в дочернем предприятии, контролирвавшаяся до приобретения - 88%</t>
  </si>
  <si>
    <t>Доля участия в дочернем предприятии, контролирвавшаяся до приобретения - 85%</t>
  </si>
  <si>
    <t>Доля участия в дочернем предприятии, контролирвавшаяся до приобретения - 86%</t>
  </si>
  <si>
    <t>Доля участия в дочернем предприятии, контролирвавшаяся до приобретения - 87%</t>
  </si>
  <si>
    <t xml:space="preserve">В июле 2008 года Группа продала 38 093 157 вновь выпущенных обыкновенных акций по цене 7,75 долл. США за акцию. Разница между номинальной стоимостью выпущенных акций в размере 114 млн руб. и возмещением полученным в сумме
6 859 млн руб., за вычетом понесенных при выпуске расходов в сумме 268 млн руб., была отнесена на увеличение добавочного капитала </t>
  </si>
  <si>
    <t>GRAZ</t>
  </si>
  <si>
    <t>В ноябре 2010 года Группа заключила договор на приобретение 11 991 050 акций за 561 млн руб. от связанной стороны, получив право собственности на акции в декабре 2010 года. Задолженность по приобретенным акциям в размере 561 млн руб. была признана в составе торговой и прочей кредиторской задолженности. После 31 декабря 2010 года Группа оплатила данную задолженность путем перевода продавцу задолженности от третьих лиц в размере 561 млн руб. отраженной как прочая дебиторская задолженность на 31 декабря 2010 года.</t>
  </si>
  <si>
    <t xml:space="preserve">В феврале 2011 года Группа заключила договор на приобретение 50% акций ЗАО «Орский мясокомбинат», ЗАО «Оренбургский бройлер» и ЗАО «Уральский бройлер». В соответствии с условиями договора Группа может получить контроль над акциями в любой момент начиная с 1 января 2012 г. Оплата за приобретенные акции будет произведена путем зачета прочей дебиторской задолженности Группы в размере 3 500 млн руб. </t>
  </si>
  <si>
    <t>По состоянию на 1 января 2008 года Группа владела 46% акций OAO «Подольский ЭМЗ» (мукомольный завод) и 36% акций OAO «Шипуновский элеватор». Соответственно, инвестиции в эти компании ранее учитывались по методу долевого участия. Приобретение дополнительных 51% акций увеличило долю Группы в этих компаниях до 97% и 87%, соответственно, в результате чего Группа приобрела контроль над этими компаниями. Определение справедливых стоимостей основных средств и нематериальных активов, а также распределение стоимостей покупки между активами, обязательствами и условными обязательствами обеих приобретенных компаний было выполнено в 2008 году независимым оценщиком, ООО «Балт-Аудит-Эксперт». 
В сентябре 2008 года Группа приобрела бизнес OAO «Башкирские мельницы» за 506 млн руб. путем приобретения полного комплекса основных средств и большинства трудовых договоров с персоналом предприятия. Имущественный комплекс и трудовые договоры были переданы вновь созданному дочернему предприятию, OOO «Давлекановский КХП №1». В 2008 году стоимость покупки была отнесена на справедливую стоимость идентифицируемых активов и обязательств на условной основе. В 2009 году Группа скорректировала стоимость покупки, которая была отнесена на справедливую стоимость идентифицируемых активов и обязательств. Корректировки, необходимые для признания справедливой стоимости указанных активов, отражались как корректировки к данным за прошлый отчетный период. Результатом внесения корректировок стало увеличение сравнительных данных за 2008 год по основным средствам и отложенным налоговым обязательствам на 102 млн руб. Определение справедливой стоимости и распределение стоимости покупки было выполнено в 2009 году независимым оценщиком, ООО «ДАСК-консалтинг».</t>
  </si>
  <si>
    <t>В июне 2008 года Группа продала все доли участия в ЗАО «Нурлатский элеватор», ЗАО «Нурлатский Сахар», ООО «Русская бакалейная компания» и ООО «Аксубаевоагроинвест». Общая величина возмещения полученного составила 1 697 млн руб. Прибыль по результатам деятельности вышеуказанных предприятий, включенная в убыток Группы до налогообложения за отчетный год, составила 1 218 млн руб., включая чистую прибыль от их выбытия в размере 1 282 млн руб.</t>
  </si>
  <si>
    <t>Доля участия в дочернем предприятии, контролирвавшаяся до приобретения - 75%</t>
  </si>
  <si>
    <t>Доля участия в дочернем предприятии, контролирвавшаяся до приобретения - 56%</t>
  </si>
  <si>
    <t>Доля участия в дочернем предприятии, контролирвавшаяся до приобретения - 96%</t>
  </si>
  <si>
    <t>Доля участия в дочернем предприятии, контролирвавшаяся до приобретения - 52%</t>
  </si>
  <si>
    <t>Доля участия в дочернем предприятии, контролирвавшаяся до приобретения - 84%</t>
  </si>
  <si>
    <t>В марте 2008 года Группа продала 25% акций ЗАО «Бугульминский КХП № 2» за 97 млн руб., уменьшив свою долю в этой компании со 100% до 75%. Балансовая стоимость доли миноритарных собственников на дату выбытия составляла 86 млн руб. Прибыль от выбытия доли миноритарных собственников в размере 11 млн руб. признана в составе эмиссионного дохода.</t>
  </si>
  <si>
    <t>В марте 2008 года Группа продала 25% акций ЗАО «Бугульминский элеватор» за 110 млн руб., уменьшив свою долю в этой компании со 100% до 75%. Балансовая стоимость доли миноритарных собственников на дату выбытия составляла 90 млн руб. Прибыль от выбытия доли миноритарных собственников в размере 20 млн руб. признана в составе эмиссионного дохода.</t>
  </si>
  <si>
    <t>В декабре 2007 года Группа приобрела 75% акций ОАО «Кавказ», оплаченных взносом в уставный капитал общества основных средств, балансовая стоимость которых равнялась 25 млн. руб. на дату приобретения. Основная деятельность приобретенной компании состоит в выращивании сои, кукурузы и ячменя, а также в животноводстве. В предыдущем отчетном периоде стоимость приобретения компании была распределена на идентифицируемые активы и обязательства предварительно. 
В 2008 году Группа скорректировала распределение стоимости приобретения с учетом справедливых стоимостей идентифицируемых активов и обязательств. Корректировки, необходимые для отражения справедливых стоимостей этих активов и обязательств, были учтены как корректировки прошлого отчетного периода. Соответственно, были скорректированы сравнительные данные за 2007 год. Справедливые стоимости и распределение стоимости приобретения были определены в 2008 году независимым оценщиком, ООО «Балт-Аудит-Эксперт».</t>
  </si>
  <si>
    <t>В 2007 году Группа продала все акции ЗАО «Никалт» предприятиям, контролируемым тем же акционером, который контролирует Группу. Результатом выбытия стало чистое увеличение капитала Группы на 177 миллионов рублей.</t>
  </si>
  <si>
    <t>В июне 2007 Группа продала имевшиеся у нее доли и акции ООО «Азовский портовый элеватор», ЗАО «Сахарный комбинат Колпнянский» и ООО «Орелагроинвест». В марте 2007 года и в июле 2007 года Группа продала 25% и 75% акций ЗАО «Бугульминский КХП №1», соответственно. Доход от продажи был учтен в отчете о прибылях и убытках в статье прибылей и убытков от приобретения и продажи дочерних предприятий. Прибыль до налогообложения вышеуказанных предприятий за отчетный год составила 1 116 млн.руб. (пересчитанные данные), включая прибыль от их выбытия в размере 1 167 млн.руб. (пересчитанные данные)</t>
  </si>
  <si>
    <t>Яндекс Н.В.</t>
  </si>
  <si>
    <t>Приобретение оставшейся доли Uber в MLU B.V. 21 апреля 2023 г. Компания заключила соглашение («Соглашение») с Uber NL Holdings 1 B.V. («Uber»), дочерней компанией Uber Technologies Inc., и в тот же день приобрела всю оставшуюся 29%-ную долю Uber в совместном предприятии MLU B.V, занимающемся мобильностью, за вознаграждение 702,5 доллара США (57 337 рублей по обменному курсу на дату закрытия сделки). Соглашение заменяло собой опцион колл, предоставленный Uber Компании в соответствии с Рамочным соглашением от 7 сентября 2021 г. Опцион колл можно было исполнить до 7 сентября 2023 г.
Для учета изменений в доле участия, предусмотренных сделкой, Группа уменьшила сумму неконтролирующей доли участия и добавочного капитала на 23 524 руб. и 35 459 руб. соответственно, а также увеличила сумму накопленного прочего совокупного дохода на руб. 1646. После даты закрытия прибыль не распределяется на неконтролирующую долю участия.</t>
  </si>
  <si>
    <t>MLU B.V.</t>
  </si>
  <si>
    <t>Uber Technologies, Inc.</t>
  </si>
  <si>
    <t>30 августа 2021 г. Группа заключила рамочное соглашение с Uber Technologies, Inc. и некоторыми ее дочерними компаниями («Uber») о реструктуризации их совместных предприятий MLU B.V. («MLU») и Yandex Self Driving Group B.V. («SDG»). В соответствии с этим соглашением за общее вознаграждение в размере 1000 долларов США Группа приобрела у Uber всю свою долю в SDG и дополнительные 4,5% (4,6% от общего количества акций в обращении) в MLU, оба из которых были завершена в сентябре 2021 года, а также весь косвенный интерес Uber к компаниям Yandex Eats, Yandex Lavka и Yandex Delivery («Выделившиеся предприятия»), каждый из которых был выделен из MLU в декабре 2021 года. Сделка предоставляет Группе и ее сотрудникам в общей сложности 71,0% (70,2% от общего количества акций в обращении) в недавно реструктурированной компании MLU, которая сосредоточится на мобильном бизнесе.
7 сентября 2021 г. («Первоначальное закрытие») Группа выплатила 800 долларов США (58 363 руб. по обменному курсу на момент первоначального закрытия) денежными средствами. 21 декабря 2021 г. («Закрытие разделения») оставшиеся 200 долларов США (14 859 рублей по курсу на момент закрытия разделения) были выплачены после завершения разделения и последующей передачи акций Uber в Выделенных предприятиях группа.
После Первоначального закрытия прибыль не распределяется на неконтролирующую долю участия в Выделенных предприятиях, поскольку считалось, что эти доли подлежат обязательному выкупу. Для учета всех изменений в составе акционерного капитала, предусмотренных сделкой, Группа уменьшила сумму неконтролирующей доли участия и добавочного капитала на 6 241 руб. и 67 205 руб. соответственно.
По условиям рамочного соглашения Группа также получила американский колл-опцион на приобретение оставшихся 29,0% акций Uber.
(29,8% от общего количества акций в обращении) в недавно реструктурированной MLU в течение двухлетнего периода, начинающегося с момента первоначального закрытия. Первоначальная цена исполнения опциона колл составляла 1 811 долларов США (132 119 рублей по обменному курсу на момент первоначального закрытия), которая увеличивается примерно до 2 005 долларов США (146 272 рублей по обменному курсу на момент первоначального закрытия) при исполнении в сентябре 2023 года. как установлено, что он встроен в неконтролирующую долю участия в недавно реструктурированной MLU и не подпадает под действие ASC 480 и не соответствует определению производного инструмента согласно ASC 815. Таким образом, опцион колл не повлиял на учет оставшихся неконтролирующая доля участия в недавно реструктурированной MLU. В апреле 2023 года Компания заключила соглашение с Uber и приобрела все оставшиеся 29% доли Uber в MLU. Соглашение заменило опцион колл.</t>
  </si>
  <si>
    <t>MLU B.V. и Yandex Self Driving Group B.V.</t>
  </si>
  <si>
    <t>Мобильный бизнес</t>
  </si>
  <si>
    <t>2 февраля 2021 года MLU заключила договор купли-продажи акций («SPA») с Fasten CY Limited (вместе именуемые «стороны») и завершила приобретение 100% акций Axelcroft Limited и ее дочерних компаний («Axelcroft Group»), представляющие определенные компоненты бизнеса по перевозке пассажиров и грузовых перевозок Vezet Group. Сделка была призвана позволить Группе укрепить свои позиции и улучшить качество обслуживания клиентов в регионах России.
Группа ожидает достижения синергии и снижения затрат за счет повышения операционной эффективности за счет улучшения баланса спроса и предложения в регионах России. Группа применила метод приобретения для учета сделки в соответствии с требованиями ОПБУ США.
Справедливая стоимость подлежащего уплате вознаграждения на дату приобретения составила 12 916 руб., включая 7 300 руб., выплаченных денежными средствами на дату приобретения в долларах США, а также удержанную сумму и условное возмещение в размере до 5 616 руб. при условии успешного достижения определенных этапов интеграции и других корректировка закупочной цены.
Условное вознаграждение составляет до 61,3 долларов США (недисконтированных) (4 625 рублей (недисконтированных) по обменному курсу на дату приобретения), подлежащих выплате Fasten CY Limited при условии достижения Группой Axelcroft определенных целевых показателей эффективности интеграции. Справедливая стоимость условного вознаграждения на дату приобретения оценивалась в 60,4 доллара США (4 557 рублей по обменному курсу на дату приобретения). Группа оценила справедливую стоимость возмещения за интеграцию на основе скорректированной на вероятность приведенной стоимости вознаграждения, которое, как ожидается, будет передано, с использованием значительных исходных данных, которые не наблюдаются на рынке, и, таким образом, представляет собой оценку Уровня 3, как это определено ASC 820. Ключевые допущения, использованные в настоящем стандарте оценки включают ставки дисконтирования и оценки вероятности достижения целевых показателей с учетом механизма интеграции и инструментов, доступных сторонам в рамках SPA для достижения основных этапов интеграции.
В июле 2021 года стороны завершили оценку достигнутых показателей эффективности интеграции и определили этапы интеграции, подлежащие выплате в связи с приобретением Axelcroft Group. Общая уплаченная сумма составила 5 791 руб., включая 4 509 руб. возмещения за интеграцию и 1 282 руб. удержанной суммы.</t>
  </si>
  <si>
    <t>Fasten CY Limited</t>
  </si>
  <si>
    <t>Яндекс Н.В. (MLU B.V.)</t>
  </si>
  <si>
    <t>Axelcroft Limited</t>
  </si>
  <si>
    <t>Бизнес по перевозке пассажиров и грузовых перевозок</t>
  </si>
  <si>
    <t>16 июля 2021 года Группа завершила приобретение 100% доли в АО «Коммерческий банк «АКРОПОЛЬ» («Акрополь Банк» или «Акрополь»). В результате приобретения Группа приобрела все лицензии Acropol, включая универсальную банковскую лицензию. Сумма переданного денежного вознаграждения составила 986 руб. Приобретение было учтено как объединение бизнеса.</t>
  </si>
  <si>
    <t>Банк</t>
  </si>
  <si>
    <t>ИТ (Интернет-магазин)</t>
  </si>
  <si>
    <t>В июле 2020 года Группа закрыла сделку по продаже ООО «Яндекс» доли 45,0% в компании Yandex.Market B.V. Полученное вознаграждение составило 42,0 миллиарда рублей.
23 июня 2020 года Группа и ее партнер заключили обязывающее соглашение о реорганизации совместных предприятий «Яндекс Маркет» и «Яндекс.Деньги». 23 июля 2020 года Группа завершила приобретение оставшейся доли в Яндекс.Маркете (около 50%) за 42 000 рублей и продала своему партнеру 25% плюс 1 рубль доли в Яндекс.Деньгах примерно за 2 420 рублей. Чистое денежное вознаграждение в размере 39 580 руб. было выплачено Группой своему партнеру. Данное приобретение было учтено как поэтапное приобретение в соответствии с правилами объединения бизнеса. Соответственно, Группа переоценила ранее принадлежавшую ей долю в Яндекс Маркете по справедливой стоимости в размере 41 838 руб. и отразила прибыль в размере 19 230 руб. Справедливая стоимость была определена с использованием сочетания доходного и рыночного подхода. Эта оценка справедливой стоимости основана на значительных ненаблюдаемых исходных данных и, таким образом, представляет собой оценку Уровня 3 согласно определению ASC 820. Наиболее значимыми количественными исходными данными, использованными для оценки справедливой стоимости на основе методологии дисконтированных денежных потоков, были будущие темпы роста выручки, прогнозируемые скорректированные. маржа прибыли, конечный темп роста и ставки дисконтирования. Исходные данные основаны на прошлом опыте Группы и наилучших оценках будущих денежных потоков.</t>
  </si>
  <si>
    <t>В марте 2019 года Компания завершила приобретение активов и принятие обязательств Znanie Company Limited (Кипр) и двух ее дочерних компаний Znanie Development Company Limited (Кипр) и Znanie LLC (Россия) («TheQuestion»). TheQuestion — это интернет-социальная сеть вопросов и ответов. Основной целью приобретения TheQuestion было расширение базы ответов на конкретные поисковые запросы и повышение качества результатов поиска, предоставляемых Поисковым порталом Яндекса. Справедливая стоимость переданного возмещения составила 384 руб., включая денежное возмещение в размере 351 руб. и отсроченное возмещение в размере 33 руб.. Соглашение об отсрочке возмещения требует от Компании выплаты дополнительного денежного возмещения бывшим инвесторам в течение четырехлетнего периода. Никакого дополнительного вознаграждения до сих пор не выплачивалось. Компания отразила приобретение как объединение бизнеса.</t>
  </si>
  <si>
    <t>SocNet</t>
  </si>
  <si>
    <t>Социальная сеть</t>
  </si>
  <si>
    <t>Znanie Company Limited</t>
  </si>
  <si>
    <t>В октябре 2018 года Компания завершила приобретение 90% акций Edadeal LLC и ее дочерней компании («Edadeal»), агрегатора ежедневных сделок и купонов, который используется для поиска сделок для продуктовых магазинов, тем самым увеличив долю владения Компании с 10%. до 100%. На дату приобретения Компания оценила справедливую стоимость первоначальных 10%-ных вложений Компании в акции Edadeal в размере 26 рублей, что было отражено в вознаграждении за покупку. Сумма переданного денежного вознаграждения составила 233 руб. Приобретение было учтено как объединение бизнеса.</t>
  </si>
  <si>
    <t>Edadeal LLC</t>
  </si>
  <si>
    <t>В апреле 2018 года Группа и ООО «Яндекс» закрыли сделку по созданию совместного предприятия Yandex.Market B.V. на базе платформы Яндекс.Маркет, в котором Группа получила 45,0% акций. Группа инвестировала в совместное предприятие 30,0 миллиардов рублей.
27 апреля 2018 года Компания и Сбербанк создали совместное предприятие на базе платформы Яндекс.Маркет. В рамках сделки Сбербанк подписался на новые обыкновенные акции «Яндекс.Маркета» за 30 000 рублей. С этой даты и до 23 июля 2020 года Компания и Сбербанк владели равным количеством размещенных акций Яндекс.Маркета, при этом до 10 % размещенных акций было передано менеджменту и в поощрительный пул. Компания сохранила неконтролирующий пакет акций и значительное влияние на бизнес Яндекс.Маркета. Соответственно, результаты деятельности Яндекс.Маркета до сделки были отнесены к продолжающимся операциям.
27 апреля 2018 г. Компания деконсолидировала Яндекс.Рынок из консолидированных финансовых результатов Компании и до 23 июля 2020 г. учитывала вложения по методу долевого участия в строке «Вложения в нерыночные долевые ценные бумаги» в консолидированном отчете о прибылях и убытках, первоначально по справедливой стоимости 29 985 руб. В результате был получен доход от деконсолидации в размере 28 244 руб. Справедливая стоимость была определена с использованием таких методов оценки, как дисконтированные денежные потоки. С 28 апреля 2018 года по 23 июля 2020 года Компания отражала долю финансовых результатов Яндекс.Маркета по строке «Убыток от инвестиций по методу долевого участия» в консолидированном отчете о прибылях и убытках.</t>
  </si>
  <si>
    <t>В июне 2017 года Компания завершила сделку по приобретению активов и принятию на себя обязательств ООО «Херст Шкулёв Диджитал» («Шкулёв»), одной из крупнейших региональных досок объявлений по продаже авто, занимающей лидирующие позиции в Свердловской и Челябинской областях Российской Федерации, за денежную сумму. вознаграждение в размере 401 руб., включая условное вознаграждение в размере 52 руб., при условии успешной технической интеграции и перехода клиентской базы. По состоянию на 31 декабря 2019 года вся сумма условного вознаграждения была выплачена. Компания отразила приобретение как объединение бизнеса.</t>
  </si>
  <si>
    <t>Доска объявлений по продаже авто</t>
  </si>
  <si>
    <t>В декабре 2017 года Компания завершила приобретение 100% доли в Deloam Management Limited и ее дочерней компании («FoodFox»). FoodFox — один из ведущих операторов доставки еды в Москве. Основной целью приобретения FoodFox было расширение спектра услуг, предоставляемых компанией. Справедливая стоимость переданного возмещения составила 595 руб. и состояла из денежного возмещения в размере 541 руб. и отсроченного возмещения в размере 54 руб. выполняются в течение четырехлетнего периода. На сегодняшний день отложенное вознаграждение не выплачивалось.</t>
  </si>
  <si>
    <t>Deloam Management Limited</t>
  </si>
  <si>
    <t>В феврале 2018 года Компания и Uber International C.V. («Uber»), дочерняя компания Uber Technologies Inc., завершила объединение Yandex.Taxi Holding B.V. с несколькими юридическими лицами Uber в MLU B.V., голландскую частную компанию с ограниченной ответственностью. Компания и Uber внесли от своих юридических лиц, осуществляющих бизнес в сфере райдшеринга и доставки еды в России, Казахстане, Азербайджане, Армении, Белоруссии и Грузии, по 100,0 долларов США (5 722 рубля на дату приобретения) и 225,0 долларов США (12 874 рубля на дату приобретения). дату приобретения) денежными средствами соответственно. Слияние было учтено как объединение бизнеса.
Сразу после завершения сделки Uber Technologies Inc. передала Компании 1 527 507 своих Обыкновенных акций класса А в обмен на дополнительные 2,03% в уставном капитале MLU B.V. В то же время Uber Technologies Inc. заключила соглашение с Компания будет иметь опцион на выкуп этих акций по истечении трехлетнего периода с годовщины закрытия сделки, в то время как у Компании есть опцион на продажу этих акций Uber.
В результате указанных сделок 61,00% уставного капитала объединенной компании принадлежит Компании, 37,96% — Uber и 1,04% — сотрудникам бизнеса «Яндекс.Такси» от общего количества размещенных акций.</t>
  </si>
  <si>
    <t>Yandex.Taxi Holding B.V.</t>
  </si>
  <si>
    <t>Агрегатор ежедневных сделок и купонов</t>
  </si>
  <si>
    <t>В январе 2015 года мы выкупили активы и приняли на себя обязательства компании RosTaxi («РосТакси»), которая управляет приложением для управления таксопарком. Соглашение предусматривает денежное вознаграждение в размере до 500 млн руб., включая отсрочку платежа в размере до 380 млн руб., при условии успешной технической интеграции и перехода клиентской базы, а также условное вознаграждение в размере до 500 млн руб., выплачиваемое нашими обыкновенными акциями по третья годовщина закрытия, в зависимости от количества квалификационных поездок на такси. В течение 2015, 2016, 2017 и января 2018 года были выплачены отсроченные платежи на сумму 50, 65, 195 и 70 млн рублей соответственно. Условное вознаграждение в зависимости от количества соответствующих критериям поездок на такси было полностью погашено в феврале 2018 года.</t>
  </si>
  <si>
    <t>В декабре 2015 года мы завершили приобретение активов и принятие обязательств компании Agnitum Ltd («Агнитум»), разработчика антивирусной защиты, за денежное вознаграждение в размере 120 млн руб. и отсрочку платежа до 80 млн руб., включая дополнительные платежи, подлежащие уплате достижение определенных этапов внедрения и интеграции в размере до 60 млн руб., подлежащих выплате денежными средствами, и до 20 млн руб., предоставляемых в виде паев с ограниченным доступом. Отсрочка платежа в сумме 60 млн руб. была выплачена денежными средствами в 2016 году.</t>
  </si>
  <si>
    <t>Agnitum Ltd</t>
  </si>
  <si>
    <t>Разработчик ПО (антивирус)</t>
  </si>
  <si>
    <t>RosTaxi</t>
  </si>
  <si>
    <t>Taxi</t>
  </si>
  <si>
    <t>Управление таксопарком</t>
  </si>
  <si>
    <t>KitLocate Ltd</t>
  </si>
  <si>
    <t>Разработчик энергоэффективной технологии геолокации для мобильных устройств</t>
  </si>
  <si>
    <t>В марте 2014 года мы завершили приобретение 100% доли участия в компании KitLocate Ltd., разработчике энергоэффективной технологии геолокации для мобильных устройств, за денежное вознаграждение в размере до 10,2 млн долларов США, включая 4,0 млн долларов США, выплаченные в полном объеме при закрытии сделки. по сделке, до 2,3 миллиона долларов в виде выплат по достижению определенных этапов распределения и 3,9 миллиона долларов, выплачиваемых на целевой депозитный счет, выпуск которого зависел от продолжения работы основателей KitLocate. Мы зафиксировали выплаты, связанные с промежуточными этапами, в справедливую стоимость $1,5 млн как часть вознаграждения за покупку. Мы не отразили условные платежи, связанные с продолжением трудоустройства, как возмещение покупной цены, а вместо этого отразили их как компенсационные расходы, как бывшие акционеры KitLocate завершили необходимый период службы. Мы полностью погасили свои обязательства, выплатив 1,9 миллиона долларов США в виде выплат, связанных с этапами, и полностью высвободили депонированную сумму в июле 2015 года.</t>
  </si>
  <si>
    <t>В августе 2014 года Компания завершила сделку по приобретению 100% доли участия в Группе компаний Auto.ru («Авто.ру»), одной из ведущих компаний по онлайн-объявлениям автомобилей в России, за денежное вознаграждение в размере 178,4 долларов США (6 428 рублей по биржевому курсу). на дату приобретения) выплачено в полном объеме при заключении сделки, в том числе 14,0 долларов США (504 рубля по курсу на дату приобретения) перечислено на счет условного депонирования, половина из которых была передана продавцам в феврале 2016 года. Сумма условного депонирования будет выплачена продавцам в дату, наступающую через 43 месяца после даты завершения, при условии отсутствия претензий по гарантии.
Компания отразила корректировки периода оценки на основе текущих процедур оценки и распределения цены приобретения, которые были завершены в третьем квартале 2015 года.</t>
  </si>
  <si>
    <t>В сентябре 2014 года Компания завершила приобретение активов и принятие обязательств, составляющих бизнес ООО «ADFOX» («ADFOX»), платформы рекламных технологий, которая предоставляет услуги по планированию, управлению и анализу рекламных кампаний в Интернете, за денежное вознаграждение 11,3 долл. США (446 руб. по курсу на дату приобретения), в том числе 8,5 долл. США (336 руб. по курсу на дату приобретения), выплаченные при закрытии сделки, и 1,4 долл. США
(55 рублей по курсу на дату приобретения), выплаченным продавцам в первую годовщину закрытия сделки в четвертом квартале 2015 года. Остаток в размере 1,4 доллара США (55 рублей по курсу на дату приобретения) составил выплачено продавцам во вторую годовщину закрытия. Приобретение было учтено как объединение бизнеса.</t>
  </si>
  <si>
    <t>Платформа рекламных технологий</t>
  </si>
  <si>
    <t>В октябре 2013 года Компания завершила приобретение 100% доли в ООО «КиноПоиск» и его дочерней компании («КиноПоиск»), управляющих крупнейшим и наиболее полным русскоязычным веб-сайтом, посвященным фильмам, телепрограммам и знаменитостям, за денежное вознаграждение 80,0 долл. США (2 577 руб. по курсу на дату приобретения) оплачено в полном объеме при заключении сделки, в том числе 3,0 долл. США (97 руб. по курсу на дату приобретения) перечислено на счет условного депонирования. Сумма на условном депонировании была передана продавцам во вторую годовщину закрытия сделки в четвертом квартале 2015 года.</t>
  </si>
  <si>
    <t>Веб-сайт, посвященный фильмам, телепрограммам и знаменитостям</t>
  </si>
  <si>
    <t>В июле 2020 Группа (СБ) закрыла сделку по выкупу у ООО «Яндекс» его доли в 25,0% + 1 рубль в компании ООО «ПС Яндекс.Деньги». Уплаченное вознаграждение составило 2,4 миллиарда рублей. В результате закрытия сделки Сбербанку принадлежит 100,0%-ная доля в ООО «ПС Яндекс.Деньги». В четвертом квартале 2020 года ООО «ПС Яндекс.Деньги» было переименовано в ООО "ЮМАНИ".
23 июня 2020 года Группа (Yandex) и ее партнер заключили обязывающее соглашение о реорганизации совместных предприятий «Яндекс Маркет» и «Яндекс.Деньги». 23 июля 2020 года Группа завершила приобретение оставшейся доли в Яндекс.Маркете (около 50%) за 42 000 рублей и продала своему партнеру 25% плюс 1 рубль доли в Яндекс.Деньгах примерно за 2 420 рублей. Чистое денежное вознаграждение в размере 39 580 руб. было выплачено Группой своему партнеру. Данное приобретение было учтено как поэтапное приобретение в соответствии с правилами объединения бизнеса. Соответственно, Группа переоценила ранее принадлежавшую ей долю в Яндекс Маркете по справедливой стоимости в размере 41 838 руб. и отразила прибыль в размере 19 230 руб. Справедливая стоимость была определена с использованием сочетания доходного и рыночного подхода. Эта оценка справедливой стоимости основана на значительных ненаблюдаемых исходных данных и, таким образом, представляет собой оценку Уровня 3 согласно определению ASC 820. Наиболее значимыми количественными исходными данными, использованными для оценки справедливой стоимости на основе методологии дисконтированных денежных потоков, были будущие темпы роста выручки, прогнозируемые скорректированные. маржа прибыли, конечный темп роста и ставки дисконтирования. Исходные данные основаны на прошлом опыте Группы и наилучших оценках будущих денежных потоков.</t>
  </si>
  <si>
    <t>В июле 2013 года Группа и российская интернет‐компания «Яндекс» завершили сделку по приобретению Группой доли в 75,0% минус 1 рубль в уставном капитале компании ООО «ПС Яндекс.Деньги». Сумма сделки составила 59,1 миллионов долларов США. Основная цель сделки — разработка принципиально новых сервисов для розничных платежей в интернете. Существенный пакет — 25,0% доли капитала плюс один рубль — остаётся у компании «Яндекс».
В июле 2013 года Компания завершила продажу 75% (минус один рубль) доли в уставном капитале «Яндекс.Деньги» Сбербанку за денежное вознаграждение в размере 1 964 рубля (59,1 доллара США по курсу на дату продажи). Прибыль от продажи и деконсолидации дочерней компании в сумме 2 035 руб. была признана как прочие доходы, нетто. Компания сохранила неконтролирующий пакет акций (25% плюс один рубль) и значительное влияние на бизнес Яндекс.Денег. Соответственно, Результаты деятельности Яндекс.Денег до продажи 75% (минус один рубль) доли классифицируются в составе продолжающейся деятельности, а оставшаяся часть инвестиций учитывается по методу долевого участия в составе вложений в нерыночные долевые ценные бумаги.</t>
  </si>
  <si>
    <t>Int-Div</t>
  </si>
  <si>
    <t>Итернет-компания</t>
  </si>
  <si>
    <t>За год, закончившийся 31 декабря 2014 года, Компания выкупила 7 446 319 акций класса А по средней цене 31,49 долларов США за акцию на общую сумму 8 423 рубля. Из них 1 334 481 акция была использована для погашения обязательств Компании по вознаграждениям, основанным на акциях. В течение года, закончившегося 31 декабря 2015 года, выкупов не было. Собственные акции учитываются по первоначальному методу.</t>
  </si>
  <si>
    <t>За год, закончившийся 31 декабря 2013 года, Компания выкупила 8 599 377 акций класса А по средней цене 30,70 долларов США за акцию на общую сумму 8 518 рублей. Из них 2 333 132 акций были использованы для погашения обязательств Компании по вознаграждениям, основанным на акциях.</t>
  </si>
  <si>
    <t>YNDX</t>
  </si>
  <si>
    <t>За год, закончившийся 31 декабря 2021 года, Компания выкупила 1 226 355 акций класса А по средней цене 78,39 долларов США за акцию на общую сумму 6 960 рублей. За годы, закончившиеся 31 декабря 2022 и 2023 годов, выкуп акций Компании класса А не производился.</t>
  </si>
  <si>
    <t>За год, закончившийся 31 декабря 2020 года, Компания выкупила 4 228 163 акции класса А по средней цене 33,86 доллара США за акцию на общую сумму 10 585 рублей.</t>
  </si>
  <si>
    <t>29 июня 2020 г. Компания завершила публичное размещение и листинг 8 121 827 акций класса А на бирже NASDAQ Global Select Market («SPO»). Goldman Sachs &amp; Co. LLC («андеррайтер») была единственным андеррайтером размещения. До закрытия андеррайтер полностью реализовал свой опцион на покупку дополнительных 1 218 274 акций класса А, и, соответственно, Компания выпустила в общей сложности 9 340 101 акцию класса А по цене размещения 49,25 долларов США за акцию.
публичное размещение, валовая выручка составила 460,0 долларов США (31 799 рублей по курсу на дату размещения).
Кроме того, одновременно с публичным размещением Компания завершила частное размещение 4 060 913 акций класса А каждому из трех частных инвесторов или в совокупности 12 182 739 акций класса А по цене публичного размещения 49,25 долларов США за акцию с валовой выручкой в размере $600,0 (41 477 руб. по курсу на дату размещения).
Общее количество новых акций класса А, выпущенных в рамках публичного размещения и закрытого размещения, составило 21 522 840 акций класса А, а совокупная валовая выручка составила 1 060,0 долларов США (73 276 рублей по курсу на дату размещения) без вычета андеррайтинговых скидок и комиссий. , гонорары агента по размещению и предполагаемые совокупные расходы на размещение.
Расходы, подлежащие оплате Компанией в связи с размещениями, могли быть отнесены на счет валовой выручки от размещений, т.е. дополнительного оплаченного капитала. Эти расходы были представлены комиссией страховщика и другими расходами, включая юридические, бухгалтерские, типографские и другие расходы. Общая сумма сопутствующих расходов составила 721 руб.</t>
  </si>
  <si>
    <t>За год, закончившийся 31 декабря 2019 года, Компания выкупила 460 791 акцию класса А по средней цене 41,16 доллара США за акцию на общую сумму 1 205 рублей. Казначейские запасы учитывались по затратному методу.</t>
  </si>
  <si>
    <t>За год, закончившийся 31 декабря 2018 года, Компания выкупила 4 760 679 акций класса А по средней цене 31,55 доллара США за акцию на общую сумму 10 085 рублей.</t>
  </si>
  <si>
    <t>В июле 2012 года Компания завершила продажу своей доли в Face.com, Inc. (ранее Vizi Information Labs Ltd. («Vizi Labs»)) дочерней компании Facebook, Inc. («Facebook») за денежное вознаграждение. 174 руб. и 142 479 акций Facebook. Прибыль от реализации в сумме 234 руб. была признана прочими доходами нетто.</t>
  </si>
  <si>
    <t>Обработка геофизических данных</t>
  </si>
  <si>
    <t>В июле 2012 года Компания завершила сделку по приобретению 25% акций ООО «Сейсмотех» («Сейсмотех»), российской компании по обработке геофизических данных, за 27 рублей. Компания также имеет 3-летний опцион на покупку еще 25 % доли в компании Seismotech по фиксированной цене, которая учитывается по справедливой стоимости. Компания оказывает значительное влияние на компанию «Сейсмотех» и, соответственно, учитывает данные инвестиции по методу долевого участия.</t>
  </si>
  <si>
    <t>В ноябре 2011 года Компания завершила приобретение группы SPB Software («СПБ»), разработчика мобильного программного обеспечения, предлагающего набор мобильных решений, включая механизм мобильного пользовательского интерфейса для смартфонов и планшетов, с целью получить команду по разработке продукта и права на технологии и программное обеспечение. Сделка включала приобретение 100% акций трех юридических лиц - SPB Software, Inc. (США), SPB Software, Ltd. (Гонконг) и SPB Software Co., Ltd (Таиланд); а также приобретение бизнес-активов и сотрудников компании Phonesoft Consulting, Ltd. (Россия) за денежное вознаграждение в размере около 24,3 долларов США (745 рублей по курсу на дату приобретения). Дополнительное вознаграждение выплачивается при достижении определенных показателей и продолжении трудоустройства бывших акционеров СПБ в первую и вторую годовщину закрытия сделки. Максимальная совокупная сумма такого вознаграждения составляет 14,1 долл. США (433 руб. по обменному курсу на дату приобретения), из которых 7,1 долл. США (216 руб.) были выплачены в ноябре 2012 года. Компания не отразила данные условные платежи как вознаграждение по цене приобретения, а вместо этого учитывает их в качестве компенсационных расходов линейным методом по мере завершения бывшими акционерами СПБ необходимого срока службы. Консолидированная финансовая отчетность Компании отражает распределение цены приобретения на основе оценки справедливой стоимости приобретенных активов и принятых обязательств.</t>
  </si>
  <si>
    <t>В августе 2011 года Компания завершила приобретение 9,7% доли в американской поисковой системе Blekko, Inc. («Блекко») за 15,0 долларов США (478 рублей по курсу на дату приобретения). Компания не оказывает существенного влияния на «Блекко» и, соответственно, учитывает данную инвестицию по затратному методу.</t>
  </si>
  <si>
    <t>SPB Software</t>
  </si>
  <si>
    <t>Разработчик ПО (для мобильных устройств)</t>
  </si>
  <si>
    <t>Поисковая система</t>
  </si>
  <si>
    <t>В июле 2010 года Компания завершила приобретение 100% доли в ООО «ГИС-Технологии» («ГИС»), компании, специализирующейся на производстве электронных карт, за денежное вознаграждение в размере около 143 рублей с целью разработки собственного контента. за одну из своих ключевых услуг. Данное приобретение было учтено как объединение бизнеса. Консолидированная финансовая отчетность Компании отражает распределение цены приобретения на основе оценки справедливой стоимости приобретенных активов и принятых обязательств.</t>
  </si>
  <si>
    <t>В августе 2010 года Компания завершила приобретение косвенной доли в размере 18,4% в Vizi Labs, израильском разработчике технологий распознавания лиц. Приобретение было осуществлено путем приобретения 18,4% доли участия в материнской компании «Визи Лаб» Vizi Labs Inc. (БВО) за денежное вознаграждение в размере около $3,0 (92 рубля по курсу на дату приобретения). Компания продала свою инвестицию в Vizi Labs в июле 2012 года.</t>
  </si>
  <si>
    <t>Производство электронных карт</t>
  </si>
  <si>
    <t>В январе 2009 года Компания завершила приобретение 99,99% доли в ООО «Авапс» («Авапс») за денежное вознаграждение в размере около 85 рублей с целью улучшения положения Компании на рынке медийной рекламы. До этого приобретения компания Mediaselling, одно из ведущих агентств по продаже медийной рекламы в России, передала Awaps определенные технологические активы. Данное приобретение было учтено как объединение бизнеса. Консолидированная финансовая отчетность Компании отражает распределение цены приобретения на основе оценки справедливой стоимости приобретенных активов и принятых обязательств.</t>
  </si>
  <si>
    <t>Медийная реклама</t>
  </si>
  <si>
    <t>В рамках программы по приобретению собственных акций в течение 2020 года Компания приобрела 80 988 983 собственных акций (в том числе в форме глобальных депозитарных расписок) на сумму 28,1 млрд руб.</t>
  </si>
  <si>
    <t>ROSN</t>
  </si>
  <si>
    <t>Petromonagas, Petroperija, Boqueron, Petromiranda и Petrovictoria, а также в нефтесервисных компаниях, коммерческих и торговых операциях</t>
  </si>
  <si>
    <t>Компания, на 100% принадлежащей Правительству РФ</t>
  </si>
  <si>
    <t>30 апреля 2020 г. Компания закрыла сделку по передаче компании, на 100% принадлежащей Правительству Российской Федерации, всех активов в Венесуэле, включая доли участия в добычных обществах Petromonagas, Petroperija, Boqueron, Petromiranda и Petrovictoria, а также в нефтесервисных компаниях, коммерческих и торговых операциях. Деятельность Компании в Венесуэле была полностью прекращена. В результате сделки 100%-е дочернее общество группы ПАО «НК «Роснефть» стало владельцем 9,6% именных обыкновенных акций ПАО «НК «Роснефть». В ходе сделки по выбытию активов в Венесуэле Компания получила 1 017 425 000 собственных акций, которые были оценены по котировке на дату сделки (30 апреля 2020 г.) в сумме 341,5 млрд. руб.</t>
  </si>
  <si>
    <t>Equinor (Норвегия)</t>
  </si>
  <si>
    <t>В декабре 2020 года Компания завершила сделку, в результате которой норвежская компания Equinor приобрела 49% в дочернем обществе Компании ООО «КрасГеоНац», которая владеет двенадцатью лицензиями на разведку и добычу на участках, расположенных в Восточной Сибири. Вознаграждение, полученное от Equinor, составило 434 млн евро (38 млрд руб. по официальному курсу ЦБ на дату получения денежных средств).</t>
  </si>
  <si>
    <t>13 января 2020 г. были приобретены дополнительные 1,5% доли в «Сибинтек» за 25,5 млн руб., что увеличило долю Компании в «Сибинтек» до 100%.</t>
  </si>
  <si>
    <t>В третьем квартале 2018 года Компания завершила приобретение доли в одном из совместных предприятий, занимающихся геологоразведочными работами.</t>
  </si>
  <si>
    <t>Одно из СП, занимающегося геологоразведочными работами.</t>
  </si>
  <si>
    <t>Res</t>
  </si>
  <si>
    <t>Научные исследования в нефтегазовой отрасли</t>
  </si>
  <si>
    <t>В июне 2018 года Компания приобрела контролирующие доли в ряде научно-исследовательских и проектных институтах нефтегазовой отрасли (далее – «НИПИ») в рамках реализации программы по приватизации федерального и муниципального имущества. Стоимость приобретения составила 2 млрд руб.</t>
  </si>
  <si>
    <t>Научно-исследовательские и проектные институты нефтегазовой отрасли</t>
  </si>
  <si>
    <t>TNK Trading International S.A.</t>
  </si>
  <si>
    <t>В декабре 2017 года Компания получила контроль над TNK Trading International S.A. (далее – «TTI»), путем заключения ряда соглашений. До декабря 2017 года инвестиция Компании в TTI отражалась в составе вложений в совместную деятельность и учитывалась по методу долевого участия.</t>
  </si>
  <si>
    <t>Нефтетрейдинг</t>
  </si>
  <si>
    <t>29 июня 2017 г. Компания закрыла сделку по продаже 20% акций АО «Верхнечонскнефтегаз», дочернего общества Компании, Beijing Gas Singapore Private Limited, дочернему обществу Beijing Gas Group Co., Ltd. Сумма сделки составила 1,1 млрд долл. США (65 млрд руб. по официальному курсу ЦБ РФ на дату закрытия сделки).</t>
  </si>
  <si>
    <t>Роснефть стала победителем аукциона на право пользования Эргинским участком недр федерального значения. «Роснефть» выиграла аукцион по Эргинскому лицензионному участку в Ханты-Мансийском автономном округе – Югре (ХМАО – Югре)
с запасами 103 млн т нефти по категории С1 + С2</t>
  </si>
  <si>
    <t>Общество, основной деятельностью которого является сдача недвижимости в операционную аренду.</t>
  </si>
  <si>
    <t>Недвижимость (сдача в аренду)</t>
  </si>
  <si>
    <t>В ноябре 2015 года Компания приобрела 66,67% доли в AET-Raffineriebeteiligungsgesellschaft mbH, которая представляет собой эффективную долю 16,67% в нефтеперерабатывающем заводе PCK, расположенном в г. Шведт, Германия. Сумма сделки составила 321 млн евро (23 млрд руб. по официальному курсу ЦБ РФ на дату приобретения) с учетом приобретения связанных запасов нефти и нефтепродуктов. Компания осуществила данное приобретение в рамках построения целевой модели бизнеса в Германии с учетом сделки по реорганизации Ruhr Oel GmbH, совместной деятельности с группой компаний BP по переработке и сбыту нефти в Западной Европе.</t>
  </si>
  <si>
    <t>В августе 2015 года Компания завершила сделку по приобретению 100% доли в ООО «Трайкан Велл Сервис» (далее – «ТВС»), оказывающего в России услуги по использованию высокотехнологичных систем закачки с целью повышения нефтеотдачи пластов при разработке традиционных запасов нефти и газа. Стоимость приобретения составила 10 млрд руб. (150 млн долл. США по официальному курсу ЦБ РФ на дату приобретения).</t>
  </si>
  <si>
    <t>В августе 2015 года Компания завершила сделку по приобретению 100% доли в ООО «Петрол Маркет» (далее – «Петрол Маркет»), которой принадлежит сеть автозаправочных станций и нефтебазовое хозяйство, расположенные на территории Республики Армения. Сумма сделки составила 40 млн долл. США (2,7 млрд руб. по официальному курсу ЦБ РФ на дату приобретения).</t>
  </si>
  <si>
    <t>В марте 2015 года Компания приобрела 100% акций ЗАО «Новокуйбышевская нефтехимическая компания» (далее – «ННК»). Данная сделка позволила Компании интегрировать переработку собственного газового сырья с производством нефтехимической продукции и расширить свое присутствие на нефтехимическом рынке. Стоимость приобретения составила 300 млн долл. США (18,3 млрд руб. по официальному курсу ЦБ РФ на дату приобретения).</t>
  </si>
  <si>
    <t>В октябре 2016 года Компания подписала соглашение о приобретении 49% акций Essar Oil Limited (далее – «EOL»). В результате приобретения, Компания получит долю в современном нефтеперерабатывающем заводе Азиатско-Тихоокеанского региона в Вадинаре, Индия, с комплексной инфраструктурой. В состав бизнеса EOL также входит крупная сеть автозаправочных станций в Индии, работающих под брендом Essar. Сумма уплаченного первоначального платежа по сделке составила 300 млн долл США (19 млрд руб. по официальному курсу ЦБ РФ на дату платежа).</t>
  </si>
  <si>
    <t>В мае 2016 года Компания увеличила свою долю владения в совместном с государственной нефтегазовой компании Венесуэлы Petróleos de Venezuela S.A. (далее – «PDVSA») совместном предприятии Петромонагас c 16,7% до 40%, доля PDVSA сократилась до 60%. Стоимость приобретения дополнительной доли составила 500 млн долл США (33 млрд руб. по официальному курсу ЦБ РФ на дату приобретения).
PetroMonagas S.A. занимается разработкой нефтегазовых месторождений на востоке бассейна р. Ориноко. В 2015 году предприятие добыло 7,6 млн тонн нефти и 1,1 млрд кубических метров газа. Проект, осуществляемый PetroMonagas S.A., включает в себя добычу и улучшение качества сверхтяжелой нефти, производство и продажу синтетической нефти.</t>
  </si>
  <si>
    <t>В ноябре 2015 года Компания закрыла сделку по продаже 20% акций ООО «Таас-Юрях Нефтегазодобыча» компании BP Russian Investment Ltd. Сумма вознаграждения по сделке составила 55 млрд руб.</t>
  </si>
  <si>
    <t>В октябре 2016 года Компания закрыла сделку по продаже 29,9% долей дочернего общества ООО «Таас-Юрях Нефтегазодобыча» Консорциуму. Сумма сделки составила 73 млрд руб.</t>
  </si>
  <si>
    <t>В феврале 2014 года Компания получила контроль над ООО «Оренбургская Буровая Компания» (далее – «ООО «ОБК»). Сделка по приобретению 100% доли была завершена в апреле 2014 года. Стоимость приобретения составила 247 млн долл. США (8,8 млрд руб. по официальному курсу ЦБ РФ на дату приобретения)</t>
  </si>
  <si>
    <t>31 июля 2014 г. Компания завершила сделку по приобретению контролирующих долей в восьми компаниях, входивших в группу Weatherford International plc., занимающихся бурением и ремонтом скважин в России и Венесуэле (далее – «активы Weatherford»). Стоимость приобретения составила 18 млрд руб. (0,5 млрд долл. США по официальному курсу ЦБ РФ на дату приобретения). Приобретение активов Weatherford позволит Компании укрепить позиции на рынке буровых услуг и работ по текущему и капитальному ремонту скважин и повысить эффективность бурения и добычи углеводородов.</t>
  </si>
  <si>
    <t>В сентябре 2014 года Компания завершила сделку по приобретению 100%-ных долей в четырех предприятиях, входивших в группу Бишкекская Нефтяная Компания (далее – «БНК»), осуществляющую розничную и оптовую реализацию нефтепродуктов на территории Республики Кыргызстан через сеть собственных АЗС и нефтебазу. Стоимость приобретения составила 39 млн долл. США (1,5 млрд руб. по официальному курсу ЦБ РФ на дату приобретения), с учетом обязательств по условному возмещению.</t>
  </si>
  <si>
    <t>23 декабря 2014 г. Компания и ОАО «Лукойл» подписали договор о приобретении Компанией 20% доли в ННК за 8 млрд руб. Приобретение завершилось в январе 2015 года. В результате сделки доля Компании в уставном капитале ННК доведена до 80%, оставшиеся 20% принадлежат ОАО «Газпром нефть».</t>
  </si>
  <si>
    <t>В январе 2013 года Компания приобрела дополнительно 20% в уставном капитале ООО «Национальный нефтяной консорциум» (далее – «ННК») за 6 млрд руб. В результате данного приобретения и присоединения доли ТНК-BP в 2013 году доля Компании в капитале ННК увеличилась до 60%. ННК осуществляет финансирование проекта по геологоразведке блока Хунин-6 в Венесуэле, реализуемого совместно с дочерним предприятием PDVSA.</t>
  </si>
  <si>
    <t>В октябре 2015 года Компания реализовала 8,99% долю в компании Saras S.p.A. (далее – «Saras») за 162,4 млн евро (11.3 млрд руб. по официальному курсу ЦБ РФ на дату продажи). Совокупная прибыль от продажи части доли составила 8 млрд руб., в том числе 4 млрд руб. за счет разницы между балансовой стоимостью и ценой продажи и еще 4 млрд руб. за счет дооценки оставшейся 12%-ной доли до рыночной стоимости исходя из цены продажи. Оставшаяся у Компании часть инвестиции в Saras была реклассифицирована из Инвестиций в ассоциированные и совместные предприятии в Прочие внеоборотные финансовые активы в качестве финансового актива, имеющегося в наличии для продажи.</t>
  </si>
  <si>
    <t>В январе 2017 года Компания реализовала 12% долю в уставном капитале Saras S.p.A институциональным инвесторам. Сумма сделки составила 175 млн евро (11 млрд руб. по официальному курсу ЦБ РФ на дату транзакции).</t>
  </si>
  <si>
    <t>В декабре 2015 года Компания и Группа «Аллтек» завершили создание совместного предприятия для целей развития проектов по добыче и монетизации запасов газа в Ненецком автономном округе. Доля Компании в совместном предприятии составляет 50,1%. Сумма инвестиции Компании составляет 7,5 млрд руб. и учитывается как совместное предприятие по методу участия в капитале.</t>
  </si>
  <si>
    <t>В декабре 2015 года Компания реализовала 50% долю в ООО «Компания «Полярное сияние», получив оплату в размере 97,6 млн. долларов США (6,9 млрд руб. по официальному курсу ЦБ РФ на дату закрытия сделки). Прибыль от продажи доли составила 6,9 млрд руб.</t>
  </si>
  <si>
    <t>В декабре 2014 года Компания создала совместное предприятие с компанией Petrocas Energy International Limited (далее – «Petrocas») путем приобретения 49% в ее уставном капитале. Оплата по сделке произошла в январе 2015 года и составила 144 млн долл. США (9,3 млрд руб. по официальному курсу ЦБ РФ на дату оплаты). Petrocas владеет и управляет высокотехнологичными активами по логистике нефти и нефтепродуктов и управляет крупнейшей розничной сетью из 140 брендированных АЗС в Грузии, а также проводит трейдинговые операции в регионах Каспийского и Черного морей.</t>
  </si>
  <si>
    <t>В феврале 2014 года Компания и ОАО «Сибур-Холдинг» достигли соглашения о продаже 49% доли в ООО «Юграгазпереработка», принадлежавшей ОАО «РН Холдинг», дочернему обществу Компании. Сделка была завершена в марте 2014 года. Выручка от продажи доли в ООО «Юграгазпереработка» составила 56 млрд руб. по официальному курсу ЦБ на дату сделки.</t>
  </si>
  <si>
    <t>14 июня 2013 г. в результате добровольной публичной оферты, сделанной Компанией в отношении 69 310 933 обыкновенных акций компании Saras, было приобретено дополнительно 7,29% доли в компании Saras за 95 млн евро (4 млрд руб. по официальному курсу ЦБ РФ на дату приобретения). В результате данных приобретений доля Компании в уставном капитале компании Saras составила 20,99% и была учтена как инвестиция по методу участия в капитале.</t>
  </si>
  <si>
    <t>23 апреля 2013 г. Компания завершила приобретение 13,7% доли в компании Saras S.p.A. (далее – «Saras») за 178,5 млн евро (7 млрд руб. по официальному курсу ЦБ РФ на дату приобретения) у компании Angelo Moratti S.a.p.a., Джиана Марко Моратти и Массимо Моратти. Saras является ведущей итальянской и европейской нефтеперерабатывающей группой, реализующей нефтепродукты в Италии и на международном рынке. Saras также работает в секторах производства и продаж электроэнергии, промышленного производства, научных разработок в нефтегазовой сфере, энергетике и защите окружающей среды и геологоразведки.</t>
  </si>
  <si>
    <t>21 марта 2013 г. Компания завершила приобретение в совокупности 100%-ной доли участия в капитале компании TNK-BP Limited, конечной холдинговой компании ТНК-ВР, и ее дочерней компании TNK Industrial Holdings Limited (совместно с их дочерними предприятиями, именуемыми «ТНК-ВР»). ТНК-ВР – вертикально-интегрированная группа компаний с диверсифицированным портфелем активов в разведке, добыче, переработке и сбыте в России, Украине, Белоруссии, Венесуэле, Вьетнаме и Бразилии. ТНК-ВР являлась третьей крупнейшей нефтяной группой компаний в России по добыче нефти. ТНК-ВР осуществляла деятельность в ключевых регионах добычи углеводородов в России, включая Западную Сибирь, Волго-Уральский бассейн и Восточную Сибирь. Справедливая стоимость совокупного переданного возмещения составила 1 767 млрд руб. на дату приобретения. Приобретение осуществлялось путем двух независимых сделок с BP и консорциумом AAR.
Справедливая стоимость казначейских акций Роснефти, переданных в обмен на акции ТНК-ВР, была определена на основании цены закрытия по глобальным депозитарным распискам Роснефти на Лондонской фондовой бирже на 21 марта 2013 г.</t>
  </si>
  <si>
    <t>TNBP</t>
  </si>
  <si>
    <t>В мае 2013 года Компания приобрела за 6 млрд руб. 100% долю в ООО «Базовый авиатопливный оператор» и ООО «Генерал Авиа», занимающихся реализацией, хранением и заправкой авиационного топлива в аэропортах Краснодара, Сочи, Анапы, Геленджика и Абакана.</t>
  </si>
  <si>
    <t>2 июля 2013 г. Компания приобрела 49% доли в ООО «НГК «ИТЕРА», одном из крупнейших независимых производителей и продавцов природного газа в Российской Федерации. В результате данного приобретения доля Компании в капитале ООО «НГК «ИТЕРА» составила 100%. Приобретение ООО «НГК «ИТЕРА» повышает эффективность в управлении бизнеса, создает новые возможности для его роста, формирует устойчивую платформу для последовательной реализации газовой стратегии Компании. Справедливая стоимость совокупного переданного возмещения составила 189 млрд руб. на дату приобретения и включила в себя денежное возмещение в размере 95 млрд руб. и справедливую стоимость неконтролирующей доли в ООО «НГК «ИТЕРА» в размере 94 млрд руб.</t>
  </si>
  <si>
    <t>30 сентября 2013 г. Компания приобрела долю в размере 50% в уставном капитале ООО «ТНКШереметьево», владеющего 74,9% в ЗАО «ТЗК Шереметьево», за 300 млн долл. США (9,7 млрд руб. по официальному курсу ЦБ РФ на дату приобретения). В результате данного приобретения доля Компании в уставном капитале ООО «ТНК-Шереметьево» составила 100%. ЗАО «ТЗК Шереметьево» является основным оператором топливно-заправочного комплекса в Международном аэропорту Шереметьево, осуществляющим деятельность по реализации, хранению и заправке авиационного топлива.
Справедливая стоимость ранее имевшейся неконтролирующей доли в ООО «ТНКШереметьево» в размере 11 млрд руб. и заем в размере 5,5 млрд руб., полученный ООО «ТНКШереметьево» от Компании, учтены в составе стоимости приобретения.
Начиная с 30 сентября 2013 г. активы и обязательства ООО «ТНК-Шереметьево» и ЗАО «ТЗКШереметьево» консолидируются Компанией. В октябре 2013 года ООО «ТНК-Шереметьево» было переименовано в ООО «РН-Аэро Шереметьево». Cтоимость приобретения дополнительных 50% в уставном капитале ООО «ТНК-Шереметьево» была полностью оплачена в октябре 2013 года.</t>
  </si>
  <si>
    <t>В октябре 2013 года Компания завершила серию сделок по приобретению в совокупности 65% в ООО «Таас-Юрях Нефтегазодобыча», доведя свою долю до 100%, а также выкупила основную часть финансовой задолженности данного общества. Общая стоимость приобретения 65% доли, с учетом выкупа задолженности, составила 3 139 млн долл. США (101 млрд руб. по официальному курсу ЦБ РФ на дату приобретения). ООО «Таас-Юрях Нефтегазодобыча» владеет лицензиями на разработку Центрального блока и Курунгского лицензионного участка Среднеботуобинского нефтегазоконденсатного месторождения.</t>
  </si>
  <si>
    <t>В ноябре 2013 года Компания завершила приобретение 40% доли в компании Artic Russia B.V. у итальянской нефтегазовой компании Enel за 59 млрд руб. Artic Russia B.V. является материнской компанией ООО «СеверЭнергия», которая владеет лицензиями на геологическое изучение, разведку и добычу на месторождениях Самбургского, Ево-Яхинского, Яро-Яхинского и Северо-Часельского лицензионных участков. В декабре 2013 года Компания осуществила обмен активами с ОАО «НОВАТЭК», в результате которого 40% доли в Artic Russia B.V., принадлежавших Компании, были обменены на 51% доли в ОАО «Сибнефтегаз», принадлежавших ОАО «НОВАТЭК». Сделка не предполагала проведения расчетов денежными средствами. По завершению обмена активами Компания получила 100% доли в ОАО «Сибнефтегаз». ОАО «Сибнефтегаз» владеет лицензиями на разведку и добычу углеводородов Пырейного газоконденсатного месторождения и лицензиями на геологическое изучение, разведку и добычу на месторождениях Берегового и Хадырьяхинского лицензионных участков.</t>
  </si>
  <si>
    <t>RNHS</t>
  </si>
  <si>
    <t>В третьем квартале 2013 года 9,99% акций ОАО «РН Холдинг», дочернего общества Компании, были проданы ряду неаффилированных с Компанией третьих лиц за совокупное денежное вознаграждение в сумме 97 млрд руб. Поскольку соответствующие сделки не привели к потере контроля над ОАО «РН Холдинг», разница между справедливой стоимостью возмещения и балансовой стоимостью выбывшей доли была показана в составе добавочного капитала.</t>
  </si>
  <si>
    <t>6 ноября 2013 г. ОАО «НК «Роснефть» сделало добровольное предложение о приобретении ценных бумаг ОАО «РН Холдинг», принадлежащих неконтролирующим акционерам. Добровольное предложение было направлено в отношении 1 918 701 184 обыкновенных акций и 450 000 000 привилегированных акций ОАО «РН Холдинг». Цена приобретения эмиссионных ценных бумаг в рамках добровольного предложения составила 67 руб. (или 2,07 долл. США по курсу Банка России на дату оферты) за одну обыкновенную акцию и 55 руб. (или 1,70 долл. США) за одну привилегированную акцию. Срок принятия добровольного предложения, составляющий 75 дней со дня получения, истек 20 января 2014 г. По результатам добровольного предложения у акционеров
ОАО «РН Холдинг» было приобретено 2 298 025 633 акции, в том числе 1 873 812 294 обыкновенные акции и 424 213 339 привилегированных, что составляет 14,88% от уставного капитала ОАО «РН Холдинг». В первом квартале 2014 года ОАО «НК «Роснефть» в полном объеме исполнило обязательства по оплате проданных акционерами акций ОАО «РН Холдинг», перечислив денежные средства в сумме 149 млрд руб. В результате добровольного предложения о приобретении акций ОАО «РН Холдинг» Компания стала владельцем более 95% акций общества. В мае 2014 года Компания реализовала предусмотренное законодательством право выкупа оставшихся акций ОАО «РН Холдинг», став таким образом владельцем 100% акций ОАО «РН Холдинг». Денежные средства в размере 4 млрд руб. по оплате выкупаемых акций были перечислены непосредственно акционерам, номинальным держателям, либо путем внесения средств в депозит нотариуса.</t>
  </si>
  <si>
    <t>В феврале 2012 года Компания приобрела за 4 млрд руб. 100% долю в ООО «Центр исследований и разработок», ведущего разработки передовых технологий в области переработки нефти и газа, а также нефтехимии.</t>
  </si>
  <si>
    <t>В июне 2012 года Компания приобрела за 1 млрд руб. 100% долю в ООО «Полярный терминал». ООО «Полярный терминал» находится в стадии реализации инвестиционного проекта по созданию терминала по перевалке нефти и нефтепродуктов. Распределение цены приобретения на активы и обязательства, а также результаты деятельности ООО «Полярный терминал» являются несущественными для раскрытия в данной консолидированной финансовой отчетности.</t>
  </si>
  <si>
    <t>Разработки передовых технологий в области переработки нефти и газа, а также нефтехимии.</t>
  </si>
  <si>
    <t>Терминал по перевалке нефти и нефтепродуктов</t>
  </si>
  <si>
    <t>Тайху Лимитед</t>
  </si>
  <si>
    <t>В декабре 2006 года Тайху Лимитед через свою 100% дочернюю компанию завершила сделку по приобретению 96,86% акций ОАО «Удмуртнефть». ОАО «Удмуртнефть» находится в ВолгоУральском регионе Российской Федерации, владеет лицензиями на 24 продуктивных месторождениях углеводородов. По состоянию на 31 декабря 2012 г., в результате операций с казначейскими акциями, доля Тайху Лимитед в ОАО «Удмуртнефть» увеличилась до 97,14%.</t>
  </si>
  <si>
    <t>В ноябре 2006 года Компания приобрела 51% долю в капитале компании Тайху Лимитед, совместном предприятии с Китайской Нефтехимической Корпорацией («Синопек»), которое было создано для целей владения и принятия стратегических решений в отношении ОАО «Удмуртнефть». Соглашение акционеров данного совместного предприятия предусматривает, что ключевые решения касательно его деятельности должны быть приняты единогласно обоими участниками и ни один из участников не имеет преимущественного права в принятии решений.</t>
  </si>
  <si>
    <t>В августе 2012 года Компания завершила сделку по приобретению 51% доли в ООО «НГК «ИТЕРА», одного из крупнейших независимых производителей и продавцов природного газа в РФ. Стоимость приобретения состояла из 7 млрд руб., выплаченных денежными средствами, в том числе 2 млрд руб. за компенсацию избытка оборотного капитала и чистого долга на дату завершения сделки, а также справедливой стоимости 100% дочернего общества ООО «Кынско-Часельское нефтегаз» в сумме 86 млрд руб.
В результате переоценки справедливой стоимости выбывшей 100% доли в дочернем обществе ООО «Кынско-Часельское нефтегаз», владеющем лицензией на ряд нефтегазовых месторождений, Компания признала доход в размере 82 млрд руб. в составе прочих доходов в консолидированном отчете о совокупном доходе. Данное приобретение доли в ООО «НГК «ИТЕРА» учтено как инвестиция в совместно контролируемое предприятие по методу участия в капитале, в соответствии с условиями договора, согласно которым ключевые решения в деятельности компании принимаются единогласно.</t>
  </si>
  <si>
    <t>В мае 2011 года Компания приобрела 50% долю ROG. ROG является совместным предприятием с группой компаний BP, занимающимся переработкой нефти в Западной Европе.</t>
  </si>
  <si>
    <t>ROG</t>
  </si>
  <si>
    <t>Западная Европа</t>
  </si>
  <si>
    <t>Переработка нефти</t>
  </si>
  <si>
    <t>В апреле 2012 года Компания приобрела 50% в ТЗК международного аэропорта Внуково посредством приобретения доли Ланард Холдингс Лимитед (Кипр) за 16 млрд руб. Международный аэропорт Внуково расположен в московском регионе и является одним из крупнейших авиатранспортных комплексов России. Данное приобретение учтено как инвестиция в совместно контролируемое предприятие по методу участия в капитале.</t>
  </si>
  <si>
    <t>В марте 2012 года Компания приобрела у ООО «Сбербанк Капитал» 35,3% в ООО «Таас-Юрях Нефтегазодобыча», стоимость указанной доли участия составила 13 млрд руб. ООО «Таас-Юрях Нефтегазодобыча» владеет лицензиями на добычу нефти на Среднеботуобинском нефтегазоконденсатном месторождении, находящемся в 160 км к северу от нефтепровода «Восточная Сибирь – Тихий океан» (далее «ВСТО»).</t>
  </si>
  <si>
    <t>В феврале 2012 года Компания приобрела 50% в ЗАО «Арктикшельфнефтегаз» (далее – АШНГ) путем покупки 100% доли в ООО «АрктикПроминвест» за 3 млрд руб. АШНГ была создана с целью привлечения частного капитала в разведку и освоение нефтегазовых запасов арктического шельфа в районе Баренцева моря. АШНГ является владельцем лицензии на поиск, разведку и добычу углеводородов на Медынско-Варандейском лицензионном участке сроком до 2025 года. В пределах участка открыто два нефтяных месторождения (Варандей-море и Медынское-море).</t>
  </si>
  <si>
    <t>В ноябре 2012 года Компания выкупила 28 513 639 шт. собственных акций за 7 млрд руб. или 249 руб. за одну акцию.</t>
  </si>
  <si>
    <t>В июне 2012 года Компания выкупила 321 963 949 шт. собственных акций за 68 млрд руб. или 212 руб. за одну акцию.</t>
  </si>
  <si>
    <t>В апреле 2011 года Компания выкупила 11 296 701 шт. собственных акций за 2,9 млрд руб. или 258 руб. за одну акцию.</t>
  </si>
  <si>
    <t>В декабре 2010 года Компания реализовала 1 807 513 шт. собственных акций за 392 млн руб. или 217 руб. за одну акцию.</t>
  </si>
  <si>
    <t>В 2009 году Компания выкупила 747 112 шт. собственных акций за 117 млн руб. или 157 руб. за одну акцию.</t>
  </si>
  <si>
    <t>В течение 2014 г. банком Группы в процессе своей инвестиционной деятельности было продано 2 590 тысяч штук привилегированных акций на сумму 85 млн.руб.</t>
  </si>
  <si>
    <t>SNGS; SNGSP</t>
  </si>
  <si>
    <t>MMBM</t>
  </si>
  <si>
    <t>VTBR</t>
  </si>
  <si>
    <t>В марте 2012 года Группа сделала добровольную оферту на выкуп обыкновенных акций Банка у акционеров, принимавших участие в IPO Банка в 2007 году, по цене 0,136 рубля за акцию при максимальном количестве 3 676 471 штуки у каждого акционера, отвечающего соответствующим требованиям. Срок действия оферты истек 13 апреля 2012 года. Выплаты акционерам, принявшим оферту, были осуществлены в апреле 2012 года, а расчеты с их правопреемниками были завершены до 29 июня 2012 года. В результате данной оферты Группа приобрела 83 448 797 249 голосующих акций Банка за 11.3 миллиарда рублей.</t>
  </si>
  <si>
    <t>SBER</t>
  </si>
  <si>
    <t>МКПАО "ВК" (VK Company Limited; Мэйл.ру Груп Лимитед)</t>
  </si>
  <si>
    <t>В 4 квартале 2022 года Группа приобрела 100% долю в АО «Линдер» за денежное вознаграждение в размере 3 492 млн руб. Сумма денежного вознаграждения была сформирована с учетом задолженности АО «Линдер» перед Группой и третьими лицами. Основная цель покупки заключается в приобретении основного средства, владение которым осуществляется через 100% долю АО «Линдер» в ООО «Ахилл».</t>
  </si>
  <si>
    <t>29 мая 2009 года компания, контролируемая ТНКВР и не входящая в Группу, заключила соглашение с Weatherford International Ltd. (“Weatherford”) о продаже Нефтесервисных компаний ТНК-ВР («Нефтесервисные компании»). Продажа была завершена 27 июля 2009 года. В рамках этой сделки 22 июня 2009 года Группа продала акции нефтесервисных компаний компании, контролируемой ТНК-ВР, за 495 млн долларов США. Группой была отражена прибыль от выбытия нефтесервисных компаний в сумме 167 млн долларов США. По состоянию на 31 декабря 2009 года Группа получила 15 млн долларов США из вышеуказанной суммы. Оставшаяся сумма в размере 480 млн долларов США по состоянию на 31 декабря 2009 года была отражена в консолидированном балансе по статье «Торговая и прочая дебиторская задолженность, нетто». В течение года, закончившегося 31 декабря 2010 года, Группа получила остаток неуплаченной суммы в размере 480 млн долларов США</t>
  </si>
  <si>
    <t>31 декабря 2016 г. Компания приобрела доли в нефтеперерабатывающих заводах в Германии в рамках сделки по реорганизации Ruhr Oel GmbH, совместной деятельности с группой компаний BP по переработке и сбыту нефти в Западной Европе. В результате сделки по реорганизации Ruhr Oel GmbH Компания напрямую стала акционером и увеличила свои доли участия в нефтеперерабатывающих заводах Bayernoil Raffineriegesellschaft mbH – до 25% (с 12,5%); Mineraloelraffinerie Oberrhein GmbH – до 24% (с 12%); PCK Raffinerie GmbH (далее – «PCK») – до 54,17% (с 35,42%). BP, в свою очередь, консолидировала 100% долей в нефтеперерабатывающем заводе Gelsenkirchen и предприятии по производству растворителей DHC Solvent Chemie GmbH. Сумма сделки по приобретению долей в нефтеперерабатывающих заводах в Германии составила 1 522 млн долл. США (92 млрд руб. по официальному курсу ЦБ РФ на дату приобретения).</t>
  </si>
  <si>
    <t>В марте 2020 года Группа исполнила опционы с целью увеличения своей доли владения компанией ООО «СЛ Золото» с 68.2% до 78.0%, выплатив 28 млн долларов США (1,836 млн рублей по курсу на дату транзакции) и передав 246 тысяч Казначейских акций ПАО «Полюс»  на общую сумму 29 млн долларов США (1,928 млн рублей по курсу на дату транзакции). В сентябре 2020 года Группа и ООО «РТ-развитие бизнеса» («РТ») изменили условия по ряду опционов в отношении доли участия «РТ» в ООО «СЛ Золото», которые были заключены в июле 2017 года. Измененные условия позволили Группе приобретать принадлежащие «РТ» 11,3% в ООО «СЛ Золото» по изначально согласованной оценке в размере 65,7 млн долларов США с  платой денежными средствами, а не акциями «Полюса»; Группа и «РТ» также договорились совершить акцепт по всем имеющимся колл-опционам в отношении доли «РТ» в ООО «СЛ Золото». После вступления указанных изменений в силу Группа выкупила у «РТ» все оставшиеся 22% в ООО «СЛ Золото» за денежные средства в размере 128 млн долларов США (9,848 млн рублей по курсу на дату транзакции).</t>
  </si>
  <si>
    <t>В марте 2019 года Группа исполнила опционы с целью увеличения своей доли владения компанией ООО «СП Золото» с 58.4% до 68.2%, выплатив 28 млн долларов США (4.8% доли владения) и передав 370 тысяч собственных акций ПАО «Полюс» на общую сумму 29 млн долларов США (5% доли владения).</t>
  </si>
  <si>
    <t>В декабре 2011 года Группа приобрела ООО «Арктические разработки» за 7 843 млн руб. Основным активом ООО «Арктические разработки» является лицензия на разведку и добычу коксующегося угля на Апсатском месторождении в Забайкалье. Поскольку ООО «Арктические разработки» не соответствовало определению бизнеса на дату приобретения, данное приобретение было рассматривалась как покупка права на добычу полезных ископаемых, и уплаченное вознаграждение было признано в составе основных средств на отчетную дату.</t>
  </si>
  <si>
    <t>В 4 квартале 2023 года Группа приобрела 25% акций в АО «Точка» за денежное вознаграждение в размере 11 625 млн руб.</t>
  </si>
  <si>
    <t>В течение 2022 года Группа приобрела 25% долю в ООО «Гудт» (далее – «ГудДата») за денежное вознаграждение в 133 млн руб.</t>
  </si>
  <si>
    <t>Разработка ПО</t>
  </si>
  <si>
    <t>Образовательный портал</t>
  </si>
  <si>
    <t>В 1 квартале 2023 года Группа получила контроль над образовательной онлайн-платформой ООО «Учи.ру» (далее – «Учи.ру») посредством увеличения своей доли участия до 100% (плюс 75% к доле в 25% на 31 декабря 2022 г.) в капитале ассоциированной организации, учитываемой по методу долевого участия, за денежное возмещение в 8 110 млн руб. В результате приобретения, выписанный пут-опцион на 75% доли в Учи.ру утратил юридическую силу, и в соответствии с МСФО (IFRS) 3, справедливая стоимость данного опциона учтена в составе переданного вознаграждения.</t>
  </si>
  <si>
    <t>Int-SMM</t>
  </si>
  <si>
    <t>Social media marketing (SMM)</t>
  </si>
  <si>
    <t>В 1 квартале 2023 года Группа получила контроль над разработчиков программного обеспечения ООО «Цифровое образование» (далее – «Сферум») посредством увеличения своей доли участия до 99,41% (плюс 49,41% к доле в 50% на 31 декабря 2022 г.) в капитале совместного предприятия, учитываемого по методу долевого участия, посредством конвертации выданного процентного займа в уставный капитал Сферум размере 270 млн руб. (250 млн руб. сумма основного долга займа и 20 млн руб. начисленные проценты на дату приобретения).
Группа продолжит развивать Сферум в рамках проекта «VK Мессенджер» как единую технологическую среду для общения школьников, учителей и родителей.</t>
  </si>
  <si>
    <t>В 1 квартале 2023 года Группа получила контроль над креативным агентством ООО «Диденок Стар». ООО «Диденок Стар» специализируется на инфлюенс-маркетинге и продвижении в социальных сетях.</t>
  </si>
  <si>
    <t>В 3 квартале 2023 года Группа получила контроль над ООО «ВК Арт Лаб» (ранее ООО «Нота-РТК»), приобретя долю участия в размере 51%. Группа также подписала ряд опционных соглашений на приобретение оставшейся 49% доли. Основным видом деятельности ООО «ВК Арт Лаб» является разработка программного обеспечения. Сделка направлена на развитие перспективных продуктов Группы.</t>
  </si>
  <si>
    <t>В 3 квартале 2023 года Группа получила контроль над ООО «Препреп.ру» (далее – «Тетрика»), посредством увеличения доли участия с 60,67% до 85,97%. Основным продуктом «Тетрики» является онлайн платформа, позволяющая школьниками заниматься с репетиторами онлайн. Сделка направлена на расширение присутствия Группы на рынке онлайн-образования.В течение 2023 года Группа уточнила распределение цены приобретения «Тетрика», в результате чего справедливая стоимость чистых активов уменьшилась на 68 млн руб., чистый эффект заключался в увеличении величины гудвила на 68 млн руб.</t>
  </si>
  <si>
    <t>В 3 квартале 2023 года Группа получила контроль над ООО «Система «КЭСПА» (далее – «Skillbox английский»), посредством увеличения своей доли участия с 30,00% до 63,38%. Основным продуктом «Skillbox английский» является платформа для проведения онлайн-уроков по английскому языку. Сделка направлена на расширение присутствия Группы на рынке онлайн-образования.</t>
  </si>
  <si>
    <t>В 4 квартале 2023 года Группа получила контроль над ООО «УАЙКЛАЕНТС» (далее – «YClients»), приобретя долю участия в размере 100%. YClients является ведущей российской SAAS-платформой для компаний сферы услуг. Сделка направлена на развитие перспективных сервисов Группы и расширение базы пользователей. В случае, если бы Группа получила контроль над YClients 1 января 2023 г., то это бы увеличило консолидированный показатель выручки Группы на 990 млн руб. и увеличило консолидированный показатель чистого убытка Группы на 80 млн руб.</t>
  </si>
  <si>
    <t>CRM-система для автоматизации управления бизнесом в сфере услуг</t>
  </si>
  <si>
    <t>Социальная сеть, онлайн-реклама</t>
  </si>
  <si>
    <t>В течение 2022 года Группа продала свою долю в «O2O Холдинг» (СП) другому инвестору данного СП. В течение 2022 года Группа закрыла сделку по приобретению у Яндекса контентных платформ Дзена и Новостей (далее – «Дзен.Платформа»). Одновременно Группа продала Яндексу 100% долю в сервисе доставки готовой еды и продуктов Delivery Club, который в сентябре выкупила у «О2О Холдинг».</t>
  </si>
  <si>
    <t>В течение 2022 года Группа приобрела контроль над ООО «Фудплекс» путем покупки 100% доли и ООО «Технологии интерактивного видео» путем покупки 80% доли.</t>
  </si>
  <si>
    <t>Технологии интерактивного видео</t>
  </si>
  <si>
    <t>В 4 квартале 2022 года Группа получила контроль над ООО «Медиум Кволити Продакшн» (далее – «МКП»), приобретя долю участия в размере 51%. Группа также подписала ряд опционных соглашений (получила колл-опционы и выписала пут-опционы) на приобретение оставшейся 49% доли. Основным видом деятельности «МКП» является производство видеоконтента. Сделка позволит Группе усилить позиции на рынке видеоконтента за счет эксклюзивных шоу и совместных проектов, которые будут производиться специально для платформ VK Видео, VK Клипы и других медиаресурсов Группы.</t>
  </si>
  <si>
    <t>В течение 2022 года Группа получила контроль над рядом дочерних компаний, приобретя у материнской компании Группы 100% доли ООО «Инвайт» (далее – «Инвайт»), 75% доли в «Инвайт Лицензия» (далее – «Инвайт Лицензия»), а также 80% доли в «Инвайт Мьюзик» (далее – «Инвайт Мьюзик») соответственно, вместе составляющих креативное агентство полного цикла, специализирующееся на инфлюенс-маркетинге и продвижении в социальных сетях за совокупное денежное вознаграждение в размере 12 млн руб.</t>
  </si>
  <si>
    <t>Онлайн-реклама</t>
  </si>
  <si>
    <t>Производства медиа-контента</t>
  </si>
  <si>
    <t>В течение 2022 года Группа подписала соглашение о продаже и передала контроль над дочерними компаниями MY.GAMES HOLDINGS LTD (Кипр) и ООО «Май.Геймз» 27 сентября 2022 г. и 12 декабря 2022 г. соответственно за 37 241 млн руб.</t>
  </si>
  <si>
    <t>В 1 квартале 2023 года Группа подписала ряд соглашений о продаже и передала контроль над дочерними организациями EPICENTR (Cyprus) Ltd., ESFORCE AGENCY Ltd. за денежное вознаграждение в размере 47 млн руб. Балансовая стоимость выбывших чистых активов и элементов капитала составила 14 млн руб. В результате, Группа признала прибыль от продажи дочерних компаний в размере 61 млн руб.</t>
  </si>
  <si>
    <t>В 1 квартале 2023 года Группа также подписала соглашение о продаже и передала контроль над дочерней организацией ООО «Фудплекс» за денежное вознаграждение в размере 1 рубль. Балансовая стоимость выбывших чистых активов и элементов капитала составила 53 млн руб. В результате, Группа признала убыток от продажи дочерних компаний в размере 53 млн руб.</t>
  </si>
  <si>
    <t>В 4 квартале 2022 года Группа подписала обязывающее соглашение о продаже дочерней организации MGL Wallet (Cyprus) Ltd. за денежное вознаграждение в размере 1,2 млн евро. Переход контроля над организацией зависит от условий соглашения, которые были исполнены в 3 квартале 2023 года. Балансовая стоимость выбывших чистых активов и элементов капитала составила 32 млн руб. В результате, Группа признала прибыль от продажи дочерних компаний в размере 85 млн руб.</t>
  </si>
  <si>
    <t>В 4 квартале 2022 года Группа подписала соглашение о продаже и передала контроль над дочерней компанией организацией VIRTUSPRO Ltd. за 174 млн руб. Балансовая стоимость выбывших чистых активов и элементов капитала составила 161 млн руб. В результате, Группа признала прибыль от продажи дочерней компании в размере 13 млн руб.</t>
  </si>
  <si>
    <t>EPICENTR (Cyprus) Ltd., ESFORCE AGENCY Ltd.</t>
  </si>
  <si>
    <t>MGL Wallet Ltd.</t>
  </si>
  <si>
    <t>VIRTUSPRO Ltd.</t>
  </si>
  <si>
    <t>В течение 2019 года Доверительный управляющий приобрел на рынке в общей сложности 572 437 ГДР за соответствующее вознаграждение в размере 896 рублей.</t>
  </si>
  <si>
    <t>VKCO</t>
  </si>
  <si>
    <t>24 сентября 2020 года Группа объявила о размещении 7 142 858 новых выпущенных глобальных депозитарных расписок по цене размещения 28,00 долларов США за ГДР, что соответствует увеличению капитала на 200 миллионов долларов США (15 209 рублей за вычетом затрат на выпуск в размере 154 рублей). Дата размещения состоялась 28 сентября 2020 года.
Ожидаемое использование поступлений, полученных Группой, было следующим:
- финансировать развитие и органический рост по существующим вертикалям,
- финансирование и развитие стратегических возможностей слияний и поглощений; и
- финансирование инвестиций в СП O20 и AER</t>
  </si>
  <si>
    <t>ООО "Фудплекс"</t>
  </si>
  <si>
    <t>Платформа сервисов в сегментах фудтеха и мобильности</t>
  </si>
  <si>
    <t>22 августа 2022 года Группа заключила обязывающее соглашение с «ВКонтакте» о продаже своей платформы агрегации новостей и информационно-развлекательного сервиса «Дзен» (совместно «Новости и Дзен»), а также о приобретении 100% акций компании «Доставка». ООО «Клуб» («Клуб Деливери») — одна из ведущих служб доставки еды и продуктов в России. 8 сентября 2022 г. Группа завершила приобретение 100% Delivery Club, а 12 сентября 2022 г. Группа завершила продажу News и Zen. Сделка ознаменовала собой стратегическое решение о выходе из медиа-бизнеса (кроме стриминга развлечений). Группа отразила приобретение как объединение бизнеса.
Согласно требованиям GAAP США, неденежное вознаграждение, переданное за приобретение Delivery Club, составило 38 620 руб., что представляет собой справедливую стоимость «Ньюс» и «Дзен». Справедливая стоимость была определена с использованием таких методов оценки, как дисконтированные денежные потоки, и основана на значительных ненаблюдаемых исходных данных, что представляет собой оценку Уровня 3 согласно определению ASC 820. Наиболее значимыми количественными исходными данными, использованными для оценки справедливой стоимости, были будущий рост выручки. ставки, прогнозируемую скорректированную рентабельность и ставки дисконтирования. В результате деконсолидации компаний «Новости» и «Дзен» был признан доход в сумме 38 051 руб. по разнице между балансовой стоимостью и справедливой стоимостью чистых активов бизнесов «Новости» и «Дзен».
По состоянию на 31 декабря 2022 года Группа дополнительно признала 332 руб. в качестве корректировки оборотного капитала к возмещению, переданному в счет гудвилла.
В течение 2022 года Группа приобрела контроль над ООО «Деливери клаб» путем покупки 100% долей. В течение 2022 года Группа закрыла сделку по приобретению у Яндекса контентных платформ Дзена и Новостей (далее – «Дзен.Платформа»). Одновременно Группа продала Яндексу 100% долю в сервисе доставки готовой еды и продуктов Delivery Club, который в сентябре выкупила у «О2О Холдинг».</t>
  </si>
  <si>
    <t>23 августа 2022 года Группа заключила обязывающее соглашение с «ВКонтакте» о продаже своей платформы агрегации новостей и информационно-развлекательного сервиса «Дзен» (совместно «Новости и Дзен»), а также о приобретении 100% акций компании «Доставка». ООО «Клуб» («Клуб Деливери») — одна из ведущих служб доставки еды и продуктов в России. 8 сентября 2022 г. Группа завершила приобретение 100% Delivery Club, а 12 сентября 2022 г. Группа завершила продажу News и Zen. Сделка ознаменовала собой стратегическое решение о выходе из медиа-бизнеса (кроме стриминга развлечений). Группа отразила приобретение как объединение бизнеса.
Согласно требованиям GAAP США, неденежное вознаграждение, переданное за приобретение Delivery Club, составило 38 620 руб., что представляет собой справедливую стоимость «Ньюс» и «Дзен». Справедливая стоимость была определена с использованием таких методов оценки, как дисконтированные денежные потоки, и основана на значительных ненаблюдаемых исходных данных, что представляет собой оценку Уровня 3 согласно определению ASC 820. Наиболее значимыми количественными исходными данными, использованными для оценки справедливой стоимости, были будущий рост выручки. ставки, прогнозируемую скорректированную рентабельность и ставки дисконтирования. В результате деконсолидации компаний «Новости» и «Дзен» был признан доход в сумме 38 051 руб. по разнице между балансовой стоимостью и справедливой стоимостью чистых активов бизнесов «Новости» и «Дзен».
По состоянию на 31 декабря 2022 года Группа дополнительно признала 332 руб. в качестве корректировки оборотного капитала к возмещению, переданному в счет гудвилла.
В течение 2022 года Группа закрыла сделку по приобретению у Яндекса контентных платформ Дзена и Новостей (далее – «Дзен.Платформа»). Одновременно Группа продала Яндексу 100% долю в сервисе доставки готовой еды и продуктов Delivery Club, который в сентябре выкупила у «О2О Холдинг».</t>
  </si>
  <si>
    <t>В течение 2021 года, Группа получила контроль над образовательной онлайн-платформой ООО «Скилфэктори» (далее – «Скилфэктори») посредством увеличения своей доли участия до 61,809% (плюс 43,50% к доле в 18,309% (на 30 июня 2021 г.) в капитале ассоциированной организации, учитываемой по методу долевого участия) за денежное возмещение в 1 088 млн руб. в результате исполнения колл-опциона. По состоянию на 30 сентября 2021 г. в результате получения контроля Группа прекратила признание инвестиций в «Скилфэктори» на сумму 153 млн руб., учитываемых по методу долевого участия, в результате чего доход от переоценки ранее имевшихся долей участия в ассоциированных организациях, учитываемых по методу долевого участия, составил 305 млн руб. В феврале 2021 года Группа предоставила «Скилфэктори» заем в размере 125 млн руб. По состоянию на 30 сентября 2021 г. балансовая стоимость займа составляла 133 млн руб. По условиям дополнения к акционерному соглашению Группа получила опцион на конвертацию займа в акционерный капитал «Скилфэктори» в целях приобретения дополнительной доли участия в 1,92% на дату исполнения упомянутого выше колл-опциона, и она намерена осуществить такую конвертацию. Опцион на конвертацию займа дает Группе доступ к доходам от упомянутой выше доли участия в 1,92% и учитывался как если бы эта доля была приобретена. Таким образом, доля участия Группы в «Скилфэктори» в общей сложности составляет 63,73%. Группа также выдала пут-опционы на оставшуюся неконтролирующую долю участия, которая на дату получения контроля над «Скилфэктори» составляла 36,27%. Группа рассматривает объединение бизнесов и выданные пут-опционы как единую сделку. Выданные пут-опционы учитываются как производное финансовое обязательство справедливой стоимостью 123 млн руб., поскольку Группа сохраняет контроль над условием, при котором данные опционы могут быть исполнены. Производное финансовое обязательство оценивается по справедливой стоимости через прибыль или убыток. Основная цель приобретения «Скилфэктори» заключалась в расширении присутствия Группы на рынке онлайн-образования за счет достижения существенного эффекта от синергии с принадлежащими Группе образовательными онлайн-платформами «Скилбокс» и «ГикБреинс». В течение 2022 года, Группа завершила распределение цены приобретения «Скилфэктори», в результате чего справедливая стоимость отложенной выручки уменьшилась на 186 млн руб., чистый эффект заключался в снижении величины гудвила на 186 млн руб.</t>
  </si>
  <si>
    <t>В течение 2021 года, Группа получила контроль над издателем и разработчиком мобильных игр ООО «Мамбу Геймс» (далее – «Мамбу Геймс»), приобретя долю участия в размере 51% за денежное вознаграждение в размере 168 млн руб. посредством исполнения  колл-опциона, а также за счет урегулирования задолженности по конвертируемым займам суммарной балансовой стоимостью 202 млн руб., оцениваемым по справедливой стоимости через прибыль или убыток. На дату приобретения было также признано условное вознаграждение в размере 39 млн руб. «Мамбу Геймс» является издателем и разработчиком гиперказуальных игр. Основная цель приобретения «Мамбу Геймс» заключается в усилении позиций Группы на рынке мобильных игр.</t>
  </si>
  <si>
    <t>В октябре 2021 года Группа приобрела долю в 25% в образовательной онлайн-платформе ООО «Умскул» (далее – «Умскул») за денежное вознаграждение в 950 млн руб. В соответствии с МСФО (IAS) 28 Группа учитывает инвестиции в «Умскул» как инвестиции в ассоциированную организацию, учитываемую по методу долевого участия.</t>
  </si>
  <si>
    <t>Компьютерные игры</t>
  </si>
  <si>
    <t>Разработчик мобильных игр; Оператор онлайн-игр</t>
  </si>
  <si>
    <t>В марте 2020 года Группа приобрела контроль над разработчиком мобильных игр BeIngame Limited («InGame»), увеличив свою долю до 100% (75% в дополнение к 25% по состоянию на 31 декабря 2019 года) за общую денежную компенсацию в размере 309 рублей ( по обменному курсу на дату приобретения) и урегулирование ранее существовавших отношений на сумму 858 руб., которая представляет собой справедливую стоимость торговой дебиторской задолженности Группы перед InGame (которая приблизительно равна ее балансовой стоимости). По состоянию на 31 марта 2020 г. в результате приобретения контроля Группа прекратила признание инвестиций в InGame, учитываемых методом долевого участия, с прибылью от переоценки ранее имевшейся доли в ассоциированных компаниях, учитываемых методом долевого участия, в размере 46 рублей. Основной целью приобретения InGame было укрепить позиции Группы на рынке мобильных игр.</t>
  </si>
  <si>
    <t>BeIngame Limited</t>
  </si>
  <si>
    <t>Разработчик мобильных игр</t>
  </si>
  <si>
    <t>Salerton Investments Limited</t>
  </si>
  <si>
    <t>Услуги Интернета и мобильной музыки</t>
  </si>
  <si>
    <t>В феврале 2019 года Группа завершила приобретение 100% компании Salerton Investments Limited («UMA»), поставщика услуг Интернета и мобильной музыки в России, за общую сумму денежного вознаграждения в размере 6 391 руб. По состоянию на 30 сентября 2019 г. в результате приобретения контроля Группа прекратила признание инвестиций в UMA, учитываемых методом долевого участия. Основная цель приобретения — расширение присутствия Группы на рынке музыкальных услуг. Компания владеет правами на музыкальную библиотеку</t>
  </si>
  <si>
    <t>В апреле 2018 года Группа приобрела контроль над разработчиком мобильных игр PBL Bitdotgames Publishing Limited («BitGames»), увеличив свою долю до 51% (49% в дополнение к 2% акций по состоянию на 31 марта 2018 года). Основной целью приобретения BitGames было усиление позиций Группы на рынке мобильных игр.
Также в апреле 2018 года Группа завершила приобретение 100% ООО «33 Слона» и ООО «Технологии недвижимости» (совместно — «33 Слона»), цифрового агентства недвижимости. Основная цель приобретения 33 Slona заключалась в использовании опыта и ресурсов Группы за счет достижения существенного синергизма с Youla, основным продуктом онлайн-объявлений Группы.
В июне 2018 года Группа завершила приобретение 100% акций Consult Universal Corp («InShopper»), поставщика технологий возврата денег. Основная цель приобретения InShopper заключалась в использовании опыта и ресурсов Группы путем достижения существенного синергизма с платежными технологиями и решениями Группы.
Общая сумма денежного вознаграждения по вышеуказанным сделкам составила 2,5 млрд руб., а условное вознаграждение, оцененное по справедливой стоимости, — 93 рубля (на основе текущих финансовых показателей эффективности за 1 год). Условное обязательство было переоценено в марте 2019 года до 9 руб.</t>
  </si>
  <si>
    <t>Int-Paym</t>
  </si>
  <si>
    <t>Цифровое агентство недвижимости</t>
  </si>
  <si>
    <t>ИТ (Проведение онлайн-платежей)</t>
  </si>
  <si>
    <t>В мае 2019 года Группа приобрела контроль над компанией-разработчиком мобильных игр Panzerdog OY («Panzerdog»), увеличив свою долю до 59,45% (39,45% в дополнение к 20% акций по состоянию на 31 марта 2019 года) за общую сумму денежного вознаграждения в размере 626 рублей. 30 сентября 2019 г. в результате приобретения контроля Группа прекратила признание инвестиций в компанию Panzerdog, учитываемых методом долевого участия, при этом прибыль от переоценки ранее имевшейся доли в ассоциированных компаниях, учитываемых методом долевого участия, составила 285 руб. Позиция группы на рынке мобильных игр.</t>
  </si>
  <si>
    <t>В апреле 2019 года Группа приобрела 50,83% в Native Media LLC («Native Roll») — платформе видеорекламы. Основной целью приобретения Native Roll было усиление позиций Группы на рынке рекламных решений. По состоянию на 31 декабря 2019 г. Группа приобрела контроль над оставшейся долей в размере 49,17%.
В мае 2019 года Группа приобрела 51% ООО «Iconjob» («Worki»), платформы для поиска работы. Основная цель приобретения Worki заключалась в использовании опыта и ресурсов Группы за счет достижения существенного взаимодействия с Youla, основным продуктом онлайн-объявлений Группы. По состоянию на 31 декабря 2019 г. Группа приобрела контроль над оставшейся долей в размере 49%.
Кроме того, в мае 2019 года Группа приобрела 100% акций Surfingbird LLC («Relap»), рекомендательной платформы. Основная цель приобретения Relap заключалась в использовании опыта и ресурсов Группы путем достижения существенного синергизма с Pulse, рекомендательными технологиями и решениями Группы. Общая сумма денежного вознаграждения по указанным сделкам составила 2,1 млрд руб.</t>
  </si>
  <si>
    <t>В апреле 2018 года в результате ряда сделок Группа приобрела 25,38% акций агрегатора такси «Сити-Мобил» («Ситимобил») за общую сумму 530 рублей, включая конвертацию займа в размере 120 рублей. В 2019 году Группа приняла участие в новых раундах финансирования и внесла дополнительно 679 руб. В результате конвертации кредита на сумму 2,2 млрд руб. доля Группы в «Ситимобиле» увеличилась до 29,669%. Группа пришла к выводу, что она имеет значительное влияние на «Ситимобил», поскольку Группа имеет право участвовать в принятии решений по финансовой и операционной политике через свое представительство в Совете директоров «Ситимобил». Доля Группы в «Ситимобиле» представляет собой инвестицию в ассоциированную компанию и учитывается по методу долевого участия. По состоянию на апрель 2019 года Группа завершила распределение цены приобретения «Ситимобил», в результате чего предварительная стоимость не изменилась. В июле 2019 года Совет директоров Компании одобрил подписание соглашения об инвестициях в новую компанию, ориентированную на O2O. В декабре 2019 года сделка O2O была завершена, и «Ситимобил» был передан новому СП O2O в рамках инвестиций Группы.</t>
  </si>
  <si>
    <t>Panzerdog OY</t>
  </si>
  <si>
    <t>Native Media LLC</t>
  </si>
  <si>
    <t>Платформа видеорекламы</t>
  </si>
  <si>
    <t>8 июля 2019 г. Группа приобрела контроль над ООО «Сваг Маша» («Сваг Маша»), разработчиком мобильных игр, увеличив его долю до 51 % (16 % в дополнение к 35 % доли по состоянию на 31 марта 2019 г.) на общую сумму денежное вознаграждение в размере 79 рублей. Основной целью приобретения Swag Masha было усиление позиций Группы на рынке мобильных игр.</t>
  </si>
  <si>
    <t>В декабре 2019 года Группа приобрела контроль над образовательной онлайн-платформой ООО «Skillbox» («Skillbox»), увеличив свою долю до 60,3% (50% в дополнение к 10,3% доли по состоянию на 14 февраля 2019 года, которая учитывалась в качестве финансового актива на справедливой стоимости). стоимости через прибыль и убыток) на общую сумму денежного вознаграждения 1,6 млрд руб. Основной целью приобретения Skillbox было расширение присутствия Группы на рынке онлайн-образования за счет достижения существенного взаимодействия с Geekbrains, образовательной онлайн-платформой Группы.</t>
  </si>
  <si>
    <t>8 октября 2019 года Группа вместе с Alibaba Group, «МегаФоном» и РФПИ завершила создание совместного предприятия Aliexpress Russia (AER или СП AER).
Группа инвестировала свои активы электронной коммерции Pandao справедливой стоимостью 1 млрд руб. и денежным вознаграждением в размере 11,8 млрд руб. в обмен на 15,01% акций СП «АЭР» (голосование – 18%). Денежное вознаграждение в размере 11,8 млрд руб. состоит из 6,5 млрд руб., выплаченных 8 октября 2019 г., и остальной суммы, которая должна быть внесена до октября 2020 г. Alibaba Group инвестировала денежные средства в размере 6,5 млрд руб. и внесла свой AliExpress Россия бизнеса в обмен на 55,7% акций (голосование – 49,9%), РФПИ вложил денежные средства в размере 6,5 млрд руб. в обмен на 5% акций (голосование – 1,2%), а «МегаФон» продал 9,97% экономической доли в Mail.ru Group Alibaba Group в обмен на 24,3% акций (голосование – 30,2%) в СП AER.
Все стороны договорились о разделении контроля над AER на основе единогласного согласия сторон относительно решений, связанных с соответствующей деятельностью СП AER.</t>
  </si>
  <si>
    <t>В июле 2019 года Группа и Сбербанк заключили соглашение об инвестировании в новую группу О2О (О2О или СП О2О), специализирующуюся на цифровых технологиях для рынков продуктов питания и транспорта. По состоянию на 18 декабря 2019 года были получены все необходимые разрешения корпоративного управления и регулирующих органов, в том числе одобрение Федеральной антимонопольной службы, что завершило формирование партнерства. Группа внесла доли в «Деливери Клуб» (100%) и «Ситимобил» (29,67%), а также денежное вознаграждение в размере 8,5 млрд руб. и условное вознаграждение в размере 4,6 млрд руб. в зависимости от достижения ряда КПЭ внесенными предприятиями. ноябрь 2020 года и прочее условное вознаграждение в размере 0,8 млрд руб. Сбербанк внес денежные средства в размере 39,7 млрд руб. (использованные СП О2О для приобретения дополнительных 5,8% акций «Ситимобила» и 100% акций «Фудплекса») и условное вознаграждение в размере 13 млрд руб. в зависимости от достижения внесли свой бизнес к ноябрю 2020 года. Сторонам принадлежат равные 50% акций СП O2O, при этом до 10% акций потенциально могут быть выделены на программу долгосрочной мотивации для стимулирования сотрудников платформы O2O.</t>
  </si>
  <si>
    <t>В мае 2017 года MGL и, соответственно, Группа приобрели оставшиеся 90,09% ZakaZaka, компании по доставке продуктов питания, за денежное вознаграждение 1 042. Целью приобретения было дальнейшее расширение бизнеса MGL по доставке продуктов. Предварительная справедливая стоимость совокупных идентифицированных активов и обязательств на дату приобретения была незначительной. Гудвил в сумме 678 связан с ожидаемой синергией и экономией на затратах с бизнесом MGL по доставке продуктов питания.
В мае 2017 года в результате ряда сделок Группа завершила приобретение 100% ООО «Сайт-Агрегатор» («ЗакаЗака»), второй компании по доставке еды в России, за денежное вознаграждение в размере 1 042 руб. Основной целью приобретения было дальнейшее расширение бизнеса Группы по доставке еды.</t>
  </si>
  <si>
    <t>ПАО "Московская объединенная энергетическая компания" (ПАО "МОЭК")</t>
  </si>
  <si>
    <t>Производство, передача и распределение пара и горячей воды (тепловой энергии)</t>
  </si>
  <si>
    <t>Монтаж, ремонт и техническое обслуживание приборов и инструментов для измерения, контроля, испытания и прочих целей</t>
  </si>
  <si>
    <t xml:space="preserve">СП (платформа О2О сервисов), включающее компании Delivery Club, YouDrive, Ситимобил, SberFood (бывший Foodplex) и другие активы. </t>
  </si>
  <si>
    <t>В мае 2017 года MGL и, соответственно. Группа приобрели исключительные права на Am.ru, одного из крупнейших российских вэб-сайтов автомобильных объявлений за денежное вознаграждение 542. Основной целью приобретения было достижение значительного присутствия Группы среди сайтов автомобильных объявлений.
В мае 2017 года Группа завершила приобретение эксклюзивных прав на Am.ru, один из крупнейших российских сайтов автообъявлений, у Rambler&amp;Co за денежное вознаграждение в размере 542 рубля. Основной целью приобретения Am.ru было установление присутствия Группы. в сфере автообъявлений и использовать опыт и ресурсы Группы, достигая существенного взаимодействия с Youla, основным продуктом Группы по онлайн-объявлениям. При учете объединения бизнеса Группа определила сумму чистых идентифицируемых активов Am.ru в размере 392 руб., в основном состоящих из программного обеспечения и бренда, амортизируемых в течение 4-10 лет, и в результате определила сумму гудвила в размере 150 руб. в основном обусловлен ожидаемым синергизмом с бизнесом Группы по продаже объявлений и не подлежит вычету для целей налога на прибыль.</t>
  </si>
  <si>
    <t>Rambler&amp;Co</t>
  </si>
  <si>
    <t>В третьем квартале 2017 года Группа приобрела инвестиции в определенные ассоциированные компании на общую сумму 640 рублей, включая приобретение 17,76% акций Inplat Holding Limited («Инплат»), оператора системы электронных онлайн-платежей, за денежное вознаграждение в размере 640 рублей. 561. Доля Группы в компании «Инплат» представляет собой инвестицию в ассоциированную компанию и учитывается по методу долевого участия. Группа пришла к выводу, что она имеет значительное влияние на Инплат, поскольку Группа имеет право участвовать в принятии решений по финансовой и операционной политике через свое представительство в Совете директоров Инплат. Группа завершила распределение цены приобретения Инплата, но безрезультатно.</t>
  </si>
  <si>
    <t>Alibaba</t>
  </si>
  <si>
    <t>В январе 2018 года Группа приобрела ведущую группу компаний в сфере киберспорта, работающую под брендом ESforce (вместе «ESforce») за денежное вознаграждение в размере 5 659 рублей и условное вознаграждение, оцениваемое по справедливой стоимости, в размере 1 132 рублей на основе текущих финансовых КПЭ за период. от 1 года. Условное обязательство было выражено в долларах США, переоценено в декабре 2018 года до 1 948 рублей и выплачено в полном объеме в марте 2019 года. Основной целью приобретения ESforce было усиление позиций Группы на рынке киберспорта.
В январе 2018 года MGL и, соответственно, Группа приобрели 100% акций компании ESForce Holding Limited («ESForce»), одной из крупнейших в мире киберспортивных организаций, за денежное вознаграждение 5 659 и условное вознаграждение, рассчитываемое на основе финансовых показателей на конец 2018 года. Условное вознаграждение, оцениваемое по справедливой стоимости, составило 1 132 на дату приобретения. Основной причиной приобретения компании было укрепление позиций Группы на рынке киберспортивных услуг.</t>
  </si>
  <si>
    <t>AER Holding PTE.LTD (Aliexpress Russia; AER или СП AER)</t>
  </si>
  <si>
    <t>В мае 2018 года Группа исполнила опцион «колл» на покупку 20% акционерного капитала правообладателя музыкальной библиотеки Salerton Investments Limited («UMA») за общую сумму 1 363 руб. Группа пришла к выводу, что она имеет значительное влияние на UMA, поскольку представлена в совете директоров UMA и имеет право участвовать в принятии решений относительно ее финансовой и операционной политики. Таким образом, UMA учитывается как ассоциированная компания по методу долевого участия. Приобретение инвестиций в UMA учитывается на основе предварительной стоимости, поскольку Группа не завершила распределение цены приобретения по справедливой стоимости идентифицируемых активов и обязательств UMA на дату составления данной финансовой отчетности.
27 декабря 2018 г. Группа подписала опционное соглашение «пут» и «колл» на оставшиеся 80% акций UMA.</t>
  </si>
  <si>
    <t>В течение 2017 года Доверительный управляющий приобретал на рынке 857 736 штук ГДР (совокупное вознаграждение: 1 430 рублей).</t>
  </si>
  <si>
    <t>ПАО АНК "Башнефть"</t>
  </si>
  <si>
    <t>ПАО "Татнефть"</t>
  </si>
  <si>
    <t>В ноябре 2016 года Группа приобрела 90% акций ООО «Деливери Клуб» («Деливери Клуб»), ведущего российского оператора по доставке еды, за денежное вознаграждение в размере 5 714 рублей. Фактически Группа приобрела 100% акций Delivery Club посредством опционов «пут» и «колл» на оставшиеся 10% на эквивалентных условиях, заключенных в рамках объединения бизнеса. Одновременно Группа подписала опционное соглашение в отношении 10% акций ООО «Деливери Клаб». По этому соглашению Группа имела право приобрести (опцион колл), а продавец имел право продать (опцион пут) 10% акций ООО «Деливери Клаб» за 10 млн долларов США (628 млн руб. по биржевой цене). по ставке на дату объединения бизнеса). Группа пришла к выводу, что опционы на акции (и соответствующие права голоса) были существенными на дату объединения бизнеса, и экономические выгоды, связанные с владением дополнительными 10% акций, были фактически переданы Компании с этой даты. Основной целью приобретения Delivery Club было дальнейшее расширение продуктового предложения Группы при одновременном использовании опыта Группы в разработке продуктов и маркетинга, а также ее лидирующих позиций среди российской мобильной аудитории.</t>
  </si>
  <si>
    <t>В октябре 2016 года Группа приобрела Pixonic, разработчика мобильных игр, путем приобретения 100% долей участия в нескольких юридических лицах (совместно именуемых «Pixonic») за денежное вознаграждение в размере 1 251 руб. и условное вознаграждение в размере 625 руб. (10 млн долларов США). на основе текущих показателей эффективности выручки. Основной целью приобретения Pixonic было усиление позиций Группы на рынке мобильных игр.</t>
  </si>
  <si>
    <t>Pixonic</t>
  </si>
  <si>
    <t>В феврале 2016 года Группа продала свою 100% долю в капитале HeadHunter за денежное вознаграждение в размере 10 130 рублей. На дату продажи чистые активы HeadHunter, относящиеся к Группе, составляли 1 138 руб., в том числе гудвил в размере 1 855 руб. и денежные средства и их эквиваленты в размере 421 руб.
Выбывшие обязательства HeadHunter в основном включали доходы будущих периодов и авансы клиентам. Кроме того, резерв по пересчету валют, относящийся к HeadHunter, в сумме 280 руб. был реклассифицирован в состав прибыли или убытка. В результате выбытия Группа признала прибыль в сумме 8 712 руб., отраженную в составе «Чистая прибыль от выбытия дочерних предприятий» в отчете о совокупном доходе.</t>
  </si>
  <si>
    <t>В мае 2015 года Группа приобрела оператора центра обработки данных путем приобретения 100% доли в компании ICVA Ltd. («ICVA») за денежное вознаграждение в размере 919 рублей. Основной целью приобретения ICVA было повысить технологическую независимость Группы от сторонних поставщиков услуг хостинга и интегрировать управление хранением и передачей данных Группы. До приобретения Группа получала услуги хостинга от ICVA на рыночных условиях.</t>
  </si>
  <si>
    <t>ICVA Ltd.</t>
  </si>
  <si>
    <t>Услуги хостинга</t>
  </si>
  <si>
    <t>В апреле 2014 года Группа приобрела 12,00% экономической доли в ассоциированной компании VK.Com Limited («ВК») за совокупное вознаграждение в размере 12 630 рублей, включая 12 430 рублей денежными средствами, а также выписанный опцион «колл» на приобретение 100% акций компании Headhunter по справедливой цене 200 рублей. В результате приобретения Группа увеличила свою экономическую долю в ВК до 51,99%, но не приобрела контроль над ВК, поскольку Группа не получила достаточного представительства в совете директоров, необходимого для принятия важных операционных решений, и, таким образом, продолжала отчитываться за для инвестиций с использованием метода долевого участия. Группа отнесла 9 908 руб. на гудвил в составе инвестиций долевым методом, 3 159 руб. в нематериальные активы в рамках инвестиций долевым методом и 437 руб. на приобретенную долю в чистых обязательствах ВК.
Приобретение оставшихся 48,01% акций ВК, ранее не принадлежавших Группе, было завершено 16 сентября 2014 г. В результате Группа получила контроль над ВК. Приобретение 48,01% было полностью оплачено денежными средствами на общую сумму 55 840 руб. Группа профинансировала приобретение за счет имеющихся денежных средств и кредита.</t>
  </si>
  <si>
    <t>В 2014 году Группа продала 9,11% экономической доли в ассоциированной компании Qiwi plc («Qiwi») за совокупное чистое денежное вознаграждение в размере 6 401 руб. В результате выбытия Группа признала прибыль в сумме 6 482 руб. по статье «Чистая прибыль от выбытия акций ассоциированных компаний, учитываемых методом долевого участия, и потеря значительного влияния» в консолидированном отчете о совокупном доходе. После частичного выбытия инвестиции Группа сохранила экономическую долю в размере 1,31% и потеряла право участвовать в принятии решений по финансовой и операционной политике в отношении Qiwi. Соответственно, Группа прекратила признание своей доли в Qiwi как ассоциированной компании, учитываемой по методу долевого участия, и признала оставшиеся инвестиции как имеющиеся в наличии для продажи. В указанную прибыль включена переоценка в сумме 824 руб. нераспределенной экономической инвестиции до ее справедливой стоимости в 946 руб.</t>
  </si>
  <si>
    <t>В течение 2014 года Доверительный управляющий приобрел на рынке в общей сложности 1 012 885 ГДР на общую сумму 1 337 рублей. Группа учитывает выкупленные ГДР как собственные акции.</t>
  </si>
  <si>
    <t>Финтех</t>
  </si>
  <si>
    <t>QIWI</t>
  </si>
  <si>
    <t>В течение 2013 года Доверительный управляющий приобрел на рынке 414 261 акций на общую сумму 481 рубль.</t>
  </si>
  <si>
    <t>В течение 2012 года Доверительный управляющий приобрел на рынке в общей сложности 288 051 ГДР на общую сумму 297 рублей.</t>
  </si>
  <si>
    <t>Соглашение акционеров дочерней компании Группы Headhunter Group Limited («Headhunter») предоставило одному из неконтролирующих акционеров Headhunter возможность обменять принадлежащие ему 5,89% акционерного капитала Headhunter на 432 867 обыкновенных акций Компании за последние три года. месяцев 2011 года. В октябре 2011 года неконтролирующий акционер реализовал свое право на конвертацию, в результате чего доля Группы в компании Headhunter увеличилась до 97,2%. Влияние сделки на консолидированную финансовую отчетность Группы было несущественным.</t>
  </si>
  <si>
    <t>В июле 2011 года Компания реализовала свой опцион на приобретение дополнительных 7,44% акций своей стратегической ассоциированной компании ВК за денежное вознаграждение в размере 3 096 руб. Завершение этой сделки принесло совокупную долю Группы в ВК до 39,99%. Группа отнесла 2 645 руб. на гудвил как часть инвестиции долевым методом, 442 руб. на нематериальные активы как часть инвестиции долевым методом и 9 руб. на приобретенную долю в прочих чистых активах ВК. Нематериальные активы в основном представляют собой торговую марку и клиентскую базу ВК и подлежат амортизации в течение срока полезного использования от 7 до 11 лет.</t>
  </si>
  <si>
    <t>В течение 2011 года Доверительный управляющий приобрел на рынке в общей сложности 651 534 ГДР на общую сумму 633 рубля.</t>
  </si>
  <si>
    <t>Хранение данных</t>
  </si>
  <si>
    <t>25 февраля 2010 г. Mail.Ru Internet NV, 53%-ная дочерняя компания Группы, приобрела дополнительные 50% акций ООО «Дата-центр М100» («Дата-центр»), увеличив таким образом свою долю до 100%. Ранее Группа учитывала «Дата Центр» как ассоциированную компанию. Основной целью приобретения Data Center было повышение технологической независимости Группы от сторонних поставщиков услуг хостинга и интеграция управления хранением и передачей данных Группы. В рамках единого соглашения Группа подписала несколько соглашений – договор купли-продажи доля 50% в Дата-центре; договор пут-опциона (чтобы Группа продала приобретенную долю обратно продавцу по фиксированной цене); контракт опциона колл при условии определенных налоговых и юридических претензий к Центру обработки данных и возмещения убытков. Цена покупки всего вышеперечисленного составила 10 038 долларов США (300 миллионов рублей). После завершения сделки Группа выплатила 5 030 долларов США (150 миллионов рублей) наличными и согласилась выплатить оставшуюся сумму двумя платежами по 75 миллионов рублей каждый, подлежащими выплате в сентябре 2010 года и марте 2011 года.
Соглашение о покупке предусматривало возмещение продавцу негативных последствий потенциальных юридических, налоговых и бухгалтерских претензий в размере 8 348 долларов США (250 миллионов рублей), а также письменный опцион «колл» продавцу на выкуп доли обратно за 10 038 долларов США (300 миллионов рублей). ), если Группа потребует возмещения ущерба (по усмотрению Продавца).
Руководство определило, что справедливая стоимость условного обязательства, связанного с неблагоприятными последствиями потенциальных юридических, налоговых и бухгалтерских претензий в отношении Центра обработки данных, не может быть надежно оценена на дату приобретения из-за широкого спектра возможных последствий, и, таким образом, Группа не признать эту ответственность. Таким образом, Группа не признала актив по возмещению ущерба в отношении компенсации Продавцу неблагоприятных последствий потенциальных юридических, налоговых и бухгалтерских претензий в отношении Центра обработки данных.
Опцион Группы на акции Data Center не является частью чистых активов Data Center, а скорее представляет собой финансовый актив Группы, который был признан отдельно от объединения бизнеса. Соответственно, соответствующая часть вознаграждения по опциону «пут» была исключена из вознаграждения, переданного на приобретение Дата-центра.</t>
  </si>
  <si>
    <t>В июле 2010 года Группа приобрела 100% ICQ LLC («ICQ»), ведущей компании по обмену мгновенными сообщениями, у AOL, Inc. («AOL») за денежное вознаграждение в размере 187 500 долларов США. Приобретение требовало одобрения Комитета по иностранным инвестициям в США («CFIUS»), которое было получено в марте 2011 года. Определенные ограничения, наложенные на ICQ во время процесса проверки CFIUS, не препятствовали Группе осуществлять контроль над ICQ, начиная с июля. 2010.
При учете объединения бизнеса в консолидированной финансовой отчетности за год, закончившийся 31 декабря 2010 года, Группа ранее предварительно определила суммы нематериальных активов ICQ и отложенных налоговых обязательств при условии завершения налогового планирования в отношении прав интеллектуальной собственности ICQ. . Налоговое планирование и учет приобретений были завершены в 2011 году. Соответственно, Группа пересчитала справедливую стоимость идентифицируемых нематериальных активов ICQ и соответствующих отложенных налоговых обязательств.</t>
  </si>
  <si>
    <t>ICQ LLC</t>
  </si>
  <si>
    <t>Израиль</t>
  </si>
  <si>
    <t>Обмен мгновенными сообщениями</t>
  </si>
  <si>
    <t>Forticom (Фортиком; ОК)</t>
  </si>
  <si>
    <t>По состоянию на 1 января 2010 года группа компаний Forticom («Фортиком») владела 64,73% долей участия в капитале Odnoklassniki Limited («ОК»), оператора ведущей российской социальной сети www.odnoklassniki.ru, и предоставила компании OK услуги по разработке и поддержке веб-сайта. Кроме того, Forticom управлял www.nasza-klasa.pl, ведущей социальной сетью в Польше, а также литовской социальной сетью www.one.lt (до декабря 2010 года) и латвийской социальной сетью www.one.lv. Доля акций Forticom не позволяла Forticom контролировать OK из-за права вето неконтролирующих акционеров, предусмотренного в акционерном соглашении OK. По состоянию на 1 января 2010 г. Группа владела 75,74% акций Forticom, но не контролировала Forticom, поскольку неконтролирующие акционеры сохранили свои права участия, предусмотренные акционерным соглашением Forticom, требующим не менее 85% голосов для принятия некоторых важных операционных решений. Соответственно, Группа учитывала Forticom по методу долевого участия по состоянию на 1 января 2010 года.
В апреле 2010 года Группа приобрела 13,87% акций «ОК» за денежное вознаграждение в размере 16 645 долларов США и классифицировала данную инвестицию как финансовый актив, имеющийся в наличии для продажи.
В августе 2010 года Группа приобрела все находящиеся в обращении акции Forticom, доведя таким образом свою долю владения до 100%, за вознаграждение, состоящее из
следующее:
- Оплата наличными в размере 25 011 долларов США; и
- 778 обыкновенных акций Компании (до разделения акций), справедливая стоимость которых составляет 29 989 долларов США на основе недавней операции с наличными деньгами.
Сделка также включала передачу Forticom своей польской дочерней компании продающим акционерам. Кроме того, в рамках того же соглашения в августе 2010 года Группа приобрела 21,4% ОК за денежное вознаграждение в размере 35 000 долларов США, тем самым увеличив долю Группы в ОК до 100%.
В рамках сделки Группа выплатила вознаграждения, основанные на акциях, на более чем 30 акций Компании (до дробления акций) и выплатила 1 883 доллара США сотрудникам Forticom для выплаты вознаграждений, основанных на акциях Forticom, причем все эти суммы были добавлены к возмещению, переданному в рамках сделки. объединения бизнеса.</t>
  </si>
  <si>
    <t>В сентябре 2010 года HeadHunter приобрела оставшиеся 49% в своей дочерней компании Metajob Limited («Metajob»), занимающейся онлайн-рекрутингом, с долей в 51%, за денежное вознаграждение в размере 300 долларов США. В результате эффективная доля Группы в Metajob увеличилась до 91,3. %. В рамках приобретения был аннулирован выпущенный HeadHunter опцион на продажу неконтролирующей доли в Metajob. Справедливая стоимость опциона пут на дату приобретения составляла 2 306 долларов США. Балансовая стоимость неконтролирующей доли участия в Metajob на дату приобретения была равна нулю.</t>
  </si>
  <si>
    <t>В декабре 2010 года Группа продала 3,74% акций своей стратегической ассоциированной компании Qiwi за денежное вознаграждение в размере 24 123 долларов США. В результате продажи доля Группы в Qiwi снизилась до 21,35%. Группа сохранила значительное влияние на Qiwi и продолжала учитывать свои инвестиции в Qiwi по методу долевого участия.
Группа признала чистую прибыль от продажи в размере 16 486 долларов США, включая убыток в размере 1 179 долларов США, возникший в результате реклассификации в доходы накопленного резерва по пересчету валют. Прибыль была включена в состав «Чистой прибыли от выбытия акций стратегических ассоциированных компаний» отчета о совокупном доходе.</t>
  </si>
  <si>
    <t>В ноябре 2010 года Группа приобрела дополнительные 7,55% акций своей стратегической ассоциированной компании «ВКонтакте» за денежное вознаграждение в размере 109 869 долларов США и, таким образом, увеличила свою долю в компании «ВКонтакте» до 32,55%. Группа отнесла 92 192 доллара США на гудвил в рамках инвестиции долевым методом, 14 901 доллар США в нематериальные активы в рамках инвестиции долевым методом и 2 776 долларов США на приобретенную долю в прочих чистых активах ВКонтакте. Нематериальные активы в основном представляют собой торговую марку и клиентскую базу ВКонтакте и амортизируются в течение срока полезного использования от 7 до 11 лет. В рамках той же сделки Группа также приобрела опцион колл на приобретение дополнительных 7,44% акций «ВКонтакте» за денежное вознаграждение в размере 18 865 долларов США. Пожалуйста, обратитесь к примечанию 26 для получения более подробной информации об этой опции.</t>
  </si>
  <si>
    <t>В августе-сентябре 2010 года Группа увеличила свою долю в своей дочерней компании Mail.Ru Internet NV с 53% до 100% в ходе серии сделок за вознаграждение, состоящее из (i) 20 209 акций Компании класса А (до дробления акций) , (ii) 2 871 обыкновенную акцию Компании (с низким голосованием) (до разделения акций) и (iii) 28 673 долларов США наличными. Опционы управления более чем 1,23% акций Mail.Ru Internet NV были реализованы, и полученные акции были приобретены Группой в рамках сделок. Остальные опционы на управление акциями Mail.Ru Internet NV были конвертированы в опционы на приобретение 1 323 обыкновенных акций Компании (до дробления акций) по цене исполнения 13 813,16 долларов США. Кроме того, в рамках соглашения Группа выпустила 1 352 акции Компании класса А одной из продавцов за денежное вознаграждение в размере 49 988 долларов США. В связи со сделкой Группа понесла затраты по сделке в размере 1 022 долларов США. Приобретение неконтролирующей доли участия, включая затраты по сделке, было учтено Группой через капитал. В результате Группа прекратила признание балансовой стоимости неконтролирующей доли в сумме 134 786 долларов США. Разница в размере 105 901 долл. США между вознаграждением (включая затраты по сделке) и балансовой стоимостью приобретенной неконтролирующей доли участия была признана в составе «Эмисиона по акциям» в консолидированном отчете об изменениях в капитале. Конвертация опционов была учтена Группой как модификация.</t>
  </si>
  <si>
    <t>Metajob Limited</t>
  </si>
  <si>
    <t>В ноябре 2010 года Группа выпустила в общей сложности 3 336 000 обыкновенных акций в рамках IPO. Валовая выручка от IPO составила 92 407 долларов США.</t>
  </si>
  <si>
    <t>В апреле 2010 года компания Tencent Holdings Limited в лице своей дочерней компании TCH Holdings Limited подписалась на 8 114 обыкновенных акций Группы за денежное вознаграждение в размере 300 004 долларов США. Перед этой сделкой участники Компании решили конвертировать все находившиеся на тот момент обыкновенные акции в акции класса А, а все находившиеся на тот момент обыкновенные акции класса Б в обыкновенные акции. Кроме того, все опционы, выпущенные или подлежащие выпуску в соответствии с Опционным планом 2007 года, были конвертированы в опционы на обыкновенные акции.</t>
  </si>
  <si>
    <t xml:space="preserve"> Tencent Holdings Limited (TCH Holdings Limited)</t>
  </si>
  <si>
    <t>Headhunter Group Limited («Headhunter», переименованное в Newton Rose Limited) — поставщик услуг онлайн-рекрутинга для корпоративных и индивидуальных клиентов. Компания Headhunter и ее дочерние компании управляют ведущим российским сайтом онлайн-рекрутинга www.hh.ru и общебалтийским порталом онлайн-рекрутинга www.cvkeskus.ee.
В феврале 2009 года Группа приобрела дополнительные 54,61% голосующих акций Headhunter, тем самым увеличив свою долю владения до 90,62%, что позволило Группе контролировать Headhunter. Совокупное вознаграждение в сумме 37 854 долларов США, переданное Компанией, включало:
• денежное вознаграждение в размере 10 366 долларов США; и
• обыкновенные акции (2,33%) Общества, справедливая стоимость которых составляет 24 506 долларов США.
Кроме того, в рамках того же соглашения Компания выпустила:
• Пут-опцион на продажу в совокупности 4834 акций (приблизительно 3,49%) компании Headhunter по переменной цене исполнения, определяемой как процентная доля каждого держателя в компании Headhunter, умноженная на пятнадцать, умноженная на скорректированную распределяемую прибыль, справедливая стоимость которой составляет
1126 долларов США; и
• Право конвертировать 8 167 акций Headhunter в акции Компании по курсу конвертации 0,02651 акции Компании за одну акцию Headhunter, реализуемую в четвертом квартале 2011 года, справедливая стоимость 1 856 долларов США.</t>
  </si>
  <si>
    <t>Astrum Online Entertainment Limited, переименованная в DST Entertainment Limited и Aquaflow Limited, и ее дочерние компании («Astrum») предоставляют интерактивные развлекательные онлайн-услуги в России, Украине и некоторых других странах путем разработки, поддержки и предоставления публике широкого спектра онлайн-услуг. игры через Интернет. По состоянию на 1 января 2009 г. Группа владела 68,02% акций Astrum. Однако Группа не контролировала Astrum из-за ограничений, установленных в акционерном соглашении Astrum, требующем не менее 75% голосов для принятия некоторых важных операционных решений. Соответственно, Astrum считалась ассоциированной компанией Группы, и инвестиции учитывались Группой по методу долевого участия.
25 марта 2009 г. Компания приобрела контроль над Astrum путем приобретения 4,35% акций у других акционеров за денежное вознаграждение в размере 5 934 долларов США и подписки на 0,76% вновь выпущенных акций Astrum за денежное вознаграждение в размере 5 001 долларов США. В результате сделок доля Группы в Astrum увеличилась до 73,13%. В рамках договоренностей другие акционеры согласились внести поправки в акционерное соглашение, чтобы снять ограничения, которые ранее не позволяли Группе контролировать Astrum, за вознаграждение в размере 1 500 долларов США. Кроме того, в рамках сделок были аннулированы некоторые ранее выпущенные Компании опционы «колл» со справедливой стоимостью на дату сделки 2 281 доллар США.</t>
  </si>
  <si>
    <t>Astrum Online Entertainment Limited</t>
  </si>
  <si>
    <t>ИТ (интерактивные развлекательные онлайн-услуги)</t>
  </si>
  <si>
    <t>В апреле 2009 года Группа приобрела контроль над Online Games Holding Limited и ее дочерней компанией ООО «Нивал Онлайн» («OGH»), разработчиком онлайн-игр, на основании контракта, который снял ограничения, связанные с голосованием по ключевым операционным решениям, которые ранее не позволяли Группе от контроля OGH. Для достижения этой цели Группа отказалась от части акций OGH и уменьшила свою долю до 66,02% (с 68%, которыми она владела до приобретения).</t>
  </si>
  <si>
    <t>Разработчик он-лайн игр</t>
  </si>
  <si>
    <t>В декабре 2009 года Компания приобрела всю непогашенную неконтролирующую долю участия (33,98%) в OGH за вознаграждение, состоящее из 2 937 долларов США наличными, а также акции Компании класса B, представляющие примерно 1,25% в Компании. Компания немедленно внесла приобретенный неконтролирующий пакет акций OGH в капитал биржи Mail.Ru Internet NV примерно за 1,02% акций Mail.Ru Internet NV. В рамках той же сделки Компания одновременно продала неконтролирующую долю в размере 0,95% в Mail.Ru Internet NV за денежное вознаграждение в размере 16 423 долларов США. Вся сделка, включая приобретение, обмен и продажу неконтролирующей доли участия, была учтена Группой через капитал и привела к (a) чистому совокупному увеличению капитала, приходящегося на акционеров Компании, на сумму 19 725 долларов США, состоящего из (i) увеличение прочего совокупного дохода на 156 долларов США в связи с перераспределением пропорциональной доли накопленной корректировки по пересчету иностранной валюты на неконтролирующую долю участия и (ii) увеличение «Эмисиона по акциям» на 19 569 долларов США; и (b) чистое совокупное уменьшение капитала на 6 239 долларов США, относящееся к неконтролирующей доле участия.</t>
  </si>
  <si>
    <t>В феврале 2009 года Компания приобрела дополнительные 0,07% в своей дочерней компании Port.ru, Inc. («Порт.ру»), которая через свои российские дочерние компании управляет ведущим русскоязычным интернет-порталом, за денежное вознаграждение в размере долларов США. 541. Приобретение неконтролирующей доли участия было учтено Группой через капитал. Балансовая стоимость неконтролирующей доли составила 106 долларов США. Разница в размере 435 долларов США между вознаграждением и балансовой стоимостью приобретенной доли была признана в составе «Премии по акциям» в консолидированном отчете об изменениях в капитале.</t>
  </si>
  <si>
    <t>Услуги онлайн-портала</t>
  </si>
  <si>
    <t>В ноябре 2009 года Компания и другие акционеры Astrum и Port.ru осуществили слияние бизнеса Astrum и Port.ru, в результате чего Группа фактически снизила свою долю в объединенном предприятии Port.ru и Astrum («Mail.Ru Internet NV») до 52,99% в обмен на денежное вознаграждение в размере 62 656 долларов США, но сохранила контроль над Port.ru и Astrum. В рамках той же сделки неконтролирующая доля участия в размере 0,02% в «Порт.ру» была конвертирована в права на получение денежных средств, в результате чего Группа признала обязательство в размере 391 доллар США. Данное соглашение было учтено Группой через капитал и привело к (a) чистому совокупному увеличению капитала, приходящегося на акционеров Компании, на 45 164 долларов США, включая (i) уменьшение прочего совокупного дохода на 3 422 доллара США в связи с перерасчетом отнесение пропорциональной доли накопленной корректировки пересчета иностранной валюты на неконтролирующую долю участия и (ii) увеличение на 48 585 долларов США в «Эмизе по акциям»; и (b) чистое совокупное увеличение капитала на 17 102 долларов США, относящееся к неконтролирующей доле участия.</t>
  </si>
  <si>
    <t>Mail.Ru Internet NV (Port.ru и Astrum)</t>
  </si>
  <si>
    <t>Online Games Holding Limited (OGH)</t>
  </si>
  <si>
    <t>В сентябре 2009 года Группа продала всю долю, которую она имела через Headhunter в израильском агрегаторе объявлений о работе www.alljobs.co.il («All U Need») третьей стороне за денежное вознаграждение в размере 5 644 долларов США. Чистые активы дочерней компании на дату продажи, принадлежащие Группе, составили 12 045 долларов США, включая гудвил в размере 11 611 долларов США. Кроме того, резерв по пересчету валют, относящийся к ALL U Need, в размере 679 долларов США был реклассифицирован в состав прибылей и убытков.
В результате продажи Группа признала убыток в сумме 7 080 долларов США, отраженный в составе «Чистый убыток от потери контроля над дочерними предприятиями» в отчете о совокупном доходе.</t>
  </si>
  <si>
    <t>Odnoklassniki Limited и ее дочерние компании («ОК») управляют ведущей российской социальной сетью www.odnoklassniki.ru. Группа компаний Forticom («Forticom») инвестирует в OK методом долевого участия и предоставляет OK услуги по разработке и поддержке веб-сайтов. Кроме того, Forticom управляет ведущей социальной сетью в Польше www.nasza-klasa.pl (до августа 2010 г.), литовской социальной сетью www.one.lt (до декабря 2010 г.) и латвийской социальной сетью www.one.lv. .
По состоянию на 1 января 2009 г. Группа владела 28,47% акций OK и 72,27% акций Forticom и учитывала обе инвестиции по методу долевого участия. Группа не контролировала Forticom, поскольку другие акционеры имели значительные права участия в соответствии с акционерным соглашением Forticom, требующим не менее 85% голосов для принятия некоторых важных операционных решений.
В декабре 2008 года Группа заключила соглашение, согласно которому Группа согласилась передать Forticom 28,47% акций OK в обмен на дополнительные 4,03% экономической доли в Forticom (3,97% голосов). Передача акций ОК осуществлялась при условии одобрения Федеральной антимонопольной службы России («ФАС»), которое не было получено по состоянию на 31 декабря 2008 г. Поскольку исход процесса одобрения ФАС считался крайне неопределенным, сделка не была учитывались до официального разрешения ФАС.
В апреле 2009 года ФАС дала добро на приобретение Группой обыкновенных акций Forticom, представляющих дополнительные 4,03% экономической доли в Forticom, соответствующие акции были переданы и приобретение было осуществлено на условиях, изложенных в п. соглашение о покупке акций было заключено в декабре 2008 года. В результате приобретения Группа владела 76,24% прав голоса и 75,67% экономических интересов в Forticom, но не позволила Группе контролировать Forticom, поскольку неконтролирующие акционеры сохранили свои установленные права участия. в соглашении акционеров Forticom, требующем не менее 85% голосов для принятия некоторых важных операционных решений. В результате сделки доля Forticom в ОК увеличилась до 64,73%, однако это не позволило Forticom контролировать ОК из-за права вето неконтролирующих акционеров, закрепленного в акционерном соглашении ОК.
На дату одобрения ФАС справедливая стоимость инвестиций в ОК составила 129 908 долларов США. Соответственно, Группа прекратила признание своей инвестиции в ОК на эту дату и признала дополнительную инвестицию в Forticom в этой сумме. Руководство отнесло 98 296 долларов США на долю Группы в инвестициях Forticom, основанных на долевом методе, в OK, 29 259 долларов США на гудвил как часть инвестиций, основанных на методе долевого участия, и 2 353 долларов США на долю Группы в других чистых активах Forticom.
Группа признала прибыль в сумме 113 630 долларов США в связи с выбытием акций ОК, полученную в результате переоценки балансовой стоимости доли в ОК до справедливой стоимости в апреле 2009 года. Прибыль была включена в состав «Чистая прибыль/(убыток) от выбытия акций в ОК». стратегических ассоциированных компаний в отчете о совокупном доходе.
В январе и октябре 2009 года другие акционеры Forticom исполнили опционы на акции Forticom, что привело к снижению доли Группы в Forticom на 1,21%. Группа отразила исполнение опционов как условное выбытие.</t>
  </si>
  <si>
    <t>ИТ (электронная регистрация и сопутствующие услуги для различных видов сделок с недвижимостью)</t>
  </si>
  <si>
    <t>Циан ПиЭлСи</t>
  </si>
  <si>
    <t>19 сентября 2023 года Группа завершила приобретение 100% ООО «Практика успеха» («SmartDeal»), компании, которая предоставляет электронную регистрацию и сопутствующие услуги для различных видов сделок с недвижимостью в России. Основной причиной объединения бизнеса стала разработка комплексной платформы для онлайн-транзакций и расширение спектра продуктов Группы в этой области.</t>
  </si>
  <si>
    <t>ИТ (продажа объявлений по продаже недвижимости)</t>
  </si>
  <si>
    <t>5 февраля 2021 года Группа завершила приобретение 100% ООО «Н1.ру» (вместе с его дочерними компаниями, «Группой Н1»), компании в области объявлений по продаже недвижимости, которая в основном работает в региональных городах России, таких как Новосибирск, Екатеринбург и Омск на общую сумму 1785. Основной причиной объединения бизнеса было усиление позиций Группы в регионах России за пределами Москвы и Санкт-Петербурга. Приобретение было учтено по методу приобретения. Консолидированная финансовая отчетность Группы включает результаты Группы Н1 по состоянию на 5 февраля 2021 года.</t>
  </si>
  <si>
    <t>В декабре 2020 года произошло выбытие из состава Группы АО «АК Аврора», входившей в сегмент «Воздушные перевозки». Продажа акций АО «АК Аврора» АО «Корпорация развития Сахалинской области» связана с проектом создания единой дальневосточной авиакомпании. Сделка по продаже АО «АК Аврора» была утверждена Советом директоров ПАО «Аэрофлот» на основании независимой оценки рыночной стоимости. Стоимость реализации АО «АК Аврора» 1 рубль.</t>
  </si>
  <si>
    <t>ПАО "Аэрофлот"</t>
  </si>
  <si>
    <t>Авиакомпания (Воздушные перевозки)</t>
  </si>
  <si>
    <t>В декабре 2019 года произошло выбытие АО «Донавиа» из состава Группы. Финансовый результат от выбытия в размере 1 555 млн руб. был отражен в составе прибылей и убытков за 12 месяцев 2019 г. АО «Донавиа» не вело существенную операционную деятельность в 2019 году.</t>
  </si>
  <si>
    <t>В декабре 2018 года произошло выбытие АО «Оренбургские авиалинии» из состава Группы. Прибыль от выбытия в размере 1 240 млн руб. была отражена в составе прибылей и убытков за 12 месяцев 2018 г. АО «Оренбургские авиалинии» не вело существенную операционную деятельность в 2018 году.</t>
  </si>
  <si>
    <t>Авиакомпания</t>
  </si>
  <si>
    <t>14 июля 2016 г. Группа осуществила продажу компании «АЛЬТ Рейсебюро А/С». Убыток от выбытия в размере 12 млн руб. был отражен в составе прибылей и убытков за 12 месяцев 2016 г.</t>
  </si>
  <si>
    <t>В январе 2013 года Группа продала свою долю в уставном капитале Аэроферста. В 2012 году руководство Группы приняло решение о продаже 66,67% принадлежащих ей акций Аэроферст и классифицировало активы данного дочернего предприятия как предназначенные для продажи.</t>
  </si>
  <si>
    <t>15 ноября 2011 года Группа приобрела контрольные пакеты акций четырех авиакомпаний, находившихся в собственности государственной корпорации «Ростехнологии», в обмен на 3,55% акций ОАО «Аэрофлот». Несмотря на то, что ОАО «Аэрофлот», и ГК «Ростехнологии» находятся под общим контролем Правительства РФ в лице Росимущества, было принято решение отразить данную сделку в соответствии с МСФО (IFRS) 3 «Объединение бизнеса». Доля ОАО «Аэрофлот» в акционерном капитале приобретенных компаний следующая : - ОАО АК «Россия» - 75% минус одна акция; - ОАО «Оренбургские авиалинии» - 100%; - ОАО АК «Сахалинские авиатрассы» - 100%; - ОАО «Саратовские авиалинии» - 51%; - ОАО «Владивосток Авиа» - 52,156%; ОАО «Саратовские авиалинии» впоследствии было продано до окончания отчетного периода. Чистый убыток от выбытия компании, составляющий 2,7 млн долл. США, включен в состав прочих доходов и расходов.</t>
  </si>
  <si>
    <t>16 ноября 2011 года Группа приобрела контрольные пакеты акций четырех авиакомпаний, находившихся в собственности государственной корпорации «Ростехнологии», в обмен на 3,55% акций ОАО «Аэрофлот». Несмотря на то, что ОАО «Аэрофлот», и ГК «Ростехнологии» находятся под общим контролем Правительства РФ в лице Росимущества, было принято решение отразить данную сделку в соответствии с МСФО (IFRS) 3 «Объединение бизнеса». Доля ОАО «Аэрофлот» в акционерном капитале приобретенных компаний следующая : - ОАО АК «Россия» - 75% минус одна акция; - ОАО «Оренбургские авиалинии» - 100%; - ОАО АК «Сахалинские авиатрассы» - 100%; - ОАО «Саратовские авиалинии» - 51%; - ОАО «Владивосток Авиа» - 52,156%; ОАО «Саратовские авиалинии» впоследствии было продано до окончания отчетного периода. Чистый убыток от выбытия компании, составляющий 2,7 млн долл. США, включен в состав прочих доходов и расходов.</t>
  </si>
  <si>
    <t xml:space="preserve">В течение года Группа продала доли в следующих дочерних и ассоциированных предприятиях: - ЗАО «ТЗК Шереметьево»; - ОАО «Страховая компания «Москва»; - ЗАО «Нордавиа»; - ОАО «Терминал»; - ЗАО «Дэйт». Общая прибыль от выбытия вышеперечисленных активов отражена в виде финансового дохода в размере 424 млн. долл. США </t>
  </si>
  <si>
    <t>13 декабря 2011 г. Группа заключила с ОАО «МАШ» договор о передаче ему контрольного пакета акций ОАО «Терминал» (52,82%) в обмен на 8,96% неконтролирующих акций ОАО «МАШ». Несмотря на то что обмен акциями был официально зарегистрирован 2 апреля 2012 г., руководство Группы считает процесс регистрации простой формальностью, и все риски и выгоды, связанные с правом собственности на акции ОАО «Терминал», перешли к ОАО «МАШ» на дату подписания вышеуказанного договора. По результатам оценки акций обеих компаний по состоянию на 13 декабря 2011 г. в консолидированном отчете о прибылях и убытках Группа признала в качестве дохода от сделки сумму в размере 226,7 млн долл. США.</t>
  </si>
  <si>
    <t>Авиакомпания (Аэропортовые услуги)</t>
  </si>
  <si>
    <t>AFLT</t>
  </si>
  <si>
    <t>В августе 2022 г. была завершена дополнительная эмиссия, в результате которой было размещено 1 531 235 767 акций. Фактическая цена размещения ценных бумаг составила 34 рубля 29 копеек за каждую дополнительно размещаемую акцию. По итогам размещения новых обыкновенных акций Группа привлекла 52,5 млрд руб., а доля Российской Федерации в уставном капитале Компании по состоянию на 31 декабря 2022 года увеличилась до 73,77%. В 2023 году дополнительных выпусков акций не проводилось.</t>
  </si>
  <si>
    <t>В сентябре 2020 года Советом Директоров ПАО «Аэрофлот» был утвержден проспект ценных бумаг в отношении обыкновенных акций ПАО «Аэрофлот» номинальной стоимостью 1 рубль каждая, количество ценных бумаг - 1 700 000 000 штук, размещаемых путем открытой подписки. В сентябре 2020 года дополнительный выпуск ценных бумаг был зарегистрирован Центральным банком Российской Федерации. В октябре 2020 года состоялось фактическое размещение ценных бумаг: количество размещенных ценных бумаг составило 1 333 919 149 штук. Фактическая цена размещения ценных бумаг составила 60 рублей за каждую дополнительно размещаемую акцию. По итогам размещения новых обыкновенных акций, включая предложение институциональным инвесторам, в 2020 году Группа привлекла 80 035 млн руб. В результате размещения доля Российской Федерации в уставном капитале Компании составила 57,34%.
Все размещенные акции полностью оплачены.</t>
  </si>
  <si>
    <t xml:space="preserve">В сентябре 2017 года были проданы собственные акции, ранее выкупленные дочерней компанией ООО «Аэрофлот-Финанс», в количестве 53 716 189 шт. </t>
  </si>
  <si>
    <t>В июне 2020 года Группа продала долю в размере 100% в АО «Вагонная ремонтная компания-2» за денежное вознаграждение в размере 10 700 миллионов рублей. Величина денежных средств и их эквивалентов, признание которых Группа прекратила в результате продажи 100% доли в АО «Вагонная ремонтная компания-2», на дату потери контроля составила 354 миллиона рублей. В результате выбытия доли в капитале в АО «Вагонная ремонтная компания-2» Группа признала прибыль в размере 7 256 миллионов рублей в составе статьи «Прибыль от выбытия контрольных долей участия в дочерних компаниях, нетто» консолидированного отчета о прибылях и убытках.</t>
  </si>
  <si>
    <t>Оказание услуг по ремонту и текущему обслуживанию жд состава</t>
  </si>
  <si>
    <t>ОАО "Российские железные дороги" (ОАО "РЖД")</t>
  </si>
  <si>
    <t>В ноябре 2020 года Группа продала долю в размере 100% в АО «РЖД-ЗДОРОВЬЕ» за денежное вознаграждение в размере 6 674 миллиона рублей. Величина денежных средств и их эквивалентов, признание которых Группа прекратила в результате продажи 100% доли в АО «РЖД-ЗДОРОВЬЕ». на дату потери контроля составила 1 075 миллионов рублей. В результате выбытия доли участия в капитале в АО «РЖД-ЗДОРОВЬЕ» Группа признала прибыль в размере 2 611 миллионов рублей в составе статьи «Прибыль от выбытия контрольных долей участия в дочерних компаниях, нетто» консолидированного отчета о прибылях и убытках.</t>
  </si>
  <si>
    <t>В четвертом квартале 2019 года Группа продала на открытом аукционе третьей стороне долю в размере 50% плюс 2 обыкновенные акции в ПАО «ТрансКонтейнер».</t>
  </si>
  <si>
    <t>В октябре 2019 года Группа продала долю в размере 100% в АО «Вагонная ремонтная компания-3» за денежное вознаграждение в размере 8 650 миллионов рублей. В результате выбытия доли участия в капитале в АО «Вагонная ремонтная компания-3» Группа признала прибыль в размере 4 652 миллиона рублей в составе статьи «Прибыль от выбытия контрольных долей участия в дочерних компаниях, нетто» консолидированного отчета о прибылях и убытках.</t>
  </si>
  <si>
    <t>TRCN</t>
  </si>
  <si>
    <t>Транспортно-экспедиторские услуги</t>
  </si>
  <si>
    <t>В январе 2019 года Группа Gefco приобрела контроль над испанским автомобильным оператором BERGE GEFCO S.L., доля участия Группы Gefco в котором составила 50%. Руководство сделало вывод о наличии контроля над BERGE Gefco S.L. на основании анализа значимой деятельности и полномочий Группы Gefco в отношении управления такой значимой деятельностью. С даты приобретения по 31 декабря 2019 г. выручка и чистая прибыль BERGE GEFCO S.L. составили 12 739 миллионов рублей и 986 миллионов рублей, соответственно. Справедливая стоимость предоставленного возмещения составила 2 068 миллионов рублей.</t>
  </si>
  <si>
    <t>BERGE GEFCO S.L.</t>
  </si>
  <si>
    <t>Автомобильный оператор</t>
  </si>
  <si>
    <t>ОАО "Российские железные дороги" (ОАО "РЖД"), Группа Gefco</t>
  </si>
  <si>
    <t>В марте 2019 года Группа продала долю в размере 100% в АО «Рефсервис» за денежное вознаграждение в размере 2 460 миллионов рублей. Активы и обязательства АО «Рефсервис» по состоянию на 31 декабря 2018 г. были классифицированы как выбывающая группа, предназначенная для продажи. В результате выбытия доли участия в капитале в АО «Рефсервис» Группа признала прибыль в размере 228 миллионов рублей в составе статьи «Прибыль от выбытия контрольных долей участия в дочерних компаниях, нетто» консолидированного отчета о прибылях и убытках.</t>
  </si>
  <si>
    <t>В августе 2018 года Gefco Spain, дочерняя компания Gefco S.A., приобрела 100% акций и голосующих прав в GLT INVESTMENTS S.L., испанской компании, учрежденной в 1998 году. Группа GLT специализируется на транспортной логистике между Испанией и Марокко через Гибралтарский пролив и является ведущим оператором между Альхесирасом и Танжером. GLT INVESTMENTS S.L. была приобретена за денежное вознаграждение в сумме 16.8 миллионов евро (1 233 миллиона рублей по курсу на дату платежа), гудвил, признанный в результате приобретения составил 11.5 миллионов евро (844 миллиона рублей по курсу на дату приобретения) и был отнесен на ГЕ Gefco.</t>
  </si>
  <si>
    <t>GLT INVESTMENTS S.L.</t>
  </si>
  <si>
    <t>В сентябре 2018 года Группа через свою дочернюю компанию ПАО «ТрансКонтейнер» приобрела 100% акций ЗАО «Логистика-Терминал» - оператора современных контейнерных терминалов в Северо-Западном регионе России, за денежное вознаграждение в сумме 1 900 миллионов рублей.</t>
  </si>
  <si>
    <t>Оператор современных контейнерных терминалов</t>
  </si>
  <si>
    <t>Транспортная логистика</t>
  </si>
  <si>
    <t>В декабре 2018 года компания продала долю в размере 75% минус 2 акции в АО «Калужский завод «Ремпутьмаш» за денежное вознаграждение в размере 3 625 миллионов рублей. Активы и обязательства АО «Калужский завод «Ремпутьмаш» по состоянию на 31 декабря 2017 г. были классифицированы как выбывающая группа, предназначенная для продажи. В результате выбытия доли участия в капитале в АО «Калужский завод «Ремпутьмаш» Группа признала прибыль в размере 3 684 миллиона рублей в составе статьи «Прибыль от выбытия контрольных долей участия в дочерних компаниях, нетто» консолидированного отчета о прибылях и убытках. Оставшаяся доля участия Группы в АО «Калужский завод «Ремпутьмаш» в размере 25% плюс две акции была классифицирована как инвестиция в совместное предприятие и учтена по справедливой стоимости на дату потери контроля согласно МСФО (IAS) 28.</t>
  </si>
  <si>
    <t>В декабре 2017 года Группа продала долю в размере 51% в ООО «Терминал» и в размере 57% в ЗАО «ТРАНСКАТ». В результате данных продаж была признана прибыль в размере 2 302 миллиона рублей в составе статьи «Прибыль от выбытия контрольных долей участия в дочерних компаниях, нетто» консолидированного отчета о прибылях и убытках.</t>
  </si>
  <si>
    <t>75%-2 акции</t>
  </si>
  <si>
    <t>50%+2 акции</t>
  </si>
  <si>
    <t xml:space="preserve">US Global </t>
  </si>
  <si>
    <t>В октябре 2015 года Группа, через свою дочернюю компанию Gefco S.A. приобрела 100% долю в капитале компании US Global (Нидерланды) за денежное вознаграждение в сумме 52 миллиона евро (3 608 миллионов рублей по курсу на дату платежа). Основной деятельностью US Global и ее дочерних компаний (далее - «Группа IJS Global») является оказание логистических услуг. Суммы, отраженные в консолидированной финансовой отчетности Группы по состоянию на 31 декабря 2015 г. и за год по указанную дату в отношении активов и обязательств Группы IJS Global, были определены в предварительной оценке. В 2016 году руководство завершило учет данного приобретения, в результате чего корректировка отраженных в предварительной оценке на дату приобретения величин активов и обязательств не потребовалась.</t>
  </si>
  <si>
    <t>Ремонтные работы</t>
  </si>
  <si>
    <t>Оказание логистических услуг</t>
  </si>
  <si>
    <t>В апреле 2015 года компания продала долю в размере 25% в АО «Росжслдорпроекг» за денежное вознаграждение в размере 2 450 миллионов рублей. Доля Компании в АО «Росжслдорпроекг» сократилась до 25% плюс одна акция, и Группа потеряла кошроль над АО «Росжслдорпроекг». В результате выбытия доли в капитале АО «Росжслдорпроекг» Группа признала прибыль в размере 2 175 миллионов рублен в составе статьи «Прибыль от выбытия контрольных дачей участия в дочерних кампаниях. нетто» консолидированного отчета о прибылях и убытках.</t>
  </si>
  <si>
    <t>Научно-исследовательнские разработки</t>
  </si>
  <si>
    <t>В июне 2014 года Компания продала долю в размере 75% минус две акции в ОАО «Первая нерудная компания» за денежное вознаграждение в размере 4 862 миллиона рублен. Доля Группы в капитале ОАО «Первая нерудная компания» снизилась до 25% плюс две акции, и Группа потеряла контроль над ОАО «Первая нерудная компания». В результате продажи контрольной доли участия в капитале ОАО «Первая нерудная компания» Группа признала прибыль в размере 3 403 миллиона рублей в составе статьи «Прибыль от выбытия контрольных долей участия в дочерних кампаниях, нетто» консолидированного отчета о прибылях и убытках.</t>
  </si>
  <si>
    <t>В июне 2014 года Компания продала долю в размере 75% минус две акции в ОАО «Вагонреммаш» за денежное вознаграждение в размере 2 501 миллион рублей. Доля Группы в капитале ОАО «Вагонреммаш» снизилась до 25% плюс две акции, и Группа потеряла контроль над ОАО «Вагонреммаш». В результате выбытия контрольной доли в капитале ОАО «Вагонреммаш» Группа признала прибыль в размере 1 193 миллиона рублей в составе статьи «Прибыль от выбытия контрольных долей участия в дочерних компаниях, нетто» консолидированного отчета о прибылях и убытках.</t>
  </si>
  <si>
    <t>Добыча, переаботка и продажа нерудных полезных ископаемых</t>
  </si>
  <si>
    <t>Min-Oth</t>
  </si>
  <si>
    <t>В сентябре 2013 года Группа, через свою дочернюю компанию ЗАО «Компания ТрансТелеКом», приобрела 100% акций оператора телекоммуникационной связи ЗАО «МАГИНФО» за денежное вознаграждение в размере 950 миллионов рублей. Справедливая стоимость чистых идентифицируемых активов ЗАО «МАГИНФО» на дату приобретения составила 352 миллиона рублей. Руководство Группы оценило величину гудвила, относящегося к данной транзакции, в размере 598 миллионов рублей.</t>
  </si>
  <si>
    <t>Транспортно-логистические услуги в области железнодорожных контейнерных перевозок</t>
  </si>
  <si>
    <t>В сентябре 2014 года Группа приобрела 50.2% акций Far East Land Bridge Ltd («FELB»), ранее являвшейся ассоциированной компанией Группы, за вознаграждение 47,5 миллионов долларов США (1 871 миллион рублей по курсу на дату приобретения), увеличив долю владения в данной компании до 75.5%. Основной деятельностью FELB является предоставление транспортно-логистических услуг в области железнодорожных контейнерных перевозок и логистических услуг по маршруту Китай -Европейский Союз - Китай. Стоимость приобретения представляет собой неденежное вознаграждение в размере 22.5 миллионов долларов США (886 миллионов рублей по курсу на дату приобретения) и денежное вознаграждение в размере 25 миллионов долларов США (985 миллионов рублей по курсу на дату приобретения).</t>
  </si>
  <si>
    <t>Оператор телекоммуникационной связи</t>
  </si>
  <si>
    <t>В январе 2013 года Группа продала 100% минус одну акцию ОАО «Красноярский электровагоноремонтный завод» за денежное вознаграждение в размере 1 560 миллионов рублей. В результате данной транзакции в консолидированном отчете о прибылях и убытках была отражена прибыль в сумме 992 миллиона рублей в составе статьи «Прибыль от выбытия контрольных долей участия в дочерних компаниях, нетто».</t>
  </si>
  <si>
    <t>Контейнерные перевозки</t>
  </si>
  <si>
    <t>Производство запасных частей</t>
  </si>
  <si>
    <t>100%-1акция</t>
  </si>
  <si>
    <t>В июле 2013 года Группа продала 75% минус две акции ОАО «Новосибирский стрелочный завод» за денежное вознаграждение в размере 2 030 миллионов рублей. Доля Группы в капитале ОАО «Новосибирский стрелочный завод» снизилась до 25% плюс две акции, и Группа потеряла контроль над ОАО «Новосибирский стрелочный завод». В результате продажи контрольной доли в ОАО «Новосибирский стрелочный завод» в консолидированном отчете о прибылях и убытках была отражена прибыль в сумме 637 миллионов рублей в составе статьи «Прибыль от выбытия контрольных долей участия в дочерних компаниях, нетто». Оставшаяся доля участия Группы в капитале ОАО «Новосибирский стрелочный завод» была учтена по методу долевого участия согласно МСФО (IAS) 28 начиная с даты потери контроля.</t>
  </si>
  <si>
    <t>В декабре 2013 года в результате реализации права на приобретение 17% акций АО «Кедентранссервис» вторым акционером Группа продала 17% акций АО «Кедентранссервис» (дочерняя компания ПАО «ТрансКонтейнер») за денежное вознаграждение в размере 665 миллионов рублей. Доля Группы в капитале АО «Кедентранссервис» сократилась до 50%, и Группа потеряла контроль над АО «Кедентранссервис». В результате выбытия в консолидированном отчете о прибылях и убытках была отражена прибыль в сумме 757 миллионов рублей в составе статьи «Прибыль от выбытия контрольных долей участия в дочерних компаниях, нетто». По состоянию на 31 декабря 2013 г. оставшаяся доля участия Группы в капитале АО «Кедентранссервис» была учтена по методу долевого участия согласно МСФО (IAS) 28.</t>
  </si>
  <si>
    <t>Gefco S.A.</t>
  </si>
  <si>
    <t>Оператор связи</t>
  </si>
  <si>
    <t>Жилищное строительство</t>
  </si>
  <si>
    <t>Поставка подвижного состава, железнодорожной техники и комплектующих изделий</t>
  </si>
  <si>
    <t>Транспортно-логистические услуги</t>
  </si>
  <si>
    <t>35%-2 акции</t>
  </si>
  <si>
    <t>В ноябре 2010 года Компания продала 35% минус две обыкновенных акции ОАО «ТраясКоятейнер» через первичное публичное размещение глобальных депозитарных расписок на обыкновенные акции на Лондонской фондовой бирже и обыкновенных акций на Российской фондовой бирже. Публичное размещение акций дочернего предприятия Компании проводилось впервые и является ключевым звеном продолжающейся реформы российской железнодорожной отрасли. Публичное размещение принесло Компании примерно 388 миллионов долларов США (11 952 миллиона рублей по курсу рубля к доллару США на дату оплаты). В результате данной операции доля Группы в уставном капитале ОАО «ТрансКонтейнер» была уменьшена до 50% плюс три обыкновенных акции.</t>
  </si>
  <si>
    <t>ЗАО "Западный Мост"</t>
  </si>
  <si>
    <t>В 2008 г. Группа через ООО "Энергопромсбыт", дочернюю компанию с долей участия Группы 51%, созданную с участием одного из поставщиков электроэнергии для Группы, приобрела 49,25% акций одной из территориальных генерирующих компаний - ОАО "ТГК-14". Общая стоимость приобретения указанных акций, которое было завершено 8 июля 2008 г., составила 4 962 миллиона рублей. На основании проведенного распределения стоимости приобретения, Группа оценила величину гудвила, относящегося к данной операции в размере 956 миллионов рублей. Резерв на обесценение гудвила был признан в 2009 году в полной сумме.</t>
  </si>
  <si>
    <t>30 апреля 2009 г. Группа приобрела дополнительный 27,67% пакет акций в ОАО "ТГК-14" за 1218 миллионов рублей, включая затраты по сделке в сумме 349 миллионов рублей через ООО Энергопромсбыт". В результате доля участия ООО "Энергопромсбыт" в уставном капитале ОАО ТГК-14" увеличилась до 76,92%. В соответствии с требованиями российского законодательства ООО "Энергопромсбыт" предложило акционерам с неконтрольными долями участия выкупить имеющиеся у них акции ОАО "ТГК-14" за 828 миллионов рублей. В результате данного предложения Группа выкупила дополнительно 3,23% акций на сумму около 204 миллионов рублей. В результате данной сделки доля ООО "Энергопромсбыт" в уставном капитале ОАО "ТГК-14" увеличилась до 80,15%. По состоянию на 31 декабря 2009 г. данное предложение было закрыто.
В результате данного приобретения, данные о финансовом положении и результатах деятельности ОАО "ТГК-14" были включены в финансовую отчетность Группы с момента приобретения 30 апреля 2009 г., когда Группа получила контроль над ОАО "ТГК-14". За период с 8 июля 2008 г. по 30 апреля 2009 г. инвестиции в ОАО " П К-14" учитывались по методу долевого участия.
Группа признала превышение справедливой стоимости приобретенной доли в чистых идентифицируемых активах, обязательствах и условных обязательствах ОАО "ТГК-14" над стоимостью приобретения в сумме 594 миллиона рублей в отчете о прибылях и убытках за год, закончившийся 31 декабря 2009 г.</t>
  </si>
  <si>
    <t>ООО "ФинансБизнесГруп"</t>
  </si>
  <si>
    <t>В декабре 2012 г. Группа приобрела долю в капитале компании Gefco S.A. (Франция) в размере 75% за денежное вознаграждение в сумме 800 миллионов евро (32 626 миллионов рублей по курсу на дату платежа). Основной деятельностью Gefco S.A. и ее дочерних компаний (далее – «Группа Gefco») является предоставление логистических услуг.</t>
  </si>
  <si>
    <t>В феврале 2012 г. Группа, через свою дочернюю компанию ЗАО «Компания ТрансТелеком», приобрела 100% акций оператора телекоммуникационной связи ЗАО «Электро-ком». Сумма вознаграждения составила 2 348 миллионов рублей, включая денежное вознаграждение в размере 2 308 миллионов рублей. Руководство Группы оценило величину гудвила, относящегося к приобретенной компании, в размере 1 205 миллионов рублей.</t>
  </si>
  <si>
    <t>В июне 2012 г. Группа приобрела 1 акцию ЗАО «АК Железные дороги Якутии» за денежное вознаграждение в размере 370 рублей. В результате, доля Группы в акционерном капитале ЗАО «АК Железные дороги Якутии» возросла до 50% плюс одна акция, и Группа приобрела контроль над ЗАО «АК Железные дороги Якутии». Справедливая стоимость идентифицируемых чистых активов ЗАО «АК Железные дороги Якутии» на дату приобретения составила 1 063 миллиона рублей.</t>
  </si>
  <si>
    <t>В 2012 г. Группа приобрела 4 996 акций своей дочерней компании ЗАО «Желдорипотека» за денежное вознаграждение в размере 2 100 миллионов рублей. В результате, доля Группы в акционерном капитале ЗАО «Желдорипотека» возросла до 100%.</t>
  </si>
  <si>
    <t>В марте 2011 г. Группа, через свою дочернюю компанию ОАО «ТрансКонтейнер», приобрела 67% акций АО «Кедентранссервис», одного из ведущих частных операторов железнодорожных терминалов в Казахстане. Общая сумма вознаграждения, выплаченного по данному приобретению, составила 68 миллионов долларов США (1 955 миллионов рублей по курсу на дату приобретения). В марте 2011 г. Группа также заключила договор о совместной деятельности со вторым акционером АО «Кедентранссервис», в соответствии с которым в случае выполнения определенных условий, второй акционер получает право на приобретение 17% акций ОАО «Кедентранссервис», принадлежащих Группе. По состоянию на 31 декабря 2011 и 2012 гг. данные условия не были выполнены.</t>
  </si>
  <si>
    <t>В октябре 2011 г. ОАО «Торговый дом РЖД» выкупило 398 из 795 собственных акций на сумму 1 174 миллиона рублей и уменьшило свой уставный капитал. В результате, доля владения Группы в ОАО «Торговый дом РЖД» увеличилась с 25% плюс одна акция до 50% плюс одна акция, и Группа получила контроль над ОАО «Торговый дом РЖД».</t>
  </si>
  <si>
    <t>В декабре 2012 г. Компания продала на аукционе долю в размере 75% минус две акции в ОАО «Желдорреммаш» за денежное вознаграждение в размере 7 915 миллионов рублей. Доля Группы в капитале ОАО «Желдорреммаш» снизилась до 25% плюс две акции, и Группа потеряла контроль над ОАО «Желдорреммаш». В результате продажи контрольной доли в капитале ОАО «Желдорреммаш» Группа признала прибыль в размере 1 771 миллион рублей в составе статьи «Прибыль от выбытия контрольных долей участия в дочерних компаниях, нетто» консолидированного отчета о прибылях и убытках.</t>
  </si>
  <si>
    <t>В 2011 г. Компания продала на открытом аукционе 75% минус две акции ОАО «Первая грузовая компания» за денежное вознаграждение в размере 125 500 миллионов рублей. В декабре 2011 г. доля участия Группы в ОАО «Первая грузовая компания» сократилась и составила 25% плюс две акции, и Группа потеряла контроль над ОАО «Первая грузовая компания». Соответственно, Группа также потеряла существенное влияние на ЗАО «Русагротранс», ассоциированную компанию ОАО «Первая грузовая компания». В  результате выбытия контрольной доли участия в ОАО «Первая грузовая компания» в консолидированном отчете о прибылях и убытках был отражен доход в сумме 86 529 миллионов рублей в составе статьи «Прибыль от выбытия контрольных долей участия в дочерних
компаниях, нетто».</t>
  </si>
  <si>
    <t>В декабре 2011 г. Группа продала долю владения в размере 100% минус одна акция в ОАО «Барнаульский вагоноремонтный завод» и в размере 100% – в ОАО «Рославльский вагоноремонтный завод» за денежные вознаграждения в размере 1 250 миллионов рублей и 2 450 миллионов рублей, соответственно.</t>
  </si>
  <si>
    <t>В течение 2011 г. Группа продала 1 184 467 обыкновенных акций дочерней компании ОАО «ЭЛТЕЗА» компании BT Signaling B.V. за денежное вознаграждение в размере 1 992 миллиона рублей. В результате сделки доля участия Группы в уставном капитале ОАО «ЭЛТЕЗА» снизилась до 50% плюс одна акция.</t>
  </si>
  <si>
    <t xml:space="preserve">В декабре 2008 года Группа приобрела существенное влияние на ООО «КИТ Финанс Холдинговая компания), (45% доля участия), ОАО «КИТ Финанс Инвестиционный банк» (45% доля участия) и ООО «Вэб-инвест.ру» (45% доля участия) по номинальной стоимости в размере 45 рублей за долю в каждой компании. В январе 2011 года Группа утратила существеннее влияние на ОАО «КИТ Финанс Инвестиционный Банк» в результате дополнительной эмиссии акций в пользу других акционеров (отличных от Группы). Доля участия Группы в ОАО «КИТ Финанс Инвестиционный Банк» сократилась до 19% (3) декабря 2010 г.: 27%). Оставшаяся доля Группы была отражена по справедливой стоимости на дату потери сущестиешюго влияния в сумме 908 миллионов рублей и учтена в  качестве финансовою актива, имеющеюся в наличии для продажи, в соответствии с МСФО (IAS) 39 «Финансовые инструменты: признание и оценка». При потере существенного влияния признанный ранее прочий совокупный доход в размере  1 352 миллиона рублей, относящийся к ОАО «КИТ Финанс Инвестиционный Банк», был реклассифицирован из состава капитала в консолидированный отчет о прибылях н убытках. В результате потерн существенного влияния. Группа признала прибыль в размере 2 260 миллионов рублей в составе Прочих доходов </t>
  </si>
  <si>
    <t>ПАО "ТГК-14"</t>
  </si>
  <si>
    <t>TGKN</t>
  </si>
  <si>
    <t>Электроэнергетика (генерация)</t>
  </si>
  <si>
    <t>ОАО "Российские железные дороги" (ОАО "РЖД") - ООО "Энергопромсбыт"</t>
  </si>
  <si>
    <t>30 апреля 2009 г. Группа приобрела дополнительный 27,67% пакет акций в ОАО "ТГК-14" за 1218 миллионов рублей, включая затраты по сделке в сумме 349 миллионов рублей через ООО Энергопромсбыт". В результате доля участия ООО "Энергопромсбыт" в уставном капитале ОАО ТГК-14" увеличилась до 76,92%. В соответствии с требованиями российского законодательства ООО "Энергопромсбыт" предложило акционерам с неконтрольными долями участия выкупить имеющиеся у них акции ОАО "ТГК-14" за 828 миллионов рублей. В результате данного предложения Группа выкупила дополнительно 3,23% акций на сумму около 204 миллионов рублей. В результате данной сделки доля ООО "Энергопромсбыт" в уставном капитале ОАО "ТГК-14" увеличилась до 80,15%. По состоянию на 31 декабря 2009 г. данное предложение было закрыто. В результате данного приобретения, данные о финансовом положении и результатах деятельности ОАО "ТГК-14" были включены в финансовую отчетность Группы с момента приобретения 30 апреля 2009 г., когда Группа получила контроль над ОАО "ТГК-14". За период с 8 июля 2008 г. по 30 апреля 2009 г. инвестиции в ОАО " П К-14" учитывались по методу долевого участия. Группа признала превышение справедливой стоимости приобретенной доли в чистых идентифицируемых активах, обязательствах и условных обязательствах ОАО "ТГК-14" над стоимостью приобретения в сумме 594 миллиона рублей в отчете о прибылях и убытках за год, закончившийся 31 декабря 2009 г.</t>
  </si>
  <si>
    <t>Закрытый Инвестиционный Фонд "Фонд Стратегических Инвестиций Фонд VI"</t>
  </si>
  <si>
    <t>В январе 2009 г. Группа через свою дочернюю компанию ОАО "ТрансКредитБанк" ((Банк) доля участия Группы - 54,4%), приобрела 100% паев в Закрытом Инвестиционном Фонде "Фонд Стратегических Инвестиций Фонд VI" за 2 584 миллиона рублей. В результате данной сделки Группа приобрела контроль над двумя компаниями: ЗАО "Эксперт" и ЗАО "Новые Инвестиционные Проекта. Поскольку данные компании не являются бизнесом, Группа отразила данные сделки как приобретение активов и обязательств этих компаний. По состоянию на 31 декабря 2008 г. Группа владела 19% долями участия в каждой из компаний, которые оыли отражены в консолидированной финансовой отчетности Группы как прочие финансовые активы в сумме 625 миллионов рублей.</t>
  </si>
  <si>
    <t>В декабре 2007г. Правительство России, выступающее как единственный акционер Компании, внесло акции, включая контрольные пакеты, ряда российских компаний в оплату дополнительных акций, выпущенных ОАО "РЖД". Совокупная номинальная стоимость выпущенных акций составила 5 998 миллионов рублей.Внесенные акции включали акции следующих компаний: - ТрансКредитБанк («ТКБ») – 75%; - ЗАО «Газета «Гудок» («Гудок») - 100% минус 1 акция; ОАО «Железные дороги Якутии» («ЖДЯ») - 50%; РОАО «Высокоскоростные магистрали» («ВСМ») (компания признана не являющейся бизнесом) – 87.4%.
Акции, выпущенные Компаний, не имеют рыночных оценок и их справедливая стоимость не может быть достаточно обоснованно оценена. На этом основании, по состоянию на 31 декабря 2007г., признанного датой приобретения, стоимость приобретения была определена на основании предварительных оценок справедливой стоимости приобретенных чистых активов. Разница в сумме 679 миллионов рублей между справедливой стоимостью чистых активов приобретенных компаний и номинальной стоимостью выпущенных РЖД акций отражена в отчете о движении капитала как "Добавочный капитал". По состоянию на дату авторизации данной консолидированной финансовой отчетности к выпуску, Компания завершила оценку справедливой стоимости полученных акций, а также активов полученных и обязательств принятых в связи с приобретением ВСМ. Общая сумма указанных стоимостей, а также затраты на осуществление операции в размере 10 миллионов рублей, были признаны руководством в качестве стоимости сделки</t>
  </si>
  <si>
    <t>Разное</t>
  </si>
  <si>
    <t>В 2007 году Группа приобрела у связанной стороны 24% доли участия в капитале ЗАО "Олминея" за 320 миллионов рублей. Указанное вложение отражено по состоянию на 31 декабря 2007г. в составе инвестиций в ассоциированные компании. После 31 декабря 2007г. Группа приобрела у того же продавца оставшиеся 76% в капитале указанной компании. Общая сумма, уплаченная денежными средствами, за 100% участия в капитале ЗАО "Олминея", составила 1.3 миллиарда рублей.</t>
  </si>
  <si>
    <t>ЗАО "Олминея"</t>
  </si>
  <si>
    <t>В сентябре 2022 года Группа продала ряд непрофильных активов, входивших в отчетный сегмент «Прочие». Данное решение принято Группой в связи с текущей макроэкономической ситуацией в целях оптимизации структуры Группы. Стоимость вознаграждения, полученного денежными средствами, составила 3 856 млн руб.</t>
  </si>
  <si>
    <t>Непрофильные активы</t>
  </si>
  <si>
    <t>Прочие</t>
  </si>
  <si>
    <t>В октябре 2022 года Группой было принято решение о продаже 100% доли в EWUB, входящего в отчетный сегмент «Прочие». Цена сделки будет определена по итогам независимой оценки. Завершение сделки планируется осуществить в течение 2023 года. Группа классифицировала активы EWUB как активы, предназначенные для продажи на 31 декабря 2022 года, и включила результаты деятельности за 2022 и 2021 годы и убыток при переоценке до справедливой стоимости за вычетом затрат на продажу в состав прекращенной деятельности.</t>
  </si>
  <si>
    <t>SFH Invest S.A.</t>
  </si>
  <si>
    <t>24 марта и 20 мая 2022 года Группа продала третьему лицу («Покупатель») 90% и 10% акций SFH Invest S.A. («Компании»), соответственно. В результате выбытия компании активы Группы уменьшились на 13 875 млн руб., обязательства Группы уменьшились на 62 млн руб., увеличение неконтрольных долей участия, добавочного капитала и прочего совокупного дохода составило 891 млн руб., 591 млн руб. и 336 млн руб., соответственно, одновременно группа отразила займы, ранее выданные Компании, и займы, ранее полученные от Компании, в сумме 19 037 млн руб. и 5 580 млн руб., соответственно, а также дебиторскую и кредиторскую задолженность по процентам в сумме 2 295 млн руб. и 12 млн руб., соответственно. В соответствии с положениями соглашения об опционе колл, ряд действий Покупателя в отношении проданной компании подлежало предварительному согласованию с Группой. Начиная с июля 2022 года у Группы отсутствуют какие-либо заключенные соглашения, предоставляющие право обратного выкупа каких-либо акций Компании.</t>
  </si>
  <si>
    <t>ЭТАЛОН ГРУП ПИЭЛСИ (ETALON GROUP PLC)</t>
  </si>
  <si>
    <t>ETLN</t>
  </si>
  <si>
    <t>В мае 2022 года Группа приобрела 72,85 млн ГДР Группы «Эталон» за 4,5 млрд руб. В результате данной сделки эффективная доля Группы в уставном капитале Etalon Group PLC составила 48,8%. Группа пришла к выводу, что получила контроль над Группой «Эталон» с учетом дисперсности долей владения прочих акционеров.</t>
  </si>
  <si>
    <t>В мае 2022 года Группа приобрела контрольные доли в нескольких юридических лицах, представляющих собой российский бизнес Концерна «ЮИТ» за 1 923 млн руб., выплаченных денежными средствами. Данные компании специализируются на девелопменте жилой недвижимости и оказании сервисных услуг. Группа признала превышение чистой суммы приобретенных идентифицируемых активов и обязательств на дату приобретения над переданным вознаграждением в размере 12 038 млн руб. по строке «Прочие доходы», что было вызвано тем, что продавец осуществил продажу в ускоренном порядке.</t>
  </si>
  <si>
    <t>В феврале 2021 года АФК «Система» завершила создание фармацевтического холдинга «Биннофарм Групп». В целях создания единого фармацевтического холдинга, АФК «Система» и Банк внесли в капитал «Биннофарм Групп» принадлежащий им 56,2% пакет акций ОАО «Синтез» (включает ЗАО «Биоком»), Одновременно, АФК «Система», Банк и консорциум инвесторов, в составе Российского фонда прямых инвестиций (далее - РФПИ), Российско-Китайского инвестиционного фонда, созданного РФПИ и China Investment Corporation, а также крупнейших ближневосточных фондов, внесли 85,6% пакет акций АО «Алиум» (включает АО «Биннофарм») в капитал «Биннофарм Групп». В результате эффективная доля АФК «Система» совместно с Банком в холдинге составила 79%, Консорциума инвесторов - 15,8%. Оставшиеся 5,2% акций были распределены между миноритарными акционерами - физическими лицами. Группа продолжила учитывать инвестиции в Ristango Holding Limited и Sinocom Investments Limited (холдинговые компании, через которые осуществлялись инвестиции в АО «Алиум» и ОАО «Синтез») по методу долевого участия.</t>
  </si>
  <si>
    <t>В марте 2021 года Группа (через ООО «Система Телеком Активы» - дочернюю компанию АФК «Система») выкупила пакет акций, составляющий 32,39% уставного капитала «Синтез» у АО «Национальная иммунобиологическая компания» - дочерней компании Госкорпорации Ростех. Сумма сделки составила 6,9 млрд руб. В мае 2021 года АФК «Система» внесла приобретенный у АО «Национальная иммунобиологическая компания» пакет ОАО «Синтез» в капитал «Биннофарм Групп», в результате чего доля владения «Биннофарм Групп» в ОАО «Синтез» составила 88,6%.</t>
  </si>
  <si>
    <t>Рыбная отрасль</t>
  </si>
  <si>
    <t>В течении 2022 года Группа приобрела: 100% долю в ООО «Лойд-Фиш» за 4 929 млн руб. Цена приобретения включает отложенное вознаграждение в сумме 4 929 млн руб., которое выплачено денежными средствами в январе 2023 года. Данная компания специализируется на добыче и переработке красной рыбы на западном побережье Камчатского полуострова и интегрированы в подконтрольный Группе рыбопромышленный холдинг с собственной добычей и переработкой тихоокеанского лосося.</t>
  </si>
  <si>
    <t>В течении 2022 года Группа приобрела: 100% долю в ООО «Лойд-Авто» за 143 млн руб. Цена приобретения включает отложенное вознаграждение в сумме 143 млн руб., которое выплачено денежными средствами в январе 2023 года. Данная компания специализируется на добыче и переработке красной рыбы на западном побережье Камчатского полуострова и интегрированы в подконтрольный Группе рыбопромышленный холдинг с собственной добычей и переработкой тихоокеанского лосося.</t>
  </si>
  <si>
    <t>В течении 2022 года Группа приобрела: 75% долю в ООО «Кристалл Фиш» за 1125 млн руб., выплаченных денежными средствами. Данные компании специализируется на добыче и переработке красной рыбы на западном побережье Камчатского полуострова и интегрированы в подконтрольный Группе рыбопромышленный холдинг с собственной добычей и переработкой тихоокеанского лосося.</t>
  </si>
  <si>
    <t>В течении 2022 года Группа приобрела: 10% долю в ООО «Хангар» за 255 млн руб., выплаченных денежными средствами. Одновременно Группа заключила опцион на покупку 80% доли в ООО «Хангар», в течение 2022 года Группа его реализовала и приобрела дополнительно 80% доли в ООО «Хангар». Данная компания специализируется на добыче и переработке красной рыбы на западном побережье Камчатского полуострова и интегрированы в подконтрольный Группе рыбопромышленный холдинг с собственной добычей и переработкой тихоокеанского лосося.</t>
  </si>
  <si>
    <t>Девелопмент жилой недвижимости</t>
  </si>
  <si>
    <t>Ristango Holding Limited</t>
  </si>
  <si>
    <t>В апреле 2021 года Группа выкупила у миноритарных акционеров пакет акций, составляющий 3,95% уставного капитала Ristango Holding Limited на сумму 1,2 млрд руб. 25 июня 2021 года была подписана новая редакция акционерного соглашения между участниками Ristango Holding Limited, в соответствии с которой Группа получила контроль над операционной деятельностью Ristango Holding Limited, владельца 100% уставного капитала «Биннофарм Групп».
За период с 1 января 2021 года до даты приобретения Группой контроля над Ristango Holding Limited сумма прибыли от переоценки финансовых инструментов в отношении долей участия партнеров в Ristango Holding Limited составила 5,5 млрд руб. После получения контроля было прекращено признание данных финансовых активов и были признаны финансовые обязательства в размере приведенной стоимости суммы погашения в составе прочих финансовых обязательств, что привело к эффекту на 8,2 млрд руб., 5,9 млрд руб. и 13,9 млрд руб. на накопленный убыток, добавочный капитал и неконтрольные доли участия соответственно. В результате сделки были идентифицированы зонтичные бренды «Синтез» и «Алиум». Группа ожидает, что данные нематериальные активы будут иметь неограниченный срок полезного использования, что связано с их историей и планами Группы по дальнейшей поддержке и развитию приобретенных брендов.</t>
  </si>
  <si>
    <t>Nevsky Property Investments Limited</t>
  </si>
  <si>
    <t xml:space="preserve">28 июня 2021 года 100% дочерняя компания АФК «Система» -ООО «Система Телеком Активы» - продала пакет акций, составляющий 11,2% уставного капитала Ristango Holding Limited компании Nevsky Property Investments Limited. Сумма сделки составила 7 млрд руб. </t>
  </si>
  <si>
    <t>В июле 2021 года Группа реализовала свое право по соглашению о приобретении доли, заключенному с Банком, и досрочно выкупила долю Банка в Ristango Holding Limited в размере 20,97% на сумму 6,7 млрд руб.</t>
  </si>
  <si>
    <t>В декабре 2021 года 100% дочерняя компания АФК «Система» -ООО «Система Телеком Активы» - реализовала свое право по приобретению принадлежащих Банку акций компании Sinocom Investments Limited, владеющей акциями Ristango Holding Limited на сумму 9,06 млрд рублей. В результате сделки эффективная доля Корпорации в «Биннофарм Групп» увеличилась до 75,3%.</t>
  </si>
  <si>
    <t>Sinocom Investments Limited</t>
  </si>
  <si>
    <t>Лесозаготовка</t>
  </si>
  <si>
    <t>28 декабря 2021 года Группа приобрела у третьей стороны 100% контроль над ООО «Интер Форест Рус» и его 24 дочерними обществами, среди которых четыре лесопильных завода, производители фанеры и пеллет, а также лесозаготовительные активы с расчетной лесосекой около 10,9 млн куб. м. Все приобретенные активы располагаются в Красноярском крае и Иркутской области.
Цена приобретения включает выплату денежными средствами в размере 528 млн долл. США (38 748 млн руб. по курсу на дату сделки), из которых 230 млн долл. США (16 925 млн руб. по курсу на дату транзакций) было выплачено в течение 2021 года, 18 390 млн. руб. Группа выплатила в январе-марте 2022 года.
По состоянию на 31 декабря 2021 года в составе долгосрочных прочих финансовых обязательств включены отложенные платежи в общей сумме 50 млн долл. США (3 715 млн руб. по курсу на 31 декабря 2021 года), подлежащие оплате в равных суммах через 2 и 4 года с даты подписания договора купли-продажи, но не дисконтированные, так как выступают в качестве обеспечительных в отношении возможных имущественных потерь Группы, связанных с решениями предыдущих собственников. Обеспечение распространяется, в том числе, на риски утраты собственности, доначисление налогов, сборов, неустоек и штрафов, выбытия расчетной лесосеки.
29 декабря 2022 года Группа получила уведомление о частичном прощении задолженности по приобретению ООО «Интер Форест Рус» и его дочерних обществ на сумму 47,5 млн. долл. США (3 386 млн руб. по курсу на дату соглашения). Соответствующий доход был отражен по строке «Прочие доходы» консолидированного отчета о прибылях и убытках и прочем совокупном доходе.
При подготовке консолидированной финансовой отчетности за 2022 год Группа с привлечением независимого оценщика завершила оценку справедливой стоимости приобретенных активов и обязательств, по результатам чего сравнительные показатели на 31 декабря 2021 года были скорректированы.</t>
  </si>
  <si>
    <t>Медицина</t>
  </si>
  <si>
    <t>Консолидация активов ЗАО «Новоенисейский лесохимический комплекс» - 15 февраля 2021 года Группа направила заявку на участие в аукционе, проводимом банком непрофильных активов «Траст», по продаже активов, связанных с ЗАО «Новоенисейский Лесохимический Комплекс» (НЛХК). НЛХК является одним из крупнейших деревообрабатывающих предприятий замкнутого цикла, расположено в г. Лесосибирск Красноярского края, специализируется на производстве пиломатериалов, МДФ, ДСП, пеллетов, а также столярных изделий для строительства жилых и производственных помещений.
В состав аукционного лота вошли права банка на требования по кредитам и прочим обязательствам в общей сумме 11,5 млрд руб. в разных валютах, а также права на заключение опциона на 71% акций НЛХК, условием реализации которого являлось, в том числе, прекращения арбитражного делопроизводства по процедуре банкротства в отношении НЛХК. Группа приобрела лот за денежное вознаграждение в размере 2 306 млн руб., выплаченное в феврале 2021 года.
20 мая 2021 года Группа подписала соглашение по приобретению миноритарной доли в размере 29% акций НЛ1ХК. Сделка была завершена 27 июля 2021 года, акции перешли в собственность дочерней компании Группы АО «Лесосибирский ЛДК №1». Общее вознаграждение составило 17 млн долл. США (1,2 млрд руб.), из которых 620 млн руб. было выплачено 8 июня 2021 года, а оставшаяся сумма, в размере 601 млн руб., подлежала оплате после перехода права собственности, и была выплачена 19 августа 2021 года.
15 сентября 2021 года Арбитражный суд Красноярского края принял решение о прекращении процедуры банкротства в отношении НЛХК, в связи с чем опцион на приобретение 71% акций стал реализуемым, и, соответственно, Группа получила контроль над операционной деятельностью и консолидирует 100% активов и обязательств НЛХК.
В результате приобретения НЛХК Группа получила доход от приобретения в размере 3 822 млн руб., который был признан в составе строки «Прочие доходы» в консолидированном отчете о прибылях и убытках и прочем совокупном доходе. Доход связан с процедурой банкротства в отношении НЛХК, инициированной в результате корпоративного конфликта между предыдущими собственниками компании. В результате данного конфликта потенциал НЛХК в части как объемов лесозаготовки, так и объемов выпуска пиломатериалов не использовался полностью. В 4 квартале 2021 года, прекратив процедуру банкротства, а также обеспечив достаточный уровень оборотного капитала Группа, без дополнительных капиталовложений, нарастила объемы лесозаготовки и выпуска пиломатериалов, увеличив операционную прибыльность компании.
При подготовке консолидированной финансовой отчетности за 2022 год Группа с привлечением независимого оценщика завершила оценку справедливой стоимости приобретенных активов и обязательств, по результатам чего сравнительные показатели на 31 декабря 2021 года были скорректированы.</t>
  </si>
  <si>
    <t>В декабре 2021 года Группа приобрела сеть клиник «Диалайн» в г. Волгоград (компании ООО «Клинико-диагностическая лаборатория «ДИАЛАЙН» и ООО «Многопрофильный медицинский центр «ДИАЛАЙН»), а также сеть клиник «Промедицина» в г. Уфа (компании ООО «ММЦ «Клиника аллергологии и педиатрии», ООО «КНЦ», ООО «МЦ «Профилактическая медицина», ООО «ММЦ «Профилактическая медицина» и ООО «Профилактическая медицина-Фарм»).
Часть суммы вознаграждения за приобретение сети «Промедицина» в размере 973 млн руб. уплачивается путем перечисления по аккредитиву. По состоянию на 31 декабря 2021 года Группа отразила аккредитив как денежные средства, ограниченные к использованию. Группа отразила прочую кредиторскую задолженность за приобретение сети «Промедицина» и сети «Диалайн» в размере 1 023 млн руб. и 56 млн рублей соответственно.
В начале 2022 года Группа погасила задолженность по приобретению сетей «Диалайн» и «Промедицина». Выплаты в отчетном периоде были скорректированы в сторону уменьшения на 13 млн руб. и составили 94 млн руб. согласно условиям договоров, ввиду уточнения стоимости приобретаемых активов.
При подготовке консолидированной финансовой отчетности за 2022 год Группа с привлечением независимого оценщика завершила оценку справедливой стоимости приобретенных активов и обязательств, по результатам чего сравнительные показатели на 31 декабря 2021 года были скорректированы.</t>
  </si>
  <si>
    <t>В июле 2021 года Группа приобрела 49% в ООО «Заря» за 3 млрд руб. Основная деятельность компании связана с добычей рыбы. Между Группой и остальными участниками было заключено акционерное соглашение, в соответствии с которым Группа получила контроль над операционной деятельностью. В декабре 2021 Группа приобрела дополнительную долю в уставном капитале в размере 41% за 3,2 млрд. руб. В результате сделки доля Группы увеличилась до 90%.
При подготовке консолидированной финансовой отчетности за 2022 год Группа с привлечением независимого оценщика завершила оценку справедливой стоимости приобретенных активов и обязательств, по результатам чего сравнительные показатели на 31 декабря 2021 года были скорректированы. Неконтрольные доли участия определены в размере пропорциональной части неконтрольной доли участия в справедливой стоимости идентифицируемых чистых активов приобретенного бизнеса.</t>
  </si>
  <si>
    <t>Прочие приобретения</t>
  </si>
  <si>
    <t>Медси-Ижевск</t>
  </si>
  <si>
    <t>Карелиан Вуд Кампани</t>
  </si>
  <si>
    <t>Прочие лесозаготовительные компании</t>
  </si>
  <si>
    <t>Сельскохозяйственные предприятия</t>
  </si>
  <si>
    <t>В 2021 году МТС приобрела 65 308 610 обыкновенных акций, в том числе у АФК «Система» и Sistema Finance S.A., дочерней компании Группы, МТС приобрела 22 796 040 обыкновенных акций на сумму 7,5 млрд руб.</t>
  </si>
  <si>
    <t>28 апреля 2021 года ПАО «Сегежа Групп» провела первичное публичное размещение 3,75 млрд шт. обыкновенных акций на Московской бирже. В результате проведённого размещения Группа привлекла 30 млрд руб. Сумма расходов, прямо связанных с выпуском и размещением акций, составила 1 млрд руб. Впоследствии АФК «Система» реализовала опцион на доразмещение вторичных акций в рамках первичного публичного предложения и листинга обыкновенных акций ПАО «Сегежа Групп» на Московской бирже. Общий объем поступлений АФК «Система» от реализации опциона на доразмещение составляет приблизительно 0,8 млрд рублей.</t>
  </si>
  <si>
    <t>SGZH</t>
  </si>
  <si>
    <t>В декабре 2021 года, АФК «Система» продала 8,7% пакета обыкновенных акций ПАО «Сегежа Групп» за 150 млн долларов США (11 млрд руб.).</t>
  </si>
  <si>
    <t>В рамках выполнения плана приобретения акций, утвержденного в 2020 году, МТС приобрела 48 797 719 обыкновенных акций, в том числе у Sistema Finance S.A., дочерней компании Группы, МТС приобрела 22 758 872 обыкновенных акций на сумму 7,49 млрд руб.</t>
  </si>
  <si>
    <t>ПАО "Мобильные ТелеСистемы" (ПАО "МТС")</t>
  </si>
  <si>
    <t>MTSS</t>
  </si>
  <si>
    <t>В феврале 2019 года АФК «Система» продала 51% акций АО «Лидер-Инвест» компании Etalon Group за 15,2 млрд руб. В августе 2019 года было подписано соглашение о продаже оставшегося пакета 49% акций за 14,6 млрд руб. В феврале 2019 года АФК «Система» приобрела пакет акций Etalon Group в размере 25% акций за 226,6 млн долл. США. Учитывая структуру корпоративного управления Etalon Group, размер доли Группы относительно долей других акционеров, их распределение и другие факторы, Группа не имеет возможность управлять значимой деятельностью Etalon Group и, следовательно, не контролирует Etalon Group по состоянию на 31 декабря 2020 года и 2019 года.</t>
  </si>
  <si>
    <t>Розничные продажи (игрушки)</t>
  </si>
  <si>
    <t>В ноябре 2019 года в результате вторичного размещения акций АФК «Система» продала 18,7% акционерного капитала «Детского мира» за 12,5 млрд руб. По итогам сделки доля АФК «Система» в уставном капитале компании составила 33,4%. Учитывая структуру корпоративного управления «Детского мира», размер доли Группы относительно долей других акционеров, их распределение и другие факторы, Группа не имела возможность управлять значимой деятельностью «Детского мира» и, следовательно, не контролировала «Детский мир» по состоянию на 31 декабря 2019 года. Оставшаяся доля в «Детском мире» была отражена в отчетности Группы как инвестиция в ассоциированную организацию. Балансовая стоимость инвестиции на конец 2019 года составляла 21,8 млрд руб.
В результате сделок в течение 2020 года Группа продала оставшуюся долю в «Детском мире»</t>
  </si>
  <si>
    <t>ООО "Северлеспром"</t>
  </si>
  <si>
    <t>ООО "Клиника на Петроградскрой стороне"</t>
  </si>
  <si>
    <t>В рамках выполнения плана приобретения акций, утвержденного в 2018 году, МТС приобрела 57 719 394 обыкновенных акций, в том числе у Sistema Finance S.A., дочерней компании Группы, МТС приобрела 28 929 344 обыкновенных акций на сумму 7,45 млрд руб.</t>
  </si>
  <si>
    <t>В феврале 2019 года ПАО АФК «Система» и ее 100% дочерняя компания ООО «Система Телеком Активы» продали 39,5% акций ПАО «МТС-Банк» компании Mobile TeleSystems B.V., 100% дочерней компании ПАО «МТС» за 11,4 млрд руб. В результате сделки эффективная доля владения «МТС-Банк» снизилась до 52,4%.</t>
  </si>
  <si>
    <t>В декабре 2019 года ПАО АФК «Система» продала 4,5% акций ПАО «МТС-Банк» компании Mobile Telesystems B.V., 100% дочерней компании ПАО «МТС» за 1,4 млрд руб. В результате сделки ПАО АФК «Система» полностью вышла из состава акционеров ПАО «МТС-Банк».</t>
  </si>
  <si>
    <t>В марте 2019 года Агрохолдинг «Степь» выкупил пакет собственных акций, принадлежавший миноритарному акционеру, на сумму 2 млрд руб. В результате доля Группы в Агрохолдинге «Степь» составила 92,8%.</t>
  </si>
  <si>
    <t>ПАО АФК «Система» увеличила свою долю в АО «Биннофарм» с 74% до 89% в рамках создания объединенной фармацевтической компании Алиум. Доля АФК «Система» в «Биннофарме» увеличилась в результате выкупа доли у миноритарного акционера в рамках запланированной сделки по объединению «Оболенского» и «Биннофарма».</t>
  </si>
  <si>
    <t>ПАО "Мобильные ТелеСистемы" (ПАО "МТС") - Mobile Telesystems B.V.</t>
  </si>
  <si>
    <t>АО "Агрохолдинг Степь"</t>
  </si>
  <si>
    <t>В феврале 2021 года ООО «Мегаполис-Инвест» подписало соглашение о приобретении дополнительного 29,64%-ного пакета акций АО «Электрозавод» у третьего лица за 5,8 млрд руб. По итогам закрытия сделки совокупная доля владения ООО «Мегаполис-Инвест» в АО «Электрозавод» составила 94,01% уставного капитала компании. В результате сделки Группа не получила единоличный контроль над АО «Электрозавод».</t>
  </si>
  <si>
    <t>Const</t>
  </si>
  <si>
    <t>В конце 2023 г. Группа совместно учредила компанию ООО «ЛСР БАУ». Основной вид деятельности компании - строительство жилых и нежилых зданий. Стоимость вложений в уставный капитал составила 20 млн руб. Доля владения Группы - 50.00%.</t>
  </si>
  <si>
    <t>В конце 2021 г. Группа приобрела часть доли в размере 50.00% в уставном капитале ООО «Форт-Инвест» для реализации девелоперского проекта в г. Москва. Общая сумма вознаграждения составила 450 млн руб. Группа получила права аренды на земельный участок сроком аренды до 28 июля 2066 г. с целью реализации проекта по жилищному строительству. На 31 декабря 2023 г. Группа осуществляет совместный контроль надданной компанией.</t>
  </si>
  <si>
    <t>В июне 2021 года Группа приобрела у третьей стороны 87.18% акционерного капитала АО «Санаторий «Сестрорецкий курорт» (ранее ОАО «Санаторий «Сестрорецкий курорт»). Приобретенное предприятие оказывает санаторно-курортные услуги. Санаторий находится в Ленинградской области на берету Финского залива. Предприятие было включено в сегмент «Прочие». Основная причина приобретения - это расширение и диверсификация бизнеса.</t>
  </si>
  <si>
    <t>ПАО "Группа ЛСР"</t>
  </si>
  <si>
    <t>Cтроительство жилых и нежилых зданий</t>
  </si>
  <si>
    <t>Также в конце 2023 г. Группа приобрела доли в размере 20.00% в уставном капитале ООО «Навис инжиниринг», который принимает участие в проекте по строительству в г. Москва. Стоимость вложений составила 1 300 млн руб. Выкуп остальных 80.00% долей планируется. Компания в дальнейшем будет специализированным застройщиком. На 31 декабря 2023 г. Группа оказывает существенное влияние на данную компанию.</t>
  </si>
  <si>
    <t>Специализированный застройщик</t>
  </si>
  <si>
    <t>Права аренды земельного участка</t>
  </si>
  <si>
    <t>Cанаторно-курортные услуги</t>
  </si>
  <si>
    <t>BuildMat</t>
  </si>
  <si>
    <t>В июле 2019 года Группа продала третьей стороне 100,00% долей и потеряла контроль над ООО «ЛСР. Железобетон», так как руководство приняло решение сконцентрироваться на проектах с наибольшей прибылью на инвестированный капитал. ООО «ЛСР. Железобетон» производил железо-бетонные изделия в Санкт-Петербурге.</t>
  </si>
  <si>
    <t>В марте 2018 года Группа продала третьей стороне 100.00% акций и потеряла контроль над АО «ПО «Баррикада» (ранее - АО «ЛСР. Железобетон-СЗ») - предприятием, производящим железо-бетонные изделия в Санкт-Петербурге и в Ленинградской области.</t>
  </si>
  <si>
    <t>В апреле 2018 года Группа продала третьей стороне и потеряла контроль над 100.00% долей ООО «ДСК- Прогресс» (до марта 2018 года называлось ООО «ЛСР. Строительство-М»), включая 59,11% акций ОАО «Завод ЖБИ-6». Предприятия работают в строительной отрасли Москвы и Московского региона.</t>
  </si>
  <si>
    <t>Производство газобетона</t>
  </si>
  <si>
    <t>В октябре 2019 года одна из дочерних компаний Группы приобрела у третьей стороны 100.00% долей ООО «ЛСР. Газобетон» (до покупки называлось ООО «Н+Н»), предприятие, производящее газобетон в Ленинградской области. Предприятие было включено в сегмент «Строительные материалы». Основная цель приобретения - укрепление позиции Группы на рынке производства газобетона и расширение рынка сбыта газобетона в Санкт-Петербурге и в Ленинградской области. Сделка была заключена с выгодой для Группы благодаря усилиям Группы в процессе переговоров: во-первых, бывший владелец имел намерения покинуть рынок; во-вторых, продавец стремился к быстрому получению денежных средств от продажи предприятия.</t>
  </si>
  <si>
    <t>В течение года, закончившегося 31 декабря 2019 года. Группа продала несколько дочерних предприятий, так как руководство приняло решение сконцентрироваться на проектах с наибольшей прибылью на инвестированный капитал. В мае 2019 года Группа продала связанной стороне 100.00% долей и потеряла контроль над рядом компаний сегмента «Недвижимость и Строительство».</t>
  </si>
  <si>
    <t>Недвижимость и Строительство</t>
  </si>
  <si>
    <t>Производство ЖБИ</t>
  </si>
  <si>
    <t>В декабре 2014 года Группа продала 100% долю в ООО «ЛСР. Цемент-СЗ» (с 2015 года переименованный в ООО «Петербургцемент») включая его 99,99% долю в ООО «Казинское Карьероуправление» третьему лицу и потеряла контроль над дочерними предприятиями, поскольку руководство приняло решение сконцентрироваться на проектах с наибольшей прибылью на инвестированный капитал, а также на проектах по девелопменту недвижимости.
ООО «ЛСР. Цемент-СЗ» занималось производством цемента в Ленинградской области. Существенную часть обязательств общества составлял банковский займ, номинированный в долларах США, по которому в 2014 году были признаны существенные убытки по курсовым разницам. В результате выбытия общества Группа существенно снизила долговую нагрузку, которая теперь номинирована только в российских рублях.</t>
  </si>
  <si>
    <t>В декабре 2013 года Группа приобрела от третьей стороны 100% долей ООО «Газстрой». выпускающей кирпич в Санкт-Петербурге. Компания была включена в сегмент ЛСР.Строительные материалы. Основной причиной приобретения бизнеса было укрепление позиции и расширение ассортимента на рынке кирпича в Санкт-Петербурге.</t>
  </si>
  <si>
    <t>В июне 2013 года в соответствии с решением руководства о прекращении данного вида деятельности Группа продала третьему лицу 50.00% доли ООО «Строительный трест №28» и его долю в размере 79.17% акций в ЗАО «Строительный трест №28» и потеряла контроль над дочерними предприятиями. ООО «Строительный трест №28» и ЗАО «Строительный трест №28» занимались строительством свайных фундаментов в Санкт-Петербурге.</t>
  </si>
  <si>
    <t>Производство цемент</t>
  </si>
  <si>
    <t>Производство кирпича</t>
  </si>
  <si>
    <t>В 2012 году Группа продала третьим лицам 57,80 % акций ОАО «Завод ЖБИ-6» в результате чего потеряла контроль над дочерним предприятием. ОАО «Завод ЖБИ-6» производил железобетонные изделия в Москве.</t>
  </si>
  <si>
    <t>В 2012 году в рамках реструктуризации Группа передала производственные мощности ОАО «Павловская Керамика» другой компании Группы в Московском регионе. В 2012 году Группа продала оставшиеся активы и обязательства путем продажи 93,44% акций ОАО «Павловская керамика» третьим лицам и потеряла контроль над дочерним предприятием.</t>
  </si>
  <si>
    <t>Обслуживание домов</t>
  </si>
  <si>
    <t>В 2012 году Группа продала связанной стороне 100,00 % долей ООО «Квартира Люкс Сервис» в результате чего потеряла контроль над дочерним предприятием. Компания оказывала непрофильные для Группы услуги по обслуживанию домов в рамках сегмента Недвижимость СЗ, поэтому руководство приняло решение продать дочернее предприятие. Основные проданные активы являлись специализированными основными средствами, в отношении которых отсутствует рынок. Для ускорения продажи Группа реализовала активы по цене ниже их балансовой стоимости.</t>
  </si>
  <si>
    <t>В 2012 году в процессе реструктуризации Группа перераспределила часть производственных мощностей на другие компании Группы. Впоследствии Группа продала связанным сторонам 100,00% акций ОАО «Обуховский завод СМиК» и 100,00% долей ООО «Вертикаль» связанным сторонам. В результате Группа потеряла контроль над дочерними предприятиями. Группа посчитала более привлекательным продать дочерние предприятия, чем продолжать нести расходы по их содержанию.</t>
  </si>
  <si>
    <t>В течение двенадцати месяцев 2012 года Группа также признала уменьшение на 7 345 тыс. руб. / 239 тыс. долл. США в капитале от продажи неконтролирующей доли участия в ЗАО «НПО «ВСР».</t>
  </si>
  <si>
    <t>В апреле 2011 года одно из предприятий Группы приобрело 85,936% акционерного капитала ОАО «Обуховский завод СМиК», который производит железобетонные изделия в Санкт-Петербурге. Предприятие было включено в сегмент Строительные материалы СЗ. Основной целью приобретения завода было усиление рыночной позиции и расширение товарной номенклатуры на рынке железобетонных изделий в Санкт-Петербурге. Группа в течение нескольких лет вела переговоры с бывшим владельцем ОАО «Обуховский
завод СМиК» по вопросам потенциального приобретения предприятия. Сделка была заключена с выгодой для Группы благодаря усилиям Группы в процессе переговоров; вопервых, продавец не смог найти других потенциальных покупателей предприятия из-за
сильной конкурентной позиции Группы; во-вторых, бывший владелец стремился к быстрому получению денежных средств от продажи завода.</t>
  </si>
  <si>
    <t>В мае 2011 года Группа приобрела у третьих сторон 93,44% акционерного капитала предприятия ОАО «Павловская Керамика», которое производит кирпич в Московской области. Основная цель приобретения – расширение рыночной доли Группы в Московском
регионе. Предприятие было включено в сегмент Строительные материалы Москва.</t>
  </si>
  <si>
    <t>В январе 2011 года Группа приобрела у третьих сторон 100% уставного капитала предприятия ООО «МСР Перспектива». ООО «МСР Перспектива» занимается строительной деятельностью в Москве и не имеет существенных активов и обязательств на дату приобретения. Гудвилл составляет 11 250 тыс. руб. / 384 тыс. долл. США, вознаграждение выплаченное и начисленные обязательства составляют 1 025 тыс. руб. / 35 тыс. долл. США.</t>
  </si>
  <si>
    <t>В июле 2011 одно из предприятий Группы приобрело 100% уставного капитала предприятия OOO «436 КНИ», занимающегося производством гранитного щебня в Ленинградской области. Основная цель приобретения – увеличение мощностей по производству щебня в Ленинградской области. Предприятие было включено в сегмент Строительные материалы СЗ.</t>
  </si>
  <si>
    <t>Производство гранитного щебня</t>
  </si>
  <si>
    <t>В июле 2011 года Группа приобрела у третьих сторон 100% акционерного капитала предприятия ООО «КИН-Центр». ООО «КИН-Центр» занимается строительной деятельностью в Санкт-Петербурге. Предприятие было включено в сегмент Строительные
материалы СЗ.</t>
  </si>
  <si>
    <t>В ноябре 2011 года Группа приобрела у связанной стороны 100% акционерного капитала предприятия ЗАО «Золотая Казанская». ЗАО «Золотая Казанская» занимается сдачей офисных помещений в аренду в Санкт-Петербурге. Предприятие было включено в сегмент Прочие предприятия. Ранее, в 2009 году, ЗАО «Золотая Казанская» была продана связанной стороне, чистый доход от выбытия был отражен в составе добавочного капитала. Следовательно, в 2011 году превышение уплаченного вознаграждения над приобретенными чистыми активами, отраженными по балансовой стоимости по МСФО, было отражено в составе добавочного капитала как выплата акционерам.</t>
  </si>
  <si>
    <t>Cдача офисных помещений в аренду</t>
  </si>
  <si>
    <t>В апреле 2011 года Группа продала дочернее предприятие OOO «Карьер Петровский» третьей стороне. OOO «Карьер Петровский» занимался производством щебня в СанктПетербурге.</t>
  </si>
  <si>
    <t>Производство щебня</t>
  </si>
  <si>
    <t>В течение 2010 года Группа продала дочернее предприятие Aeroc International AS, включая его дочерние предприятия (Aeroc aktsiaselts (ранее Aeroc AS), «AEROC» SI А (ранее Aeroc Poribet SIA), ЗАО «Петробетон», ООО «Аэрок Калининград»). Продажа была осуществлена третьей стороне. Рынок стран Балтии не являлся стратегически важным для Группы, а также сложные экономические условия Литвы, Латвии и Эстонии явились одним из главных факторов, повлиявших на решение о продаже. Убыток от продажи в размере 523 258 тыс. руб. / 17 230 тыс. долл. США был отражен как убыток от выбытия дочернего предприятия. Продажа была оплачена векселями с датами погашения в 2014 - 2020 годах.</t>
  </si>
  <si>
    <t>В июне 2010 года одно из дочерних предприятий Группы продало свою долю во вновь созданной компании ООО «Служба 071» физическому лицу за вознаграждение в размере 860 тыс. руб. / 28 тыс. долл. США. Прибыль от выбытия в размере 854 тыс. руб. / 28 тыс. долл. США была отражена как доход от выбытия дочерних предприятий.</t>
  </si>
  <si>
    <t>В ноябре 2009 года Группа продала третьей стороне ЗАО «Кикерино-электрик», которое ранее отражалось как удерживаемое для продажи. Включенный в состав чистой прибыли за год убыток этого дочернего предприятия составил 6 644 тыс. руб./ 210 тыс. долл. США, включая прибыль в нетто-величине от его выбытия в размере 3 483 тыс. руб./ 110 тыс. долл. США.</t>
  </si>
  <si>
    <t>LSRG</t>
  </si>
  <si>
    <t xml:space="preserve">В апреле 2010 г. Федеральная служба по финансовым рынкам (ФСФР Российской Федерации) зарегистрировала дополнительный выпуск обыкновенных акций Компании. В мае 2010 Группа завершила вторичное публичное размещение 9,366,383 обыкновенных акций по цене 42,5 долларов США и разместила глобальные депозитарные расписки (далее по тексту - «ГДР») на Лондонской фондовой бирже, а также акции на НП «Фондовая биржа «Российская торговая система» и ЗАО «Московская межбанковская валютная биржа». В результате размещения акций Группа получила денежные средства, за вычетом расходов на выпуск и размещение, в размере 11 848 028 тыс. руб. / 390 133 тыс. долл. США. Соответствующее изменение было внесено в уставный капитал Компании. Резерв, сформированный в составе добавочного капитала, из средств, полученных Группой от размещения, был реклассифицирован в состав акционерного капитала и эмиссионного дохода после внесения соответствующих изменений в уставные документы Компании. Для расчета прибыли на акцию выпуск акций учитывался с 11 мая 2010 года </t>
  </si>
  <si>
    <t>В декабре 2023 года Группа приобрела дополнительно 25% доли в каждом из двух застройщиков за 2 499 миллионов рублей, увеличив свою долю до 100%, что отражено непосредственно в составе капитала.</t>
  </si>
  <si>
    <t>ПАО "Группа Компаний ПИК"</t>
  </si>
  <si>
    <t>2 компании-застройщика</t>
  </si>
  <si>
    <t>В 2023 году Группа продала компании, входившие в сегмент «Девелопмент и строительство», в основном в целях юридической реструктуризации после окончания строительства. Кроме того, в 2023 году Группа продала часть компаний, зарегистрированных в республике Филиппины. Также в 2023 году были проданы некоторые компании сегмента «Прочие виды деятельности».</t>
  </si>
  <si>
    <t>В 2023 году Группа вошла в состав участников нескольких компаний путем приобретения, в том числе у связанной стороны, долей в материнских компаниях групп застройщиков, владеющих земельными участками под девелоперские проекты в Москве и Санкт-Петербурге. Доля Группы в уставном капитале данных компаний составила 50%, а совокупная сумма вознаграждения 8 619 миллионов рублей, которые были выплачены в 2023 году. Информация о приобретении указана в таблице ниже: ООО «Союз»; ООО «Рассвет Инвест»; ООО «Гамма Холдинг»; АО «Специализированный застройщик «Сенс.Сухаревская»; АО «Форп Трейд»; ООО «О-Мега»; ООО «Нельсон». Группа не контролирует финансовую и операционную политику приобретенных компаний, поэтому классифицирует свое участие как инвестиции в ассоциированные компании и учитывает их методом долевого участия.</t>
  </si>
  <si>
    <t>Несколько компаний застройщиков</t>
  </si>
  <si>
    <t>В августе 2023 года Группа вошла в состав участников нескольких компаний путем приобретения у связанной стороны долей в материнской компании группы застройщиков, реализующих девелоперские проекты разной степени готовности в Москве. Доля Группы в уставном капитале данных компаний составила 50%, а совокупная сумма вознаграждения 5 065 миллионов рублей, которые были выплачены в 2023 году. Группа осуществляет совместный контроль над данной группой застройщиков. В 2023 году Группа приобрела у акционера, оказывающего значительное влияние на Группу, доли в материнских компаниях групп застройщиков, владеющих земельными участками или реализующих девелоперские проекты разной степени готовности в Москве и Санкт-Петербурге. Сумма вознаграждения составила 12 150 миллионов рублей и была выплачена в 2023 году</t>
  </si>
  <si>
    <t>Связанная сторона (акционер)</t>
  </si>
  <si>
    <t>В августе 2021 года Группа приобрела 60% доли в предприятии импортозамещающего производства микроэлектроники в России за 150 миллионов рублей, которые были оплачены денежными средствами в отчетном периоде. В сентябре Группа увеличила свою долю до 100%. Стоимость дополнительно приобретенной доли составила 100 миллионов рублей. Данное приобретение было произведено без оплаты денежными средствами на основе договора мены прочими активами. В результате приобретения производителя микроэлектроники был признан гудвил в сумме 91 миллион рублей. Гудвил, в основном, связан с активным развитием рынка систем «умный дом», а также ожидаемым синергетическим эффектом от интеграции этого предприятия в бизнес Группы.</t>
  </si>
  <si>
    <t>Микроэлектроника</t>
  </si>
  <si>
    <t>В октябре 2021 года Группа приобрела 100% доли в компании, оказывающей подрядные услуги по проектированию, земляным и монолитным работам, работам по гидроизоляции, каменной кладке, монтажу инженерных систем, благоустройству территории, а также отделочным работам за 444 миллиона рублей, из которых 361 миллион был оплачен денежными средствами до конца 2021 года, а оставшаяся часть вознаграждения в сумме 83 миллиона рублей включена в состав кредиторской задолженности. В результате приобретения компании, осуществляющей деятельность в сфере строительных услуг, был признан гудвил в сумме 423 миллиона рублей.</t>
  </si>
  <si>
    <t>Услуги по проектированию, земляным и монолитным работам, работам по гидроизоляции, каменной кладке, монтажу инженерных систем, благоустройству территории, а также отделочным работам</t>
  </si>
  <si>
    <t>Предприятие импортозамещающего производства микроэлектроники</t>
  </si>
  <si>
    <t>В 2020 году были заключены соглашения с третьими сторонами, в результате которых Группе перешел контроль над 70% долей в двух российских компаниях, оказывающих подрядные услуги по проектированию и строительству наружных инженерных коммуникаций - водопроводов, канализации, тепловых сетей, а также благоустройству. Стоимость приобретения составила 197 миллионов рублей и была полностью оплачена денежными средствами в течение 2020 года. В рамках сделок по объединению бизнеса по указанным компаниям Группа признала активы и обязательства на дату' приобретения по справедливой стоимости, которая была определена с участием независимого оценщика, привлеченного руководством Группы. Величина чистых идентифицируемых активов составила 453 миллиона рублей.</t>
  </si>
  <si>
    <t>2 компании, оказывающие подрядные услуги по проектированию и строительству наружных инженерных коммуникаций - водопроводов, канализации, тепловых сетей, а также благоустройству.</t>
  </si>
  <si>
    <t>Услуги по проектированию и строительству наружных инженерных коммуникаций - водопроводов, канализации, тепловых сетей, а также благоустройству.</t>
  </si>
  <si>
    <t>В 2021 году Группа купила несколько земельных участков и активы в форме права пользования под девелоперские проекты в Москве, Московской области и прочих регионах общей стоимостью 147 188 миллионов рублей в основном посредством приобретения контроля в компаниях, которые ими владеют, а также понесла затраты, связанные с покупкой земельных участков, включая изменение условий действовавших в прошлом периоде договоров, стоимостью 18 741 миллион рублей в уже реализуемых проектах Группы. Данные компании не имели других существенных активов, обязательств и финансовых результатов по состоянию на дату приобретения. Соответственно, вознаграждение, уплаченное Группой при покупке данных дочерних предприятий, было учтено как стоимость незавершенного строительства, предназначенного для продажи. Оплата была частично произведена денежными средствами, оставшаяся часть задолженности в размере 14 325 миллионов рублей подлежит погашению в течение следующего года и включена в краткосрочную кредиторскую задолженность за приобретенные земельные участки, задолженность в сумме 22 301 миллион рублей включена в долгосрочную кредиторскую задолженность за приобретение земельных участков.</t>
  </si>
  <si>
    <t>В августе 2021 года Группа приобрела 50% долей в ООО «Сигма Холдинг», материнской компании группы застройщиков, которые владеют девелоперскими проектами на разной стадии строительства, расположенными в Москве. Сумма вознаграждения составила 45 000 миллионов рублей и была выплачена в августе 2021 года. Группа осуществляет совместный контроль над данной компанией.</t>
  </si>
  <si>
    <t>Компании, занимающейся экологичной утилизацией отходов электронного и электротехнического оборудования, а также комплексным производством климатического и вентиляционного оборудования.</t>
  </si>
  <si>
    <t>В июне и июле 2021 года Группа приобрела дополнительные доли в компании, занимающейся экологичной утилизацией отходов электронного и электротехнического оборудования. В июле 2021 года Группа приобрела доли в компании, занимающейся комплексным производством климатического и вентиляционного оборудования. Общая сумма вознаграждения по этим приобретениям составила 511 миллионов рублей, которые были выплачены в 2021 году.</t>
  </si>
  <si>
    <t>В сентябре 2021 года Группа заключила договор займа ценных бумаг с компанией, аффилированной с С.Э. Гордеевым, в соответствии с которым Группа получила 49 990 198 собственных акций для целей публичного размещения акций.</t>
  </si>
  <si>
    <t>В декабре 2021 года Группа выкупила у Банка глобальные депозитарные расписки в количестве 28 459 000 штук на сумму 28 971 миллион рублей, конвертировала их в обыкновенные акции и вернула их компании-заимодавцу. Проценты, начисленные по займу ценных бумаг, и расходы, связанные с организацией вторичного публичного размещения акций, в размере 1 777 миллионов рублей учтены в составе капитала.</t>
  </si>
  <si>
    <t>PIKK</t>
  </si>
  <si>
    <t>В октябре 2021 года Группа реализовала 28 459 000 заемных акций по цене 1 275 рублей за акцию. Доход, полученный от вторичного публичного размещения акций, составил 36 285 миллионов рублей и был учтен в составе капитала. Неразмещенные заемные акции в количестве 21 531 198 акций были возвращены компании-заимодавцу.</t>
  </si>
  <si>
    <t>В октябре 2021 года Группа выкупила 596 173 собственных акций на общую сумму 758 миллионов рублей.</t>
  </si>
  <si>
    <t>Компании, оказывающие подрядные услуги</t>
  </si>
  <si>
    <t>Компании, оказывающие услуги по аренде</t>
  </si>
  <si>
    <t>Во втором полугодии 2019 года Группа и ее контролирующий акционер заключили ряд связанных соглашений с третьей стороной о приобретении бизнеса по обслуживанию и управлению многоквартирными домами, в результате которых к Группе перешел контроль над 99,9% доли в головном обществе и его дочерних компаниях указанного бизнеса. Дополнительно, частью сделки были соглашения о приобретении и продаже 17 компаний в декабре 2019 года, оказывающих услуги в сфере ЖКХ. Данные компании были приобретены исключительно с целью перепродажи и отражены как активы, удерживаемые для продажи. Общая стоимость приобретения составила 3 779 миллионов рублей, из которых 2 006 миллионов рублей были оплачены денежными средствами, а оставшаяся часть в размере 1 773 миллиона рублей была погашена путем зачета имевшейся дебиторской задолженности, возникшей в результате продажи Группой части из приобретаемых компаний ранее в 2017 году. В результате приобретения Группа признала доход от приобретения в сумме 4 719 миллионов рублей.</t>
  </si>
  <si>
    <t>Бизнес по обслуживанию и управлению многоквартирными домами</t>
  </si>
  <si>
    <t>В 2019 году Группа приобрела дополнительно 31,01% доли в компании, оказывающей услуги по аренде жилого недвижимого имущества. В результате доля Группы в компании увеличилась до 51%. Общая сумма вознаграждения составила 360 миллионов рублей, из которой 30 миллионов рублей были выплачены в 2018 году, а 330 миллионов рублей были уплачены в 2019 году.</t>
  </si>
  <si>
    <t>В 2019 году Группа приобрела неконтролирующие доли участия в двух компаниях сферы услуг, позволяющие оказывать значительное влияние. Общая сумма выплаченного возмещения составила 840 миллионов рублей, из которых 740 миллионов рублей были выплачены в 2019 году и 100 миллионов рублей были уплачены в 2018 году. Доля в справедливой стоимости чистых активов приобретенных компаний примерно соответствует величине уплаченного возмещения.</t>
  </si>
  <si>
    <t>2 компании сферы услуг</t>
  </si>
  <si>
    <t>Услуги по обслуживанию и управлению многоквартирными домами</t>
  </si>
  <si>
    <t>Услуги по аренде</t>
  </si>
  <si>
    <t>17 компаний, оказывающие услуги в сфере ЖКХ</t>
  </si>
  <si>
    <t>Услуги в сфере ЖКХ</t>
  </si>
  <si>
    <t>минорная</t>
  </si>
  <si>
    <t>Умный дом</t>
  </si>
  <si>
    <t>В мае 2019 года Группа приобрела дополнительно 1,01% доли в ведущем российском разработчике систем «Умный дом» за 22 миллиона рублей, увеличив свою долю до 65,01%, что отражено непосредственно в составе капитала.</t>
  </si>
  <si>
    <t>В мае 2018 года Группа приобрела 100% доли в сетевой компании, оказывающей услуги теплоснабжения, водоснабжения, водоотведения и электроснабжения коммерческим и бытовым потребителям в Московской области, за 1 220 миллионов рублей, из которых 1 132 миллиона рублей были выплачены денежными средствами. Оставшаяся на 31 декабря 2018 года задолженность составила 88 миллионов рублей, из которых в течение 2019 года 21 миллион рублей были выплачены денежными средствами, а задолженность в сумме 67 миллионов рублей была погашена путем взаимозачета.</t>
  </si>
  <si>
    <t>В октябре 2018 года Группа приобрела дополнительно 5,89% доли в ассоциированной компании, оказывающей услуги предоставления доступа в интернет, а также осуществляющей строительномонтажные работы по проведению слаботочных сетей связи. В результате этого доля Группы в компании-интернет провайдере увеличилась до 50,01%. Сумма вознаграждения была частично выплачена в предыдущих отчетных периодах, а сумма, относящаяся к приобретению доли в 2018 году, была погашена путем взаимозачета.</t>
  </si>
  <si>
    <t>В декабре 2018 года Группа приобрела 100% доли в компании, оказывающей услуги генерального подрядчика за несущественное вознаграждение. В результате приобретения Группа отразила доход от приобретения в сумме 1 168 миллионов рублей.</t>
  </si>
  <si>
    <t>В декабре 2018 года Группа приобрела 100% доли в двух сетевых компаниях, оказывающих услуги теплоснабжения, за 155 миллионов рублей, которые были оплачены в январе 2019 года.</t>
  </si>
  <si>
    <t>В феврале 2018 года Группа приобрела дополнительно 26,69% доли в производителе лифтового и электронного оборудования за 84 миллиона рублей, увеличив свою долю до 87,14%, что отражено непосредственно в составе капитала.</t>
  </si>
  <si>
    <t>В феврале и июле 2018 года Группа приобрела дополнительно 4,4% доли в ведущем российском разработчике систем «Умный дом» за 80 миллионов рублей, увеличив свою долю до 64%, что отражено непосредственно в составе капитала.</t>
  </si>
  <si>
    <t>Сетевая компания, оказывающей услуги теплоснабжения, водоснабжения, водоотведения и электроснабжения</t>
  </si>
  <si>
    <t>Услуги теплоснабжения, водоснабжения, водоотведения и электроснабжения</t>
  </si>
  <si>
    <t>Компания, оказывающая услуги предоставления доступа в интернет, а также осуществляющая строительномонтажные работы по проведению слаботочных сетей связи</t>
  </si>
  <si>
    <t>Компания, оказывающая услуги генерального подрядчика</t>
  </si>
  <si>
    <t>Услуги генерального подрядчика</t>
  </si>
  <si>
    <t>2 сетевые компании, оказывающие услуги теплоснабжения</t>
  </si>
  <si>
    <t>Услуги теплоснабжения</t>
  </si>
  <si>
    <t>Производитель лифтового и электронного оборудования</t>
  </si>
  <si>
    <t>Производство лифтового и электронного оборудования</t>
  </si>
  <si>
    <t>В декабре 2017 года Группа продала дочерние компании, которые занимались техническим обслуживанием объектов недвижимости.</t>
  </si>
  <si>
    <t>Техническое обслуживание объектов недвижимости</t>
  </si>
  <si>
    <t>Компании, которые занимались техническим обслуживанием объектов недвижимости</t>
  </si>
  <si>
    <t>30 нюня 2017 года Группа заключила сделку по продаже собственных глобальных депозитарных расписок (ГДР), в количестве 49 990 198 штук, одному из крупнейших банков в Российской Федерации за 15,000 миллионов рублей. ГДР были приобретены Группой на открытом рынке в марте 2017 года за 255 миллионов долларов США, что составило 15,100 миллионов рублей на даты покупок. Одновременно Группа заключила с банком договор о беспоставочном финансовом инструменте на трехлетний срок, предусматривающий получение Группой прибыли от банка или компенсацию банку величины изменения рыночной цены ГДР на дату прекращения финансового инструмента через три года по сравнению с ценой продажи ГДР. В период действия договора Группа обязана производить ежеквартальные промежуточные платежи банку, рассчитанные по ставке 11,35% от стоимости продажи ГДР. Справедливая стоимость беспоставочного финансового инструмента при первоначальном признании была отражена в составе собственного капитала, поскольку является элементом стоимости сделки по продаже ГДР банку. При первоначальном признании Группа классифицировала беспоставочный финансовый инструмент в размере 1,418 миллионов рублей как долгосрочный финансовый инструмент, учитываемый по справедливой стоимости, изменения которой отражаются в прибыли и убытке. Группа отнесла беспоставочный финансовый инструмент к третьему уровню иерархии справедливой стоимости финансовых инструментов. Оценка справедливой стоимости беспоставочного финансового инструмента по состоянию на 31 декабря 2017 года составила 997 миллионов рублей и была произведена исходя из следующих основных допущений: - прогнозируемый рост цены ГДР составит 8,80% в год; - годовая ставка дисконтирования составила 12,00%</t>
  </si>
  <si>
    <t>В июле 2017 года Группа приобрела 53.5% доли в ведущем российском разработчике систем «Умный дом», за 178 миллионов рублей. В сентябре и октябре 2017 года Группа увеличила свою долю до 59,6%, доплатив деньгами за дополнительный выпуск акций 80 миллионов рублей.</t>
  </si>
  <si>
    <t>В декабре 2017 года Группа приобрела 60,45% доли в российском производителе лифтового и электронного оборудования, за 645 миллионов рублей, оплаченных деньгами.</t>
  </si>
  <si>
    <t>В декабре 2016 года Группа приобрела 100% доли в группе компаний, представлявшей одного из ведущих девелоперов крупномасштабных жилых проектов в России.</t>
  </si>
  <si>
    <t>В связи со стратегическим решением сосредоточиться на развитии своих ключевых компетенции в сфере девелопмента и строительства Группа в декабре 2017 года продала компании, входящие в сегмент «Обслуживание и Эксплуатация». Сумма сделки составила 3,230 миллионов рублей, из которых 1,699 миллионов рублей были выплачены денежными средствами. Осгавшаяся на 31 декабря 2017 года задолженность составила 1,531 миллион рублей, которые будут выплачены в течение трех лет. На задолженность начисляются проценты по ставке 10% годовых.</t>
  </si>
  <si>
    <t>Обслуживание и Эксплуатация</t>
  </si>
  <si>
    <t>Dev</t>
  </si>
  <si>
    <t>Девелопмент</t>
  </si>
  <si>
    <t>Группа компаний, представляющая одного из ведущих девелоперов крупномасштабных жилых проектов в России</t>
  </si>
  <si>
    <t>Группа Компаний Мортон</t>
  </si>
  <si>
    <t>Horus Real Estate Fund I B.V.</t>
  </si>
  <si>
    <t>В октябре 2016 года Фонд Horus Real Estate Fund I B.V., аффилированным с президентом Группы Сергеем Гордеевым, приобрел 100% акций Группы Компаний Мортон, ведущего девелопера крупномасштабных жилых проектов.
В декабре 2016 года Группа приобрела у Horus Real Estate Fund I B.V. 100% -ную долю Группы Компаний Мортон за вознаграждение, равное первоначальной цене приобретения в размере 11,664 миллиона рублей, оплаченной денежными средствами. До даты приобретения Группы Компаний Мортон у Horus Real Estate Fund I B.V. Группа выдала финансирование приобретаемым компаниям в размере 19.728 миллионов рублей.
В декабре 2016 года Группа приобрела 100% доли в нескольких компаниях, чтобы получить контроль над значительными активами, которые включают земельные участки, основные фонды и компании, предоставляющие услуги по техническому обслуживанию законченных объектов недвижимости. Общая сумма приобретения долей составляет 7.135 миллионов рублей. Группа выплатила 6,543 миллиона рублей вознаграждения в денежной форме до 31 декабря 2016 года.
Данные сделки являются взаимодополняющими и были заключены для достижения общего коммерческого эффекта за короткий период времени. В этой связи Группа учитывает их как единое приобретение бизнеса, результат которого определен для всех сделок на общей основе.В декабре 2016 года Группа приобрела 100% доли в нескольких компаниях, чтобы получить контроль над значительными активами, которые включают земельные участки, основные фонды и компании, предоставляющие услуги по техническому обслуживанию законченных объектов недвижимости. Общая сумма приобретения долей составляет 7.135 миллионов рублей. Группа выплатила 6,543 миллиона рублей вознаграждения в денежной форме до 31 декабря 2016 года.
Данные сделки являются взаимодополняющими и были заключены для достижения общего коммерческого эффекта за короткий период времени. В этой связи Группа учитывает их как единое приобретение бизнеса, результат которого определен для всех сделок на общей основе.
Указанные сделки была учтены как объединение бизнеса и привели к признанию дохода (отрицательного гудвилла) в размере 7,346 миллионов рублей в связи с реализацией сделок за короткий период времени в рамках благоприятной рыночной конъюнктуры.Указанные сделки была учтены как объединение бизнеса и привели к признанию дохода (отрицательного гудвилла) в размере 7,346 миллионов рублей в связи с реализацией сделок за короткий период времени в рамках благоприятной рыночной конъюнктуры.</t>
  </si>
  <si>
    <t>Компании, осуществляющие контроль над активами, которые включают земельные участки, основные фонды и компании, предоставляющие услуги по техническому обслуживанию законченных объектов недвижимости</t>
  </si>
  <si>
    <t>ТО законченных объектов недвижимости</t>
  </si>
  <si>
    <t>В августе 2016 года Группа приобрела 25% неконтролирующей доли участия в Viniso Investments Limited, материнской компании организаций, являющихся застройщиками проекта жилищного строительства в г. Мытищи Московской области. Приобретение увеличило долю Группы в дочерней компании до 100%. Вознаграждение стоимостью 1.793 миллиона рублей было выплачено денежными средствами. Разница между балансовой стоимостью неконтролирующей доли участия и суммой вознаграждения была признана непосредственно в составе собственного капитала.</t>
  </si>
  <si>
    <t>В 2016 и 2015 году руководство Группы пересмотрело свой портфель строительных проектов и решило продать определенные инвестиционные права посредством реализации дочерних компаний, и признала прибыль в размере 41 миллион рублей (2015 год: 71 миллион рублей).</t>
  </si>
  <si>
    <t>Viniso Investments Limited</t>
  </si>
  <si>
    <t>В 2015 и 2014 году руководство Группы пересмотрело свой портфель строительных проектов и решило продать определенные инвестиционные права. В результате выбытия инвестиционных прав Группа признала прибыль в размере 71 миллиона рублей (2014 г.: 46 миллионов рублей).</t>
  </si>
  <si>
    <t>ЗПИФ коммерческой недвижимости</t>
  </si>
  <si>
    <t>Недвижимость (коммерческая)</t>
  </si>
  <si>
    <t>В 2011 году Группа начала формировать специальные юридические структуры, составной частью которых является ЗПИФ, для консолидации активов коммерческой недвижимости, расположенной на первых этажах жилых зданий, построенных Группой. Данные структуры разработаны с целью привлечения покупателей, желающих инвестировать в арендный бизнес. Оставшиеся 25% долей отражены как инвестиции, учитываемые методом долевого участия по справедливой стоимости на дату потери контроля.
В 2013 и 2012 годах Группа продала 75% долей в двух фондах в каждом отчетном периоде соответственно. Коммерческая недвижимость 11 450 кв.м. в 2013 г. (5 636 кв.м. - в 2012 г.).
Договоры купли-продажи содержат определенные положения, которые позволяют покупателю получить компенсацию в случае, если конкретный результат ЗПИФ не достигается. Права на компенсацию начинают действовать спустя год со дня заключения сделки, и могут быть использованы в течение 2 месяцев с момента начала действия. Если финансовые показатели не достигнуты. Группа будет обязана безвозмездно передать покупателям дополнительные паи ЗПИФ. В качестве альтернативы, покупатель будет иметь право (опцион) на обратную продажу Группе изначально приобретенных акций по первоначальной стоимости покупки, увеличенную на определенную маржу.</t>
  </si>
  <si>
    <t>В июне 2012 года Группа продала земельный участок, расположенный на юге Московской области, за вознаграждение в суме 400 миллионов рублей и признала прибыль в сумме 13 миллионов рублей.</t>
  </si>
  <si>
    <t>Земельный участок</t>
  </si>
  <si>
    <t>Недвижимость (земельный участок)</t>
  </si>
  <si>
    <t>В декабре 2011 года Группа продала 100% долей участия в предприятии, владевшем участком земли в г. Королев, Московской области.</t>
  </si>
  <si>
    <t>В феврале 2009 года Группа приобрела дополнительную долю в акционерном капитале ОАО «Новоросгражданпроект» в размере приблизительно 40%, тем самым увеличив свою долю участия до 97%. Акции были получены в обмен на погашение займа в размере 201 миллион рублей, выданного миноритарным акционерам дочернего предприятия. Поскольку справедливая стоимость полученных акций составила 61 миллион рублей, разница между амортизированной и справедливой стоимостью займа в размере 140 миллионов рублей была признана как убыток от обесценения займа и отражена в составе финансовых расходов.</t>
  </si>
  <si>
    <t>В июле 2011 года Группа продала 100% акций ЗАО «Очаковский ЖБК», которому принадлежали инвестиционные права на земельный участок, выделенный под жилищное строительство на юге Москвы. В июле 2010 года руководством был подписан договор с третьей стороной о продаже ЗАО «Очаковский ЖБК», дочернего предприятия, занимавшегося реализацией строительного проекта на юге Москвы.</t>
  </si>
  <si>
    <t>В январе 2011 года Группа продала свою долю участия в следующих юридических лицах, которые представляли собой долю Группы в проекте «Парк-Сити»: ООО «ПИК-Инвест», Porgots Ltd, ЗАО «КРПТ». Земельный участок находится в центре Москвы.
В декабре 2010 года Группа приняла решение продать свою долю участия в проекте «Парк-Сити», который являлся объектом инвестирования, учитывавшимся методом долевого участия.</t>
  </si>
  <si>
    <t>В феврале 2008 года Группа частично реализовала опцион на покупку дополнительных 25% акций Storm Properties Group путем приобретения дополнительных 4.33% акций в данном дочернем предприятии за 189 миллионов рублей. Результатом приобретения миноритарной доли участия стало возникновение дополнительного гудвилла в сумме 115 миллионов рублей.</t>
  </si>
  <si>
    <t>В ноябре 2008 года Группа приобрела дополнительные 2.81% акций ОАО «ДСК-3». Стоимость приобретения составила 185 миллионов рублей. Благодаря этой сделке доля Группы в данном дочернем предприятии увеличилась до 87%. По результатам приобретения был отражен дополнительный гудвилл в сумме 170 миллионов рублей.</t>
  </si>
  <si>
    <t>Storm Properties Group</t>
  </si>
  <si>
    <t>24 августа 2009 года Группа продала комплекс предприятий, занимавшихся производством нерудных материалов и включенный в состав Промышленного сегмента, который по состоянию на 31 декабря 2008 года не был классифицирован как прекращаемая деятельность или актив, предназначенный для продажи. Сравнительные данные отчета о совокупной прибыли были пересчитаны с целью представить прекращенную деятельность отдельно от продолжающейся. Руководство решило осуществить продажу указанного предприятия 26 июня 2009 года с целью погашения ряда долговых обязательств.</t>
  </si>
  <si>
    <t>Комплекс предприятий, занимавшихся производством нерудных материалов</t>
  </si>
  <si>
    <t>Производство нерудных материалов</t>
  </si>
  <si>
    <t>Blakestone Limited</t>
  </si>
  <si>
    <t>Приобртение инвестиционных прав на земельный участок по адресу: г. Москва, югозапад, Киевское шоссе (коммерческая недвижимость); чистая продаваемая площадь - 0,2 млн кв.м.</t>
  </si>
  <si>
    <t>Приобртение инвестиционных прав на земельный участок по адресу: г. Москва, югозапад (жилая недвижимость); чистая продаваемая площадь - 1 млн кв.м.</t>
  </si>
  <si>
    <t>Приобртение инвестиционных прав на земельный участок по адресу: г. Москва, запад, КСРЗ (коммерческая/жилая недвижимость); чистая продаваемая площадь - 0,5/1 млн кв.м.</t>
  </si>
  <si>
    <t>Приобртение инвестиционных прав на земельный участок по адресу: г. Ярославль (жилая недвижимость); чистая продаваемая площадь - 0,9 млн кв.м.</t>
  </si>
  <si>
    <t>Приобртение инвестиционных прав на земельный участок по адресу: г. СанктПетербург (жилая недвижимость); чистая продаваемая площадь - 0,2 млн кв.м.</t>
  </si>
  <si>
    <t>Приобртение инвестиционных прав на земельный участок по адресу: Удмуртия, г. Ижевск (жилая недвижимость); чистая продаваемая площадь - 1,8 млн кв.м.</t>
  </si>
  <si>
    <t>Приобртение инвестиционных прав на земельный участок по адресу: г. Пермь (жилая недвижимость); чистая продаваемая площадь - 0,35 млн кв.м.</t>
  </si>
  <si>
    <t>Приобртение инвестиционных прав на земельный участок по адресу: г. Москва, юг (гостиница); чистая продаваемая площадь - 0,02 млн кв.м.</t>
  </si>
  <si>
    <t>Приобртение инвестиционных прав на земельный участок по адресу: г. СанктПетербург (коммерческая недвижимости); чистая продаваемая площадь - 0,05 млн кв.м.</t>
  </si>
  <si>
    <t>В апреле 2007 года Группа приобрела 100% акций ООО «Фотон ГБИ» и ООО «Фотон АБЗ» за общую сумму 1 037 миллионов рублей, оплаченную денежными средствами. Основной деятельностью приобретенных дочерних предприятий является производство бетонных смесей и железобетонных изделий на производственных мощностях, расположенных в Калужской области, Россия. В результате приобретения этих дочерних компаний гудвил составил 299 миллионов рублей. Гудвилл возник в результате приобретения главным образом из-за ограниченного предложения производственных мощностей по производству бетонных изделий в регионе.</t>
  </si>
  <si>
    <t>50%+1</t>
  </si>
  <si>
    <t>Производство ЖБИ и бетонных смесей</t>
  </si>
  <si>
    <t>В сентябре 2007 года Группа приобрела 50% плюс 1 акцию в Storm Properties Limited, материнской компании Storm Properties Group, за вознаграждение в размере 1 347 миллионов рублей, оплаченное денежными средствами. Группа компаний Storm Properties – ведущий девелопер, работающий в сегменте коммерческой недвижимости в России. Соглашение о покупке предусматривает опцион на приобретение дополнительных 25% акций Storm Properties Group по рыночной цене на дату сделки. Опцион вступает в силу через три года с даты приобретения и истекает через два года с даты перехода. В результате приобретения группы компаний Storm Properties гудвил составил 591 миллион рублей. Гудвилл возник в результате приобретения благодаря прочной репутации Storm Properties Group как ведущей компании с исключительными инновационными возможностями в сегменте коммерческой недвижимости.</t>
  </si>
  <si>
    <t>В июле 2007 года связанная сторона Группы приобрела 100% акций ОАО 480 КЖИ за вознаграждение в размере 639 миллионов рублей. В ноябре 2007 года Группа приобрела у связанной стороны 100% долю в ОАО 480 КЖИ за вознаграждение в размере 1 237 миллионов рублей, определенное независимой международно признанной оценочной компанией, расчеты осуществлялись денежными средствами. Поскольку контроль связанной стороны над приобретаемой компанией был временным, приобретение компании Группой у связанной стороны не учитывалось как операция общего контроля. Сделка была учтена как объединение бизнеса в соответствии с МСФО (IFRS) 3 «Объединение бизнеса». Разница между возмещением, уплаченным Группой, и вознаграждением, уплаченным связанной стороной, в размере 598 миллионов рублей была признана непосредственно в капитале. В результате приобретения дочерней компании гудвил составил 274 миллиона рублей.</t>
  </si>
  <si>
    <t>В мае 2007 года Группа получила контроль над песчаным карьером ОАО «Хромцовский карьер». путем приобретения дополнительных 25% акций за вознаграждение в размере 32 миллионов рублей, оплаченное денежными средствами. Данное приобретение увеличило долю Группы с 48% до 73%. В результате приобретения дочерней компании гудвил составил 28 миллионов рублей. Гудвил был оценен на предмет обесценения по состоянию на 30 июня 2007 года, в результате чего был признан убыток от обесценения в размере 28 миллионов рублей</t>
  </si>
  <si>
    <t>ПАО "Группа Компаний ПИК" (связанная сторона)</t>
  </si>
  <si>
    <t>В сентябре 2007 года Группа приобрела 57% акций ОАО «Новоросгражданпроект» за вознаграждение в размере 160 миллионов рублей, оплаченное денежными средствами. Основной деятельностью приобретенного предприятия является предоставление проектных и архитектурных услуг. В результате приобретения дочерней компании гудвил составил 78 миллионов рублей. Гудвил возник в результате приобретения главным образом из-за ожидаемого роста опыта компании в области архитектуры и дизайна.</t>
  </si>
  <si>
    <t>Проектные и архитектурные услуги</t>
  </si>
  <si>
    <t>Производство стройматериалов</t>
  </si>
  <si>
    <t>В марте 2006 года Группа приобрела 100% акций ЗАО «Стройинвестрегион» и его дочерних компаний. Кроме того, Группа приобрела 100% акций четырех более мелких предприятий у одного и того же продавца. Деятельность этих предприятий тесно связана с деятельностью ЗАО «Стройинвестрегион». Сумма вознаграждения в размере 1 302 миллиона рублей была согласована в общей сложности за все приобретенные предприятия. Основная деятельность приобретенных предприятий – инвестирование в развитие жилого фонда преимущественно в Нижнем Новгороде. Ростов-на-Дону. Пенн. Ярославль. Калининград и Омск. В результате приобретения предприятий образовался отрицательный гудвил в размере 1 517 млн ​​руб. Отрицательный гудвилл возник в результате приобретения главным образом из-за низкой переговорной позиции продавца из-за отсутствия альтернативных предложений на рынке, в то время как продавцу требовались средства для финансирования других проектов. В ноябре 2006 года ЗАО «Стройинвестрегион» объединилось с другим предприятием Группы. ЗАО ПИК Регион.</t>
  </si>
  <si>
    <t>В декабре 2007 года Группа заключила договор о продаже за вознаграждение 5 770 миллионов рублей 25% доли в дочерней компании Viniso Investments Limited. Компания «Тинс» была материнской компанией ряда организаций, реализовавших проект строительства жилого жилья в Мытищах. Московская область. Балансовая стоимость выбывшей доли меньшинства составила 6 миллионов рублей. В результате продажи миноритарной доли получена прибыль в размере 5 764 млн руб.</t>
  </si>
  <si>
    <t>По состоянию на 31 декабря 2006 года Группе принадлежало 25% акций ЗАО «Парк-Сити Инвестментс Лимитед» и ООО «КРПТ». Вложения в ЗАО «Парк-Сити Инвестментс Лимитед» и ООО «КРПТ» учитываются как объекты инвестиций, учитываемые методом долевого участия. Обе компании фактически владели 21% акций в проекте «Парк Сити» по развитию недвижимости на земельном участке, расположенном на Кутузовском проспекте. Москва.
Кроме того, по состоянию на 31 декабря 2006 года Группа также владела 100% долей ЗАО «Виктор», которое являлось стороной соглашения о совместном инвестировании с долей 15% в проекте «Парк Сити».
В 2007 году ЗАО «Виктор» передало право по договору совместной инвестиции дочерней компании, расположенной на Кипре, и впоследствии Группа продала 75% акций дочерней компании в рамках двух сделок на общую сумму 3 701 миллион рублей. Данные сделки привели к снижению эффективной доли Группы в проекте до 25%. Балансовая стоимость инвестиции в выбывшее право на застройку на дату выбытия составляла 33 миллиона рублей. Сумма выбытия составила 3 ​​363 млн руб. Остаток дебиторской задолженности по указанным операциям по состоянию на 31 декабря 2007 года составил 2 455 миллионов рублей.</t>
  </si>
  <si>
    <t>По состоянию на 31 декабря 2006 года активы, предназначенные для продажи, включали 100% долю в предприятии, которому принадлежали права застройки земельного участка в Юбилейном районе, Химки, Московская область, включая договор аренды земельного участка и разрешение на строительство. Группа приобрела предприятие у третьего лица за вознаграждение в размере 2 300 миллионов рублей с намерением продать его другому застройщику: таким образом, право на застройку учитывалось как актив, предназначенный для продажи, в консолидированной финансовой отчетности по состоянию на год закончился 31 декабря 2006 года. В апреле 2007 года Группа продала долю в юридическом лице третьей стороне7 за вознаграждение в размере 2 675 миллионов рублей. Прибыль от выбытия составила 375 млн руб.</t>
  </si>
  <si>
    <t>Предприятие, которому принадлежат права застройки земельного участка в Юбилейном районе, Химки, Московская область</t>
  </si>
  <si>
    <t>Производственное предприятие, которое занимало два земельных участка, расположенных на Мантулинской улице, Москва</t>
  </si>
  <si>
    <t>Третья сторона</t>
  </si>
  <si>
    <t>Позже в 2006 году та же третья сторона приобрела еще 25% акций завода. Группе было предложено приобрести 95% акций завода за вознаграждение в размере 5 326 млн руб. Сделка была учтена как приобретение активов. По состоянию на 31 декабря 2006 года Группа имела непогашенную кредиторскую задолженность перед продавцом на сумму 1 057 миллионов рублей.
В декабре 2006 года Группа продала 50% акций проекта за вознаграждение в размере 3 950 миллионов рублей с полученной суммой в 1 286 миллионов рублей для финансирования будущих строительных работ. По состоянию на 31 декабря 2006 и 2007 годов эффективная доля участия Группы в проекте в размере 49% была классифицирована как инвестиция в объект инвестиций, учитываемый методом долевого участия.</t>
  </si>
  <si>
    <t>В июне 2005 года Группа приобрела права застройки путем покупки 70% акций производственного предприятия, которое занимало два земельных участка, расположенных на Мантулинской улице, Москва. На дату приобретения практически вся деятельность завода была перенесена с этого объекта. Юридическое лицо арендовало земельные участки для производственных целей на долгосрочной основе. Приобретение было учтено как покупка права аренды земельных участков. Группа намеревалась обратиться в муниципальные органы власти за разрешением на строительство недвижимости на земельных участках. На 31 декабря 2005 года балансовая стоимость прав застройки составляла 707 миллионов рублей. Стоимость прав на застройку включает стоимость получения прав на аренду земельных участков и стоимость получения зарегистрированных разрешений на строительство конкретных объектов недвижимости. Капитализированные права на застройку оцениваются по себестоимости за вычетом накопленных убытков от обесценения до начала строительства. В начале строительства права застройки переклассифицируются в незавершенное строительство, предназначенное для продажи как часть запасов.
В марте 2006 года Группа продала данные права на застройку третьей стороне за 2 272 миллиона рублей, получив прибыль в размере 1 565 миллионов рублей. Целью продажи было получение сиюминутной прибыли, а не продолжение развития в условиях постоянных разногласий с миноритарными акционерами завода. По состоянию на 31 декабря 2006 года непогашенная дебиторская задолженность Группы по данной сделке составила 1 092 миллиона рублей</t>
  </si>
  <si>
    <t>В феврале 2007 года Группа приобрела 92% акций ОАО «Химический завод «Кусковские ордена «Знак Почета»» (КХЗ) за 3 567 миллионов рублей. КХЗ владеет земельным участком, расположенным на востоке Москвы. В соответствии с инвестицией договор КСР имеет право на застройку жилых помещений максимальной продаваемой площадью 188 100 квадратных метров.</t>
  </si>
  <si>
    <t>2 юридических лица, владеющих правами на два проекта, расположенных в Калуге и Обнинске</t>
  </si>
  <si>
    <t>В мае 2007 года, а затем в июне 2007 года Группа получила контроль над двумя юридическими лицами, владеющими правами на два проекта, расположенных в Калуге и Обнинске, за общую сумму 9 000 млн рублей.</t>
  </si>
  <si>
    <t>В июне 2007 года Группа приобрела 100% акций ООО «Вейстоун» за 1 018 млн руб., у компании имеется инвестиционный контракт с властями Москвы на застройку жилых помещений на юге Москвы.</t>
  </si>
  <si>
    <t>В 2005 году Группа приобрела долю в ЗАО «Парк-Сити Инвестментс» /ООО «Компания реабилитации промышленных территорий» (ООО «КРПТ»). Цена покупки в размере 747 млн ​​руб. не была распределена между двумя компаниями. Право собственности Группы на приобретенные инвестиции позволит Группе участвовать в соглашении о совместном инвестировании в развитие двух прилегающих земельных участков вблизи Москва-Сити. На дату приобретения оба юридических лица не вели никакой деятельности, за исключением владения контрольными пакетами акций двух производственных предприятий, имеющих право аренды земельных участков. В 2007 и 2006 годах никакой значимой деятельности не проводилось; однако производственные мощности уже существовали и будут перенесены в начале строительства.
По состоянию на 31 декабря 2007 и 2006 годов указанные выше объекты инвестиций, учитываемые методом долевого участия, не имели каких-либо значительных активов, обязательств, доходов, а также прибылей и убытков, кроме прав на застройку объектов недвижимости, расположенных по ул. и земельный участок Парк-Сити.</t>
  </si>
  <si>
    <t>MSTT</t>
  </si>
  <si>
    <t>Ряд акционеров ПАО «МОСТОТРЕСТ», не принявших участие в голосовании в отношении вопроса по реорганизации или голосовавших против реорганизации, предъявили акции к выкупу по цене 220,44 рублей за одну обыкновенную акцию Компании. Компания выкупила 7 820 613 акций на общую сумму 1 724 млн рублей. В сентябре 2020 года Компания продала выкупленные акции 1 728 млн рублей и понесла при этом расходы, связанные со сделкой, на сумму 33 млн рублей. Результат от данных операций отражен в отчете о движении капитала на нетто-основе.
Выкупленные акции были проданы компании, связанной с акционерами Группы, на условиях отсрочки платежа. Эффект от дисконтирования долгосрочной дебиторской задолженности в сумме 397 млн рублей отражен в отчете о движении капитала свернуто с отложенным налогом.</t>
  </si>
  <si>
    <t>В январе 2020 года Группа приобрела у неконтролирующих участников 16.01% долю в ООО «Трансстроймеханизация» за 600 млн руб., уплачиваемых денежными средствами.</t>
  </si>
  <si>
    <t>Сервис</t>
  </si>
  <si>
    <t>Несколько компаний</t>
  </si>
  <si>
    <t>20 июля 2015 года Группа продала 100% долю владения в ОССП совместно-контролируемое предприятие, созданное совместно с иностранным партнером на паритетных началах, за 18 млн. евро или 1 115 млн. рублей (по курсу Центрального банка России на дату сделки), полученных денежными средствами. Учитывая этот факт Группа, в сущности, снизила свою долю участия в дочерней компании с 100% до 50%. утратив контроль над ОССП.</t>
  </si>
  <si>
    <t>В течение второго полугодия 2015 года Группа приобрела контроль над несколькими компаниями, посредством покупки 100% долей в уставном капитале данных компаний за 556 млн. рублей, выплаченных в денежной форме. Приобретенные компании специализируются в оказании услуг по обслуживанию и эксплуатации автомобильных дорог.
За период с даты приобретения до 31 декабря 2015 года прирост выручки за счет приобретенных компаний составил 14 млн. рублей, прибыль уменьшилась на 28 млн. рублей.</t>
  </si>
  <si>
    <t>QB Technology Ltd</t>
  </si>
  <si>
    <t>По состоянию на 31 декабря 2021 года инвестиции в ассоциированную компанию в размере 380 миллионов рублей представляли собой 40,7% акций QB Technology Ltd. Инвестиция была продана в течение 2022 года несвязанной стороне за вознаграждение, эквивалентное 480 миллионам рублей, и была признана прибыль от выбытия 135 миллионов рублей.</t>
  </si>
  <si>
    <t>Инвестиция в совместное предприятие представляет собой 50% акций ООО «Страна-Эталон», приобретенных в 2022 году. ООО «СтранаЭталон» занимается девелоперскими проектами в Тюмени. Инвестиции в ассоциированные и совместные предприятия учитываются по методу долевого участия. По состоянию на 31 декабря 2021 года кредит по амортизированной стоимости в размере 850 млн руб. представлял собой кредит, выданный предприятию, владеющему земельным участком в агломерации Санкт-Петербург. Предприятие было приобретено Группой в течение года, закончившегося 31 декабря 2022 года, и кредит был зачтен в счет возмещения, подлежащего уплате за приобретение. Приобретение было учтено как приобретение актива (земельного участка).</t>
  </si>
  <si>
    <t>30 мая 2022 года Компания приобрела у YIT Corporation 100% голосующих акций определенного количества финских и российских юридических лиц, представляющих российский бизнес YIT Corporation («ЮИТ Россия»), за денежное вознаграждение в размере 1 923 миллиона рублей.
ЮИТ Россия специализируется на жилой недвижимости среднего класса с портфелем из 19 проектов в пяти регионах России, включая Московскую область, Санкт-Петербург, Екатеринбургскую область, Казань и Тюмень, с общей непроданной чистой продаваемой площадью (ЧПП) 0,6 млн. кв.м. Он также управляет несколькими компаниями по обслуживанию жилья.
Основными причинами приобретения являются увеличение поставок на основные рынки Группы в Москве и Санкт-Петербурге и ускорение региональной экспансии Группы, а также получение доступа к программному обеспечению и технологическим ноу-хау ЮИТ Россия, включая программное обеспечение «Диспетчер 24». для управления многоквартирными домами и жилыми массивами.
Переданное вознаграждение Справедливая стоимость переданного вознаграждения на дату приобретения составила 1 923 миллиона рублей.
Оплата была произведена наличными.</t>
  </si>
  <si>
    <t>Недвижимость (жилая)</t>
  </si>
  <si>
    <t>19 февраля 2019 года Группа приобрела 51% акций и голосующих акций АО «ЛидерИнвест» у ПАО АФК «Система» и ее аффилированных лиц за денежное вознаграждение в размере 15 185 млн рублей. АО «Лидер-Инвест» — московский девелопер жилой недвижимости, специализирующийся на проектах в сегментах комфорт, бизнес и премиум-класса. По состоянию на 19 февраля 2019 года в его портфеле находился 31 проект в стадии строительства, девелопмента или на стадии проектирования, непроданный инвентарь в двенадцати завершенных жилых комплексах, а также коммерческая недвижимость общей площадью 1,3 млн квадратных метров. Основной причиной приобретения было увеличение доли Группы на рынке жилой недвижимости Москвы и пополнение земельного банка.
Справедливая стоимость всей переданной суммы вознаграждения (денежных средств) на дату приобретения составила 15 185 миллионов рублей.
Группа согласилась выплатить продающим акционерам долю Группы в дивидендах, полученных от дочерней компании «Лидер-Инвест» за три года после приобретения, в качестве отсроченной корректировки вознаграждения, описанного выше. Из-за неопределенности результата Группа не корректировала стоимость объединения в данной консолидированной финансовой отчетности.
В течение года, закончившегося 31 декабря 2020 года, Группа выплатила вознаграждение в сумме 143 млн руб., которое было признано в составе прочих чистых расходов.
Группа понесла затраты, связанные с приобретением, в размере 256 млн руб., связанные с гонорарами внешних юридических лиц и затратами на комплексную проверку, которые были включены в состав административных расходов в консолидированном отчете о прибылях и убытках и прочем совокупном доходе Группы.</t>
  </si>
  <si>
    <t>16 августа 2019 года дочерняя компания Группы АО «ГК «Эталон» приобрела оставшиеся 49% уставного капитала АО «Лидер-Инвест» у ПАО АФК «Система» за вознаграждение в размере 14 600 млн рублей, неконтролирующая доля участия по состоянию на 30 июня 2019 года. составил 15 673 млн руб. Приобретение было профинансировано за счет восьмилетней кредитной линии, предоставленной Сбербанком. Заем был обеспечен следующим образом:
• залог 68% акций дочернего общества ОАО «Затонское»;
• залог 100% акций ОАО «Лидер-Инвест» и его 35 дочерних компаний;
• залог 100% акций ОАО «Эталон ЛенСпецСМУ», ООО «ЖК Московский» и ООО «Золотая Звезда».</t>
  </si>
  <si>
    <t>23 ноября 2011 года независимые акционеры Компании одобрили покупку глобальных депозитарных расписок (ГДР), представляющих обыкновенные акции Компании, составляющие до 9,25% выпущенного акционерного капитала Компании. Программа началась 24 ноября 2011 г. и была приостановлена ​​на неопределенный срок 12 марта 2012 г. По состоянию на 31 декабря 2016 г. Группа приобрела 2 728 000 собственных акций или 1% выпущенного акционерного капитала (по состоянию на 31 декабря 2015 г.: 2 728 000 собственных акций). или 1% выпущенного акционерного капитала) за вознаграждение в размере 440 миллионов рублей (по состоянию на 31 декабря 2015 года: 440 миллионов рублей).
Вознаграждение, уплаченное за собственные акции, включая непосредственно связанные затраты, за вычетом налоговых последствий, признается как вычет из капитала. Когда собственные акции впоследствии продаются или перевыпускаются, полученная сумма признается как увеличение капитала, а возникающий в результате сделки профицит или дефицит переносится в/из нераспределенной прибыли.</t>
  </si>
  <si>
    <t>20 июня 2017 г. Совет директоров Компании утвердил программу обратного выкупа глобальных депозитарных расписок («ГДР»). Компания намеревалась потратить 20 миллионов долларов США на приобретение ГДР по рыночным ценам в период с 20 июня 2017 г. по 31 декабря 2017 г., которые могут измениться в зависимости от оценки Компанией состояния рынка ГДР Компании.
В период с 20 июня 2017 г. по 31 декабря 2017 г. Компания приобрела 5 48 378 собственных акций за вознаграждение 1 1 9 млн руб., и по состоянию на 31 декабря 2017 г. общее количество приобретенных Группой собственных акций составило 8 216 378 акций. или 2,8% от выпущенного акционерного капитала за вознаграждение в размере 1 629 000 руб.</t>
  </si>
  <si>
    <t>В 2023 году Группа выкупила собственные акции в количестве 5 425 471 штук номинальной стоимостью 25 руб. за
штуку за вознаграждение в сумме 18 695 млн руб. (оплачено 15 849 млн руб. на отчетную дату), а также реализовала
ранее выкупленные акции в количестве 2 778 613 штук на общую сумму 9 254 млн руб. (оплачено 8 500 млн руб. на
отчетную дату).</t>
  </si>
  <si>
    <t>В 2022 году Группа выкупила собственные акции в количестве 377 620 штук номинальной стоимостью 25 руб. за штуку
за вознаграждение в сумме 1 730 млн руб. (оплачено 1 730 млн руб.)</t>
  </si>
  <si>
    <t>В феврале 2024 года была проведена сделка по приобретению 100% долей ООО "Коммерческий банк "Система". Базовая
стоимость сделки 1 454 млн руб. была оплачена денежными средствами. На дату утверждения консолидированной
финансовой отчетности Группы оценка эффекта от объединения бизнесов не завершена.</t>
  </si>
  <si>
    <t>ООО "Коммерческий банк "Система"</t>
  </si>
  <si>
    <t>SMLT</t>
  </si>
  <si>
    <t>20 октября 2023 года Группа получила контроль над компаниями ООО «ГК МИЦ» и ООО «Парк Капитал Групп» и их дочерними обществами (далее – «компании «МИЦ»), реализующими проекты в Московском регионе, посредством приобретения 100% долей и прав голоса. В результате сделки Группа получила в распоряжение земельный банк в г. Москве, Новой Москве и Московской области, который включает 11 проектов в стадии строительства и проектирования, а также управляющие компании и прочее. Данное приобретение усилит присутствие Группы в Московском регионе и существенно увеличит объемы текущего строительства. За период с даты приобретения до 31 декабря 2023 года прирост выручки, полученный Группой за счет компаний «МИЦ», составил 5 671 млн руб. Группа считает нецелесообразным раскрытие информации по выручке за 12 месяцев 2023 года так, как если бы Компании были приобретены Группой 1 января 2023 года, в связи с отсутствием системы подготовки отчетности по МСФО приобретенными компаниями. По мнению Группы, затраты на подготовку требуемой информации превышают ее экономические преимущества, что делает раскрытие такой информации практически нецелесообразным. На дату приобретения справедливая стоимость переданного возмещения составила 45 649 млн руб. Договор куплипродажи долей в уставном капитале предусматривает аккредитивный способ оплаты с поэтапным раскрытием в срок до 1 октября 2024 года. В соответствии с условиями Договора купли-продажи долей в уставном капитале Группа на дату приобретения открыла покрытый безотзывный аккредитив на сумму 45 649 млн руб.</t>
  </si>
  <si>
    <t>5 июля 2023 года Группа получила контроль над компанией ООО «Миратек» и ее дочерним обществом (далее – ООО «Миратек»), реализующей проект по комплексной застройке территории в городском округе Красногорск Московской области. В результате данной сделки доля Группы в собственном капитале ООО «Миратек» выросла с 15% до 100%. После приобретения контроля над компанией Группа начала реализацию девелоперского проекта, рассчитанного на четыре этапа, на земельном участке площадью 207 тыс. квадратных метров. За период с даты приобретения до 31 декабря 2023 года прирост выручки, полученный Группой за счет компаний ООО «Миратек», составил 268 млн руб. Группа не рассчитывала эффект потенциального влияния на консолидированный показатель выручки, как если бы приобретение компаний произошло 1 января 2023 года, в связи с незначительными суммами и ранней стадией реализации девелоперского проекта. На дату приобретения справедливая стоимость переданного возмещения составила 4 534 млн руб. В соответствии с условиями Договора купли-продажи Группой была оплачена денежными средствами полная стоимость предусмотренного возмещения.</t>
  </si>
  <si>
    <t>1 января 2022 года Группа получила контроль над строительной компанией ООО «СПб Реновация» и ее дочерними обществами (далее – ООО «СПб Реновация»), реализующей масштабные проекты комплексного освоения территорий в Санкт-Петербурге в рамках программы «Развитие застроенных территорий», посредством приобретения 95,01% акций и прав голоса в данной компании. В результате данной сделки доля Группы в собственном капитале ООО «СПб Реновация» выросла с 4,99% до 100%. После приобретения контроля над компанией ООО «СПб Реновация» Группа получила в распоряжение земельный банк в 22 кварталах Санкт-Петербурга, объемом более 6 млн квадратных метров, а также действующие проекты комплексного освоения территорий в Санкт-Петербурге, реализуемые проектными командами ООО «СПб Реновация», обладающими необходимой экспертизой и знаниями особенностей рынка и регулирования строительной отрасли в Санкт-Петербурге. Данное приобретение позволит Группе расширить масштабы деятельности на территории Российской Федерации, увеличив долю присутствия на рынке. За период с даты приобретения до 31 декабря 2022 года прирост выручки и прибыли, полученный Группой за счет ООО «СПб Реновация», составил 17 649 млн руб. и 3 949 млн руб. соответственно. На дату приобретения справедливая стоимость переданного возмещения составила 11 916 млн руб. Договор куплипродажи доли в уставном капитале предусматривает поэтапную оплату в срок до 30 июня 2023 года. В соответствии с условиями Договора купли-продажи доли (далее – Договор) в уставном капитале Группа на дату приобретения оплатила 2 млн руб. и в течение 12 месяцев 2022 года осуществила платеж в общей сумме равной 6 506 млн руб. В течение 2022 года был проведен предусмотренный договором зачет взаимных требований в сумме 1 648 млн руб. В течение 2023 года был оплачен остаток предусмотренного возмещения по договору в сумме 4 900 млн руб. Справедливая стоимость возмещения была рассчитана по ставке 10,17%.</t>
  </si>
  <si>
    <t>Недвижимость (услуги)</t>
  </si>
  <si>
    <t>Несколько компаний по обслуживаниюМЖК (многоквартирных жилых комплексов)</t>
  </si>
  <si>
    <t>В третьем квартале 2022 года Группа приобрела 100% долю в нескольких компаниях, осуществляющих обслуживание многоквартирных жилых комплексов. Стоимость приобретения была частично оплачена денежными средствами в 2022 году в сумме 480 млн руб. Оставшаяся часть представляет собой условное возмещение, которое должно быть выплачено в течение 2023 года в сумме 82 млн руб. Приобретенные дочерние компании занимаются, главным образом, обслуживанием многоквартирных домов. Согласно предварительной оценке Группа отнесла превышение стоимости уплаченного вознаграждения над чистыми активами приобретаемой компании на стоимость нематериальных активов, которые представляяют собой клиентские базы даных обслуживания. В течение следующих 12 месяцев Группа проведет финальную оценку идентифицируемых активов приобретенной компании.</t>
  </si>
  <si>
    <t>Онлайн-сервис</t>
  </si>
  <si>
    <t>Приобретение дочернего предприятия ООО «Санино-1». Во втором полугодии 2021 года Группа получила контроль над компанией, ранее учитываемой как совместное предприятие, инвестиция в которую сосгавляла 1 727 млн руб., и классифицировала в качестве приобретения актива. До приобретения компания вела операции с Группой, остатки по которым в составе приобретенных активов и прошлых обязательств составили: заемные средства в размере 1 036 млн руб. и выданные займы в размере 664 млн руб.</t>
  </si>
  <si>
    <t>Приобретение дочернего предприятия ООО «Инпут Лаб».
В прошлые периоды Группа инвестировала в онлайн-сервис, развивающий социальную сеть «Вместе.ру». В июле 2021 года Группа полностью выкупила долю в данном проекте через дочернее общество с долей участия 70.16%.
На 31 декабря 2021 года Группа провела предварительную оценку идентифицируемых активов приобретенной компании и отнесла превышение стоимости уплаченного вознаграждения над чистыми активами приобретаемой компании на стоимость нематериальных активов. На 30 июня 2022 года Группа подготовила оценку справедливой стоимости приобретенных активов на дату приобретения и признала гудвил в сумме превышения переданного возмещения над справедливой стоимостью чистых идентифицируемых активов.</t>
  </si>
  <si>
    <t xml:space="preserve">В конце октября 2020 года Группа провела первичное размещение акций на Московской бирже в ценовом диапазоне 950-1100 руб. за акцию, в ходе которого была зарегистрирована дополнительная эмиссия обыкновенных акций в размере 1 578 958 штук акций с номиналом 25 руб. Кроме дополнительно выпущенных акций были предложены существующие акции в количестве 1 500 010 штук. В результате проведенного размещения Группа привлекла 1 500 010 тыс. руб. и понесела расходы в размере, относящимся к дополнительной эмиссии акций. 188 459 тыс. руб. Соответственно, в отчете об изменениях в собственном капитале отражены увеличение уставного капитала на сумму 39 474 тыс. руб. и прирост добавочного капитала в размере 1 272 077 тыс. руб. По итогам проведенного размещения, количество акций, находящихся в свободном обращении составило 3 078 968 штук. </t>
  </si>
  <si>
    <t>Во втором квартале 2020 года Группа через дочернее общество с долей участия 70,83% приобрела у одного из акционеров 100% долю в нескольких компаниях, осуществляющих обслуживание многоквартирных жилых комплексов. Стоимость приобретения была оплачена долями в уставном капитале данного дочернего общества, в результате чего доля неконтролирующего участия увеличилась в нем на 0,67%. Приобретенные дочерние компании занимаются, главным образом, обслуживанием ранее построенных Группой многоквартирных домов. Ввиду небольшого количества обслуживаемых домов и сравнительно низкой маржинальности. Группа не идентифицировала каких-либо нематериальных активов, связанных с деятельностью данных компаний.</t>
  </si>
  <si>
    <t>Компания по обслуживаниюМЖК (многоквартирных жилых комплексов)</t>
  </si>
  <si>
    <t>В январе 2021 года Группа приобрела 100% долю в компании, владеющей земельным участком за 2 772 000 тыс. руб.. Обеспечительный платеж в сумме 250 млн руб., отраженный в составе авансов будет зачтен в счет оплатыстоимости приобретения.</t>
  </si>
  <si>
    <t>Компания, владеющая земельным участком</t>
  </si>
  <si>
    <t>В декабре 2018 года Группа продала связанной стороне два дочерних предприятия, оказывающих коммунальные услуги населению, в связи с решением сконцентрироваться на развитии своих ключевых компетенций в сфере строительства и девелопмента. Данные дочерние компании ранее не были классифицированы как предназначенные для продажи или прекращенная деятельность. Сравнительные показатели отчета о прибыли или убытке и прочем совокупном доходе были пересчитаны, чтобы представить прекращенную деятельность отдельно от продолжающейся деятельности.</t>
  </si>
  <si>
    <t>28 июня 2018 года Группа приобрела 74% в ООО «Самолет Две Столицы» и его дочерних предприятиях, которые реализуют девелоперский проект Мурино в Ленинградской области, за 7 тыс. руб.</t>
  </si>
  <si>
    <t>В первом полугодии 2019 года Группа через дочернее общество с долей участия 74% приобрела 100% долю в компании, владеющей земельным участком на правах аренды, на котором Группа в дальнейшем будет осуществлять девелоперский проект. Данная сделка была учтена как приобретение активов, так как компания не вела активную деятельность на дату приобретения. Стоимость приобретения с учетом дисконтирования до даты оплаты составила 1 108 695 тыс. руб. и была отнесена в состав запасов в сумме 981 678 тыс. руб. за вычетом справедливой стоимости финансовых активов и обязательств.</t>
  </si>
  <si>
    <t>Два дочерних предприятия, оказывающих коммунальные услуги населению</t>
  </si>
  <si>
    <t>19 декабря 2018 года Группа приобрела 100% в ООО «Некрасовка-Инвест» за 409 865 тыс. руб.
Данная сделка была учтена как приобретение активов, чистые активы приобретенного
предприятия составили 409 847 тыс. руб. Так как компания не вела активную деятельность на дату
приобретения, стоимость приобретения была отнесена главным образом на запасы в сумме
4 673 103 тыс. руб. и соответствующую кредиторскую задолженность. В стоимость приобретения
были включены финансовые активы и обязательства в размере 409 465 тыс. руб. и 150 000 тыс.
руб., соответственно, контрагентами по которым являлись компании Группы. Приобретенные
земельные участки были включены в состав запасов.</t>
  </si>
  <si>
    <t>В декабре 2017 года Группа продала связанной стороне несколько дочерних предприятий, предоставивших займы связанным сторонам и владевших земельными участками, под залог которых было получено банковское кредитование. Убытки дочерних предприятий, включенные в состав чистой прибыли за год, составили 73 млн руб., прибыль от их выбытия в размере 389 665 тыс. руб. была признана в составе капитала.</t>
  </si>
  <si>
    <t>Компании, владеющие земельными участками</t>
  </si>
  <si>
    <t>В декабре 2017 года Группа приобрела 65% в ООО «Мега-Сити» посредством взноса денежных средств в уставный фонд предприятия, ранее находившегося под контролем материнской компании. В результате приобретения материнская компании стала держателем 0,0066% вместо 66%. Таким образом, юридический контроль над предприятием был получен в 2017 году, тогда как общий контроль фактически существовал раньше. В соответствии с принятой Группой учетной политикой показатели приобретенного предприятия были включены в консолидированную финансовую отчетность на дату самого раннего из представленных в ней периодов, когда предприятие находилось под общим контролем.</t>
  </si>
  <si>
    <t>В 2018 году Группа приобрела земельные участки под строительство следующих очередей в одном из проектов Группы на сумму 2 954 540 тыс. руб.</t>
  </si>
  <si>
    <t>1 июля 2015 года Группа приобрела 100% долю в ООО «Милвертин» за 2 500 000 тыс. рублей с рассрочкой платежа до 2018 года. Справедливая стоимость вознаграждения с учётом дисконтирования составила 1 892 050 тыс. рублей на дату приобретения.</t>
  </si>
  <si>
    <t>В 2015 году Группа приобрела ООО «Природа» и ООО «Бухта-Лэнд» у связанной стороны, которые на дату приобретения владели участками земли, где Группа планирует в ближайшем будущем начать строительство жилой и коммерческой недвижимости для продажи. Величина вознаграждения была несущественной</t>
  </si>
  <si>
    <t>В 2018 году Группа приобрела земельные участки под строительство следующих очередей в проектах Группы на сумму 6 390 402 тыс. руб.</t>
  </si>
  <si>
    <t>АО "СГ-Девелопмент" (ПАО "Галс-Девелопмент")</t>
  </si>
  <si>
    <t>Во втором квартале 2020 года Группа продала покупателям контрольные доли в дочерних организациях, которым принадлежат проекты «Искра-Парк», ЖК «Сады Пекина», ЖК «Wine House», ЖК «Наследие», ЖК «Театральный дом», ЖК «Достояние», ЖК «Литератор»</t>
  </si>
  <si>
    <t>Дочерние организации, которым принадлежат проекты в недвижимости</t>
  </si>
  <si>
    <t>В декабре 2019 года Группа продала третьей стороне 100% акций АО «Кунцево-Инвест».</t>
  </si>
  <si>
    <t>В рамках реорганизации во втором квартале 2020 года Группа продала покупателям контрольные доли дочерних компаний, являющихся владельцами проектов «Искра-Парк», БЦ «Даниловский форт», «ЦДМ на Лубянке», а также объект инвестиционной недвижимости БЦ «SkyLight», переданный в операционную аренду. Данные проекты ранее относились к сегменту «Инвестиционная деятельность, переданная в операционную аренду».
В июне 2020 года Группа продала покупателю контрольные доли в дочерней организации, которой принадлежит гостиничный комплекс «Пекин». В июле 2020 года Группа продала покупателю дочерние организации, которым принадлежат гостиница «Swissotel Resort Сочи Камелия» и проект «Камелия» (апартаменты). Данные проекты относились ранее к сегменту «Гостиничная недвижимость».</t>
  </si>
  <si>
    <t>В апреле 2020 года Группа продала доли участия в капитале ЗАО «Эквивалент» с правом голоса в размере 50% и получила вознаграждение в сумме 3 798 млн. руб. Компания осуществляет деятельность в сфере девелопмента объектов недвижимости. Основным проектом компании является объект «Невская Ратуша», административный и общественно-деловой комплекс в г. Санкт-Петербурге. Балансовая стоимость инвестиции на 31 декабря 2019 г. была равна 0. Финансовый результат от сделки признан в размере 3 798 млн. руб. и отражен в составе строки «Прибыль от выбытия инвестиции в совместное предприятие».</t>
  </si>
  <si>
    <t>Группа владела 51% ООО «Альянс-Буд». В 2017 году Группа приняла решение о добровольном выходе из состава участников дочерней компании. Соответствующие изменения в реестр были внесены в 2018 году, что является датой потери Группой контроля.</t>
  </si>
  <si>
    <t>В марте 2017 года Группа продала третьей стороне 100% долей в уставном капитале компании ООО «Галс-Инвест Девелопмент», владеющей торговым-развлекательным комплексом «Лето», г. Санкт-Петербург.</t>
  </si>
  <si>
    <t>В феврале 2018 года Группа реализовала третьей стороне здание, справедливая стоимость которого на момент продажи составляла ноль руб. Денежные средства от продажи были получены в полном размере в 2017 году.</t>
  </si>
  <si>
    <t>В феврале 2017 года Группа реализовала третьей стороне нежилые помещения Башни Б в БЦ «SkyLight» общей площадью 4 467,4 кв.м. Справедливая стоимость переданных помещений и связанных с ними обязательств, составили 2 081 млн. руб. и 1 246 млн. руб. соответственно.</t>
  </si>
  <si>
    <t>В мае 2017 года Группа продала третьей стороне земельный участок, расположенный в г. Ялта, справедливая стоимость которого составляла 157 млн. руб.</t>
  </si>
  <si>
    <t>Здание</t>
  </si>
  <si>
    <t>В марте 2016 года Группа приобрела 100% доли в уставном капитале компании ООО «Лира» (г. Ростов-на-Дону) для реализации проекта строительства бизнес − комплекса Sheraton Rostov-on-Don Hotel &amp; Business Center, состоящего из офисного центра класса A, гостиницы и многоуровневой парковки. Размер вознаграждения составил 1 рубль.</t>
  </si>
  <si>
    <t>В сентябре 2016 года Группа продала 100% долей в уставном капитале компании ООО «Лира» (г. Ростов-на-Дону) за номинальную цену 1 рубль. Данная сделка была согласована с акционером Группы и по сути представляет собой прощение ранее признанного обязательства перед акционером Группы, включая начисленные проценты. Прощение обязательства от акционера было отражено как взнос от акционера в составе капитала.</t>
  </si>
  <si>
    <t>В 2018 году часть помещений «IQ-квартал» стоимостью 300 млн. руб. была продана.</t>
  </si>
  <si>
    <t>В ноябре 2017 года часть помещений «IQ-квартал» стоимостью 19 810 млн. руб. была продана</t>
  </si>
  <si>
    <t>В июле 2014 года Группа продала 74,9% долей в уставном капитале дочерней организации ООО «Горки-8», владеющей таунхаусами в Московской области в микрорайоне «Горки-8», третьей стороне (далее – «Покупатель») за номинальную цену в 1 рубль. В рамках данной сделки Группа также заключила договор новации с Покупателем, в соответствии с которым права требования Группы по займам, выданным ООО «Горки-8», были переданы в качестве оплаты 9,97% долей в уставном капитале Покупателя. Справедливая стоимость приобретенной инвестиции, отраженной в составе финансовых активов, имеющихся в наличии для продажи, составила 2 833 млн. руб. В результате финансовый результат от выбытия дочерней организации составил 2 810 млн. руб.</t>
  </si>
  <si>
    <t>11 декабря 2013 г. Группа продала 100% акций компании ЗАО «Престиж», владеющей частью проекта «Литератор» (здание без комплексной реконструкции), третьей стороне за денежное вознаграждение в размере 0,011 млн. руб.</t>
  </si>
  <si>
    <t>30 января 2012 г. Группа приобрела 50% акций компании SistemApsys S.A.R.L., владеющей торгово-развлекательным комплексом «Лето» в Санкт-Петербурге, за вознаграждение в размере 41,7 млн. долл. США (1 306 млн. руб.). В результате сделки доля участия Группы в указанной компании возросла до 100%.</t>
  </si>
  <si>
    <t>SistemApsys S.A.R.L.</t>
  </si>
  <si>
    <t>19 апреля 2012 г. Группа приобрела 100% акций ЗАО «СтройПромОбъект», владеющего 50% акций ЗАО «Галс-Технопарк», бывшего зависимого предприятия Группы, за 980 млн. руб. После приобретения доля участия Группы в ЗАО «Галс-Технопарк» составила 100%.</t>
  </si>
  <si>
    <t>20 мая 2011 года Группа приобрела пакет акций (50% + 1 акция) компании Citer Invest B.V. за 45,2 млн. долл. США (1 262 млн. руб.) и произвела взнос в уставный капитал в сумме 5 050 тыс. долл. США (156 млн. руб.) для целей реализации нового проекта «Многофункциональный комплекс с транспортным терминалом в составе ММДЦ «МоскваСити».</t>
  </si>
  <si>
    <t>50%+1акция</t>
  </si>
  <si>
    <t>Citer Invest B.V.</t>
  </si>
  <si>
    <t>1 марта 2011 года Группа приобрела 100% акций ОАО «ГОК «Пекин» за 1 706 млн. руб. для реставрации гостиничного комплекса «Пекин» и строительства на прилегающей территории многофункционального делового центра.</t>
  </si>
  <si>
    <t>Gandiva Enterprises Limited</t>
  </si>
  <si>
    <t>10 июня 2011 года Группа приобрела 50% акций Gandiva Enterprises Limited, владельца проекта Всеволжский, за денежное вознаграждение в размере 66 млн. руб. На дату получения контроля Группа провела переоценку ранее удерживаемой долевой инвестиции по справедливой стоимости и отразила убыток в размере 64 млн. руб.</t>
  </si>
  <si>
    <t xml:space="preserve">Группа владела 51% голосующих акций ЗАО «РТИ-Эстейт». В результате связанных сделок по реализации проекта «8 Марта» в октябре 2011 года Группа приобрела у третьей стороны 49% голосующих акций ЗАО «РТИ-Эстейт» за денежное вознаграждение в размере 42 млн. руб., а в декабре 2011 года Группа продала 100% голосующих акций ЗАО «РТИЭстейт» третьей стороне за денежное вознаграждение в размере 812 млн. руб. Из этой суммы по состоянию на 31 декабря 2011 г. Группа получила 82 млн. руб. Оставшееся вознаграждение будет оплачено в течение 36 месяцев с даты продажи ЗАО «РТИ-Эстейт». Справедливая стоимость причитающегося вознаграждения за реализацию 51% голосующих акций ЗАО «РТИ-Эстейт» в результате указанных связанных сделок составила 699 млн. руб. </t>
  </si>
  <si>
    <t>В 2012 году Группа продала земельный участок на ул. Б.Татарская и часть здания в
Настасьинском переулке с балансовой стоимостью 345 млн. руб. и 162 млн. руб.,
соответственно.</t>
  </si>
  <si>
    <t>Земельный участок и часть здания</t>
  </si>
  <si>
    <t>Saraya Russia</t>
  </si>
  <si>
    <t>В апреле 2010 года Группа приобрела 50% голосующих акций ЗАО "Эквивалент" за
2 344 млн. руб. ЗАО "Эквивалент" ведет строительство многофункционального комплекса
"Невская ратуша" в Санкт-Петербурге.</t>
  </si>
  <si>
    <t>В октябре 2010 года ЗАО "Галс-Технопарк" провело дополнительную эмиссию в размере 3 781 900 акций номинальной стоимостью 100 руб., из которых 1 890 900 акций были приобретены Группой за денежное вознаграждение в размере 757 млн. руб., а оставшаяся сумма была выплачена третьей стороной в виде имущественного вклада. В результате Группа осуществила условное выбытие ЗАО "Галс-Технопарк" (дочернего предприятия, ранее полностью принадлежавшего Группе), уменьшив свою долю участия в данной компании до 50%. В результате потери контроля Группа отразила убыток в размере 84 млн. руб.
В октябре 2010 года Группа продала 50%-ную долю участия в своем дочернем предприятии ЗАО "Галс-Технопарк" и перевела оставшуюся долю участия (50%) в состав инвестиций в зависимые предприятия, отразив ее по справедливой стоимости, которая на дату потери контроля составила 841 млн. руб. В 2010 году Группа признала прибыль от продажи 50% участия в компании ЗАО "Галс-Технопарк" в размере 40 млн. руб., как результат переоценки проекта "Поварская".</t>
  </si>
  <si>
    <t>ЗАО "Галс-Технопарк"</t>
  </si>
  <si>
    <t>Astanda Investments (Проект "Камелия")</t>
  </si>
  <si>
    <t>В 2007 году Группа, являвшаяся владельцем 100%-ой доли участия в проекте "Камелия" (строительство гостиничного комплекса "Камелия" в г. Сочи), продала половину своей доли в данном проекте (50%) третьей стороне, которой являлась компания Saraya Russia, за вознаграждение в размере 40 млн. долл. США.</t>
  </si>
  <si>
    <t>В мае 2010 года Группа приобрела у Saraya 50%-ную долю участия в компании Astanda Investments, которой принадлежит земельный участок под строительство гостиничного комплекса "Камелия" в Сочи, за 42 400 тыс. долл. США. Таким образом, в результате
указанной сделки Группа увеличила свою долю участия в Astanda Investments до 100%.
В 2010 году в соответствии с предусмотренными в договоре положениями Группа выкупила ранее проданную ею долю в размере 50%, поскольку сочла, что в противном случае она будет не в состоянии соблюдать все условия договора. Стоимость вознаграждения равнялась сумме, полученной ранее от Saraya Russia, плюс затраты, капитализированные в рамках реализации данного проекта, и составила 42,4 млн. долл. США (1 302 млн. руб.). На момент приобретения справедливая стоимость выплаченного вознаграждения существенно превышала справедливую стоимость приобретенного бизнеса. В результате данной сделки Группа отразила убыток в сумме 952 млн. руб. На дату получения контроля Группа провела переоценку ранее удерживаемой долевой инвестиции по справедливой стоимости и отразила убыток в размере 150 млн. руб.</t>
  </si>
  <si>
    <t>В июле 2009 года Группа продала 100% акций ЗАО «Сити-Галс» АФК «Система» за 1 834 тыс. долларов США.
Эта компания представляла собой бизнес-сегмент Facility Management. Продажа была учтена как сделка под общим контролем, в результате которой произошло уменьшение капитала на сумму 2 167 тыс. долларов США за вычетом налога на прибыль в сумме 364 тыс. долларов США на разницу между балансовой стоимостью проданных чистых активов и денежным вознаграждением, полученным от АФК «Система».</t>
  </si>
  <si>
    <t>В ноябре 2008 года Группа продала свою долю в двух предприятиях: ПСО «Система-Галс» и «Организатор», которые представляли сегмент управления проектами и строительством Группы. В результате сделки возник убыток от выбытия в размере 6 725 тыс. долларов США за вычетом налога на прибыль в размере 513 тыс. долларов США.
В результате данных операций строительство недвижимости стало единственным отчетным сегментом Группы по состоянию на 31 декабря 2009 г.</t>
  </si>
  <si>
    <t>АО "СГ-Девелопмент" (ПАО "Галс-Девелопмент") - Система-Галс</t>
  </si>
  <si>
    <t>В мае 2009 года «Система-Галс» продала АФК «Система» свои доли в ОАО «Мосдачтрест» (активы включали земельные участки и коттеджи) и ЗАО «Ландшафт» (активы включали земельные участки) на сумму 37 167 тыс. долларов США.
Эти компании вместе составляли бизнес-сегмент Группы «Управление активами».
Продажа была учтена как сделка под общим контролем, и разница между полученным денежным вознаграждением и балансовой стоимостью проданных чистых активов привела к уменьшению капитала на 13 340 тыс. долларов США за вычетом налога на прибыль в размере 2 325 тыс. долларов США.</t>
  </si>
  <si>
    <t>В августе 2009 года Группа продала свои инвестиции в акции «Ландшафт-2» несвязанным сторонам, в результате чего продала все земельные участки в коттеджном поселке «Аврора». Убыток от выбытия составил 24 546 тыс. долларов США.</t>
  </si>
  <si>
    <t>В декабре 2009 года Группа продала АФК «Система» собственные акции в количестве 841 282 штук на сумму 47 266 тыс. долларов США. Разница между полученным возмещением, полученным в результате погашения задолженности перед АФК «Система», и номинальной стоимостью проданных акций была учтена как уменьшение добавочного капитала в размере 45 660 тыс. долларов США.</t>
  </si>
  <si>
    <t>HALS</t>
  </si>
  <si>
    <t>OMIRICO LIMITED</t>
  </si>
  <si>
    <t>21 января 2011 года Группа приобрела 100% долю в уставном капитале ПТП, оператор по перевалке на экспорт нефти в порту Приморск, Ленинградская область, за денежное вознаграждение в размере 2 153 000 тыс. долл. у компании OMIRICO LIMITED. Группа также понесла расходы, связанные с приобретением, в размере 4 077 тыс. долл., которые были признаны в качестве расхода в отчете о прибылях и убытках в декабре 2010 года. Приобретая ПТП, руководство предполагает существенно увеличить масштабы своей деятельности и стать лидером в управлении портовым бизнесом в двух ключевых регионах России, в Северо-Западном и Южном бассейнах.</t>
  </si>
  <si>
    <t>ПАО "Новороссийский морской торговый порт" (ПАО "НМТП")</t>
  </si>
  <si>
    <t>В 2019 году Группа продала ООО «Деметра 1» (компания Группы ВТБ) 99.9968% доли участия в уставном капитале ООО «Новороссийский зерновой терминал» («НЗТ») за 35,758 млн руб. Право собственности на долю перешло к ООО «Деметра 1» 6 мая 2019 года.</t>
  </si>
  <si>
    <t>АО "Новороссийский судоремонтный завод"</t>
  </si>
  <si>
    <t>20 января 2017 года Группа выкупила 2.81% акций Судоремонтного завода за денежное вознаграждение в размере 148 млн. руб. Балансовая стоимость чистых активов Судоремонтного завода в консолидированной финансовой отчетности на дату приобретения акций составила 2 452 млн. руб. В результате данных сделок Группа отразила уменьшение стоимости чистых активов, приходящихся на неконтрольные доли владения, в размере 69 млн. руб. Превышение размера выплаченного вознаграждения над стоимостью приобретенной Группой доли в чистых активах в размере 79 млн. руб было признано в консолидированном отчете об изменениях в капитале как уменьшение нераспределенной прибыли.
20 января 2017 года в результате обязательного выкупа акций Судоремонтного завода было приобретено 174,845 акций, что привело к увеличению доли владения до 98.26%.</t>
  </si>
  <si>
    <t xml:space="preserve">В июле 2016 года Группа выкупила 30.27% акций Судоремонтного завода за денежное вознаграждение в размере 1 101 млн. руб. Балансовая стоимость чистых активов Судоремонтного завода в консолидированной финансовой отчетности на дату приобретения акций составила 2 026 млн. руб. В результате данных сделок Группа отразила уменьшение стоимости чистых активов, приходящихся на неконтрольные доли владения, в размере 613 млн. руб. Превышение размера выплаченного вознаграждения над стоимостью приобретенной Группой доли в чистых активах в размере 488 было признано в консолидированном отчете об изменениях в капитале как уменьшение нераспределенной прибыли.
На основании Федерального закона «Об акционерных обществах» у Компании возникло обязательство по направлению остальным акционерам Судоремонтного завода публичной оферты о приобретении у них акций. Выкуп акций у миноритариев в рамках процедуры обязательного выкупа произошел в январе 2017 года 
</t>
  </si>
  <si>
    <t>17 апреля 2017 года НМТП стал учредителем дочернего общества ООО «НМТП-Капитал» со 100% участием для осуществления функций финансового агента по привлечению публичного долга путем размещения облигационных займов, с последующим оказанием материнской компании услуг в реализации инвестиционных проектов. В качестве оплаты уставного капитала ООО «НМТП-Капитал» были внесены 262,912,311 казначейских акций, оценка рыночной стоимости которых была произведена независимым оценщиком и составила 1 591 млн. руб. В связи с тем, что ООО «НМТП-Капитал» входит в периметр консолидации, эта операция не оказала влияния на консолидированную финансовую отчетность.</t>
  </si>
  <si>
    <t>Стивидорная деятельность и дополнительные услуги порта</t>
  </si>
  <si>
    <t>Стивидорная деятельность и судоремонтные работы</t>
  </si>
  <si>
    <t>В течение года, закончившегося 31 декабря 2013 года, Группа выкупила 0.0098% акций ИПП за денежное вознаграждение в размере 900 млн. руб. Балансовая стоимость чистых активов ИПП в консолидированной финансовой отчетности на дату последнего приобретения акций составила 2 576 431 млн. руб. В результате данных сделок Группа отразила уменьшение стоимости чистых активов, приходящихся на неконтрольные доли владения, в размере 237 млн. руб. Превышение размера выплаченного вознаграждения над стоимостью приобретенной Группой доли в чистых активах в размере 663 млн. руб. было признано в консолидированном отчете об изменениях в капитале как уменьшение нераспределенной прибыли.</t>
  </si>
  <si>
    <t>NMTP</t>
  </si>
  <si>
    <t>1 октября 2018 года 1 417 475 акций, числящихся как собственные акции, выкупленные у акционеров, в разделе капитала на 31 декабря 2017 года, были проданы компании ООО «Транснефть-Сервис» за денежное вознаграждение в размере 10 млн. руб.</t>
  </si>
  <si>
    <t>В период с 24 февраля по 1 марта 2011 года НМТП выкупил 516,686,496 собственных акций по цене 4.9 руб. за акцию на общую сумму 2 531 764 тыс. руб. Расходы по выкупу собственных акций составили 3 713 тыс. руб. Выкуп был произведен согласно Федеральному закону «Об акционерных обществах» по одобрению Совета директоров НМТП от 4 февраля 2011 года. Группа отразила выкупленные акции на счете собственные акции, выкупленные у акционеров, в разделе капитала на 31 декабря 2011 и 2012 годов.</t>
  </si>
  <si>
    <t>Novoport Holding Ltd.</t>
  </si>
  <si>
    <t>26 сентября 2016 года 1 300 000 акций, числящихся как собственные акции, выкупленные у акционеров, в разделе капитала на 31 декабря 2015 года, были проданы компании Novoport Holding Ltd. за денежное вознаграждение в размере 8 млн. руб.</t>
  </si>
  <si>
    <t>4 октября 2016 года на лицевой счет НМТП были зачислены акции, приобретенные в рамках обязательного выкупа в количестве 262 912 311 по цене 8.22 рубля, на общую сумму  2 161 млн. руб. Расходы по выкупу собственных акций составили 5 млн. руб. Выкуп был произведен согласно Федеральному закону «Об акционерных обществах» по одобрению Совета директоров НМТП от 15 июня 2016 года. Группа отразила выкупленные акции по строке «Собственные акции, выкупленные у акционеров» в разделе капитала на 31 декабря 2016 года.</t>
  </si>
  <si>
    <t>В феврале 2022 года Компания приобрела 40% неконтролирующей доли в ООО «БалтТрансСервис» после получения Компанией одобрения Федеральной антимонопольной службы Российской Федерации и выполнения остальных предварительных условий, включая погашение оставшихся 8 800 000 тыс. руб. суммы покупки.</t>
  </si>
  <si>
    <t>В январе 2023 года Группа продала свою долю в 65,25% в Spacecom AS за 65 300 000 евро.</t>
  </si>
  <si>
    <t>В сентябре 2023 года Группа зарегистрировала новую кипрскую компанию и владеет 100% акций.</t>
  </si>
  <si>
    <t>GLTR Cyprus Limited</t>
  </si>
  <si>
    <t>Глобалтранс Инвестмент ПЛС (Globaltrans Investment PLC)</t>
  </si>
  <si>
    <t>Spacecom AS</t>
  </si>
  <si>
    <t>Операционная аренда подвижного состава</t>
  </si>
  <si>
    <t>Железнодорожный транспорт</t>
  </si>
  <si>
    <t>В течение 2020 года Компания приобрела в общей сложности 76 877 ГДР (каждая ГДР представляет собой одну обыкновенную акцию), находящихся в казначействе, на общую сумму 422 тысяч долларов США (что эквивалентно 31 496 тысячам рублей).</t>
  </si>
  <si>
    <t>В течение первых шести месяцев 2022 года Компания приобрела в общей сложности 345 780 ГДР, находящихся в казначействе, на общую сумму 832 тысяч долларов США (что эквивалентно 114 497 тысячам рублей).</t>
  </si>
  <si>
    <t>GLTR</t>
  </si>
  <si>
    <t>В 2021 г. Компания продала 60% акций ООО «СинтезРейл», которое, в свою очередь, владело 100% ООО «СинтезРейл», за общую сумму 1 128 000 тыс. руб., реализовав прибыль в размере 751 477 тыс. руб. Одним из трех покупателей является организация, контролируемая директором Компании.
Приток денежных средств от выбытия дочерних предприятий за вычетом выбывших денежных средств для целей консолидированного отчета о движении денежных средств составил 1 110 051 тыс. руб.</t>
  </si>
  <si>
    <t>В течение 2018 года Spacecom AS приобрела 100% акций Spacecom Trans AS у Компании и неконтролирующих акционеров за общую сумму 30 100 тысяч евро (что эквивалентно 2 391 761 тысяче рублей), из которых 837 116 тысяч рублей были приобретены. относится к неконтролирующей доле участия. В течение 2020 года была выплачена сумма в размере 180 281 тыс. руб., включая проценты, начисленные на остаток к оплате, в результате чего задолженность была полностью погашена.</t>
  </si>
  <si>
    <t>Spacecom Trans AS</t>
  </si>
  <si>
    <t>Глобалтранс Инвестмент ПЛС (Globaltrans Investment PLC) - Spacecom AS</t>
  </si>
  <si>
    <t>Операционная аренда подвижного состава и оказание транспортно-экспедиторских услуг</t>
  </si>
  <si>
    <t>20 февраля 2015 года Группа продала 40% акций SyntezRail Limited за общую сумму 198 тысяч рублей. Разница между полученным вознаграждением и балансовой стоимостью неконтролирующей доли в сумме 6 807 тыс. руб. была признана в составе нераспределенной прибыли.</t>
  </si>
  <si>
    <t>SyntezRail Limited</t>
  </si>
  <si>
    <t>27 февраля 2014 года Группа приобрела оставшиеся 3% акций ЗАО «Уральская вагоноремонтная компания» за общую сумму 2 433 тыс. руб., что привело к получению 100% доли в дочернем предприятии. Разница между уплаченным вознаграждением и балансовой стоимостью неконтролирующей доли участия в размере (20 169 тыс. руб.) была признана в составе нераспределенной прибыли.</t>
  </si>
  <si>
    <t>Железнодорожный транспорт (Ремонт и обслуживание подвижного состава)</t>
  </si>
  <si>
    <t>12 февраля 2013 года Группа завершила приобретение 100 процентов акционерного капитала ООО «Стальтранс» (ранее «ММК-Транс»), собственного грузового железнодорожного оператора Группы ММК, одного из крупнейших металлургических предприятий в России. Общая сумма вознаграждения составила 7 579 458 тыс. руб. Компания «Стилтранс» в основном занимается грузами Группы ММК, в первую очередь металлургическими грузами и углем. В рамках сделки Globaltrans заключила пятилетний контракт под гарантию Группы ММК на оказание ей услуг по железнодорожным перевозкам не менее 70% железнодорожных грузопотоков ММК. В результате приобретения Globaltrans рассчитывает еще больше укрепить свои позиции в качестве ведущей независимой частной группы грузовых железнодорожных перевозок в России.
На момент приобретения ООО «Стилтранс» Группа заключила опционное соглашение на приобретение 52,5% акционерного капитала Amalfico Holdings Limited, холдинговой компании, владеющей 97% акционерного капитала ЗАО «Уральская Вагоноремонтная Компания» ( ОВК), компания, предоставляющая услуги по ремонту вагонов. Эффективная доля участия в 46,1% ОВК контролировалась ООО «Стилтранс» и являлась частью приобретения. Опцион подлежал исполнению после завершения приобретения ООО «Стилтранс», срок его действия истекал 12 февраля 2014 года.
Учитывая потенциальные права голоса, реализуемый в настоящее время опцион «колл» предоставил Группе контроль в соответствии с МСФО (IFRS) 10 «Консолидированная финансовая отчетность» на момент заключения Группой этого опциона «колл» в феврале 2013 года, и, как следствие, ОВК была полна решимости быть дочерней компанией Компании с февраля 2013 года.
Гудвилл в размере 1 335 355 тыс. руб., возникший в результате приобретения «Стилтранса», обусловлен рядом факторов, таких как возможность извлечения операционной эффективности за счет обширного опыта руководства Группы в эксплуатации железнодорожных вагонов, а также доступа к грузовой базе ММК. что позволит Группе разработать более эффективные схемы логистики полувагонов с низким порожним пробегом. Гудвил в размере 185 155 тыс. руб. от приобретения ОВК возник в результате возможности получения потенциальной экономии затрат на услуги по ремонту и техническому обслуживанию железнодорожных вагонов.</t>
  </si>
  <si>
    <t>30 ноября 2013 года Группа заключила договор купли-продажи акций на приобретение 52,5% экономической доли в компании Amalfico Holdings Limited, которая, в свою очередь, владела 97% акций ЗАО «Уральская вагоноремонтная компания» (УВК). Соглашение было заключено при условии получения Группой одобрения сделки от Федеральной антимонопольной службы Российской Федерации и Антимонопольного комитета Украины, которые были получены до 24 января 2014 года. Группа сочла условия, указанные в соглашении, несущественными и носит чисто процедурный характер, учитывая размер Уральской вагоноремонтной компании и тот факт, что Группа не занималась какой-либо деятельностью по ремонту вагонов до данного приобретения. Таким образом, сделка была учтена на дату заключения договора купли-продажи акций. Группа уже консолидировала Amalfico Holding Limited и ЗАО «Уральская вагоноремонтная компания» в соответствии с реализуемым в настоящее время опционом, действовавшим с момента приобретения ООО «ММК-Транс», поэтому приобретение 52,5% доли в Amalfico Holdings Limited было учтено как приобретение неконтролирующей доли участия, произошедшее 30 ноября 2013 года.
Приобретение неконтролирующей доли участия в УВК было осуществлено за 1 доллар США. Разница между вознаграждением и балансовой стоимостью неконтролирующей доли участия в УВК в размере (298 971 тыс. руб.) была перенесена в состав нераспределенной прибыли. В результате вышеуказанной сделки Группа получила 97% акций УВК.</t>
  </si>
  <si>
    <t>15 мая 2012 года группа завершила покупку 100% акционерного капитала ООО «Ферротранс» («ФТ») (ранее ООО «Металлоинвесттранс»), оператора грузовых железнодорожных перевозок. Основной деятельностью FT является управление железнодорожной логистикой Металлоинвеста, ведущего мирового производителя железной руды и горячебрикетированного железа, базирующегося в России, с использованием собственного и арендованного парка вагонов, а также парка, привлеченного у сторонних операторов.
В результате приобретения Globaltrans рассчитывает еще больше укрепить свои позиции в качестве ведущей независимой частной группы грузовых железнодорожных перевозок в России.
В рамках сделки Globaltrans и Металлоинвест заключили трехлетний сервисный контракт. В соответствии с этим контрактом Globaltrans будет предоставлять Металлоинвесту железнодорожные грузовые перевозки и логистические услуги, обрабатывая 100% всех объемов железнодорожных перевозок в первый год на основе согласованных ценовых условий и не менее 60% в последующие два года на основе « Принцип права преимущественной покупки.
ФТ приобретена через ОАО «Новая транспортно-экспедиторская компания», 100% дочернее общество Компании, и профинансирована за счет собственных средств Группы и кредитных средств. 1 ноября 2012 года доля в уставном капитале FT была передана от НФК Компании.</t>
  </si>
  <si>
    <t>2 января 2012 года в соответствии с решением внеочередного общего собрания акционеров, состоявшегося 20 декабря 2011 года, Компания завершила приобретение 3 637 117 собственных обыкновенных акций у Envesta Investments Limited по цене 11,87 долларов США за акцию на общую стоимость 43 172 579 долларов США.</t>
  </si>
  <si>
    <t>После размещения 12 июля 2012 г. глобальных депозитарных расписок 17 июля 2012 г. Компания выпустила 20 605 383 новых обыкновенных акций из объявленного акционерного капитала как полностью оплаченные по цене 16,50 долларов США (включая премию в размере 16,40 долларов США за акцию). В рамках размещения Компания продала 3 637 117 обыкновенных акций, находящихся в казначействе, по цене 16,50 долларов США за акцию на общую стоимость 60 012 430 долларов США.
Расходы, непосредственно связанные с выпуском новых акций, в сумме 9,684 тыс. долларов США были капитализированы в счет эмиссионного дохода. В эти расходы включена сумма в размере 57 тысяч долларов США за услуги по аудиторской деятельности, предоставленные обязательной аудиторской фирме Компании.</t>
  </si>
  <si>
    <t>4 ноября 2011 года Компания приобрела 1 000 вновь выпущенных акций своей дочерней компании Ingulana Holdings Limited на общую сумму 74 500 тысяч долларов США, тем самым увеличив свою долю в этой компании до 60%.</t>
  </si>
  <si>
    <t>10 ноября 2011 года Ingulana Holdings Limited приобрела оставшиеся 10% выпущенных акций Ultracare Holdings Limited, дочерней компании Компании, которая владеет 100% долей в ООО «БалтТрансСервис», за общее денежное вознаграждение в размере 74 500 тысяч долларов США.
В результате вышеуказанных сделок Группа фактически приобрела 10% дополнительной доли в ООО «БалтТрансСервис» и была освобождена от обязательства по выплате минимальных дивидендов, которые она признала в 2009 году в отношении будущей прибыли Ultracare Holdings Limited и ООО «БалтТрансСервис».
Балансовая стоимость неконтролирующей доли участия в Ultracare Holdings Limited и ООО «БалтТрансСервис» на дату приобретения составляла 10 834 тыс. долларов США, а балансовая стоимость обязательства по выплате минимальных дивидендов на дату погашения такого обязательства составляла 11 588 тыс. долларов США. Группа прекратила признание неконтролирующей доли участия в размере 10,834 тысяч долларов США, обязательств по выплате минимальных дивидендов в размере 11,588 тысяч долларов США и отразила уменьшение нераспределенной прибыли, причитающейся владельцам Компании, в размере 52,078 тысяч долларов США в отношении данного приобретения.</t>
  </si>
  <si>
    <t>1 декабря 2011 года Компания приобрела у своей Материнской компании 1 700 акций AS Spacecom, что составляет 4,25% выпущенных акций этой компании, на общую сумму 7 200 тысяч долларов США. Балансовая стоимость неконтролирующей доли участия на дату приобретения составляла 5,073 тыс. долларов США.
Группа прекратила признание неконтролирующей доли участия в сумме 5,073 тысяч долларов США и отразила уменьшение нераспределенной прибыли, причитающейся владельцам Компании, в размере 2,127 тысяч долларов США в связи с данным приобретением.</t>
  </si>
  <si>
    <t>Ingulana Holdings Limited</t>
  </si>
  <si>
    <t>Холдингвая компаничя</t>
  </si>
  <si>
    <t>материанская компания</t>
  </si>
  <si>
    <t>Глобалтранс Инвестмент ПЛС (Globaltrans Investment PLC) - Ingulana Holdings Limited</t>
  </si>
  <si>
    <t>После размещения 9 декабря 2009 г. глобальных депозитарных расписок 14 декабря 2009 г. Компания выпустила 11 764 705 новых обыкновенных акций из объявленного акционерного капитала как полностью оплаченные по цене 8,50 долларов США (включая премию в размере 8,40 долларов США за акцию). . В рамках размещения существующие акционеры также продали населению 8 782 352 акции.
Расходы, непосредственно связанные с выпуском новых акций, на сумму 3,800 тыс. долларов США, были отнесены в счет эмиссионного дохода.</t>
  </si>
  <si>
    <t>30 декабря 2009 года Группа приобрела 100% акций Ekolinja OY, финской компании, занимающейся субарендой подвижного состава, главным образом, клиентам в России, за общую сумму 14 тысяч долларов США. Поскольку приобретение произошло в конце года, приобретенный бизнес не принес никакого дохода и чистой прибыли в 2009 году. Справедливая стоимость приобретенных идентифицируемых чистых активов была оценена в 29 тысяч долларов США, следовательно, в данной финансовой отчетности был признан отрицательный гудвил в размере 15 тысяч долларов США.</t>
  </si>
  <si>
    <t>Финляндия</t>
  </si>
  <si>
    <t>Ekolinja OY</t>
  </si>
  <si>
    <t>19 марта 2008 года Компания изменила свой уставный капитал с 10 000 000 акций номинальной стоимостью 1 доллар США за акцию до 100 000 000 акций номинальной стоимостью 0,10 доллара США за акцию. Компания также увеличила общее разрешенное количество обыкновенных акций до 116 959 064 акций номинальной стоимостью 0,10 доллара США за акцию.
После первичного публичного размещения (IPO) глобальных депозитарных расписок 30 апреля 2008 г., состоявшегося 6 мая 2008 г., Компания выпустила 16 959 064 новых обыкновенных акций из объявленного акционерного капитала как полностью оплаченные по цене 13,25 долларов США (включая премию в размере 13,25 долларов США). 13,15 долларов США за акцию). В рамках IPO существующие акционеры также продали публично 18 543 791 акцию Компании.
Расходы, непосредственно связанные с выпуском новых акций, в сумме 5,427 тысяч долларов США были капитализированы в счет эмиссионного дохода.</t>
  </si>
  <si>
    <t>1 августа 2008 года Группа приобрела вагоноремонтное депо «Иваново» у ОАО «РЖД». Данное объединение бизнеса не представляло собой приобретение юридического лица. Депо оказывает услуги по ремонту вагонов.
Приобретенный бизнес принес Группе выручку в размере 273 тысяч долларов США и чистую прибыль в размере 5 тысяч долларов США за период с даты приобретения по 31 декабря 2008 года. Если бы приобретение произошло 1 января 2008 года, выручка Группы за 2008 год составила бы долларов США. $383 тыс., а чистая прибыль за 2008 г. была бы на $6 тыс. выше.
Вознаграждение за покупку включает в себя уплаченные денежные средства в размере 4 589 тысяч долларов США (включая входящий НДС в размере 460 тысяч долларов США, возмещаемый
бюджет). Вознаграждение, уплаченное Группой (за вычетом НДС), равнялось оценочной справедливой стоимости приобретенных идентифицируемых активов, представленных основными средствами (никаких других активов или обязательств, как текущих, так и условных, приобретено не было).</t>
  </si>
  <si>
    <t>Neteller Holdings Limited</t>
  </si>
  <si>
    <t>До декабря 2005 года Группа напрямую владела 50% акций совместного предприятия ООО «Фирма «Трансгарант». 15 ноября 2005 года было создано посредническое совместное холдинговое предприятие Neteller Holdings Limited, в котором 21 декабря 2005 года участники совместного предприятия внесли 100% акций ООО «Фирма «Трансгарант» и в котором Группа снова имела 50% акций. Совместное предприятие не котировалось на бирже и занималось железнодорожными перевозками.
15 ноября 2005 года Компания и Transwagonleasing Limited, участники совместного предприятия ООО «Фирма «Трансгарант», зарегистрированного в промежуточном совместном предприятии Neteller Holdings Limited, и каждый участник внес свою долю в совместное предприятие по балансовой стоимости.
В течение 2006 года каждый из участников совместного предприятия внес вклад в размере 8,125 тысяч долларов США.
В сентябре 2006 года Группа продала свои 50% акций Neteller Holdings Limited за общую сумму 80 000 тысяч долларов США. Балансовая стоимость выбывших чистых активов составила 64,530 тысяч долларов США. Прибыль от продажи компании составила US$15,470 тыс.</t>
  </si>
  <si>
    <t>В октябре 2007 года Группа продала свою долю в FT Fertilisertrans Holding Limited, которая составляла 80% акционерного капитала FT Fertilisertrans Holding Limited. Группа получила 65 тысяч долларов США и получила прибыль в размере 42 тысяч долларов США.
Однако, поскольку на дату продажи компания FT Fertilisertrans Holding Limited имела денежные средства и их эквиваленты в размере 53 тысяч долларов США, чистый приток денежных средств составил 12 тысяч долларов США. Выбытие доли меньшинства составило убыток в размере 6 тысяч долларов США.</t>
  </si>
  <si>
    <t>FT Fertilisertrans Holding Limited</t>
  </si>
  <si>
    <t>В октябре 2007 года Группа продала свою 100% долю в ООО «НПК Финанс» за общую сумму 6 тысяч долларов США и не получила ни прибыли, ни убытка. Однако, поскольку ООО «НПК Финанс» на дату продажи имело денежные средства и их эквиваленты в размере 3 тысяч долларов США, чистый приток денежных средств составил 3 тысячи долларов США.</t>
  </si>
  <si>
    <t>В декабре 2007 года Группа продала своим акционерам 75% акций Amalfico Holdings Limited на общую сумму 2,259 тыс. долларов США. Однако, поскольку на дату продажи Amalfico Holdings Limited имела денежные средства и их эквиваленты в размере 3,681 тыс. долларов США, это привело к чистому оттоку денежных средств в размере 1,422 тыс. долларов США. В результате продажи Группа получила прибыль в размере 1,855 тысяч долларов США. Сумма реализованной доли меньшинства составила 325 тысяч долларов США. В результате Группа также продала ЗАО «Уральская вагоноремонтная компания», в котором Amalfico Holdings Limited владела 97% акционерного капитала, а Группа косвенно владела 73%.</t>
  </si>
  <si>
    <t>Amalfico Holdings Limited</t>
  </si>
  <si>
    <t>В октябре 2006 года Компания продала 20% своей инвестиции в FT Fertilisertrans Holding Limited за 4,5 тысяч долларов США.</t>
  </si>
  <si>
    <t>В октябре 2006 года компания FT Fertilisertrans Holding Limited учредила 100% дочернюю компанию под названием ООО «Агрохимтранс», зарегистрированную в Российской Федерации, с уставным капиталом 1 000 тыс. руб.</t>
  </si>
  <si>
    <t>В августе 2006 г. в соответствии с договором купли-продажи акций от 7 августа 2006 г. Группа приобрела 74,998% акций Amalfico Holdings Limited, Кипр.
За это приобретение Компания заплатила 84 тыс. долларов США наличными.</t>
  </si>
  <si>
    <t>В январе 2006 года Группа совместно с третьей стороной учредила дочернюю компанию под названием FT Fertilisertrans Holding Limited, зарегистрированную на Кипре, с уставным капиталом в 10 тысяч кипрских фунтов. В марте 2006 г. в соответствии с договором о покупке акций от 29 марта 2006 г. Группа приобрела оставшиеся 50% акций FT Fertilisertrans Holding Limited, Кипр. За это приобретение Компания заплатила 10 тысяч долларов США наличными.</t>
  </si>
  <si>
    <t>Глобалтранс Инвестмент ПЛС (Globaltrans Investment PLC) - FT Fertilisertrans Holding Limited</t>
  </si>
  <si>
    <t>В июле 2006 года компания Amalfico Holdings Limited учредила ЗАО «Уральская Вагоноремонтная Компания» — российскую дочернюю компанию, основной деятельностью которой является оказание услуг по ремонту вагонов, с долей 97% уставного капитала компании с уставным капиталом 81 000 тыс. руб.</t>
  </si>
  <si>
    <t>В августе 2005 года Группа учредила 100% дочернюю компанию под названием ООО «НПК Финанс», зарегистрированную в Российской Федерации, с уставным капиталом в размере 1 000 тысяч рублей (35 тысяч долларов США).</t>
  </si>
  <si>
    <t>Глобалтранс Инвестмент ПЛС (Globaltrans Investment PLC) - Amalfico Holdings Limited</t>
  </si>
  <si>
    <t>Глобалтранс Инвестмент ПЛС (Globaltrans Investment PLC) - Transportation Investments Holding Limited</t>
  </si>
  <si>
    <t>В мае 2007 года Компания приобрела у своих акционеров долю в железнодорожной транспортной компании ООО «Севтехнотранс». 28,75% уставного капитала ООО «Севтехнотранс» было приобретено за общую сумму 40,250 тыс. долларов США. Оставшийся акционерный капитал (71,25%) стоимостью 99,750 тысяч долларов США был передан безвозмездно в качестве вклада в капитал. Приобретение ООО «Севтехнотранс» было учтено как сделка общего контроля с использованием метода предшественника. Балансовая стоимость чистых активов по состоянию на 1 октября 2004 года была использована для учета резерва по операциям под общим контролем, поскольку это дата установления общего контроля.
При приобретении ООО «Севтехнотранс» компанией Transportation Investments Holding Limited 1 октября 2004 года его чистые активы были консолидированы в финансовой отчетности Transportation Investments Holding Limited с использованием метода предшествующей консолидации, т.е. с использованием балансовой стоимости участников совместного предпринимательства, примененной на дату формирования совместное предприятие, поскольку данная сделка была учтена как образование совместного предприятия.
Приобретенный бизнес принес доходы в размере 70,434 тысяч долларов США и чистую прибыль в размере 24,084 тысяч долларов США в 2007 году, доходы в размере 72,562 тысяч долларов США и чистую прибыль в размере 30,842 тысяч долларов США в 2006 году, а также доходы в размере 121,860 тысяч долларов США и чистую прибыль в размере 11,096 тысяч долларов США в 2005 году. суммы были рассчитаны с использованием учетной политики Группы.</t>
  </si>
  <si>
    <t>Spacecom AS и 65% акций Intopex Trans AS</t>
  </si>
  <si>
    <t>Globaltrans приобретает 61% акций Spacecom AS («Spacecom») и 65% акций Intopex Trans AS («Intopex») у Transportation Investment Holding Limited («TIHL») («Сделка»). TIHL является владельцем 50,1% акций Globaltrans.
Spacecom и Intopex — зарегистрированные в Эстонии компании, которые вместе владеют 4152 современными железнодорожными цистернами, сданными в аренду в основном на рынки России и Казахстана.
Миноритарные пакеты останутся исключительно за менеджментом соответствующих компаний.
Общая цена Сделки составляет 79 млн долларов США, что ниже нижней точки совокупного диапазона оценки 61% капитала Spacecom и 65% капитала Intopex, включенного в заключение о справедливости, предоставленное ING Bank N.V, лондонским филиалом.
Оценка сделки предполагает цену в размере c. 50 800 долларов США за железнодорожную цистерну (с учетом прочих основных средств, таких как ремонтное депо, 8 локомотивов и т. д., за нулевую стоимость)
Отсрочка платежа цены Сделки пятью платежами в течение следующих 2 лет: - до 10 января 2009 года – 30 млн долларов США; - к 1 мая 2009 года - 10 млн. долларов США; - к 1 ноября 2009 года – 13 млн долларов США; - к 1 мая 2010 года - 13 млн долларов США; - к 1 ноября 2010 года – 13 млн долларов США; - с 1 июня 2009 года к непогашенному остатку будет применяться годовая процентная ставка в размере 15%.
Закрытие сделки ожидается к концу 2008 года</t>
  </si>
  <si>
    <t>MBNK</t>
  </si>
  <si>
    <t>gzpr</t>
  </si>
  <si>
    <t>zent</t>
  </si>
  <si>
    <t>15 апреля 2014 г. компания Группы заключила соглашение с компанией группы Sinopec о продаже
50% доли в компании Caspian Investment Resources Ltd., занимающейся добычей углеводородов в
Казахстане. 3 июня 2015 г. компания Группы подписала с компанией группы Sinopec новое
соглашение о продаже, заменяющее первоначальное, по цене 1 067 млн долл. США (77,8 млрд руб.).
Завершение сделки, требовавшей согласования с государственными органами, состоялось
20 августа 2015 г. В 2015 г. Группа признала убыток от обесценения данных активов в сумме
4 975 млн руб., который отражен в составе статьи «Прочие расходы» консолидированного отчета о
прибылях и убытках и прочем совокупном доходе.</t>
  </si>
  <si>
    <t>В декабре 2013 г., получив одобрение европейских регулирующих органов, Группа приобрела оставшуюся 20%-ю долю в совместном предприятии по управлению нефтеперерабатывающим комплексом «ИСАБ» (Приоло, Италия) за 446 млн евро (около 613 млн долл. США) после окончательных корректировок, увеличив таким образом свою долю в совместном предприятии с 80 до 100%. Сделка была совершена в соответствии с условиями, определенными первоначальным соглашением 2008 г. о создании совместного предприятия. Данное соглашение предоставляло второму участнику – компании «ERG S.p.A.» пут-опцион по поэтапной продаже Группе всей его доли в данном совместном предприятии. Группа получила контроль над «ИСАБ» в сентябре 2012 г., когда в рамках соглашения приобрела 20% акций совместного предприятия за 494 млн евро (около 621 млн долл. США) и увеличила свою долю до 80%.</t>
  </si>
  <si>
    <t>В апреле 2013 г., получив одобрение Федеральной антимонопольной службы, в рамках стратегии роста объемов добычи нефти на территории России Компания приобрела 100% акций ЗАО «СамараНафта» за 2,1 млрд долл. США после окончательных корректировок. ЗАО «Самара-Нафта» занимается разведкой и добычей углеводородов в Самарской и Ульяновской областях Российской Федерации. В качестве распределения стоимости приобретения Группа признала 2 384 млн долл. США основных средств, 183 млн долл. США оборотных активов, 311 млн долл. США обязательств по отложенному налогу на прибыль и 142 млн долл. США краткосрочных обязательств. Стоимость основных средств была определена независимым оценщиком.</t>
  </si>
  <si>
    <t>В апреле-мае 2013 г. компании Группы приобрели оставшиеся 50% акций ЗАО «Кама-ойл» за 400 млн долл. США, увеличив долю Группы до 100%. В результате данного приобретения Группа получила контроль над ЗАО «Кама-ойл», занимающимся разведкой и добычей углеводородов в Пермском крае Российской Федерации, и консолидировала его.</t>
  </si>
  <si>
    <t>В марте 2020 года в результате приобретения Группой обыкновенных акций «Газпромбанк» (Акционерное общество) у одного из его акционеров доля Группы в голосующих акциях увеличилась с 47,87 % до 49,88 %.</t>
  </si>
  <si>
    <t>В декабре 2019 года Группа приобрела 100 % обыкновенных акций АО «РЭП Холдинг» (сокращенное наименование – АО «РЭПХ») за 10 000 млн руб. с оплатой денежными средствами. 25 % обыкновенных акций АО «РЭПХ» было приобретено у АО «Газпромбанк – Управление активами», которое является дочерней организацией «Газпромбанк» (Акционерное общество), за 2 500 млн руб. Дополнительным условием сделки являлась обязанность привлечения Группой кредита в «Газпромбанк» (Акционерное общество) для погашения кредитных обязательств АО «РЭПХ» перед ним, не исполненных на дату покупки, сроком на три года по процентной ставке, равной ключевой ставке ЦБ РФ, действующей в соответствующий период.
Целью приобретения АО «РЭПХ» является развитие производства оборудования, как для газотранспортных систем (ГТС), так и для использования на электроэнергетических предприятиях и предприятиях нефтяной отрасли.
АО «РЭПХ» владеет рядом дочерних организаций (далее – Группа РЭПХ), наиболее существенной из которых является ЗАО «НЗЛ». Основными видами деятельности Группы РЭПХ является проектирование, разработка, изготовление,
монтаж, продажа, а также сервисное и гарантийное обслуживание турбокомпрессорного и энергетического оборудования. На дату приобретения доля владения Группы в уставном капитале АО «РЭПХ» составила 100 %, а эффективная доля владения Группы – 72 %.
В случае если бы приобретение произошло 1 января 2019 года, выручка от продаж Группы за год, закончившийся 31 декабря 2019 года, увеличилась бы на 10 523 млн руб., а прибыль до налогообложения Группы за год, закончившийся 31 декабря 2019 года, уменьшилась бы на 2 794 млн руб. Справедливая стоимость дебиторской задолженности, полученной в результате совершения сделки, составляет 8 960 млн руб. по состоянию на 31 декабря 2019 года. Валовая сумма дебиторской задолженности к получению на дату покупки составляет 8 857 млн руб. Наилучшая оценка потоков денежных средств, которые, согласно ожиданиям, не будут взысканы, составляет 103 млн руб. на дату приобретения.</t>
  </si>
  <si>
    <t>В январе 2016 года ПАО «Газпром» продало свою долю в размере 25 % в АО «Газум» Правительству Финляндии за 251 млн евро.</t>
  </si>
  <si>
    <t>В июле 2015 года Группа стала собственником 100 % акций «Штокман Девелопмент АГ». До даты покупки Группа владела 75 % акций организации и учитывала инвестицию как вложение в совместное предприятие по методу долевого участия. По состоянию на дату покупки финансовое вложение в «Штокман Девелопмент АГ» было полностью обесценено. Резерв под обесценение финансовых вложений составил 27 378 млн руб. Группа выкупила оставшиеся 25 % акций «Штокман Девелопмент АГ» у «Тоталь Штокман Б.В.» за 25 тыс. швейцарских франков (2 млн руб.) в соответствии с условиями Соглашения с акционерами. Оплата произведена денежными средствами.</t>
  </si>
  <si>
    <t>В декабре 2014 года Группа стала собственником 100 % акций организации «Саус Стрим Транспорт Б.В.», ответственной за морскую часть проекта «Южный поток», выкупив доли «ЭДФ Интернешнл С.А.С.», «Винтерсхалл Холдинг ГмбХ» и «ЭНИ Интернешнл Б.В.» за 883 млн евро, оплаченных денежными средствами. В результате приобретения Группа получила контроль над «Саус Стрим Транспорт Б.В.»</t>
  </si>
  <si>
    <t>ПАО "Московская объединенная энергетическая компания"</t>
  </si>
  <si>
    <t>В сентябре 2013 г. Группа приобрела 89,98% обыкновенных акций ОАО «Московская объединенная энергетическая компания» (ОАО «МОЭК») и имущество, технологически относящееся к тепловому комплексу г. Москвы, за 99 866 млн. руб., включая НДС по
приобретенному имуществу в сумме 1 246 млн. руб., c оплатой денежными средствами. В результате приобретения Группа получила контроль над операционной и финансовой деятельностью ОАО «МОЭК». С учетом выкупленных собственных акций ОАО «МОЭК» эффективная доля Группы составила 98,77%.
В случае если бы приобретение произошло 1 января 2013 г., выручка от продаж Группы и прибыль Группы за год, закончившийся 31 декабря 2013 г., составили бы 5 291 256 млн. руб. и 1 160 092 млн. руб. соответственно.</t>
  </si>
  <si>
    <t>В мае 2012 года Группа приобрела 18,48% обыкновенных акций ОАО «Газпром нефтехим Салават» за 18 458 млн. руб. c оплатой денежными средствами, увеличив долю до 87,51%, в результате чего Группа получила контроль над операционной и финансовой деятельностью ОАО «Газпром нефтехим Салават». За период с сентября 2012 г. по июнь 2013 г. Группа совершила серию сделок, в результате которых приобрела дополнительно 12,49% обыкновенных акций ОАО «Газпром нефтехим Салават» за 12 476 млн. руб. с оплатой денежными средствами, в результате чего доля Группы в ОАО «Газпром нефтехим Салават» составила 100%. Разница между уплаченными денежными средствами и стоимостью неконтролирующей доли участия в сумме 9 842 млн. руб. была признана в капитале и отражена в составе нераспределенной прибыли и прочих резервов</t>
  </si>
  <si>
    <t>SNOS</t>
  </si>
  <si>
    <t>В декабре 2008 г. Группа приобрела 50% обыкновенных акций плюс одну обыкновенную акцию в ОАО «Газпром нефтехим Салават» за 20 959 млн. руб. c оплатой денежными средствами. После чего Группа получила возможность оказывать значительное влияние, консолидация инвестиции в ОАО «Газпром нефтехим Салават» происходила по методу долевого участия.</t>
  </si>
  <si>
    <t>За период с ноября 2011 г. до декабря 2011 г. Группа совершила серию сделок, в результате которых приобрела дополнительно 19,03% обыкновенных акций ОАО «Газпром нефтехим Салават» за 19 008 млн. руб. c оплатой денежными средствами. Несмотря на имеющуюся долю в 69,03%, по состоянию на 31 декабря 2011 г. инвестиция в общество продолжала отражаться по методу долевого участия, поскольку Группа не контролировала деятельность общества в соответствии с положениями учредительных документов.</t>
  </si>
  <si>
    <t>За период с июня 2007 года до февраля 2010 года Группа совершила серию сделок, в результате которых приобрела 50% долю в ОАО «Белтрансгаз». Оплата производилась посредством четырех равных платежей по 625 млн. долл. США за каждые 12,5% акций. С февраля 2008 года, когда доля Группа увеличилась до 25% и Группа получила возможность оказывать значительное влияние, консолидация инвестиций в ОАО «Белтрансгаз» происходила по методу долевого участия.</t>
  </si>
  <si>
    <t>В ноябре 2011 года Группа подписала соглашение с Государственным комитетом по имуществу Республики Беларусь о приобретении оставшейся 50% доли в ОАО «Белтрансгаз» за 2 500 млн. долл. США с оплатой денежными средствами. В декабре 2011 года сделка была завершена. В результате доля Группы увеличилась до 100% и Группа получила контроль над операционной и финансовой деятельностью ОАО «Белтрансгаз». В соответствии с МСФО (IFRS) 3 «Объединение компаний» Группа признала приобретенные активы и обязательства по справедливой стоимости. По состоянию на 31 декабря 2012 г. Группа завершила предварительную оценку справедливой стоимости приобретенных активов и обязательств в соответствии с МСФО (IFRS) 3 «Объединение компаний». Стоимость приобретения состоит из суммы денежных средств, оплаченных за 50% акций ОАО «Белтрансгаз», приобретенных в декабре 2011 года, в размере 78,3 млрд. руб. (2,5 млрд. долл. США), а также справедливой стоимости ранее приобретенного вложения в 50% акций ОАО «Белтрансгаз», учитываемого по методу долевого участия, в размере 34,3 млрд. руб.
В случае если бы приобретение произошло 1 января 2011 года, выручка от продаж Группы за год, закончившийся 31 декабря 2011 года, составила бы 4 695 157 млн. руб. Прибыль за период за год, закончившийся 31 декабря 2011 года, составила бы 1 336 248 млн. руб., соответственно. Гудвил признан вследствие эффективной интеграции газотранспортных систем России и Республики Беларусь, что нивелирует транзитные риски, предоставляя дополнительные гарантии сбыта газа на долгосрочную перспективу на соответствующем рынке. Присоединение ОАО «Белтрансгаз» позволило Группе активно участвовать в развитии газовой инфраструктуры Республики Беларусь, что особенно важно для обеспечения ее синхронизации с развитием мощностей компании в России. В апреле 2013 г. компания ОАО «Белтрансгаз» была переименована в ОАО «Газпром трансгаз Беларусь».</t>
  </si>
  <si>
    <t>Сибирь Энерджи Лтд.</t>
  </si>
  <si>
    <t>14 февраля 2011 г. Совет директоров компании «Сибирь Энерджи Лтд.» принял решение об уменьшении уставного капитала компании на 86,25 млн. акций (22,39%). ОАО «Центральная топливная компания», аффилированное с Правительством г. Москвы, приняло решение о выходе из состава владельцев «Сибирь Энерджи Лтд.» в обмен на денежную компенсацию в размере 740 млн. долл. США. В результате данной сделки с 15 февраля 2011 г. доля Группы в «Сибирь Энерджи Лтд.» составила 100%. Вследствие уменьшения уставного капитала «Сибирь Энерджи Лтд.» Группа увеличила эффективную долю участия в ОАО «Газпромнефть-МНПЗ» с 66,04% до 74,36%. В результате данной транзакции разница между стоимостью неконтролирующей доли участия и переданным возмещением в сумме 5 405 млн. руб. была признана в капитале и отражена в составе нераспределенной прибыли и прочих резервов.</t>
  </si>
  <si>
    <t>В декабре 2010 г. Группа Газпром продала 9,4% акций ОАО «НОВАТЭК» стороне, не аффилированной с Группой Газпром за 57 462 млн. руб. Оплата была произведена денежными средствами. Проданный пакет акций являлся частью инвестиции Группы Газпром в ассоциированную компанию ОАО «НОВАТЭК»; полная балансовая стоимость инвестиции составляла 84 978 млн. руб. на дату выбытия указанной доли. В результате данной операции Группа Газпром перестала оказывать значительное влияние на хозяйственную деятельность ОАО «НОВАТЭК». Таким образом, оставшаяся 9,99% доля была отнесена к долгосрочным финансовым активам, имеющимся в наличии для продажи и отражена по справедливой стоимости в сумме 104 484 млн. руб. на дату сделки .
Прибыль от данной операции, отраженная в консолидированном отчете о совокупном доходе за год, закончившийся 31 декабря 2010 г., составила 77 375 млн. руб. Данная прибыль была определена как разница между суммой справедливой стоимости оставшейся 9,99% доли на дату транзакции, денежных средств, поступивших за выбывшую 9,4% долю и накопленной прибыли, относящейся к консолидации ОАО «НОВАТЭК», как ассоциированной компании, ранее признанной в прочем совокупном доходе, и балансовой стоимостью 19,39% доли в уставном капитале ОАО «НОВАТЭК» на дату операции.</t>
  </si>
  <si>
    <t>В 2016 г. банк Группы приобрел 100 % доли в уставном капитале ООО «ДмитровМонтажГрупп». В результате сделки Группа получила контроль над дочерней компанией в размере 97,7591 %. Расходы от приобретения ООО «ДмитровМонтажГрупп», его финансовые результаты за отчетный период и сумма активов и обязательств по состоянию на отчетную дату не являются существенными для Группы. На 31 декабря 2016 г. неконтролирующие доли участия в сумме 245 млн руб. (на 31 декабря 2015 г.: 186 млн руб.) не являются существенными для Группы.</t>
  </si>
  <si>
    <t>Доля участия Группы в капитале ННК по состоянию на 31 декабря 2012 г. составляла 20 %. ООО «Национальный нефтяной консорциум» осуществляет финансирование проекта по геологоразведке блока Хунин-6 в Венесуэле, реализуемого совместно с дочерним предприятием государственной нефтегазовой компании Венесуэлы – Petroleos de Venezuela S.A. Балансовая стоимость инвестиции на 31 декабря 2012 г. составляла 3 607 млн.руб. За 2012 г. доля Группы в прибыли или убытке ассоциированной компании не признавалась. В январе 2013 г. Компания совершила отчуждение доли в размере 20 % от уставного капитала ООО «Национальный нефтяной консорциум» путем продажи. Прибыль от продажи составила 2 400 млн.руб. и отражена в отчете о прибылях и убытках и прочем совокупном доходе в составе статьи «Прибыль / (убыток) от продажи и прочего выбытия финансовых активов».</t>
  </si>
  <si>
    <t>СП (РФ; Венесуэла)</t>
  </si>
  <si>
    <t>NKNC; NKNCP</t>
  </si>
  <si>
    <t>UFOS; UFOSP</t>
  </si>
  <si>
    <t>Helicopteros del Sur S.A.</t>
  </si>
  <si>
    <t>Перу</t>
  </si>
  <si>
    <t>ПАО "Авиакомпания "ЮТэйр"</t>
  </si>
  <si>
    <t>В июне 2022 года Группа утратила контроль над дочерним обществом Helicopteros del Sur S.A. (Перу). В результате продажи 91,08% доли в его уставном капитале связанной стороне Группа признала прибыль от выбытия дочерней компании в размере 1 608 179 тыс. руб. и прекратила признание неконтролирующей доли участия в сумме 832 тыс. руб. Ожидаемое возмещение денежными средствами составляет 929 489 тыс. руб.
С 1 января 2022 года и до даты выбытия вклад Helicopteros del Sur S.A. в выручку Группы составил 499 763 тыс. руб., в чистую прибыль в сумме 526 168 тыс. руб.</t>
  </si>
  <si>
    <t xml:space="preserve">В 2019 году Группа приобрела 25,69% долей АО «Авиационная компания «Восток», в результате чего доля Группы увеличилась до 100%. За приобретение этой доли неконтролирующим акционерам было уплачено возмещение денежными средствами в размере 142 957 тыс. руб. Балансовая стоимость приобретенной дополнительной доли участия на дату приобретения составила 469 528 тыс. руб. Разница между уплаченным вознаграждением и балансовой стоимостью неконтролирующей доли в размере 326 571 тыс. руб. была признана непосредственно в составе непокрытого убытка Группы. В декабре 2019 года АО «Авиационная компания «Восток» реорганизовано путем его присоединения к другой компании Группы АО «ЮТэйр-Инжиниринг». </t>
  </si>
  <si>
    <t>Авиакомпания (Деятельность воздушного транспорта)</t>
  </si>
  <si>
    <t>Авиакомпания (Авиационная деятельность)</t>
  </si>
  <si>
    <t>16 февраля 2018 года Группа приобрела пакет акций ОАО «Аэропорт Сургут» в размере 48%, что в совокупности с ранее имеющимся у Группы пакетом акций в размере 8% привело к возникновению отношений контроля над данным обществом. Справедливая стоимость идентифицируемых чистых активов на дату приобретения составила 791 630 тыс. руб. Доля Группы в приобретаемых активах на дату приобретения составила 434 756 тыс. руб. за вычетом неконтролирующей доли участия. Возмещение, переданное при приобретении 48% акций составило 718 614 тыс. руб., а возмещение, переданное ранее при приобретении 8% акций – 216 577 тыс. руб. Разница между стоимостью 56% акций и величиной чистых активов, приходящихся на долю Группы, составила 422 650 тыс. руб. и была учтена в качестве гудвила. Оценка приобретаемых чистых активов была полностью завершена по состоянию на 31 декабря 2018 года.</t>
  </si>
  <si>
    <t>В 2018 году Группа увеличила свою долю владения в АО «Авиационная компания «Восток» с 52,99% до 74,31%. Разница между стоимостью покупки дополнительного пакета 21,32% акций, которая составила 111 976 тыс. руб., и балансовой стоимостью соответствующей части неконтролирующей доли на дату покупки 380 456 тыс. руб. составила 268 480 тыс. руб. и была отражена в составе непокрытого убытка Группы.</t>
  </si>
  <si>
    <t>28 мая 2015 года Банком России был зарегистрирован проспект дополнительной эмиссии обыкновенных акций Компании в количестве 3 125 000 000 штук номинальной стоимостью 1 руб. каждая. Фактическое размещение акций завершено 25 декабря 2015 года в количестве 3 125 000 000 штук по цене 8 руб. за каждую акцию на общую сумму 25 000 000 тыс. руб. Отчет об итогах размещения был утвержден решением Наблюдательного совета Авиакомпании от 29 декабря 2015 года и зарегистрирован Банком России 14 января 2016 года. Превышение фактической цены размещения над номинальной стоимостью акций отражено в капитале Компании в качестве эмиссионного дохода в размере 21 875 000 тыс. руб.</t>
  </si>
  <si>
    <t>В марте 2016 года состоялась сделка по приобретению ООО «ЮТэйр-Лизинг» 25% доли в уставном капитале ООО Авиакомпания «Турухан». С марта 2016 года ООО «ЮТэйр-Лизинг» являлся единственным участником ООО Авиакомпания «Турухан». За приобретение этой доли неконтролирующему акционеру было уплачено возмещение денежными средствами в размере 180 000 тыс. руб. Балансовая стоимость приобретенной дополнительной доли участия на дату приобретения составляла 126 635 тыс. руб. Разница между уплаченным возмещением и балансовой стоимостью неконтролирующей доли в размере 53 365 тыс. руб. признана непосредственно в капитале Компании.</t>
  </si>
  <si>
    <t>UTAR</t>
  </si>
  <si>
    <t>В августе 2016 года Группа утратила контроль над компанией ООО «ЮТэйр-Финанс», осуществлявшей выпуск облигаций Группы до учреждения дочернего общества ООО «Финанс Авиа», путем продажи 100% доли третьей стороне.</t>
  </si>
  <si>
    <t>В сентябре 2016 года Группа утратила контроль над компанией ООО «Западно-Сибирское агентство воздушных сообщений», осуществлявшей агентскую деятельность по продаже авиабилетов, путем продажи своей 51% доли третьей стороне, и отразила убыток по данной сделке в размере 29 190 тыс. руб.</t>
  </si>
  <si>
    <t>В сентябре 2016 года Группа утратила контроль над своими украинскими дочерними обществами (ООО «Авиакомпания «АЗУР ЭЙР Украина», ЗАО «Украинская Хэндлинговая Компания», ООО «ЮТстар», ООО «Форумавиа») в результате продажи 100% долей в их уставном капитале третьей стороне и признала результат от выбытия данных дочерних предприятий (прибыль) в размере 1 461 490 тыс. руб.
С 1 января 2016 года и до даты выбытия вклад выбывших дочерних обществ в выручку Группы
составил 1 516 028 тыс. руб., в чистую прибыль − убыток в сумме 204 539 тыс. руб.</t>
  </si>
  <si>
    <t>В июне 2015 года Группа дополнительно приобрела 14,51% голосующих акций ОАО «ЮТэйр-Инжиниринг» в результате доведя свою долю до 100%. За приобретение этой доли неконтролирующим акционерам было уплачено возмещение денежными средствами в размере 8 207 тыс. руб. Балансовая стоимость приобретенной дополнительной доли участия на дату приобретения была отрицательной и составляла 1 022 780 тыс. руб. Разница между уплаченным возмещением и балансовой стоимостью неконтролирующей доли в размере 1 030 986 тыс. руб. признана непосредственно в капитале Компании.</t>
  </si>
  <si>
    <t>Авиакомпания (Ремонт и обслуживание парка воздушных судов)</t>
  </si>
  <si>
    <t>В январе 2015 года Группа утратила контроль над ЗАО «Ю-Ти-Джи» в результате того, что содержание взаимоотношений между Группой и ЗАО «Ю-Ти-Джи» перестало удовлетворять критериям контроля в смысле МСФО 10 «Консолидированная финансовая отчетность». По состоянию на 1 января 2015 года Группа прекратила признание отрицательных чистых активов ЗАО «Ю-Ти-Джи» балансовой стоимостью 227 916 тыс. руб. и дефицита неконтролирующих долей участия балансовой стоимостью 113 958 тыс. руб., признала сохранившуюся долю участия в ЗАО «Ю-Ти-Джи» в размере 50%, которая учитывается как ассоциированное предприятие по методу участия по справедливой стоимости на дату потери контроля в размере 0 тыс. руб. и отразила доход от выбытия в размере 113 958 тыс. руб.</t>
  </si>
  <si>
    <t>Авиакомпания (Наземное обслуживание)</t>
  </si>
  <si>
    <t>По состоянию на 31 марта 2015 года Группа утратила контроль над ООО «ПКФ «КАТЭКАВИА» в результате продажи 100% доли в его уставном капитале третьей стороне и признала результат от выбытия данного дочернего предприятия в размере 397 256 тыс. руб.</t>
  </si>
  <si>
    <t>Авиакомпания (Пассажирские и грузовые авиационные перевозки)</t>
  </si>
  <si>
    <t>В сентябре 2015 года Группа утратила контроль над компанией Mechanic Workshop &amp; Engineering S.A.C (до 1 июня 2015 года – UTair Engineering AL S.A.C., Перу), осуществлявшей деятельность по ремонту и обслуживанию парка воздушных судов, путем продажи 100% доли третьей стороне.</t>
  </si>
  <si>
    <t>Mechanic Workshop &amp; Engineering S.A.C (UTair Engineering AL S.A.C.)</t>
  </si>
  <si>
    <t>UTair Sierra Leone Limited</t>
  </si>
  <si>
    <t>Авиакомпания (Авиационная деятельность и техническое обслуживание парка воздушных судов)</t>
  </si>
  <si>
    <t>Сьерра-Леоне</t>
  </si>
  <si>
    <t>В сентябре 2015 года Группа утратила контроль над UTair Sierra Leone Limited, осуществлявшим представительскую деятельность, путем продажи 99% доли третьей стороне.</t>
  </si>
  <si>
    <t>В октябре 2015 года Группа утратила контроль над ООО «Тюменский научно-производственный центр авиации общего назначения», осуществлявшим деятельность в области научноисследовательских и опытно-конструкторских работ, путем продажи 100% доли третьей стороне.</t>
  </si>
  <si>
    <t>Научно-исследовательские и опытноконструкторские работы в области авиации</t>
  </si>
  <si>
    <t>Авиакомпания (Представительство)</t>
  </si>
  <si>
    <t>В октябре 2015 года Группа утратила контроль над ООО «Полар-Аэро» (до 11 августа 2015 года – ООО «ЮТэйр-Мурманск»), осуществлявшим представительскую деятельность, путем продажи 100% доли третьей стороне.</t>
  </si>
  <si>
    <t>В 2014 году в результате сделки по обмену Группа получила 25% в капитале «ООО «ПКФ «КАТЭКАВИА» и тем самым увеличила свою долю в компании до 100%. В обмен Группа уступила 25% в капитале ООО «Авиакомпания «Турухан», после чего доля Группы в этой
компании составила 75%. Эффект от изменения доли без потери контроля был отражен в составе капитала в сумме 107 985 тыс. руб.</t>
  </si>
  <si>
    <t>В июне 2014 года Группа приобрела 100% долю в уставном капитале ООО «Югра Отель Балабаново». Эта сделка учтена Группой как покупка активов. Стоимость доли составила 10 тыс. руб., стоимость приобретенных активов (преимущественно, основных средств) составила 432 034 тыс. руб., а сумма приобретенных обязательств (преимущественно, обязательства по финансовому лизингу указанных основных средств) составила 432 024 тыс. руб.</t>
  </si>
  <si>
    <t>Transaero Engineering Ireland Limited</t>
  </si>
  <si>
    <t>Ирландия</t>
  </si>
  <si>
    <t>ОАО "Авиационная компания "ТРАНСАЭРО"</t>
  </si>
  <si>
    <t>В апреле 2015 года Группа продала принадлежащие ей акции Transaero Engineering Ireland Limited (Ирландия, приобретена в 2012 году), осуществляющая техническое обслуживание воздушных судов. В результате продажи Группа получила убыток в размере 402 млн. руб. Существенные предприятия Группы зарегистрированы на территории Российской Федерации и за рубежом.</t>
  </si>
  <si>
    <t>Авиакомпания (ТО воздушных судов)</t>
  </si>
  <si>
    <t>Ресторан</t>
  </si>
  <si>
    <t>ПАО "Центр международной торговли" (ПАО "ЦМТ")</t>
  </si>
  <si>
    <t>В декабре 2013 года Группа продала 25% долю в ООО «Ресторанъ на Московской» за 2,000 тыс.руб. Балансовая стоимость инвестиции по состоянию на дату продажи составляла 0 тыс.руб.</t>
  </si>
  <si>
    <t>1 октября 2011 г. компания Группы ООО «Совинцентр» стала одним из учредителей ООО «Ресторанъ на Московской». Размер доли в ассоциированной компании составил 25%. В течение 2012 и 2011 годов изменений в размере доли не происходило.</t>
  </si>
  <si>
    <t>В августе 2022 года Группа приобрела 58,51% акционерного капитала транспортной судоходной дочерней организации 6 и получила контроль за счет возможности обеспечения большинства голосов на общем собрании акционеров. Сумма сделки составила 2 301 млн руб. Приобретенная дочерняя организация увеличила присутствие Группы на рынке каботажных и экспортно-импортных грузовых перевозок, осуществляемых морским флотом на Дальнем Востоке и, как ожидается, должна была повысить прибыльность путем повышения эффективности за счет экономии на масштабе. За период с даты приобретения по 31 декабря 2022 года выручка и прибыль приобретенной дочерней организации составили 3 012 млн руб. и 116 млн руб., соответственно. В случае если приобретение было бы осуществлено 1 января 2022 года, выручка и прибыль Группы за год, закончившийся 31 декабря 2022 года, составили бы 184 835 млн руб. и 18 924 млн руб., соответственно.</t>
  </si>
  <si>
    <t>В феврале 2023 года Компания приобрела контроль в размере 51% доли владения в дочерней организации 10 и дочерней организации 11. Стоимость приобретения составила 100 млн руб. и 200 млн руб., соответственно.</t>
  </si>
  <si>
    <t>Дочерняя организация 10</t>
  </si>
  <si>
    <t>Дочерняя организация 11</t>
  </si>
  <si>
    <t>Дочерняя организация 6</t>
  </si>
  <si>
    <t>Транспортная судоходная компания</t>
  </si>
  <si>
    <t>Ship</t>
  </si>
  <si>
    <t>13 декабря 2019 года АО «ОТЛК» продало свою полную долю в размере 50%+2 обыкновенных акций Компании ООО «Дело-Центр», являющейся дочерней компанией ООО «УК «Дело». В результате ООО «Дело-Центр» стало материнской компанией ПАО «ТрансКонтейнер». По состоянию на 31 декабря 2019 года доля владения ООО «Дело-Центр» в Компании составляет 50%+2 обыкновенные акции.</t>
  </si>
  <si>
    <t>50%+2акции</t>
  </si>
  <si>
    <t>Logistic System Management B.V.</t>
  </si>
  <si>
    <t>В мае 2020 года Компания прекратила участие в совместном предприятии Logistic System Management B.V., которая владеет 100% акций АО «Кедентранссервис», путем продажи АО «Национальная компания «Казакстан TeMip жолы» («КТЖ»), принадлежавших Компании 50% акций.</t>
  </si>
  <si>
    <t>3 сентября 2018 года, после получения необходимых одобрений со стороны регулирующих органов, Компания приобрела у АО «Первый Контейнерный Терминал», дочернего общества компании Глобалпортс Инвестментс, 100% акций ЗАО «Логистика-Терминал» - оператора контейнерного терминала в Северо-Западном регионе России. Сумма сделки составила 1,9 млрд рублей.
По результатам данной сделки Компания признала доход от приобретения в сумме 154 млн руб., в результате превышения справедливой стоимости на дату приобретения идентифицируемых активов за вычетом принятых обязательств ЗАО «Логистика-Терминал» над переданным покупателю возмещением (денежными средствами). Причиной получения дохода от приобретения являлась недостаточная загрузка проектной мощности приобретенного актива, что оказывало влияние на величину его будущих денежных потоков. Компания планирует существенно увеличить загрузку ЗАО «Логистика-Терминал» путем перевода грузопотоков с терминала на станции СанктПетербург-Товарный-Витебский, планируемого к закрытию. За период с даты приобретения по 31 декабря 2018 года выручка и убыток Группы от приобретенного дочернего предприятия составили 192 млн руб. и 18 млн руб., соответственно. В случае если приобретение было бы осуществлено 1 января 2018 года, выручка и прибыль Группы составили бы 77 358 млн руб. и 9 477 млн руб., соответственно.</t>
  </si>
  <si>
    <t>Оператор контейнерного терминала</t>
  </si>
  <si>
    <t>В июле 2017 года Компания приобрела право собственности на 30% долю в уставном капитале совместного предприятия ООО «Фрейт Вилладж Калуга Север» (далее – ФВК Север). В рамках данной сделки в июле 2017 года Компания полностью произвела оплату за приобретение указанной доли на сумму 1 руб. и выступила поручителем за исполнение ФВК Север обязательств по кредитному соглашению перед Государственной корпорацией «Банк развития и внешнеэкономической деятельности (Внешэкономбанк)». Размер поручительства составляет 50% от суммы основного долга ФВК Север по данному кредитному соглашению, составляющего 3,7 млрд руб., плюс 50% от суммы процентов, комиссий, неустоек (пени) и иных денежных обязательств, подлежащих выплате в пользу Внешэкономбанка в случаях, предусмотренных кредитным соглашением. По состоянию на 31 декабря 2017 года задолженность ФВК Север, обеспеченная поручительством по данному кредитному соглашению, составила 2,1 млрд руб. По состоянию на 31 декабря 2017 года финансовая гарантия отражена в консолидированном отчете о финансовом положении на сумму 154 млн руб. В соответствии с условиями договора поручительства Компания имеет определенные финансовые и нефинансовые обязательства (ковенанты), включая поддержание определенного уровня коэффициента долговой нагрузки, коэффициента покрытия процентных выплат или поддержание определенного уровня долгосрочного кредитного рейтинга. Внешэкономбанк может потребовать досрочного погашения обязательств по кредитному соглашению при невыполнении ковенант со стороны Компании и иных лиц, предоставивших обеспечение, а также нарушении обязательств ФВК Север по данному кредитному соглашению. По состоянию на 31 декабря 2017 года и в течение 2017 года Компания выполняла ковенанты, предусмотренные договором поручительства. Также в рамках данной сделки в июле-августе 2017 года вступили в силу следующие договоры залога, обеспечивающие исполнение ряда обязательств сторон друг перед другом: • с АО «Фрейт Вилладж Калуга» (далее - ФВК), владеющим долей 70% в уставном капитале ФВК Север, в соответствии с которым Компания передает ФВК в залог недвижимое имущество Компании стоимостью 301 млн руб.; • с ООО «В-парк» (входит в Группу ФВК), в соответствии с которым Компания получает в залог земельный участок и недвижимое имущество стоимостью 412 млн руб.</t>
  </si>
  <si>
    <t>Trans-Eurasia Logistics GmbH</t>
  </si>
  <si>
    <t xml:space="preserve">Продажа Trans-Eurasia Logistics GmbH. В сентябре 2017 года Компания прекратила участие в ассоциируемом предприятии Trans-Eurasia Logistics GmbH путем продажи DB Cargo AG, принадлежавших ТрансКонтейнеру 20% акций. </t>
  </si>
  <si>
    <t>DB Cargo AG</t>
  </si>
  <si>
    <t>В 2016 году Группой были исполнены опционы и произведен частичный обратный выкуп собственных акций на общую сумму 43 млн руб. в рамках реализации опционной программы.</t>
  </si>
  <si>
    <t>В 2016 году Группой были реализованы собственные выкупленные акции на общую сумму 451 млн руб.</t>
  </si>
  <si>
    <t>В 2015 году Группой были приобретены собственные акции на сумму 1 млн руб.</t>
  </si>
  <si>
    <t>В 2014 году Группой были приобретены собственные акции на сумму 9 млн руб.</t>
  </si>
  <si>
    <t>В рамках реализации Плана вознаграждения опционами на приобретение акций руководством Компании Группа выкупила 208 421 собственную акцию в 2011 году. Стоимость их приобретения составила 514 млн руб.</t>
  </si>
  <si>
    <t>23 декабря 2013 года Группа продала КТЖ 17% акций компании Logistic System Management B.V., которая владела 100% акций АО «Кедентранссервис» (через Helme’s Operation UK Limited 46,9% и напрямую 20,1%). В результате взаимосвязанных операций, описанных выше, по состоянию на 31 декабря 2013 года Группа потеряла контроль над Logistic System Management B.V., Helme's Operation UK Limited и АО «Кедентранссервис» и доля владения Группы в данных компаниях составила 50%. В результате потери контроля над АО «Кедентранссервис» Группа в составе консолидированных прибылей и убытков признала доход на сумму 757 млн руб. По состоянию на 31 декабря 2013 года инвестиция в АО «Кедентранссервис» в консолидированной финансовой отчетности отражена по справедливой стоимости в сумме 2 270 млн руб., определенной по данным отчета независимого оценщика, включая справедливую стоимость чистых активов в размере 1 961 млн руб. и гудвил в размере 309 млн руб. (уровень 3 иерархии справедливой стоимости). При оценке справедливой стоимости инвестиции независимый оценщик, в первую очередь, использовал доходный подход с учетом результатов затратного подхода. В соответствии с консервативным подходом в прогнозы не включены планы АО «Кедентранссервис» по развитию бизнеса, которые предполагают высокие капитальные вложения на расширение бизнеса, а также рост выручки и повышение уровня рентабельности деятельности. При этом низкая загрузка  производственных мощностей на станции Достык и терминалах позволяет увеличивать объемы переработки грузов без ввода дополнительных капитальных вложений.
АО «Кедентранссервис» намерен пролонгировать договоры аренды перегрузочных мест по станции Достык.</t>
  </si>
  <si>
    <t>В 2013 году были исполнены опционы на сумму 24 млн руб.</t>
  </si>
  <si>
    <t>В 2012 году были исполнены опционы на сумму 6 млн руб.</t>
  </si>
  <si>
    <t>18 марта 2011 года Компания приобрела контроль над АО «Кедентранссервис», ведущим оператором железнодорожных терминалов в Казахстане путем приобретения 67% акционерного капитала компании для обеспечения выхода Группы на рынок железнодорожных терминальных услуг Казахстана. Сделка по приобретению осуществлялась следующим образом: 20,1% акций Компания приобрела напрямую и 46,9% акций – путем приобретения 100% доли в компании Helme’s Development Company Ltd, владеющей 100% акций компании Helme’s Operation UK Limited, которая в свою очередь является собственником 46,9% акций АО «Кедентранссервис». По состоянию на 31 декабря 2011 года общая стоимость сделки составила 68 млн. долларов США (1 955 млн. руб. по обменному курсу ЦБ РФ на 18 марта 2011 года), из которых было оплачено денежными средствами 64,5 млн. долларов США (1 855 млн. руб. по обменному курсу ЦБ РФ на 18 марта 2011 года). В марте 2011 года Группа также заключила соглашение о сотрудничестве на основе совместного предприятия с АО «Казахстан Темир Жолы» («КТЖ») – вторым акционером АО «Кедентранссервис», владеющим 33% уставного капитала компании. В соответствии с условиями соглашения, КТЖ может приобрести 17% акций, принадлежащих Группе, увеличив свою долю владения в АО «Кедентранссервис» до 50%, в случае выполнения каждой стороной определенных условий и обязательств, согласно соглашению. По состоянию на дату утверждения данной финансовой отчетности эти необходимые условия не были выполнены. Соглашение о сотрудничестве на основе совместного предприятия также содержит определенные положения, которые после формирования совместного предприятия будут служить для защиты интересов обеих сторон и дадут возможность инициировать право одной стороны продать свои акции другой стороне в случае несоблюдения другой стороной определенных условий соглашения. В марте 2011 года Группа зарегистрировала дочернюю компанию с долей владения 100%, Logistics Investment SARL в Люксембурге, с акционерным капиталом в размере 12 500 евро (0,5 млн. руб. по обменному курсу ЦБ РФ на 31 декабря 2011 года). В сентябре 2011 года 20,1% акций АО «Кедентранссервис», которыми Компания владела напрямую, были переданы в данную дочернюю компанию. Остальные 46,9% акций АО «Кедентранссервис», которыми Компания владеет косвенно, впоследствии также будут переданы в Logistics Investment SARL. В июле 2011 года Группа зарегистрировала в Нидерландах Logistic System Мanagement B.V., дочернюю компанию Logistic Investment SARL с долей владения 100%, с акционерным капиталом в размере 90 000 евро. (4 млн. руб. по обменному курсу ЦБ РФ на 31 декабря 2011 года).
Совокупная договорная сумма дебиторской задолженности по основной деятельности и авансов уплаченных составила 238 млн. руб. и 105 млн. руб., соответственно. Справедливая стоимость дебиторской задолженности на дату приобретения представляет собой общую договорную стоимость за минусом наилучших оценок поступлений денежных средств, которые, согласно ожиданиям, не будут взысканы. За период с даты приобретения по 31 декабря 2011 года выручка и прибыль Группы от приобретенного дочернего предприятия составила 1 507 млн. руб. и 78 млн. руб., соответственно. В случае, если приобретение было бы осуществлено 1 января 2011 года, то выручка Группы за год, закончившийся 31 декабря 2011 года, составила бы 31 140 млн. руб., а прибыль за год, закончившийся 31 декабря 2011 года, составила бы 3 866 млн. руб.</t>
  </si>
  <si>
    <t>В феврале 2011 года компания приобрела 100% долю владения в ООО «Простор Инвест Групп» – компанию специального назначения, используемую для осуществления плана вознаграждения опционами на приобретение акций Группы. Стоимость приобретения составила 12 500 руб. Так как данное предприятие не является бизнесом, Группа признала данное приобретение как покупку его активов и обязательств.</t>
  </si>
  <si>
    <t>Far East Land Bridge Ltd. (FELB)</t>
  </si>
  <si>
    <t xml:space="preserve">В 2010 году Группа приобрела 10% долю в Far East Land Bridge Ltd. (FELB), чтобы облегчить продвижение своих операций на европейские рынки. Группа оказывает значительное влияние на FELB через 25% прав голоса в Совете Директоров. По состоянию на 31 декабря 2011 года и за период закончившийся этой датой операции ассоциированной компании были несущественными, за исключением услуг, которые были предоставлены FELB в размере 177 млн. руб. и кредиторской задолженности перед Компанией в размере 797 млн. руб. </t>
  </si>
  <si>
    <t>В январе 2012 года компания HALIMEDA INTERNATIONAL LIMITED, контролируемая ОАО «Дальневосточное морское пароходство», увеличила свою долю в уставном капитале Компании с 18,5% до 21,12%.</t>
  </si>
  <si>
    <t>HALIMEDA INTERNATIONAL LIMITED</t>
  </si>
  <si>
    <t>ПАО "ТрансКонтейнер"</t>
  </si>
  <si>
    <t>По состоянию на 31 декабря 2022 г. ООО «Глобалтрак Лоджистик» было выкуплено 2 202 888 обыкновенных акций ПАО «ГТМ», что составляет 3,8% уставного капитала Группы (на 31 декабря 2021 г.: 1 936 868 обыкновенных акций ПАО «ГТМ», что составляет 3,3% уставного капитала Группы). В течение года, закончившегося 31 декабря 2022 г. было выкуплено 266 020 акций за 7 359 тыс. руб.</t>
  </si>
  <si>
    <t>ПАО "ГЛОБАЛТРАК МЕНЕДЖМЕНТ" (ПАО "ГТМ")</t>
  </si>
  <si>
    <t>GTRK</t>
  </si>
  <si>
    <t>Автомобильный транспорт</t>
  </si>
  <si>
    <t>В течение года, закончившегося 31 декабря 2021 г. было выкуплено 502 860 акций за 18 653 тыс. руб.</t>
  </si>
  <si>
    <t>В течение года, закончившегося 31 декабря 2020 г. было выкуплено 1 072 088 акций за 50 965 тыс. руб.</t>
  </si>
  <si>
    <t>В 2018 г. произошло создание компании с ограниченной ответственностью GLOBALCHAIN LTD, в которой Предприятие владеет 25% уставного капитала плюс 1 голос (250 001 акция), GLOBALCHAIN LTD владеет 100% долей в компании ООО «Атлас Чейн», которая занимается перевозками грузов в автомобильном сообщении. В конце июля 2019 г. Группа продала долю владения 25% плюс один голос в компании с ограниченной ответственностью GLOBALCHAIN LTD.</t>
  </si>
  <si>
    <t xml:space="preserve">12 декабря 2017 г. было зарегистрировано совместное предприятие ООО «Кашалот» с 50% долей Группы и третьего лица соответственно. Стоимость 50% доли составляла 500 тыс. руб. По состоянию на 31 декабря 2017 г. в состав прочей финансовой дебиторской задолженности включена сумма задатка в размере 100 000 тыс. руб., которая была выплачена третьему лицу согласно условиям предварительного договора о создании ООО «Кашалот». 21 июня 2018 г. 50% доля была продана третьему лицу и одновременно с ним было заключено соглашение об опционе с правом выкупа этой доли. Периодом акцепта опциона является период с 31 июля 2020 г. до 31 декабря 2020 г. В соответствии с соглашением об опционе, выкупная стоимость доли зависит от показателя EBITDA ООО «Кашалот», рассчитанной на основании консолидированной специальной финансовой отчетности ООО «Кашалот», подготовленной за период с 1 июля 2020 г. по 30 июня 2021 г. в соответствии с учетной политикой, составленной на основе МСФО. По условиям вышеобозначенного соглашения об опционе, плата за предоставление опциона составляет 100 000 тыс. руб. и была зачтена в счет выданного задатка по предварительному договору после его расторжения 21 июня 2018 г. Соответственно, на дату первоначального признания опцион был признан по стоимости 100 000 тыс. руб. На основании имеющейся у руководства Группы информации о результатах деятельности ООО "Кашалот" за 2018 год и прогнозах на периоды до даты исполнения опциона, в 2018 году было признано уменьшение справедливой стоимости опциона после его первоначального признания. По оценкам руководства, справедливая стоимость опциона на 31 декабря 2019 г. и на 31 декабря 2018 г. несущественна, соответствующий актив отражен по справедливой стоимости 0 тыс. руб. на эти даты. В январе 2020 г. соглашение об опционе было расторгнуто. Одновременно подписаны дополнительные соглашения с ООО «ТК «Кашалот» к текущим договорам на оказание услуг по перевозкам с фиксацией объемов по рыночным ставкам сроком на три года. </t>
  </si>
  <si>
    <t>GLOBALCHAIN LTD</t>
  </si>
  <si>
    <t>Холдинговая деятельность</t>
  </si>
  <si>
    <t>25%+1голос</t>
  </si>
  <si>
    <t>Дата фактического начала размещения: 3 ноября 2017 г.; Дата фактического окончания размещения ценных бумаг: 9 ноября 2017 г.; Количество фактически размещенных ценных бумаг: 21 212 120 штук.; Номинальная стоимость каждой ценной бумаги: 100 рублей; Цена размещения ценных бумаг: 132 рубля; Эмиссионный доход в размере 475 905 тыс. руб. включает в себя доход в сумме 678 788 тыс. руб., сформированный от превышения взносов в капитал над номинальной стоимостью выпущенных
акций, уменьшенный на расходы, непосредственно связанные с выпуском акций, в сумме 202 883 тыс. руб. (за вычетом налога на прибыль). В 2017 г. ключевым управленческим персоналом были приобретены акции Группы в количестве 5 320 053 шт. по цене размещения 132 руб. за акцию.</t>
  </si>
  <si>
    <t>В 2017 г. произошел выкуп 30% доли в ООО «Магна» и ООО «Лонгран Логистик» на сумму 114 072 тыс. руб. Стоимость приобретения данных долей Группой соответствовала стоимости чистых активов, приходящихся на долю неконтролирующих участников с правами выхода, поэтому данные операции не оказали влияние на прибыль Группы.</t>
  </si>
  <si>
    <t>10 февраля 2012 года Группа приобрела долю в совместном предприятии с дочерней компанией Glencore, в рамках которого Группа приобрела 51% четырех компаний, владеющих танкерами Panamax для перевозки нефтепродуктов (тип LR1)</t>
  </si>
  <si>
    <t>ПАО "Совкомфлот"</t>
  </si>
  <si>
    <t>4 компании, владеющие танкерами Panamax</t>
  </si>
  <si>
    <t>Морские перевозки</t>
  </si>
  <si>
    <t>ПАО "НОВОШИП"</t>
  </si>
  <si>
    <t>5 декабря 2007 года Федеральное агентство по управлению федеральным имуществом Российской Федерации передало Совкомфлоту свой пакет акций в размере 50,34% (67,13% обыкновенных акций) в Новошипе, компании, зарегистрированной в Российской Федерации, в обмен на 602 158 693 акций компании. После двух обязательных публичных оферт Совкомфлота неконтролирующим обыкновенным акционерам Новошипа в 2008 году и четырех выкупов неконтролирующих обыкновенных и привилегированных акций Новошипом, двух в 2009 году и двух в 2010 году, эффективная доля Совкомфлота в Новошипе увеличилась с 50,34% до 87,62% по состоянию на 31 декабря 2010 года. В марте 2011 года Группа начала пятый выкуп обыкновенных и привилегированных акций Новошипа. Выкуп был завершен в мае 2011 года. Всего компании было возвращено 186 992 обыкновенных акций и 3 402 740 привилегированных акций. Эти акции были аннулированы 9 сентября 2011 года. Кроме того, после внутренней реорганизации Группы Новошип, 21 июня 2011 года Новошип поглотил свою дочернюю компанию, АО «Новошипинвест Плюс», которая владела 20 898 606 обыкновенными акциями Новошипа. Акции, приобретенные у дочерней компании, были аннулированы 5 июля 2011 года. В ноябре 2011 года Группа начала шестой выкуп обыкновенных и привилегированных акций Новошипа. Выкуп был завершен в декабре 2011 года. По состоянию на 31 декабря 2011 года Новошип фактически контролировал 562 972 обыкновенных акций и 1 971 849 привилегированных акций, из которых 152 611 привилегированных акций не были официально зарегистрированы на имя Новошипа до января 2012 года. Обязательства перед неконтролирующими акционерами, возникшие в связи с выкупом акций по состоянию на 31 декабря 2011 года, составили 3,1 млн долларов США. Это обязательство было полностью погашено в январе 2012 года, а акции были аннулированы 19 июля 2012 года.</t>
  </si>
  <si>
    <t>NOMP</t>
  </si>
  <si>
    <t>ПАО "Дальневосточное морское пароходство" (ПАО "ДВМП")</t>
  </si>
  <si>
    <t>В первом полугодии 2023 года Компания приобрела 3 дочерние компании с долям владения в двух компаниях в размере 100% и 74% в третьей компании.</t>
  </si>
  <si>
    <t>Дочерняя компания 1</t>
  </si>
  <si>
    <t>Дочерняя компания 2</t>
  </si>
  <si>
    <t>Дочерняя компания 3</t>
  </si>
  <si>
    <t>В феврале 2020 года Группа продала свою 100% долю в компании - операторе зерновозов ООО «Транс - Грейн» и ряд прочих активов, относящихся к зерновому бизнесу. Общая сумма сделки составила 4 391 млн руб.</t>
  </si>
  <si>
    <t xml:space="preserve">В январе 2020 года Группа приобрела у ОАО «РЖД» 25% плюс 1 акция АО «Русская тройка», став единственным акционером Компании. Стоимость сделки составила 622 млн рублей. Аванс под приобретение в сумме 106 млн.руб. был выплачен Группой в 2019 году </t>
  </si>
  <si>
    <t>В феврале 2018 года Группа получила контроль над АО «Русская Тройка», путем приобретения 24,9999% акций и голосующих прав в компании. До приобретения инвестиция Группы в АО «Русская Тройка» учитывались как инвестиции в совместное предприятие. В результате доля Группы в Русской Тройке увеличилась с 50% до 74,9999%. Общая сумма денежного вознаграждения составила 531 млн руб. С даты приобретения по 31 декабря 2018 года в Русская Тройка внесла в консолидированную выручку группы доход в размере 180 млн. руб.</t>
  </si>
  <si>
    <t>В июне 2018 года Группа продала свою 100% долю в ООО «Трансгарант Украина» за вознаграждение в размере 270 млн руб. третьему лицу. Финансовый эффект от сделки привел к убытку от выбытия в размере 449 млн руб.</t>
  </si>
  <si>
    <t>В октябре 2018 года Группа продала свою 25,1% долю в ПАО «ТрансКонтейнер» за вознаграждение в размере 14 803 млн руб. третьему лицу. Финансовый эффект от сделки привел к прибыли от выбытия в размере 526 млн руб.</t>
  </si>
  <si>
    <t xml:space="preserve">В конце 2017 года Группа получила контроль над компанией - оператором зерновозов ООО «Транс - Грейн» путем приобретения 100% акций и голосующих прав в компании. С даты приобретения по 31 декабря 2017 года прирост выручки и прибыли до налогообложения к результатам Группы за счет приобретения ООО «Транс - Грейн» составил 1 220 млн руб. и 276 млн руб. соответственно. В случае, если бы приобретение состоялось 1 января 2017 года, консолидированная выручка Группы составила бы 48 218 млн руб., а консолидированная прибыль до налога за год составила бы 15 324 млн руб. В течение 2018 года, Группа выплатила отсроченное возмещение за ООО «Транс - Грейн», дочернюю компанию, приобретенную в 2017 году, на сумму 300 млн руб. </t>
  </si>
  <si>
    <t>Контейнерные перевозки (Интермодальный контейнерный оператор)</t>
  </si>
  <si>
    <t>В августе 2013 года Группа приобрела у связанной стороны дополнительную долю владения в ОАО «ТрансКонтейнер» в размере 4,525 акций и 571,524 Глобальных Депозитарных Расписок («ГДР») за денежное вознаграждение в размере 289 млн. руб. (8.8 млн. долл. США)</t>
  </si>
  <si>
    <t>В октябре 2013 года Группа продала долю владения в FESCO BLG Automobile Logistics Russia Limited в размере 50% за денежное возмещение в размере 206 млн. руб.</t>
  </si>
  <si>
    <t>FESCO BLG Automobile Logistics Russia Limited</t>
  </si>
  <si>
    <t>Мэпл Ридж Лимитед</t>
  </si>
  <si>
    <t>FESH</t>
  </si>
  <si>
    <t>В декабре 2012 года компания Мэпл Ридж Лимитед приобрела контроль над Компанией и ее дочерними компаниями. Для финансирования приобретения Группа заключила несколько кредитных соглашений с банками на общую сумму 16 402 млн. руб. (540 млн. долл. США), которые были выданы в качестве займа новым акционерам Группы. Дополнительно, дочерние предприятия Группы выдали банковские гарантии за банковские кредиты, полученные новыми акционерами Группы на общую сумму 12 149 млн. руб. (400 млн. долл. США).</t>
  </si>
  <si>
    <t>Агентские погрузочноразгрузочные услуги</t>
  </si>
  <si>
    <t>В течение 2012 года Группа приобрела дополнительную долю владения в ОАО «ТрансКонтейнер» в размере 5,17% в форме Глобальных Депозитарных Расписок («ГДР»). В результате операции ОАО «ТрансКонтейнер» стал ассоциированной компанией. Предоплата за ГДР была произведена в 2011 году. Произведенный платеж в 2012 составил 1 229 млн. руб.</t>
  </si>
  <si>
    <t>394 млн. собственных акций, составляющих приблизительно 13% от всех выпущенных акций, были проданы связанной стороне за денежное вознаграждение в сумме 3 550 млн. руб.</t>
  </si>
  <si>
    <t>31 марта 2012 года, Группа приобрела контроль над ОАО «Владивостокский морской торговый порт» (ОАО «ВМТП») путем приобретения 45,6% акций и голосующих прав в компании. В результате, Группа увеличила свою долю участия в ОАО «ВМТП» с 50% до 95,6% За девять месяцев до 31 декабря 2012 года, прирост выручки к результатам Группы за счет ОАО «Владивостокский морской торговый порт» составил 2 306 млн. руб., а прирост прибыли 477 млн. руб. В случае, если бы приобретение состоялось 1 января 2012 года, консолидированная выручка Группы составила бы 38 175 млн. руб., а консолидированный убыток за год составил бы 323 млн. руб. Текущая стоимость предыдущей 50% доли владения в ОАО «Владивостокский морской торговый порт» приблизительно соответствует ее справедливой стоимости. Как часть сделки по приобретению дочернего предприятия, Группа увеличила долю участия в ЗАО «ВКТ» с 75% до 99%. Уплаченное вознаграждение за неконтролирующую долю участия в ЗАО «ВКТ» составило 1 767 млн. руб. Оплата была произведена в 2011 году. Приобретение неконтролирующей доли участия привело к уменьшению нераспределенной прибыли Группы на сумму 1 236 млн. руб.</t>
  </si>
  <si>
    <t>50% доля владения в FESCO BLG Automobile Logistics Россия Limited, агентской стивидорной компании, были приобретены Группой в декабре 2011 года за общую сумму 4,8 млн. долл. США.</t>
  </si>
  <si>
    <t>07 июля 2011 года Группа получила контроль над железнодорожным оператором, группой «МетизТранс», путем приобретения 100% долей в уставном капитале ООО «МетизТранс», ООО «Инвестконсалтинг» и «ООО ТЭК МЕТИЗТРАНС». Компании были приобретены у члена руководящего состава Группы. За период шесть месяцев до 31 декабря 2011 прирост выручки к результатам Группы за счет группы «МетизТранс» составил 19 млн долл США, а прирост прибыли составил 4 млн. долл. Не представляется возможным определить величину показателей консолидированной выручки и консолидированной прибыли Группы за год, если бы приобретение группы «МетизТранс» имело место быть 1 января 2011 года так как «МетизТранс» не готовит консолидированную финансовую отчетность по МСФО.</t>
  </si>
  <si>
    <t>ПАО "РБК"</t>
  </si>
  <si>
    <t>В августе 2021 Группа приняла план о продаже сегмента «Digital инфраструктура для бизнеса», который включает ООО «РУ-ЦЕНТР ГРУПП» и его дочерние предприятия, и инициировала активную программу поиска покупателя, в результате чего было подписано предварительное соглашение о продаже сегмента. Цена продажи находится на стадии согласования и будет определена до 10 сентября 2021 года. Группа планирует завершить сделку в сентябре 2021 года. Чистые активы сегмента «Digital инфраструктура для бизнеса» составили 3,966 млн руб. / 55 млн долл. США* по состоянию на 30 июня 2021 года. Гудвилл, относящийся к данному сегменту, составил 674 млн руб. / 9 млн долл. США* по состоянию на 30 июня 2021 года.</t>
  </si>
  <si>
    <t>ООО "Технология скоринга"</t>
  </si>
  <si>
    <t>В июне 2020 Группа приобрела 25% акции компании ООО «Технология скоринга» за 11 млн. руб. /0.15 млн. долл. США*. ООО «Технология скоринга» владеет Rescore, интеллектуальным аналитическим сервисом по проверке контрагентов, который позволяет провести глубокую проверку контрагентов и быстро получить аналитическое заключение, чтобы определить риски и принять оперативное управленческое решение.</t>
  </si>
  <si>
    <t>Интеллектуальный аналитический сервис по проверке контрагентов</t>
  </si>
  <si>
    <t>В апреле 2014 года Группа заключила соглашение о продаже за 35 млн руб. / 0.5 млн долл. США* 100% доли дочернего предприятия ООО «Заявка». ООО «Заявка» владела зарегистрированным доменным именем Zayavka.ru. Отрицательные чистые активы ООО «Заявка» на дату выбытия составили 6 млн руб. / 0.1 млн долл. США*. Доход от выбытия в сумме 41 млн руб. / 0.7 млн долл. США* был отражен в составе строки «Прочие доходы» в прилагаемом консолидированном отчете о прибылях и убытках и прочем совокупном доходе.</t>
  </si>
  <si>
    <t>В сентябре 2014 года Группа заключила соглашение о продаже за 40 млн руб. / 0.7 млн долл. США* 100% доли дочернего предприятия ООО «Марка №1». Основным видом деятельности ООО «Марки» было организация и проведение премий ("Компания года", "Персона года", "Финансовый олимп" и "Народная марка N1") Чистые активы «Марка №1» на дату выбытия составили 0.5 млн руб. / 0 млн долл. США*. Доход от выбытия в сумме 39.5 млн руб. / 0.7 млн долл. США* был отражен в составе строки «Прочие доходы» в прилагаемом консолидированном отчете о прибылях и убытках и прочем совокупном доходе.</t>
  </si>
  <si>
    <t>В сентябре 2014 года Группа заключила соглашение о продаже за 0 млн руб. / 0 млн долл. США* 75% доли дочернего предприятия ЗАО «Байт-Телеком». Отрицательные чистые активы ЗАО «Байт-Телеком» на дату выбытия составили 12 млн руб./ 0.2 млн долл. США*. На момент выбытия доля, приходящаяся на миноритарных акционеров, составляла 2 млн руб. / 0.04 млн долл. США*. Доход от выбытия в сумме 10 млн руб. / 0.2 млн долл. США* был отражен в составе строки «Прочие доходы» в прилагаемом консолидированном отчете о прибылях и убытках и прочем совокупном доходе.</t>
  </si>
  <si>
    <t>Digital инфраструктура для бизнеса</t>
  </si>
  <si>
    <t>Burda Veriag Osteuropa GMBH</t>
  </si>
  <si>
    <t>Издательский дом</t>
  </si>
  <si>
    <t>Ивент-менеджмент</t>
  </si>
  <si>
    <t>В декабре 2014 ОАО «РБК» приобрело 60% в уставном капитале ЗАО «Публичная библиотека». ЗАО «Публичная библиотека» владеет онлайн-библиотекой СМИ Public.ru. Компания ЗАО «Публичная библиотека» стала частью сегмента Деловой интернет.</t>
  </si>
  <si>
    <t>Онлайн-библиотека</t>
  </si>
  <si>
    <t>В декабре 2013 Группа приняла решение об отказе от дальнейшего развития данного проекта и продала KUPONGID Corp за 3 тыс руб. / 92 долл. США*.
Чистые активы Купонгида на дату выбытия составили 2,9 млн руб./ 0,09 млн долл. США*. Размер гудвила, признание по которому было прекращено, составил 17 млн руб7 0,5 млн долл. США*. Убыток от выбытия Купонгида в сумме 22,4 млн руб./ 0,7 млн долл. США* был отражен в составе строки «Прочие доходы» в прилагаемом консолидированном отчете о прибылях и убытках и прочем совокупном доходе.</t>
  </si>
  <si>
    <t>В первом квартале 2012 года Группа приобрела 43% KUPONGID Corp., материнской компании ООО «Купонгид» (совместно - «Купонгид»), являющегося посредником на рынке купли-продажи скидочных купонов клиентам, в обмен на предоставление услуг рекламы на сумму 16.5 млн руб. / 0.5 млн долл. США* с возможностью увеличения доли до 73% в течение последующих двух лет. По условиям соглашения, до июля 2013 года Группа имела право увеличить свою долю в компании до 73% путем приобретения за наличные средства или посредством предоставления услуг 10% акций каждые полгода в течение данного периода. Стоимость каждых 10% акций зависит от конкретных финансовых показателей, достигнутых компанией, в том числе показателя EBITDA.</t>
  </si>
  <si>
    <t>В августе 2013 года Группа приобрела 100% в уставном капитале ООО «Регги-Бизнес», регистратора доменов, и его 100%-ного дочернего предприятия DomainContext Inc. (соместно -«Регги-Бизнес») за денежное вознаграждение в размере 35 млн руб7 1 млн долл. США’. На дату приобретения стоимость чистых активов Регги - Бизнес составила 3 млн руб. / 0.1 млн долл. США*. При приобретении был признана клиентская база в сумме 31 млн. руб./ 0.9 млн долл. США*.</t>
  </si>
  <si>
    <t>В мае 2014 года Группа ликвидировала ЗАО ИД «Салон Пресс», ЗАО Эйдос Логистике. Данные компании ранее входили в группу компаний «Салон». В 2013 Группа продала ключевые активы группы компаний «Салон» Burda Veriag Osteuropa GMBH. Отрицательные чистые активы ЗАО ИД «Салон Пресс» на дату выбытия составили 8.5 млн руб./ 0.2 млн долл. США*. Доход от выбытия в сумме 8 млн руб. / 0.2 млн долл. США* был отражен в составе строки «Прочие доходы» в прилагаемом консолидированном отчете о прибылях и убытках и прочем совокупном доходе.
В октябре 2012 года Совет директоров объявил о намерении продать сегмент «Салон». Соответственно, на 31 декабря 2012 года чистые активы компаний сегмента «Салон» (далее -«Салон») отражены в прилагаемой консолидированном отчете о финансовом положении как активы, предназначенные для продажи. В сентябре 2013 Группа заключила с компанией Burda Verlag Osteurapa GMBH («ИД Бурда») о продаже ключевых активов сегмента «Салон» и ее дочерних предприятий за вознаграждение в размере 366 млн руб. /11 млн долл. США (за вычетом доли, приходящейся на миноритарных акционеров, выплаченной им покупателем напрямую). Стоимость чистых активов Салона на момент продажи составляла 87 млн руб. / 2.7 млн долл. США*. Убыток Салона за период с 1 января 2013 года до даты выбытия составил 11 млн руб. / 0.3 млн долл. США. В результате выбытия Салона Группа получила прибыль в размере 269 млн руб./ 8 млн долл. США*. Результат от выбытия сегмента отражен в составе строки «Прибыль за период от прекращенной деятельности» в прилагаемом консолидированном отчете о прибылях и убытках и прочем совокупном доходе.</t>
  </si>
  <si>
    <t>Хостинговые услуги</t>
  </si>
  <si>
    <t>Регистратор доменов</t>
  </si>
  <si>
    <t>В 2010 году в рамках реструктуризации группа РБК сменила материнскую компанию с ОАО «РБК Информационные Системы» на ОАО «РБК» (бывшее ЗАО «РБК-ТВ Москва»).
В рамках соглашений по выбытию Старой группы Группа также приобрела 75% в уставном капитале ООО «Байт-Телеком», компании оказывающей хостинговые услуги. На дату приобретения ООО «Байт-Телеком» имело отрицательные чистые активы в сумме 4.6 млн руб. /0.14 млн долл. США*. ООО «Байт-Телеком» стал частью сегмента регистрации доменов и хостинга.</t>
  </si>
  <si>
    <t>В 2010 году в рамках реструктуризации группа РБК сменила материнскую компанию с ОАО «РБК Информационные Системы» на ОАО «РБК» (бывшее ЗАО «РБК-ТВ Москва»).
В рамках выбытия Старой группы РБК получила 10,748,197 собственных акций. На дату получения и на 31 декабря 2013 рыночная стоимость акций составляла 6.98 руб. / 0.23 долл. США* и 5.6 руб. /0.17 долл. США* за акцию соответственно. В соответствии с учетной политикой Группы приобретение данных казначейских акций было отражено по себестоимости в прилагаемой консолидированной финансовой отчетности.</t>
  </si>
  <si>
    <t>RBCM</t>
  </si>
  <si>
    <t>ПАО "РБК" (Hosting Community Inc.)</t>
  </si>
  <si>
    <t>26 марта 2012 года было создано ООО «Заявка.ру» (далее - «Заявка.ру»), компания, владеющая зарегистрированным доменным именем Zayavka.ru. Сумма инвестиций Группы в покупку 59% доли в компании составила 9 млн руб. / 0.3 млн долл. США. «Заявка.ру» обеспечивает онлайн взаимодействие между покупателями и продавцами в сети Интернет.</t>
  </si>
  <si>
    <t>ООО "РБК Мани"</t>
  </si>
  <si>
    <t>В апреле 2014 года Группа заключила соглашение с инвестиционной компанией EDevelopment о продаже электронной газеты Utro.ru. Сумма сделки ориентировочно составляет 35 млн руб./ 1 млн долл. США.</t>
  </si>
  <si>
    <t>EDevelopment</t>
  </si>
  <si>
    <t>Электронная газета</t>
  </si>
  <si>
    <t>Utro.ru</t>
  </si>
  <si>
    <t>Услуги электронных платежей</t>
  </si>
  <si>
    <t>4 июля 2012 года Компания заключила соглашение о продаже за 272 млн руб. / 8.3 млн долл. США 100% доли дочернего предприятия РБК Мани, которое занималось оказанием услуг электронных платежей. Отрицательные чистые активы РБК Мани на дату выбытия составили 81 млн руб. / 2.5 млн долл. США. Доход от выбытия в сумме 343 млн руб. / 10.5 млн долл. США* был отражен в составе строки «Прочие доходы» в прилагаемом консолидированном отчете о прибылях и убытках и прочем совокупном доходе. В апреле 2014 года задолженность была погашена в полном размере.</t>
  </si>
  <si>
    <t>Интернет-ресурс</t>
  </si>
  <si>
    <t>Сетевой информационный центр</t>
  </si>
  <si>
    <t>В апреле 2012 года Hosting Community Inc., дочерняя компания Группы, приобрела 100% в уставном капитале ЗАО «Региональный сетевой информационный центр» (далее - «РУ-ЦЕНТР») за денежное вознаграждение в размере 920 млн руб. В финансовый результат Группы за 2012 год включена сумма, относящаяся к деятельности компании РУ-ЦЕНТР в размере убытка в 91 млн руб. (неаудировано)/ 3 млн долл. США. Выручка компании за 2012 год составила 626 млн руб. (неаудировано)/ 21 млн долл. США. Если бы сделка по приобретению была осуществлена по состоянию на 1 января 2012 года, выручка Группы составила бы 5,312 млн руб. (неаудировано)/174.9 млн долл. США*, прибыль за 2012 год составила бы 271 млн руб. (неаудировано)/ 8.9 млн долл. США. Руководство Группы полагает, что данные расчетные показатели отражают примерную оценку результатов деятельности объединенной группы за год и могут использоваться как исходные значения для сравнения с показателями будущих лет.</t>
  </si>
  <si>
    <t>Ogorod Limited</t>
  </si>
  <si>
    <t>Сервис геолокации и микроблогинга</t>
  </si>
  <si>
    <t>В сентябре 2011 года Группа приобрела 51% акций Ogorod Limited - сервис геолокации и микроблогинга. Стоимость приобретения, включая капиталовложения в проект, составляет 27 млн руб. / 0.9 млн долл. США'. На дату приобретения стоимость чистых активов Ogorod Ltd составила 0.06 млн руб. / 0.002 млн долл. США*. При приобретении был признан гудвил в сумме 8 млн руб. / 0.26 млн долл. США.
В 2012 году в результате недостаточной результативности проекта активы проекта и гудвил были обесценены. Результат от обесценения в размере 27 млн руб./0.9 млн долл. США* отражен в составе строки «Прочие расходы» в прилагаемом консолидированном отчете о прибылях и убытках и прочем совокупном доходе.</t>
  </si>
  <si>
    <t>5 февраля 2013 года Группа приобрела 10% акций компании KUPONGID Corp, за 1.9 млн руб. / 0.06 млн долл. США, увеличив свою долю владения до 53%. В результате Купонгид стала дочерней компанией Halverston Holdings Ltd, предприятия Группы, и была включена в сегмент массового Интернета в сегментной информации. Балансовая стоимость дебиторской задолженность Купонгида на дату приобретения составила 3 млн руб. / 0.1 млн долл. США*, что приблизительно равнялось справедливой стоимости. Прочие активы и обязательства Купонгида на дату приобретения несущественны. Приобретение привело к признанию гудвила в сумме 17 млн руб. /1 млн долл. США*, который в первую очередь относился к ожидаемому будущему развитию, росту выручки и сформированному трудовому коллективу. Результаты деятельности Купонгида не оказали существенного влияния на результаты деятельности Группы за 2013 года.
KUPONGID CORP-Станет частью сегмента массового Интернета. Оно оказывает услуги и предоставляет товары конечным потребителям промо-акций.</t>
  </si>
  <si>
    <t>В феврале 2013 года Группа приобрела 41% акций компании ООО «Заявка.ру» за 0.3 млн руб. / 0.01 млн долл. США', увеличив долю владения до 100%.</t>
  </si>
  <si>
    <t>В марте 2009 года Группа завершила приобретение доли 74% в ООО «РБК Мани» за 90 млн. руб. / 3 млн. долл. США. Данное приобретение было совершено в соответствии со стратегией Группы -внедрить деятельность, связанную с получением доходов от мгновенных электронных платежей, в деятельность по предоставлению массовых интернет-услуг. ООО «РБК Мани» предоставляет услуги мгновенных электронных платежей. Часть стоимости приобретения в размере 50 млн. руб. / 2 млн. долл. США была оплачена Группой в 2008 году в виде предоставления рекламных услуг ООО «РБК Мани» на медиа-ресурсах Группы. Группа простила заем бывшему владельцу ООО «РБК Мани» на сумму 40 млн. руб. / 1 млн. долл. США в качестве оплаты оставшейся стоимости приобретения ООО «РБК Мани».
Приобретение ООО «РБК Мани» увеличило годовую выручку на 9 млн. руб. / 0.3 млн. долл. США* и увеличило убыток за год на 1 млн. руб. /0.1 млн. долл. США*.</t>
  </si>
  <si>
    <t>В 2009 году передала оставшуюся долю участия в размере 41% в ООО «Фидел Солюшнс» бывшему собственнику указанной компании без встречного вознаграждения. Сделка не оказала влияния на финансовый результат Группы.</t>
  </si>
  <si>
    <t>В 2008 году Группа приобрела 40% акций компании Atwood Lake Ltd., которой принадлежат бренд и программное обеспечение интернет ресурса 4shared.com.</t>
  </si>
  <si>
    <t>Atwood Lake Ltd.</t>
  </si>
  <si>
    <t>Valento Commerce</t>
  </si>
  <si>
    <t>Limandora Ltd.</t>
  </si>
  <si>
    <t>Доля в Valento Commerce в размере 8% была приобретена у миноритарных акционеров частично в счет оказания рекламных услуг в размере 176 млн. руб. / 6 млн. долл. США и оплачена денежными средствами в размере 6 млн. руб. / 0.2 млн. долл. США*</t>
  </si>
  <si>
    <t>В августе 2008 года Группа передала 10% долей участия в ООО «Фидел Солюшнс» бывшему собственнику указанной компании без встречного вознаграждения. В результате сделки доля участия Группы в данной компании снизилась с 51% до 41%. На дату' потери контроля стоимость активов ООО «Фидел Солюшнс» составляла 24 млн. руб. / 0.8 млн. долл. США*, величина обязательств - 36 млн. руб. /1.2 млн. долл. США. Признание обязательства по приобретению дополнительных 10% неконтрольной доли владения в ООО «Фидел Солюшнс» на сумму 25 млн. руб. / 1 млн. долл. США, отраженного Группой по состоянию на 31 декабря 2007 г., по состоянию на 31 декабря 2008 г. было прекращено, так как продавец не использовал имевшийся у него опцион на продажу, и срок его реализации истек. Превышение величины непризнанного обязательства над балансовой стоимостью неприобретенной неконгрольной доли владения в размере 24 млн. руб. / 1 млн. долл. США было отражено по кредиту статьи Капитал.
После прекращения контроля над ООО «Фидел Солюшнс» Группой был списан заем, выданный указанной компании после ее приобретения в 2007 году на сумму 29 млн. руб. / 1 млн. долл. США.
В 2008 году Группа признала прибыль по финансовым вложениям в ООО «Фидел Солюшнс» в сумме 12 млн. руб. / 0.4 млн. долл. США. Прибыль от выбытия данной дочернего компании в 2008 году составила 8 млн. руб. / 0.3 млн. долл. США.</t>
  </si>
  <si>
    <t>В 2008 году Группа приобрела 51% акций компании Limandora Ltd. Согласно инвестиционному договору. Группа и второй владелец компании имеют равные права голоса на ежегодном собрании акционеров. Поэтому данная инвестиция учитывается Группой по методу долевого участия.
Limandora Ltd. владеет новым развивающим интернет ресурсом для детской аудитории.</t>
  </si>
  <si>
    <t>В 2007 году Группа приобрела 50% акций ЗАО «Южный регион - Телекоммуникации».</t>
  </si>
  <si>
    <t>Braddy S.A.</t>
  </si>
  <si>
    <t>BidLive</t>
  </si>
  <si>
    <t>В 2010 году Группа запустила сделку по приобретению 45% акций BidLive за 60 млн. руб. / 2 млн. долл. США.
В 2010 году Группа не признала прибыли от инвестиций в BidLive. в связи с тем. что головой доход компании был незначительным.
BidLive владеет интернет ресурсом, по оказанию посреднических услуг при продаже недвижимости.</t>
  </si>
  <si>
    <t>В 2010 году Группа запустила сделку по приобретению 25% акций компании Braddy S.A. за 76 млн. руб. / 2 млн. долл. США.
В 2010 году Группа выплатила 1 млн. руб. денежными средствами и предоставила рекламных услуг в размере 48 млн. руб. / 1.6 млн. долл. США в расчете за акции. В течение 1 квартала 2011 года Группа также дополнительно оказала рекламных услуг на сумму 27 млн. руб. / 0.9 млн. долл. США в расчете за акции. В 2010 году Группа не признала прибыли от инвестиций в Braddy S.A. в связи с тем. что головой доход компании был незначительным.
Braddy S.A. владеет интернет ресурсом iglobe.ru. который является веб-сайтом для путешественников и позволяет бронировать билеты и отели он-лайн.</t>
  </si>
  <si>
    <t>Производство упаковки</t>
  </si>
  <si>
    <t>В марте 2024 года Группа подписала соглашение о приобретении 100% доли в уставном капитале общества, специализирующегося на услугах по лесозаготовке и владеющих собственным парком импортной лесозаготовительной и лесовозной техники. Целью сделки является плановая замена собственной лесозаготовительной и лесовозной техники для поддержания бесперебойного операционного процесса Группы. Общая сумма сделки составит не более 3.7 млрд руб.</t>
  </si>
  <si>
    <t>Общество, специализирующеея на услугах по лесозаготовке</t>
  </si>
  <si>
    <t>Услуги по лесозаготовке</t>
  </si>
  <si>
    <t>28 декабря 2021 года Группа приобрела у третьей стороны 100% долю ООО «Интер Форест Рус» и его 24 дочерних обществ, среди которых четыре лесопильных завода, производители фанеры и пеллет, а также лесозаготовительные активы с расчетной лесосекой около 10.9 млн куб. м. Все приобретенные активы располагаются в Красноярском крае и Иркутской области.
Цена приобретения включает выплату денежными средствами в размере 528 млн долл. США (38 748 млн руб. по курсу на дату сделки), из которых 230 млн долл. США (16 925 млн руб. по курсу на дату транзакций) было выплачено в течение 2021 года, 18 390 млн руб. Группа выплатила в январе-марте 2022 года.
По состоянию на 31 декабря 2021 года в составе долгосрочной кредиторской задолженности по приобретению компаний включены отложенные платежи в общей сумме 50 млн долл. США (3 715 млн руб. по курсу на 31 декабря 2021 года), подлежащие оплате в равных суммах через 2 и 4 года с даты подписания договора купли-продажи, но не дисконтированные, так как выступают в качестве обеспечительных в отношении возможных имущественных потерь Группы, связанных с решениями предыдущих собственников. Обеспечение распространяется, в том числе, на риски утраты собственности, доначисление налогов, сборов неустоек и штрафов, выбытия расчетной лесосеки. 29 декабря 2022 года Группа получила уведомление о частичном прощении задолженности по приобретению ООО «Интер Форест Рус» и его дочерних обществ на сумму 47.5 млн долл. США (3 386 млн руб. по курсу на дату соглашения)</t>
  </si>
  <si>
    <t>15 февраля 2021 года Группа направила заявку на участие в аукционе, проводимом банком непрофильных активов «Траст», по продаже активов, связанных с АО «Новоенисейский Лесохимический Комплекс» (НЛХК). НЛХК является одним из крупнейших деревообрабатывающих предприятий замкнутого цикла, расположено в г. Лесосибирск Красноярского края, специализируется на производстве пиломатериалов, МДФ, ДСП, пеллетов, а также столярных изделий для строительства жилых и производственных помещений. В состав аукционного лота вошли права банка на требования по кредитам и прочим обязательствам в общей сумме 11.5 млрд руб. в разных валютах, а также права на заключение опциона на 71% акций НЛХК, условием реализации которого являлось, в том числе, прекращения арбитражного делопроизводства по процедуре банкротства в отношении НЛХК. Группа приобрела лот за денежное вознаграждение в размере 2 306 млн руб., выплаченное в феврале 2021 года. 20 мая 2021 года Группа подписала соглашение по приобретению миноритарной доли в размере 29% акций НЛХК. Сделка была завершена 27 июля 2021 года, акции перешли в собственность дочерней компании Группы АО «Лесосибирский ЛДК №1». Общее вознаграждение составило 17 млн долл. США, из которых 620 млн руб. было выплачено 8 июня 2021 года, а оставшаяся сумма, в размере 601 млн руб., подлежала оплате после перехода права собственности, и была выплачена 19 августа 2021 года.
15 сентября 2021 года Арбитражный суд Красноярского края принял решение о прекращении процедуры банкротства в отношении НЛХК, в связи с чем опцион на приобретение 71% акций стал реализуемым, и, соответственно, Группа получила контроль над значимой деятельностью и консолидирует 100% активов и обязательств НЛХК. До 15 сентября 2021 года Группа учитывала все уплаченное вознаграждение в составе авансов, выданных под внеоборотные активы.
В результате приобретения НЛХК Группа получила доход от приобретения в размере 3 822 млн руб., который был признан в составе строки «Доход от приобретения бизнеса» в консолидированном отчете о прибылях и убытках и прочем совокупном доходе. Доход связан с процедурой банкротства в отношении НЛХК, инициированной в результате корпоративного конфликта между предыдущими собственниками компании. В результате данного конфликта потенциал НЛХК в части как объемов лесозаготовки, так и объемов выпуска пиломатериалов не использовался полностью. В 4 квартале 2021 года, прекратив процедуру банкротства, а также обеспечив достаточный уровень оборотного капитала Группа, без дополнительных капиталовложений, нарастила объемы лесозаготовки и выпуска пиломатериалов, увеличив операционную прибыльность компании.</t>
  </si>
  <si>
    <t>28 апреля 2021 года ПАО «Сегежа Групп» провела первичное публичное размещение 3.75 млрд шт. обыкновенных акций на Московской бирже. Номинал акции составляет 0.1 рубль каждая, ценовой диапазон размещения за одну обыкновенную акцию составлял 7.75-11 рублей, при этом цена размещения составила 8 рублей за одну обыкновенную акцию. В результате проведённого размещения Группа привлекла 30 000 млн руб. Сумма расходов, прямо связанных с выпуском и размещением акций, составила 1 025 млн руб. Данная сумма учтена в уменьшении капитала 8 размере 820 млн руб. за минусом 20% текущего и отложенных налогов на прибыль. Расходы были полностью оплачены во втором полугодии 2021 года и представлены по строке «Затраты по сделкам, связанным с размещением акций» консолидированного отчета о движении денежных средств в части движения денежных средств от финансовой деятельности.</t>
  </si>
  <si>
    <t>Arka Merchants Limited</t>
  </si>
  <si>
    <t>22 февраля 2023 года Группой было заключено соглашение о продаже 100% доли в капитале компании Arka Merchants Limited и ее дочерних обществ (семь заводов Segezha Packaging в Европе и Турции общей мощностью 704 млн мешков в год). Руководство Группы не ожидает существенного влияния данной сделки на финансовый результат Группы. Выручка и чистая прибыль Arka Merchants Limited и ее дочерних предприятий за год, закончившийся 31 декабря 2022 года, составили 13 747 млн руб. и 384 млн руб., соответственно, и отражены в результатах деятельности сегмента «Бумага и упаковка».
Выручка и чистый убыток от прекращенной деятельности за год, закончившийся 31 декабря 2023 года, составили 1 608 млн руб. и 102 млн руб., соответственно. Убыток от выбытия дочерних предприятий за вычетом сопутствующего налога на прибыль составил 666 млн руб.</t>
  </si>
  <si>
    <t>26 апреля 2021 года в рамках исполнения подписанного с банком Договора об осуществлении корпоративных прав Группа реализовала банку по номинальной стоимости 15% долей в ООО «ГаличЛес» (владелец 100% долей в ООО «ГФК»). Данная транзакция не привела к изменению прав управления значимой деятельностью объекта инвестиций. Банк имеет опцион на обратную продажу Группе 15% долей в ООО «ГаличЛес» в срок не ранее 1 октября 2025 года по цене доли в размере 475 000 тыс. руб., что представляется собой ожидаемую справедливую стоимость доли по состоянию на 1 октября 2025 года. Группа также имеет соответствующий опцион на обратный выкуп 15% долей в ООО «ГаличЛес» в срок не позднее 30 сентября 2025 года по цене доли в размере 475 000 тыс. руб.</t>
  </si>
  <si>
    <t>14 января 2020 года Группа приобрела 100% долю в ООО «Карелиан Вуд Кампани», лесозаготовительном и деревообрабатывающем предприятии, за согласованное денежное вознаграждение в размере 950 000 тыс. руб. при ежегодной расчетной лесосеке 206 тыс. м3. Руководство Группы ожидает, что интеграция «Карелиан Вуд Кампани» в Группу даст значительный синергетический эффект, - позволит увеличить сырьевую безопасность всей Группы в целом, а также увеличит эффективность лесообеслечения карельских активов Группы за счет оптимизации потоков лесосырья. Лесные участки «Карелиан Вуд Кампани» расположены в непосредственной близости с общим лесфондом Группы в Карелии.</t>
  </si>
  <si>
    <t>13 января 2020 года Группа приобрела контроль над ЗАО «Гипробум» (75,02%), инжиниринговой компании по проектированию объектов целлюлозно-бумажной промышленности с дислокацией в Санкт-Петербурге, за денежное вознаграждение в размере 8 000 тыс. руб. Группа планирует использовать возможности ЗАО «Гипробум» в области проектирования и управления проектами для повышения эффективности существующих производственных мощностей Группы, а также для строительства новых производственных мощностей.</t>
  </si>
  <si>
    <t>1 апреля 2020 года Группа приобрела 100% долю в ООО «Лэнд-10», занимающемся заготовкой леса, за вознаграждение в размере 65 899 тыс. руб. при ежегодной расчетной лесосеке 35 тыс. м3. Сделка совершена в рамках увеличения сырьевой базы для предприятий Группы, лесные участки расположены в непосредственной близости с общим лесфондом Группы в Карелии.</t>
  </si>
  <si>
    <t>В июне 2019 года Группа приобрела 100% долю участия в ООО «Северлеспром», занимающемся заготовкой леса, за вознаграждение в размере 140 000 тыс. руб. Приобретение ООО «Северлеспром» осуществлено в рамках дальнейшего расширения деятельности Группы в сфере услуг по лесозаготовительным работам с целью повышения сырьевой безопасности текущего бизнеса Группы, снижения средних цен закупки сырья на производственные активы Группы, увеличения сырьевой базы для дальнейшей модернизации производственных активов Группы.</t>
  </si>
  <si>
    <t>Проектирование объектов целлюлозно-бумажной промышленности</t>
  </si>
  <si>
    <t>Деревообработка и лесозаготовка</t>
  </si>
  <si>
    <t>В июне 2018 года Компания приобрела 100% долей участия в группе компаний «Волома-Инвест» (ООО «Волома-Инвест» и ее дочерние компании ОАО «Воломский КЛПХ Лескарел» (74,993%) и ОАО «Ледмозерское ЛЗХ» (51%, эффективная доля Группы 38,25%)), оказывающей услуги по лесозаготовительным работам. Приобретение компании ОАО «Ледмозерское ЛЗХ» осуществлено в форме поэтапного приобретения, так как на дату приобретения ООО «Волома-Инвест» Группа уже владела 49% долей в капитале компании. Эффективная доля владения Группы в компании ОАО «Ледмозерское ЛЗХ» после приобретения составила 87,25%. Приобретение группы компаний «Волома-Инвест» осуществлено в рамках дальнейшего расширения деятельности Группы в сфере услуг по лесозаготовительным работам с целью повысить эффективность лесозаготовительных работ для Группы, сырьевую безопасность текущего бизнеса Группы, снизить средние цены закупки сырья на Сегежский ЦБК, увеличить сырьевую базу для дальнейшего расширения и модернизации производственных активов Группы. В течение шести месяцев, закончившихся 30 июня 2019 года, Группа завершила оценку стоимости приобретения группы компаний «Волома-Инвест» и ее распределение на справедливую стоимость приобретенных активов и обязательств. За период с даты приобретения до 31 декабря 2018 года в выручку и в прибыль до налогообложения Группы было включено 406 160 тыс. руб. и 20 631 тыс. руб. соответственно, приходящиеся на приобретенные компании. Если бы данная сделка по объединению бизнеса произошла 1 января 2018 года выручка Группы, приходящаяся на приобретенные компании, составила бы 852 793 тыс. руб., а убыток Группы до налогообложения, приходящийся на приобретенные компании, составил бы 94 334 тыс. руб.</t>
  </si>
  <si>
    <t>В 2018 году Группа осуществила продажу 100% доли в дочернем предприятии АО «Карелия ДСП». Решение по продаже акций было принято ввиду того, что АО «Карелия ДСП» несла операционные убытки в предыдущие годы, а также ввиду необходимости дополнительного финансирования модернизации производства. Прибыли и убытки выбывшего дочернего предприятия были включены в консолидированную финансовую отчетность до даты потери контроля - ноябрь 2018 года. Информация о сделке по продаже доли в дочернем предприятии и о её влиянии на отчетность Группы приведена ниже.</t>
  </si>
  <si>
    <t>В течение 2017 года, Группа через ЗПИФ инвестиций «Венчурный проект» приобрела 51% акций в АО «Грузовой терминал Пулково» за денежное вознаграждение в сумме 595 500 тысяч рублей. Справедливая стоимость чистых активов, причитающихся акционерам Банка, составила 480 627 тысяч рублей по состоянию на дату приобретения.</t>
  </si>
  <si>
    <t>ПАО "БАНК "САНКТ-ПЕТЕРБУРГ"</t>
  </si>
  <si>
    <t>Грузовой терминал аэропорта</t>
  </si>
  <si>
    <t>31 июля 2019 года в соответствии с пунктом 2 статьи 72 Федерального закона «Об акционерных обществах» Наблюдательный совет Банка принял решение о приобретении Банком собственных размещенных обыкновенных именных бездокументарных акций (протокол № 3 от 31 июля 2019 года) в количестве 12 000 тысяч штук по цене 53,50 рублей. Срок, в течение которого поступали заявления (волеизъявления) акционеров о продаже принадлежащих им акций или отзыв таких заявлений: с 6 сентября 2019 года по 7 октября 2019 года. Денежные средства акционерам за приобретенные Банком акции направлены в период с 14 октября по 22 октября 2019 года. Зачисление акций на казначейский счет Банка в реестре акционеров произведено 23 октября 2019 после полной оплаты.</t>
  </si>
  <si>
    <t>В октябре 2018 года Банк произвел выкуп обыкновенных именных бездокументарных акций в количестве 12 000 тысяч штук по цене 55,00 рублей. Акции зачислены на казначейский счет Банка в реестре акционеров. Банк планирует включить в повестку годового собрания акционеров вопрос об уменьшении уставного капитала путем погашения принадлежащих Банку обыкновенных именных бездокументарных акций в количестве 12 000 тысяч штук.</t>
  </si>
  <si>
    <t>BSPB</t>
  </si>
  <si>
    <t>В рамках реализации процедуры реорганизации Банка в форме присоединения к нему ЗАО ИКБ «ЕВРОПЕЙСКИЙ», в декабре 2014 Банком было выкуплено 33 340 117 штук обыкновенных именных акций на общую сумму 1 118 561 тысячу рублей и 510 550 штук привилегированных именных акций на общую сумму 613 тысяч рублей. Также в декабре 2014 года произошла реализация 8 791 070 штук обыкновенных именных акций Банка, выкупленных у акционеров, на общую сумму 219 777 тысяч рублей.</t>
  </si>
  <si>
    <t>В январе 2015 года было реализовано 11 332 000 штук обыкновенных акций Банка на общую сумму 285 566 тысяч рублей. В случае благоприятной конъюнктуры Группа намерена реализовать все выкупленные акции.</t>
  </si>
  <si>
    <t>10 февраля 2014 года Группой было приобретено 100% акций ЗАО ИКБ «Европейский» за 610 151 тысячу рублей Приобретение осуществлялось на рыночных условиях. Приобретение Инвестиционно-коммерческого банка «Европейский» позволит Группе существенно увеличить долю на рынке Калининградской области.</t>
  </si>
  <si>
    <t>В 2016 году Банком, в соответствии с решением Наблюдательного Совета, было выкуплено 12 613 082 обыкновенные акции. По состоянию на 31 декабря 2016 года все выкупленные акции были реализованы Банком по стоимости превышающей цену выкупа.</t>
  </si>
  <si>
    <t>В 2016 году Группа приобрела дочернюю компанию ООО «Невская управляющая компания» за 156 000 тысяч рублей, справедливая стоимость идентифицированных чистых активов компании на дату приобрения существенно не отличается от цены прибретения.</t>
  </si>
  <si>
    <t>Управление ценными бумагами</t>
  </si>
  <si>
    <t>22 июня 2013 года Группой был зарегистрирован дополнительный выпуск обыкновенных именных акций. Размещение дополнительного выпуска обыкновенных именных акций завершено 9 сентября 2013 года. В ходе размещения было реализовано 73 624 065 штук обыкновенных акций по цене 41 рубль на общую сумму 3 018 587 тысяч рублей. Уведомление об итогах выпуска направлено в Банк России 11 сентября 2013 года.</t>
  </si>
  <si>
    <t xml:space="preserve">В 2007 году Группа продала долю участия в уставном капитале лизинговой компании «Санкт-Петербург». Доход от деятельности данной дочерней компаний составил 11 864 тысяч рублей за период с 1 января до даты продажи, что нашло свое отражение в консолидированном отчете о прибылях и убытках за 2007 год. </t>
  </si>
  <si>
    <t xml:space="preserve">По состоянию на 31 декабря 2004 года Группа продала все доли участия в уставном капитале страховой компании «Гайде» и «Генеральной Страховой Компании» и 48,00% в уставном капитале лизинговой компании «Санкт-Петербург». Убыток от деятельности данных дочерних компаний составил 173 998 тысяч рублей (без учета доли меньшинства) за период с 1 января по 31 декабря 2004 года, что нашло свое отражение в консолидированном отчете о прибылях и убытках за 2004 год. </t>
  </si>
  <si>
    <t xml:space="preserve">1 января 2003 года Группа приобрела 62,66% уставного капитала Страховой компании «Гайде», 100% уставного капитала «Генеральной страховой компании» и 100% уставного капитала Лизинговой компании «Санкт-Петербург». На долю приобретенных дочерних компаний приходится операционный убыток Группы за 2003 год в размере 7 135 тысяч рублей. </t>
  </si>
  <si>
    <t>ROSB</t>
  </si>
  <si>
    <t>8 мая 2024 года акционеры Группы на общем внеочередном собрании поддержали интеграцию ПАО «Росбанк» в состав МКПАО «ТКС Холдинг». В рамках сделки планируется дополнительная эмиссия акций по закрытой подписке. Запланированный объем дополнительной эмиссии составляет 130 млн штук по цене 3 423,62 рублей за акцию.
15 августа 2024 года ТКС Холдинг завершил сделку по приобретению ПАО «Росбанк» посредством дополнительной эмиссии акций. Это стратегический проект, направленный на значительное усиление позиций Группы на финансовом рынке, а также на формирование сильной капитальной позиции для дальнейшего опережающего роста бизнеса, наращивания доходности капитала и максимизации акционерной стоимости Группы.</t>
  </si>
  <si>
    <t>19 июля 2024 года Группа выкупила контрольные доли в ООО "РОВИ Факторинг Плюс" и ООО "РОВИ Технологии" у АО "Киви".</t>
  </si>
  <si>
    <t>ООО "РОВИ Факторинг Плюс" и ООО "РОВИ Технологии"</t>
  </si>
  <si>
    <t>АО "Киви"</t>
  </si>
  <si>
    <t>Финансовые технологии</t>
  </si>
  <si>
    <t>В течение года, закончившегося 31 декабря 2021 года, Группа выкупила 425 017 ГДР по рыночной цене на сумму 1 877 миллионов рублей.</t>
  </si>
  <si>
    <t>TCSG</t>
  </si>
  <si>
    <t>В течение года, завершившегося 31 декабря 2020 года, Группа выкупила по рыночной стоимости 650 000 ГДР на сумму 661 млн руб.</t>
  </si>
  <si>
    <t>За год, завершившийся 31 декабря 2018 г., Группа выкупила 2 094 126 ГДР на сумму 2 455 млн руб. по рыночной стоимости.</t>
  </si>
  <si>
    <t>В сентябре 2019 года Группа продала ЗПИФ «Центральный» за 1,8 млрд. руб. Поскольку продажа была осуществлена по цене практически равной балансовой стоимости чистых активов, то данная сделка не оказала влияния на отчет о прибылях и убытках.</t>
  </si>
  <si>
    <t>Девелоперская деятельность</t>
  </si>
  <si>
    <t>В декабре 2018 года группа продала доли в кампаниях ООО «Глобус Недвижимость», ООО «Эксперт Недвижимость», ООО «Монолит Недвижимость», ООО «Перспективные Инвестиции», ООО «Азбука Инвестиций», ООО «Концепт Недвижимость».</t>
  </si>
  <si>
    <t>В апреле 2017 года Группа заключила опционы, по условиям которых получила потенциальные права голоса, дающие контроль над ООО «Глобус Недвижимость», ООО «Эксперт Недвижимость», ООО «Монолит Недвижимость», ООО «Перспективные Инвестиции», ООО «Азбука Инвестиций», ООО «Концепт Недвижимость», которые владеют земельными участками в Москве и осуществляют девелоперскую деятельность.</t>
  </si>
  <si>
    <t>В мае 2017 года Группа приобрела контроль над ЗАО «Спецстрой-2» путем приобретения 100% доли участия за 60 тыс. рублей.</t>
  </si>
  <si>
    <t>В октябре 2016 года Группа получила контроль над ООО «ЕН-Активы», ООО «ЕН-Инвест», ООО «Компания Сити Лэнд Групп» посредством получения 100% акций ООО «ЕН-Активы» и ООО «ЕН-Инвест» в качестве отступного по кредиту ООО «Компания Сити Лэнд Групп» в размере 17,4 млрд. рублей.</t>
  </si>
  <si>
    <t>В июне 2016 года Группа продала 100% акций ОАО «Чайка» за 2 млрд. рублей и признала прибыль от продажи в сумме 0,7 млрд. рублей в составе чистой прибыли от приобретения и выбытия дочерних и ассоциированных организаций в консолидированном отчете о прибылях и убытках.</t>
  </si>
  <si>
    <t>В сентябре 2015 года Группа продала 100% акций ООО «БАЛТЕХ» за 10 тыс. рублей и признала прибыль от продажи в сумме 0,2 млрд. рублей в составе чистого результата от приобретения и выбытия дочерних организаций в консолидированном отчете о прибылях и убытках.</t>
  </si>
  <si>
    <t>В сентябре 2015 года Группа продала 100% акций ООО «Данков-Агро», ООО «Долгоруково-Агро», ООО «ЛТ-Агро», ООО «Политовское ХПП», ЗАО АПГ «Лебедянский элеватор» за 1,7 млрд. рублей и признала прибыль от продажи в сумме 0,7 млрд. рублей в составе чистого результата от приобретения и выбытия дочерних организаций в консолидированном отчете о прибылях и убытках.</t>
  </si>
  <si>
    <t>В декабре 2015 года Группа продала 100% акций ОАО «Агрокомбинат Южный» за 3,5 млрд. рублей и признала убыток от продажи в сумме 0,4 млрд. рублей в составе чистого результата от приобретения и выбытия дочерних организаций в консолидированном отчете о прибылях и убытках.</t>
  </si>
  <si>
    <t>В январе 2017 года АО «БМ-Банк» продал 59,7% акций ассоциированной компании АО «Эстонский кредитный банк», классифицированной в качестве активов, предназначенных для продажи, несвязанной стороне за 0,8 млрд. рублей. Убыток от сделки составил 0,1 млрд. рублей.</t>
  </si>
  <si>
    <t>В январе 2015 года Группа увеличила долю участия в ЗАО «Автоматизированные Банковские Технологии» с 71,74% до 89,27% путем выкупа акций у миноритарных акционеров.</t>
  </si>
  <si>
    <t>В марте 2013 года Группой были приобретены собственные акции в количестве 4 040 штук в связи с получением контроля над ЗАО «Автоматизированные Банковские Технологии».</t>
  </si>
  <si>
    <t>В августе 2014 года Группой были проданы собственные акции в количестве 2 259 524 штук компании ООО «ВТБ Пенсионный администратор» за 2,3 млрд. рублей. Прибыль от реализации составила 0,4 млрд. руб.</t>
  </si>
  <si>
    <t>В мае 2014 года Группой были проданы собственные акции в количестве 6 447 штук компании ОАО «Банк ВТБ» за 6,5 млн. рублей.</t>
  </si>
  <si>
    <t>В марте 2014 года Группой были приобретены собственные акции в количестве 2 265 971 штук в связи с получением контроля над ОАО «Страховая группа МСК», в общей сумме 1,9 млрд. рублей.</t>
  </si>
  <si>
    <t>В марте 2014 года Группа увеличила количество принадлежищих ей паёв в ЗПИФ прямых инвестиций «Гостиницы и курорты» с 79% до 91,8% путём приобретения миноритарного акционера ЗПИФ прямых инвестиций «Гостиницы и курорты» - ОАО «Страховая группа МСК»</t>
  </si>
  <si>
    <t>В августе 2014 года Группа приобрела 14,5% ЗПИФ «ВТБ - Долгосрочные инвестиции» за 4,4 млрд. рублей. В результате доля Группы в данном фонде увеличилась c 85,5% до 100% по состоянию на 31 декарбря 2014 года. Группа признала убыток от уменьшения финансового обязательства перед прочими участниками фонда в размере 0,3 млрд. рублей в составе доходов за вычетом расходов по операциям с финансовыми инструментами, переоцениваемыми по справедливой стоимости через прибыль или убыток в консолидированном Отчете о прибылях и убытках за 2014 год.</t>
  </si>
  <si>
    <t>В июне 2014 года Группа приобрела 51,8% паёв ЗПИФ «ВТБ - Долгосрочные инвестиции» за 8,3 млрд. рублей. В результате доля Группы в данном фонде увеличилась c 33,73% по состоянию на 31 декабря 2013 года до 85,5%. Группа признала доход от уменьшения финансового обязательства перед прочими участниками фонда в размере 7,6 млрд. рублей в составе доходов за вычетом расходов по операциям с финансовыми инструментами, переоцениваемыми по справедливой стоимости через прибыль или убыток в консолидированном Отчете о прибылях и убытках за 2014 год.</t>
  </si>
  <si>
    <t>В апреле 2014 года группа увеличила долю участия в ООО «Агроцентр-Тамбов», ООО «Агроцентр-Рязань», ООО «Агроцентр-Сибирь», ООО «Агроцентр-Орел» на 23,76%, в ООО «Агроцентр-Курск» на 23,96% и в ООО «ТерраИнвест» на 24,47% путём выкупа акций у минориторных акционеров. Разница в сумме 0,1 млрд. рублей между уплаченным вознаграждением и балансовой стоимостью приобретенных долей данных компаний учтена в составе нераспределенной прибыли в капитале.</t>
  </si>
  <si>
    <t xml:space="preserve">В феврале 2014 года Группа приобрела контроль над ИОАО «Московская инвестиционная строительная компания» (республика Беларусь) путем приобретения 95% акций за 3,8 млн. рублей. </t>
  </si>
  <si>
    <t>В марте 2014 года Группа приобрела контроль над ОАО «Страховая группа МСК» путем приобретения 82% акций за 79 млн. рублей у компании, находящейся под общим контролем группы ВТБ. На дату приобретения контроля над ОАО «Страховая группа МСК» в состав статьи Финансовые активы, имеющиеся в наличии для продажи, были включены собственные акции Группы в количестве 2 265 971 штука, в общей сумме на 1,9 млрд. рублей. Если бы объединение произошло в начале года, прибыль Группы за период уменьшилась бы на 0,7 млрд. рублей, доходы увеличились бы на 4,2 млрд. рублей.</t>
  </si>
  <si>
    <t>В апреле 2014 года Группа приобрела контроль над ОАО «Гостиничная компания», ОАО «Агрокомбинат Южный», ОАО «Велозаводский рынок», ОАО «Кунцевский рынок» ОАО, «МГКЛ Мосгорломбард», ООО «Авиапарк».</t>
  </si>
  <si>
    <t>В июне 2014 года Группа приобрела контроль над ОАО «Полиграфический комплекс «Пушкинская площадь», ОАО «Бумажно-полиграфическое объединение «Печатники» и ОАО «Медиа Центр» путем приобретения 69,4% акций ОАО «Бумажно-полиграфическое объединение «Печатники» по соглашению об отступном.</t>
  </si>
  <si>
    <t>В марте 2014 года Группа приобрела контроль над ООО «СУ Космос-М» путем приобретения 100% доли участия за 10 тыс. рублей.</t>
  </si>
  <si>
    <t>В октябре 2014 года Группа приобрела контроль над ООО «Полесье» и ООО «Сосновый остров».</t>
  </si>
  <si>
    <t>В сентябре 2014 года Группа продала 100% долю участия в ООО «Авиапарк» за 4,4 млрд. рублей, продажа не
оказала влияния на финансовый результат Группы.</t>
  </si>
  <si>
    <t>Издательство</t>
  </si>
  <si>
    <t>В марте 2014 года группа продала 100% акций ОАО «Российский Национальный Коммерческий Банк» за общее вознаграждение в размере 1,2 млрд. рублей и признала убыток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t>
  </si>
  <si>
    <t>Аренда</t>
  </si>
  <si>
    <t>В сентябре 2014 года Группа продала 100% долю участия в ООО «СУ Космос-М» за 11 тыс. рублей признала прибыль от продажи в сумме 0,5 млрд. рублей в составе чистого результата от приобретения и выбытия дочерних организаций в консолидированном отчете о прибылях и убытка</t>
  </si>
  <si>
    <t>В ноябре 2014 года Группа продала 100% долей участия в ООО «Добринка-Агро» за 0,3 млрд. рублей и признала прибыль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t>
  </si>
  <si>
    <t>В декабре 2014 года Группа продала 100% долю участия в ООО «ЛОДБРОК» и отразила прибыль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t>
  </si>
  <si>
    <t>В октябре 2014 года Группа продала 100% акций дочернего банка ОАО «Банк Москва-Минск» за 2,4 млрд. рублей и признала убыток от продажи в сумме 0,3 млрд. рублей в составе чистого результата от приобретения и выбытия дочерних организаций в консолидированном отчете о прибылях и убытках.</t>
  </si>
  <si>
    <t xml:space="preserve">В июне 2014 года Группа продала 100% долю участия в ООО «ГОЛОВИНО ПЛАЗА» и ЗАО «ИПО «Полигран» за 0,001 млрд. рублей и признала убыток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 </t>
  </si>
  <si>
    <t>В июне 2014 года Группа продала 100% акций ЗАО «ТРАСТ-РЕЗЕРВ» за общее вознаграждение в размере 5,1 млрд. рублей и признала прибыль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 .</t>
  </si>
  <si>
    <t xml:space="preserve">В июле 2014 года Группа продала 100% долю участия в компаниях ООО «ММВЗ-АГРО», MMVZ Moldova S.R.L. и совместное предприятие Кэлэрашь Дивин АО за 0,1 млрд. рублей и признала прибыль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 </t>
  </si>
  <si>
    <t>В июле 2014 года Группа продала 100% долю участия в компани ООО «НПО Информатика» за 115 тыс. рублей и признала убыток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t>
  </si>
  <si>
    <t>В феврале 2016 года Группа продала 49,0% акций ОАО «Перовское» за 700 млн. рублей.</t>
  </si>
  <si>
    <t>В марте 2016 года Группа продала дочернюю команию АО «Страховая группа МСК», которая по состоянию на 31 декабря 2015 года была классифицирована как активы, предназначенные для продажи, за 48 млн. рублей.</t>
  </si>
  <si>
    <t>В январе 2016 года Банк Москвы выпустил 73 253 833 штук обыкновенных акций номинальной стоимостью 100 рублей за акцию. Данные акции были выкуплены Банк ВТБ (ПАО) по цене 587 рублей за акцию. Общая сумма докапитализации составила 43 млрд. рублей.</t>
  </si>
  <si>
    <t>В феврале 2014 года Группа приобрела контроль над ООО «Деревообработка – Проект» путем приобретения 100% доли участия</t>
  </si>
  <si>
    <t>В апреле 2014 года группа продала 100% акций ЗАО «Доминанта» и ООО «БМ-Проект Экология» за 0,1 млрд. рублей и признала прибыль от продажи в сумме 0,2 млрд. рублей в составе чистого результата от приобретения и выбытия дочерних организаций в консолидированном Отчете о прибылях и убытках.</t>
  </si>
  <si>
    <t>В апреле 2015 года Группа получила по договору отступного 100% долей уставного капитала ООО «ТД «Раменская».</t>
  </si>
  <si>
    <t>В ноябре 2013 года Группа увеличила долю участия в ЗАО «Автоматизированные банковские технологии» с
54,9% до 72,63% путем выкупа акций у миноритарных акционеров за 42 млн. рублей.</t>
  </si>
  <si>
    <t xml:space="preserve">В январе 2013 года Группа приобрела 6,5% акций ЗАО «Автоматизированные банковские технологии» за 9,6 млн. рублей. В марте 2013 года Группа приобрела 14,3% акций ЗАО «Автоматизированные банковские технологии» за 46 млн. рублей. В результате Группа приобрела контроль над ЗАО «Автоматизированные банковские технологии» и увеличила долю с 34,2% до 54,9%. </t>
  </si>
  <si>
    <t>В феврале 2013 года Группа увеличила долю участия в ОАО «Чайка» с 98,76% до 100% путем выкупа акций у миноритарных акционеров за 6,7 млн. рублей. Это привело также к увеличению доли Группы в ЗАО «ОргСпортСервис» (дочерней компании ОАО «Чайка») с 98,76% до 100%.</t>
  </si>
  <si>
    <t>В течение 2013 года Группа увеличила долю участия в ОАО «Российский национальный коммерческий банк» с 98,8% до 100% путем выкупа акций у миноритарных акционеров.</t>
  </si>
  <si>
    <t>В декабре 2013 года Группа увеличила долю участия в ОАО "Московский межреспубликанский винодельческий завод" с 94,1372% до 94,2026% путем выкупа акций у миноритарных акционеров за 0,2 млн. руб.</t>
  </si>
  <si>
    <t>ОАО "Московский межреспубликанский винодельческий завод"</t>
  </si>
  <si>
    <t>50%-1акция</t>
  </si>
  <si>
    <t>В августе 2013 года увеличила свою долю в ОАО «Сегежский целлюлозно-бумажный комбинат» до 100% путём выкупа у миноритариев 50% минус 1 акция за 542 млн. рублей. Балансовая стоимость приобретенных чистых активов компании ОАО «Сегежский целлюлозно-бумажный комбинат» на эту дату составила минус 2 673 млн. рублей, разница в сумме 3 215 млн. рублей между уплаченным вознаграждением и балансовой стоимостью
приобретенной доли учтена в составе нераспределенной прибыли в капитале.</t>
  </si>
  <si>
    <t>В мае 2013 года Группа приобрела контроль над ООО «Головино Плаза», ООО «НПО «Информатика», ЗАО «Траст-Резерв» и ЗАО «ИПО Полигран» путем приобретения 100% паев Закрытого паевого инвестиционного фонда прямых инвестиций «Глобус Прямые Инвестиции» за 1 319,8 млн. рублей.</t>
  </si>
  <si>
    <t>В мае 2013 года Группа приобрела контроль над ЗАО «Гостиница «Сокольники» и ЗАО «УК «Отель Менеджмент» путем приобретения 59,1% паев Закрытого паевого инвестиционного фонда прямых инвестиций «Гостиницы и курорты» за 475,3 млн. рублей.</t>
  </si>
  <si>
    <t>В мае 2013 года Группа приобрела долю участия в капитале ОАО «Сегежский целлюлозно-бумажный комбинат» и его дочерних компаний путем приобретения 50% плюс 1 акция, выпущенных в рамках дополнительной эмиссии за 542 млн. рублей. С даты приобретения выручка и чистая прибыль ОАО «Сегежский целлюлозно-бумажный комбинат» не оказали значительного влияния на непроцентные доходы Группы и прибыль Группы до учета налогообложения. Если бы объединение произошло в начале года, прибыль Группы за период уменьшилась бы на 337,7 млн. рублей, доходы от небанковской деятельности увеличились бы на 9 390,0 млн. рублей.</t>
  </si>
  <si>
    <t xml:space="preserve">В июне 2013 года Группа приобрела долю участия в капитале ООО «Риэлт-Сити» (99,7%) по соглашению об отступном в счет погашения кредита на сумму 179,6 млн. рублей. </t>
  </si>
  <si>
    <t>В феврале 2013 года Группа продала 69%-ную долю участия в ЗАО «Стэли Холдинг» за 0,001 млн. рублей и признала прибыль от продажи в сумме 17,4 млн. рублей в составе чистого результата от приобретения и выбытия дочерних организаций в Отчете о прибылях и убытках.</t>
  </si>
  <si>
    <t>В марте 2013 года Группа продала долю участия в компаниях ООО «Компания «Спецкоммунтехника» (99,99%), ЗАО «Экология и энергетика» (99,97%) за 0,02 млн. рублей. В результате Группа утратила контроль над ними, а также над дочерней компанией ЗАО «Экология и энергетика» – ООО «Европа-Моторс». Группа признала прибыль от продажи в сумме 346,3 млн. рублей в составе чистого результата от приобретения и выбытия дочерних организаций в Отчете о прибылях и убытках.</t>
  </si>
  <si>
    <t>В апреле 2013 года Группа продала 100% акций ЗАО «Регистратор КРЦ» за 180 млн. рублей и признала убытокот продажи в сумме 0,4 млн. рублей в составе чистого результата от приобретения и выбытия дочерних организаций в Отчете о прибылях и убытках.</t>
  </si>
  <si>
    <t>В мае 2013 года Группа продала 100%-ную доля участия в АО «Банк Москвы» – Белград за 417,3 млн. рублей и признала прибыль от продажи в сумме 6,5 млн. рублей в составе чистой прибыли (убытка) от приобретения и выбытия дочерних компаний в Отчете о прибылях и убытках.</t>
  </si>
  <si>
    <t>В августе 2013 года Группа продала 99,98% доли участия в ООО "БМ Проект-Лакокраска" за денежное вознаграждение 180 млн.рублей, также получив вексель ЗАО "Дон-Строй Инвест" стоимостью 681,9 млн.руб. Группа признала прибыль от продажи в сумме 861,8 млн. рублей в составе чистого результата от приобретения и выбытия дочерних организаций в Отчете о прибылях и убытках.</t>
  </si>
  <si>
    <t>В октябре 2013 года Группа продала 98,87% доли участия в ООО "АПК Мильстрим Черноморские вина" и его дочерних компаниях (ООО "Земледелец Тамани", ООО "Таманский винодел", ООО Агропромышленная фирма "Мирный", ООО "Земля") за 500 млн. руб. и признала прибыль от продажи в сумме 17,6 млн. руб. в составе чистого результата от приобретения и выбытия дочерних компаний в Отчете о прибылях и убытках.</t>
  </si>
  <si>
    <t>ООО "БМ Проект-Лакокраска"</t>
  </si>
  <si>
    <t>ООО "АПК Мильстрим Черноморские вина" и его дочерние компании (ООО "Земледелец Тамани", ООО "Таманский винодел", ООО Агропромышленная фирма "Мирный", ООО "Земля")</t>
  </si>
  <si>
    <t>Показ фильмов</t>
  </si>
  <si>
    <t>В июне 2012 года Группа приобрела долю участия в капитале ООО «АПК Мильстрим-Черноморские вина» (100%), ООО «Агропромышленная фирма Мирный» (100%), ООО «Земледелец Тамани» (100%), ООО «Таманский винодел» (100%) и ООО «Земля» (100%) путем приобретения 100%-ной доли участия в ООО «УК Мильстрим» за 0,015 млн. рублей через дочернюю компанию ОАО «Объединенная компания».</t>
  </si>
  <si>
    <t>В июне 2012 года Группа приобрела долю участия в капитале ООО «Терра ИнвестХолдинг» (100%), ООО «Бутурлиновка-Агро» (100%), ООО «Данков-Агро» (100%), ООО «Добринка-Агро» (100%), ООО «Долгоруково-Агро» (100%), ООО «ЛТ-Агро» (100%). ООО «Танаис» (74,7%), ООО «Им. К. Маркса» (74,7%), ООО «Долгоруково-Молоко» (100%), ЗАО «Победа» (39,6%), ООО «Терра Агроменеджмент» (100%), ООО «Терра-Инвест» (75,3%), ООО «Политовское ХПП» (100%), ЗАО «АПГ Лебедянский элеватор» (95,7%), ООО «Первый Агрокомбинат» (38,4%) за 2 млн. рублей через дочернюю компанию ООО «БМ-Проект».</t>
  </si>
  <si>
    <t>В июне 2012 года Группа приобрела долю участия в капитале ООО «КИНОФРЭШ» (100%), ООО «Синема Инвест» (100%), ООО «Синема Инвест Ижевск» (100%), ООО «Синема Инвест Казань» (100%), ООО «Кино Сфера» (100%), ЗАО «Профит-Синема» (100%), ООО «ЕвразияСинема» (100%), ООО «Евразия» (100%) через дочернюю компанию ООО «БМ Проект».</t>
  </si>
  <si>
    <t>В июне 2012 года Группа приобрела долю участия в капитале ОАО «Чайка» (83,1%) и ЗАО «ОргСпортСервис» (83,1%) по соглашению с заемщиками Группы.</t>
  </si>
  <si>
    <t>В июле 2012 года Группа приобрела долю участия в капитале ООО «Агрохолдинг-Курск» (75,95%), ООО «Агрохолдинг-Орел» (76,18%), ООО «Агроцентр-Тамбов» (76,18%), ООО «Агроцентр-Рязань» (76,18%), ООО «Агроцентр-Сибирь» (76,18%), и ЗАО «Новоалексеевское» (75,94%) за 0,01 млн. рублей через дочернюю компанию ООО «Терра-АгроМенеджмент»,</t>
  </si>
  <si>
    <t>В результате работы с проблемными активами в августе 2012 года Группа приобрела долю участия в капитале ЗАО «Стели Холдинг» (69%) за 3 рубля через Банк Москвы.</t>
  </si>
  <si>
    <t>В июле 2012 года Группа приобрела долю участия в капитале ООО «Конми» (90,67%) за 0,0088 млн. рублей через дочернюю компанию ООО «БМ Проект».</t>
  </si>
  <si>
    <t>В августе 2012 года Группа приобрела долю участия в капитале ООО «Вервольф» (99%) за 0,01 млн. рублей через дочернюю компанию ООО «БМ Проект».</t>
  </si>
  <si>
    <t xml:space="preserve">В результате работы с проблемными активами в период с февраля по март 2012 года Группа приобрела контроль над ОАО «Российский Национальный Коммерческий Банк» путем увеличения доли участия в капитале с 39,8% до 84,91%. </t>
  </si>
  <si>
    <t>В августе 2012 года Группа за 15,3 млн. рублей приобрела дополнительные акции ОАО «Российский Национальный Коммерческий Банк». В результате сделки доля Группы в ОАО «Российский Национальный Коммерческий Банк» увеличилась с 84,91% до 98,8%.</t>
  </si>
  <si>
    <t>В августе 2012 года Группа через дочернюю компанию ООО «БМ-Дирекция» приобрела дополнительную долю в капитале ОАО «Международная управляющая компания» за 0,45 млн. рублей. В результате данной сделки Группа также увеличила долю в капитале ООО «Центр «Городские информационные технологии», являющейся дочерней компанией ОАО «Международная управляющая компания», с 50% до 100%.</t>
  </si>
  <si>
    <t>На 29 июня 2012 года Группа увеличила долю участия в капитале ОАО «Мосводоканалбанк» с 65,9% до 92,74% путем приобретения акций у миноритарных акционеров. В июле 2012 года Группа продала имеющуюся долю 92,74% в капитале ОАО «Мосводоканалбанк» за 318,7 млн. рублей и признала прибыль от продажи в сумме 19,7 млн. рублей в составе чистой прибыли (убытка) от приобретения и выбытия дочерних компаний в Отчете о совокупном доходе.</t>
  </si>
  <si>
    <t>В апреле 2012 года Группа продала 100%-ную долю участия в капитале ОАО «Бежица-Банк» за 730 млн. рублей и признала прибыль от продажи в сумме 44,4 млн. рублей в составе чистой прибыли (убытка) от приобретения и выбытия дочерних компаний в Отчете о совокупном доходе.</t>
  </si>
  <si>
    <t>В октябре 2012 года Группа продала 100%-ную долю участия в капитале ООО «Мос-Брокер» за 348 млн. рублей и признала прибыль от продажи в сумме 17,8 млн. рублей в составе чистой прибыли (убытка) от приобретения и выбытия дочерних компаний в Отчете о совокупном доходе.</t>
  </si>
  <si>
    <t>Брокерские услуги</t>
  </si>
  <si>
    <t>Riverwood и Lead Universal Ltd</t>
  </si>
  <si>
    <t>В мае 2012 года Группа приобрела долю участия в капитале Riverwood (100%) и Lead Universal Ltd (100%) через дочернюю компанию ВоМ Finance Ltd.</t>
  </si>
  <si>
    <t>В августе 2012 года Группа приобрела контроль над ЗПИФ «Долгосрочные инвестиции» и ЗАО «ВТБ Управление активами» путем приобретения 99,65% паев ЗПИФ «Долгосрочные инвестиции» за 10 000 млн. рублей через Банк Москвы.</t>
  </si>
  <si>
    <t>В декабре 2011 года Группа приобрела долю участия в капитале ОАО «Корнет» (94,2%), ОАО «Московский Межреспубликанский Винодельческий Завод» (94,1%), ОАО «Торговый дом Межреспубликанский винзавод» (95,6%) путем приобретения 100%-ной доли участия в капитале ОАО «Объединенная компания» за 0,5 млн. рублей через дочернюю компанию ООО «БМ Проект».</t>
  </si>
  <si>
    <t>В декабре 2011 года Группа приобрела 100%-ную долю участия в ООО «Центр «Городские информационные технологии» через дочернюю компанию ОАО «Международная управляющая компания».</t>
  </si>
  <si>
    <t>В декабре 2011 года Группа приобрела 100%-ную долю участия в Radikals Trests SIA за 0,1 млн. рублей путем приобретения 100% доли участия в BoM Project Financing Ltd через дочернюю компанию Bom Finance Ltd.</t>
  </si>
  <si>
    <t>Radikals Trests SIA</t>
  </si>
  <si>
    <t>5 марта 2012 года доля Группы в уставном капитале ЗАО «Инвестлеспром» увеличилась с 19,9% до 23,4%.</t>
  </si>
  <si>
    <t>В феврале 2011 года Группа осуществила продажу 32,8 % доли в Уставном капитале АО «Эстонский кредитный банк» за 333,1 млн. рублей, отразив прибыль от выбытия в сумме 5,1 млн. рублей по статье «Прибыль от выбытия дочерних и ассоциированных компаний» отчета о прибылях и убытках.</t>
  </si>
  <si>
    <t>В апреле 2011 года Группа реализовала пакет акций АО «Латвийский Бизнесбанк» (99,97%) за 420,2 млн. рублей, отразив прибыль от выбытия в сумме 131,4 млн. рублей по статье чистый результат от приобретения и выбытия дочерних организаций консолидированного отчета о прибылях и убытках.</t>
  </si>
  <si>
    <t>В октябре 2011 года Группа реализовала пакет акций ЗАО «УПРАВЛЯЮЩАЯ КОМПАНИЯ БАНКА МОСКВЫ» (100%) за 850,0 млн. рублей, отразив прибыль от выбытия в сумме 66,0 млн. рублей по статье чистый результат от приобретения и выбытия дочерних организаций консолидированного отчета о прибылях и убытках.</t>
  </si>
  <si>
    <t>28 июня 2010 года Группа приобрела 0,10% в уставном капитале АО «Латвийский Бизнесбанк», увеличив свою долю в уставном капитале до 99,97%.</t>
  </si>
  <si>
    <t>3 февраля 2010 года Группа приобрела 4,85% в уставном капитале ОАО КАБ "Бежица-Банк", увеличив свою долю в уставном капитале до 100%.</t>
  </si>
  <si>
    <t>ОАО КАБ "Бежица-Банк"</t>
  </si>
  <si>
    <t>02 июля 2010 года Группа приобрела 2,75% в уставном капитале АО «Эстонский Кредитный Банк», увеличив свою долю в уставном капитале до 92,0%. 04 октября 2010 года Группа приобрела 0,01% в уставном капитале АО «Эстонский Кредитный Банк», увеличив свою долю в уставном капитале до 92,01%. 07 декабря 2010 года в результате дополнительной эмиссии акций доля Группы в уставном капитале АО «Эстонский Кредитный Банк» была размыта до 84,8%. 14 декабря 2010 года Группа реализовала пакет акций АО «Эстонский кредитный банк» в размере 8,21% уставного капитала, уменьшив свою долю в уставном капитале до 76,59%.</t>
  </si>
  <si>
    <t>25 октября 2010 года Группа продала пакет акций ОАО "Российский национальный коммерческий банк" (20% уставного капитала). Группа отразила убыток от выбытия ОАО -Российский национальный коммерческий банк- в размере 4 083 тыс. рублей в составе статьи Чистый результат от приобретения и выбытия дочерних и ассоциированных компаний консолидированного отчета о совокупном доходе в момент продажи.</t>
  </si>
  <si>
    <t>30 июня 2010 года Группа приобрела 38,85% в уставном капитале ООО «Регистратор КРЦ», увеличив свою долю в уставном капитале до 58,78%.</t>
  </si>
  <si>
    <t>7 апреля 2010 года Группа приобрела 50% в уставном капитале ООО «Инвестплаза».</t>
  </si>
  <si>
    <t>28 сентября 2010 года Группа приобрела 100% в уставном капитале SIA "Bako Kredits Alfa".</t>
  </si>
  <si>
    <t>17 декабря 2010 года Группа приобрела 100% паев Закрытого паевого инвестиционного фонда недвижимости 'Центральный' под управлением ООО «УК -Меридиан Инвест-.</t>
  </si>
  <si>
    <t>SIA "Bako Kredits Alfa"</t>
  </si>
  <si>
    <t>Сделки с недвижимостью</t>
  </si>
  <si>
    <t>ЗПИФ недвижимости 'Центральный'</t>
  </si>
  <si>
    <t>31 января 2011 года доля Группы в уставном капитале ООО "КРЦ" увеличилась с 58,78% до 100%.</t>
  </si>
  <si>
    <t>21 апреля 2011 года Группа осуществила продажу 27,57% доли в уставном капитале АО "Эстонский Кредитный банк". С учетом того, что, по мнению руководства Группы, при совершении сделок по отчуждению акций АО «Эстонский Кредитный банк» были нарушены процедурные правила, в настоящее время Группа реализует процедуры по возврату данных акций на баланс Группы.</t>
  </si>
  <si>
    <t>28 февраля 2009 года Группа приобрела 0,12% в уставном капитале АО «Эстонский Кредитный Банк», увеличив свою долю в уставном капитале до 89,16%.</t>
  </si>
  <si>
    <t>24 июня 2009 года Группа приобрела 1 820 000 обыкновенных именных бездокументарных акций путем оплаты дополнительной эмиссии акций номинальной стоимостью 50,0 рублей или 16,97% в уставном капитале ОАО КАБ "Бежица-Банк", увеличив свою долю в уставном капитале до 76,8%. 9 октября 2009 года Группа приобрела 4 091 443 обыкновенных именных бездокументарных акций и 634 привилегированных акций путем оплаты дополнительной эмиссии акций номинальной стоимостью 50,0 рублей и 10,0 рублей, соответственно, или 18,38% в уставном капитале ОАО КАБ -Бежица-Банк», увеличив свою долю в уставном капитале до 95,15%.</t>
  </si>
  <si>
    <t>30 декабря 2009 года Группа приобрела 0,35% в уставном капитале ЗАО «Концерн «Вечерняя Москва», увеличив свою долю в уставном капитале до 57,35%.</t>
  </si>
  <si>
    <t>SIA "LBB IPASUMI", SIA "Bako Kredits Alfa" и SIA "LBB IPASUMI 2"</t>
  </si>
  <si>
    <t>1 марта 2011 года Группа осуществила продажу 48,99% доли в уставном капитале SIA "LBB IPASUMi", а также 99,97% доли в уставном капитале SIA "Bako Kredits Alfa" и 99,97% доли в уставном капитале SIA "LBB IPASUMI 2".</t>
  </si>
  <si>
    <t>17 декабря 2009 года Группа приобрела 43,69% в уставном капитале SIA “LBB IPASUMI”, увеличив свою долю в уставном капитале до 92,63%.</t>
  </si>
  <si>
    <t>SIA “LBB IPASUMI”</t>
  </si>
  <si>
    <t>20 мая 2009 года Группа продала паке г акций ООО "Городской центр обработки данных ЕИРЦ" (49,5% уставного капитала). Группа отразила прибыль от выбытия ООО «Городской центр обработки данных ЕИРЦ» в размере 5 тыс. рублей в составе статьи Чистый результат от приобретения и выбытия дочерних и ассоциированных компаний консолидированного отчета о совокупном доходе в момент продажи.</t>
  </si>
  <si>
    <t>ООО "Городской центр обработки данных ЕИРЦ"</t>
  </si>
  <si>
    <t>29 декабря 2009 года Группа продала пакет акций ООО ЧОП "ДБ Ярославна", который составлял 99,83% уставного капитала компании. В результате продажи ООО ЧОП "АБ Ярославна" Группа отразила убыток от владения компанией в размере 13 686 тыс. рублей в составе статьи Чистый результат от приобретения и выбытия дочерних и ассоциированных компаний консолидированного отчета о совокупном доходе в момент продажи.</t>
  </si>
  <si>
    <t>ООО ЧОП "ДБ Ярославна"</t>
  </si>
  <si>
    <t>В 2008 году дочерней компанией ОАО «Международная управляющая компания» был реализован пакет акций ОАО «Банк Москвы» на сумму 25 167 тыс. рублей.</t>
  </si>
  <si>
    <t>14 февраля 2008 года Группа приобрела 50% в уставном капитале Коммерческого акционерного банка «Бежица-банк» (ОАО) путем оплаты дополнительной эмиссии акций. 30 сентября 2008 года Группа приобрела 9,68% в уставном капитале Коммерческого акционерного банка «Бежица-банк» (ОАО), путем оплаты дополнительной эмиссии акций, увеличив свою долю в уставном капитале до 59,68%. 31 декабря 2008 года Группа приобрела 0,1573% в уставном капитале Коммерческого акционерного банка «Бежица-банк» (ОАО), увеличив свою долю в уставном капитале до 59,83%.</t>
  </si>
  <si>
    <t>30 сентября 2008 года Группа приобрела 9,68% в уставном капитале Коммерческого акционерного банка «Бежица-банк» (ОАО), путем оплаты дополнительной эмиссии акций, увеличив свою долю в уставном капитале до 59,68%.</t>
  </si>
  <si>
    <t>31 декабря 2008 года Группа приобрела 0,1573% в уставном капитале Коммерческого акционерного банка «Бежица-банк» (ОАО), увеличив свою долю в уставном капитале до 59,83%.</t>
  </si>
  <si>
    <t>1 августа 2008 Группа приобрела 15,77% в уставном капитале ОАО КБ «Мосводоканалбанк» путем оплаты дополнительной эмиссии акций, увеличив свою долю в уставном капитале до 65,87%.</t>
  </si>
  <si>
    <t>30 октября 2008 года Группа приобрела 100% в уставном капитале ЗАО «Спецстрой-2».</t>
  </si>
  <si>
    <t>12 декабря 2008 года Группа приобрела 48,9992% в уставном капитале ЗАО «Финансовый ассистент», увеличив свою долю в уставном капитале до 99,67%.</t>
  </si>
  <si>
    <t>В 2008 году Группа приобрела 19% в уставном капитале ООО «Пенсионный резерв» за 8 408 тыс. рублей, страна регистрации - Россия, уставный капитал - 110 000 тыс. рублей.</t>
  </si>
  <si>
    <t>В 2008 году Группа приобрела 100% в уставном капитале ЗАО «Леспромпроцессинг», страна регистрации — Россия, уставный капитал - 350 тыс. рублей.</t>
  </si>
  <si>
    <t>На начало 2008 года Группа владела пакетом акций ассоциированной компании ООО "ВМ-Сервис". Доля Группы в размере 48,5% уставного капитала ассоциированной компании на начало отчетного периода имела справедливую стоимость, равную нулю. В результате продажи ООО "ВМ-Сервис" Группа отразила прибыль в размере 9 тыс. рублей в составе статьи Чистый результат от приобретения и выбытия дочерних и ассоциированных компаний консолидированного отчета о прибылях и убытках.</t>
  </si>
  <si>
    <t>ООО "ВМ-Сервис"</t>
  </si>
  <si>
    <t>В течение 2007 года Группа приобрела 23,37% в уставном капитале АО «Эстонский Кредитный Банк», увеличив свою долю в уставном капитале до 89,04%.</t>
  </si>
  <si>
    <t>В 2007 году Группа приобрела 99% в уставном капитале ЗАО «Монолит» за 9 900 рублей, страна регистрации -Россия, уставный капитал - 10 тыс. рублей.</t>
  </si>
  <si>
    <t>На начало 2007 года Группа владела пакетом акций ассоциированной компании ОАО «Московская Страховая Компания». Доля Группы в размере 24,8% уставного капитала ассоциированной компании на начало отчетного периода отражена по справедливой стоимости в сумме 506 395 тыс. рублей. В отчетном периоде пакет акций ОАО «Московская Страховая Компания» был передан в уставный капитал ОАО «Столичная страховая группа». В результате выхода ОАО «МСК» из состава ассоциированных компаний Группа отразила прибыль в размере 2 289 447 тыс. рублей, а также обесценение ранее признанного гудвила на сумму 583 385 тыс. рублей в составе статьи Чистый результат от приобретения и выбытия дочерних и ассоциированных компаний.</t>
  </si>
  <si>
    <t>Группа приобрела 50% в уставном капитале Коммерческого акционерного оанка «Бежица-банк» (ОАО) путем оплаты дополнительной эмиссии акций. Отчет об итогах эмиссии зарегистрирован ГУ ЦБ РФ по Брянской области 14 февраля 2008 гола.</t>
  </si>
  <si>
    <t>В октябре 2017 года Группа приобрела 100% акций лизинговой компании ЗАО «СЖ Финанс». Вознаграждение, уплаченное при приобретении составило 168 млн. руб.</t>
  </si>
  <si>
    <t>ПАО РОСБАНК</t>
  </si>
  <si>
    <t>В 2006 году Societe Generale стал собственником 20% минус 1 акция РОСБАНКа.</t>
  </si>
  <si>
    <t>24 марта 2009 года РОСБАНК выпустил 26 665 928 акций путем открытой подписки. Выпуск был выкуплен Societe Generale и PHARANCO HOLDINGS CO. LIMITED в соотношении 60,6786% и 39,3214% соответственно.</t>
  </si>
  <si>
    <t>27 мая 2009 года Societe Generale увеличил свою долю участия в РОСБАНКе на 7% в результате приобретения этой доли у PHARANCO HOLDINGS CO. LIMITED.</t>
  </si>
  <si>
    <t>20%-1акция</t>
  </si>
  <si>
    <t>Societe Generale</t>
  </si>
  <si>
    <t>PHARANCO HOLDINGS CO. LIMITED.</t>
  </si>
  <si>
    <t>В феврале 2008 года Societe Generale получил контроль над РОСБАНКом в результате исполнения опциона на приобретение 30% акций.</t>
  </si>
  <si>
    <t xml:space="preserve">В марте 2008 года Societe Generale предложил приобрести акции миноритарных акционеров по цене 194,09 руб. за акцию. Осуществив выкуп, Societe Generale увеличил свою долю в РОСБАНКе до 57,57%. </t>
  </si>
  <si>
    <t>В феврале 2010 года Societe Generale, с согласия остальных акционеров Группы РОСБАНК, принял решение о реорганизации юридической структуры своих российских дочерних предприятий для создания крупной финансовой группы. Первый этап был  проведен в январе 2011 года и завершился приобретением 100% акций банков «Русфинанс» и «Дельта Кредит», которые продолжили свою деятельность в качестве отдельных организаций. При этом «Русфинанс» в основном занят в секторе потребительского кредитования, а «Дельта Кредит» – в секторе ипотечного кредитования. Второй этап был проведен в июле 2011 года и завершился объединением двух универсальных банков РОСБАНК и «Банк Сосьете Женераль Восток» в единую структуру, функционирующую под общим брендом. Опираясь на различное позиционирование как в корпоративном, так и розничном сегментах, новая структура нацелена на улучшение финансовых показателей путем увеличения выручки за счет перекрестных продаж и синергии различных бизнес-направлений для снижения операционных затрат.</t>
  </si>
  <si>
    <t>В 2013 году Societe Generale продолжил консолидировать свои позиции на российском рынке путем приобретения в декабре 2013 года у Группы ВТБ дополнительной 10% доли в уставном капитале РОСБАНКа, увеличив ее до 92,4%. В рамках данного соглашения РОСБАНК продал Группе ВТБ некоторые российские активы: акции, котирующиеся на Московской бирже, а также некоторые кредиты и недвижимость.</t>
  </si>
  <si>
    <t>В апреле 2015 года Societe Generale, в соответствии со стратегией наращивания доли своего участия в капитале РОСБАНКа, приобрел у Группы «Интеррос» еще 7% акций Банка. Таким образом, доля участия Societe Generale увеличилась до 99,4%.</t>
  </si>
  <si>
    <t>В ноябре 2015 года Группа продала несвязанной третьей стороне инвестиции в своих дочерних компаниях ОАО НКО «ИНКАХРАН» и ООО «Инкахран Сервис», что привело к утрате ее контроля над ними. Финансовый результат данной сделки был несущественным.</t>
  </si>
  <si>
    <t>В 2012 году «РОСБАНК» продал 100% долю участия в ЗАО «Долговой центр Росбанка», но сохранил контроль над компанией. В 2013 году эта дочерняя компания была ликвидирована.</t>
  </si>
  <si>
    <t>В 2008 году «РОСБАНК» продал 40% своей доли в ООО «РБ Лизинг», но сохранил контроль над предприятием. В 2011 году 100% доля в ООО «РБ Лизинг» была выкуплена «РОСБАНКом».</t>
  </si>
  <si>
    <t>В 2010 году «РОСБАНК» разместил дополнительный выпуск акций. Общее количество выпущенных акций составило 497,368,958 акции, при этом цена акции составила 100.27 руб. В результате было привлечено средств на сумму 49,871 млн. руб. Данная сумма включала в себя 42,460 млн. руб., внесенных денежными средствами, и 7,411 млн. руб., внесенных в виде незавершенного офисного здания.</t>
  </si>
  <si>
    <t>В 2012 году «РОСБАНК» продал свои доли участия в ЗАО КБ «РОСБАНК-ВОЛГА», «Белросбанк» и ООО «Агентство по возврату долгов» (включая дочерние компании). Была прекращена операционная деятельность ООО «Реал Профит», и компания была ликвидирована.</t>
  </si>
  <si>
    <t>В мае 2016 года Группа приобрела 90% акций ПАО «Первобанк» у материнской компании и 10% у миноритарного акционера Группы. Это приобретение под общим контролем. Группа применила метод учета предшественника, что означает, что все приобретенные активы, обязательства и условные обязательства были признаны в отчетности по текущей стоимости, которая основана на стоимости распределения цены приобретения, определенной «ПромсвязьКапитал Б.В.» в момент признания приобретения ПАО «Первобанк».
Сумма уплаченного вознаграждения состоит из денежного вознаграждения в сумме 3 824 миллиона рублей, уменьшенного на сумму дохода от зачета требований и обязательств по субординированному долгу ПАО «Первобанк», который был выкуплен Группой у третьей стороны, в сумме 124 миллиона рублей. Центральный Банк Российской Федерации согласовал реорганизацию ПАО «Промсвязьбанк» в форме присоединения к нему ПАО «Первобанк». В июне 2016 года реорганизация Группы была завершена.</t>
  </si>
  <si>
    <t>ПАО "Промсвязьбанк"</t>
  </si>
  <si>
    <t>В июле 2015 года Группа была утверждена инвестором для санации ПАО “Автовазбанк” по итогам конкурсного отбора, проведенного Государственной корпорацией “Агентство по страхованию вкладов”. ПАО “Автовазбанк” – региональный российский банк, который ведет деятельность в Тольятти. Группа берет на себя ответственность за финансовое оздоровление Автовазбанка, и в том числе за полное соблюдение всех обязательств перед его клиентами и обеспечение непрерывности функционирования банка.
В соответствии с Планом участия в осуществлении мер по финансовому оздоровлению ОАО «АВБ» предусмотрено оказание АСВ финансовой помощи Промсвязьбанку за счет средств Банка России в размере 18 200 миллионов рублей с процентной ставкой 0,51% годовых на срок до 2025 года (за исключением случаев частичного досрочного погашения при выбытии проблемных активов ПАО “Автовазбанк”), средства были предоставлены в августе 2015 года.
Группа приобрела контроль над 97,3% акций ПАО “Автовазбанк” 30 июля 2015 года.</t>
  </si>
  <si>
    <t>ПАО “Автовазбанк”</t>
  </si>
  <si>
    <t>Виктор Пичугов</t>
  </si>
  <si>
    <t>В феврале 2017 года Виктор Пичугов продал 9,97% акций Группы по сделке РЕПО с ПАО “Московский Кредитный Банк”.</t>
  </si>
  <si>
    <t>PSBR</t>
  </si>
  <si>
    <t>В ноябре 2015 года компания “Промсвязь Капитал Б.В.” осуществила имущественный взнос в капитал Группы в сумме 15 744 миллиона рублей. Активы представляют собой земельные участки в Московской области.</t>
  </si>
  <si>
    <t>“Промсвязь Капитал Б.В.”</t>
  </si>
  <si>
    <t>АО “НПФ “БУДУЩЕЕ”</t>
  </si>
  <si>
    <t>Группа НПФ</t>
  </si>
  <si>
    <t>В мае 2015 года АО “НПФ “БУДУЩЕЕ”, негосударственный пенсионный фонд, приобрел у “Промсвязь Капитал Б.В.” 10% акций ПАО “Промсвязьбанк”, цена приобретения составила 6 903 миллионов рублей. Акции были приобретены на Московской фондовой бирже. “Промсвязь Капитал Б.В.” направил средства от продажи акций на увеличение капитала банка. Группа получила денежные средства от продажи акций и признала увеличение добавочного капитала.</t>
  </si>
  <si>
    <t>В мае 2015 года группа негосударственных пенсионных фондов приобрела у “Промсвязь Капитал Б.В.” 10% акций ПАО “Промсвязьбанк”, цена приобретения также составила 6 903 миллионов рублей. Акции были приобретены на Московской фондовой бирже. “Промсвязь Капитал Б.В.” направил средства от продажи акций на увеличение капитала банка. Группа получила денежные средства от продажи акций и признала увеличение добавочного капитала.</t>
  </si>
  <si>
    <t>ПАО "ЭсЭфАй" (ПАО "САФМАР Финансовые инвестиции"; ПАО "Европлан")</t>
  </si>
  <si>
    <t>В октябре 2022 года Группа продала САО «ВСК» (связанной стороне) всю принадлежащую ей долю (24,5%) в ООО «Азбука+». Долю в компании продали по исторической цене покупки за 676 млн руб. Сумма выбывающих активов составила 730 млн руб. Общий совокупный доход за 2021 год составлял 53 257 тыс. руб. (включая прочий совокупный доход 5 971 тыс. руб. Основным видом деятельности предприятия является страхование.</t>
  </si>
  <si>
    <t>SFIN</t>
  </si>
  <si>
    <t>В марте 2024 года ПАО «ЛК «Европлан» провело первичное публичное предложение акций, принадлежащих ПАО «ЭсЭфАй», на Московской бирже, в ходе которого было продано 12,5% акций ПАО «ЛК «Европлан».</t>
  </si>
  <si>
    <t>LEAS</t>
  </si>
  <si>
    <t>15 июня 2021 года Компания приобрела неконтролирующую долю участия в ООО «Директ Кредит Центр» в размере 12,5%, в результате чего совокупная доля в уставном капитале ООО «Директ Кредит Центр» достигла 100%. Компания контролировала основную долю в уставном капитале общества с ноября 2018 года.</t>
  </si>
  <si>
    <t>Посредническое кредитование</t>
  </si>
  <si>
    <t>Сервис облачного гейминга</t>
  </si>
  <si>
    <t>Cloud</t>
  </si>
  <si>
    <t>19 мая 2021 года Компания получила право собственности на совокупную долю 51% в уставном капитале ZARANA INVESTMENTS LIMITED (ЗАРАНА ИНВЕСТМЕНТС ЛИМИТЕД), которая является владельцем 100% уставного капитала ООО «РЕГИОН ЭСТЕЙТ». В конце года Компания провела реструктуризацию в результате которой стала владеть 51% долей в уставном капитале ООО «РЕГИОН ЭСТЕЙТ» на прямую. ООО «РЕГИОН ЭСТЕЙТ» занимается организацией сервиса облачного гейминга GFN.RU.</t>
  </si>
  <si>
    <t>31 января 2020 года оставшиеся неразмещенными 68,28% акций АО НПФ «Моспромстрой-Фонд» были размещены в пользу Компании, в результате чего совокупная доля ПАО «САФМАР Финансовые инвестиции» в уставном капитале Фонда составила 100%.</t>
  </si>
  <si>
    <t>7 февраля 2020 года Компания получила право собственности на совокупную долю 100% в уставном капитале BARIGTON INVESTMENTS LIMITED (БАРИГТОН ИНВЕСТМЕНТС ЛИМИТЕД).</t>
  </si>
  <si>
    <t>BARIGTON INVESTMENTS LIMITED</t>
  </si>
  <si>
    <t>В июле 2021 года Группа купила долю 24,5% в ассоциированной компании ООО «АЗБУКА+».</t>
  </si>
  <si>
    <t>29 сентября 2021 года Компания продала не связанному обществу 100% акций АО НПФ «Моспромстрой-Фонд». 29 сентября 2021 года Компания в качестве продавца заключила Договор купли-продажи 100% акций АО НПФ «Моспромстрой-Фонд» с АО НПФ «Внешэкономфонд». До 29 сентября 2021 года фонд входил в операционный сегмент «Пенсионная деятельность». После классификации в качестве прекращенной деятельности сегмент «Пенсионная деятельность» больше не представляется в примечании о сегментах.</t>
  </si>
  <si>
    <t xml:space="preserve">13 октября 2021 года Компания продала связанной стороне ПАО «М.Видео» 100% доли в ООО «Директ Кредит Центр». До 13 октября 2021 года общество входило в операционный сегмент «Прочие финансовые услуги». После классификации в качестве прекращенной деятельности сегмент «Прочие финансовые услуги» больше не представляется в примечании о сегментах. </t>
  </si>
  <si>
    <t>30 декабря 2020 года Компания приобрела неконтролирующую долю участия в ООО «Директ Кредит Центр» в размере 6,25%, в результате чего совокупная долю в уставном капитале ООО «Директ Кредит Центр» составила 87,5%.</t>
  </si>
  <si>
    <t>В апреле 2021 года Группа приобрела 11,1% обыкновенных акций компании ПАО НК «РуссНефть».</t>
  </si>
  <si>
    <t>RNFT</t>
  </si>
  <si>
    <t>4 декабря 2019 года Компания приобрела неконтролирующую долю участия в ООО «Директ Кредит Центр» в размере 6,25%, в результате чего совокупная долю в уставном капитале ООО «Директ Кредит Центр» составила 81,25%.</t>
  </si>
  <si>
    <t>30 ноября 2018 года Компания получила право собственности на совокупную долю 75% в уставном капитале ООО «Директ Кредит Центр».</t>
  </si>
  <si>
    <t>26 апреля 2018 года Компания получила право собственности на совокупную долю 99,99% в уставном капитале ООО «Инвест-Проект». ООО «Инвест-Проект» являлось владельцем 100% уставного капитала АО «НПФ «Доверие», в результате чего, ПАО «САФМАР Финансовые инвестиции» получило контроль над НПФ «Доверие». В марте 2019 года АО НПФ «САФМАР», дочерняя компания ПАО «САФМАР Финансовые инвестиции», завершило реорганизацию в форме присоединения к нему АО «НПФ «Доверие», что способствует оптимизации управления, улучшению экономики и рыночных позиций Группы. АО НПФ «САФМАР» продолжает выполнять все обязательства перед клиентами присоединенного фонда. В ноябре 2019 года произошла ликвидация ООО «Инвест-Проект», в результате чего его имущество было распределено в пользу Компании.</t>
  </si>
  <si>
    <t>11 декабря 2018 года Компания получила право собственности на совокупную долю 100% в уставном капитале WERIDGE INVESTMENTS LIMITED (ВЕРИДЖ ИНВЕСТМЕНТС ЛИМИТЕД).</t>
  </si>
  <si>
    <t>WERIDGE INVESTMENTS LIMITED</t>
  </si>
  <si>
    <t>В декабре 2018 года Группа получила контроль над АО НПФ «Моспромстрой-Фонд».</t>
  </si>
  <si>
    <t>В марте 2020 года компания ГАЛБЕРИ ЭНТЕРПРАЙЗИС ЛИМИТЕД (GALBERY ENTERPRISES LIMITED) увеличила долю владения в уставном капитале Группы с 11,52% до 16,33%.</t>
  </si>
  <si>
    <t>ГАЛБЕРИ ЭНТЕРПРАЙЗИС ЛИМИТЕД</t>
  </si>
  <si>
    <t>В июне 2017 года Группа прекратила контроль над АО «ПОМЕСТЬЕ» и его дочерними компаниями ООО «КРАУН КД» и ООО «СК Европлан» (именуемыми совместно «Группа АО «ПОМЕСТЬЕ») в результате продажи всех его акций связанным сторонам. Затрат по сделке выбытия Группы АО «ПОМЕСТЬЕ» Группа не понесла.</t>
  </si>
  <si>
    <t>В декабре 2016 года Группа получила контроль над Фондом в результате получения 100% акций Фонда в качестве оплаты за часть дополнительно выпущенных акций Компании</t>
  </si>
  <si>
    <t>В декабре 2015 года Группа прекратила контроль над АО «Европлан Банк» (далее – «Банк») в результате продажи его акций связанным сторонам. По состоянию на 31 декабря 2016 года Банк сменил наименование на АО «БИНБАНК Столица». Затрат по сделке выбытия Банка Группа не понесла.</t>
  </si>
  <si>
    <t>В декабре 2016 года Группа приобрела существенную неконтрольную долю участия в САО «ВСК» в результате получения 49% акций САО «ВСК» в качестве оплаты за часть дополнительно выпущенных акций Компании в сумме 16 071 349 тыс. руб. Основным видом деятельности САО «ВСК» является страхование. Инвестиция в САО «ВСК» учитывается по методу долевого участия.</t>
  </si>
  <si>
    <t>В сентябре 2015 года третья сторона, компания «Сендонбридж Глобал Лимитед» (Cendonbridge Global Limited), приобрела 100% обыкновенных акций «Европлан Холдингз Лимитед». После первичного публичного предложения акций, принадлежащих компании «Европлан Холдингз Лимитед», прошедшего в декабре 2015 года, по состоянию на 31 декабря 2015 года у компании «Европлан Холдингз Лимитед» находятся 75% плюс одна обыкновенная акция Компании. В результате сделок стороной, обладающей конечным контролем над Группой по состоянию на 31 декабря 2015 года, является г-н Шишханов М.О.</t>
  </si>
  <si>
    <t>В июле 2011 года ЗАО “Европлан” приобрело 99,90% акций ЗАО “Восточный ипотечный банк”, в настоящее время именуемый ЗАО “Коммерческий банк Европлан” (далее - “Банк”). Банк был приобретен с целью предоставления клиентам широкого спектра продуктов: услуги по автолизингу и предоставление кредитов на покупку автомобилей. Банк также намерен привлекать депозиты в целях дальнейшего расширения и диверсификации источников финансирования.</t>
  </si>
  <si>
    <t>ЗАО “Восточный ипотечный банк”</t>
  </si>
  <si>
    <t>В январе 2019 года Группа потеряла контроль над АО «НПФ «БУДУЩЕЕ»», доля владения на 30.06.2019 -49,99%, на 31.12.2018 - 51%.</t>
  </si>
  <si>
    <t>ПАО "ФГ БУДУЩЕЕ"</t>
  </si>
  <si>
    <t>В марте 2019 года Группа приобрела контроль над ООО УК «МД Траст».</t>
  </si>
  <si>
    <t>11 июля состоялась сделка, в результате которой 66,59% акций Общества были приобретены ООО «ИК «Ленинградское Адажио». В результате сделки контролирующим лицом Общества стал Судариков С.Н. 29 июля 2019 года в Общество поступило обязательное предложение ООО «ИК «Ленинградское Адажио». Советом директоров приняты рекомендации в отношении обязательного предложения. Обязательное предложение направлено лицам, зарегистрированным в реестре акционеров Общества. Срок принятия обязательного предложения составляет 70 дней с даты получения Обществом обязательного предложения.</t>
  </si>
  <si>
    <t>В декабре в результате реализации 49% акций АО «НПФ «БУДУЩЕЕ» было получено возмещение по договору купли-продажи в сумме 6 003 756 тыс. руб. Признанная неконтролирующая доля участия была определена как 49% от чистых активов АО «НПФ «БУДУЩЕЕ» в размере 4 335 450 тыс. руб. Разница между суммой возмещения и признанной НДУ была отнесена в нераспределенную прибыль в сумме 1 668 306 тыс. руб.</t>
  </si>
  <si>
    <t>Решением Банка России от 29 января 2019 осуществлена регистрация дополнительного выпуска акций АО НПФ «Будущее» в размере 15 018 штук, который был приобретен ООО «ИК «Ленинградское Адажио», доля которого в 2019 году увеличилась до 50,01% в уставном капитале Фонда.</t>
  </si>
  <si>
    <t xml:space="preserve">В декабре 2018 года Общество реализовало принадлежащие ему акции АО НПФ «Образование» (100%), АО «НПФ «Социальное Развитие» (100%). </t>
  </si>
  <si>
    <t>1 июня 2018 года Группа получила контроль над АО «НПФ «Социальное развитие» в результате внесения участником Общества 100% его акций в оплату дополнительно выпущенных акций.</t>
  </si>
  <si>
    <t xml:space="preserve">16 февраля 2016 года Группа приобрела 100% акций ЗАО «НПФ УРАЛСИБ». 18 марта 2016 года право собственности перешло к ПАО «ФГ «Будущее». 13 декабря 2016 года АО «НПФ «Будущее» и ЗАО «НПФ УРАЛСИБ» успешно завершили реорганизацию в форме присоединения ЗАО «НПФ УРАЛСИБ» к АО «НПФ «Будущее». </t>
  </si>
  <si>
    <t xml:space="preserve">19 июля 2016 года Группа приобрела 100% акций ЗАО «НПФ «Русский стандарт». 13 декабря 2016 года АО «НПФ «Будущее» и ЗАО «НПФ «Русский стандарт» успешно завершили реорганизацию ЗАО «НПФ «Русский Стандарт» в форме присоединения к АО «НПФ «Будущее». 15 июня 2016 года Группа приобрела 100% акций АО «НПФ «Образование». </t>
  </si>
  <si>
    <t>28 октября 2016 года было осуществлено IPO (публичное предложение) акций Общества, в результате которого было размещено 20% обыкновенных именных бездокументарных акций Общества на Московской бирже. Ценные бумаги были включены во второй уровень Списка ценных бумаг, допущенных к организованным торгам в на ПАО Московская Биржа.</t>
  </si>
  <si>
    <t>В ноябре 2015 года Группа получила контроль над АО «НПФ «СтальФонд» и АО «НПФ «Телеком-Союз» и его дочерними компаниями и в результате внесения участником Общества акций АО «НПФ «СтальФонд» и АО «НПФ «Телеком-Союз», составляющих 100% от их акционерных капиталов, в акционерный капитал Общества. Группа, АО «НПФ «СтальФонд» и АО «НПФ «Телеком-Союз» контролировались одной и той же стороной как до, так и после объединения бизнесов, и этот контроль не являлся временным, таким образом, Группа признала получение контроля над АО «НПФ «СтальФонд» и АО «НПФ «Телеком-Союз» сделкой по объединению бизнеса под общим контролем. Принимая во внимание ограничение, связанное с затратами на подготовку аккуратной детализированной финансовой информации об активах и обязательствах АО «НПФ «Телеком-Союз» на дату получения контроля первой компанией, входящей в группу, к которой относится АО «ФГ БУДУЩЕЕ», Группа отразила разницу между балансовой стоимостью инвестиции и полученными на момент внесения акций в счет вклада в уставный капитал идентифицируемыми чистыми активами в полной сумме в составе резерва слияний.</t>
  </si>
  <si>
    <t>В сентябре 2021 года Группа приобрела 99,99% акций в компании АО «Цифровые технологии здоровья»</t>
  </si>
  <si>
    <t>В октябре 2021 года Группа провела первичное размещение своих акций на Московской бирже с дополнительной эмиссией в 147 272 727 штук акций. В результате первичного размещения Группа привлекла 1 455 055 тысяч рублей в уставный капитал.</t>
  </si>
  <si>
    <t>В июле 2021 года Группа завершила сделку по продаже 100% акций АО НПФ «Ренессанс пенсии» и ООО «Велби Холдинг» компании АО «НПФ Сбербанка», которые в основном представляли сегмент пенсионной деятельности. В результате данного выбытия Группа признала прибыль в размере 506 807 тысяч рублей.</t>
  </si>
  <si>
    <t>В декабре 2021 года Группа продала 51% голосующих акций группы АО «БУДУ», состоящей из: АО «БУДУ», АО «Цифровые технологии здоровья» и ООО «РенКлиника» и признала оставшиеся 49% в качестве инвестиций в ассоциированные компании в размере 400 167 тысяч рублей. В результате данного выбытия Группа признала прибыль в размере 843 491 тысячу рублей в составе прочих инвестиционных доходов</t>
  </si>
  <si>
    <t>ПАО "Группа Ренессанс Страхование"</t>
  </si>
  <si>
    <t>RENI</t>
  </si>
  <si>
    <t>Цифровые технологии</t>
  </si>
  <si>
    <t>В декабре 2021 года Группа утратила контроль над компаниями Приор Холдингз Лтд и Оверкомбе Холдингз Лтд. в связи с продажей 100% акций. В результате данного выбытия Группа признала прибыль в размере 9 158 тысяч рублей в составе прочих инвестиционных доходов.</t>
  </si>
  <si>
    <t>Приор Холдингз Лтд и Оверкомбе Холдингз Лтд.</t>
  </si>
  <si>
    <t>ПАО Московская Биржа (ПАО "Московская Биржа ММВБ-РТС")</t>
  </si>
  <si>
    <t>11 мая 2021 года Московская биржа приобрела 70% в электронной платформе по подбору страховых и банковских продуктов INGURU путем приобретения двух компаний: ООО «МБ Маркетплейс» (бывш. ООО «Дисоверс») и ООО «Инсвеб», ценные бумаги которых не котируются на бирже. В течение пяти лет эта доля может быть увеличена до 100%. Группа признала обязательство по опциону на приобретение 20% неконтрольных долей участия. Приобретение компании является частью стратегии Московской биржи по выходу на смежные рынки. Сервисы компании будут интегрированы в платформу личных финансов Финуслуги, расширят возможности для клиентов и позволят им приобретать страховые и банковские услуги на более выгодных условиях. С даты приобретения вклад ООО «МБ Маркетплейс» (бывш. ООО «Дисоверс») и ООО «Инсвеб» в комиссионный доход Группы составил 488,2 млн руб., в чистую прибыль Группы – 5,5 млн руб. Если бы объединение произошло в начале года, чистая прибыль Группы за 2021 год составила бы 28 112,2 млн руб., комиссионные доходы – 41 830,8 млн руб.</t>
  </si>
  <si>
    <t>BierbaumPro AG (владеет 100% ООО "НТ "Прогресс")</t>
  </si>
  <si>
    <t>По состоянию на 31 декабря 2020 года Группа владела 24,99% долей в BierbaumPro AG, которая учитывалась как инвестиции в ассоциированные компании. В течение 2021 года Группа увеличила свою долю до 29,5%. 26 октября 2021 года Московская биржа закрыла сделку по приобретению 65,5% акций BierbaumPro AG. Таким образом доля Московской биржи в BierbaumPro AG увеличилась до 94,99%. BierbaumPro AG является 100-процентным владельцем ООО «НТ Прогресс», разработчика и собственника платформы для внебиржевой торговли инструментами валютного рынка – NTPro. Партнерство Московской биржи с НТ Прогресс расширяет спектр возможностей для клиентов обеих компаний и позволяет им получить гибкие и современные торговые решения NTPro в области валютных операций в сочетании с клиринговыми и расчетными сервисами Московской биржи. С даты приобретения вклад BierbaumPro AG (100-процентного владельца ООО «НТ Прогресс») в комиссионный доход Группы составил 93,0 млн руб., в чистую прибыль Группы – 40,7 млн руб. Если бы объединение произошло в начале года, чистая прибыль Группы за 2021 год составила бы 28 053,8 млн руб., комиссионные доходы – 41 900,1 млн руб. Нематериальные активы, приобретенные в рамках данного объединения бизнеса, представляют собой программное обеспечение платформы NTPro в сумме 363,8 млн руб., а также взаимоотношения с клиентами в сумме 157,6 млн руб. Группа решила оценить неконтрольные доли участия в приобретаемой компании пропорционально неконтрольным долям в чистых идентифицируемых активах приобретаемой компании.</t>
  </si>
  <si>
    <t>В течение 2021 года Московская биржа приобрела дополнительную 20-процентную долю в НТБ, увеличив свою долю участия с 65,08% до 85,08%. Балансовая стоимость чистых активов НТБ в консолидированной финансовой отчетности Группы на дату приобретения составила 203,8 млн руб.</t>
  </si>
  <si>
    <t>Платформа для внебиржевой торговли инструментами валютного рынка</t>
  </si>
  <si>
    <t>Exch</t>
  </si>
  <si>
    <t>Деятельность товарной биржи</t>
  </si>
  <si>
    <t>MOEX</t>
  </si>
  <si>
    <t>Деятельность бирж</t>
  </si>
  <si>
    <t>В ноябре 2020 года Группа увеличила свою долю в BierbaumPro AG, приобретя 7,9995% акций. Начиная с ноября 2020 года, эти инвестиции учитываются как инвестиции в ассоциированную компанию по методу долевого участия. NTProgress является основным активом BierbaumPro. Московская биржа также заключила соглашение, согласно которому биржа консолидирует до 100% акций BierbaumPro в течение трех лет. Окончательная цена за 100% капитала компании будет зависеть от операционных и финансовых результатов деятельности BierbaumPro.</t>
  </si>
  <si>
    <t>23 июля 2020 года Московская биржа завершила сделку по приобретению 17% акций компании BierbaumPro AG, владеющей 100%-ной долей в компании NTProgress, стоящей за разработкой собственной ОТС FX-платформы NTPro.</t>
  </si>
  <si>
    <t>В марте 2019 года Наблюдательный совет одобрил план по продаже ЕТС. Таким образом, по состоянию на 31 декабря 2019 года Группа представила ЕТС как группу выбытия, предназначенную для продажи, в соответствии с МСФО (IFRS) 5 «Внеоборотные активы, предназначенные для продажи, и прекращенная деятельность». В феврале 2020 года Группа уменьшила свою долю участия в ЕТС, продав 40,82% акций компании и, таким образом, передав контроль над данной дочерней компанией. Оставшаяся доля в размере 15% до августа 2020 года учитывалась как инвестиции в ассоциированную компанию. В августе 2020 года была осуществлена дополнительная продажа 5% доли, и Группа прекратила оказывать существенное влияние на ЕТС. Дальнейшая продажа 10% доли в ЕТС ожидается до конца 2024 года.</t>
  </si>
  <si>
    <t>29 июня 2015 года вступили в силу поправки к закону Украины №222- VIII «О лицензировании видов хозяйственной деятельности», которые дают право украинским регуляторам отзывать лицензии у украинских компаний, контролируемых или ассоциированных с компаниями, зарегистрированными в Российской Федерации. Национальная комиссия по ценным бумагам и фондовому рынку Украины отозвала лицензии ПФТС и УБ в октябре и ноябре 2015 года, соответственно. В феврале 2016 обеим компаниям вернули лицензии. 23 сентября 2015 года состоялось заседание Наблюдательного совета Группы, на котором было принято решение о продаже принадлежащих Группе акций УБ и ПФТС. Уже поступили предложения от потенциальных покупателей. Сделка продажи ПФТС завершена в феврале 2016 года. На 31 декабря 2015 года ПФТС и УБ были представлены в качестве группы выбытия, удерживаемой для продажи в соответствии с МСФО (IFRS) 5 «Долгосрочные активы, предназначенные для продажи, и прекращенная деятельность». В течение года, закончившегося 31 декабря 2015 года, Группа признала убыток от обесценения, относящийся к активам, удерживаемым для продажи, в размере 106,0 млн. руб. в составе Административных и прочих  перационных расходов. Он состоит из обесценения средств в финансовых организациях ПФТС в размере 103,9 млн. руб. и убытка от обесценения инвестиции в УБ, оцененной по справедливой стоимости за вычетом расходов на продажу, в размере 2,1 млн. руб. На 31 декабря 2015 года размер инвестиции в УБ составил 37,7 млн. руб.</t>
  </si>
  <si>
    <t xml:space="preserve">ПАО "Фондовая биржа ПФТС" </t>
  </si>
  <si>
    <t>ЗАО "ММВБ-Информационные Технологии"</t>
  </si>
  <si>
    <t>Оказание информационнотехнологических услуг, оператор электронной торговой площадки</t>
  </si>
  <si>
    <t>В 2014 году Группа получила контроль над ЗАО "Национальная товарная биржа" (НТБ), товарной биржей, ведущей свою деятельность на территории Российской Федерации. 1 января 2014 года Группа получила контроль над ЗАО "Национальная товарная биржа" (НТБ), товарной биржей ведущей свою деятельность на территории Российской Федерации. Приобретение производилось согласно стратегии Группы развивать ее товарный рынок.</t>
  </si>
  <si>
    <t>Продажа на IPO</t>
  </si>
  <si>
    <t>В 2014 году Группа продала свою долю в дочерней компании ММВБ-ИТ. В декабре 2013 года Правление приняло решение продать ММВБ-ИТ. Сделка была завершена в течение января 2014 года. На 31 декабря 2013 года ММВБ-ИТ был представлен в качестве группы выбытия, удерживаемой для продажи в соответствии с МСФО (IFRS) 5 “Долгосрочные активы, предназначенные для продажи, и прекращенная деятельность”. Чистый денежный приток ММВБ-ИТ по операционной деятельности за 2013 год составил 1 917 600 тыс. руб., денежный отток по инвестиционной деятельности составил 65 767 тыс. руб.</t>
  </si>
  <si>
    <t>После IPO стабилизационным агентом Группы было приобретено 27 943 570 акций Группы на рынке. Стабилизационный агент продал Группе эти акции на общую сумму 1 527 896 тыс. руб.</t>
  </si>
  <si>
    <t>Стабилизационный агент</t>
  </si>
  <si>
    <t>ЗАО "Расчетно-депозитарная компания" (РДК)</t>
  </si>
  <si>
    <t xml:space="preserve">В декабре 2013 года Правление Группы приняло решение продать инвестиции Группы в ЗАО "Расчетно-депозитарная компания" (РДК). Сделка была завершена до конца января 2014 года. На 31 декабря 2013 года инвестиции в РДК в сумме 593 890 тыс. руб. были представлены в качестве группы выбытия, удерживаемой для продажи в соответствии с МСФО (IFRS) 5 “Долгосрочные активы, предназначенные для продажи, и прекращенная деятельность”. Инвестиции в РДК были оценены по справедливой стоимости за вычетом расходов на продажу. Группа признала убыток от обесценения в размере 29 426 тыс. руб. в составе Административных и прочих операционных расходов. </t>
  </si>
  <si>
    <t>Проведение расчетов</t>
  </si>
  <si>
    <t>ОАО "Фондовая биржа РТС"</t>
  </si>
  <si>
    <t>29 июня 2011 г. Группа получила контроль над Открытым акционерным обществом "Фондовая биржа РТС" (далее – РТС) и его дочерними компаниями (в совокупности – Группа РТС). Группа РТС специализировалась на оказании услуг фондовой биржи, включая услуги по организации торгов, осуществлению расчетов и клиринга, депозитарные услуги и услуги по оказанию технической поддержки. В результате сделки Группа приобрела следующие дочерние компании РТС: ЗАО "Клиринговый центр РТС", небанковская кредитная организация "Расчетная палата РТС" (РТС), ЗАО "Депозитарно-Клиринговая компания", ОАО Товарная биржа "Евразийская торговая система", ООО "Технический центр РТС" и получила существенное влияние над ассоциированной компанией РТС ОАО "Украинская биржа". Ожидается, что приобретение приведет к росту присутствия Группы на денежном и срочном рынках за счет патентованных технологий приобретенной стороны и ее клиентской базы. Группа также ожидает снижения затрат вследствие эффекта масштаба и сокращения излишних услуг. 29 июня 2011 г. РТС, ЗАО ММВБ и большинство акционеров РТС подписали рамочное соглашение в отношении слияния бизнеса ММВБ и РТС. Согласно условиям сделки акционеры РТС получили право продать не более 35% принадлежащих им пакетов акций Группе и конвертировать оставшиеся акции в акции Группы по фиксированному коэффициенту. 5 августа 2011 г. сделка была одобрена на внеочередных общих собраниях акционеров ММВБ и РТС и 9 сентября 2011 г. одобрена Федеральной Антимонопольной Службой Российской Федерации (ФАС). Юридическое слияние ММВБ и РТС произошло 19 декабря 2011 г. На основании рамочного соглашения с 29 июня 2011 г. руководство РТС не должно без согласования с ММВБ осуществлять никаких действий, кроме тех, которые необходимы для обеспечения продолжения деятельности в соответствии с бюджетом РТС. С 29 июня 2011 г. бывшие акционеры РТС не имеют права на управление финансовой и операционной политикой РТС. По состоянию на 29 июня 2011 г. Группа ожидала, что необходимые одобрения внеочередных собраний акционеров и ФАС будут получены и сделка будет осуществлена с высокой степенью определенности. На этом основании 29 июня 2011 г. определяется как дата приобретения, и все операции Группы РТС включены в настоящую консолидированную финансовую отчетность с этой даты. Согласно рамочному соглашению Группа предоставила акционерам РТС опцион пут в отношении акций Группы, полученных акционерами РТС в результате сделки. С даты приобретения дочерняя компания принесла комиссионный доход, процентный доход и прочий доход в размере 2 866 933 тыс. руб. и прибыль в размере 315 617 тыс. руб. Если бы приобретение произошло 1 января 2011 г., то комиссионный доход, процентный доход и прочий доход за год составил бы 20 160 842 тыс. руб., а прибыль за год составила бы 7 420 394 тыс. руб. При определении этих цифр было сделано допущение о том, что корректировки справедливой стоимости по состоянию на 1 января 2011 г. были бы такими же, как и корректировки справедливой стоимости, сделанные на дату приобретения.</t>
  </si>
  <si>
    <t>По состоянию на 30 апреля 2010 г. Группа приобрела обыкновенные акции дополнительной эмиссии ЧАО «Фондовая Биржа ПФТС» в количестве 1 601 штук по цене 189,89557 рублей за акцию в 2010 г., в результате чего доля Группы в капитале компании составила 50,02%. С даты приобретения и до 31 декабря 2010 г. результаты деятельности ЧАО «Фондовая биржа ПФТС» составили: 27 151 тыс. руб. в составе комиссионных доходов, 34 510 тыс. руб. в составе процентных доходов, 554 тыс. руб. в составе чистой прибыли за год. Если бы данная сделка по объединению бизнеса произошла 1 января 2010 г., в консолидированном отчете о прибылях и убытках за 2010 г. были бы отражены следующие суммы по операциям ЧАО «Фондовая Биржа ПФТС»: комиссионные доходы в размере 33 659 тыс. руб., процентные доходы в размере 34 544 тыс. руб., чистая прибыль в размере 568 тыс. руб.</t>
  </si>
  <si>
    <t>ПАО "СПБ Биржа"</t>
  </si>
  <si>
    <t>SPBE</t>
  </si>
  <si>
    <t xml:space="preserve">В марте 2020 года был зарегистрирован отчет об итогах дополнительного выпуска ценных бумаг ПАО «СПБ Биржа». В ходе эмиссии были размещены 745 154 обыкновенные акции номинальной стоимостью 150 руб. за акцию. В приобретении акций участвовали как новые инвесторы, так и существующие акционеры ПАО «СПБ Биржа». Акции были размещены по цене 1 777 руб. за акцию. Общая сумма денежных средств, внесенных в оплату размещенных ценных бумаг, составила 817 001 тыс. руб. </t>
  </si>
  <si>
    <t>Ассоциацией участников финансового рынка «Некоммерческое партнерство развития финансового рынка РТС» в оплату размещенных акций были внесены 67,49% обыкновенных именных акций ПАО «Бест Эффортс Банк» на сумму 507 138 тыс. руб. В результате ПАО «СПБ Биржа» приобрело контроль над ПАО «Бест Эффортс Банк». Сделка была учтена как объединение бизнеса под общим контролем.</t>
  </si>
  <si>
    <t>Некоммерческое партнерство развития финансового рынка РТС</t>
  </si>
  <si>
    <t>В ноябре 2021 года ПАО «СПБ Биржа» провело первичное публичное размещение дополнительного выпуска акций. ПАО «СПБ Биржа» разместило 18 757 547 акций номинальной стоимостью 3,75 руб. каждая. Цена размещения составила 11,5 долларов США за одну акцию для новых акционеров и существующих акционеров, обладающих преимущественным правом покупки (что эквивалентно 836,4 руб. за акцию в среднем на дату расчетов). Все размещенные акции были оплачены денежными средствами на общую сумму 15 689 292 тыс. руб. Разница в размере 15 618 950 тыс. руб. между величиной средств, полученных от размещения, и номинальной стоимостью размещенных акций была признана в составе эмиссионного дохода за вычетом затрат по сделке, непосредственно связанных с первичным публичным размещением акций, в сумме 833 422 тыс. руб. (за вычетом налогового эффекта в сумме 154 063 тыс. рублей). 3 260 870 акций были выкуплены Группой на сумму 2 722 500 тыс. руб. (цена покупки на дату расчетов составила 834,9 руб. за акцию). Эти акции были учтены как собственные выкупленные акции по номинальной стоимости в общей сумме 12 228 тыс. руб., разница между ценой покупки и номинальной стоимостью в размере 2 710 272 тыс. руб. уменьшила величину эмиссионного дохода.</t>
  </si>
  <si>
    <t>В течение 1 полугодия 2015 года, ПАО «СПБ» было продано 1.93% акций компании, в результате чего доля Группы уменьшилась до 68.79%. За продажу этой доли были получены денежные средства в размере 386 тыс. руб. Балансовая стоимость чистых активов компании АО "Бест Экзекьюшн” на дату реализации составила 17 672 тыс.руб., а балансовая стоимость проданной доли - 341 тыс. руб. Разница в 45 тыс. руб. между стоимостью продажи и балансовой стоимостью проданной доли была учтена в капитале по статье «Нераспределенная прибыль».</t>
  </si>
  <si>
    <t>АО "Бест Экзекьюшн”</t>
  </si>
  <si>
    <t>Информационно-техническое обеспечение</t>
  </si>
  <si>
    <t>В марте 2014 года ПАО «СПБ» приобрела 4,44% акций в Публичное акционерное общество "Клиринговый центр МФБ" (ПАО «КЦ МФБ»). В июне 2014 года ПАО «СПБ» дополнительно приобрела 77,3% акций в ПАО "КЦ МФБ". Справедливая стоимость возмещения, переданного ПАО «СПБ», была определена на основании результатов оценки стоимости бизнеса приобретенной компании в целом.</t>
  </si>
  <si>
    <t>В октябре 2014 года, на основании обязательного предложения о приобетении ценных бумаг ПАО «СПБ» было дополнительно приобретено 2.36% акций компании, в результате чего доля Группы увеличилась до 84.09%. За приобретение этой доли было уплачено денежными средствами 5 696 тыс. руб. Балансовая стоимость чистых активов компании ПАО "КЦ МФБ" на дату приобретения составила 334 964 тыс.руб., а балансовая стоимость дополнительно приобретенной доли -7 890 тыс. руб. Разница в 2 194 тыс. руб. между стоимостью приобретения и балансовой стоимостью приобретенной доли была учтена в капитале по статье «Нераспределенная прибыль».</t>
  </si>
  <si>
    <t>В марте 2014 года ПАО «СПБ» приобрело 70,72 % акций в АО "Бест Экзекьюшн". Справедливая стоимость возмещения, переданного Группой, была основана на результатах оценки стоимости бизнеса приобретенной компании в целом. Ниже представлена информация о приобретенных активах и обязательствах и о гудвиле, возникшем в связи с данным приобретением.</t>
  </si>
  <si>
    <t>Клиринговая деятельность и деятельность центрального контрагента</t>
  </si>
  <si>
    <t>Производство нефтехимической продукции</t>
  </si>
  <si>
    <t>ПАО «Уфаоргсинтез» («Уфаоргсинтез») является дочерним предприятием Группы, которое занимается производством нефтехимической продукции. 24 марта 2016 года Группа приобрела дополнительную долю в размере 19.043% уставного капитала Уфаоргсинтез, увеличив долю владения до 95.056%. Денежное вознаграждение в размере 3,550 млн. рублей было выплачено неконтролирующим долям владения.</t>
  </si>
  <si>
    <t>26 марта 2014 года Группа приобрела 100% находящихся в обращении долей в уставном капитале Бурнефтегаза, компании, которая занимается разведкой и добычей сырой нефти в Тюменской области Российской Федерации, за совокупное денежное вознаграждение в размере 35,953 млн. рублей. Приобретение Бурнефтегаза осуществлено в рамках реализации стратегии Группы по развитию сегмента «Добыча», которая заключается в увеличении ресурсной базы Группы путем приобретения активов со значительным производственным потенциалом.</t>
  </si>
  <si>
    <t>В июле и августе 2014 года Башнефть заключила ряд договоров на приобретение 100% долей в пяти юридических лицах, которые владеют 91 заправочной станцией, действовавших под брендом «Оптан» (далее «Группа Оптан») и 11 земельными участками, расположенными в 12 регионах Российской Федерации, за общее денежное вознаграждение 7,715 млн. рублей. Приобретение Группы Оптан осуществлено в рамках реализации стратегии Башнефти по расширению собственной розничной сети. Заправочные станции Группы Оптан находятся в приоритетных регионах, географически близких к нефтеперерабатывающему комплексу Группы в Уфе.</t>
  </si>
  <si>
    <t>17 сентября 2013 года Группа подписала соглашение о продаже 98% акций в ОАО «Объединенная нефтехимическая компания» (далее «ОНК») Системе за общее денежное вознаграждение 6,200 млн. рублей с рассрочкой оплаты на один год. ОНК является управляющей компанией нефтехимических активов Группы, включая ОАО «Уфаоргсинтез» (далее «Уфаоргсинтез»). 24 сентября 2014 года данное соглашение было аннулировано, и Группа вновь получила контроль над ОНК. Обе транзакции совершались под общим контролем, поэтому активы и обязательства учитываются по исторической балансовой стоимости. В результате аннулирования соглашения о продаже Группа признала доход от приобретения в размере 7,575 млн. рублей, за вычетом относящегося к данной операции налога на прибыль в размере 831 млн. рублей в составе добавочного капитала в консолидированном отчете об изменениях в капитале, который образовался в результате операции с контролирующим акционером Группы.</t>
  </si>
  <si>
    <t>2 декабря 2014 года Группа приобрела 100% долю владения в ООО «АКТАН» (далее «АКТАН») за общее денежное вознаграждение 1,191 млн. рублей. АКТАН осуществляет реализацию нефтепродуктов в Самарской области через сеть, состоящую из 17 заправочных станций. В результате приобретения Группа консолидировала основные средства в размере 1,320 млн. рублей и соответствующее отложенное налоговое обязательство в размере 190 млн. рублей. Приобретенная сеть заправочных станций используется Компанией для осуществления розничной реализации и, в связи с этим, выручка и прибыль АКТАНа не оказали существенного влияния на финансовые результаты Группы. Финансовые результаты Группы, если бы приобретение произошло в начале года, закончившегося 31 декабря 2014 года, не раскрываются, так как АКТАН до даты приобретения Группой не подготавливал финансовую отчетность в соответствии с МСФО.</t>
  </si>
  <si>
    <t>30 сентября 2013 года Группа продала 100% долю владения в ООО «Башнефть Сервисные Активы» (далее «БНСА»), которое является материнской компанией ООО «Башнефть-Бурение».</t>
  </si>
  <si>
    <t>В апреле 2011 года Группа приобрела у ОАО «Русснефть» 94% акций Оренбургнефтепродукт за денежное вознаграждение в размере 3,393 млн. рублей. Оренбургнефтепродукт осуществляет продажу нефтепродуктов в Оренбургской области через сеть 95 автозаправочных станций и 16 нефтебаз.</t>
  </si>
  <si>
    <t>В декабре 2011 года Группа приобрела 100% долю в ООО «ГП «ОКОН» (далее «ОКОН») за денежное вознаграждение в размере 1,202 млн. рублей. ОКОН осуществляет продажу нефтепродуктов в Свердловской области через сеть 25 автозаправочных станций и нефтебазу. В результате приобретения Группа признала превышение доли Группы в справедливой стоимости приобретенных чистых активов над уплаченным вознаграждением в размере 120 млн. рублей в консолидированном отчете о прибыли или убытке и прочем совокупном доходе.</t>
  </si>
  <si>
    <t>9 апреля 2010 года Группа приобрела у третьей стороны 25% акций ОАО «Система-Инвест» (далее «Система-Инвест») за денежное вознаграждение в размере 5,939 млн. рублей.</t>
  </si>
  <si>
    <t>В июне 2010 года Группа приобрела дополнительные доли в своих дочерних предприятиях: 7.7% акций Уфанефтехима, 0.2% акций Новойла, 0.7% акций Уфимского нефтеперерабатывающего завода, 5.0% акций Уфаоргсинтеза и 0.8% акций Башкирнефтепродукта за суммарное вознаграждение в размере 129 млн. долл. США. В результате этих приобретений, эффективная доля владения Группы в Башкирэнерго увеличилась на 1.5%. Превышение доли Группы в приобретенных чистых активах над стоимостью приобретения в размере 49 млн. долл. США было признано в консолидированном отчете об изменениях в капитале как увеличение нераспределенной прибыли. Соответствующее снижение доли в чистых активах, принадлежащих неконтролирующим долям владения, составило 178 млн. дол. США.</t>
  </si>
  <si>
    <t>Дополнительные доли в дочерних предприятиях: 7.7% акций Уфанефтехима, 0.2% акций Новойла, 0.7% акций Уфимского нефтеперерабатывающего завода, 5.0% акций Уфаоргсинтеза и 0.8% акций Башкирнефтепродукта.</t>
  </si>
  <si>
    <t>31 июля 2010 года Группа приобрела у связанной стороны 49.99% долю в ОАО «Аспэк» за денежное вознаграждение в размере 3,699 млн. рублей. ОАО «Аспэк» - управляющая компания Группы «Аспэк» (далее «Аспэк»), занимающейся оптовой и розничной торговлей нефтепродуктами, строительством и розничной продажей автомобилей. Автозаправочные станции и хранилища нефтепродуктов Аспэк расположены на территории Российской Федерации с центральным офисом в Республике Удмуртия. По состоянию на 31 декабря 2010 года Группа признала убыток от обесценения инвестиции в Аспэк в размере 505 млн. рублей. В июле 2011 года ООО «Аспэк», управляющая компания Группы «Аспэк», была разделена на два предприятия: ООО «БН-Нефтепродукт» и ООО «Аспэк». В результате разделения Группа обменяла 49.99% доли в ООО «Аспэк» на 100% долю в БН-Нефтепродукте, который объединил в себе деятельность Аспэк по оптовой и розничной продаже нефтепродуктов. Производственная база предприятия включает в себя 50 автозаправочных станций и 4 нефтебазы. Переоценка до справедливой стоимости 49.99% доли в ООО «Аспэк», ранее принадлежащей Группе, привела к убытку в размере 464 млн. рублей, признанному в составе прочих операционных расходов консолидированного отчета о совокупном доходе.</t>
  </si>
  <si>
    <t>В течение периода с мая по июнь 2012 года Группа приобрела собственные акции Компании на общую сумму 11,070 млн. рублей в результате обязательного выкупа акций Компании и дочерних предприятий, участвовавших в реорганизации Группы</t>
  </si>
  <si>
    <t>В октябре-ноябре 2012 года Bashneft Middle East Limited, дочернее предприятие Башнефти, приобрело 2,596,805 обыкновенных акций и 133,640 привилегированных акций Компании за 4,627 млн. рублей. В результате данной сделки было признано соответствующее количество собственных акций, выкупленных у акционеров.</t>
  </si>
  <si>
    <t>В ноябре 2012 года Башнефть реализовала АФК «Система» 2,131,226 привилегированных акций за 2,617 млн. рублей. В результате данной сделки был признан убыток в размере 360 млн. рублей в составе добавочного капитала в консолидированном отчете об изменениях в капитале.</t>
  </si>
  <si>
    <t>ПАО АНК "Башнефть" (Bashneft Middle East Limited)</t>
  </si>
  <si>
    <t>Во 2-3 кварталах 2022 г. в рамках развития нефтесервисного блока Группа приобрела доли в ООО УК «Татбурнефть», ООО «Татинтек», ООО УК «Татспецтранспорт», ООО «ТаграС-ХимСервис», ООО «КРССервис», ООО «НКТ-Сервис», ООО «МехСервис-НПО», ООО «ТМС-Логистика», а также движимое и недвижимое имущество и получила контроль, став единственным участником указанных обществ. Цена приобретения составила 25 633 млн рублей, денежное вознаграждение было выплачено в полном объеме во 2-3 кварталах 2022 г. Возмещение, переданное Группой, основано на результатах оценки стоимости бизнеса приобретенных организаций в целом. По состоянию на 31 декабря 2022 г. оценка справедливой стоимости активов и обязательств приобретенных дочерних организаций не была завершена. Распределение стоимости приобретения на справедливую стоимость приобретенных активов и обязательств будет завершено в течение 12 месяцев с даты приобретения. За период с даты приобретения до 31 декабря 2022 г. доля приобретенного бизнеса в выручке Группы составила 4 689 млн рублей, доля в прибыли несущественна.</t>
  </si>
  <si>
    <t>Во 2 квартале 2022 г. Группа продала доли в дочерних организациях, составлявших сегмент шинного бизнеса, обществу, находящемуся под контролем государства, за 37 476 млн рублей на условиях рассрочки платежа. Справедливая стоимость возмещения, определенная на основе дисконтированных денежных потоков, составила 12 115 млн рублей.</t>
  </si>
  <si>
    <t>Шинный бизнес</t>
  </si>
  <si>
    <t>Дочерние организации, составлявшие сегмент шинного бизнеса</t>
  </si>
  <si>
    <t>Во 2 квартале 2021 г. Группа приобрела 100% долю в ООО «БалтТехПром», ООО «ТД «Экополимеры» и 100% акций АО «Экопэт» у третьей стороны ПАО Национальный банк «ТРАСТ» и получила контроль, став единственным участником ООО «БалтТехПром», ООО «ТД «Экополимеры» и за счет возможности обеспечения большинства голосов на общем собрании акционеров АО «Экопэт». Приобретенные дочерние организации представляют собой предприятие по производству и реализации полиэтилентерефталата, используемого для производства ПЭТ-бутылок и банок, тары и упаковки пищевого назначения, а также иных изделий технического и бытового назначения. Приобретенные дочерние организации обеспечат дальнейшее развитие нефтегазохимического бизнеса Группы. Цена приобретения составила 6 450 млн рублей, денежное вознаграждение было выплачено в полном объеме во 2 квартале 2021 года. Возмещение, переданное Группой, было основано на результатах оценки стоимости бизнеса приобретенных организаций в целом. За период с даты приобретения до 31 декабря 2021 г. доля приобретенного бизнеса в выручке Группы составила 10 516 млн рублей, а в прибыли – 492 млн рублей. Если бы приобретение произошло 1 января 2021 г., то выручка и прибыль Группы за год, закончившийся 31 декабря 2021 г., составили бы 1 274 063 млн рублей и 199 792 млн рублей соответственно.</t>
  </si>
  <si>
    <t>FTRE</t>
  </si>
  <si>
    <t xml:space="preserve">В 4 квартале 2019 года Группа приобрела 100% долю в ООО «Несте Санкт-Петербург» (позднее переименовано в ООО «Татнефть-АЗС-Северо-Запад») у третьей стороны Neste Oyj и получила контроль, став его единственным участником. ООО «Несте Санкт-Петербург» владеет розничной сетью из 75 АЗС, резервуарным парком для хранения нефтепродуктов и офисным зданием в г. Санкт-Петербург. Приобретенная дочерняя организация увеличит присутствие Группы на топливно-розничном рынке Северо-Западного региона Российской Федерации. Цена приобретения составила 9 169 млн рублей (за вычетом полученных денежных средств), денежное вознаграждение было выплачено в полном объеме в 2019-2020 гг. Возмещение, переданное Группой, было основано на результатах оценки стоимости бизнеса приобретенной организации в целом. </t>
  </si>
  <si>
    <t>В 4 квартале 2019 г. Группа приобрела 100% долю в ООО «СИБУР Тольятти» (позднее переименовано в ООО «Тольяттикаучук») и 100% акций АО «Тольяттисинтез» у третьей стороны ПАО «СИБУР Холдинг» и получила контроль, став единственным участником ООО «СИБУР Тольятти» и за счет возможности обеспечения большинства голосов на общем собрании акционеров АО «Тольяттисинтез». Приобретенные дочерние организации образуют нефтехимический комплекс по производству различных видов синтетических каучуков, а также высокооктанового компонента МТБЭ для моторного топлива, бутадиена, изопрена и других промежуточных продуктов. Приобретенные дочерние организации обеспечат дальнейшее развитие нефтехимического и шинного бизнеса Группы. Цена приобретения составила 11 299 млн рублей (за вычетом полученных денежных средств), денежное вознаграждение было выплачено в полном объеме в 2019 году. Возмещение, переданное Группой, было основано на результатах оценки стоимости бизнеса приобретенных организаций в целом.</t>
  </si>
  <si>
    <t>26 декабря 2016 г. Группа продала свою долю в ПАО «Нижнекамскнефтехим» за 32 000 млн. руб., полученных в декабре 2016 г. Прибыль от реализации в размере 9 800 млн. рублей отражена в составе прибыли от выбытия дочерних компаний и инвестиций в
ассоциированные компании отчета о прибыли или убытке и прочем совокупном доходе. В течение 2016 г., Группа получила дивиденды от ПАО «Нижнекамскнефтехим» в размере 1 521 млн. рублей за вычетом удержанного налога на прибыль в сумме 227 млн. рублей.</t>
  </si>
  <si>
    <t>17 марта 2016 г. Группа приобрела 25% минус одна акция капитала ПАО «Нижнекамскнефтехим» за 19 850 млн. рублей, выплаченных в декабре 2015 г.</t>
  </si>
  <si>
    <t xml:space="preserve">За год, закончившийся 31 декабря 2021, Группа приобрела 7,2 млн обыкновенных акций на общую сумму 12'907 млн рублей. </t>
  </si>
  <si>
    <t>За годы, закончившийся 31 декабря 2020 гг., Группа приобрела 8,4 млн обыкновенных акций на общую сумму 8'078 млн рублей соответственно.</t>
  </si>
  <si>
    <t xml:space="preserve">За год, закончившийся 31 декабря 2019 г., Группа приобрела 1,7 млн обыкновенных акций на общую сумму 1'863 млн рублей. </t>
  </si>
  <si>
    <t xml:space="preserve">За год, закончившийся 31 декабря 2018 г., Группа приобрела 2,7 млн обыкновенных акций на общую сумму 2'092 млн рублей. </t>
  </si>
  <si>
    <t xml:space="preserve">За год, закончившийся 31 декабря 2017 г., Группа приобрела 2,1 млн обыкновенных акций на общую сумму 1'440 млн рублей. </t>
  </si>
  <si>
    <t xml:space="preserve">В декабре 2015 года Группа и китайский инвестиционный фонд «Фонд Шелкового Пути» заключили договор купли-продажи о реализации фонду 9,9%-ной доли владения в «Ямале СПГ». Сделка содержала ряд отлагательных условий, и в соответствии с МСФО (IFRS) 5 «Долгосрочные активы, предназначенные для продажи, и прекращенная деятельность» 9,9%-ная доля владения Группы в «Ямале СПГ» была классифицирована как актив, предназначенный для продажи, по состоянию на 31 декабря 2015 г. Учетная стоимость актива была определена исходя из величины чистых активов «Ямала СПГ» на дату заключения договора и составила 7'987 млн рублей. В марте 2016 года после выполнения отлагательных условий сделка была завершена, и Группа признала выбытие 9,9%-ной доли владения в «Ямале СПГ». Сделка предусматривала получение денежного платежа и предоставление Группе целевого займа сроком на 15 лет на финансирование проекта «Ямал СПГ». При этом Группа приняла на себя обязательство осуществить вклады в капитал «Ямала СПГ» в отношении выбывшей доли на тех же условиях, которые применялись ранее при вхождении компаний «TOTAL S.A.» и «China National Petroleum Corporation» в проект.Таким образом, Группа признала прибыль от выбытия в сумме 57'677 млн рублей после вычета соответствующего налога на прибыль в сумме 15'395 млн рублей. В результате сделки доля владения Группы в «Ямале СПГ» составила 50,1%. Группа продолжает осуществлять совместный контроль в отношении «Ямала СПГ» и признавать его как совместное предприятие и соответственно учитывать свою инвестицию в компанию по методу долевого участия. </t>
  </si>
  <si>
    <t>В апреле 2016 года Группа приобрела 100%-ную долю участия в ООО «Евротэк-Юх» за 6 млн рублей. «Евротэк-Юх» являлся держателем лицензии на геологическое изучение, разведку и добычу углеводородов в пределах Ладертойского участка, расположенного на полуострове Гыдан в ЯНАО. «Евротэк-Юх» не вело практически никакой операционной деятельности на момент приобретения и ранее, и соответственно данное приобретение не попадает под определение «бизнеса» согласно МСФО (IFRS) 3 «Объединения
бизнесов». Стоимость приобретения была распределена на стоимость лицензии в полной сумме.</t>
  </si>
  <si>
    <t>В декабре 2016 года Группа в целях расширения деятельности на рынке Польши приобрела 100%-ную долю участия в компании Blue Gaz Sp. z o.o., владеющей станцией регазификации сжиженного природного газа в Польше за 26 млн рублей (2 млн польских злотых), выплаченных в 2016 году. Если бы приобретение произошло в январе 2016 года, то финансовая и операционная деятельность Blue Gaz Sp. z o.o. была бы несущественной по отношению к выручке и результатам деятельности Группы за год, закончившийся 31 декабря 2016 г.</t>
  </si>
  <si>
    <t xml:space="preserve">За год, закончившийся 31 декабря 2016 г., Группа приобрела 1,4 млн обыкновенных акций на общую сумму 916 млн рублей. </t>
  </si>
  <si>
    <t xml:space="preserve">За год, закончившийся 31 декабря 2015 г., Группа приобрела 1,3 млн обыкновенных акций на общую сумму 775 млн рублей. </t>
  </si>
  <si>
    <t>В марте 2014 года «НОВАТЭК» и ПАО «Газпром нефть» пришли к принципиальному соглашению о проведении ряда сделок для достижения равных долей участия в совместном предприятии ООО «СеверЭнергия», которым стороны владеют через свои совместные предприятия ООО «Ямал развитие» и «Artic Russia B.V.». В рамках этого соглашения в марте 2014 года Группа продала 20%-ную долю владения в «Artic Russia», владеющей 49%-ной долей участия в «СеверЭнергии», «Ямалу развитие» за 34'972 млн рублей (980 млн долл. США), которые были получены денежными средствами 1 апреля 2014 г. В результате этой сделки эффективная доля участия Группы в «СеверЭнергии» снизилась с 59,8% до 54,9%.</t>
  </si>
  <si>
    <t>22 декабря 2014 г. Группа приобрела 100%-ную долю участия в ООО «НоваЭнерго» от компаний под контролем ключевого руководящего персонала Группы, за 229 млн рублей, выплаченных до конца 2014 года. Группа произвела независимую оценку данного актива и полагает, что сумма сделки полностью соответствует рыночным условиям. Приобретенная компания занимается ремонтом и обслуживанием энергетического оборудования, и была приобретена для поддержания производственных мощностей Группы, расположенных в ЯНАО. Руководство оценило справедливую стоимость идентифицируемых активов и обязательств «НоваЭнерго» и посчитало, что при приобретении деловой репутации (гудвила) не возникло. Если бы приобретение произошло в январе 2014 года, то финансовая и операционная деятельность «НоваЭнерго» была бы несущественной по отношению к выручке и результатам деятельности Группы за год, закончившийся 31 декабря 2014 г.</t>
  </si>
  <si>
    <t>В августе 2014 года Группа приобрела 100%-ную долю владения в АО «Офис» за 4'895 млн рублей (135 млн долл. США) и осуществила платежи в размере 3'630 млн рублей (62 млн долл. США) и 1'283 млн рублей (34 млн долл. США) за годы, закончившиеся 31 декабря 2015 и 2014 гг. соответственно. Приобретенная компания владеет участком земли в непосредственной близости от головного офиса «НОВАТЭКа» в Москве, на котором Группа планирует строительство нового офисного здания в связи с расширением своей деятельности. АО «Офис» не вело никакой операционной деятельности на момент покупки, и соответственно данное приобретение не попадает под определение «бизнеса», приведенного в МСФО (IFRS) 3 «Объединения бизнеса». Стоимость приобретения была распределена на стоимость участка земли в полной сумме.</t>
  </si>
  <si>
    <t>В феврале 2014 года Группа приобрела дополнительную 15%-ную долю участия в ООО «НОВАТЭККострома» за 102 млн рублей. В результате сделки Группа увеличила долю участия в дочернем обществе до 100%, снизила общую учетную стоимость доли неконтролирующих акционеров дочерних обществ на 109 млн рублей и отразила разницу в 7 млн рублей в составе нераспределенной прибыли.</t>
  </si>
  <si>
    <t>Участок земли под офисом</t>
  </si>
  <si>
    <t xml:space="preserve">За год, закончившийся 31 декабря 2014 г., Группа приобрела 7,7 млн обыкновенных акций на общую сумму 2 816 млн рублей. </t>
  </si>
  <si>
    <t>В декабре 2013 года «НОВАТЭК» обменял c ОАО «Роснефть» 51%-ную долю владения в ОАО «Сибнефтегаз», совместном предприятии Группы, на 40%-ную долю в «Artic Russia» B.V., принадлежащую «Роснефти», по согласованной стоимости 1,8 млрд долл. США. «Artic Russia», зарегистрированная в Нидерландах, владеет 49%-ной долей участия в ООО «СеверЭнергия», совместном предприятии Группы. Транзакция не предполагала проведения расчетов денежными средствами и увеличила эффективную долю участия Группы в «СеверЭнергии» с 25,5% до 45,1%. «НОВАТЭК» признал доход от выбытия доли владения в «Сибнефтегазе» в сумме 33'804 млн рублей. Группа продолжила учитывать «СеверЭнергию» по методу долевого участия.</t>
  </si>
  <si>
    <t>В декабре 2013 года, совместное предприятие Группы, ООО «Ямал развитие» приобрело 60%-ную долю в «Artic Russia» B.V. за 96'846 млн рублей (2'939 млн долл. США) у третьих сторон. В результате Группа увеличила эффективную долю участия в «СеверЭнергии» на 14,7% и, наряду с приобретением 40%-ной доли в «Artic Russia B.V.» в рамках договора обмена активами, довела свою эффективную долю участия в «СеверЭнергии» до 59,8%. Однако, устав «СеверЭнергии» предусматривает, что ключевые решения, касающиеся операционной и финансовой деятельности компании, должны быть утверждены шестью из семи членов Совета директоров, т.е. фактически ни один из участников не имеет привилегированного право голоса. Таким образом, Группа продолжает учитывать «СеверЭнергию» как совместное предприятие по методу долевого участия.</t>
  </si>
  <si>
    <t>В сентябре 2013 года «НОВАТЭК» и «Китайская Национальная Нефтегазовая Корпорация» («CNPC») заключили Договор купли-продажи о приобретении компанией «CNPC» 20%-ной доли владения в «Ямале СПГ», совместном предприятии Группы. К концу 2013 года сделка получила все необходимые одобрения регулирующих органов Российской Федерации, Китайской Народной Республики и Европейского Союза, и в декабре 2013 года Группа признала выбытие 20%-ной доли владения в «Ямале СПГ».</t>
  </si>
  <si>
    <t>В июне 2013 года Группа увеличила долю владения в ЗАО «Нортгаз» с 49% до 50% путем выкупа дополнительной эмиссии акций компании на сумму 1'703 млн рублей (52 млн долл. США). В соответствии с МСФО (IAS) 28 «Инвестиции в ассоциированные и совместные предприятия» Группа оценила справедливую стоимость идентифицируемых активов и обязательств компании и определила, что деловая репутация (гудвилл) не возникла при приобретении дополнительной доли владения в «Нортгазе». После
сделки Группа продолжает учитывать свою долю в компании по методу долевого участия.</t>
  </si>
  <si>
    <t xml:space="preserve">За год, закончившийся 31 декабря 2013 г., Группа приобрела 5,6 млн обыкновенных акций на общую сумму 1 854 млн рублей. </t>
  </si>
  <si>
    <t>27 ноября 2012 г. Группа приобрела 49%-ную долю владения в ЗАО «Нортгаз», нефтегазодобывающей компании, расположенной в ЯНАО, за 42'697 млн рублей (1'375 млн долл. США), которые были полностью выплачены в ноябре 2012 года. «Нортгаз» владеет лицензией на добычу на Северо-Уренгойском месторождении (действительна до 2018 года). Доказанные запасы этого месторождения согласно оценке компании DeGolyer and MacNaughton по классификации запасов PRMS и SEC по состоянию на 31 декабря 2012 г. составили приблизительно 186 млрд и 157 млрд куб. метров природного газа и 25 млн и 21 млн тонн жидких углеводородов соответственно. Как указано выше, Группа приобрела 49%-ную долю владения в «Нортгазе»; однако Устав компании предусматривает, что все ключевые вопросы, касающиеся операционной и финансовой деятельности компании, должны быть единогласно утверждены Советом директоров. В результате механизм голосования устанавливает совместный контроль акционеров над «Нортгазом». Группа учитывает свою долю в компании по методу долевого участия. В соответствии с МСФО (IAS) 31 «Участие в совместных предприятиях» (замененный на МСФО (IAS) 28 «Инвестиции в ассоциированные и совместные предприятия» в 2013 году) Группа оценила предварительную справедливую стоимость идентифицируемых активов и обязательств «Нортгаза» по состоянию на дату приобретения и признала предварительные значения для этих статей на 31 декабря 2012 г. В марте 2013 года Группа привлекла независимую компанию для оценки справедливой стоимости идентифицируемых активов и обязательств, проведение которой было закончено в июле 2013 года. В результате, предварительная справедливая стоимость долгосрочных активов и долгосрочных обязательств совместного предприятия не изменилась и деловая репутация (гудвилл) не была признана в учетной стоимости инвестиции в совместное предприятие. Однако распределение покупной стоимости в составе активов, задействованных в добыче нефти и газа, привело к уменьшению амортизации, начисленной за три месяца, закончившихся 31 марта 2013 г., на сумму 235 млн рублей за вычетом налога на прибыль. Пересмотр предварительной оценки был отражен на дату приобретения и, таким образом, доля Группы в прибыли (убытке) совместных предприятий за вычетом налога на прибыль за три месяца, закончившихся 31 марта 2013 г., была увеличена на 115 млн рублей для отражения сторнирования амортизации в «Нортгазе».</t>
  </si>
  <si>
    <t>28 декабря 2012 г. Группа приобрела 82%-ную долю участия в OOO «Газпром межрегионгаз Кострома», российском региональном поставщике природного газа, с целью наращивания продаж природного газа в Костромской области Российской Федерации за 554 млн рублей, выплаченных в 2013 году. На дату покупки компания держала на балансе выкупленную 3%-ную долю собственного уставного капитала, которая была элиминирована при консолидации; соответственно, эффективная доля владения Группы в
«Газпром межрегионгазе Костроме» составила 84,54%. Руководство оценило справедливую стоимость идентифицируемых активов и обязательств и посчитало, что при приобретении компании деловой репутации (гудвилла) не возникло.</t>
  </si>
  <si>
    <t>В декабре 2012 года Группа продала 100%-ную долю участия в своем непрофильном дочернем обществе ООО «Пуровский терминал» третьей стороне за 97 млн рублей, которые были полностью выплачены в декабре 2012 года. Группа признала убыток до налога на прибыль от выбытия в сумме 60 млн рублей.До выбытия Группа отражала сальдо по расчетам и результаты операций выбывшего дочернего общества в составе сегмента «разведка, добыча и маркетинг» в информации по сегментам Группы.</t>
  </si>
  <si>
    <t xml:space="preserve">За год, закончившийся 31 декабря 2012 г., Группа приобрела 0,925 млн обыкновенных акций на общую сумму 303 млн рублей. </t>
  </si>
  <si>
    <t>В ноябре 2011 года Группа приобрела 100%-ную долю участия в OOO «Газпром межрегионгаз Челябинск» с целью наращивания продаж природного газа в Челябинской области Российской Федерации за 1'550 млн рублей, которые были полностью выплачены в декабре 2011 года. «Газпром межрегионгаз Челябинск» осуществляет реализацию природного газа промышленным предприятиям и социально значимым категориям потребителей в Челябинской области, входящую в десятку крупнейших регионов России по потреблению природного газа.</t>
  </si>
  <si>
    <t>5 октября 2011 г. Совет директоров ОАО «НОВАТЭК» одобрил продажу 20%-ной доли владения в «Ямале СПГ», 100%-ном дочернем обществе Группы, компании «TOTAL S.A.», стратегическому партнеру в проекте «Ямал СПГ» (далее – «Проект»). До этого продажа получила необходимые одобрения Правительственной комиссии по контролю за осуществлением иностранных инвестиций в Российской Федерации и Федеральной антимонопольной службы. 6 октября 2011 г. Группа заключила договор продажи и подписала новое Соглашение акционеров (далее – «Соглашение акционеров») с компанией «TOTAL E&amp;P YAMAL SAS», аффилированной компанией «TOTAL S.A.», которое устанавливает основные положения совместной деятельности по реализации проекта разведки и разработки Южно-Тамбейского месторождения (принадлежащего «Ямалу СПГ»), расположенного в ЯНАО. Общая стоимость 20%-ной доли «Ямала СПГ», которая должна быть выплачена компанией «TOTAL E&amp;P YAMAL», состоит из 3-х траншей:
i. первый транш – 425 млн долл. США в пользу «НОВАТЭКа» при заключении договора (платеж получен в октябре 2011 года); ii. второй транш – платеж в виде дополнительного вклада в уставный капитал «Ямала СПГ» в сумме 375 млн долл. США, из которых 170 млн долл. США получены в 2011 году, и оставшиеся 205 млн долл. США получены в 2012 году; и iii. третий транш – платеж в виде дополнительного вклада в уставный капитал «Ямала СПГ» в сумме от нуля до 500 млн долл. США в зависимости от суммы необходимых капитальных вложений в Проект; итоговая сумма платежа будет определена на основании Окончательного инвестиционного решения. По оценкам руководства Группы наиболее вероятная сумма, которая подлежит к уплате, составляет 500 млн долл. США. Если бы эта оценка была другой, то соответствующие выручка и прибыль, признанные от выбытия 20%-ной доли, должны были быть соответственно скорректированы. Кроме того, «TOTAL E&amp;P YAMAL» согласился компенсировать прошлые затраты в сумме 11 млн долл. США, которые «НОВАТЭК» понес по Проекту до заключения договора, в виде вклада в уставный капитал «Ямала СПГ». Прошлые затраты были компенсированы в декабре 2011 года. Дополнительно Соглашение акционеров предусматривает, что финансирование Проекта, если потребуется, будет частично осуществлено в форме непропорциональных займов от акционеров. На сегодняшний день руководство не может оценить вероятность, сумму, период или процентную ставку для этих займов и, таким образом, полагает, что их справедливая стоимость на сегодняшний момент не может быть определена достоверно. Соглашение акционеров также позволяет Группе уменьшить свою долю владения в «Ямале СПГ» до 51% в будущем на основании определенных оговоренных условий и структуры управления. Группа сохранила 80%-ную долю владения в «Ямале СПГ» после сделки; однако Соглашение акционеров предусматривает, что ключевые стратегические, операционные и финансовые решения подлежат одобрению восемью из девяти членов Совета директоров компании. В результате этих изменений Группа потеряла контроль над «Ямалом СПГ» 6 октября 2011 г. После потери контроля Группа определила «Ямал СПГ» как совместное предприятие и учитывает свою долю в чистых активах компании по методу долевого участия. На основании Соглашения акционеров и условий Договора продажи Группа отразила выбытие 20%-ной доли владения в «Ямале СПГ», признав общую выручку в сумме 36'893 млн рублей и доход от выбытия в сумме 62'831 млн рублей за вычетом соответствующего налога на прибыль в сумме 117 млн рублей</t>
  </si>
  <si>
    <t>Intergaz-System Sp.z o.o.</t>
  </si>
  <si>
    <t xml:space="preserve">За год, закончившийся 31 декабря 2011 г., Группа приобрела 1,154 млн обыкновенных акций на общую сумму 520 млн рублей. </t>
  </si>
  <si>
    <t>В декабре 2010 года Группа приобрела 100-процентную долю участия в ООО «Ямалгазресурс-Челябинск», российском региональном торговце природным газом, для поддержки и расширения возможностей продаж природного газа в Челябинской области Российской Федерации за 410 миллионов рублей. Руководство оценило справедливую стоимость идентифицируемых активов и обязательств и рассчитало, что гудвилл в размере 82 миллионов рублей возник в результате приобретения. Финансовая и операционная деятельность «Ямалгазресурс-Челябинск» не оказала бы существенного влияния на доходы и результаты Группы, если бы приобретение произошло в январе 2010 года.</t>
  </si>
  <si>
    <t>В августе 2010 года Группа приобрела 100-процентную долю в Intergaz-System Sp.z o.o., зарегистрированной в Польше, за 159 миллионов рублей (5 миллионов долларов США). Intergaz-System владеет разгрузочно-перевалочным комплексом и была приобретена для поддержки и расширения оптовой и розничной торговли сжиженным углеводородным газом на польском рынке. Руководство оценило справедливую стоимость идентифицируемых активов и обязательств и рассчитало, что отрицательный гудвилл в размере 10 миллионов рублей возник в результате приобретения, который был признан как прочая операционная прибыль в консолидированном отчете о прибылях и убытках. Финансовая и операционная деятельность Intergaz-System не оказала бы существенного влияния на доходы и результаты Группы, если бы приобретение произошло в январе 2010 года. В декабре 2010 года Группа объединила Intergaz-System со своей дочерней компанией Novatek Polska, находящейся в полной собственности. Вышеупомянутое слияние не повлияло на консолидированные финансовые и операционные результаты Группы.</t>
  </si>
  <si>
    <t>17 декабря 2010 года Группа приобрела 51 процент находящихся в обращении обыкновенных акций ОАО «Сибнефтегаз», нефтегазовой компании, расположенной в ЯНАО, за общее денежное вознаграждение в размере 25 826 миллионов рублей, из которых 4 650 миллионов рублей были выплачены в декабре 2010 года, а оставшиеся 21 176 миллионов рублей были выплачены в первом квартале 2011 года. «Сибнефтегаз» владеет лицензиями на добычу на четырех месторождениях, из которых два — Береговое и Пырейное газоконденсатные месторождения — в настоящее время находятся в эксплуатации и срок действия лицензий истекает в 2023 и 2021 годах соответственно. Оценочные совокупные доказанные запасы на этих двух месторождениях, а также на месторождении Хадырьяхинское (срок действия истекает в 2031 году), оцененные DeGolyer and MacNaughton на 31 декабря 2010 года по методологиям PRMS и SEC, составили приблизительно 282 млрд и 200 млрд кубометров природного газа и 2 млн и 0,7 млн ​​тонн углеводородных жидкостей соответственно.
В рамках приобретения Группа предоставила кредит в размере 11 038 млн рублей Сибнефтегазу, который был использован для полного погашения ее непогашенной задолженности перед Газпромбанком досрочно. После приобретения Группа также заключила договор купли-продажи на покупку природного газа у Сибнефтегаза пропорционально ее доле владения в общем объеме добычи компании по заранее определенным ценам.
Как описано выше, Группа приобрела 51 процент выпущенных обыкновенных акций Сибнефтегаза; Однако в Уставном соглашении указано, что ключевые финансовые и операционные решения, касающиеся ее хозяйственной деятельности, подлежат утверждению девятью из одиннадцати членов Совета директоров, что представляет собой единогласное одобрение обоих акционеров, и, следовательно, механизм голосования фактически устанавливает совместный контроль над Сибнефтегазом. Группа учитывает его по методу долевого участия.
На 31 декабря 2010 года в соответствии с МСФО (IAS) 31 «Участие в совместных предприятиях» Группа оценила предварительную справедливую стоимость идентифицированных активов и обязательств Сибнефтегаза и зафиксировала предварительные данные по этим статьям.
В течение 2011 года независимый оценщик был привлечен для оценки справедливой стоимости идентифицируемых активов и обязательств компании на дату приобретения, которая была завершена в декабре 2011 года. В результате предварительная стоимость внеоборотных активов и внеоборотных обязательств увеличилась на 16 305 млн руб. и 3 264 млн руб. соответственно, с соответствующим уменьшением деловой репутации. Основные изменения в предварительной оценке справедливой стоимости связаны с изменениями в оценке справедливой стоимости производственных активов и лицензий на добычу полезных ископаемых.
Изменения, внесенные в предварительную оценку, были отражены по состоянию на дату приобретения, и в балансовую стоимость инвестиций в совместное предприятие не был включен гудвилл. Завершение распределения цены покупки не привело к внесению поправок в сравнительную информацию.</t>
  </si>
  <si>
    <t>24 июня 2009 года НОВАТЭК и TOTAL E&amp;P ACTIVITIES PETROLIERES («TOTAL») подписали Соглашение об основных положениях («Соглашение»), устанавливающее рамки совместного сотрудничества по разведке и разработке Термокарстового газоконденсатного месторождения Группы, расположенного в ЯНАО.
Соглашение предусматривает создание совместного предприятия путем приобретения TOTAL 49 процентов акций ЗАО «Тернефтегаз» (ранее общество с ограниченной ответственностью ООО «Тернефтегаз»), 100-процентного дочернего общества Группы и владельца лицензии на разведку и добычу природного газа и газового конденсата на Термокарстовом месторождении. Согласно условиям Соглашения, совместное предприятие должно было в течение двух лет завершить геологоразведочные работы и подготовить план разработки месторождения, а окончательное инвестиционное решение о дальнейших действиях должно было быть принято в 2011 году. В декабре 2011 года было принято окончательное инвестиционное решение и утвержден соответствующий план разработки месторождения.
В декабре 2009 года Группа подписала договор купли-продажи с Total Termokarstovoye B.V., аффилированным лицом TOTAL, на:
- продажу 28-процентной доли в Terneftegas за общую сумму 24,1 млн долл. США, из которых 16 млн долл. США были уплачены на дату передачи права собственности, а оставшиеся 8,1 млн долл. США (отсроченный платеж) должны были быть выплачены после одобрения TOTAL окончательного инвестиционного решения (платеж получен в декабре 2011 года); и - дальнейшее увеличение доли участия TOTAL в Terneftegas до 49 процентов путем подписки на дополнительную эмиссию акций компании за общую сумму 18 млн долл. США.
Группа передала юридическое право собственности на 28-процентную долю в Terneftegas компании Total Termokarstovoye B.V. в феврале 2010 года после заключения первой договоренности. В январе 2010 года «Тернефтегаз» зарегистрировал в Федеральной службе по финансовым рынкам (ФСФР) дополнительную эмиссию акций, приобретение которой было завершено компанией TOTAL в июне 2010 года. В сентябре 2010 года было завершено юридическое оформление второго соглашения о сделке, и подписка на выпуск дополнительных акций была зарегистрирована в ФСФР компанией Total Termokarstovoye B.V. На основании Соглашения и положений договора купли-продажи эти два соглашения были учтены как одна сделка, и в феврале 2010 года Группа зафиксировала продажу 49 процентов доли участия в «Тернефтегазе» за общее вознаграждение в размере 982 млн руб., получив прибыль в размере 1 466 млн руб. за вычетом соответствующего налога на прибыль в размере 117 млн ​​руб.</t>
  </si>
  <si>
    <t>15 февраля 2010 года Группа увеличила свои доли участия в ООО «Ойлтехпродукт-Инвест», ООО «Петра Инвест-М» и ООО «Тайликснефтегаз», предприятиях, зарегистрированных как ассоциированные, до 51 процента путем приобретения дополнительных 26 процентов долей участия в каждой компании за общее денежное вознаграждение в размере 1 297 миллионов рублей. Все эти предприятия являются нефтегазовыми компаниями на стадии разведки и имеют лицензии на разведку на Средне-Часельском, Северо-Русском, Западно-Тазовском, Аномальном и Северо-Ямсовском лицензионных участках. Срок действия этих лицензий истекает в период с 2012 по 2014 год. Группа намерена получить лицензии на добычу на этих месторождениях на основе проведенных на сегодняшний день геологоразведочных работ. После приобретения в феврале 2010 года «Ойлтехпродукт-Инвест» получила лицензию на добычу на Западно-Часельском месторождении, срок действия которой истекает в 2030 году</t>
  </si>
  <si>
    <t>В апреле 2010 года Группа увеличила свои доли участия в ООО «Ойлтехпродукт-Инвест», ООО «Петра Инвест-М» и ООО «Тайликснефтегаз» до 82,4%, 92,6% и 94,2% соответственно за счет дополнительного взноса в обыкновенный акционерный капитал этих компаний. Кроме того, в мае 2010 года Группа довела свою долю участия в акционерном капитале каждой из вышеупомянутых компаний до 100% за счет приобретения оставшегося обыкновенного акционерного капитала у неконтролирующих долей участия. В результате этих двух сделок Группа выплатила денежными средствами 629 млн руб., уменьшила неконтролирующие доли участия на 2 368 млн руб. и отразила разницу в размере 1 739 млн руб. непосредственно в нераспределенной прибыли.
В декабре 2010 года Группа объединила свою 100%-ную дочернюю компанию «Ойлтехпродукт-Инвест» со своей 100%-ной дочерней компанией ООО «НОВАТЭК-Таркосаленефтегаз». В ноябре 2011 года Группа объединила свою 100% дочернюю компанию «Тайликснефтегаз» со своей 100% дочерней компанией ООО «НОВАТЭК-Юрхаровнефтегаз». Указанные объединения не повлияли на консолидированные финансовые и операционные результаты Группы.</t>
  </si>
  <si>
    <t>В сентябре 2010 года Группа продала свою 100-процентную долю участия в ООО «НОВАТЭК-Полимер», своей непрофильной дочерней компании, ЗАО «СИБУР Холдинг» за 2 400 млн руб. (недисконтировано) с выплатой в течение сентября 2013 года. Группа признала убыток от продажи в размере 279 млн руб. за вычетом соответствующего налога на прибыль в размере 25 млн руб. Группа имеет 100-процентную долю участия в НОВАТЭК-Полимер в качестве обеспечения дебиторской задолженности до полного погашения.</t>
  </si>
  <si>
    <t>1 июля 2010 года Группа приобрела 100 процентов выпущенных обыкновенных акций ОАО «Тамбейнефтегаз», нефтегазовой компании, находящейся на стадии разведки, расположенной в южной части полуострова Ямал (ЯНАО), за общее денежное вознаграждение в размере 312 млн руб. (10 млн долл. США), из которых 75 процентов были приобретены у связанных сторон за 234 млн руб. (7 млн ​​долл. США). Тамбейнефтегаз владеет лицензией на разведку и разработку Мало-Ямальского месторождения (срок действия истекает в 2019 году) с предполагаемыми запасами природного газа и газового конденсата в соответствии с российской классификацией запасов (категории C1 + C2) в размере 161 млрд куб. м и 14,4 млн тонн соответственно.
Тамбейнефтегаз не вел заметной операционной деятельности до даты покупки и по состоянию на дату покупки и считается предприятием на ранней стадии разведки; следовательно, это приобретение выходит за рамки определения «бизнеса», как это определено в МСФО (IFRS) 3 «Объединение бизнеса». Стоимость приобретения была распределена на основе относительной справедливой стоимости активов (в основном состоящих из лицензии на добычу полезных ископаемых) и обязательств приобретенной компании.</t>
  </si>
  <si>
    <t xml:space="preserve">За год, закончившийся 31 декабря 2010 г., Группа приобрела 1,070 млн обыкновенных акций на общую сумму 341 млн рублей. </t>
  </si>
  <si>
    <t>В ноябре 2010 г. Группа продала долю в размере 51% уставного капитала ООО «СеверЭнергия» в пользу созданного на паритетных началах совместно контролируемого предприятия Группы (ОАО «Газпром нефть») и ОАО «НОВАТЭК» - ООО «Ямал развитие» за 56,2 млрд. руб., оплаченные денежными средствами. В результате данной операции Группа сохранила 25,5% эффективную долю в ООО «СеверЭнергия». В результате изменения порядка отражения показателей ООО «СеверЭнергия» Группа признала прибыль в  умме 5 868 млн. руб.
В июле 2010 года НОВАТЭК и ОАО «Газпром нефть», дочернее предприятие ОАО «Газпром», создали совместное предприятие ООО «Ямал Развитие». Группа владеет 50-процентной долей участия в новой компании и учитывает свою долю в совместном предприятии по методу долевого участия.
30 ноября 2010 года «Ямал Развитие» приобрела 51-процентную долю участия в ООО «СеверЭнергия» за общее денежное вознаграждение в размере 48 715 млн руб., уплаченное при приобретении. Приобретение было пропорционально профинансировано его учредителями путем предоставления займов на общую сумму 56 247 млн ​​руб. В рамках приобретения «Ямал Развитие» также предоставил «СеверЭнергии» заем в размере 7 532 млн руб., который был использован для полного погашения непогашенной задолженности компании перед ее предыдущим акционером досрочно. «НОВАТЭК» профинансировал свою часть займа «Ямал Развитие» за счет использования бридж-кредитной линии.
Оцененные совокупные доказанные запасы на этих месторождениях, оцененные DeGolyer and MacNaughton по методологиям PRMS и SEC, по состоянию на 31 декабря 2010 года составили приблизительно 245 и 224 млрд кубометров природного газа и 42 и 39 млн тонн жидких углеводородов соответственно. Сделка предоставляет Группе эффективную долю владения 25,5% в SeverEnergia. Поскольку эта компания является дочерней компанией Yamal Development, совместного предприятия Группы, активы и обязательства SeverEnergia и ее финансовые результаты включены в активы, обязательства и финансовые результаты Yamal Development и ее дочерних компаний при раскрытии обобщенной финансовой информации об инвестициях Группы в ассоциированные компании и совместные предприятия. В соответствии с МСФО (IAS) 28 «Инвестиции в ассоциированные компании» Группа оценила предварительную справедливую стоимость идентифицированных активов и обязательств SeverEnergia. В консолидированной финансовой отчетности за год, закончившийся 31 декабря 2010 года, справедливая стоимость приобретения и справедливая стоимость идентифицируемых приобретенных активов и обязательств являются предварительными, поскольку Группа находится в процессе завершения оценки справедливой стоимости определенных активов и обязательств, в первую очередь основных средств. Руководство должно завершить определение справедливой стоимости в течение 12 месяцев с даты приобретения. Любые изменения предварительной стоимости будут отражены на дату приобретения.</t>
  </si>
  <si>
    <t>26 мая 2009 года Группа заключила договор на приобретение 51 процента размещенных обыкновенных акций ОАО «Ямал СПГ», нефтегазовой компании, находящейся на стадии разведки, расположенной в северо-восточной части полуострова Ямал, ЯНАО. Эта компания владеет лицензией на разведку и разработку Южно-Тамбейского месторождения (первоначальный срок действия лицензии истек в 2020 году, но был продлен до 2045 года в декабре 2009 года). Приобретение Южно-Тамбейского месторождения значительно увеличивает ресурсную базу Группы, обеспечивая будущий рост добычи природного газа и газового конденсата. До даты покупки и по состоянию на дату покупки ОАО «Ямал СПГ» не вело заметной операционной деятельности и считается предприятием, находящимся на ранней стадии разведки; следовательно, данное приобретение не подпадает под определение «бизнеса», как оно определено в МСФО (IFRS) 3 «Объединение бизнеса». Стоимость приобретения была распределена на основе относительной справедливой стоимости активов (в основном состоящих из лицензии на добычу полезных ископаемых) и обязательств приобретенной компании.</t>
  </si>
  <si>
    <t>19 июня 2009 года Группа приобрела 100 процентов доли участия в ООО «ЭкропромСтрой» у нескольких членов ключевого управленческого персонала Группы за общее денежное вознаграждение в размере 1 999 миллионов рублей, все выплачено в 2009 году. Группа получила независимую оценку, подтверждающую цену покупки, и считает, что уплаченная сумма в значительной степени соответствует условиям, которые были бы согласованы в сделке на рыночных условиях. Компания управляет строительством нового офисного здания Группы, расположенного в Москве, и не имеет никакой другой деятельности, кроме управления строительной деятельностью и права собственности на построенное здание. Соответственно, покупка выходит за рамки определения бизнеса, как определено в МСФО (IFRS) 3 «Объединение бизнеса». Стоимость приобретения была распределена на основе относительной справедливой стоимости активов (в основном состоящих из офисного здания) и обязательств приобретенной компании. Основные средства в размере 2 263 млн. руб. были включены в строку «приобретение дочерних компаний», как раскрыто в Примечании 6. Финансовая и операционная деятельность «ЭкропромСтрой» не оказала существенного влияния на выручку и результаты деятельности Группы за год, закончившийся 31 декабря 2009 г.</t>
  </si>
  <si>
    <t>В ноябре 2020 года Группа закрыла сделку по продаже 50% доли в дочернем обществе ООО «Гыдан Энерджи» (ранее – ООО «Газпромнефть-Аэро Брянск») третьей стороне. По итогам сделки общество перешло под совместный контроль Группы и третьей стороны. В ноябре 2020 года было подписано соглашении о продаже Группой своей доли в дочерней организации ООО «Гыдан Энерджи» (Гыдан Энерджи, ранее - ООО «Газпромнефть-Аэро Брянск») в размере 50% Шелл Эксплорейшн энд Продакшн Вест-Сайбериа Б.В. Группа и Шелл Эксплорейшн энд Продакшн Вест-Сайбериа Б.В. осуществляют совместный контроль над Гыдан Энерджи. Оставшаяся доля Группы в обществе была учтена как инвестиция в совместное предприятие и признана по справедливой стоимости. Гыдан Энерджи занимается разработкой Лескинского и Пухуцяяхского лицензионных участков на полуострове Гыдан.</t>
  </si>
  <si>
    <t>Шелл Эксплорейшн энд Продакшн Вест-Сайбериа Б.В.</t>
  </si>
  <si>
    <t>В сентябре 2018 Компания закрыла сделку по продаже 49% акций дочернего общества ООО "Газпромнефть-Восток" третьим сторонам. По итогам сделки Группа сохранила контроль над компанией. В результате сделки была признана неконтролирующая доля участия в размере 21,3 млрд. руб.</t>
  </si>
  <si>
    <t>Разведка и добыча</t>
  </si>
  <si>
    <t xml:space="preserve">1 июля 2014 г. Группа приобрела 18,2% долю в ООО «Газпром Ресурс Нортгаз» (холдинговая компания, которая владеет 50% долей Нортгаза) у Газпромбанка на сумму 8,6 млрд. руб. При этом Группа имеет существенное влияние на Нортгаз через присутствие в составе Совета директоров. В марте 2015 года Группа получила контроль над ООО «Газпром Ресурс Нортгаз» в соответствии с заключенным договором управления и учредительными документами ООО «Газпром Ресурс Нортгаз», согласно которым Группа имеет большинство голосов, доля которых отличается от доли Группы в капитале общества. Сделка рассматривается как сделка, совершенная между компаниями под общим контролем (другой участник ООО «Газпром Ресурс Нортгаз» является дочерним обществом ПАО «Газпром») и отражена по балансовой стоимости, применяемой предшественником. В результате этой операции отражена неконтролирующая доля участия в размере 12,6 млрд. рублей. Разница между долей Группы в чистых активах и первоначальной стоимостью инвестиции отражена как уменьшение добавочного капитала в размере 5,8 млрд. рублей. </t>
  </si>
  <si>
    <t xml:space="preserve">22 мая 2014 г. Группа приобрела 100% долю в ООО «Газпром нефть шельф» у ОАО «Газпром» за 2,7 млрд. руб. Приобретенная компания имеет лицензию на разведку и добычу на Приразломном нефтяном месторождении. По состоянию на дату приобретения ООО «Газпром нефть шельф» имело 18,31% долю в совместной операции с ОАО «Газпром». Целью заключенного соглашения является совместное проведение геологоразведочных работ и добыча на Приразломном нефтяном месторождении, расположенном в Российской Федерации. Согласно договору каждый участник имеет право на соответствующую долю прибыли. Доля Группы в совместной деятельности с ОАО «Газпром» согласно МСФО (IFRS) 11 классифицирована как совместные операции, так как решения по ключевым вопросам касательно деятельности требуют единогласного одобрения со стороны двух участников. Совместные операции структурированы без образования отдельного юридического лица. С момента покупки доли в совместной деятельности Группа сделала дополнительный вклад в совместную операцию с ОАО «Газпром» в размере 4,9 млрд. рублей, что увеличило долю Группы до 21,64%. </t>
  </si>
  <si>
    <t>31 октября 2014 г. ОАО «Газпром» принял решение выйти из совместной операции. Все активы, принадлежащие совместной операции, были переданы в пользу ООО «Газпром нефть шельф» в обмен на компенсацию доли ОАО «Газпром» в указанных активах.
Операции, произошедшие 22 мая 2014 и 31 октября 2014, рассматриваются как сделки, совершенные между компаниями под общим контролем, и, соответственно, активы и обязательства отражены по балансовой стоимости, применяемой предшественником. Разница между приобретенными 31 октября 2014 г. чистыми активами в размере 86,9 млрд. руб. и суммой вознаграждения, представляющей собой дисконтированную стоимость обязательства в размере 53,7 млрд. рублей (отражены в качестве Прочих внеоборотных финансовых обязательств), отражена как увеличение добавочного капитала за период, закончившийся 31 декабря 2014 г.</t>
  </si>
  <si>
    <t>В марте 2014 г. Группа приобрела 100% долю в ООО «Аэро ТО», единственным активом которого является 50% доля в ООО «Газпромнефть-Аэро Шереметьево» (Аэро Шереметьево). В результате покупки Группа получила контроль над Аэро Шереметьево, увеличив свою эффективную долю с 50% до 100%. Основными видами деятельности Аэро Шереметьево являются розничная реализация авиатоплива, а также предоставление комплекса услуг по обеспечению судов авиа-горюче-смазочными материалами. Группа отразила свою долю, имеющуюся до сделки по приобретению, по справедливой стоимости, в результате чего признан доход на сумму 3,4 млрд. рублей в составе строки Прочие расходы, нетто консолидированного отчета о прибылях и убытках и прочем совокупном доходе.</t>
  </si>
  <si>
    <t xml:space="preserve">21 ноября 2012 г. Группа приобрела 90% долю в ООО «Газпром нефть Новый Порт» («Новый порт») у ОАО «Газпром». Приобретенная компания владеет лицензиями на разведку и добычу углеводородов на Новопортовском нефтяном месторождении. Операция рассматривается как сделка, совершенная между компаниями под общим контролем, и, соответственно, отражается по методу учета от предыдущего владельца. Разница между суммой уплаченных денежных средств 6,3 млрд. рублей и исторической стоимостью 4,9 млрд. рублей отражена в добавочном капитале за год, закончившийся 31 декабря 2012 г. </t>
  </si>
  <si>
    <t>Несколько контролируемых дочерних обществ</t>
  </si>
  <si>
    <t>В 2013 г. Группа приобрела дополнительные доли участия в нескольких контролируемых дочерних обществах на сумму 1,2 млрд. рублей. В результате этих операций Группа отразила увеличение добавочного капитала за 2013 г. на сумму 3,2 млрд. рублей. Сумма представляет собой превышение балансовой стоимости приобретаемых долей участия на сумму 4,4 млрд. рублей над суммой выплаченными денежных средств.</t>
  </si>
  <si>
    <t>В 2012 г. Группа приобрела дополнительные доли участия в нескольких контролируемых дочерних обществах на сумму 6,5 млрд. рублей. В результате этих операций Группа отразила увеличение добавочного капитала за 2012 г. на сумму 6,1 млрд. рублей. Сумма представляет собой превышение балансовой стоимости приобретаемых долей участия на сумму 12,6 млрд. рублей над суммой выплаченными денежных средств.</t>
  </si>
  <si>
    <t>В октябре 2012 г. Группа приобрела 100% долю в ООО «Живой исток» за 1 108 млн. рублей. Общество владеет лицензиями на разведку и добычу углеводородов на Балейкинском месторождении и на геологическое изучение Уранской площади.</t>
  </si>
  <si>
    <t>P/E</t>
  </si>
  <si>
    <t>P/S</t>
  </si>
  <si>
    <t>P/B</t>
  </si>
  <si>
    <t>EV/Sales</t>
  </si>
  <si>
    <t>EV/EBITDA</t>
  </si>
  <si>
    <t>EV/EBIT</t>
  </si>
  <si>
    <t>EV/IC</t>
  </si>
  <si>
    <t>18 марта 2011 г. Группа завершила сделку, предложение по которой было направлено в январе 2011 г., по выкупу акций компании NIS, находящихся в свободном обращении (максимальный объем акционерного капитала, возможного к выкупу составил 19,12% всех акций компании NIS). К выкупу было представлено около 8,4 млн. акций компании NIS, что составило 5,15% ее акционерного капитала. Основываясь на ранее заявленной цене, Группа выплатила 1,7 млрд. рублей (58 млн. долларов США) за приобретение этих акций, увеличив свою долю в компании NIS с 51% до 56,15%. Группа отразила приобретение дополнительной доли в NIS как приобретение неконтролирующей доли в организации, контролируемой Группой. В результате операции по приобретению Группа увеличила добавочный капитал на сумму 152 млн. рублей за год, закончившийся 31 декабря 2011. Эта сумма представляет собой превышение балансовой стоимости приобретаемой доли в сумме 1,8 млрд. рублей над величиной выплаченных денежных средств.</t>
  </si>
  <si>
    <t xml:space="preserve">14 февраля 2011 г. Совет директоров Sibir Energy принял решение уменьшить акционерный капитал компании на 86,25 млн. акций (22,39%). Аффилированная с Правительством г. Москва Центральная Топливная Компания приняла решение выйти из состава акционеров Sibir Energy в обмен на компенсацию, которая составила 21,6 млрд. рублей. С 15 февраля 2011 г. доля Группы в Sibir Energy составляет 100%. В результате операции Группа признала увеличение добавочного капитала в размере 616 млн. рублей за год, закончившийся 31 декабря 2011 год. Данная сумма представляет собой превышение балансовой стоимости приобретаемой доли в сумме 22,3 млрд. рублей над величиной компенсации, выплаченной в пользу Центральной Топливной Компании. В результате уменьшения акционерного капитала Sibir Energy Группа увеличила эффективную долю в МНПЗ с 69,02% до 77,72%. В результате увеличения эффективной доли в МНПЗ Группа признала увеличение добавочного капитала в размере 5,2 млрд. рублей за год, закончившийся 31 декабря 2011 </t>
  </si>
  <si>
    <t>Sibir Energy</t>
  </si>
  <si>
    <t>18 октября 2011 г. Компания завершила сделку по покупке у ОАО «Газпром» (материнская компания) доли 61,8% в ЗАО «Газпром нефть Оренбург». Эта компания владеет лицензией на восточную часть Оренбургского месторождения. Оставшиеся акции «Газпром нефть Оренбург» (находятся в собственности ООО «Газпром добыча Оренбург») и часть инфраструктуры месторождения (находится в собственности ОАО «Газпром») будут приобретены после завершения необходимых корпоративных процедур.</t>
  </si>
  <si>
    <t>30 августа 2011 г. Компания стала владельцем 100% ЗАО «Центр наукоемких технологий», которому принадлежат лицензии на разведку и добычу углеводородного сырья на Царичанском месторождении.
В ноябре и декабре 2011 Компания завершила сделку по приобретению контрольного пакета акций 87,5% ОАО “Южуралнефтегаз», которому принадлежат лицензии на Капитоновское месторождение.
Вместе с ЗАО «Газпром нефть Оренбург» (состочная часть Оренбурггского месторождения) общая величина доказанных запасов которых составляет 330 млн. барр. н. э. В совокупности указанные три актива образуют новый кластер добычи в Оренбургской области.</t>
  </si>
  <si>
    <t>Приобретение в январе 2018 года 49% акций ОАО «Нефтеразведка» в рамках аукциона у Росимущества, в результате данного приобретения доля владения в дочерней компании увеличилась до 100%.
В январе 2018 года Компания приобрела 52 442 обыкновенные акции ОАО «Нефтеразведка» (49% от уставного капитала) на сумму 0,33 млн. руб.</t>
  </si>
  <si>
    <t>В феврале 2018 года Компания приобрела акции, находящиеся на балансе дочерних компаний: ОАО «Ульяновскнефть» – 0,003% от уставного капитала на сумму 0,4 млн. руб. Выкупленные обыкновенные акции становятся не голосующими и не учитываются при подсчете голосов на собраниях акционеров до момента их реализации.</t>
  </si>
  <si>
    <t>В феврале 2018 года Компания приобрела акции, находящиеся на балансе дочерних компаний: ОАО «Саратовнефтегаз» – 0,105% от уставного капитала на сумму 32 млн. руб. Выкупленные обыкновенные акции становятся не голосующими и не учитываются при подсчете голосов на собраниях акционеров до момента их реализации.</t>
  </si>
  <si>
    <t>В феврале 2018 года Компания приобрела акции, находящиеся на балансе дочерних компаний: ОАО МПК «Аганнефтегазгеология» – 1,23% от уставного капитала на сумму 121 млн. руб. Выкупленные обыкновенные акции становятся не голосующими и не учитываются при подсчете голосов на собраниях акционеров до момента их реализации.</t>
  </si>
  <si>
    <t>В феврале 2018 года Компания приобрела акции, находящиеся на балансе дочерних компаний: ОАО «Варьеганнефть» – 1,90% от уставного капитала на сумму 426 млн. руб. Выкупленные обыкновенные акции становятся не голосующими и не учитываются при подсчете голосов на собраниях акционеров до момента их реализации.</t>
  </si>
  <si>
    <t>В течение 2015 года дочерние компании ОАО «Варьеганнефть» и ОАО МПК «Аганнефтегазгеология» осуществили дополнительный выкуп собственных акций у неконтролирующих акционеров за 15 млн. руб. и 19 млн. руб. В результате сделок доли выкупленных собственных акций составили на балансе ОАО «Варьеганнефть» 1,829% и ОАО МПК «Аганнефтегазгеология» 1,201% от уставного капитала. Выкупленные обыкновенные акции становятся не голосующими и не учитываются при подсчете голосов на собраниях акционеров до момента их реализации.</t>
  </si>
  <si>
    <t>25 ноября 2016 г. акционеры Материнской компании провели публичное размещение на Московской Бирже обыкновенных акций Компании в объеме 58 822 000 штук, или 20% от общего количества обыкновенных акций (15% уставного капитала Компании), что соответствовало 32 352 млн. руб. по цене предложения, которая составила 550 руб. за акцию.</t>
  </si>
  <si>
    <t>Дочерние компании Уральской группы</t>
  </si>
  <si>
    <t>В июле и августе 2013 года Группа достигла договоренностей о продаже всех принадлежащих ей долей в дочерних компаниях Уральской группы связанным сторонам за 1 973 млн. долл. США. Расходы по сделке, связанные с выбытием дочерних компаний, были
несущественные. Прибыль от продажи компаний Уральской группы, которые Компания в 2013 году классифицировала как активы, предназначенные для выбытия, в сумме 548 млн. долл. США отражена в составе строки «Прибыль за отчетный период от прекращенной деятельности, за вычетом налогов» консолидированного отчета о совокупном доходе.</t>
  </si>
  <si>
    <t xml:space="preserve">В декабре 2012 года Компания реализовала в пользу третьих лиц принадлежащую ей долю в совместном предприятии Общество с ограниченной ответственностью «ЗападноМалобалыкское» («ООО ЗМБ») в размере 50% за 130 млн. долл. США. ООО «ЗМБ» относилось к сегменту «Геологоразведка и добыча». В начале 2012 года ООО «ЗМБ» признано руководством Группы компанией, предназначенной для выбытия в отчетном периоде по решению Совета директоров. Убыток от продажи ООО «ЗМБ» в размере 30 млн. долл. США был признан Группой и отражен в составе статьи Отчета о совокупном доходе «Прибыль за отчетный период от прекращенной деятельности, за вычетом налогов», в том числе выбытие накопленного резерва по пересчету иностранных валют в сумме 35 млн. долл. США. </t>
  </si>
  <si>
    <t>В апреле 2019 года Группа продала 99,9968% доли дочерней компании ООО «НЗТ», осуществляющую перевалку зерновых и масличных культур. Сумма сделки составила 35 758 млн рублей. В связи с тем, что ООО «НЗТ» в составе сегмента Стивидорные услуги, дополнительные услуги порта и услуги флота не представляет собой отдельный значительный вид бизнеса, результаты его деятельности не представлены как прекращающаяся деятельность. Превышение суммы сделки над стоимостью выбывающих чистых активов с учетом доли неконтролирующих акционеров составило 16 192 млн рублей и отражено по строке Прочие расходы в консолидированном отчете о прибыли или убытке и прочем совокупном доходе.</t>
  </si>
  <si>
    <t>В сентябре 2018 года Группа приобрела 50% уставного капитала компании Omirico Limited, под косвенным контролем которой находится 50,1% акций ПАО «НМТП», в результате сделки доля Группы в компании Omirico Limited увеличилась до 100%. Сумма сделки составила 750 млн долларов США (49 319 млн рублей по курсу Банка России на дату оплаты). В результате приобретения эффективная доля Группы в ПАО «НМТП» увеличилась с 37% до 63%, вследствие чего Группа получила контроль над ПАО «НМТП» и его дочерними компаниями. Также Группа получила контроль над ООО «НМТ», 50% которого принадлежит ПАО «НМТП», и 50% принадлежало Группе ранее. Российская Федерация владеет «золотой акцией» ПАО «НМТП», что позволяет государству налагать вето на решения общего собрания акционеров ПАО «НМТП» о внесении изменений в устав, о ликвидации, о реорганизации, об изменении уставного капитала, о совершении крупной сделки и сделки, в совершении которой имеется заинтересованность. Группа ПАО «НМТП» является ведущим стивидорным оператором в России и объединяет стивидорные компании различной специализации, включая перевалку нефти и нефтепродуктов.</t>
  </si>
  <si>
    <t>В марте 2018 года ПАО «Транснефть» получило в собственность по 100% акций «КТК Компани» и «КТК Инвестментс Компани». Основным активом «КТК Инвестментс Компани» является заем, выданный АО «КТК-Р» для строительства нефтепроводной системы Каспийский трубопроводный консорциум (далее – КТК). «КТК Компани» владеет по 7% обыкновенных акций в АО «КТК-Р» и АО «КТК-К» и соответствующей квотой на право доступа в нефтепроводную систему КТК. Таким образом, ПАО «Транснефть» получило опосредованно по 7% долей контроля над АО «КТК-Р» и АО «КТК-К». Учитывая также, что по 24% обыкновенных акций АО «КТК-Р» и АО «КТК-К» находятся в доверительном управлении Компании, и принимая во внимание, что интересы собственников и доверительных управляющих в органах управления АО «КТК-Р» и АО «КТК-К» со стороны ПАО «Транснефть» представляют одни и те же лица, на отчетную дату Группа классифицировала АО «КТКР» и АО «КТК-К» как зависимые общества с отражением методом олевого участия. Получение в собственность ПАО «Транснефть» по 100% акций «КТК Компани» и «КТК Инвестментс Компани» отражено как объединение компаний, находящихся под общим контролем, с применением метода учета «перенесенная стоимость». Соответственно, активы и обязательства присоединенных компаний «КТК Компани» и «КТК Инвестментс Компани» отражены в настоящей консолидированной финансовой отчетности по их балансовой стоимости, определенной для целей составления отчетности по МСФО на дату присоединения. Разница между учетной стоимостью доли Группы в чистых активах этих компаний и эмиссионного дохода от размещения обыкновенных именных бездокументарных акций ПАО «Транснефть» отражена в составе капитала в строке «Резерв, связанный с присоединением». В марте 2018 года осуществлено размещение 125 720 штук обыкновенных именных бездокументарных акций ПАО «Транснефть» номинальной стоимостью 1 рубль каждая по цене 278 780 рублей за акцию по закрытой подписке в пользу Российской Федерации в лице Федерального агентства по управлению государственным имуществом. Оплата произведена находящимися в федеральной собственности 100% обыкновенных акций «КТК Компани» и 100% обыкновенных акций «КТК Инвестментс Компани».</t>
  </si>
  <si>
    <t>Oil-Trans</t>
  </si>
  <si>
    <t xml:space="preserve">В феврале 2016 года Группа приобрела долю в размере 50% уставного капитала в ООО «НМТ». Сумма сделки составила 159 млн долларов США (12 497 млн рублей по курсу Банка России на дату оплаты). Разница между суммой платежа по договору и стоимостью доли на дату оценки отражена в консолидированном отчёте о прибыли или убытке и прочем совокупном доходе. В результате сделки эффективная доля Группы в ООО «НМТ» достигла 67,79%. Учитывая структуру владения и порядок принятия решений по  ключевым вопросам хозяйственной деятельности, инвестиция классифицируется как совместное предприятие. ООО «НМТ» является мазутным терминалом, осуществляющим деятельность в городе Новороссийске, с максимальной пропускной способностью 4 млн тонн в год. </t>
  </si>
  <si>
    <t>В феврале 2016 года Группа завершила сделку по продаже дочернего общества АО «Юго-Запад транснефтепродукт», владеющего 100% уставного капитала ДП «ПрикарпатЗападтранс», активы которого расположены на территории Украины. Превышение суммы сделки над стоимостью выбывающих чистых активов в рублевом эквиваленте составило 998 млн рублей и отражена по строке Прочие расходы в консолидированном отчете о прибыли или убытке и прочем совокупном доходе.</t>
  </si>
  <si>
    <t>ПАО "Транснефть"</t>
  </si>
  <si>
    <t>НИР в области естественных и технических наук</t>
  </si>
  <si>
    <t>В декабре 2015 Группа приобрела 100% долю в уставном капитале ООО «ИПТЭР» за 436,5 млн. рублей. Сделка была полностью оплачена денежными средствами. Основным видом деятельности ООО «ИПТЭР» является научные исследования и разработки по решению фундаментальных и прикладных задач транспорта углеводородов.</t>
  </si>
  <si>
    <t>В октябре 2014 года Группа дополнительно приобрела доли владения (акции) в уставных капиталах зависимых компаний в размере 75%, 50% и 50% в ООО «Транснефть Телеком» (ранее ООО «Сигма Tелеком»), ООО «Тихорецк-Нафта» и АО «ПРОМСФЕРА» соответственно, в результате совокупная доля контроля в указанных компаниях достигла 100%. Общая стоимость приобретения составила 2 221 млн. рублей (в том числе ООО «Транснефть Tелеком» 1 619 млн. рублей). Основным видом деятельности ООО «Транснефть Телеком» является предоставление услуг по передаче данных, основным видом деятельности ООО «Тихорецк-Нафта» и АО «ПРОМСФЕРА» является оказание услуг по наливу и отгрузке.</t>
  </si>
  <si>
    <t>В сентябре 2013 года Группа приобрела 100% долей в ООО «Авеста и Ко» за 110 млн. долларов США (3 510 млн. рублей по курсу Банка России на дату покупки). Основным активом ООО «Авеста и Ко» является офисное здание, которое предполагается использовать для нужд Группы. Соответственно, Группа классифицировала данную сделку как приобретение актива и отнесла стоимость приобретения на данный актив.</t>
  </si>
  <si>
    <t>В сентябре 2013 года ОАО «АК «Транснефть» провела открытый конкурс по реализации акций ЗАО «СК «ТРАНСНЕФТЬ», находящихся в собственности ее дочерних компаний. Победителем конкурса за 98,9% акций ЗАО «СК «ТРАНСНЕФТЬ» было предложено 9 396 млн. рублей. Сделка была завершена в 4 квартале 2013 года. По условиям договора большая часть от указанной суммы вознаграждения подлежит получению до конца 2014 года. Сумма неоплаченной дебиторской задолженности включена в состав прочей дебиторской задолженности в консолидированном отчете о финансовом положении на 31 декабря 2013 года. В связи с тем, что ЗАО «СК «ТРАНСНЕФТЬ» не представляет собой отдельный значительный вид бизнеса, результаты ее деятельности не представлены как прекращающаяся деятельность.</t>
  </si>
  <si>
    <t>В августе 2013 года Группа приобрела у Республики Башкортостан неконтролирующие доли в размере 24,5% и 13,8% в ОАО »Уралсибнефтепровод» и ОАО «Уралтранснефтепродукт» за 10 438 млн.рублей и 2 112 млн. рублей соответственно, которые были оплачены денежными средствами. В результате доли контроля Группы в ОАО «Уралсибнефтепровод» и ОАО «Уралтранснефтепродукт» увеличились с 75,5% и 86,2% до 100% соответственно. Балансовая стоимость чистых активов в консолидированной финансовой отчетности Группы на дату приобретения составила 72 763 млн. рублей. Группа признала уменьшение доли неконтролирующих акционеров на 16 915 млн. рублей и чистое увеличение нераспределенной прибыли на 4 365 млн. рублей.</t>
  </si>
  <si>
    <t xml:space="preserve">В марте 2012 года Группа приобрела долю в размере 26% в уставном капитале ООО «Невская трубопроводная компания» за 19 млн. долл. США (554 млн. рублей по курсу Центрального банка Российской Федерации на дату сделки). ООО «Невская трубопроводная компания» владеет нефтеналивной инфраструктурой в порту Усть-Луга. </t>
  </si>
  <si>
    <t>В сентябре - октябре 2013 года Группа дополнительно приобрела 10,52% обыкновенных акций ОАО «НМТП» за 8 104 млн. рублей, в результате Группа увеличила эффективную долю в ОАО «НМТП» с 25,05% до 35,57%.</t>
  </si>
  <si>
    <t>В мае 2012 года Группа приобрела дополнительную долю в размере 49% в ОАО «ВОСТОКНЕФТЕТРАНС» за 3 600 млн. рублей. Доля была оплачена денежными средствами. В результате доля Группы в ОАО »ВОСТОКНЕФТЕТРАНС» увеличилась с 51% до 100%. Балансовая стоимость чистых активов в консолидированной финансовой отчетности Группы на дату приобретения составила 7 252 млн. рублей. Группа признала уменьшение доли неконтролирующих акционеров на 3 553 млн. рублей и уменьшение нераспределенной прибыли на 47 млн. рублей. В октябре 2013 года ОАО «ВОСТОКНЕФТЕТРАНС» было ликвидировано, а его имущество на момент ликвидации было передано компании Группы.</t>
  </si>
  <si>
    <t>В январе 2011 года совместно контролируемая Группой компания Omirico Ltd продала ОАО «Новороссийский морской торговый порт» (далее – НМТП) 100% долей в ООО «Приморский торговый порт» (далее – ПТП), за 2 153 млн. долл. США (64 406 млн. рублей по курсу Центрального банка Российской Федерации на дату сделки). Признанная Группой прибыль от этой сделки в сумме 29 034 млн. рублей отражена в отчете о совокупном доходе по строке «Доля в прибыли зависимых и совместно контролируемых компаний».</t>
  </si>
  <si>
    <t>ПАО "Транснефть" (Omirico Ltd)</t>
  </si>
  <si>
    <t>Одновременно Omirico Ltd опосредованно приобрела контрольный пакет акций (50,1%) НМТП. В результате данной сделки Группа получила эффективную долю владения в НМТП в размере 25,05%. По состоянию на 31 декабря 2012 года балансовая стоимость инвестиции Группы в НМТП составила 36 378 млн. рублей (по состоянию на 31 декабря 2011 года – 33 484 млн. рублей). Основным направлением деятельности НМТП и его дочерних обществ является оказание стивидорных и дополнительных услуг порта, а также обслуживание морских судов.</t>
  </si>
  <si>
    <t>На основании решения Наблюдательного совета от 24 сентября 2019 года Компания и Российская Федерация в лице Федерального агентства по управлению государственным имуществом заключили договор купли-продажи 100% акций Акционерного общества «Производственное объединение «Кристалл» (АО «ПО «Кристалл») за 1 886 млн рублей. Завершение сделки состоялось 3 октября 2019 года. АО «ПО «Кристалл» является головной компанией группы Кристалл. АО «ПО «Кристалл» было основано в городе Смоленске в 1963 году и является крупнейшим производителем бриллиантов в России и Европе. Целью приобретения группы Кристалл является интеграция производственных и сбытовых процессов гранильных площадок.
По состоянию на 31 декабря 2019 года, в силу наличия существенных признаков обесценения, Группа признала убыток от обесценения гудвила, возникшего в результате приобретения группы Кристалл. Убыток от обесценения гудвила в сумме 899 млн руб. отражен в составе «Прочих операционных расходов» в Консолидированном отчете о прибыли или убытке и прочем совокупном доходе за 2019 год. За период с даты приобретения до 31 декабря 2019 года доля приобретенной группы Кристалл в выручке Группы составила 1 576 млн руб., а в прибыли – 281 (убыток) млн руб. Если бы приобретение произошло 1 января 2019 года, то выручка Группы за 2019 год составила бы 230 371 млн руб., а прибыль за 2019 год составила бы 59 491 млн руб.</t>
  </si>
  <si>
    <t>19 июля 2018 года Компания подписала договор купли-продажи ценных бумаг на покупку 10% акций ПАО «АЛРОСА-Нюрба» за 12 000 млн руб. (80 000 обыкновенных акций). После совершения сделки доля Группы в ПАО «АЛРОСАНюрба» составила 97,5%.</t>
  </si>
  <si>
    <t>Diam</t>
  </si>
  <si>
    <t>В феврале 2015 года Группа продала долю в уставном капитале ООО «МАК-Банк» в размере 84,7 процента за общую сумму денежного вознаграждения в сумме 201 млн руб. В результате сделки Компания утратила контроль над финансовой и операционной деятельностью ООО «МАК-Банк».</t>
  </si>
  <si>
    <t>В июне 2014 года Группа продала 100% акций ЗАО «Иреляхнефть» за общую сумму денежного вознаграждения в размере 1 600 млн. руб.</t>
  </si>
  <si>
    <t>В марте 2012 года Группа и компании, аффилированные с ОАО «Банк ВТБ», досрочно расторгли соглашения о предоставленных опционах-пут и заключили договоры купли-продажи, в соответствии с которыми Группа совершила обратный выкуп 90 процентов акций ЗАО «Геотрансгаз» и 90 процентов долей в ООО «Уренгойская газовая компания» (далее – «газовые компании») за 30 145 млн. руб. (1 036 млн. долл. США), выплаченных денежными средствами. Также в марте 2012 года Группа приобрела дополнительные доли в размере 10 процентов уставного капитала газовых компаний у их миноритарных акционеров за 2 908 млн. руб. (100 млн. долл. США), выплаченных денежными средствами. В результате данных операций, которые рассматриваются как одна сделка, Группа приобрела 100 процентов уставного капитала и полный контроль над газовыми компаниями. Данные компании являются держателями лицензий на разработку нескольких газовых месторождений, расположенных в Тюменской области Российской Федерации (данные лицензии действуют до 2020 и 2024 гг. с возможностью их продления) и в настоящее время осуществляют строительство объектов производственной инфраструктуры на территориях, на которые распространяется действие лицензий.</t>
  </si>
  <si>
    <t>22 января 2013 года Группа приобрела у Правительства Республики Саха (Якутия) 51,0 процент акций ОАО «Нижне-Ленское» за 3 670 млн. руб., выплаченных денежными средствами. В результате данной операции Группа получила контроль над ОАО «Нижне-Ленское». Основными видами деятельности ОАО «Нижне-Ленское» являются разведка и добыча алмазов на россыпных месторождениях, а также реализация алмазов.</t>
  </si>
  <si>
    <t>5 июня 2013 года Группа приобрела дополнительную долю в размере 49,0 процентов уставного капитала ОАО «Нижне-Ленское» за 3 330 млн. руб., выплаченных денежными средствами. В результате сделки Группа приобрела 100,0 процентов уставного капитала в ОАО «Нижне-Ленское». ОАО «Нижне-Ленское» принесло Группе выручку от продаж в размере 4 131 млн. руб. и чистую прибыль в размере 602 млн. руб. за период с даты приобретения по 31 декабря 2013 года. На дату приобретения общая контрактная сумма дебиторской задолженности ОАО «Нижне-Ленское» была равна справедливой стоимости дебиторской задолженности, признанной в настоящей консолидированной финансовой отчетности.</t>
  </si>
  <si>
    <t>2 апреля 2013 года Группа и компания «Евраз пи-эл-си» подписали соглашение о продаже контрольного пакета акций в ОАО «ГМК Тимир» за общую сумму денежного вознаграждения в размере 4 950 млн. руб., которое будет выплачено несколькими частями в течение 16 месяцев после совершения сделки. По итогам сделки «Евраз пи-элси» приобрела 51,0 процент акций ОАО «ГМК Тимир», Группа владеет 49,0 процентов акций минус одна акция и Государственная корпорация «Банк развития и внешнеэкономической деятельности (Внешэкономбанк)» владеет одной акцией. В результате сделки Компания утратила контроль над финансовой и операционной деятельностью ОАО «ГМК Тимир». Как следствие, ОАО «ГМК Тимир» было деконсолидировано со 2 апреля 2013 года.
Вознаграждение к получению включает вознаграждение, подлежащее уплате продавцом денежными средствами, в размере 4 950 млн. руб., как описано выше (из которых 2 970 млн. руб. по состоянию на 31 декабря 2013 года еще не оплачено), а также непогашенные займы в размере 1 122 млн. руб., выданные Группой ОАО «ГМК Тимир» до утраты контроля. Вознаграждение к получению было уменьшено на сумму понесенных Группой затрат, связанных со сделкой, в размере 71 млн. руб. Оставшаяся доля владения Группы в ОАО «ГМК Тимир» в размере 49,0 процентов была отражена по справедливой стоимости как инвестиция в совместное предприятие.</t>
  </si>
  <si>
    <t>CHMK</t>
  </si>
  <si>
    <t>AMEZ</t>
  </si>
  <si>
    <t>Met-Trade</t>
  </si>
  <si>
    <t>SSM RP Holding B.V. и его дочернем предприятие "Северсталь-Метиз: сварочные материалы"</t>
  </si>
  <si>
    <t>Производство башен ветроэнергетических установок</t>
  </si>
  <si>
    <t>Redaelli Теcnа S.p.A.</t>
  </si>
  <si>
    <t>Приозводство высокотехнологичных специальных канатов</t>
  </si>
  <si>
    <t>В августе 2014 года Группа продала 100% долю в PBS Coals Ltd за 60 млн. долларов США. Совокупный чистый убыток от выбытия в сумме 174 млн. долларов США был признан в данной консолидированной финансовой отчетности, из которого 154 млн. долларов США было признано в июне 2014 года в качестве убытка от обесценения основных средств, и 20 млн. долларов США было признано в составе чистых прочих неоперационных расходов в результате выбытия. В июле 2015 года Группа получила условное возмещение в рамках продажи PBS Coals Ltd в размере 4 млн. долларов США после расчета с покупателем. В сентябре 2016 года Группа получила оставшуюся часть условного возмещения в размере 3 млн. долларов США в рамках итогового расчёта по продаже PBS Coals Ltd.</t>
  </si>
  <si>
    <t>В июле 2014 года Группа приобрела у третьей стороны 50% долю в Mountain State Carbon LLC за 30 млн. долларов США, увеличив свою долю владения до 100%. Вознаграждение, выплаченное Группой, также включало зачет векселя, полученного от этой же третьей стороны, с номинальной стоимостью 100 млн. долларов США и балансовой стоимостью ноль долларов США.</t>
  </si>
  <si>
    <t>В сентябре 2013 года Группа реализовала опцион на обратную продажу 12.8% доли в SPG Mineracao SA путем взаимозачета 801.5 млн. рублей отложенного вознаграждения к уплате. В результате Группа уменьшила свою долю владения с 25.0% до 12.2%. Кроме того, Группа расторгла договор опциона на покупку дополнительной 50.0% доли в этой компании.</t>
  </si>
  <si>
    <t>В сентябре 2014 года Группа продала 100% долю в Severstal Dearborn LLC и Severstal Columbus LLC, которые совместно с их дочерними предприятиями и инвестициями в совместные и ассоциированные предприятия входили в отчетный сегмент Северсталь Интернэшнл. Возмещение денежными средствами, которое получила Группа в рамках соответствующего соглашения о продаже, составило 77,280.3 млн. рублей после погашения внешних займов в сумме 14,636.9 млн. рублей. Совокупный чистый убыток от выбытия в сумме 13,448.7 млн. рублей был признан в данной консолидированной финансовой отчетности, из которого 30,667.7 млн. рублей по большей части было признано в качестве убытка от обесценения основных средств в июне 2014 года и включено в убыток от прекращенной деятельности, и чистый доход от выбытия в сумме 17,219.0 млн. рублей признан в результате выбытия в 2014 году.</t>
  </si>
  <si>
    <t>Severstal Dearborn LLC и Severstal Columbus LLC</t>
  </si>
  <si>
    <t>Сталелитейный комбинат</t>
  </si>
  <si>
    <t>В январе 2012 года Группа продала 21.7% долю в Intex Resources ASA за 607.3 млн. рублей.</t>
  </si>
  <si>
    <t>В январе 2012 года Группа приобрела дополнительную 15.8% долю в ОАО «Severstallat» за 236.8 млн. рублей, увеличив свою долю владения до 100%.</t>
  </si>
  <si>
    <t>В апреле 2012 года Группа приобрела дополнительную 38.5% долю в Severstal Liberia Iron Ore Ltd за 3,376.7 млн. рублей, увеличив свою долю владения до 100%</t>
  </si>
  <si>
    <t>В течение октября – декабря 2012 года Группа приобрела дополнительную 14.8% долю в ОАО «Воркутауголь» за 2,153.4 млн. рублей, увеличив свою долю владения до 99.0%.</t>
  </si>
  <si>
    <t xml:space="preserve">В марте 2011 года Группа приобрела 7.4% долю в Iron Mineral Beneficiation Senices (Proprietary) Ltd (IMBS) за 210.4 млн. рублей, увеличив свою долю владения до 33.0%. </t>
  </si>
  <si>
    <t>В мае 2011 года Группа приобрела 25.0% долю в SPG Mineracao SA за 1,375.4 млн. рублей, из которых 701.7 млн. рублей подлежат оплате в течение следующих трех лет. Группа также заключила договор опциона на покупку дополнительной 50% доли в компании, который может быть исполнен при выполнении определенных условий в будущем. SPG Mineracao SA владеет лицензиями на разведку ряда перспективных железорудных месторождений в северном штаге Амапа. Бразилия.</t>
  </si>
  <si>
    <t>В марте 2011 года Группа приобрела дополнительную 49.0% долю в ООО «Северсталь-Украина» за 85.3 млн. рублей, увеличив свою долю владения до 100%.</t>
  </si>
  <si>
    <t>В марте 2011 года Группа продала 100% долю в SSM RP Holding B.V. и его дочернем предприятии ООО «Северсталь-метиз: сварочные материалы» за 366.7 млн. рублей.</t>
  </si>
  <si>
    <t>В июле 2011 года Группа продала 91.6% долю в ОАО «Стальмаг» за 448 тыс. рублей.</t>
  </si>
  <si>
    <t>В январе 2011 года Группа приобрела дополнительную 6.6% долю в Crew Gold Corporation за 976.1 млн. рублей, увеличив свою долю владения до 100%.</t>
  </si>
  <si>
    <t>В августе 2011 года Группа приобрела дополнительную 2.4% долю в High River Gold Mines Ltd за 764.7 млн. рублей, увеличив свою долю владения до 75.1%.</t>
  </si>
  <si>
    <t>В феврале 2010 года Группа приобрела 26.6% долю в Grew Gold Corporation за 90.3 млн. долларов США. Crew Gold Corporation (CGC) - добывающая компания, базирующаяся в Лондоне. Великобритания. CGC владеет и разрабатывает золотодобывающие проекты в Гвинее. Западная Африка.</t>
  </si>
  <si>
    <t>В мае 2010 года Группа приобрела 16.5% долю в Core Mining Limited (“CML”) за 15.0 млн. долларов США. CML - частная компания, зарегистрированная на о.Мэн. имеющая проекты по разработке и добыче железорудного сырья в Центральной и Западной Африке, преимущественно в республике Конго (Браззавиль) и республике Габон.</t>
  </si>
  <si>
    <t>В июле 2010 года Группа приобрела дополнительную 13.8% долю Crew Gold Corporation за 84.5 млн. долларов США. увеличив свою долю владения до 40.4%.</t>
  </si>
  <si>
    <t>В сентябре 2010 года Группа приобрела 21.7% долю в Intex Resources ASA (“Intex Resources'*) за 13.0 млн. долларов США. Intex Resources - государственная добывающая и исследовательская компания, котирующаяся на Фондовой Бирже Осло, с главным офисом, расположенным в Осло. Норвегия. Основным активом Intex Resources ASA является Mindoro Nickel Project - крупное месторождение латерита никеля на Филиппинах. Кроме того. Intex Resources владеет двумя молибденовыми активами в Норвегии, а также активами в Маницоке. алмазной провинции в Гренландии.</t>
  </si>
  <si>
    <t>В течение 2010 года Группа приобрела 11% долю в Sacre-Coeur Minerals. Ltd. ("SCM”) за 6.2 млн. долларов США. увеличив свою долю владения до 18.1%. SCM занимается приобретением, исследованием и разработкой участков для потенциальной добычи золота и металлов в Южной Америке, преимущественно исследованием собственных золоторудных месторождений в Гаяне.</t>
  </si>
  <si>
    <t>В течение 2010 года. Группа приобрела 25.6% долю в Iron Mineral Beneficiation Sendees (Proprietary) Limited ("IMBS”) за 7.5 млн. долларов США. IMBS - исследовательская и разрабатывающая компания, расположенная в Йоханесбурге. Южная Африка. IMBS разработала основанную на угле технологию Finesmelt. способную перерабатывать непригодные для использования железорудные отходы и термический уголь в полноценные металлические продукты, схожие с DRI/HBI. В настоящее время IMBS впервые разрабатывает данный коммерческий проект в Фалаборве. Южная Африка.</t>
  </si>
  <si>
    <t>В январе 2008 года Группа приобрела 91.6% долю в ОАО “Стальмаг" за 17.6 млн. долларов США. ОАО “Стальмаг” - производитель феррониобия, продукция которого будет потребляться предприятиями Группы. Прибыль приобретенной компании с даты приобретения, включенная в финансовый результат Группы за 2008 год. а также выручка и прибыль приобретенной компании с начала отчетного периода до даты приобретения несущественны по отношению к показателям выручки и прибыли Группы за 2008 год.</t>
  </si>
  <si>
    <t>Золотодобывающая компания</t>
  </si>
  <si>
    <t>В июле 2010 года Группа приобрела 9.8 % долю в Crew Gold Corporation за 70.9 млн. долларов США. увеличив свою долю владения до 50.2%. Руководство еще не закончило оценку справедливой стоимости приобретенных активов и обязательств. Окончательное распределение стоимости приобретения, как ожидается, будет закончено в течение одного года с даты приобретения. Руководство еще не закончило оценку справедливой стоимости приобретенных активов и обязательств. Окончательное распределение стоимости приобретения, как ожидается, будет закончено в течение одного года с даты приобретения. Прибыль приобретенной компании с начала отчетного периода до даты приобретения составила 10.8 млн. долларов США. Выручка приобретенной компании с начала периода до даты приобретения составила 140.6 млн. долларов США. Прибыль компании с даты приобретения, включена в убытки Группы, и составила 8.9 млн. долларов США. Выручка компании с даты приобретения, включенная в выручку Группы за период, составила 98.6 млн. долларов США.</t>
  </si>
  <si>
    <t>Производство феррониобия</t>
  </si>
  <si>
    <t>Severstal Sparrows Point LLC</t>
  </si>
  <si>
    <t>В мае 2008 года Группа приобрела 100% долю в Severstal Sparrows Point LLC ("Sparrows Point") за 818 млн. долларов США. Стоимость приобретения была впоследствии скорректирована на 48 млн. долларов США и окончательно составила 770 млн. долларов США. Sparrows Point -интегрированная сталелитейная компания на Восточном побережье США. имеющая собственный порт и прямое сообщение с основными железнодорожными сетями Восточного побережья США. Убыток приобретенной компании с начала отчетного периода до даты приобретения несущественен по отношению к показателю прибыли Группы за 2008 год. Убыток приобретенной компании с даты приобретения, включенный в финансовый результат Группы за 2008 год, составляет 130.8 млн. долларов США. Выручка приобретенной компании с начала отчетного периода до даты приобретения составляет 766.1 млн. долларов США.</t>
  </si>
  <si>
    <t>Сталелитейная компания</t>
  </si>
  <si>
    <t>WCI Steel. Inc. (Severstal Warren Inc.)</t>
  </si>
  <si>
    <t>В июле 2008 года Группа приобрела 100% долю в WCI Steel. Inc. (переименована в Severstal Warren Inc.) за 443.1 млн. долларов США. WCI Steel Inc. имеет сталелитейный завод в городе Воррен. штат Огайо, и является интегрированным производителем плоского стального проката, включая высокоуглеродистую, легированную, высокопрочную и толстолистовую оцинкованную сталь.
Убыток приобретенной компании с начала отчетного периода до даты приобретения несущественен по отношению к показателю прибыли Группы за 2008 год. Убыток компании с даты приобретения, включенный в финансовый результат Группы за 2008 год. составляет 41.7 млн. долларов США. Кроме того, был отражен убыток от обесценения в размере 382.6 млн. долларов США, который был распределен на основные средства и гудвилл в размере 376.0 млн. долларов США и 6.6 млн. долларов США соответственно. Выручка приобретенной компании с начала отчетного периода до даты приобретения составляет 498.0 млн. долларов США.</t>
  </si>
  <si>
    <t>В июле 2008 года Группа приобрела 100% долю в Redaelli Tecna SpA. Примерная сумма сделки составила 35.0 млн. евро (54.8 млн. долларов США по обменному курсу на дату сделки). Redaelli Tecna SpA - производитель высококачественных канатов для подъемных механизмов, канатных дорог, транспортировочных средств, горнодобывающей и прочей промышленности. Прибыль приобретенной компании с даты приобретения, включенная в финансовый результат Группы за 2008 год, а также выручка и прибыль приобретенной компании с начала отчетного периода до даты приобретения несущественны по отношению к показателям выручки и прибыли Группы за 2008 год.</t>
  </si>
  <si>
    <t>Esmark (Severstal Wheeling Inc.)</t>
  </si>
  <si>
    <t>В августе 2008 года Группа приобрела 100.0% долю в Esmark (переименована в Severstal Wheeling Inc.) за 977.8 млн. долларов США. Esmark - производитель и дистрибьютор плоского проката и другой стальной продукции в США. Группа приобрела весь бизнес Esmark. включая оставшуюся 50% долю в совместном предприятии Mountain State Carbon. Прибыль приобретенной компании с начала отчетного периода до даты приобретения составляет 29.6 млн. долларов США. Прибыль приобретенной компании с даты приобретения, включенная в финансовый результат Группы за 2008 год. составляет 166.9 млн. долларов США. Кроме того, был отражен убыток от обесценения в размере 621.8 млн. долларов США. который был распределен на основные средства и Гудвилл в размере 557.4 млн. долларов США и 64.4 млн. долларов США соответственно. Выручка приобретенной компании с начала отчетного периода до даты ее приобретения составила 1.629.0 млн. долларов США.</t>
  </si>
  <si>
    <t>ТОО "Семгео"</t>
  </si>
  <si>
    <t>В августе 2008 года Группа приобрела 100% долю в ТОО "Семгео" - предприятии, ведущему добычу золота на месторождении "Балажал", расположенном в Восточном Казахстане, за 38.9 млн. долларов США. Руководство полагает, что справедливая стоимость приобретенных чистых идентифицируемых активов и обязательств существенно не отличается от их балансовой стоимости. Прибыль приобретенной компании с даты приобретения, включенная в финансовый результат Группы, а также выручка и прибыль компании с начала отчетного периода до даты приобретения несущественны по отношению к показателям выручки и прибыли Группы за 2008 год.</t>
  </si>
  <si>
    <t>В ноябре 2008 года Группа приобрела 100.0% долю в PBS Coals Ltd. угледобывающей компании, расположенной в США. за 876.8 млн. долларов США. Прибыль приобретенной компании с начала отчетного периода до даты приобретения составляет 8.4 млн. долларов США. Убытки компании с даты приобретения, включенные в финансовый результат Группы за 2008 год. составляют 4.1 млн. долларов США. Кроме того, был отражен убыток от обесценения в размере 361.1 млн. долларов США. который был полностью распределен на гудвилл. Выручка приобретенной компании с начала отчетного периода до даты ее приобретения составила 184.9 млн. долларов США.</t>
  </si>
  <si>
    <t>В ноябре 2008 года Группа приобрела 53.8% долю в River Gold Mines Ltd. за 62.5 млн. долларов США. High River - золотодобывающая компания, владеющая действующими месторождениями, а также находящимися на стадии разработки и разведки месторождениями в Буркина Фасо и России. Два действующий месторождения. Зун-Холба и Иракинда (ОАО “Бурятзолото"), расположены в районе озера Байкал в Российской Федерации. Два рудника. Taparko-Bouroum (Societe Des Mines de Taparko) в Буркина-Фасо и Березитовый (ООО "Березитовый Рудник") в Российской Федерации заработали на полную мощность в 2008 году. Убытки приобретенной компании с начала отчетного периода до даты приобретения составляют 38.9 млн. долларов США. Убытки компании с даты приобретения, включенные в финансовый результат Группы за 2008 год. составляют 5.8 млн. долларов США. Выручка приобретенной компании с начала отчетного периода до даты ее приобретения составила 177.0 млн. долларов США.</t>
  </si>
  <si>
    <t>Severstal Liberia Iron Ore Ltd (African Iron Ore Group Ltd)</t>
  </si>
  <si>
    <t>В декабре 2008 года Группа приобрела 61.5% долю African Iron Ore Group Ltd (переименована в Severstal Liberia Iron Ore Ltd) за 32.0 млн. долларов США. Severstal Liberia Iron Ore Ltd. занимается геологической съемкой и разведкой железорудных месторождений в Putu Range. Либерия. Руководство полагает, что справедливая стоимость приобретенных чистых идентифицируемых активов и обязательств существенно не отличается от их балансовой стоимости. Прибыль приобретенной компании с даты приобретения, включенная в финансовый результат Группы за 2008 год. а также выручка и прибыль приобретенной компании с начала отчетного периода до даты приобретения несущественны по отношению к показателям выручки и прибыли Группы за 2008 год.</t>
  </si>
  <si>
    <t>В январе 2008 года Группа завершила приобретение 100% доли в компании Baracom Limited за 84.4 млн. долларов США. Baracom Limited владеет 79.9% голосующих акций холдинговой компании, которая контролирует 74.2% доли в компании Severstal Columbus, LLC (бывший SeverCon. LLC). Severstal Columbus - завод, производящий высококачественную сталь для автомобильной, строительной, трубной и машиностроительной отраслей.</t>
  </si>
  <si>
    <t>В декабре 2008 года Группа завершила приобретение 100.0% доли в торговой компании ЗАО "Торговый Дом Северсталь-Инвест" за 27.4 млн. долларов США. ЗАО "Торговый Дом Северсталь-Инвест” контролирует 99.0% доли в ООО "Северная Стальная Компания”, 87.0% доли в ОАО “Ростовметалл" и 99.0% в ЗАО “ППТК-1”.</t>
  </si>
  <si>
    <t>В мае 2010 Группа продала Northern Steel Group, группу компаний в сегменте Severstal North America за 124.0 млн. долларов США.</t>
  </si>
  <si>
    <t>Northern Steel Group (Severstal North America)</t>
  </si>
  <si>
    <t>В июне 2010 Группа продала 50.8% долю в Lucchim S.p.A. за 1евро (1.2 доллара США по курсу на дату сделки). Группа продолжает консолидацию сегмента Луккини в связи с наличием опциона на покупку с правом использования в течение следующих пяти лет и положения договора, который дает Группе право на получение дохода от дальнейшей продажи этой доли третьей стороне. На дату сделки чистые активы сегмента Луккини были оценены по справедливой стоимости за вычетом затрат, связанных с продажей.</t>
  </si>
  <si>
    <t>В феврале 2008 года Группа продала третьей стороне 100% долю в ООО “Георесурс" за 100.000 рублей (4.0 тысячи долларов США по обменному курсу на дату продажи).</t>
  </si>
  <si>
    <t>В апреле 2008 года Группа продала 97.9%. 99.5% и 100% доли в ОАО "Шахта Березовская", ОАО "Шахта Первомайская" и ОАО "Жерновская-3", соответственно, компании ArcelorMittal за 652 млн. долларов США.</t>
  </si>
  <si>
    <t>В июне 2008 года Группа продала 100.0% и 40.0% доли в Relco Spzoo и Comipex Spzoo. соответственно, за 12 млн. евро (18 млн. долларов США по обменному курсу на дату' продажи).</t>
  </si>
  <si>
    <t>В декабре 2009 года доля Группы в High River Gold Mines Ltd уменьшилась с 61.7% до 50.1% в результате размещения 150 млн. акций третьей стороне по закрытой подписке, полученное вознаграждение составило 54.3 млн. долларов США.</t>
  </si>
  <si>
    <t>В декабре 2008 года Группа продала 59.4% долю в ОАО “Металлург-ремонт” компании, контролируемой Основным Акционером за 75.9 млн. рублей (2.7 млн. долларов США по обменному курсу на дату продажи).</t>
  </si>
  <si>
    <t>В августе 2008 года Группа приобрела дополнительные 4.1% в Columbus у бывшего руководства компании за 16 млн. долларов США.</t>
  </si>
  <si>
    <t>В апреле 2008 года Группа приобрела дополнительные 9.4% доли в Columbus у бывшего руководства компании и 34.6% доли в ОАО “Днепрометиз” у третьих сторон за 40 млн. долларов США.</t>
  </si>
  <si>
    <t>В августе-сентябре 2008 года Группа приобрела 0.9% долю в ОАО "Воркутауголь" за 5.3 млн. долларов США.</t>
  </si>
  <si>
    <t xml:space="preserve">В июне 2009 года Группа приобрела все акции нового выпуска High River Gold Mines, Ltd. что привело к увеличению доли на 3.5%. </t>
  </si>
  <si>
    <t>В августе 2009 года Группа приобрела дополнительные 4.5% в High River Gold Mines. Ltd у неконтролирующих акционеров за 8 млн. долларов США.</t>
  </si>
  <si>
    <t>В июне 2009 года Группа завершила приобретение 100% доли в Columbus, докупив оставшиеся 8.2% в компании у бывшего менеджмента за 14.9 млн. долларов США.</t>
  </si>
  <si>
    <t>В марте 2010 года Группа приобрела 20.2% долю в Lucchini S.p.A. у семейного бизнеса Луккини за 82.5 млн. евро (113.3 млн. долларов США по курсу на дату сделки). После приобретения доля Группы в капитале Lucchini S.p.A. составила 100%.</t>
  </si>
  <si>
    <t>В мае 2010 года Группа приобрела дополнительную 18.8% долю в High River Gold Mines. Ltd. за 107.3 млн. долларов США. увеличив свою долю владения до 68.9%.</t>
  </si>
  <si>
    <t>В августе 2010 Группа приобрела дополнительную долю в High River Gold Mines. Ltd. за 25.1 млн. долларов США посредством использования права варранта, принадлежащего Группе, тем самым увеличив долю владения до 70.4%.</t>
  </si>
  <si>
    <t>В сентябре 2010 года Группа приобрела дополнительную 43.2% долю в Crew Gold Corporation за 214.8 млн. долларов США. увеличив свою долю владения до 93.4%.</t>
  </si>
  <si>
    <t>В октябре 2010 года Группа приобрела дополнительную 2.3% долю в High River Gold Mines за 19.7 млн. долларов США. тем самым увеличив долю владения до 72.6%.</t>
  </si>
  <si>
    <t>В ноябре 2010 Группа продала 5.9% долю в компании ОАО Воркутауголь за 5.8 млн. долларов США.</t>
  </si>
  <si>
    <t>ЗАО "Торговый Дом Северсталь-Инвест"</t>
  </si>
  <si>
    <t>ООО “Георесурс"</t>
  </si>
  <si>
    <t>ОАО "Шахта Березовская", ОАО "Шахта Первомайская" и ОАО "Жерновская-3"</t>
  </si>
  <si>
    <t>ArcelorMittal</t>
  </si>
  <si>
    <t>Relco Spzoo и Comipex Spzoo</t>
  </si>
  <si>
    <t>ОАО “Металлург-ремонт”</t>
  </si>
  <si>
    <t>В январе 2008 года Группа завершила приобретение 100% доли в Celtic Resources Holdings Plc, докупив оставшуюся 13.7% долю в компании за 44 млн. долларов США. Celtic Resources Holdings Pic. - золотодобывающая компания, расположенная в Дублине, Ирландия. Celtic владеет и ведет добычу на нескольких месторождениях, включая Суздаль (JSK FIK Alel) и Жерек (Zlierek LLP), расположенных в Казахстане.</t>
  </si>
  <si>
    <t>Celtic Resources Holdings Plc</t>
  </si>
  <si>
    <t>Severstal Columbus LLC и ОАО “Днепрометиз”</t>
  </si>
  <si>
    <t>В 2021 году доля Группы в ООО «АККЕРМАНН ЦЕМЕНТ» была размыта до 17,9%. В ноябре 2021 года Группа продала связанной стороне 17,9% долю в капитале ООО «АККЕРМАНН ЦЕМЕНТ» за денежное вознаграждение в размере 5 710 млн руб. По состоянию на 31 декабря 2020 года Группа владела 19,9% долей в капитале ООО «АККЕРМАНН ЦЕМЕНТ». Группа определила справедливую стоимость на дату выбытия инвестиции равной денежному вознаграждению от продажи. ООО «АККЕРМАНН ЦЕМЕНТ» - производитель цемента, организован в форме общества с ограниченной ответственностью и не торгуется на фондовых рынках. Группа имела право требовать у общества погашения своей доли участия в денежной форме, поэтому инвестиция в ООО «АККЕРМАНН ЦЕМЕНТ» учитывается по справедливой стоимости через прибыль или убыток.</t>
  </si>
  <si>
    <t>Производство цемента</t>
  </si>
  <si>
    <t>В 2021 году доля Группы в АО «ХК «Удоканская медь» была размыта до 16,69%. В сентябре 2021 года Группа продала связанной стороне 16,69% акций АО «ХК «Удоканская медь» (за исключением 1 акции) за денежное вознаграждение в размере 22 824 млн руб. По состоянию на 31 декабря 2020 года Группа владела 17,54% акций «ХК «Удоканская медь». АО «ХК «Удоканская медь» - предприятие, занимающееся разработкой Удоканского месторождения меди в России. Акции АО «ХК «Удоканская медь» не торгуются на бирже.</t>
  </si>
  <si>
    <t>Добыча меди</t>
  </si>
  <si>
    <t>АДР ГМК «Норильский никель». На 31 декабря 2016 г. Группа владела 29 012 896 американскими депозитарными расписками (АДР), представляющими около 1,8% капитала ПАО «ГМК «Норильский Никель». В 2017 году Группа полностью продала свою долю в ПАО «ГМК «Норильский Никель» за 411 082 тыс. долл. США или 24 345 млн руб., что являлось рыночной стоимостью АДР на дату выбытия. Чистый доход от увеличения справедливой стоимости выбывших АДР с момента их приобретения в сумме 9 427 млн руб. был
перенесен из прочего совокупного дохода в прибыль или убыток и признан в статье «Прочие операционные доходы/(расходы), нетто».</t>
  </si>
  <si>
    <t>В 2016 году Группа продала 21 181 445 АДР за 341 688 тыс. долл. США или 21 986 млн руб., что являлось рыночной стоимостью АДР на дату выбытия. Чистый доход от увеличения справедливой стоимости выбывших АДР с момента их приобретения в сумме 11 373 млн руб. был перенесен из прочего совокупного дохода в прибыль или убыток и признан в статье «Прочие операционные доходы/(расходы), нетто».</t>
  </si>
  <si>
    <t>В 2017 г. Группа приобрела дополнительные акции Nautilus Minerals Inc. на сумму 5 293 тыс. долл. США или 307 млн руб. (2016 г.: 1 000 тыс. долл. США или 65 млн руб.). На 31 декабря 2017 г. Группе принадлежало примерно 18,5% акций Nautilus Minerals Inc. (31 декабря 2016 г.: 15%). Nautilus Minerals Inc. занимается разведкой и разработкой крупных месторождений сульфидов, содержащих большое количество меди и золота, в западной части Тихого океана. Предприятие зарегистрировано в Канаде, его акции котируются на Фондовой бирже Торонто (TSX).</t>
  </si>
  <si>
    <t>Nautilus Minerals Inc.</t>
  </si>
  <si>
    <t>Добыча сульфидов</t>
  </si>
  <si>
    <t>NUSMF</t>
  </si>
  <si>
    <t>В 2015 году Группа продала свою 33%-ную долю участия в УРМК, компании, зарегистрированной в Украине, третьим сторонам за вознаграждение 2 доллара США (что эквивалентно 139 руб.). Группа признала убыток от выбытия доли в размере 431 млн руб.</t>
  </si>
  <si>
    <t>УРМК</t>
  </si>
  <si>
    <t>В 2014 году Группа продала 28 926 816 АДР за 587 843 тыс. долл. США или 20 524 млн руб., что являлось рыночной стоимостью АДР на дату выбытия. Чистый доход от увеличения справедливой стоимости выбывших АДР с момента их приобретения в сумме 6 029 млн руб. был перенесен из прочего совокупного дохода в прибыль или убыток и признан в статье «Прочие операционные (расходы)/ доходы, нетто».</t>
  </si>
  <si>
    <t>Во второй половине 2021 года Группа приобрела на открытом рынке 1 326 400 шт. Обыкновенных акций Компании на общую сумму 23 511 тыс. руб. Указанные обыкновенные акции предоставляют права голоса в том же соотношении, что и прочие обыкновенные акции.</t>
  </si>
  <si>
    <t>В 2013 году собственные акции в количестве 8 882 571 штук, стоимостью 55 078 тыс. руб. были проданы за 32 527 тыс. руб.</t>
  </si>
  <si>
    <t>ПАО "Ижсталь"</t>
  </si>
  <si>
    <t>IGST</t>
  </si>
  <si>
    <t>В сентябре 2020 года Группа выкупила 10 804 058 обыкновенные акции за 870 млн руб. (80,57 руб. за акцию).</t>
  </si>
  <si>
    <t>MTLR</t>
  </si>
  <si>
    <t xml:space="preserve">В декабре 2019 года Группа приобрела 1 018 996 обыкновенных акций за 63 млн руб. </t>
  </si>
  <si>
    <t>22 декабря 2011 г. Группа приобрела 100% акций Daveze Ltd, владеющей 100% капитала Донецкого электрометаллургического завода (ДЭМЗ), расположенного в Донецке (Украина) металлургического предприятия, за денежное возмещение в размере 537 000 тыс. долл. США (17 058 млн руб. по обменному курсу на 22 декабря 2011 г.), которое должно выплачиваться ежемесячными долями в период с декабря 2011 года по декабрь 2018 года. Группа производила ежемесячные платежи и раскрыла их в консолидированном отчете о движении денежных средств в составе финансовой деятельности. В феврале 2019 года Группа полностью выплатила возмещение.</t>
  </si>
  <si>
    <t>Основным видом деятельности BWS Bewehrungsstahl GmBH является обрезка и переработка сталелитейной продукции. Cognor являлся владельцем 36% акций BWS Bewehrungsstahl GmBH до 15 декабря 2014 г. Акции BWS Bewehrungsstahl GmBH были проданы Группой третьим лицам за вознаграждение в размере 70 тыс. евро (5 млн руб. по курсу на 15 декабря 2014 г.)</t>
  </si>
  <si>
    <t>В декабре 2014 года Группа договорилась с третьим лицом о продаже 100% акций компаний BCG. Соглашение, имеющее обязательную силу, было заключено 12 февраля 2015 г. Общая сумма вознаграждения за продажу компаний BCG по соглашению о продаже акций формируется следующим образом: (1) немедленный платеж в денежной форме в размере 5 000 тыс. долл. США (330 млн руб. по курсу 66,0585 руб. за 1 долл. США на 12 февраля 2015 г.); (2) будущие платежи по уплате роялти за право на добычу и реализацию угля в размере 3,00 долл. США (198,2 руб. по курсу 66,0585 руб. за 1 долл. США на 12 февраля 2015 г.) за короткую тонну (максимальный размер выплаты – 150 000 тыс. долл. США (9 909 млн руб. по курсу 66,0585 руб. за 1 долл. США на 12 февраля 2015 г.)); (3) часть цены реализации в случае продажи в будущем компаний BCG и/или их активов в размере 12,5% или 10% от общей суммы вознаграждения, если сделка по их реализации будет совершена в течение, соответственно, пяти или десяти лет с момента продажи первоначальному покупателю. Группа определила справедливую стоимость будущих платежей по уплате роялти и части цены реализации, выплачиваемой в случае перепродажи компаний BCG в будущем, равной 0 руб. на дату продажи.
Условное вознаграждение в рамках сделки по приобретению компаний BCG в размере 29 936 тыс. долл. США (1 681 млн руб. по обменному курсу на 31 декабря 2015 г. и 1 977 млн руб. по обменному курсу 66,0585 руб. за 1 долл. США на 12 февраля 2015 г.), которое зависело от результатов дополнительного геологического исследования запасов ("Буровая программа"), было аннулировано в день передачи акций, т. е. 12 февраля 2015 г. Сумма расходов на консультационные услуги сторонних банков, понесенных Группой в связи с продажей, составила 3 415 тыс. долл. США (226 млн руб. по обменному курсу 66,0585 руб. за 1 долл. США на 12 февраля 2015 г.). Выбытие компаний BCG соответствует пересмотренной стратегии Группы, направленной на реструктуризацию ее активов и развитие ключевых видов деятельности.</t>
  </si>
  <si>
    <t xml:space="preserve">Mechel Targoviste S.A., Mechel Campia Turzii S.A., Ductil Steel S.A. и Laminorul S.A. </t>
  </si>
  <si>
    <t>25 сентября 2012 года Группа приобрела 100% доли участия в австрийском металлотрейдере, Cognor Stahlhandel GmbH (далее – "Cognor") за денежное вознаграждение в размере 29 056 тыс. долл. США. 100% доли участия в Cognor до приобретения выступали в качестве обеспечения по займу, выданному Группой связанным металлургическим заводам. Приобретение осуществлено в соответствии со стратегией Группы, направленной на расширение сбытовой сети и увеличение клиентской базы. Компания Cognor включена в состав металлургического сегмента деятельности Группы. Данное приобретение было отражено в учете по методу покупки. Результаты деятельности Cognor включены в консолидированную финансовую отчетность с даты установления контроля, т.е. с 25 сентября 2012 года.</t>
  </si>
  <si>
    <t>22 ноября 2012 года Группа приобрела 100% акций ООО "Ломпром Ростов" за денежное вознаграждение в размере 100 тыс. долл. США. ООО "Ломпром Ростов" (г. Шахты, Россия) занимается переработкой и хранением металлолома. До приобретения 100% доли участия в ООО "Ломпром Ростов" выступали в качестве обеспечения по займу, выданному Группой связанным металлургическим заводам. Данное приобретение соответствует программе Группы по сокращению расходов на производство металлопродукции, в особенности, расходов на плавильное производство. ООО "Ломпром Ростов", впоследствии переименованное в ООО "Мечел Втормет Ростов", включено в состав металлургического сегмента деятельности Группы. Данное приобретение было отражено в учете по методу покупки. Результаты деятельности ООО "Ломпром Ростов" включены в консолидированную финансовую отчетность с даты установления контроля, т.е. с 22 ноября 2012 года.</t>
  </si>
  <si>
    <t>13 декабря 2012 года Группа заключила с третьим лицом соглашение о продаже 100% долей участия ТЭЦ "Русе" за вознаграждение в размере 37 757 тыс. долл. США. Передача долей участия была завершена 5 июля 2013 года. Выбытие ТЭЦ "Русе" соответствует пересмотренной стратегии Группы, направленной на реструктуризацию ее активов и развитие ключевых видов деятельности. В предыдущие периоды операции Группы с ТЭЦ "Русе" (АО "Топлофикация-Русе") в основном представляли собой поставки угля для ТЭЦ "Русе", которые прекратились после выбытия предприятия. После завершения выбытия Группа прекратила существенное продолжающееся участие в деятельности ТЭЦ "Русе".</t>
  </si>
  <si>
    <t>18 июля 2013 года Группа заключила соглашение с третьим лицом о продаже 100% доли участия в Invicta Merchant Bar Limited (Invicta) за денежное вознаграждение в размере 1 668 тыс. долл. США. Передача долей участия была завершена на ту же дату. Выбытие Invicta соответствует пересмотренной стратегии Группы, направленной на реструктуризацию ее активов и развитие ключевых видов деятельности.</t>
  </si>
  <si>
    <t>ООО "Ломпром Ростов" (ООО "Мечел Втормет Ростов" )</t>
  </si>
  <si>
    <t>17 июля 2013 года Группа заключила с третьим лицом соглашение о продаже 100% доли участия в ООО "Ломпром Ростов" за вознаграждение в размере 517 тыс. долл. США. Передача долей участия была завершена на ту же дату. Выбытие ООО "Ломпром Ростов" соответствует пересмотренной стратегии Группы, направленной на реструктуризацию ее активов и развитие ключевых видов деятельности.</t>
  </si>
  <si>
    <t>10 июля 2013 года Группа заключила с третьим лицом соглашение о продаже 100% доли участия в ООО "Тихвинский ферросплавный завод" (ТФЗ), ТОО "Восход-Oriel" (Восход-Oriel), ТОО "Восход-Хром" (Восход-Хром) и ТОО "Восход Трейдинг" (Восход Трейдинг) за вознаграждение в сумме 425 000 тыс. долл. США. Передача долей участия была завершена 27 декабря 2013 года. На конец года сумма вознаграждения была получена в полном объеме, за вычетом налога на прибыль в сумме 1 000 тыс. долл. США, перечисленного продавцом в бюджет Республики Казахстан. 30 января 2014 года Группа получила от покупателя 15 096 тыс. долл. США в возмещение денежных средств, удерживаемых на банковских счетах выбывших компаний на дату выбытия, в качестве части вознаграждения по указанному соглашению. Дополнительные расходы по сделке представлены в основном расходами на консультационные услуги сторонних банков в сумме 8 738 тыс. долл. США. Выбытие ТФЗ, Восход-Oriel, Восход-Хром и Восход Трейдинг соответствует пересмотренной стратегии Группы, направленной на реструктуризацию ее активов и развитие ключевых видов деятельности.</t>
  </si>
  <si>
    <t>В период с 15 по 18 февраля 2013 года Группа продала 86,6% капитала Mechel Targoviste S.A., 86,6% капитала Mechel Campia Turzii S.A., 100% капитала Ductil Steel и 90,9% капитала Laminorul S.A. за номинальное вознаграждение в размере 230 румынских леев (0,1 тыс. долл. США по состоянию на дату договора), уплаченное в денежной форме. Данная сделка осуществлена в соответствии со стратегией Группы, нацеленной на развитие профильного бизнеса, в частности, укрепление позиции Группы как лидирующего производителя металлургического угля.</t>
  </si>
  <si>
    <t>В октябре 2012 года Группа приобрела 1,63% голосующих акций ОАО "Ижсталь" за вознаграждение в денежной форме в размере 595 тыс. долл. США.</t>
  </si>
  <si>
    <t>В марте 2012 года Группа приобрела 0,03% голосующих акций БМК за вознаграждение в денежной форме в размере 33 тыс. долл. США.</t>
  </si>
  <si>
    <t>В ноябре 2013 года Группа приобрела у Контролирующего акционера 1,31% в капитале ОАО "Мечел-Майнинг" за денежное вознаграждение в размере 57 986 тыс. долл. США. На 31 декабря 2014 года Группа владеет 99,999995% голосующих акций ОАО "Мечел-Майнинг".</t>
  </si>
  <si>
    <t>В период с августа по ноябрь 2013 года Группа приобрела у держателей неконтрольных долей участия 4,40% в капитале КГОК за денежное вознаграждение в размере 29 158 тыс. долл. США.</t>
  </si>
  <si>
    <t xml:space="preserve">В марте 2013 года Группа приобрела у держателей неконтрольных долей участия 0,21% в капитале ОАО "Разрез Томусинский" за вознаграждение в денежной форме в размере 33 тыс. долл. США. </t>
  </si>
  <si>
    <t>7 декабря 2012 года Группа выиграла аукцион на приобретение 74 195 обыкновенных акций (73,33% от общего количества обыкновенных акций или 55% от общего количества акций) ОАО "Ванинский морской торговый порт" ("Ванинский порт"), крупнейшего в Хабаровском крае морского порта, расположенного в Татарском проливе (Россия), за 15,5 млрд. руб. (501 444 тыс. долл. США по состоянию на дату аукциона). Группа заключила сделку с целью получения долгосрочного доступа к перевалочным мощностям крупнейшего в Хабаровском крае морского порта для обеспечения бесперебойных поставок угля крупнейшим покупателям Группы в странах Юго-Восточной Азии, объем которых будет возрастать по мере увеличения объемов угледобычи на Эльгинском
месторождении.
9 января 2013 года произошла передача акций Ванинского порта Группе, и Группа выплатила вознаграждение в денежной форме в размере 15,5 млрд. руб. (486 827 тыс. долл. США по среднему обменному курсу доллара США к российскому рублю за 2013 год). В тот же день 72 780 приобретенных акций были проданы нескольким иностранным инвесторам и связанной стороне ("Инвесторы"). Совокупное вознаграждение составило 15,2 млрд. руб. (477 408 тыс. долл. США по среднему обменному курсу доллара США к российскому рублю за 2013 год). Немедленная продажа большинства приобретенных на аукционе акций была главным образом обусловлена потребностью в значительных денежных средствах для оплаты стоимости контрольной доли участия. 28 января 2013
года Группа приобрела у миноритарного акционера еще 21 892 обыкновенные акции (21,64% от общего количества обыкновенных акций или 16,23% от общего количества акций) и 16 039 привилегированных акций (47,56% от общего количества привилегированных акций или 11,89% от общего количества акций) Ванинского порта. Совокупное вознаграждение за привилегированные акции составило 275 млн. руб. (8 635 тыс. долл. США по среднему обменному курсу доллара США к российскому рублю за 2013 год) и было уплачено в полном объеме. Сумма вознаграждения за обыкновенные акции составила 4,77 млрд. руб. (149 774 тыс. долл. США по среднему обменному курсу доллара США к российскому рублю за 2013 год) и была уплачена 23 октября 2013 года и включала выплату процентов на сумму 6 171 тыс. долл. США. В результате данных приобретений по состоянию на 28 января 2013 года Группа имела 23 307 обыкновенных и 16 039 привилегированных акций. Данные акции представляли собой 29,2%совокупного уставного капитала Ванинского порта или 23,04% от общего количества обыкновенных акций, что давало Группе возможность оказывать существенное влияние на операционную деятельность порта. Данное приобретение учитывалось по методу долевого участия и, в соответствии с ASC 810, было включено в состав долгосрочных инвестиций в связанные стороны с 28 января 2013 года по 23 октября 2013 года, когда 21 892 обыкновенные акции и 16 039 привилегированных акций были проданы третьи лицам за 5,04 млрд. руб. (158 427 тыс. долл. США). В течение указанного периода прибыль Группы по данной инвестиции составила 3 306 тыс. долл. США и была включена в балансовую стоимость инвестиции, учитываемой по методу долевого участия. Оставшиеся акции Ванинского порта были проданы третьим лицам и связанной стороне в июле 2013 года (810 обыкновенных акций или 0,60% от общего количества акций) и в декабре 2013 года (605 общих акций или 0,45% от общего количества акций) за
совокупное вознаграждение в размере 9 282 тыс. долл. США.</t>
  </si>
  <si>
    <t>7 декабря 2013 года Группа получила обязывающее предложение от третьего лица на покупку 100% акций Донецкого электрометаллургического завода (ДЭМЗ) за вознаграждение в размере 80 000 тыс. долл. США. На дату выбытия выплачивается 20 000 тыс. долл. США. Оставшиеся 60 000 тыс. долл. США выплачиваются в течение двух лег после даты выбытия в соответствии с соглашением о беспроцентном кредите. Последняя выплата осуществляется не позднее 31 декабря 2014 года. Покупатель возмещает продавцу расходы по финансированию операционной деятельности начиная с 1 января 2014 года. Передача акций требует разрешения со стороны регулирующих органов: ожидается, что передача будет завершена к 31 июля 2014 года. Выбытие ДЭМЗ соответствует пересмотренной стратегии Группы, направленной на реструктуризацию ее активов и развитие ключевых видов деятельности.
По состоянию на 31 декабря 2013 года непогашенный остаток ио кредитам, выданным Группой ДЭМЗ, составил 81 082 тыс. долл. США. Прочие внугршрупповые операции нс являлись существенными и. как ожидается, будут прекращены после выбытия компании. После завершения выбы тия Группа прекрати т сущест венное продолжающееся участие в деятельности ДЭМЗ.</t>
  </si>
  <si>
    <t>17 декабря 2007 года Группа приобрела 49% акций акционерного общества "ТоплофикацияРусе" (ТЭЦ "Русе") – электростанции, расположенной в г. Русе (Болгария), – за денежное вознаграждение в размере 73 539 тыс. долл. США. Приобретение 49% акций было учтено по методу долевого участия и включено в состав долгосрочных инвестиций в связанные стороны до 9 декабря 2010 года</t>
  </si>
  <si>
    <t>9 декабря 2010 года Группа приобрела оставшийся 51% обыкновенных акций ТЭЦ "Русе" за денежное вознаграждение в размере 71 932 тыс. долл. США. В результате Группа увеличила свою долю в уставном капитале ТЭЦ "Русе" с ранее принадлежавших ей 49% до 100%.</t>
  </si>
  <si>
    <t>18 июня 2010 года Группа приобрела 100% акций группы компаний Ramateks за денежное вознаграждение в размере 3 000 тыс. долл. США. В группу Ramateks входят два торговых предприятия, занимающихся реализацией преимущественно стальной продукции на территории Турции. Приобретение осуществлено в соответствии с программой Группы, нацеленной на расширение сбытовой сети и увеличение клиентской базы.</t>
  </si>
  <si>
    <t>25 февраля 2010 года Группа приобрела 100% акций Donau Commodities SRL, владеющей долей участия в Laminorul S.A. (сталепрокатном заводе, расположенном в городе Брэиле, Румыния) в размере 90,9%, за денежное вознаграждение в размере 8,7 млн. евро. Приобретение осуществлено в соответствии с программой Группы, нацеленной на расширение производства и реализации стальной продукции, в частности, в рамках сотрудничества с организациями строительной отрасли Румынии.</t>
  </si>
  <si>
    <t>В период с января по декабрь 2011 года Группа приобрела у третьих сторон 0,02% голосующих акций УК ЮК за 283 тыс. долл. США.</t>
  </si>
  <si>
    <t>В период с февраля по декабрь 2010 года Группа приобрела 0,71% голосующих акций УК ЮК за 16 505 тыс. долл. США.</t>
  </si>
  <si>
    <t>В период с июля по август 2012 года Группа приобрела у третьих сторон 0,03% голосующих акций ОАО "Разрез Томусинский" за 4 тыс. долл. США.</t>
  </si>
  <si>
    <t>ООО "Нерюнгрибанк" – коммерческий банк, расположенный в г. Нерюнгри (Республика Саха), который оказывает услуги местным клиентам. В период с января 2010 года по апрель 2010 года дочерним предприятиям Группы принадлежало 43,6% обыкновенных акций Нерюнгрибанка. 2 апреля 2010 года в дополнение к существующей доле Группа приобрела 40,58% и в течение периода с июня по декабрь 2010 года Группа приобрела 9,69% обыкновенных акций Нерюнгрибанка. 
28 декабря 2010 года Группа реализовала 93,06% обыкновенных акций Нерюнгрибанка третьей стороне и с этой даты Нерюнгрибанк больше не рассматривается в качестве связанной стороны Группы.</t>
  </si>
  <si>
    <t>ООО "Нерюнгрибанк"</t>
  </si>
  <si>
    <t>В январе 2009 года дочернее предприятие Группы, Oriel Resources Plc., приобрело оставшиеся 10% Delizia Finance Ltd. и Luckstone Corporation за 3 000 тыс. долл. США и 500 тыс. долл. США в денежной форме, соответственно, завершив тем самым процесс консолидации казахстанских активов.</t>
  </si>
  <si>
    <t>В период с сентября по октябрь 2009 года Группа приобрела 0,44% голосующих акций УК ЮК за 11 131 тыс. долл. США в денежной форме.</t>
  </si>
  <si>
    <t>В июне 2009 года Группа продала принадлежащую ей долю участия в ОАО "Углеметбанк" в размере 18,98% НПФ "Мечел Фонд" за денежные средства в сумме 2 343 тыс. долл. США, в результате чего НПФ "Мечел Фонд" увеличил долю своего участия в ОАО "Углеметбанк" до 97,87%.</t>
  </si>
  <si>
    <t>ОАО "Углеметбанк"</t>
  </si>
  <si>
    <t>НПФ "Мечел Фонд"</t>
  </si>
  <si>
    <t>В январе-феврале 2012 года ОАО ХК "Якутуголь" победило на аукционе, который проводило Федеральное агентство по недропользованию (Роснедра), на право разработки железорудного месторождений Сутамского и Сиваглинского месторождений. ОАО ХК "Якутуголь" заплатило за лицензию на право разработки месторождений денежные средства в размере 91 млн. руб. (2 826 тыс. долл. США) и 140 млн. руб. (4 354 тыс. долл. США), соответственно. Данные месторождения расположены в Республике Саха (Якутия).  На 31 декабря 2011 года единовременный платеж в размере 7 180 тыс. долл. США за участие в аукционе был отражен в составе прочих внеоборотных активов. Группа официально получила лицензию на разработку Сиваглинского месторождения железной руды 29 февраля 2012 года и на разработку Сутамского месторождения железной руды 5 марта 2012 года.</t>
  </si>
  <si>
    <t>Лицензия на разработку Сутамского железорудного месторождения</t>
  </si>
  <si>
    <t>Лицензия на разработку Сиваглинского железорудного месторождения</t>
  </si>
  <si>
    <t>В период с января по июнь 2011 года Группа приобрела у третьих сторон 0,02% голосующих акций УК ЮК за вознаграждение в денежной форме в размере 283 тыс. долл. США.</t>
  </si>
  <si>
    <t>26 сентября 2008 года Группа приобрела долю участия в размере 100% в HBL Holding GmbH ("HBL") за вознаграждение в размере 55 855 тыс. долл. США. из которых 47 468 тыс. долл. США были выплачены в денежной форме в 2008 году и 8 387 тыс. долл. США - в 2009 году. HBL объединяет двенадцать компаний сферы обслуживания и торговли в Германии. Приобретение осуществлено в соответствии с программой Группы, нацеленной на расширение сбытовой сети, усовершенствование и расширение ассортимента услуг, а также увеличение клиентской базы. HBL входит в состав металлургического сегмента деятельности Группы.</t>
  </si>
  <si>
    <t>8 апреля 2008 года Группа приобрела 100% акций компании Ductil Steel S.A. ("Ductil Steel"), расположенной в Румынии, за 224 003 тыс. долл. США в денежной форме, из которых 23 592 тыс. долл. США были выплачены в качестве предоплаты в 2007 году. Ductil Steel является одним из крупнейших румынских производителей проволоки и метизов. Ее основные активы представлены двумя производственными предприятиями: завод Otelu Rosu, занимающийся производством болванок, которые используются в качестве сырья на заводе Buzau (втором производственном предприятии). Ductil Steel входит в состав металлургического сегмента деятельности Группы.</t>
  </si>
  <si>
    <t>26 марта 2008 года Группа заключила публичную оферт}* на приобретение всех выпущенных акций Oriel Resources Pic. ("Oriel"). Оферта распространялась на любые акции Oriel, выпущенные или безусловно распределенные и полностью оплаченные в течение срока, когда оферта была открыта для акцепта, включая акции, выпущенные в соответствии с исполнением опционов, предоставленных по схеме опционов на акции Oriel, исполнением варрантов Oriel или иным образом. Оферта была сделана исходя из цены 2,1986 долл. США в денежной форме за каждую акцию Oriel. По оценке в рамках оферты полная стоимость выпушенных и подлежащих к выпуску акций Oriel приблизительно составила 1,5 млрд. долл. США. Выплата ОАО "Мечел" вознаграждения Oriel в денежной форме осуществлялась за счет кредита в размере 1,5 млрд. долл. США. предоставленного Royal Bank of Scotland и Merrill Lynch для целей данной оферты (далее по тексту - "кредит компании Oriel"). В период с 17 апреля по 30 июня 2008 года Группа приобрела 99,74% акций Oriel за 1 461 716 тыс. долл. США в денежной форме, включая агентское вознаграждение в размере 2 487 тыс. долл. США и расходы в связи с аннулированием варрантов в размере 812 тыс. долл. США. С июля по октябрь 2008 года Группа приобрела оставшиеся 0,26% акций Oriel за вознаграждение в размере 5 798 тыс. долл. США в денежной форме, в результате чего за 100% акций Oriel было выплачено 1 467 514 тыс. долл. США. Oriel Resources Pic. находится в Лондоне и занимается добычей и переработкой хрома и никеля, осуществляя свою деятельность преимущественно в Казахстане и России. Текущие проекты Oriel включают в себя проекты по добыче хрома и никеля на расположенных на северо-западе Казахстана месторождениях "Восход" и "Шевченко", соответственно. Вертикально-интегрированный "Тихвинский феррохромный завод" в России тесно связан с разработкой месторождения "Восход". Завод начал свое производство в апреле 2007 года. Срок действия текущей лицензии Oriel на добычу хрома и никеля истекает в 2029 и 2017 годах, соответственно. На основании имеющейся программы добычи Группа ожидает, что запасы хрома истощатся до окончания срока действия лицензии. Соответственно, стоимость лицензий на добычу хрома амортизируется пропорционально объему добычи в течение периода до окончания срока истощения расчетных доказанных и вероятных запасов. Стоимость лицензий на добычу никеля не амортизируется, пока проект находится на стадии геологоразведки.</t>
  </si>
  <si>
    <t>В апреле-мае 2008 года Группа приобрела 4.15% обыкновенных акций ЮУНК за 31 780 тыс. долл. США в денежной форме. Приобретение привело к возникновению гудвила в размере 4 532 тыс. долл. США.</t>
  </si>
  <si>
    <t>В период с апреля по август 2008 года Группа приобрела 0,39% голосующих акций ЧМК за 4 661 тыс. долл. США в денежной форме. Приобретение неконтрольной доли участия в ЧМК было учтено по методу покупки и включено в консолидированную финансовую отчетность за 2008 год.</t>
  </si>
  <si>
    <t>ОАО "Кузбассэнергосбыт"</t>
  </si>
  <si>
    <t>Электроэнергетика (C,sn)</t>
  </si>
  <si>
    <t>ПАО "Мечел" (ОПО "ХК "Якуьуголь")</t>
  </si>
  <si>
    <t>iznm</t>
  </si>
  <si>
    <t>Услуги логистики</t>
  </si>
  <si>
    <t>ПАО "Челябинский трубопрокатный завод"</t>
  </si>
  <si>
    <t>В июле 2019 года заключена сделка по приобретению ПАО «ЧЦЗ» акций АО «Сибирь-Полиметаллы» в количестве 3 469 штук на сумму 1 202 347 тыс. руб. Срок погашения обязательств до конца 2019 года. В результате данной сделки доля контроля ПАО «ЧЦЗ» над АО «Сибирь-Полиметаллы» увеличится до 92%.</t>
  </si>
  <si>
    <t>18 июня 2018 года Группа получила контроль над АО «Сибирь-Полиметаллы» посредством приобретения 61% акций и прав голоса в данной компании. АО «Сибирь-Полиметаллы» ведет разработку и добычу полиметаллических руд на крупных месторождениях в Алтайском крае.</t>
  </si>
  <si>
    <t>В течение I полугодия 2019 года Группа увеличила свою долю до 88%. 4 марта 2019 года общим собранием акционеров АО «Сибирь-Полиметаллы» было принято решение об увеличении уставного капитала общества путем размещения 5 769 дополнительных обыкновенных именных документарных акций общества общей стоимостью 2 000 112 тыс. руб. 23 Апреля 2019 года был заключен договор между ПАО «ЧЦЗ» и АО «Сибирь-Полиметаллы» о приобретении дополнительно размещенных обыкновенных именных документарных акций АО «Сибирь-Полиметаллы» в количестве 2 300 штук на сумму 797 410 тыс. руб. В течение года ПАО «ЧЦЗ» планирует выкупить оставшиеся дополнительно размещенные акции АО «СибирьПолиметаллы».</t>
  </si>
  <si>
    <t>В декабре 2014 года Группа подписала соглашение о финансировании с АО «СибирьПолиметаллы» и выплатила денежные средства в размере 3 400 000 тыс. рублей в качестве аванса, выданного на приобретение бизнеса. Предметом соглашения о финансировании являлся комплекс мероприятий, направленных на законное приобретение Группой права пользования участком недр Корбалихинское в Алтайском крае. Корбалихинский рудник является одним из крупнейших месторождений полиметаллических руд на территории Российской Федерации. Общие запасы оцениваются в 26 млн. тонн руды с высоким содержанием цинка, а также меди, свинца, золота и серебра. В настоящее время на месторождении ведется добыча и продолжается его дальнейшая разработка, после выхода на промышленную мощность добыча может составить до 1 млн. тонн руды в год. Для осуществления финансирования строительства объектов Корбалихинского рудника в мае 2015 года Группа подписала договор займа, согласно которому Группа обязалась предоставить займ АО «Сибирь-Полиметаллы». Сумма займа эквивалентна согласованным сторонами сделки финансируемым капитальным вложениям. Следуя условиям соглашения о финансировании, в июне 2015 года Группа заключила договор на покупку 100% акций АО «Корбалихинский рудник». В соответствии с условиями договора на покупку акций, права собственности на акции переходят Группе после осуществления отлагательных условий. Договор был пролонгирован до 30 декабря 2017 года и 15 декабря 2017 года сторонами было подписано дополнительное соглашение, отменяющее отлагательные условия, указанные в договоре. 26 декабря 2017 года был зарегистрирован переход прав собственности на 100% акций АО «Корбалихинский рудник» к ПАО «ЧЦЗ». Согласно плану реорганизации, 18 июня года АО «Корбалихинский рудник» было реорганизовано в форме присоединения к АО «СибирьПолиметаллы». В результате реорганизации АО «Сибирь-Полиметаллы» совершило дополнительную эмиссию акций, права собственности на которые перешли к ПАО «ЧЦЗ». Таким образом, 18 июня 2018 года Группа получила контроль над АО «СибирьПолиметаллы» посредством приобретения 61% акций и прав голоса в данной компании. АО «Сибирь-Полиметаллы» ведет разработку и добычу полиметаллических руд на крупных месторождениях в Алтайском крае.</t>
  </si>
  <si>
    <t>В мае 2018 года Группа продала 100% долей участия в дочерней компании Brock Metal, расположенной в Великобритании. Доли в компании не были классифицированы как предназначенное для продажи по состоянию на 31 декабря 2017 года; сравнительные
показатели консолидированного сокращенного отчета о прибыли или убытке и прочем совокупном доходе были пересчитаны, для того чтобы представить прекращенную деятельность отдельно от продолжающейся деятельности.</t>
  </si>
  <si>
    <t>CHZN</t>
  </si>
  <si>
    <t>Met-Zinc</t>
  </si>
  <si>
    <t xml:space="preserve">3 февраля 2015 года компания Ю СИ ПИ Ресорсиз Лимитед приобрела 2 455 476 обыкновенных акций ОАО «ЧЦЗ» и по состоянию на 3 февраля 2015 года владела 14 607 635 обыкновенными акциями ОАО «ЧЦЗ», что составляет 26,95% от уставного капитала ОАО «ЧЦЗ». Покупка акций происходила на свободном рынке, в связи с этим доля основного акционера ОАО «ЧЦЗ» (NF Holdings B.V.) не изменилась. </t>
  </si>
  <si>
    <t>3 февраля 2014 года компания Ю СИ ПИ Ресорсиз Лимитед приобрела 8 379 789 обыкновенных акций ОАО «ЧЦЗ», что составляет 15,46% от уставного капитала ОАО «ЧЦЗ». Покупка акций происходила на свободном рынке, в связи с этим доля основного акционера ОАО «ЧЦЗ» (NF Holdings B.V.) не изменилась.</t>
  </si>
  <si>
    <t>27 февраля 2014 года компания АТОНЛАЙН ЛИМИТЕД приобрела 5 962 129 обыкновенных акций ОАО «ЧЦЗ», что составляет 11% уставного капитала ОАО «ЧЦЗ». Покупка акций компанией АТОНЛАЙН ЛИМИТЕД происходила на свободном рынке, доля основного акционера ОАО «ЧЦЗ» (NF Holdings B.V.) не изменилась.</t>
  </si>
  <si>
    <t xml:space="preserve">29 июня 2007 г. Группа приобрела 100 % акционерного капитала компании Pimco 2620 Limited (впоследствии переименованной в «Брок Метал Лимитед»), которая занимается производством и продажей продукции из цинка и сплавов цинка, за денежное вознаграждение в размере 460 983 млн. руб. За период с даты приобретения по 31 декабря 2007 г. приобретенная компания принесла Группе выручку в размере 919 275 тыс. руб. и прибыль в размере 20 885 тыс. руб. Если бы приобретение состоялось 1 января 2007 года, выручка и чистая прибыль за год, закончившийся 31 декабря 2007 г., составили бы 17 281 млн. руб. и 2 020 млн. руб., соответственно. </t>
  </si>
  <si>
    <t>Brock Metal (Pimco 2620 Limited )</t>
  </si>
  <si>
    <t>В марте-апреле 2006 г. Компания выкупила 7 268 собственных обыкновенных акций по цене 3 000 рублей за акцию, что составляет 1,14 % уставного капитала на общую сумму 21,8 млн. руб. В июне 2006 г. они были проданы за 25,4 млн. руб.</t>
  </si>
  <si>
    <t>10 апреля 2006 г. Группа приобрела 51 % акций «Нова Трейдинг энд Коммерс АГ» (в ноябре 2006 г. переименована в «Нова Холдинг АГ»), компании, которая владеет и управляет свинцово-цинковым карьером в Республике Казахстан, за денежное вознаграждение в размере 86,5 млн. долл. США (2 404 млн. руб.). 31 мая 2006 г. Группа перечислила денежные средства в размере 50 млн. долл. США (1 349 млн. руб.) на приобретение оставшегося пакета из 49 % акций «Нова Трейдинг энд Коммерс АГ».
Передача права собственности на эти акции состоялась 10 августа 2006 г. За период с даты приобретения по 31 декабря 2006 г. доля приобретенной дочерней компании в выручке Группы составила 1 434 004 тыс. руб., а в чистой прибыли – 298 881 тыс. руб. Если бы приобретение состоялось 1 января 2006 г., то консолидированная выручка и консолидированная прибыль Группы за 2006 г. составила бы 15 277 млн. руб. и 2 800 млн. руб., соответственно.</t>
  </si>
  <si>
    <t>Германия (Казахстан)</t>
  </si>
  <si>
    <t>В ноябре 2006 г. путем открытой подписки Компания дополнительно разместила 325 173 обыкновенные именные акции на общую сумму 1 324 млн. руб. по цене около 4,1 тыс. руб. (167,5 долларов США) за штуку, за вычетом расходов по сделке в сумме 126,3 млн. руб. В октябре-ноябре 2006 г. в рамках проведения первичного размещения акций Компанией и ее основным акционером НФ Холдингс БВ было предложено к приобретению на территории Российской Федерации и за ее пределами 2 257 173 акций Компании или 41,65% уставного капитала. Компания предложила к размещению 325 173 новых акций, а НФ Холдингс БВ предложил 1 932 000 акций из своего пакета. На российском рынке размещение происходило через Российскую Торговую Систему (“РТС”). На РТС было размещено 983 581 акций (43,6% от общего числа предложенных к размещению), которые включали 325 173 акций, размещаемых Компанией, и 658 408 акций, размещаемых НФ Холдингс БВ. Предложение 1 273 592 акций на Лондонской фондовой бирже осуществляла НФ Холдингс БВ. Акции Компании были реализованы на РТС по цене около 4,1 тыс. руб. (167,5 долларов США) за акцию. Размещение акций на Лондонской фондовой бирже было осуществлено путем реализации глобальных депозитарных расписок (ГДР) в соотношении десять ГДР за одну акцию, цена десяти ГДР также составляла 4,1 тыс. руб. (167,5 долларов США).</t>
  </si>
  <si>
    <t>ПАО "Трубная Металлургическая Компания"</t>
  </si>
  <si>
    <t>В мае 2019 года Группа выкупила собственные акции в количестве 20,412 штук по цене 114.42 российских рубля за акцию на общую сумму 2.</t>
  </si>
  <si>
    <t>В октябре 2018 года Группа продала 2,850,000 штук собственных акций лицу, обладающему конечным контролем над Группой, за вознаграждение в сумме 325.</t>
  </si>
  <si>
    <t>В 2017 году Группа реализовала свою долю в дочерней компании ЗАО «Логистик Северо-Запад» (операционный сегмент "Трубный дивизион")</t>
  </si>
  <si>
    <t>В апреле 2017 года Компания выкупила собственных акций в количестве 971,306 штук у миноритарных акционеров по фиксированной цене 142.65 российских рублей за акцию на общую сумму 138. Миноритарные акционеры воспользовались своим правом в соответствии с российским законодательством, позволяющим им продавать акции Компании после внеочередного общего собрания акционеров, на которое был вынесен вопрос о привлечении существенного финансирования.</t>
  </si>
  <si>
    <t xml:space="preserve">В сентябре 2017 года Компания также выкупила собственных акций в количестве 8,967,871 штуки по цене 132.68 российских рублей за акцию на общую сумму 1,190 </t>
  </si>
  <si>
    <t>В сентябре 2016 года Компания выкупила 3,280,819 штук собственных акций у миноритарных акционеров по фиксированной цене 138 российских рублей за акцию на общую сумму 453. Миноритарные акционеры воспользовались своим правом в соответствии с российским законодательством, позволяющим им продавать акции Компании после внеочередного общего собрания акционеров, на которое был вынесен вопрос о привлечении существенного финансирования.</t>
  </si>
  <si>
    <t>В феврале и марте 2017 года Группа приобрела 12.53% уставного капитала ОАО «Ижнефтемаш» у третьих сторон за денежное вознаграждение в размере 188, тем самым увеличив эффективную долю владения в дочерней компании до 74.99%.</t>
  </si>
  <si>
    <t>В сентябре 2015 года Группа продала 6,695,218 собственных акций третьей стороне за вознаграждение в сумме 306,097.</t>
  </si>
  <si>
    <t>В апреле 2015 года Компания выкупила 750,952 собственных акций у миноритарных акционеров по фиксированной цене 44.98 российских рублей за акцию на общую сумму 33,778. Миноритарные акционеры воспользовались своим правом в соответствии с российским законодательством, позволяющим им продавать акции Компании после внеочередного общего собрания акционеров, на которое был вынесен вопрос о привлечении существенного финансирования.</t>
  </si>
  <si>
    <t>В марте 2013 года Группа завершила продажу третьей стороне контрольного пакета акций убыточной дочерней компании операционного сегмента «Трубный дивизион» - ОАО «База материально-технического снабжения».</t>
  </si>
  <si>
    <t>В июле и декабре 2013 года Группа завершила продажу третьим сторонам контрольного пакета акций убыточных дочерних компаний операционного сегмента «Нефтесервисный дивизион», а именно: ООО «МСА-КТС», ООО «Юганск-АЛНАС-Сервис».</t>
  </si>
  <si>
    <t>В апреле и мае 2014 года Компания выкупила 1,098,151 собственных акций у миноритарных акционеров по фиксированной цене 45.19 российских рублей за акцию на общую сумму 49,625. Миноритарные акционеры воспользовались своим правом в соответствии с российским законодательством, позволяющим им продавать акции Компании после внеочередного общего собрания акционеров, на которое был вынесен вопрос о привлечении существенного финансирования.</t>
  </si>
  <si>
    <t xml:space="preserve">В феврале и июне 2012 года Группа завершила продажу третьим сторонам контрольных пакетов акций нескольких убыточных дочерних компаний ЗАО «РИМЕРА», а именно: ООО «Альметьевск-Алнас-Сервис», ООО «Алнас-Электроника», ООО «Таймырская буровая компания». </t>
  </si>
  <si>
    <t>В мае и декабре 2011 года Группа завершила продажу связанным и третьим сторонам контрольных пакетов акций нескольких убыточных дочерних компаний ЗАО «РИМЕРА»: ООО «Усинск-Алнас-Сервис», ООО «Алнас-К», ООО «Армада», ЗАО «Няганьнефтемаш».</t>
  </si>
  <si>
    <t>В первом квартале 2013 года Компания выкупила 5,545,470 собственных акций у миноритарных акционеров по фиксированной цене 44.9 российских рублей за акцию на общую сумму 248,992. Миноритарные акционеры воспользовались своим правом в соответствии с российским законодательством, позволяющим им продавать акции Компании после внеочередного общего собрания акционеров, на которое был вынесен вопрос о привлечении существенного финансирования.</t>
  </si>
  <si>
    <t>24 июня 2011 Группа приобрела 100% уставного капитала компании ООО «Ноябрьская центральная трубная база» у третьей стороны за денежное вознаграждение в размере 749,790, выплаченное денежными средствами. ООО «Ноябрьская центральная трубная база» выполняет сервисное обслуживание насосно-компрессорных труб и насосных штанг, оказывает услуги по предоставлению насосно-компрессорных труб для проведения технологических операций, а также сопутствующие погрузочно-разгрузочные работы и хранение. Оплата была полностью произведена в отчетном периоде. Группа завершила процесс определения справедливой стоимости приобретенных активов и обязательств. Ниже представлено распределение стоимости приобретения на основе справедливой стоимости.Руководство считает, что приобретение ООО «Ноябрьская центральная трубная база» позволит получить доступ к технологической и организационной информации, расширить интеграцию с существующей деятельностью через увеличение продаж, провести совместные научно-исследовательские разработки и поможет основать крепкую базу для предоставления полного комплекта услуг нефтепромысловым сервисным сегментом.</t>
  </si>
  <si>
    <t>24 января 2011 года Группа приобрела 88.86% уставного капитала ООО «Ижнефтемаш-101» и 50.48% уставного капитал компании ЗАО «Компания Ижнефтемаш» у третьей стороны, а также увеличила свою долю в ассоциированных компаниях: ООО «Регион-металл», ООО «Ижнефтемашэнергоснаб», ООО «Торговый дом «Ижнефтемаш». В результате чего ассоциированные компании приобрели статус дочерних. ООО «Регион-металл», ООО «Торговый дом «Ижнефтемаш», ООО «Торговый дом Нефтяное оборудование», ООО «Ижнефтемаш-инструмент», ООО «Ресконт» и ООО «Нефтепроммаркет» были присоединены к ООО «Ижнефтемашэнергоснаб».
Стоимость приобретения включает в себя прощение ранее выданного займа на сумму 166,251, а также справедливую стоимость доли, которой ранее владела Группа на сумму 659,898, за вычетом отложенных налогов на сумму 105,209 и неконтрольной доли владения на сумму 275,015.</t>
  </si>
  <si>
    <t>31 мая 2010 года Группа приобрела у связанной стороны 100% акций СОТ, компании производящей отводы трубопроводов, и МЗМЗ, компании производящей колени малого радиуса, за денежное вознаграждение в размере 6,163,119 тыс. руб. Оплата была полностью произведена в 2010 году. 30 июня 2011 Группа закончила оценку справедливой стоимости активов и обязательств.</t>
  </si>
  <si>
    <t>25 августа 2010 года Группа приобрела 100% акций МСА и ее дочерних компаний, занимающихся производством клапанов, за денежное вознаграждение в сумме 1,751,364 тыс. руб. Оплата была полностью произведена в 2010 году. Группа завершила процесс определения справедливой стоимости приобретенных активов и обязательств и скорректировала ретроспективно сравнительные данные за 2010 год, уменьшив справедливую стоимость основных средств на дату приобретения на 443,267 тыс. руб. (соответственно чистые отложенные налоговые обязательства уменьшились на 99,055 тыс. руб.), увеличив гудвил на 422,285 тыс. руб. и амортизационные отчисления за второе полугодие 2010 года на 3,540 тыс. руб.</t>
  </si>
  <si>
    <t>MSA a.s.</t>
  </si>
  <si>
    <t>РФ/Чехия</t>
  </si>
  <si>
    <t xml:space="preserve">В 2011 году Группа дополнительно приобрела у третьих сторон 15,263,051 собственных акций за вознаграждение в сумме 1,859,619. </t>
  </si>
  <si>
    <t>В декабре 2011 Группа также приобрела 112,805,031 собственных акций за вознаграждение в сумме 13,189,653 у своей материнской компании Mountrise Limited.</t>
  </si>
  <si>
    <t>Mountrise Limited</t>
  </si>
  <si>
    <t>В течение 2010 года Группа прекратила свои исследовательские буровые операции, что привело к продаже 30 декабря 2010 года 100% ОАО «РОСНефтегазгеология» («РНГГ»), 100% ЗАО «Таймырнефтеразведка» и 82.86% ООО «ТаймырТрансГруз» третьим сторонам за вознаграждение в размере 100 тыс. руб. В результате выбытия РНГГ, Группа обесценила торговую и прочую дебиторскую задолженность в размере 181,799 тыс. руб. и займы выданные в размере 439,916 тыс. руб. от РНГГ, которые ранее исключались в процессе консолидации. Это привело к образованию убытка от выбытия.</t>
  </si>
  <si>
    <t>В апреле 2010 года Группа продала 100% акций Алнас+ третьей стороне за денежное вознаграждение в размере 10 тыс. руб.</t>
  </si>
  <si>
    <t>bunz</t>
  </si>
  <si>
    <t>В 2008 году Группа продала 24,172,111 собственных акций третьей стороне за вознаграждение в сумме 2,426,390 тыс. руб. Согласно условиям продажи срок погашения дебиторской задолженности от третьей стороны был установлен до 20 февраля 2010 года. В феврале 2010 года третья сторона нарушила условия контракта, не заплатив в установленный срок. После этого Группа начала процесс возврата акций в собственность. По состоянию на 31 декабря 2010 года Группе от третьей стороны было возвращено право собственности на 21,810,197 акций и на 2,361,914 в 2011 году.</t>
  </si>
  <si>
    <t>В 2011 году Группа приобрела у третьих сторон 30% доли участия в ООО «ТехноИнвест Альянс» за денежное вознаграждение в размере 3,212,875 тыс. руб. Компания не является зависимым обществом, так как не ведет никакой операционной деятельности. Компания владеет единственным существенным активом – лицензия на добычу природных ресурсов. Группа классифицирует данную инвестицию в качестве финансового актива, предназначенного для продажи. Данный актив был включен Группой в отдельную строку «Прочие финансовые активы» консолидированного Отчета о финансовом положении. Руководство Группы считает, что эта сумма будет полностью восстановлена и не подвержена обесценению.</t>
  </si>
  <si>
    <t>2 апреля 2009 года Группа приобрела 99.9% ЗАО «ЧТПЗ-Мета» с ее дочерними компаниями, занятыми заготовкой металлолома. Вознаграждение в сумме 176,937 тыс. руб. было полностью уплачено в 2009 году. Выручка и убыток приобретенной дочерней компании в 2009 году составили 1,350,671 тыс. руб. и 495,960 тыс. руб. соответственно. Если бы приобретение было осуществлено 1 января 2009 года, консолидированная выручка Группы за 2009 год увеличилась бы на 1,738,621 тыс. руб., а ее консолидированный убыток увеличился бы на 647,709 тыс. руб.</t>
  </si>
  <si>
    <t>В сентябре 2009 года Группа завершила сделку по продаже связанным сторонам ряда дочерних компаний недавно приобретенного ЗАО «ЧТПЗ-Мета», имеющих низкие финансовые результаты.</t>
  </si>
  <si>
    <t>В сентябре 2009 года Группа продала свою долю в ОАО «Бугульминский электронасосный завод» («БЭНЗ») третьей стороне. Сумма полученного вознаграждения составила 100,000 тыс. руб.</t>
  </si>
  <si>
    <t>В 2009 году Группа продала 1,919,543 акций Компании средневзвешенной стоимостью 184,060 тыс. руб. за вознаграждение в сумме 86,380 тыс. руб. Разница между средневзвешенной стоимостью и полученным вознаграждением по повторному
выпуску в сумме 97,680 тыс. руб. была отнесена на уменьшение нераспределенной прибыли.</t>
  </si>
  <si>
    <t>Добыча природных ресурсов</t>
  </si>
  <si>
    <t>В сентябре 2023 г. Группа заключила соглашение о продаже ООО «ТМК МЕТА» и ООО «МетаИнвест» (включая принадлежащие им дочерние компании). Прибыль от продажи долей составила 454. Стоимость выбывших чистых активов дочерних компаний составила 5 998, в том числе внеоборотные активы - 1 575, оборотные активы – 7 201, долгосрочные обязательства - 15 и краткосрочные обязательства – 2 763.</t>
  </si>
  <si>
    <t>В феврале 2022 г. Группа заключила соглашение о продаже ООО «ТМК Трубный сервис» (включая принадлежащий ему ООО «СПО Алнас») со связанной стороной, находящейся под общим контролем. Прибыль от продажи долей составила 6 769. Стоимость выбывших чистых активов дочерних компаний составила 731, в том числе внеоборотные активы – 334, оборотные активы – 1 256, долгосрочные обязательства – 31 и краткосрочные обязательства – 828.</t>
  </si>
  <si>
    <t>В марте 2022 г. Группа заключила соглашение о продаже АО ТД «Уралтрубосталь» с ПАО «ТМК». Убыток от продажи составил 259. Стоимость выбывших чистых активов дочерних компаний составила 3 325, в том числе внеоборотные активы – 278, оборотные активы – 12 868, долгосрочные обязательства – 6 и краткосрочные обязательства – 9 815.</t>
  </si>
  <si>
    <t>АК "АЛРОСА" (ПАО)</t>
  </si>
  <si>
    <t>18 декабря 2023 года Группа стала участником Русской нержавеющей компании (далее - РНК) с долей владения 50%, реализующей проект по выпуску плоского нержавеющего проката на территории Российской Федерации.</t>
  </si>
  <si>
    <t>28 сентября 2023 года Группа стала одним из учредителей совместного предприятия ООО «Варейнефтегаз» с долей владения 50%. Деятельность данного общества связана с геологическим изучением, разведкой и добычей углеводородного сырья на территории Российской Федерации.</t>
  </si>
  <si>
    <t>11 июля 2022 года Группа стала одним из учредителей совместного предприятия ООО «Полярный литий» с долей владения 50%, реализующего проект разработки Колмозерского месторождения лития на территории Российской Федерации.</t>
  </si>
  <si>
    <t>6 июля 2023 года Группа продала дочернее общество Norilsk Nickel USA, Inc., занимающееся сбытовой деятельностью, за вознаграждение в сумме 732 млн. руб. Чистые активы выбывшего дочернего общества в размере 3 983 млн. руб. на дату выбытия представлены, в первую очередь, остатками запасов металлопродукции отраженными по производственной себестоимости в сумме 2 660 млн. руб., а также прочими активами в сумме 1 323 млн. руб. Прибыль от выбытия в размере 2 704 млн. руб., с учетом признания дебиторской задолженности по поставкам готовой металлопродукции от Norilsk Nickel USA, Inc. в сумме 5 955 млн. руб., была признана в составе статьи «Прибыль/(убыток) от выбытия дочерних организаций» в консолидированном отчете о прибылях и убытках». Чистый приток денежных средств от выбытия дочернего общества отражен в консолидированном отчете о движении денежных средств.</t>
  </si>
  <si>
    <t>25 марта 2022 года Группа продала долю в дочернем обществе АО «АК «Нордстар», которое оказывает услуги транспортировки, за вознаграждение 1 млн. руб. Чистый отток денежных средств от выбытия дочернего общества отражен в консолидированном отчете о движении денежных средств в составе Чистого (оттока)/притока от выбытия дочерних компаний. Убыток от выбытия дочернего общества, отраженный в консолидированном отчете о прибылях и убытках Группы за год, закончившийся 31 декабря 2022 года, составил 9 535 млн. руб.</t>
  </si>
  <si>
    <t>27 апреля 2021 года Советом директоров Компании было принято решение о приобретении собственных размещенных акций Компании. Программа выкупа была полностью завершена 29 июня 2021 года, Компания осуществила выкуп 5 382 079 обыкновенных акций и отразила поступление собственных акций, выкупленных у акционеров в составе консолидированного отчета об изменениях в капитале в сумме 149 630 млн. руб. Выкуп собственных акций был полностью оплачен в сумме 149 630 млн. руб., отраженной в составе консолидированного отчета о движении денежных средств по курсам рубля к доллару США на даты проведения платежей.</t>
  </si>
  <si>
    <t>Сбытовая деятельность</t>
  </si>
  <si>
    <t>Русская нержавеющая компания (РНК)</t>
  </si>
  <si>
    <t>Выпуск плоского нержавеющего проката</t>
  </si>
  <si>
    <t>Добыча лития</t>
  </si>
  <si>
    <t>Разведка и добыча углеводородного сырья</t>
  </si>
  <si>
    <t>Met-Lith</t>
  </si>
  <si>
    <t>Norilsk Nickel USA, Inc.</t>
  </si>
  <si>
    <t>4 июля 2019 года Группа продала долю в дочернем обществе, оказывающем услуги по строительству, за вознаграждение 302 млн. руб. Чистый отток денежных средств от выбытия дочернего общества, отраженный в консолидированном отчете о движении денежных средств, составил 1 242 млн. руб. Прибыль от выбытия в размере 133 млн. руб. была признана в консолидированном отчете о прибылях и убытках.</t>
  </si>
  <si>
    <t>Min-Trade</t>
  </si>
  <si>
    <t>ПАО "Интер РАО ЕЭС"</t>
  </si>
  <si>
    <t>ПАО "Интер РАО ЕЭС" (ОАО "ОГК-3")</t>
  </si>
  <si>
    <t>В течение года, закончившегося 31 декабря 2015 года, Группа продала свою долю в размере 12.35% в ПАО «Интер РАО» за общее вознаграждение в сумме 14,063 млн. руб. Прибыль от выбытия в сумме 4,861 млн. руб. была признана в консолидированном отчете о прибылях и убытках.</t>
  </si>
  <si>
    <t>17 октября 2014 года Группа объявила о заключении обязывающих соглашений по продаже африканских активов, в том числе 50-процентной доли участия в совместном предприятии Nkomati Nickel Mine («Nkomati») и 85-процентной доли в компании Tati Nickel Mining Company («TNMC») (вместе «Африканские активы») BCL Investments («BCL»). Общее ожидаемое вознаграждение составит 18,960 млн. руб. (337 млн. долл. США). Согласно условиям договоров продажи, покупатель возьмет на себя обязательства по восстановлению окружающей среды, связанные с указанными активами. 2 апреля 2015 года Группа продала 85-процентную долю в компании TNMC, находящейся в Ботсване. Доля Группы в чистых активах с учетом обязательств по восстановлению окружающей среды на дату выбытия была отрицательная и составляла 1,155 млн. руб. Результат от выбытия также включает в себя отрицательный эффект от выбытия ранее накопленного резерва курсовых разниц между валютой представления – российским рублем и ботсванской пулой. В 2016 году BCL отказалась от выполнения своих обязательств по договору после выполнения Группой всех отлагательных условий для совершения сделки по продаже Nkomati и приступила к процедуре добровольной ликвидации. В связи с указанными событиями Группа начала судебный процесс против BCL для отстаивания своих интересов в сделке по продаже Nkomati.</t>
  </si>
  <si>
    <t>BCL Investments</t>
  </si>
  <si>
    <t>15 апреля 2016 года Группа продала авиационные активы, включающие 96,8% долю в ЗАО «Нордавиа – РА», дочернем предприятии Группы, расположенном на территории Российской Федерации, и эксплуатируемые «Нордавиа» воздушные суда и объекты инфраструктуры, за вознаграждение 640 млн. руб. Стоимость реализованных чистых активов на дату выбытия составляла 864 млн. руб. Убыток от реализации в размере 224 млн. руб. был признан в консолидированном отчете о прибылях и убытках.</t>
  </si>
  <si>
    <t>В 2014 году Группа продала золоторудные активы North Eastern Goldfields Operations (“NEGO”), никелевые активы Black Swan, Silver Swan, Lake Johnston Nickel Project, Avalon и Cawse, расположенные в Западной Австралии. В течение года, закончившегося 31 декабря 2016 года, Группа получила отложенное вознаграждение в размере 151 млн. руб., связанное с активами NEGO. В течение года, закончившегося 31 декабря 2016 года, Группа продала за вознаграждение 444 млн. руб. права на получение роялти, возникшие в результате выбытия активов, расположенных в Западной Австралии.</t>
  </si>
  <si>
    <t>В течение года, закончившегося 31 декабря 2016 года, Группа продала 1,250,075 собственных акций миноритарному акционеру Crispian Investments Limited за денежное вознаграждение в сумме 9,855 млн. руб.</t>
  </si>
  <si>
    <t>В течение года, закончившегося 31 декабря 2015 года, Группа приобрела у акционеров 1,250,075 собственных акций за денежное вознаграждение в сумме 12,012 млн. руб.</t>
  </si>
  <si>
    <t>1 марта 2013 года Группа приобрела дополнительно 15.7% акционерного капитала ОАО «Норильскгазпром» («Норильскгазпром»), предприятия занимающегося добычей газа, за денежное вознаграждение в размере 576 млн. руб., увеличив принадлежащую ей долю в капитале этой компании до 56.2%. До момента приобретения вложение в Норильскгазпром было классифицировано как инвестиция в ассоциированную компанию.</t>
  </si>
  <si>
    <t>10 октября 2013 года Группа продала свою долю в ООО «Администратор Фондов», дочернем предприятии Группы, за вознаграждение в размере 2,750 млн. руб. Балансовая стоимость чистых активов на дату выбытия составляла 665 млн. руб. Чистый приток денежных средств от реализации составил 2,095 млн.руб.</t>
  </si>
  <si>
    <t>В период с 25 февраля по 11 марта 2015 года в рамках добровольного предложения Группа приобрела дополнительную долю в размере 39.05% в ОАО «Норильскгазпром», дочернем предприятии Группы, занимающемся добычей газа, за денежное вознаграждение 1,369 млн. руб. В результате сделки доля участия Группы в уставном капитале ОАО «Норильскгазпром» по состоянию на 11 марта 2015 г. составила 95.25%.</t>
  </si>
  <si>
    <t>9 февраля 2015 года Группа приобрела дополнительную долю в размере 11.05% в ОАО «Енисейское речное пароходство», компании, занимающейся речным судоходоством, за денежное вознаграждение в сумме 161 млн. руб. В результате сделки доля участия Группы в ОАО «Енисейское речное пароходство» увеличилась до 95.24%.</t>
  </si>
  <si>
    <t>15 мая 2012 года Группа приобрела дополнительно 25% акционерного капитала ЗАО «Нордавиа – региональные авиалинии» («Нордавиа») за денежное вознаграждение в размере 61 млн. руб., увеличив принадлежащую ей эффективную долю в капитале этой компании до 72.9%. До момента приобретения вложение в Нордавиа было классифицировано как инвестиция в ассоциированную компанию. На дату приобретения справедливая стоимость активов и обязательств Нордавиа была несущественной.
До момента приобретения контрольного пакета акций была произведена переоценка вложения Группы в Нордавиа по справедливой стоимости, в результате которой была признана прибыль в размере 589 млн. руб. Данная прибыль была отражена в составе прибыли от инвестиционной деятельности. Если бы данное приобретение произошло 1 января 2012 года, выручка и прибыль Группы за период не отличались бы существенным образом.</t>
  </si>
  <si>
    <t>2 ноября 2012 года Группа приобрела 830 тысяч обыкновенных акций Норильскгазпром на общую сумму 406 млн. руб. В результате данной сделки Группа увеличила долю в уставном капитале Норильскгазпром до 40.5%.</t>
  </si>
  <si>
    <t>Руководство Группы приняло решение, что продажа ООО «Кингашская ГРК», не относится к прекращенной деятельности. 15 ноября 2010 Группа продала свою долю в ООО «Кингашская ГРК», дочернем предприятии Группы, за вознаграждение в размере 58 млн. долл. США. Балансовая стоимость чистых активов ООО «Кингашская ГРК» на дату выбытия составила 9 млн. долл. США.</t>
  </si>
  <si>
    <t>13 декабря 2010 года Norimet Ltd., дочернее предприятие Группы, в рамках вторичного публичного размещения акций продало свою долю в Stillwater Mining Company (SWC), дочернем предприятии Группы, за вознаграждение в размере 881 млн. долл. США после вычета комиссии за размещение ценных бумаг и расходов на прочие профессиональные услуги, напрямую относящиеся к данной сделке.</t>
  </si>
  <si>
    <t>4 мая 2009 года Группа продала свою долю в ОАО «Территориальная Генерирующая Компания № 14» («ТГК-14») за денежное вознаграждение в размере 26 млн. долл. США.</t>
  </si>
  <si>
    <t>ПАО "ФГК - РусГидро"</t>
  </si>
  <si>
    <t>HYDR</t>
  </si>
  <si>
    <t>12 июля 2010 года Группа приобрела 337 миллионов акций ОАО «РусГидро» за 13 млн. долл. США. В июне-ноябре 2010 года в результате ряда операций Группа продала 5,158 миллионов акций ОАО «РусГидро» за 248 млн. долл. США, реализовав прибыль от выбытия инвестиций в размере 212 млн. долл. США, которая ранее отражалась в капитале в составе резерва по переоценке инвестиций.</t>
  </si>
  <si>
    <t>28 декабря 2010 года Совет директоров ОАО «ГМК «Норильский никель» принял решение об обмене доли в размере 82.7% в ОГК-3 на акции ОАО «Интер РАО ЕЭС», исходя из коэффициента обмена 35 акций ОАО «Интер РАО ЕЭС» за 1 акцию ОГК-3. По состоянию на 31 декабря 2010 года справедливая стоимость доли в размере 82.7% в ОГК-3 составляла 2,142 млн. долл. США. Разница между балансовой стоимостью чистых активов ОГК-3 и справедливой стоимостью доли Группы в ОГК-3 в размере 2,284 млн. долл. США была признана в качестве убытка от переоценки по справедливой стоимости за вычетом расходов на продажу. 18 марта 2011 года ОАО «ГМК «Норильский никель» обменяло свою долю в ОГК-3 на долю в ОАО «Интер РАО ЕЭС» в размере 13.6% и прекратило консолидировать ОГК-3 с этой даты. В результате обмена доля участия Компании в уставном капитале ОГК-3 снизилась до нуля, а в уставном капитале ОАО «Интер РАО ЕЭС» возросла до 14.2%. В 2011 году дополнительный убыток, связанный с переоценкой доли Группы в ОГК-3, был признан в сумме 566 млн. долл. США. С начала 2011 года до момента обмена был признан убыток, связанный с деятельностью и выбытием ОГК-3, в сумме 16,261 млн. руб.</t>
  </si>
  <si>
    <t>4 апреля 2011 года по итогам осуществления программы приобретения компания "Corbiere Holdings Limited", входящая в Группу, объявила о приобретении 13 067 302 акций ГМК "Норильский никель", включая АДР, составляющих около 6,85% уставного капитала Компании, за денежное вознаграждение в размере 98 396 млн. руб.
В течение периода с 5 апреля по 10 августа 2011 года, Corbiere также приобрела 4,529,947 акций Компании, включая акции в форме АДР. за денежное возна1раждение в размере 34 011 млн. руб., включая расходы на прочие профессиональные услуги, напрямую относящиеся к данной сделке.
27 сентября 2011 года Norilsk Nickel Investments Ltd. («NN Investments»), дочернее предприятие Группы, объявило о добровольном выкупе акций Компании. По состоянию на 31 декабря 2011 года NN Investments выкупило 14.658.319 акций Компании, включая акции в форме АДР. за денежное возна1ражденис в размере 136 578 млн. руб., включая расходы на прочие профессиональные услуги, напрямую относящиеся к данным сделкам.</t>
  </si>
  <si>
    <t>В соответствии с договором, заключенным 8 октября 2010 года, 84,829.774 АДР. находившихся в собственности Группы, были проданы по цене 18 долл. США за АДР на общую сумму 1.527 млн. долл. США. Сделка была завершена в декабре 2010 года.</t>
  </si>
  <si>
    <t>12 октября 2010 года Группа заключила договор опциона на продажу 68,816,616 АДР (6,881.662 собственных акций), находившихся в собственности Группы. Премия по данному опциону составила 67 млн. долл. США и была отражена в составе капитала в 2010 году. Опцион мог быть исполнен по фиксированной цене 18.1 долл. США за АДР в течение 180 дней с даты заключения договора. В течение периода с февраля по март 2011 года опцион был полностью исполнен и 68,816,616 АДР (6.881.662 собственных акций) были проданы за суммарное возна!раждение в размере 1.246 млн. долл. США.</t>
  </si>
  <si>
    <t>В июле 2011 года Группа приобрела 100% акций ОАО «Барабинский гортоп», реализующего уголь в Новосибирской области. Стоимость инвестиции составила 10 млн руб., оплаченных денежными средствами. В результате выручка и прибыль Группы в 2011 году увеличились на 82 млн руб. и 8 млн руб. соответственно. Если бы приобретение произошло 1 января 2011 года, руководство оценивает, что выручка, приходящаяся на приобретенное дочернее предприятие, которая была бы включена в консолидированную выручку, составила бы 107 млн ​​руб., а консолидированная прибыль за год изменилась бы несущественно.</t>
  </si>
  <si>
    <t>В июле 2010 года Группа приобрела 25% акций ОАО «Кузбасстопливисбыт» за вознаграждение в размере 20 млн руб. Также в течение 2011 и 2010 годов ООО «НТК» приобрело некоторые несущественные дополнительные доли участия в дочерних компаниях по дистрибуции угля за общее вознаграждение менее 1 млн руб. в 2011 году и 5 млн руб. в 2010 году. Указанное приобретение привело к сокращению неконтролирующей доли участия на 2 млн руб. (2010 год: 27 млн ​​руб.) и увеличению чистых активов, причитающихся миноритарным участникам ООО «НТК», на 1 млн руб. (2010 год: 2 млн руб.).</t>
  </si>
  <si>
    <t>В апреле 2010 года Компания провела первичное публичное размещение своих акций на фондовых биржах РТС и ММВБ, привлекла 2 964 млн руб. за 15% своих акций. В результате публичного размещения было выпущено и оплачено денежными средствами 14 858 955 акций. Расходы по сделке по выпуску составили 132 млн руб. за вычетом налога на прибыль и были зачтены в счет поступлений от выпуска акций в отчете об изменениях в капитале.</t>
  </si>
  <si>
    <t>В феврале 2012 года Группа приобрела лицензию на разведку и разработку угольных месторождений на участке «Брянский 1». В границах лицензионного участка запасы каменного угля составляют около 250 млн тонн по категории С2 по государственной классификации Российской Федерации.</t>
  </si>
  <si>
    <t xml:space="preserve">В течение периода с июня по сентябрь 2012 года Группа продала долю владения 49.8% в Alfa Capital Holdings (Cyprus) Limited . Оставшаяся доля владения 19.9% отражена в составе долевых инвестиций, имеющихся в наличии для продажи. </t>
  </si>
  <si>
    <t>В течение 2011 года Группа приобрела 39.80% акций Alfa Capital Holdings (Cyprus) Limited за денежные средства, что увеличило к июлю 2011 года долю участия в капитале компании до 69.70%. Если бы приобретение произошло 1 января 2011 года, то доход за 2011 год был бы на 156 290 464 тысячи рублей выше, а прибыль за 2011 год была бы на 189 279 тысяч рублей выше.</t>
  </si>
  <si>
    <t>АО "АЛЬФА-БАНК"</t>
  </si>
  <si>
    <t>Alfa Capital Holdings (Cyprus) Limited</t>
  </si>
  <si>
    <t>Деятельность в области права и бухгалтерского учета</t>
  </si>
  <si>
    <t>В июне 2020 года Группа приобрела контроль над компанией ООО «Альфа Директ Сервис». На 31.12.2019 Группа владела 21% долей в компании ООО «Альфа Директ Сервис».</t>
  </si>
  <si>
    <t>15 февраля 2019 года Группа продала все принадлежащие ей 603 000 акций Alfa Capital Holdings (Cyprus) Limited, что составляет долю в капитале 20.1%, компании ABH FINANCIAL LIMITED, Cyprus.</t>
  </si>
  <si>
    <t>ABH FINANCIAL LIMITED, Cyprus</t>
  </si>
  <si>
    <t>В январе 2017 года Группа увеличила долю владения с 19,9% до 20,1% акций Alfa Capital Holdings (Cyprus) Limited</t>
  </si>
  <si>
    <t>В марте 2017 года Группа приобрела долю 21% в уставном капитале ООО «Альфа Директ Сервис»</t>
  </si>
  <si>
    <t>В декабре 2017 года Группа приобрела 49,9% акций PAYMETECH CYPRYS LIMITED</t>
  </si>
  <si>
    <t>PAYMETECH CYPRYS LIMITED</t>
  </si>
  <si>
    <t>В ноябре 2017 года Группа приобрела 100% в уставном капитале ООО "Поток.Диджитал", выплатив денежное вознаграждение в размере 44  929 тысяч рублей. Вознаграждение, уплаченное Группой, основывалось на оценке деятельности приобретаемого лица в целом. В соответствии с МСФО 3 «Объединение компаний». Группа отразила приобретение на основании условно оцененной справедливой стоимости идентифицируемых приобретенных активов, обязательств и условных обязательств.</t>
  </si>
  <si>
    <t>ООО "Поток.Диджитал"</t>
  </si>
  <si>
    <t>В октябре-ноябре 2016 года Группа приобрела 100% долей компаний ООО «Ателье-Люкс» и ООО магазин «Пашков», выплатив денежное вознаграждение в размере 825 300 тысяч рублей.</t>
  </si>
  <si>
    <t>В ноябре 2015 года Группа приобрела 100% долей компании ООО «Альфа-Лизинг», выплатив денежное вознаграждение в размере 38 380 тысяч рублей.</t>
  </si>
  <si>
    <t>В октябре 2015 года Amsterdam Trade Bank N.V. выпустил дополнительные акции. В результате доля Группы в Amsterdam Trade Bank N.V. снизилась и составила 90.07%.
В декабре 2015 года Группа конвертировала субординированный кредит, предоставленный Amsterdam Trade Bank N.V. в сумме 35 000 тысяч евро в акции Amsterdam Trade Bank N.V. В результате доля Группы в Amsterdam Trade Bank N.V. выросла и составила 92.1751%.</t>
  </si>
  <si>
    <t>В 2015 году Группа приобрела 11% акций ПАО «Балтийский Банк» (далее «Балтийский Банк») за денежное вознаграждение 1 100 тысяч рублей. В результате доля Группы в Балтийском Банкс выросла до 100%.</t>
  </si>
  <si>
    <t>В октябре 2014 года Группа приобрела долю участия 88.99% в Банке Балтийский за 8 900 тысяч рублей. В соответствии с решением ЦБ РФ до 24 декабря 2014 года Государственное агентство по страхованию вкладов действовала как временная администрация Балтийского Банка и права его акционеров были приостановлены. Группа начала контролировать Балтийский Банк с 24 декабря 2014 года и эта лата считается датой приобретения Группой Банка Балтийский.</t>
  </si>
  <si>
    <t>Банквоская деятельность</t>
  </si>
  <si>
    <t>Amsterdam Trade Bank N.V</t>
  </si>
  <si>
    <t>Инвестиционная платформа, которая предоставляет возможность инвестировать в малый бизнес</t>
  </si>
  <si>
    <t>Банк ЗЕНИТ (публичное акционерное общество)</t>
  </si>
  <si>
    <t>В феврале 2021 года Банком были осуществлены сделки по продаже обыкновенных именных бездокументарных акций, ранее полученных при ликвидации ZENIT INVESTMENT SERVICES INC, а также выкупленных по оферте при реорганизации 15 ноября 2019 дочерних банков, в количестве 286,152,236 штук общей стоимостью 272,084 тыс. рублей.
Ранее находившиеся на балансе Банка собственные акции (приобретенные в связи с ликвидацией дочернего общества (Zenit Investment Services Inc.), а также акции, выкупленные Банком в период реорганизации в форме присоединения к нему ПАО «Липецккомбанк» и АБ «Девон-Кредит» (ПАО)) реализованы Банком в течении 1 квартала 2021 года третьему лицу, в соответствии с требованиями Федерального закона «Об акционерных обществах». Цена реализации составила 272,084 тыс. руб., в том числе по выкупленным акциям, принадлежавшим Zenit Investment Services Inc., в количестве 248,129,999 штук стоимостью 1 рубль за акцию на сумму 248,130 тыс. руб. и по выкупленным акциям, принадлежавшим дочерним банкам, в количестве 38,022,237 штук стоимостью 63 копейки за акцию на сумму 23,954 тыс. руб.</t>
  </si>
  <si>
    <t>В декабре 2010 года Группа приобрела 35.5% акций Cheltenwood Investments Limited за 1 171 997 руб. На 31 декабря 2010 года балансовая стоимость составила 1 162 726 тыс. руб. в связи с колебаниями валютного курса.</t>
  </si>
  <si>
    <t>Cheltenwood Investments Limited</t>
  </si>
  <si>
    <t>В сентябре 2009 года компания Zenit Investment Sendees Inc. приобрела у акционера Банка 261 374 124 акции Банка ЗЕНИТ.</t>
  </si>
  <si>
    <t>Zenit Investment Sendees Inc.</t>
  </si>
  <si>
    <t>В феврале 2011 года Группа стала единственным собственником ЗПИФ «4-й Национальный». Основной деятельностью организации является управление инвестициями. Справедливая стоимость чистых активов организации на момент приобретения составляет 1,500,000 тыс.руб. и равна уплаченному вознаграждению.</t>
  </si>
  <si>
    <t>8 декабря 2008 года Группа приобрела 83.5% пакета акций ОАО «СПИРИТБАНК»</t>
  </si>
  <si>
    <t>31 января 2008 года Группа приобрела 99.8% пакета акций компании ОАО «Союзпушнина». Инвестиции в указанную компанию в размере 261,622 тыс. руб. по состоянию на 31 декабря 2007 года были учтены в качестве инвестиций в зависимые компании.</t>
  </si>
  <si>
    <r>
      <rPr>
        <sz val="9"/>
        <color theme="1"/>
        <rFont val="Arial"/>
        <family val="2"/>
        <charset val="204"/>
      </rPr>
      <t>23 марта 2021 года Компания продала не связанному обществ</t>
    </r>
    <r>
      <rPr>
        <sz val="8"/>
        <color theme="1"/>
        <rFont val="Arial"/>
        <family val="2"/>
        <charset val="204"/>
      </rPr>
      <t xml:space="preserve">у 100% акций АО НПФ «САФМАР». </t>
    </r>
    <r>
      <rPr>
        <b/>
        <sz val="8"/>
        <color theme="1"/>
        <rFont val="Arial"/>
        <family val="2"/>
        <charset val="204"/>
      </rPr>
      <t>23 марта 2021 года Компания в качестве продавца заключила Договор купли-продажи 100% акций АО НПФ «САФМАР» с ООО «ИК «Ленинградское адажио» (структура Группы компаний «РЕГИОН»). До 23 марта 2021 года фонд входил в операционный сегмент «Пенсионная деятельность». После классификации в качестве прекращенной деятельности сегмент «Пенсионная деятельность» больше не представляется в примечании о сегментах.</t>
    </r>
  </si>
  <si>
    <t>ПАО "МТС-Банк"</t>
  </si>
  <si>
    <t>В апреле 2024 года МТС-Банк провел первичное размещение акций (далее - «IРО») на Московской бирже. Всего были размещены 4.6 млн акций номинальной стоимостью 500 руб. по цене 2 500 руб. за акцию. Общий объем привлеченных в ходе IPO средств составил 11 500 000 тыс. руб., расходы на привлечение капитала составили 722 529 тыс. руб. до вычета налога на прибыль в размере 144 506 тыс. руб.</t>
  </si>
  <si>
    <t>В 2018 году ПАО «МТС-Банк» осуществило выкуп 55 303 обыкновенных акций и 400 привилегированных акций. Сумма выкупа составила 77 285 тыс. руб.</t>
  </si>
  <si>
    <t>ПАО "Совкомбанк"</t>
  </si>
  <si>
    <t>В первом квартале 2020 года Группа выкупила у миноритарных акционеров 675 000 002 обыкновенных акций ПАО «Совкомбанк» за 5 211 млн руб., что составляет 3,4% уставного капитала Группы.</t>
  </si>
  <si>
    <t>В марте 2019 года Совкомбанк разместил по закрытой подписке 979 078 325 именных обыкновенных бездокументарных акций на общую сумму 6 080 млн руб. (558 млн акций по цене 6,218 руб. и 421 млн акций по цене 0,095 доллара США) среди консорциумаинвесторов.</t>
  </si>
  <si>
    <t>SVCB</t>
  </si>
  <si>
    <t>В декабре 2020 года Группа продала ОАО "Москвичка"</t>
  </si>
  <si>
    <t>В декабре 2020 года Группа продала ЗПИФН "Уфа Экспо".</t>
  </si>
  <si>
    <t>В феврале 2020 года Группа продала 100% долей в Группе ТПГК, отраженных ранее как "актив для продажи" с нулевым финансовым результатом за 898 млн руб.</t>
  </si>
  <si>
    <t>В декабре 2020 года Группа продала Группу Геотек.</t>
  </si>
  <si>
    <t>Группа Геотек</t>
  </si>
  <si>
    <t>ОАО "Москвичка"</t>
  </si>
  <si>
    <t>ЗПИФН "Уфа Экспо"</t>
  </si>
  <si>
    <t>Инвестиции в недвижимость</t>
  </si>
  <si>
    <t>ПАО Банк "ФК Открытие"</t>
  </si>
  <si>
    <t>Группе ТПГК</t>
  </si>
  <si>
    <t>В апреле 2016 года Группа приобрела контроль над ООО «Рокет» (ОГРН 1127747011743). доля Группы в уставном капитале ООО «Рокет» составляет 100%. Основной профиль деятельности ООО «Рокет»: разработка программного обеспечения и консультирование в этой области. Планируется, что использование виртуального сервиса позволит эффективно развивать розничные направления бизнеса Группы.</t>
  </si>
  <si>
    <t>В августе 2016 года Группа продала связанной стороне 20,36% голосующих акций ПАО «Ханты-Мансийский банк Открытие». В результате сделки Группа не утратила контроль над дочерним банком, в распоряжении Группы осталось 52,22% голосующих акций банка. Прибыль от продажи акций ПАО «Ханты-Мансийский банк Открытие» отражена в составе нераспределенной прибыли Группы.</t>
  </si>
  <si>
    <t>В декабре 2016 года Группа продала свою долю владения в дочерней компании ООО «Рокет» связанной стороне. Финансовый результат от продажи ООО «Рокет» составил 261 млн. руб., который отражен в статье «Прочий доход» консолидированного отчета о прибылях и убытках.</t>
  </si>
  <si>
    <t>В марте 2015 года Группа приобрела 99,5% голосующих акций ОАО «Банк Петрокоммерц», получив на это разрешение от соответствующих регулирующих органов. ОАО «Банк Петрокоммерц» - это коммерческий банк, осуществлявший свою деятельность в Российской Федерации с 1993 года. Основная деятельность Банка включала привлечение депозитов и предоставление кредитов, сопровождение экспортно-импортных операций клиентов, валютообменные операции, операции с ценными бумагами и производными финансовыми инструментами. В Группу ОАО «Банк Петрокоммерц» на момент приобретения входили: ОАО «Банк Петрокоммерц», АО «Петрокоммерц Инвест Консалтинг», ООО «ПК-Инвест», ООО Компания «Финансово-промышленное интегрирование», ЗПИФ «Стратегические инвестиции». Приобретение ОАО «Банк Петрокоммерц» было отражено по методу объединения интересов, как сделка по объединению бизнеса с участием банков, находящихся под общим контролем. Активы и обязательства приобретенного банка были отражены по ранее признанной балансовой стоимости, отраженной в консолидированной отчетности контролирующего акционера Группы (Предшествующего владельца) на дату приобретения. Данная консолидированная финансовая отчетность была составлена без пересмотра сравнительных данных, так как дата первоначального приобретения Предшествующим владельцем совпадает с датой перехода контроля к Группе. Дополнительный гудвил при приобретении контроля Группой над банком, находящимся под общим контролем, не был отражен. Доходы и расходы приобретенного банка включаются в отчетность Группы с даты перехода контроля - 19 марта 2015 г.</t>
  </si>
  <si>
    <t>В ноябре 2015 года Группа продала свою долю владения в дочерней компании ООО «Финансово-промышленное интегрирование». Доход от выбытия дочерней компании составила 249 млн. руб.</t>
  </si>
  <si>
    <t>Розала Лимитед</t>
  </si>
  <si>
    <t>В декабре 2015 года Группа через приобретение 100% акций кипрской компании Розала Лимитед приобрела группу компаний, которым принадлежат права на интеллектуальную собственность, программное и аппаратное обеспечение, которые использовались ранее «Банк24.ру» (ОАО) для обслуживания клиентов малого бизнеса. Группа планирует использовать эти активы для построения бизнеса по дистанционному обслуживанию индивидуальных предпринимателей, малого и среднего бизнеса в части расчетных и околорасчетных услуг на платформе своего дочернего банка. Приобретение Розала Лтд и ее дочерних компаний было отражено по методу обьединения интересов, как сделка по объединению бизнеса с участием компаний, находящихся под общим контролем. Активы и обязательства приобретенной Группы компаний были отражены по ранее признанной балансовой стоимости, отраженной в консолидированной отчетности контролирующего акционера Группы (Предшествующего владельца) на дату приобретения. Данная консолидированная финансовая отчетность была составлена без пересмотра сравнительных данных, так дата первоначального приобретения Предществующим владельцем совпадает с датой перехода контроля к Группе. Дополнительный гудвил при приобретении контроля Группой над Группой компаний Розалы Лтд, находящимся под общим контролем, не был отражен. Доходы и расходы приобретенной Группы включаются в отчетность Группы с даты переходя контроля.</t>
  </si>
  <si>
    <t>Прочее</t>
  </si>
  <si>
    <t>ПАО "БАНК УРАЛСИБ"</t>
  </si>
  <si>
    <t>В марте 2020 года продана контролирующая доля в уставном капитале ООО «БЦ Северный» третьему лицу, эффект от продажи которой на данную консолидированную финансовую отчетность несущественен.</t>
  </si>
  <si>
    <t>В июне 2020 года Банк получил контроль над ООО «Интерлизинг» и подконтрольными ему компаниями в связи с заключением договора залога 90% долей и корпоративного договора. ООО «Интерлизинг», ООО «Икарлизинг», ООО «Мостлизинг» и ООО «ИЛ Финанс» входят в Группу Компаний «Интерлизинг» (далее «ГК Интерлизинг»). За год, закончившийся 31 декабря 2020 года, Банк признал чистый процентный доход в размере 768 818 тыс. руб. и прибыль 257 361 тыс. руб. от операций ГК Интерлизинг. В случае присоединения ГК Интерлизинг 1 января 2020 года эффект на нераспределенную прибыль составил бы 1 962 550 тыс. руб., а эффект на чистый процентной доход 1 261 590 тыс. руб. и прибыль 383 486 тыс. руб.</t>
  </si>
  <si>
    <t>В сентябре 2020 года Банк приобрел 100% долей в уставном капитале ООО «УРАЛСИБ Брокер» у связанной стороны. За год, закончившийся 31 декабря 2020 года, Банк признал прибыль в размере 2 110 тыс. руб. В случае присоединения ООО «УРАЛСИБ Брокер» 1 января 2020 года эффект на нераспределенную прибыль составил бы 111 997 тыс. руб., а эффект на прибыль 22 391 тыс. руб.</t>
  </si>
  <si>
    <t>В июле 2019 года продана контролирующая доля в уставном капитале ООО «ГИГАНТ КОНТИ» третьему лицу, эффект от продажи которой на данную консолидированную финансовую отчетность несущественен.</t>
  </si>
  <si>
    <t>В феврале 2019 года приобретена контролирующая доля в уставном капитале ООО «ГИГАНТ КОНТИ» у связанных сторон, эффект от приобретения которой на данную консолидированную финансовую отчетность несущественен.</t>
  </si>
  <si>
    <t>В течение 2018 года увеличилась доля Банка в ООО «БЦ Северный» в связи с покупкой долей у третьих лиц.</t>
  </si>
  <si>
    <t>Услуги по управлению</t>
  </si>
  <si>
    <t>В январе 2018 года ООО «Капиталпроект», ООО «Инвестгарант», ООО «Инвестсоюз», ООО «АгроЛэнд», ООО «Путилково», ООО «КАПО М» были проданы связанной стороне. В результате выбытия данных компаний Банк завершил сделку по продаже земельных участков, расположенных в Московской области.</t>
  </si>
  <si>
    <t>В течение 2017 года увеличилась доля Банка в ЗПИФ недвижимости «Строительные инвестиции» и в ЗПИФ недвижимости «Земельные инвестиции - 1» в связи с покупкой паев у третьих лиц.</t>
  </si>
  <si>
    <t>В мае 2017 года в соответствии с договором о присоединении, все акции ПАО «Башпромбанк», удерживаемые неконтролирующими акционерами, были обменены на обыкновенные акции ПАО «БАНК УРАЛСИБ». В результате данной конвертации были размещены 19 621 акций ПАО «БАНК УРАЛСИБ» на сумму 1 962 руб. 2 мая 2017 года завершился процесс присоединения ПАО «Башпромбанк» к ПАО «БАНК УРАЛСИБ».</t>
  </si>
  <si>
    <t>Инвестиции в земельные объекты</t>
  </si>
  <si>
    <t>В мае 2017 года ООО «Набатниково» было продано третьей стороне без существенного влияния на данную консолидированную финансовую отчетность.</t>
  </si>
  <si>
    <t>В мае 2017 года приобретена контролирующая доля в уставном капитале ООО «Полюс», эффект от приобретения которой на данную консолидированную финансовую отчетность несущественен.</t>
  </si>
  <si>
    <t>В декабре 2017 года ООО «Капиталсоюз» было продано связанной стороне, в результате данной операции доля контроля в АО «ЗНАК» сократилась с 99,99% до 82,77%. Эффект от выбытия данной компании отражен в составе капитала как «изменение доли неконтролирующих акционеров в прочих дочерних компаниях». Продажа ООО «Капиталсоюз» является этапом сделки по продаже земельных участков, расположенных в Московской области, которая была завершена в первом квартале 2018 года</t>
  </si>
  <si>
    <t>В мае 2017 года Банк приобрел ПАО «Банк БФА» и завершил процесс реорганизации в форме присоединения указанного банка. В соответствии с отчетом независимого оценщика рыночная стоимость одной акции ПАО «Банк БФА» составила 2 843 руб.
В результате конвертации обыкновенных акций ПАО «Банк БФА» в обыкновенные акции ПАО «БАНК УРАЛСИБ» были размещены 61 894 953 000 акции на сумму 6 189 495 300 руб. В случае присоединения НЛО «Банк БФА» 1 января 2017 года отрицательный эффект на прибыль и совокупный доход за год, закончившийся 31 декабря 2017 года, сосгавил бы 517 556 тыс. руб. Доход от выгодной покупки обусловлен уровнем системных рисков инвестора, связанных с общими тенденциями в банковском секторе Российской Федерации, таких как снижение доходности банковского бизнеса и ужесточение требований регулятора к финансовой устойчивости кредитных организаций. 16 февраля 2016 года Банк заключил договоры опционов на покупку 20,99% акций ПАО «Банк БФА» со сроком их исполнения до 1 марта 2019 года. Банк полагает, что признание и оценка указанных договоров не оказали существенного влияния на данную консолидированную финансовую отчетность.</t>
  </si>
  <si>
    <t>В феврале 2016 года ЗАО «Негосударственный пенсионный фонд УРАЛСИБ» был продан третьей стороне</t>
  </si>
  <si>
    <t>В июне 2016 года Банк продал связанной стороне паи Закрытого паевого инвестиционного фонда прямых инвестиций «Стратегический-1» (далее «ЗПИФ Стратегический-1»). «ЗПИФ Стратегический-1» удерживает инвестицию в Страховую группу «УралСиб»</t>
  </si>
  <si>
    <t>ЗПИФ</t>
  </si>
  <si>
    <t>В течение года, закончившегося 31 декабря 2016 года, увеличилась доля в АО «ЗНАК» в связи с дополнительной эмиссией акций и их последующим выкупом, а также приобретением акций у связанной стороны.</t>
  </si>
  <si>
    <t>В марте и августе 2016 года увеличилась доля Банка в ЗПИФ недвижимости «Строительные инвестиции» в связи с покупкой паев у третьих лиц.</t>
  </si>
  <si>
    <t>В июне 2016 года увеличилась доля Банка в ЗПИФ недвижимости «Земельные инвестиции - 1» в связи дополнительным выпуском паев и их последующим выкупом.</t>
  </si>
  <si>
    <t>В течение года, закончившегося 31 декабря 2015 года, Банк приобрел неконтрольный пакет в размере 0,06% паев ЗПИФ недвижимости «УРАЛСИБ – Строительные инвестиции».</t>
  </si>
  <si>
    <t>В октябре 2015 года Банк продал 100% долей ООО «СпортВенчер Москва», являющейся собственником земельного участка, несвязанной стороне. Цена продажи долей ООО «СпортВенчер Москва», которые были оплачены денежными средствами, составила 4 396 190 тыс. руб.</t>
  </si>
  <si>
    <t>29 января 2015 года ООО «Толстой-М» было продано связанной стороне. Активы, обязательства и чистые активы компании на дату продажи составляли 102 736 тыс. руб., 1 810 тыс. руб. и 100 926 тыс. руб. соответственно. Цена продажи долей составила 92 633 тыс. руб.</t>
  </si>
  <si>
    <t>8 июня 2015 года ПАО «БАНК УРАЛСИБ» выкупил оставшиеся доли ООО «Лизинговая компания УРАЛСИБ» (далее совместно его дочерними компаниями – «ЛГ) у связанной стороны по цене 1 рубль.</t>
  </si>
  <si>
    <t>В августе 2015 года Банк продал 100% долей ООО «Уфа-Сити» связанной стороне. Цена продажи долей, которые были оплачены денежными средствами, составила 10 тыс. руб. Разница между ценой продажи и справедливой стоимостью долей в сумме 59 736 тыс. руб. отражена в составе капитала как прочие взносы контролирующего акционера.</t>
  </si>
  <si>
    <t>В сентябре 2015 года Банк приобрел 99,9% долей ООО «Поварово» в счет частичного погашения кредита, выданного связанной стороне. ООО «Поварово» является владельцем земельного участка, расположенного в Московской области, его чистые активы на момент приобретения составили 67 697 тыс. руб.</t>
  </si>
  <si>
    <t>Сельскохозяйственные услуги</t>
  </si>
  <si>
    <t>Цветков Н.А.</t>
  </si>
  <si>
    <t>АО "Финансовая Корпорация УРАЛСИБ"</t>
  </si>
  <si>
    <t>В январе 2016 года г-н Цветков Н.А. приобрел 15,1966% акций ПАО "БАНК УРАЛСИБ" и АО "Финансовая Корпорация УРАЛСИБ"</t>
  </si>
  <si>
    <t>USBN</t>
  </si>
  <si>
    <t>В августе 2015 года контролирующий акционер внес в капитал Банка контрольную долю в ГК «ЗНАК».</t>
  </si>
  <si>
    <t xml:space="preserve">В ноябре 2015 года Банк получил контроль над компаниями Cтраховой группы «УралСиб» (далее СГ «УралСиб»). В результате данной сделки Банк приобрел собственные обыкновенные акции в количестве 1 606 467 153 штук. Стоимость собственных выкупленных акций уменьшила уставный капитал Банка на сумму 36 242 тыс. руб. За 2015 и 2014 годы, СГ «УралСиб» понесла чистые убытки в суммах 2 452 687 тыс. руб. и 3 879 438 тыс. руб., соответственно. Чистый отток денежных средств от операционной деятельности за 2015 год составил 1 133 342 тыс. руб. (2014 - приток 1 447 347 тыс. руб.). СГ «УралСиб» совместно с ПАО «БАНК УРАЛСИБ» и Банком России разрабатывает План финансового оздоровления, направленный на достижение устойчивого финансового положения СГ «УралСиб» и выходу на прибыль в течение ближайших 3-х лет. План включает в себя следующие мероприятия: - оказание СГ «УралСиб» финансовой поддержки; - реструктуризацию страхового портфеля через выход из убыточных сегментов розничного страхования и концентрацию продаж на прямом и корпоративном страховании; - оптимизацию региональной сети; - снижение административных расходов компании. - снижение уровня аквизиционных расходов; - снижение уровня мошенничества в портфеле за счет внедрения новой ИТ-системы по предотвращению мошенничества, что приведет к снижению коэффициента убыточности; - повышение эффективности работы с дебиторской задолженностью; - оптимизация инвестиционной деятельности.
Руководство СГ «УралСиб» и ПАО «БАНК УРАЛСИБ» полагает, что вышеизложенные меры обеспечат продолжение деятельности СГ «УралСиб». </t>
  </si>
  <si>
    <t>20 января 2014 года Банк получил контроль над своей дочерней компанией – ОАО «Башпромбанк» (далее
«БПБ») путем приобретения 49,99996% акций</t>
  </si>
  <si>
    <t>В январе 2013 года Банк приобрел 99,9% долей ООО «РГО Воронеж» по цене 10 тыс. руб., которые были оплачены наличными денежными средствами.</t>
  </si>
  <si>
    <t>В течение 2013 года Банк приобрел контроль над ООО «ОРТО-ХАУЗ» и ООО «Толстой-М» путем обретения
контроля над 100% их акций, находящихся в качестве обеспечения по кредитам заемщиков, не выполнивших
обязательства перед Банком.</t>
  </si>
  <si>
    <t>В июле 2013 года Банк приобрел дополнительные 12,5% долей ООО «СпортВенчер Москва» у третьей стороны за 12 500 тыс. долларов США. Превышение справедливой стоимости над ценой приобретения в сумме 195 497 тыс. руб. было отражено непосредственно в составе капитала.</t>
  </si>
  <si>
    <t>24 декабря 2013 года ООО «Бизнес Лизинг» было продано несвязанной стороне. Активы, обязательства и отрицательные чистые активы компании составляли 1 230 тыс. руб., 9 153 тыс. руб. и 7 923 тыс. руб. соответственно. Итоговая цена продажи составила 10 тыс. руб., которые были получены наличными денежными средствами.</t>
  </si>
  <si>
    <t xml:space="preserve">В феврале 2012 года ООО «Регион-Лизинг-Консалт» и ООО «Регион-Лизинг-Уфа» были проданы несвязанной стороне. Активы, обязательства и отрицательные чистые активы этих компаний составляли  221 тыс. руб., 26 млн. руб. и 26 млн. руб. соответственно. Итоговая цена продажи акций составила 18 тыс. руб., которые были получены наличными денежными средствами. </t>
  </si>
  <si>
    <t xml:space="preserve">В течение 2012 года Банк приобрел 0,26% паев Закрытого паевого инвестиционного фонда недвижимости «УРАЛСИБ – Строительные инвестиции». </t>
  </si>
  <si>
    <t>В течение 2011 года Банк продал 100% паев в Закрытом паевом инвестиционном фонде смешанных инвестиций «УРАЛСИБ – Перспектива» связанной стороне по цене ниже справедливой стоимости. Превышение справедливой стоимости на дату выбытия над ценой продажи в сумме 170 758 тыс. руб. было непосредственно в составе капитала в качестве распределения добавочного капитала.</t>
  </si>
  <si>
    <t>В течение 2011 года Банк приобрел 1,1% и 4,39% паев Закрытых паевых инвестиционных фондов недвижимости «УРАЛСИБ – Строительные инвестиции» и «УРАЛСИБ – Земельные инвестиции» соответственно.</t>
  </si>
  <si>
    <t>В течение 2011 года Банк продал 100% паев в Закрытом паевом инвестиционном фонде смешанных инвестиций «УРАЛСИБ – Перспектива», которому принадлежали 100% акций ЗАО «Деймос-инвест».</t>
  </si>
  <si>
    <t>6 июля 2011 года Банк приобрел дополнительные 12,5% долей в ООО «СпортВенчер Москва» у несвязанной стороны. Превышение справедливой стоимости 12,5% долей СВМ над ценой приобретения в сумме 306 170 тыс. руб. было отражено непосредственно в составе капитала как результат от операции с акционерами.</t>
  </si>
  <si>
    <t>В течение 2010 года Банк уменьшил долю своего участия в капитале ООО «СпортВенчер Москва» (далее «СВМ») с 74,99% на 31 декабря 2009 года до 49,99% на 31 декабря 2010 года, продав 25% долей СВМ связанной стороне по цене, приблизительно соответствующей их справедливой стоимости. К моменту частичной продажи долей Банк достиг договоренности с покупателем, что 25% проданных долей будут выкуплены Банком в первом квартале 2011 года. 11 марта 2011 года данные доли были выкуплены Банком.</t>
  </si>
  <si>
    <t>3 октября 2011 года Банк продал 4 757 902 352 собственных выкупленных акций номинальной стоимостью 475 790 тыс. руб. ОАО «Финансовая корпорация УРАЛСИБ». Превышение цены продажи акций над их номинальной стоимостью в сумме 247 886 тыс. руб. отражено в качестве увеличения добавочного капитала.</t>
  </si>
  <si>
    <t>18 марта 2010 года ООО «Лизинговая компания УРАЛСИБ», дочерняя компания Банка, приобрела 100% долей компании ООО «Бизнес Лизинг», которая занимается оказанием финансовых услуг и управляет портфелем договоров финансовом аренды. ООО «Бизнес Лизинг» находится под общим контролем совместно с ООО «Лизинговая компания УРАЛСИБ». Общая сумма активов, обязателктв и чистых активов ООО «Бизнес Лизинг» па дачу приобретения составила 2 426 239 тыс. руб., 2 311 805 тыс. руб. и 114 434 тыс. руб., соответственно. Цена покупки 100% ООО «Бизнес Лизинг» составила 10 тыс. руб. с расчетами, произведенными в денежной форме.</t>
  </si>
  <si>
    <t>9 июня 2010 гола ООО «ОФК «УРАЛСИБ-Факторинг» (далее «УРАЛСИБ-Факторинг») было продано не связанной с Банком стороне. Общая сумма активов. обязательств и отрицательных чистых активов У РАЛСИБ-Факторипг па дату продажи составила 4 129 тыс. руб., 7 133 тыс. руб. и 3 004 тыс. руб., соответственно. Цена продажи 100% УРАЛСИБ-Факторинг составила 3 000 тыс. руб. с расчетами, произведенными в денежной форме.</t>
  </si>
  <si>
    <t>Факторинговые услуги</t>
  </si>
  <si>
    <t>17 июля 2010 игла ООО «Лизинговая компания НИКОЙЛ» (далее «ЛКН») было продано не связанной с Банком стороне. Общая сумма активов, обязательств и чистых активов ЛКН па дату продажи составила 232 265 тыс. руб.. 194 811 тыс. руб. и 37 454 тыс. руб., соответственно. Цена продажи ЛКН составила 3 790 тыс. руб. с расчетами, произведенными в денежной форме.</t>
  </si>
  <si>
    <t>В течение 2010 года Банк уменьшил долю своего участия в капитале ООО «СпортВенчер Москва» (далее «СВМ») с 74,99% на 31 декабря 2009 года до 49,99% на 31 декабря 2010 года, продав 25% долей СВМ связанной стороне по цене, приблизительно соответствующей их справедливой стоимости. К моменту частичной продажи долей Банк достиг договоренности с покупателем, что 25% проданных долей будут выкуплены Банком в первом квартале 2011 года. 11 марта 2011 года данные доли были выкуплены Банком. К моменту частичной продажи долей Банк достиг договоренности с покупателем, что 25% проданных долей будут выкуплены Банком в первом квартале 2011 года. 11 марта 2011 года сделка по первоначальной продаже 25% долей была расторгнута. Принимая во внимание, что обе стороны достигли твердой договоренности о расторжении сделки на момент продажи долей, а также что Банк продолжал контролировать деятельность СВМ но состоянию на 31 декабря 2010 юла и генеральный директор СВМ является сотрудником Банка, Банк продолжил консолидировать СВМ по состоянию на 31 декабря 2010 года.</t>
  </si>
  <si>
    <t>В течение 2010 года Банк приобрел 0,86% и 2,83% паев Закрытых паевых инвестиционных фондов недвижимости «УРАЛСИБ — Строительные инвестиции» и «УРАЛСИБ — Земельные инвестиции» соответственно.</t>
  </si>
  <si>
    <t>В течение 2010 гола Банк также приобрел 100% паев Кредитного закрытого паевого инвестиционного фонда «УРАЛСИБ — Кредитные технологии» и Закрытого паевого инвестиционного фонда смешанных инвестиций «УРАЛСИБ - Перспектива» по их номинальной стоимости. Эффект данных выбытий и приобретений на операции Банка за 2010 году незначителен.</t>
  </si>
  <si>
    <t>26 ноября 2009 года ООО "Лизинговая компания УРАЛСИБ", дочерняя хомпамяя балка, приобрела 100% долей капитала компании Хэмбридж Инвестментс Лтд. (далее «Хэмбридж»), которая зарегистрирована в соответствии с законодательством Республики Кипр. Хэмбридж занимается предоставлением услуг финансового лизинга. Общая сумма активов, обязательств и чистых активов Хэмбридж Инвестментс Лтд. на дату приобретения составила 228 573 тыс. руб., 238 802 тыс. руб. и 10 229 тыс. руб . соответственно Цена покупки 100% Хэмбриджа, уплаченная денежными средствами, составила 74 тыс. руб.</t>
  </si>
  <si>
    <t>Хэмбридж Инвестментс Лтд.</t>
  </si>
  <si>
    <t>17 ноября 2009 года Банк приобрел 74,99% долей капитала ООО «СпортВенчер Москва» - компании, осуществляющей свою деятельность на земельном рынке г. Москва. Сделка по приобретению была осуществлена со связанной стороной. Общая сумма активов, обязательств и чистых активов ООО «СпортВенчер Москва» из дату приобретения составила 4 629 603 тас руб., 5 287 тыс. руб и 4 624 316 тыс. руб. соответственно. Цена покупки 74,99% ООО «СпортВенчер Москва» составила 3 462 932 тыс. руб. с расчетами, произведенными и денежной фирме.</t>
  </si>
  <si>
    <t>В августе 2009 года Банк приобрел 100% долей капитала ООО «Амадор» и 100% акций ЗАО "Красногорскстройкомплект". Данные компании управляют портфелем земельных участков, расположенных ь Московской обхлети. Общая сумма активов, обязательств и чистых активов ООО «Амадор» и ЗАО "Красногорскстройкомплект" на дату приобретения составила 2 034 243 тыс. руб., 10 526 тыс. руб. и 2 023 717 тыс. руб., соответственно. Цена покупки 100% ООО «Амадор» и ЗАО "Красногорскстройкомплект". уплаченная денежными средствами, составила 2 023 717 тыс руб.</t>
  </si>
  <si>
    <t>В течение 2009 гола Банк приобрел 2,14% и 3,38 % паев Закрытых паевых инвестиционных фонлов недвижимости "УРАЛСИБ - Строительные инвестиции" и "УРАЛСИБ - Земельные инвестиции" соответственно</t>
  </si>
  <si>
    <t>В течение 2009 года Банк также приобрел 100% паев вновь образованных ЗПИФ недвижимости «УРАЛСИБ - Развитие регионов», кредитного 3ПИФ "Корпоративный" и ЗПИФ прямых инвестиций «Стратегический" и "Актив Сиги".</t>
  </si>
  <si>
    <t>кредитного 3ПИФ "Корпоративный"</t>
  </si>
  <si>
    <t>АО "Райффайзенбанк"</t>
  </si>
  <si>
    <t>В октябре 2017 года Группа приобрела оставшиеся 50% в ООО «Райффайзен-Лизинг» (ассоциированной организации) у компании Raiffeisen Leasing International GmbH, которая также находится под контролем Raiffeisen Bank International AG. В результате Группа стала единственным владельцем ООО «Райффайзен-Лизинг». Так как эта сделка представляла собой приобретение организации, находящейся под общим контролем, Группа применила метод учета предшественника, т.е. все приобретенные активы, обязательства и условные обязательства учитывались на основании существующей балансовой стоимости. Разница между балансовой стоимостью чистых активов и суммой вознаграждения за приобретение учитывается в данной консолидированной финансовой отчетности как корректировка нераспределенной прибыли в составе собственного капитала.</t>
  </si>
  <si>
    <t>15 сентября 2011 года Группа приобрела 100% акций ЗАО “Банк Сибирь” у АТФ Банка (Казахстан) по цене 846 000 тыс. рублей, что соответствовало величине чистых активов ЗАО “Банк Сибирь”, рассчитанных в соответствии с Международными стандартами финансовой отчетности по состоянию на 31 декабря 2010 года. Данная сделка учитывается как сделка под общим контролем, так как Банк и АТФ Банк (Казахстан) имеют общих акционеров, обладающих более 51% акций Банка и АТФ Банка (Казахстан) на период до и после сделки. Разница между возмещением, выплаченным Банком, и балансовой стоимостью чистых активов на дату приобретения составляет 21 586 тыс. рублей и отражается как уменьшение капитала непосредственно в составе собственных средств.</t>
  </si>
  <si>
    <t>АО "ЮниКредит Банк"</t>
  </si>
  <si>
    <t>АТФ Банка (Казахстан)</t>
  </si>
  <si>
    <t>ЮниКредит С.п.А.</t>
  </si>
  <si>
    <t>БАРН Б.В.</t>
  </si>
  <si>
    <t>1 марта 2018 года в результате сделки между Группой и единственным акционером ЮниКредит С.п.А., Группа приобрела 40% в капитале БАРН Б.В. (Нидерланды), компании, являющейся с 2013 года единственным акционером АО «PH Банк» (Российская Федерация). Общая стоимость приобретения составила 6 033 031 тыс. руб., включая увеличение в уставном капитале в сумме 1 209 598 тыс. руб.</t>
  </si>
  <si>
    <t>В феврале 2014 года АО ЮниКредит Банк приобрел у ЮниКредит Лизинг С.п.А. 60% доли участия в ООО «ЮниКредит Лизинг» в дополнение к уже имеющимся 40% доли участия. ООО «ЮниКредит Лизинг» владеет 100% акций ЗАО «Локат Лизинг Россия». Обе компании осуществляют свою деятельность в сфере финансового лизинга на местном рынке. В результате данной сделки в состав Группы входит Банк, ведущее операционное предприятие Группы, а также 100% дочерняя компания ООО «ЮниКредит Лизинг». Данная сделка учитывается как сделка под общим контролем, так как Банк и ЮниКредит Лизинг С.п.А. имеют одних и тех же конечных собственников акций.</t>
  </si>
  <si>
    <t>В августе 2013 года Банк продал 100% акций своей дочерней компании ЗАО «Банк Сибирь» по цене 6 547 238 тыс. руб. компании, которая на 40% принадлежит Группе ЮниКредит, а на 60% - третьей стороне. До продажи акций уставный капитал ЗАО «Банк Сибирь» был увеличен Банком посредством инвестирования 6 000 000 тыс. руб. На момент выбытия чистые активы дочерней компании составляли 6 397 708 тыс. руб. Прибыль от выбытия в размере 149 530 тыс. руб. отражена в консолидированном отчете о совокупном доходе за год, закончившийся 31 декабря 2013 года, в составе прибыли от выбытия дочерней компании. Чистый приток денежных средств в результате выбытия дочерней компании в размере 547 238 тыс. руб. включен в консолидированный отчет о движении денежных средств за год, закончившийся 31 декабря 2013 года.</t>
  </si>
  <si>
    <t>ЮниКредит Лизинг С.п.А.</t>
  </si>
  <si>
    <t>В течение 2020 года Группа утратила контроль над АО «Албашский элеватор», АО «Величковский элеватор», АО «Степнянский элеватор», ООО «Башкирская сахарная компания», ООО «Раевсахар», ООО «Торговый дом «Башкирский сахар», ООО «Агрофирма «Красный Клин», ООО «Раевская», ООО «Карламанский продукт», ООО «Ломан 2» (31 декабря 2019 года: доля Группы составляла 100% по компаниям: ООО «Башкирская сахарная компания», ООО «Раевсахар», ООО «Торговый дом «Башкирский сахар», ООО «Агрофирма «Красный Клин», ООО «Раевская», ООО «Карламанский продукт», ООО «Ломан 2», а также 75.00% АО «Албашский элеватор», 80.03% АО «Величковский элеватор», 75.01% АО «Степнянский элеватор») в результате продажи акций/долей участия дочерних компаний третьей стороне. В результате данного выбытия Группа признала убыток в размере 976 миллионов рублей по статье «Расходы от выбытия дочерних компаний» в консолидированном отчете о прибылях и убытках и прочем совокупном доходе. Сумма возмещения, полученного денежными средствами при продаже акций/долей дочерних компаний, составила 559 миллионов рублей. Выручка от выбытия дочерних компаний за вычетом денежных средств и их эквивалентов, выбывших в результате продажи, составила 193 миллиона рублей.</t>
  </si>
  <si>
    <t>АО "Российский Сельскохозяйственный банк" (АО "Россельхозбанк"; РСХБ)</t>
  </si>
  <si>
    <t>В конце 2018 года Группа получила контроль над ООО «Тамбовская сахарная компания» и ООО «Тамбовсахаринвест» (далее — «Группа ТСК»). С учетом потенциальных прав доля Группы в ООО «Тамбовская сахарная компания» на 31 декабря 2018 года составила 74.99%. В соответствии с МСФО (IFRS) 3 «Объединение бизнеса» стоимость вознаграждения, переданного при приобретении, включает в себя кредит, предоставленный Группой дочерней компании, в размере 5 260 миллионов рублей, что отражено как «Прекращение признания ранее существовавших отношений». Так как балансовая стоимость полученного займа примерно равняется справедливой стоимости кредита, предоставленного Группой, такое урегулирование внутригрупповых отношений, существовавших до приобретения, не повлияло на результат в консолидированном отчете о прибылях и убытках и прочем совокупном доходе.</t>
  </si>
  <si>
    <t>В марте 2019 года Группа утратила контроль над ООО «Тамбовская сахарная компания» и ООО «Тамбовсахаринвест» (далее — «Группа ТСК»). В результате выбытия компаний Группа признала убыток в размере 159 миллионов рублей в составе прочих операционных расходов.</t>
  </si>
  <si>
    <t>В октябре 2019 года Группа утратила контроль над ООО «Агроторг Троицк» (31 декабря 2018 года: доля Группы составляла 100%). В результате данного выбытия Группа признала убыток в размере 23 миллиона рублей по статье «Прочие операционные доходы/(расходы)» консолидированного отчета о прибылях и убытках и прочем совокупном доходе. Стоимость вознаграждения, полученного в 2019 году при продаже, включает в себя денежные средства в размере 15 миллионов рублей.</t>
  </si>
  <si>
    <t>В июле 2016 года из Группы выбыли следующие компании ОАО «Белоглинский элеватор», ОАО «Еянский элеватор», ОАО «Крыловский элеватор», ОАО «Ладожский элеватор», ОАО «Малороссийский элеватор», ОАО «Ровненский элеватор» и ОАО «Уманский элеватор» в связи с их реализацией. Доход от реализации компаний составил 66 миллионов рублей.</t>
  </si>
  <si>
    <t>В декабре 2012 года Группа продала ООО «АПП «Ставрополье» третьей стороне.</t>
  </si>
  <si>
    <t>В июне 2011 года Группа завершила продажу дочернего банка ЗАО «Челябинский коммерческий земельный банк».</t>
  </si>
  <si>
    <t>В августе 2011 года Группа приобрела 100% акций Закрытого акционерного общества «Страховая компания «ГазГарант», которое позднее было переименовано в Закрытое акционерное общество «РСХБ-Страхование».</t>
  </si>
  <si>
    <t>Элеватор</t>
  </si>
  <si>
    <t>Объединение компаний (Краснодарская область): ОАО «Албашский элеватор» (75.00%); ОАО «Белоглинский элеватор» (80.41%); ОАО «Величковский элеватор» (80.03%); ОАО «Еянский элеватор» (76.68%); ОАО «Крыловский элеватор» (75.64%); ОАО «Ладожский элеватор» (80.34%); ОАО «Малороссийский элеватор» (75.75%); ОАО «Ровненский элеватор» (75.13%); ОАО «Степнянский элеватор» (75.01%); ОАО «Уманский элеватор» (97.88%)  - 25 июня 2009 года</t>
  </si>
  <si>
    <t>Объединение компаний (Ленинградская область): ОАО «Рассвет» - Животноводство (99.03%) 31 Марта 2009; ОАО «Лужский комбикормовый завод» - Производство комбикормов (87.53%) 27 Апреля 2009; ОАО «Лужский мясокомбинат» Мясная промышленность (98.43%) - 27 Апреля 2009</t>
  </si>
  <si>
    <t>Объединение компаний (Самарская область): ООО «Доминант» - Сельское хозяйство (74.25%) 17 Сентября 2009; ООО «АгроИнвест» - Сельское хозяйство (74.25%) 17 Сентября 2009; ЗАО «Агро-проект» - Финансовые услуги (74.25%) 13 Октября 2009; ООО «Агролюкс» - Производство комбикормов и прочей продукции (57.31%) 2 Ноября 2009</t>
  </si>
  <si>
    <t>Объединение компаний (Тульская область): ЗАО «Хомяковский хладокомбинат» - Пищевая промышленность (76.15%) 12 Октября 2009; ООО «Оптовые технологии» - Пищевая промышленность (76.15%) 12 Октября 2009; ЗАО «Агрохолдинг «СП-Холод»» - Пищевая промышленность (76.15%) 12 Октября 2009; ООО «Бригантина» - Пищевая промышленность (76.15%) 12 Октября 2009</t>
  </si>
  <si>
    <t>ГК развития "ВЭБ.РФ" (ГК "Банк развития и внешнеэкономической деятельности (Внешэкономбанк)")</t>
  </si>
  <si>
    <t>5 июля 2017 года Группа приобрела контроль над шестью компаниями группы «ЕВРОДОН» (далее – «компании»): ООО «ЕВРОДОН», ООО «Урсдон», ООО «Евродон-Юг», ООО «Ирдон», «ТД Индолина», ООО «Металл-Дон» – доля владения каждой из компаний составила 74%. Основными видами деятельности компаний являются производство, переработка и реализация мяса индейки и утки, производство строительно-монтажных работ, сэндвич-панелей (ООО «Ирдон») и металлоконструкций (ООО «Металл-Дон»). Ранее Группе принадлежали 40% в ООО «ЕВРОДОН», 49% в ООО «Урсдон», 49% в ООО «Ирдон» и 49% в ООО «Металл-Дон», общей справедливой стоимостью на дату приобретения контроля 0,4 млрд. рублей. Вхождение Группы в уставный капитал компаний осуществлено в связи с финансированием Банком нескольких проектов по созданию промышленного производственного комплекса.</t>
  </si>
  <si>
    <t>В марте 2017 года были приобретены 2 070 000 штук обыкновенных именных акций дополнительного выпуска АО «Корпорация развития Северного Кавказа» на общую сумму 2,1 млрд. руб. за счет средств субсидии из федерального бюджета, полученной Внешэкономбанком в декабре 2016 года.</t>
  </si>
  <si>
    <t>30 марта 2016 года Группа увеличила свою долю с 19% до 100% в уставном капитале ассоциированной организации ООО «ВЭБ-Инвест». Стоимость приобретения, оплаченная денежными средствами, составила несущественную величину. Справедливая стоимость и балансовая стоимость учитываемой ранее 19% доли в капитале ООО «ВЭБ-Инвест» составляет 0 рублей. ООО «ВЭБ-Инвест» является материнской организацией группы компаний, преимущественно реализующих инвестиционные проекты по девелопменту и строительству объектов недвижимости различного класса на территории Москвы и в регионах России. Увеличение доли Группы в уставном капитале ООО «ВЭБ-Инвест» в 2016 году связано с участием Банка в финансировании инвестиционных проектов, реализуемых группой ООО «ВЭБ-Инвест».</t>
  </si>
  <si>
    <t>23 ноября 2016 года Банк приобрел 100% акций АО «Каспийский завод листового стекла», занимающегося производством листового стекла. Вхождение Банка в уставный капитал осуществлено в связи с финансированием Банком указанного проекта.</t>
  </si>
  <si>
    <t>Glass</t>
  </si>
  <si>
    <t>Производство листового стекла</t>
  </si>
  <si>
    <t>Консультационные услуги, сопровождение инвестиционных проектов</t>
  </si>
  <si>
    <t>Гернси</t>
  </si>
  <si>
    <t>В июне 2016 года в рамках реализации преимущественного права на приобретение дополнительных акций ПАО «Проминвестбанк» Внешэкономбанком осуществлена оплата 160 682 620 штук акций ПАО «Проминвестбанк» дополнительного выпуска в сумме 64,6 млн. долларов США и 0,04 млн. евро (общий эквивалент на дату приобретения 4,2 млрд. рублей). Доля участия Банка в уставном капитале общества изменилась и составляет 99,72%. Отчет о результатах размещения акций ПАО «Проминвестбанк» дополнительного выпуска зарегистрирован Национальной комиссией по ценным бумагам и фондовому рынку Украины в октябре 2016 года.</t>
  </si>
  <si>
    <t>В феврале 2016 года Банк перечислил денежные средства в сумме 500 млн. долларов США (37,2 млрд. руб. на дату перечисления) и 0,2 млрд. евро (19,0 млрд. руб. на дату перечисления) в счет оплаты 1 999 984 200 штук акций дополнительного выпуска ПАО «Проминвестбанк». Отчет о результатах размещения акций ПАО «Проминвестбанк» дополнительного выпуска был зарегистрирован Национальной комиссией по ценным бумагам и фондовому рынку Украины в мае 2016 года.</t>
  </si>
  <si>
    <t>В апреле 2016 года во исполнение Указа Президента РФ от 5 июня 2015 года № 287 и Федерального закона от 29 июня 2015 года № 156-ФЗ «О внесении изменений в отдельные законодательные акты Российской Федерации по вопросам развития малого и среднего предпринимательства в Российской Федерации» Внешэкономбанк передал принадлежащие ему 19 240 акций (100% по состоянию на 31 декабря 2015 года) АО «МСП Банк», потеряв при этом контроль над ним, в оплату акций дополнительного выпуска АО «Федеральная корпорация по развитию малого и среднего предпринимательства» (далее – АО «Корпорация «МСП»)</t>
  </si>
  <si>
    <t>В августе 2016 года Внешэкономбанк внес дополнительный вклад в уставный капитал ООО «Инфраструктура Молжаниново» в сумме 1,2 млрд. рублей. Доля участия Банка в уставном капитале общества составила 99,99998%.</t>
  </si>
  <si>
    <t>В декабре 2016 года Банк приобрел 30 902 348 штук акций дополнительного выпуска АО «ВЭБ-лизинг» на сумму 75,0 млрд. рублей. Доля участия Группы в уставном капитале АО «ВЭБ-лизинг» увеличилась и составила 99,79%.</t>
  </si>
  <si>
    <t>В декабре 2016 года Банк приобрел 7 988 262 200 000 штук акций дополнительного выпуска ПАО АКБ «Связь-Банк» на сумму 16,0 млрд. рублей. Доля участия Банка в уставном капитале ПАО АКБ «Связь-Банк» увеличилась и составила 99,77%.</t>
  </si>
  <si>
    <t>Rose Group Limited (ранее R.G.I. International Limited)</t>
  </si>
  <si>
    <t>В марте 2016 года в результате выкупа Rose Group Limited собственных акций в размере 16,11% доля участия Группы изменилась и составила 68,28%. В третьем квартале 2016 года в результате обратного обмена акциями доля участия Группы в дочерней компании Rose Group Limited увеличилась и составила 73,4%.</t>
  </si>
  <si>
    <t>ГК развития "ВЭБ.РФ" (ГК "Банк развития и внешнеэкономической деятельности (Внешэкономбанк)") (дочерняя компания - Rose Group Limited (ранее R.G.I. International Limited)</t>
  </si>
  <si>
    <t>В марте 2015 года Банк приобрел 50 337 125 штук обыкновенных именных акций АО «ГЛОБЭКСБАНК» дополнительного выпуска на общую сумму 5 034 млн. рублей. По результатам размещения акций АО «ГЛОБЭКСБАНК» дополнительного выпуска доля участия Банка в уставном капитале дочерней организации не изменилась и составила 99,99%.</t>
  </si>
  <si>
    <t>В апреле и июне 2015 года Внешэкономбанк внес дополнительные вклады в уставный капитал ООО «ВЭБ Капитал» в сумме 400 млн. руб. и 225 млн. руб. соответственно. Доля участия Банка в уставном капитале общества не изменилась и составляет 100%</t>
  </si>
  <si>
    <t>В мае 2015 года Банк перечислил денежные средства в сумме 303 млн. долларов США (15 844 млн. руб. на дату перечисления) в счет оплаты 637 761 278 штук акций дополнительного выпуска ПАО «Проминвестбанк». В июле 2015 года к Банку перешло право собственности на указанные акции дополнительного выпуска. По итогам размещения дополнительных акций ПАО «Проминвестбанк» доля Внешэкономбанка в уставном капитале дочернего банка увеличилась до 99,39%.</t>
  </si>
  <si>
    <t>В июне 2015 года Внешэкономбанк приобрел 12 153 476 штук обыкновенных именных акций АО «ЭКСАР» дополнительного выпуска на общую сумму 12 153 млн. рублей. Доля участия Банка в уставном капитале общества не изменилась и составляет 100%.</t>
  </si>
  <si>
    <t>В июле 2015 года Внешэкономбанк перечислил денежные средства в размере 10 000 млн. руб. в целях приобретения 1 304 291 штуки акций ОАО «ВЭБ-лизинг» дополнительного выпуска. Доля участия Группы в уставном капитале общества по итогам размещения указанного дополнительного выпуска составляет 99,11%.</t>
  </si>
  <si>
    <t>В декабре 2015 года между Внешэкономбанком и АО «Российский экспортный центр» были подписаны договоры купли-продажи ценных бумаг, согласно которым в собственность АО «Российский экспортный центр» были переданы 1 акция АО РОСЭКСИМБАНК и 43 529 913 штук (100%) обыкновенных именных акций АО «ЭКСАР». Ранее в ноябре 2014 года в соответствии с договором купли-продажи ценных бумаг Внешэкономбанк передал пакет акций АО РОСЭКСИМБАНК в размере 100% минус 1 акция дочерней организации - АО «ЭКСАР». Доля участия Группы в уставном капитале дочернего общества АО «ЭКСАР» не изменялась и составляет 100%.</t>
  </si>
  <si>
    <t>АО РОСЭКСИМБАНК</t>
  </si>
  <si>
    <t>Банквоская деятельность и страхование</t>
  </si>
  <si>
    <t>Финансовое посредничество</t>
  </si>
  <si>
    <t>В ноябре 2014 года в соответствии с условиями договора купли-продажи Банк передал в собственность ОАО «ЭКСАР» 265 099 штук обыкновенных именных акций ЗАО РОСЭКСИМБАНК (100% минус 1 акция) по цене 2 153 млн. руб. Доля участия Группы в уставном капитале ЗАО РОСЭКСИМБАНК не изменилась и составляет 100%.</t>
  </si>
  <si>
    <t>В феврале 2015 года на счет Внешэкономбанка в ценных бумагах в депозитарном учреждении ПАО «Проминвестбанк» зачислены 441 542 360 штук простых именных акций ПАО «Проминвестбанк» дополнительного выпуска (оплата Внешэкономбанком дополнительных акций ПАО «Проминвестбанк» осуществлена в декабре 2014 года). По итогам размещения дополнительных акций ПАО «Проминвестбанк» доля Внешэкономбанка в уставном капитале дочернего банка увеличилась до 99,09%.
В декабре 2014 года Банк перечислил денежные средства в общей сумме 280 млн. долларов США (16 991 млн. руб. на дату перечисления) в счет оплаты 441 542 360 штук простых именных акций дополнительного выпуска ПАО «Проминвестбанк». Право собственности на указанные акции ПАО «Проминвестбанк» по состоянию на 31 декабря 2014 года к Банку не перешло.</t>
  </si>
  <si>
    <t>В январе 2014 года Банк перечислил 48 млн. руб. в счет оплаты доли в размере 32,45% от уставного капитала дочерней компании ООО «ВЭБ Инжиниринг», в результате чего доля участия Группы в уставном капитале ООО «ВЭБ Инжиниринг» составила 100%. По состоянию на 31 декабря 2013 года 100% голосов в собрании участников ООО «ВЭБ Инжиниринг» принадлежали Банку.</t>
  </si>
  <si>
    <t>В апреле 2014 года Банк приобрел 170 000 штук обыкновенных именных акций ЗАО РОСЭКСИМБАНК дополнительного выпуска на общую сумму 1 700 млн. руб. По итогам размещения акций ЗАО РОСЭКСИМБАНК дополнительного выпуска доля участия Банка в уставном капитале общества не изменилась и составила 100%.</t>
  </si>
  <si>
    <t>В июле 2014 года Банк приобрел 1 000 штук обыкновенных именных акций ЗАО «Курорт «Золотое кольцо». Доля участия Банка в уставном капитале общества составила 100%.</t>
  </si>
  <si>
    <t>В октябре 2014 года Банк приобрел 2 059 штук обыкновенных именных акций ОАО «МСП Банк» дополнительного выпуска на общую сумму 2 059 млн. руб. Доля участия Банка в уставном капитале дочерней организации не изменилась и составляет 100%.</t>
  </si>
  <si>
    <t>В октябре 2014 года Банк приобрел 1 376 437 штук обыкновенных акций ОАО «ЭКСАР» дополнительного выпуска на общую сумму 1 376 млн. руб. В качестве оплаты указанных акций Банк передал в собственность эмитенту нежилое здание. Доля участия Банка в уставном капитале дочерней организации не изменилась и составляет 100%.</t>
  </si>
  <si>
    <t>2 июля 2015 года дочерняя организация ООО «ВЭБ Капитал» компания Pilsen Toll s.r.o. приобрела 85% голосующих акций в холдинговой компании United Group S.A., зарегистрированной в Люксембурге. Компания United Group S.A. является бенефициарным владельцем металлургического предприятия в Чешской Республике. Вхождение Группы в ее уставный капитал осуществлено в связи с финансированием Банком соответствующего инвестиционного проекта.</t>
  </si>
  <si>
    <t>В декабре 2015 года дочерняя организация ООО «ВЭБ Капитал» компания Pilsen Toll s.r.o. выкупила 150 штук акций класса В у владельцев неконтролирующих долей участия. После указанного приобретения доля участия Группы в уставном капитале компании United Group s.a. составила 100%. В результате перераспределения долей участия неконтролирующая доля выросла на 1 851 млн. руб., нераспределенная прибыль Группы и фонд пересчета иностранных валют снизились на 1 430 млн. руб. и 421 млн. руб. соответственно.</t>
  </si>
  <si>
    <t>В первом квартале 2014 года ПАО «Проминвестбанк» реализовало третьим лицам 1 779 521 штук собственных акций, выкупленных ранее у акционеров. В результате перераспределения долей владения между Внешэкономбанком и акционерами - владельцами неконтролирующих долей участия неконтролирующая доля участия выросла на 38 млн. руб., фонд пересчета иностранных валют снизился на 3 млн. руб., а нераспределенная прибыль Группы увеличилась на 36 млн. рублей.</t>
  </si>
  <si>
    <t>В течение четвертого квартала 2014 года ПАО «Проминвестбанк» выкупило 508 532 акции у владельцев неконтролирующих долей участия. В результате перераспределения долей владения между Внешэкономбанком и оставшимися акционерами - владельцами неконтролирующих долей участия произошло увеличение стоимости неконтролирующих долей участия на 4 млн. руб. одновременно с уменьшением фонда пересчета иностранных валют на 1 млн. руб. и нераспределенной прибыли Группы на 21 млн. рублей.</t>
  </si>
  <si>
    <t>United Group S.A.</t>
  </si>
  <si>
    <t>В феврале 2016 года Внешэкономбанк внес дополнительный вклад в уставный капитал ооо «ВЭБ Капитал» в сумме 40 400 млн. рублей. Доля участия Банка в уставном капитале общества не изменилась и составляет 100%.</t>
  </si>
  <si>
    <t>24 июля 2014 года в результате утверждения общим собранием участников ООО «Ресад» устава общества в новой редакции Банк приобрел контроль над данной организацией (государственная регистрация устава общества в новой редакции осуществлена в августе 2014 года). Доля участия Банка в капитале общества не изменилась и составляет 85%. ООО «Ресад» является заказчиком проекта по строительству газотурбинной электростанции (ГТЭС) «Молжаниновка» в Москве. Вхождение Банка в уставные капиталы ООО «Ресад» и ООО «Курорт «Золотое кольцо» осуществлено в связи с финансированием Банком соответствующих проектов.</t>
  </si>
  <si>
    <t>29 июля 2014 года Банк приобрел 100% голосующих акций ЗАО «Курорт «Золотое кольцо» (впоследствии преобразовано в ООО «Курорт «Золотое кольцо») которое реализует проект строительства туристско-рекреационного комплекса в Переславском районе Ярославской области. Вхождение Банка в уставные капиталы ООО «Ресад» и ООО «Курорт «Золотое кольцо» осуществлено в связи с финансированием Банком соответствующих проектов.</t>
  </si>
  <si>
    <t>Недвижимость и строительство</t>
  </si>
  <si>
    <t>В январе 2016 года Банк приобрел 45 800 000 000 штук акций дополнительной эмиссии АО «Российский экспортный центр» на общую сумму 45 800 млн. рублей. Доля участия Банка в уставном капитале компании АО «Российский экспортный центр» не изменилась и составляет 100%.</t>
  </si>
  <si>
    <t>Поддержка экспортной деятельности</t>
  </si>
  <si>
    <t>В феврале 2016 года Внешэкономбанк внес дополнительный вклад в уставный капитал ООО «Курорт «Золотое кольцо» в сумме 7 979 млн. рублей. Доля участия Банка в уставном капитале общества не изменилась и составляет 100%.</t>
  </si>
  <si>
    <t>В феврале 2016 года Внешэкономбанк внес дополнительный вклад в уставный капитал ООО «Ресад» в сумме 7 043 млн. рублей. Доля участия Банка в уставном капитале общества составила 99,99997%. В марте 2016 года ООО «Ресад» было переименовано в ООО «Инфраструктура Молжаниново».</t>
  </si>
  <si>
    <t>Услуги, связанные с реализацией инвестиционных проектов</t>
  </si>
  <si>
    <t>В декабре 2014 года Банк приобрел 5 000 000 млн. штук обыкновенных именных акций ПАО АКБ «Связь-Банк» дополнительного выпуска на общую сумму 10 000 млн. руб. По результатам размещения акций дополнительного выпуска ПАО АКБ «Связь-Банк» доля участия Банка в уставном капитале дочерней организации составила 99,65%.</t>
  </si>
  <si>
    <t>8 марта 2013 года дочерний банк АО «ГЛОБЭКСБАНК» приобрел 28,8% голосующих акций компании R.G.L Непосредственно перед датой приобретения АО «ГЛОБЭКСБАНК» владел 22,6% голосующих акций R.G.L, приобретенных 4 января 2013 года. Таким образом, доля участия Группы в капитале R.G.L составила 51,4%. Акции были приобретены по цене 2,1 доллара США за одну акцию на общую сумму эквивалентную 5 408 млн. руб. по курсу на даты приобретения акций. R.G.L является девелоперской компанией, специализирующейся на проектах жилой и торговой недвижимости в Москве и прилегающих районах. Группа приобрела контрольную долю в R.G.L с целью участия в инвестиционных проектах по строительству и реализации объектов недвижимости.</t>
  </si>
  <si>
    <t>В течение второго квартала 2013 года ПАО «Проминвестбанк» выкупило 1 779 521 акцию у владельцев неконтролирующих долей участия. В результате перераспределения долей владения между Внешэкономбанком и оставшимися акционерами – владельцами неконтролирующих долей участия произошло уменьшение стоимости неконтролирующих долей участия на 23 млн. руб. одновременно с увеличением фонда пересчета иностранных валют на 7 млн. руб. и уменьшением нераспределенной прибыли Группы на 56 млн. руб.</t>
  </si>
  <si>
    <t>В мае и июле 2013 года Банк перечислил средства в общей сумме 365 млн. долларов США (11 432 млн. руб.) в оплату 291 744 499 штук акций дополнительной эмиссии ПАО «Проминвестбанк». Отчет о результатах размещения акций ПАО «Проминвестбанк» дополнительного выпуска зарегистрирован Национальной комиссией по ценным бумагам и фондовому рынку Украины в октябре 2013 года. По результатам размещения акций ПАО «Проминвестбанк» дополнительного выпуска доля Внешэкономбанка в уставном капитале ПАО «Проминвестбанк» составила 98,6%.</t>
  </si>
  <si>
    <t>В феврале 2013 года Банк приобрел 2 000 000 штук обыкновенных именных акций ОАО «Федеральный центр проектного финансирования» дополнительного выпуска на общую сумму 2 000 млн. рублей. Доля участия Банка в уставном капитале дочерней организации не изменилась и составляет 100%.</t>
  </si>
  <si>
    <t>В апреле 2013 года в Гонконге (Китайская Народная Республика) зарегистрирована компания VEB Asia Limited. В октябре 2013 года Банк перечислил средства в размере 30 млн. долларов США (968 млн. руб. на дату перечисления) в оплату 234 000 000 штук акций компании. Доля участия Банка в уставном капитале VEB Asia Limited составляет 100%.</t>
  </si>
  <si>
    <t>В июле 2013 года Банк приобрел 4 000 000 штук обыкновенных именных акций ОАО «Корпорация развития Северного Кавказа» дополнительного выпуска на общую сумму 4 000 млн. рублей. Доля участия Банка в уставном капитале дочерней организации не изменилась и составляет 100%.</t>
  </si>
  <si>
    <t>В августе 2013 года Банк внес дополнительный вклад в уставный капитал ООО «ВЭБ Капитал» в сумме 2 млн. рублей. Доля участия Банка в уставном капитале дочерней организации не изменилась и составляет 100%.</t>
  </si>
  <si>
    <t>В октябре 2013 года Банк приобрел 542 штуки обыкновенных именных акций ОАО «МСП Банк» дополнительного выпуска на общую сумму 542 млн. рублей. Доля участия Банка в уставном капитале дочерней организации не изменилась и составляет 100%.</t>
  </si>
  <si>
    <t>19 декабря 2012 года дочерний банк ЗАО «ГЛОБЭКСБАНК» получил контроль над 100% паев закрытого паевого инвестиционного фонда прямых инвестиций «Базис – Долгосрочные инвестиции» (далее – ЗПИФ «Базис – Долгосрочные инвестиции»). ЗПИФ «Базис – Долгосрочные инвестиции» основан 24 декабря 2009 года. Основной деятельностью приобретенного фонда является долгосрочное вложение средств в ценные бумаги, доли в уставных капиталах российских обществ с ограниченной ответственностью и другие активы. Группа приобрела указанный фонд с целью участия в инвестиционных проектах по строительству и реализации объектов недвижимости, осуществляемых российскими компаниями, контрольная доля в которых учитывается на балансе ЗПИФ «Базис – Долгосрочные инвестиции». До даты приобретения контроля Группа владела 100% паев ЗПИФ «Базис – Долгосрочные инвестиции», но не включала его в консолидированную финансовую отчетность, поскольку ранее данное владение не обеспечивало контроль над фондом в результате заключения безотзывного опциона с третьей стороной о продаже 100% паев. 19 декабря 2012 года опцион был расторгнут, стороны не осуществляли каких-либо платежей.</t>
  </si>
  <si>
    <t>В марте 2013 года Банк перечислил средства в размере 15 000 млн. руб., полученные Банком в виде имущественного взноса, в счет оплаты 15 000 000 штук акций дополнительного выпуска ОАО «Фонд развития Дальнего Востока и Байкальского региона». Доля участия Банка в уставном капитале дочерней организации не изменилась и составляет 100%.</t>
  </si>
  <si>
    <t>VEB Asia Limited</t>
  </si>
  <si>
    <t>В четвертом квартале 2012 года ООО «ВЭБ Инжиниринг» осуществило выкуп собственных долей у неконтролирующих участников по номиналу. В результате перераспределения долей участия неконтролирующая доля уменьшилась на 2 млн. руб. одновременно с уменьшением суммы нераспределенной прибыли на 46 млн. рублей.</t>
  </si>
  <si>
    <t>В первом квартале 2012 года ПАО «Проминвестбанк» реализовало 1 352 316 своих акций, выкупленных ранее у акционеров. В результате перераспределения долей участия между Банком и остальными акционерами неконтролирующая доля участия выросла на 29 млн. руб., фонд пересчета иностранных валют увеличился на 2 млн. руб., сумма нереализованной переоценки инвестиционных ценных бумаг, имеющихся в наличии для продажи, снизилась на 1 млн. руб. одновременно с увеличением суммы нераспределенной прибыли Группы на 21 млн. рублей.</t>
  </si>
  <si>
    <t>В мае 2012 года осуществлена государственная регистрация выпуска акций дополнительной эмиссии ОАО «Банк БелВЭБ». По итогам размещения дополнительных акций доля Банка в уставном капитале ОАО «Банк БелВЭБ» увеличилась до 97,52%. Стоимость приобретенных Банком акций дополнительной эмиссии составила 1 516 млн. руб., взнос неконтролирующих акционеров составил 38 млн. рублей. По итогам дополнительной эмиссии балансовая стоимость чистых активов ОАО «Банк БелВЭБ», выросла на 1 554 млн. рублей. В результате перераспределения долей участия между Банком и остальными акционерами неконтролирующая доля участия выросла на 37 млн. руб. одновременно с увеличением суммы нераспределенной прибыли Группы на 1 млн. рублей.
В феврале 2012 года в рамках проводимой ОАО «Банк БелВЭБ» закрытой подписки на дополнительные акции Внешэкономбанк осуществил оплату 4 055 000 000 штук акций в сумме эквивалентной 1 456 млн. руб. (на дату оплаты).</t>
  </si>
  <si>
    <t>В марте, октябре и декабре 2012 года Банк перечислил средства в общей сумме 2 210 млн. руб. в оплату 159 562 шт. дополнительных инвестиционных паев ЗПИФ прямых инвестиций «МРИФ – II», в результате чего доля Банка в имуществе фонда увеличилась до 99,9992%.</t>
  </si>
  <si>
    <t>В марте, мае и августе 2012 года Внешэкономбанк внес дополнительные вклады в уставный капитал ООО «ВЭБ Капитал» в общей сумме 4 025 млн. рублей. Доля участия Банка в уставном капитале ООО «ВЭБ Капитал» не изменилась и составляет 100%.</t>
  </si>
  <si>
    <t>В мае 2012 года Внешэкономбанк приобрел 3 100 000 шт. обыкновенных именных акций ОАО «Корпорация развития Северного Кавказа» дополнительного выпуска на общую сумму 3 100 млн. рублей. Доля участия Банка в уставном капитале дочерней компании не изменилась и составляет 100%.</t>
  </si>
  <si>
    <t>В июне 2012 года Банк приобрел 1 979 шт. обыкновенных именных акций ОАО «МСП Банк» дополнительного выпуска на сумму 1 979 млн. рублей. Доля участия Внешэкономбанка в уставном капитале дочернего банка не изменилась и составляет 100%.</t>
  </si>
  <si>
    <t>ОАО НАЦИОНАЛЬНЫЙ ТОРГОВЫЙ БАНК</t>
  </si>
  <si>
    <t>18 февраля 2011 года дочерний банк Группы ЗАО «ГЛОБЭКСБАНК» приобрел 83,7% акций ОАО НАЦИОНАЛЬНЫЙ ТОРГОВЫЙ БАНК (далее – «ОАО НТБ»). ОАО НТБ было учреждено 7 сентября 1994 года в форме открытого акционерного общества в соответствии с законодательством Российской Федерации. ОАО НТБ предоставлял кредиты и принимал вклады физических и юридических лиц, осуществлял операции с ценными бумагами, переводы денежных средств по территории Российской Федерации и за ее пределами, проводит валютообменные операции, а также оказывал другие банковские услуги юридическим и физическим лицам, являющимся его клиентами. Головной офис ОАО НТБ находится в г. Тольятти. Непосредственно перед датой приобретения Группа владела 16,3% акций ОАО НТБ, которые учитывались в составе инвестиционных ценных бумаг, имеющихся в наличии для продажи. В результате приобретения Группой контроля над ОАО НТБ был признан доход от переоценки ранее имевшейся доли по справедливой стоимости в размере 215 млн. руб. по статье «Доходы за вычетом расходов по операциям с инвестиционными финансовыми активами, имеющимися в наличии для продажи» в консолидированном отчете о прибылях и убытках.</t>
  </si>
  <si>
    <t>6 февраля 2013 года дочерняя компания Банка приобрела 100% долю ООО «Торгово-промышленная компания «Орские заводы». На данный момент Группа ведет определение справедливой стоимости активов, обязательств и условных обязательств приобретенного актива. Основной деятельностью приобретенной компании является оптовая торговля бытовыми товарами. ООО «ТПК «Орские заводы» было приобретено в целях повышения его рыночной стоимости.</t>
  </si>
  <si>
    <t>ГК развития "ВЭБ.РФ" (ГК "Банк развития и внешнеэкономической деятельности (Внешэкономбанк)") (дочерняя компания)</t>
  </si>
  <si>
    <t>Промышленность</t>
  </si>
  <si>
    <t>В течение первого полугодия 2011 года ПАО «Проминвестбанк» выкупил 260 169 акций у владельцев неконтролирующих долей участия. В результате перераспределения долей владения между Внешэкономбанком и оставшимися акционерами – владельцами неконтролирующих долей участия произошло уменьшение стоимости неконтролирующих долей участия на 13 млн. руб. одновременно с увеличением нераспределенной прибыли Группы на 3 млн. рублей.</t>
  </si>
  <si>
    <t>В марте 2011 года Банк приобрел 2 000 000 шт. обыкновенных именных акций дополнительной эмиссии ОАО «ВЭБ-лизинг» на сумму 5 000 млн. рублей. В результате увеличения доли владения дочерней организацией нераспределенная прибыль Группы изменилась несущественно. В сентябре 2011 года (в соответствии с договором купли-продажи акций дополнительного выпуска) Банк выкупил оставшуюся часть обыкновенных именных акций дополнительной эмиссии ОАО «ВЭБ-лизинг» в размере 2 000 000 шт. на сумму 5 000 млн. рублей. По состоянию на 31 декабря 2011 года доля Группы в уставном капитале дочерней организации составила 98,96%.</t>
  </si>
  <si>
    <t xml:space="preserve">В августе 2011 года Банк приобрел у акционеров – владельцев неконтролирующих долей участия 4,01% (21 247 294 штуки) голосующих акций ПАО «Проминвестбанк», увеличив долю владения до 97,85%. Балансовая стоимость чистых активов, приходящихся на акционеров ПАО «Проминвестбанк», составила 14 132 млн. рублей. Денежное вознаграждение, переданное за приобретенную долю, составило 4 251 млн. рублей. В результате данного приобретения стоимость неконтролирующих долей участия уменьшилась на 569 млн. руб., нераспределенная прибыль в капитале Группы снизилась на 3 680 млн. руб., фонд пересчета иностранных валют – на 13 млн. руб., сумма нереализованной переоценки инвестиционных ценных бумаг, имеющихся в наличии для продажи, увеличилась на 11 млн. рублей. </t>
  </si>
  <si>
    <t>В декабре 2011 года Банк приобрел 2 090 724 шт. обыкновенных акций ЗАО «ГЛОБЭКСБАНК», которые ранее учитывались дочерним банком в составе акций, выкупленных у акционеров. Доля Группы в уставном капитале ЗАО «ГЛОБЭКСБАНК» в результате покупки увеличилась до 99,99%. Стоимость приобретения указанного пакета составила 209 млн. рублей.</t>
  </si>
  <si>
    <t>В первом квартале 2011 года были проданы 2 370 077 акций ОАО «Банк БелВЭБ», выкупленные ранее банком у акционеров. В результате перераспределения долей владения нераспределенная прибыль Группы увеличилась на 2 млн. рублей.</t>
  </si>
  <si>
    <t>В четвертом квартале 2011 года были проданы 9 276 акций ЗАО «ГЛОБЭКСБАНК», выкупленные ранее банком у акционеров. В результате продажи стоимость неконтролирующих долей участия увеличилась на 1 млн. рублей.</t>
  </si>
  <si>
    <t>В сентябре 2011 года осуществлена государственная регистрация выпуска акций дополнительной эмиссии ОАО «Банк БелВЭБ». По итогам размещения акций ОАО «Банк БелВЭБ» дополнительного выпуска доля Банка увеличилась до 97,49%. Стоимость приобретенных Банком акций дополнительной эмиссии составила 848 млн. руб., взнос миноритарных акционеров составил 19 млн. рублей. По итогам дополнительной эмиссии балансовая стоимость чистых активов ОАО «Банк БелВЭБ» выросла на 867 млн. рублей. В результате перераспределения долей участия между Банком и остальными акционерами неконтролирующая доля участия выросла на 20 млн. руб., фонд пересчета иностранных валют снизился на 3 млн. руб. одновременно с увеличением суммы нераспределенной прибыли Группы на 3 млн. рублей. В июле 2011 года Банк осуществил оплату по номинальной стоимости 1 500 000 000 штук акций дополнительной эмиссии ОАО «Банк БелВЭБ» (эквивалент 844 млн. руб. на дату оплаты).</t>
  </si>
  <si>
    <t>В марте 2011 года осуществлена государственная регистрация отчета об итогах выпуска акций ОАО «Корпорация развития Северного Кавказа», учредителем которого выступил Внешэкономбанк. В уставный капитал дочерней компании Банком было внесено 500 млн. руб. (100% акций). Одними из основных направлений деятельности компании являются содействие реализации инвестиционных проектов, реализуемых на территории Северного Кавказа и консультирование региональных властей.</t>
  </si>
  <si>
    <t>В апреле 2011 года Внешэкономбанк внес дополнительный вклад в уставный капитал ООО «ВЭБ Капитал» в сумме 300 млн. рублей. Доля участия Группы в уставном капитале ООО «ВЭБ Капитал» не изменилась и составляет 100%.</t>
  </si>
  <si>
    <t>В июне 2011 года Внешэкономбанк учредил дочернюю Управляющую компанию Российского фонда прямых инвестиций (ООО «Управляющая компания РФПИ»). В уставный капитал ООО «Управляющая компания РФПИ» Банком было внесено 300 млн. руб. (100% доля). Основной целью деятельности компании является создание условий для привлечения российских и иностранных инвесторов в российскую экономику в высокотехнологичных сферах.</t>
  </si>
  <si>
    <t>В октябре 2011 года зарегистрировано Открытое акционерное общество «Российское агентство по страхованию экспортных кредитов и инвестиций» (ОАО «ЭКСАР»). Внешэкономбанк является единственным учредителем общества. Уставный капитал ОАО «ЭКСАР» оплачен в размере 30 000 млн. рублей. Целью создания агентства является страхование экспортных кредитов и инвестиций от предпринимательских и политических рисков.</t>
  </si>
  <si>
    <t>В ноябре 2011 года зарегистрировано Открытое акционерное общество «Фонд развития Дальнего Востока и Байкальского региона» с уставным капиталом в размере 500 млн. рублей. Внешэкономбанк является единственным учредителем общества. Целью создания общества является содействие реализации на территории Дальнего Востока и Байкальского региона инвестиционных проектов.</t>
  </si>
  <si>
    <t>В декабре 2011 года Банк приобрел 100% паев Закрытого паевого инвестиционного фонда долгосрочных прямых инвестиций «Российский фонд прямых инвестиций» (далее ЗПИФ ДПИ  РФПИ), находящегося под управлением ООО «Управляющая компания РФПИ». На 31 декабря 2011 года сумма вложений составила 62 600 млн. рублей.</t>
  </si>
  <si>
    <t>В декабре 2011 года Банк выкупил в полном объеме обыкновенные именные акции дополнительного выпуска ОАО «Федеральный центр проектного финансирования» (2 900 000 шт. акций) на общую сумму 2 900 млн. руб. (акции приобретены по их номинальной стоимости 1 000 руб. каждая акция). Доля участия Группы в уставном капитале ОАО «ФЦПФ» не изменилась и составляет 100%.</t>
  </si>
  <si>
    <t>В июне 2010 года Группа приобрела у акционеров, владеющих неконтрольными долями участия,
0,01% голосующих акций ЗАО «ГЛОБЭКСБАНК», увеличив долю владения до 98,95%. Балансовая
стоимость чистых активов, приходящихся на акционеров ЗАО «ГЛОБЭКСБАНК», составила
19 734 млн. рублей. Денежное вознаграждение, переданное за приобретенную долю, составило
3 млн. руб., что несущественно отличается от ее балансовой стоимости. Стоимость неконтрольных
долей участия соответственно уменьшилась на 3 млн. рублей.</t>
  </si>
  <si>
    <t>ЗПИФ ДПИ  РФПИ</t>
  </si>
  <si>
    <t>Управляющая компания</t>
  </si>
  <si>
    <t>В июле 2010 года Группа выкупила еще 0,21% голосующих акций ЗАО «ГЛОБЭКСБАНК» в ходе дополнительной эмиссии, доведя свою долю до 99,16%. Стоимость приобретения составила 5 000 млн. рублей. По итогам дополнительной эмиссии балансовая стоимость чистых активов ЗАО «ГЛОБЭКСБАНК» выросла на 5 000 млн. рублей. В связи с тем, что указанный рост превышает стоимость неконтрольных долей участия, перешедших в результате приобретения дополнительной эмиссии к Группе, неконтрольная доля участия выросла на 1 млн. рублей. Это увеличение снизило соответственно на 1 млн. руб. сумму нераспределенной прибыли, отраженную в капитале Группы.</t>
  </si>
  <si>
    <t>В течение четвертого квартала 2010 года ПАО Проминвестбанк выкупил 1 092 147 акций у акционеров-владельцев неконтрольных долей участия общей стоимостью 44 млн. рублей. В результате перераспределения долей владения между Внешэкономбанком и оставшимися акционерами-владельцами неконтрольных долей участия произошло уменьшение стоимости неконтрольных долей участия на 28 млн. руб. и уменьшение нераспределенной прибыли Группы на 17 млн. руб. одновременно с увеличением фонда пересчета иностранных валют на 1 млн. рублей.</t>
  </si>
  <si>
    <t>В декабре 2010 года ЗАО «ГЛОБЭКСБАНК» выкупил 2 100 000 акций у акционеров-владельцев неконтрольных долей участия общей стоимостью 210 млн. рублей. В результате перераспределения долей владения между Внешэкономбанком и оставшимися акционерами-владельцами неконтрольных долей участия произошло уменьшение стоимости неконтрольных долей участия на 209 млн. руб. и уменьшение нераспределенной прибыли Группы на 1 млн. рублей.</t>
  </si>
  <si>
    <t>В феврале и марте 2010 года Группа дополнительно приобрела обыкновенные именные акции ОАО «ВЭБ-лизинг» в количестве 830 229 штук, стоимостью 1 240 млн. рублей. Акции были приобретены посредством их выкупа у самой дочерней организации и ранее учитывались в составе акций, выкупленных у акционеров. В результате увеличения доли участия Группы в компании ОАО «ВЭБ-лизинг» с 78,07% до 97,97% произошло уменьшение неконтрольной доли участия на 531 млн. руб., в составе нераспределенной прибыли в капитале Группы были учтены 529 млн. руб. и в составе фонда пересчета иностранных валют 2 млн. рублей.</t>
  </si>
  <si>
    <t>На 31 декабря 2009 года доля участия Группы в капитале ЗАО «ГЛОБЭКСБАНК» составляет 98,94%. Акции в количестве 199 547 920 штук, были приобретены в период с апреля по май 2009 года. Общая стоимость всех приобретенных акций на 31 декабря 2009 года составила 4 929 рублей. ЗАО «ГЛОБЭКСБАНК» является активным участником рынка по кредитованию предприятий реального сектора экономики, работе с частными лицами, операциям на межбанковском рынке. Дочерний банк предоставляет клиентам услуги через разветвленную сеть своих подразделений в крупнейших городах России.</t>
  </si>
  <si>
    <t>В марте 2010 года осуществлена государственная регистрация инжиниринговой компании ООО «ВЭБ Инжиниринг», одним из учредителей которой выступил Внешэкономбанк. Доля Банка в уставном капитале ООО «ВЭБ Инжиниринг» составила 51%, стоимость доли – 100 млн. рублей. Одними из основных направлений деятельности компании является осуществление работ и оказание услуг, связанных с реализацией инвестиционных проектов.</t>
  </si>
  <si>
    <t>В четвертом квартале 2010 года Группа приобрела 100% акций в компании Machinery &amp; Industrial Group N.V. – держателе акций группы предприятий машиностроительной отрасли. При этом контроль над указанной компанией к Группе не перешел вследствие одновременного заключения опционного соглашения на продажу своей доли участия. Ввиду отсутствия контроля отчетность компании Machinery &amp; Industrial Group N.V. не включена в консолидированную отчетность Группы по состоянию на 31 декабря 2010 года.</t>
  </si>
  <si>
    <t>В декабре 2009 года была учреждена дочерняя специализированная компания ООО «Инвестиционная компания Внешэкономбанка («ВЭБ Капитал»)» (далее – ООО «ВЭБ Капитал»), целью деятельности которой является эффективное управление отдельными активами Группы. В уставный капитал дочерней компании Банком в 2009 году было внесено 400 млн. рублей (100% доля). В декабре 2010 года Внешэкономбанк осуществил дополнительные вклады в уставный капитал ООО «ВЭБ Капитал» в общей сумме 5 634 млн. рублей. Основными видами деятельности учрежденной дочерней компании являются операции на финансовых рынках, управление активами, в том числе строительными и производственными объектами, а также промышленно-финансовыми группами и холдинг-компаниями.</t>
  </si>
  <si>
    <t>В период с апреля по май 2009 года Внешэкономбанк дополнительно приобрел 602 281 690 обыкновенных акций банка. Общая стоимость дополнительно приобретенных акций составила 5,18 рублей.</t>
  </si>
  <si>
    <t>Кроме того, в апреле и сентябре 2009 года Внешэкономбанком по номинальной стоимости (0,01 рубля каждая) были приобретены 8 999 996 981 185 обыкновенных акций ОАО АКБ «Связь-Банк» двух дополнительных выпусков совокупным объемом 9 000 000 000 000 шт., что привело к увеличению доли Группы в капитале ОАО АКБ «Связь-Банк» до 99,47% по состоянию на 31 декабря 2010 года.</t>
  </si>
  <si>
    <t>В период с октября по декабрь 2008 года Внешэкономбанк приобрел 90% (461 804 619 018 шт.) обыкновенных акций Открытого акционерного общества Межрегиональный коммерческий банк развития связи и информатики (далее ОАО АКБ «Связь-Банк»). Стоимость приобретения составила 3 972 рубля.</t>
  </si>
  <si>
    <t>75%+3акции</t>
  </si>
  <si>
    <t>В январе 2009 года по итогам выкупа дополнительной эмиссии акций украинского Акционерного коммерческого промышленно-инвестиционного банка (на момент приобретения – Закрытое акционерное общество, в августе 2009 года преобразовано в Публичное акционерное общество, далее – ПАО Проминвестбанк). Группа стала владельцем пакета акций в размере 97 513 128 штук номинальной стоимостью 10 гривен (примерно 38,3 рублей). Стоимость приобретения акций составила 6 904 млн. рублей. В 2009 году Внешэкономбанк осуществил оплату суммарно 399 719 996 штук акций ПАО Проминвестбанк в общей сумме 14 127 млн. рублей (эквивалент 500 млн. долл. США). Доля Группы в уставном капитале украинского банка по итогам дополнительной эмиссии увеличилась до 93,84% Общая стоимость всех приобретенных акций банка составила 21 030 млн. рублей. Дочерний банк оказывает финансовые услуги физическим и юридическим лицам, осуществляет кассовое обслуживание, имеет разветвленную филиальную сеть на Украине.
15 января 2009 года Группа стала владельцем 75% плюс трех акций в капитале Проминвестбанка. Из них 1 966 799 шт. акций было приобретено в четвертом квартале 2008 года, одна акция была получена безвозмездно, а также 95 546 328 простых акций ПАО Проминвестбанк приобретено в ходе дополнительной эмиссии в январе 2009 года. Стоимость приобретения акций составила 6 904 млн. рублей. Начиная с даты приобретения ПАО Проминвестбанк уменьшило прибыль Группы за 2009 год на 12 250 млн. рублей.</t>
  </si>
  <si>
    <t>В ноябре и декабре 2009 года Банк приобрел 99,92% паев Закрытого паевого инвестиционного хедж-фонда «Маккуори Ренессанс Инфраструктурный фонд» (далее ЗПИФ хеджфонд «МРИФ») и 99,92% паев Закрытого паевого инвестиционного фонда «Маккуори Ренессанс Инфраструктурный фонд-II» (далее ЗПИФ прямых инвестиций «МРИФ – II»), находящихся под управлением ООО «Управляющая компания «Ренессанс Капитал». В декабре 2010 года Банк дополнительно приобрел паи ЗПИФ прямых инвестиций «МРИФ – II» стоимостью 770 млн. руб., тем самым увеличив долю в фонде до 99,9975%. На 31 декабря 2010 года сумма вложений составила 25 млн. руб. и 795 млн. руб. в ЗПИФ хедж-фонд «МРИФ» и ЗПИФ прямых инвестиций «МРИФ – II» соответственно. Банк будет постепенно наращивать средства паевых фондов, которые будут инвестироваться совместно с зарубежным Macquarie Renaissance Infrastructure Fund в инфраструктурные проекты на территории России и стран СНГ, в том числе, в проекты в области строительства автодорог, портов, железнодорожных перевозок, жилищно-коммунального хозяйства, инфраструктуры связи.</t>
  </si>
  <si>
    <t>Machinery &amp; Industrial Group N.V.</t>
  </si>
  <si>
    <t>В декабре 2010 года Внешэкономбанк осуществил дополнительные вклады в уставный капитал ООО «ВЭБ Капитал» в общей сумме 5 634 млн. рублей. Основными видами деятельности учрежденной дочерней компании являются операции на финансовых рынках, управление активами, в том числе строительными и производственными объектами, а также промышленно-финансовыми группами и холдинг-компаниями.</t>
  </si>
  <si>
    <t>На 31 декабря 2009 года доля участия Группы в капитале ОАО «ВЭБ-лизинг» составляет 78,07%. Группа приобрела 2 086 002 обыкновенные акции в апреле 2008 года. Стоимость приобретенных акций составила 2 246 млн. рублей. Также в ноябре 2009 года Группа приобрела на вторичном рынке 1171 000 акций ОАО «ВЭБ-лизинг» на общую сумму 1 742 млн. рублей. ОАО «ВЭБ-лизинг» является правопреемником ЗАО «Оборонпромлизинг», которое было основано в 2003 году по инициативе ФГУП «Рособоронэкспорт» для предоставления лизинговых услуг военному и гражданскому производству. Основной деятельностью компании является оказание услуг финансового лизинга высокотехнологического оборудования ведущих мировых производителей, вертолетной техники и агрегатов компаниям в Российской Федерации.</t>
  </si>
  <si>
    <t>На 31 декабря 2009 года доля участия Группы в капитале ОАО «БелВнешэкономбанк» составлясг 97,42%. Группа владеет 5 894 290 315 простыми (обыкновенными) акциями ОАО «Белвнешэкономбанк» номинальной стоимостью 100 белорусских рублей (примерно 1,1 рубля). Из них 129 389 851 ипук были приобретены в основном в течение 2007 года по цене 403 белорусских рубля за акцию (примерно 4,5 рубля). В течение 2008 года Группа приобрела 3 054 980 370 простых (обыкновенных) акций ОАО «Белвнешэкономбанк» по цене от 100 до 1 139 белорусских рублей за акцию на общую сумму 4 592 млн. рублей. В декабре 2009 года в ходе размещения дополнительного выпуска акций Группа приобрела 2 709 920 094 простых (обыкновенных) акции ОАО «Белвнешэкономбанк» по номинальной стоимости 100 белорусских рублей за одну акцию на общую сумму 2 864 млн. рублей. На 31 декабря 2009 года общая стоимость всех приобретенных акций составила 8 081 млн. рублей. ОАО «Белвнешэкономбанк» было основано в 1991 году на базе белорусского отделения Внешэкономбанка СССР; основные виды его деятельности включают кредитование экспортных и других отраслей промышленности, выдачу и обслуживание экспортных и импортных аккредитивов, денежные переводы и валютообменные операции по поручению клиентов и для торговых целей, привлечение вкладов и депозитов, операции с долговыми ценными бумагами.</t>
  </si>
  <si>
    <t>На 31 декабря 2009 года доля участия Группы в капитале ОАО «БелВнешэкономбанк» составлясг 97,42%. Группа владеет 5 894 290 315 простыми (обыкновенными) акциями ОАО «Белвнешэкономбанк» номинальной стоимостью 100 белорусских рублей (примерно 1,1 рубля). Из них 129 389 851 штук были приобретены в основном в течение 2007 года по цене 403 белорусских рубля за акцию (примерно 4,5 рубля). В течение 2008 года Группа приобрела 3 054 980 370 простых (обыкновенных) акций ОАО «Белвнешэкономбанк» по цене от 100 до 1 139 белорусских рублей за акцию на общую сумму 4 592 млн. рублей. В декабре 2009 года в ходе размещения дополнительного выпуска акций Группа приобрела 2 709 920 094 простых (обыкновенных) акции ОАО «Белвнешэкономбанк» по номинальной стоимости 100 белорусских рублей за одну акцию на общую сумму 2 864 млн. рублей. На 31 декабря 2009 года общая стоимость всех приобретенных акций составила 8 081 млн. рублей. ОАО «Белвнешэкономбанк» было основано в 1991 году на базе белорусского отделения Внешэкономбанка СССР; основные виды его деятельности включают кредитование экспортных и других отраслей промышленности, выдачу и обслуживание экспортных и импортных аккредитивов, денежные переводы и валютообменные операции по поручению клиентов и для торговых целей, привлечение вкладов и депозитов, операции с долговыми ценными бумагами.</t>
  </si>
  <si>
    <t>В марте 2010 года Банк приобрел 11,45% дополнительной эмиссии акций ОАО «Объединенная авиастроительная корпорация» на сумму 21 000 млн. рублей. На цели приобретения указанных акций Правительством РФ в декабре 2009 года осуществлен дополнительный взнос в уставный капитал Внешэкономбанка в соответствии с распоряжением Правительства РФ №1891-р от 10 декабря 2009 года</t>
  </si>
  <si>
    <t>UNAC</t>
  </si>
  <si>
    <t>Авиастроение</t>
  </si>
  <si>
    <t>В первом полугодиии 2021 года Банк выкупил 103 010 шт собственных обыкновенных акций на сумму 6 799 тыс. рублей.</t>
  </si>
  <si>
    <t>ПАО "Бест Эффортс Банк" (ПАО "СПБ Банк")</t>
  </si>
  <si>
    <t>ALBK</t>
  </si>
  <si>
    <t>АО "Банк ДОМ.РФ" (АКБ  "РОССИЙСКИЙ КАПИТАЛ" (ПАО))</t>
  </si>
  <si>
    <t>26 декабря 2017 г. Группа утратила контроль над ООО «РК Проект» в результате передачи 99,99% доли в уставном капитале связанной стороне. В результате данного выбытия Группа признала убыток в размере 474 млн рублей в составе результата от выбытия дочерних организаций.</t>
  </si>
  <si>
    <t>25 февраля 2016 года АКБ «РОССИЙСКИЙ КАПИТАЛ» (ПАО) выкупил обыкновенные именные акции АО Банк «Советский» номинальной стоимостью 1/10 223 545 руб. в количестве 102 235 450 000 ОСО штук по цене 10 С00 тыс. руб.</t>
  </si>
  <si>
    <t>16 марта 2016 года принято решение о прекращении участия Банка в АО Банк «Советский» путем продажи ПАО «Татфондбанк» всех принадлежащих АКБ «РОССИЙСКИЙ КАПИТАЛ» (ПАО) обыкновенных именных акций АО Банк «Советский» по цене их приобретения.</t>
  </si>
  <si>
    <t>Юридическое и консалтинговое сопровождение предприятий и активов ГУ "СУ-155"</t>
  </si>
  <si>
    <t>Банк стал основным акционером АО «Социнвестбанк», образована банковская группа. В 2016 году путем выкупа акций АО «Социнвестбанк» у физических лиц доля участия Банка была доведена до 100%.</t>
  </si>
  <si>
    <t>В январе 2013 года Банк исполнил "колл" опцион и приобрел пакет акций АО "Хоум Кредит Банк" в размере 90,01% за 1 096 млн. рублей, при этом прибыль от сделки в размере 2 964 млн. рублей была признана непосредственно в капитале. В январе 2013 года Банк также приобрел пакет акций АО "Хоум Кредит Банка" в размере 9,99% за 685 млн. рублей у Хоум Кредит Б.В. с убытком в размере 234 млн. рублей, который также был признан непосредственно в капитале. В результате данных сделок Банк стал владельцем 100% акций АО "Банк Хоум Кредит". АО "Банк Хоум Кредит" был переименован в Дочерний Банк АО "Хоум Кредит энд Финанс Банк" (ДБ АО "Банк Хоум Кредит") 4 апреля 2013 года. ДБ АО "Банк Хоум Кредит" имеет банковскую лицензию №1.1.188, выданную Национальнм Банком Республики Казахстан ("НБ РК") от 28 ноября 2008 года.</t>
  </si>
  <si>
    <t>АО "Хоум Кредит Банк"</t>
  </si>
  <si>
    <t>ООО "ХКФ Банк"</t>
  </si>
  <si>
    <t>ПАО КБ "Центр-инвест"</t>
  </si>
  <si>
    <t>9 апреля 2019 года Банком по соглашению о предоставлении отступного в счет погашения кредита Банка были получены акции «АО Птицефабрика Белокалитвинская» на сумму 378 тысяч рублей. В результате доля Группы в новой дочерней компании составила  88.28%. С даты приобретения по 31 декабря 2019 года деятельность АО «Птицефабрика Белокалитвиснкая» привела к уменьшению чистой прибыли Группы на 36 946 тысяч рублей. Если бы приобретение произошло 1 января 2019 года деятельность компании привела бы к уменьшению чистой прибыли Группы на 170 011 тысяч рублей.</t>
  </si>
  <si>
    <t>АО "Держава-Финанс"</t>
  </si>
  <si>
    <t>АКБ "Держава" ПАО</t>
  </si>
  <si>
    <t>ПАО "Ханты-Мансийский банк Открытие"</t>
  </si>
  <si>
    <t>В декабре 2015 года Группа через приобретение 100% акций кипрской компании Розала Лимитед приобрела группу компаний, которым принадлежат права на интеллектуальную собственность, программное и аппаратное обеспечение, которые использовались ранее «Банк24.ру» (ОАО) для обслуживания клиентов малого бизнеса. Группа планирует использовать эти активы для построения бизнеса по дистанционному обслуживанию индивидуальных предпринимателей, малого и среднего бизнеса в части расчетных и околорасчетных услуг на платформе своего дочернего банка. С даты приобретения до даты присоединения вклад Группы компаний Розалы Лтд в прочие доходы Группы составил 1 162 486 тыс. руб., в уменьшение прибыли до учета налогообложения 123 093 тыс. руб. В соглашении о приобретении, заключенном с предыдущим владельцем было оговорено условное вознаграждение. Согласно соглашению в пользу предыдущего владельца будут произведены следующие денежные выплаты: 250 млн. руб. и 15% от чистой прибыли нового бизнеса за 12 месяцев.</t>
  </si>
  <si>
    <t>В первом квартале 2014 года Группа совершила сделку по продаже доли, составляющей 100% уставного капитала ООО «Югра-Лизинг», за денежное вознаграждение в размере 352 567 тыс. руб., в результате чего Группа утратила контроль над ООО «Югра-Лизинг» и признала прибыль от выбытия дочерней компании в консолидированном отчете о прибылях и убытках в размере 343 567 тыс. руб.</t>
  </si>
  <si>
    <t>Приобретение ЗАО «Ипотечный агент Петрокоммерц-1» осуществлено в рамках интеграции розничного бизнеса Группы «Открытие». Банк приобрел в декабре 2014 года жилищные облигации с ипотечным покрытием класса «Б» в полном объеме. Сумма сделки составила 975 596 тыс. руб. В связи с приобретением облигаций Банк подвергается рискам, связанным с переменным доходом от участия в секьюритизации, а также обладает полномочиями и имеет возможность использовать свои полномочия в отношении ипотечного агента с целью оказания влияния на величину дохода.</t>
  </si>
  <si>
    <t>В третьем квартале 2012 года Группа совершила сделку по продаже 93.76% акций ОАО «Новосибирский Муниципальный Банк», в результате чего Группа утратила контроль над ОАО «Новосибирский Муниципальный Банк». Приобретателем акций ОАО «Новосибирский Муниципальный Банк» по данной сделке является ОАО «НОМОС-БАНК», являющийся акционером Банка.</t>
  </si>
  <si>
    <t>ООО "ГПФ"</t>
  </si>
  <si>
    <t>Банквоская деятельность (Оператор в финансировании строительных проектов)</t>
  </si>
  <si>
    <t>В 1 квартале 2010 года Группа приобрела 100% паев ЗПИФ ХМБ-Капитал. Стоимость приобретения составила 2,098,178 тыс. рублей.</t>
  </si>
  <si>
    <t>ЗПИФ ХМБ-Капитал</t>
  </si>
  <si>
    <t>28 апреля 2009 года Группа приобрела за 198.900 тыс. рублей 25.37% акций ОАО «Новосибирский Муниципальный Банк». Стоимость приобретения была оплачена денежными средствами. В период с даты приобретения до 31.12.2010 Группа признала чистый убыток от ассоциированной компании за вычетом доли по межгрупповым доходам и расходам в сумме 128,321 тыс. рублей и убыток в прочих составляющих совокупной прибыли в сумме 435 тыс. рублей.</t>
  </si>
  <si>
    <t>В июле 2010 года Группа приобрела 49.76% акций ОАО «Новосибирский Муниципальный Банк» за 57,340 тыс. рублей и тем самым увеличила свою долю участия с 25.37% по состоянию на 31 декабря 2009 года до 75.13% по состоянию на 31 декабря 2010 года. Справедливая стоимость акций ОАО «Новосибирский Муниципальный Банк», принадлежащих Группе непосредственно перед датой приобретения доли 25.37% составила 132,720 тыс. рублей. Справедливая стоимость пакета акций ОАО «Новосибирский Муниципальный Банк» перед датой приобретения дополнительной доли акций (49.76%), определялась по стоимости чистых активов и составила 88.973 тыс. рублей. Прибыль в сумме 18,829 тыс. рублей была признана как результат пересчета до справедливой стоимости доли Группы в капитале ОАО «Новосибирский Муниципальный Банк», принадлежащей Группе перед приобретением, и отражается в консолидированном отчете о прибылях и убытках в качестве прибыли от переоценки доли ассоциированной компании.</t>
  </si>
  <si>
    <t>PETR</t>
  </si>
  <si>
    <t>ОАО Банк "Петрокоммерц"</t>
  </si>
  <si>
    <t>В марте 2015 года была осуществлена продажа акций дочернего банка ПАО «Петрокоммерц-Украина» физическим лицам, не связанным с Группой, равными долями, что в целом составило 96,48% доли дочернего банка. Отрицательная величина собственных средств дочернего банка по состоянию на 31 декабря 2014 года составила 473 478 тысяч рублей. Стоимость продажи составила 3 860 тысяч рублей.</t>
  </si>
  <si>
    <t>В конце апреля 2013 года Группа осуществила продажу долей владения в Ухтабанке и Ставропольпромстройбанке, сумма выручки от выбытия составила 459 450 тысяч рублей и 782 500 тысяч рублей соответственно. Убыток от выбытия Ставропольпромстройбанка составил 159 627 тысяч рублей, прибыль от выбытия Ухтабанка составила 93 618 тысяч рублей. Убыток от потери контроля над структурированными компаниями составил 64 488 тысяч рублей.</t>
  </si>
  <si>
    <t>В ноябре 2010 года Группа увеличила свою долю владения в Ставропольпромстройбанке на 0,12% до 91,62% в результате приобретения 45 215 обыкновенных акций.</t>
  </si>
  <si>
    <t>В марте 2011 года Группа увеличила свою долю владения в ПАО «Банк Петрокоммерц-Украина» в рамках реализации своего преимущественного права на приобретение дополнительных акций на первом этапе закрытого (частного) размещения акций путем приобретения акций в количестве 206 434 505 штук.</t>
  </si>
  <si>
    <t>В июле 2008 года доля Группы в уставном капитале ЗАО «Банк Петрокоммерц-Украина» увеличилась до 98,24% в результате приобретения 68 175 000 простых именных акций дополнительного выпуска.</t>
  </si>
  <si>
    <t>В августе 2008 года в результате выкупа у миноритарных акционеров 364 199 акций (113 199 обыкновенных акций и 251 000 привилегированных акций) Группа довела свою долю в уставном капитале ОАО Комирегионбанк «Ухтабанк» до 100%. Выкуп был произведен после направления Банком, как владельцем более 95% общего количества привилегированных и обыкновенных акций ОАО Комирегионбанка «Ухтабанк», требования о выкупе эмиссионных ценных бумаг в соответствии с законодательством Российской Федерации.</t>
  </si>
  <si>
    <t>В сентябре 2008 года Группа увеличила свою долю владения в Акционерном инвестиционно-коммерческом промышленно-строительном банке «Ставрополье» до 91,5% в результате приобретения 5 520 011 обыкновенных акций.</t>
  </si>
  <si>
    <t>АО "СВОБОДА"</t>
  </si>
  <si>
    <t>Производство косметики</t>
  </si>
  <si>
    <t>Prod-Cosm</t>
  </si>
  <si>
    <t>В мае 2018 года Грулла получила 23,23% акций АО «СВОБОДА» в качестве отступного по кредиту.</t>
  </si>
  <si>
    <t>В июле-декабре 2016 года Группа приобрела пакет акций АО «СВОБОДА», увеличив долю до 49,2%.</t>
  </si>
  <si>
    <t>Банк "ТРАСТ" (ПАО)</t>
  </si>
  <si>
    <t>В марте 2018 года Банком был утерян контроль над компанией ООО «Забота» и подконтрольной ей компанией АО «НПФ электроэнергетики». В 1-м квартале 2018 года АО «НПФ электроэнергетики» вернул ПАО Банк «ФК Открытие» часть безвозмездного вклада в имущество, полученного на покрытие отрицательного финансового результата от инвестирования средств пенсионных накоплений и пенсионных резервов в размере 840 млн. рублей.</t>
  </si>
  <si>
    <t>Управления инвестициями в негосударственный пенсионный фонд</t>
  </si>
  <si>
    <t>В августе 2017 года Банком в качестве отступного по ранее предоставленному кредиту была получена доля в компании ООО «Забота» в размере 99%. ООО «Забота» в свою очередь контролирует АО «НПФ электроэнергетики» в размере 98,4%. С даты приобретения вклад ООО «Забота» и АО «НПФ электроэнергетики» в чистый убыток Группы составил (21 265) млн руб. Если бы данное приобретение произошло 1 января 2017 г. убыток за Группы за 2017 год составил бы (152 918) млн. рублей. Руководство Группы полагает, что данные расчетные показатели отражают примерную оценку результатов деятельности объединенной группы за 12 месяцев 2017 года и могут использоваться как исходные значения для сравнения с показателями будущих лет.</t>
  </si>
  <si>
    <t>В ноябре 2017 года ООО «Забота» на основании заявления о выходе из состава участников перешла доля в размере 0,9%, что повлекло изменение доли Группы до 99,9%.</t>
  </si>
  <si>
    <t>В декабре 2013 года Группа продала 100% акций компании T&amp;IB Equities Limited за 452 тыс. рублей компании, находящейся под общим контролем акционеров.</t>
  </si>
  <si>
    <t>T&amp;IB Equities Limited</t>
  </si>
  <si>
    <t>Торговые операции с долевыми и долговыми ценными бумагами</t>
  </si>
  <si>
    <t>28 сентября 2012 г. Группа продала свою долю в ЗАО "Западный мост" (96,36% акционерного капитала) третьей стороне за 1 401 832 тыс. руб. и отразила прибыль от реализации в размере 49 220 тыс. руб.</t>
  </si>
  <si>
    <t>15 января 2013 г. Группа продала контрольные доли участия в ООО "ТрансКредитЛизинг", ООО "ФинТрансЛизинг", ООО "ФинансБизнесГрупп", ООО "ФинТрансГрупп" и ООО "ФинансЛизинг"</t>
  </si>
  <si>
    <t>ООО "ТрансКредитЛизинг", ООО "ФинТрансЛизинг", ООО "ФинансБизнесГрупп", ООО "ФинТрансГрупп" и ООО "ФинансЛизинг"</t>
  </si>
  <si>
    <t>В сентябре 2011 года Группа приобрела долю участия в размере 19% в ООО "ФинансБизнесГрупп", ООО "ФинТрансЛизинг" и ООО "ФинТрансГрупп" за денежное вознаграждение в размере 61 071 тыс. руб., 143 755 тыс. руб. и 16 087 тыс. руб., соответственно.</t>
  </si>
  <si>
    <t>ООО "ФинансБизнесГрупп"</t>
  </si>
  <si>
    <t>ООО "ФинТрансЛизинг"</t>
  </si>
  <si>
    <t>ООО "ФинТрансГрупп"</t>
  </si>
  <si>
    <t xml:space="preserve">ЗПИФ недвижимости "Аруджи – фонд недвижимости 1" </t>
  </si>
  <si>
    <t>В октябре 2011 года Группа приобрела долю участия в размере 100% в Закрытом паевом инвестиционном фонде недвижимости "Аруджи – фонд недвижимости 1" за вознаграждение в размере 2 134 797 тыс. руб. С момента приобретения доля Закрытого паевого инвестиционного фонда недвижимости "Аруджи – фонд недвижимости 1" в арендном доходе Группы от инвестиционной недвижимости составила 16 949 тыс. руб., а его доля чистого убытка в составе чистой прибыли Группы – 8 750 тыс. руб. Если бы объединение произошло в начале года, доля выручки за год в составе арендного дохода Группы от инвестиционной недвижимости составила бы 94 915 тыс. руб., а чистая прибыль Группы за 2011 год снизилась бы на 44 182 тыс. руб.</t>
  </si>
  <si>
    <t>В июне 2011 года Группа продала свою долю участия в ЗАО "ТКБ Капитал" (408 000 000 акций (51%)) третьей стороне по цене 1 руб. за акцию на общую сумму 408 000 тыс. руб. и признала убытки от реализации в размере 26 732 тыс. руб.</t>
  </si>
  <si>
    <t>ПАО "МГКЛ" (Мосгорломбард)</t>
  </si>
  <si>
    <t>MGKL</t>
  </si>
  <si>
    <t>Loan</t>
  </si>
  <si>
    <t>В июле 2023 года компанией ООО «Команда МГКЛ» (входит в состав Группы) осуществлено приобретение акций ПАО «МГКЛ» (материнской компании) у ООО «Мосгорскупка-М» в количестве 15 000 шт. привилегированных акций номиналом 100 рублей каждая (Примечание 15). Сумма сделки составила 1 500 тыс. рублей.</t>
  </si>
  <si>
    <t>В период с сентября по декабрь 2023 года компания ООО «Команда МГКЛ» реализовала часть вышеуказанных акций в количестве 14 091 шт. (номиналом 100 рублей каждая) миноритарным акционерам на общую сумму 1 295 тыс. рублей.</t>
  </si>
  <si>
    <t>В период с января по март 2024 года ООО «Команда МГКЛ» реализовала 545 594 шт. привилегированных акции ООО «Мосгорскупка-М» на общую сумму 33 тыс. рублей.</t>
  </si>
  <si>
    <t>В апреле 2024 года ООО «Команда МГКЛ» выкупила 2 000 000 шт. обыкновенных акций ПАО «МГКЛ» у АО «ИК «РИКОМ-ТРАСТ», сумма сделки составила 4 950 тыс. рублей.</t>
  </si>
  <si>
    <t>В июне 2023 года Компания приобрела контроль над ООО «ЛОТ-ЗОЛОТО НДС»</t>
  </si>
  <si>
    <t>В апреле 2021 года Компания приобрела контроль над ООО «Авто-ломбард Эквивалент», ООО «Ломбард Аурум» и ООО «Ломбард Золотое руно»</t>
  </si>
  <si>
    <t>В марте 2021 года Компания приобрела контроль над ООО «Ломбард Платинум»</t>
  </si>
  <si>
    <t>Ломбард</t>
  </si>
  <si>
    <t>Продажа драгоценных металлов</t>
  </si>
  <si>
    <t>В феврале 2022 года компанией ООО «Ломбард Аурум» (с марта 2023 г. - ООО «Ресейл», входит в состав Группы) осуществлено приобретение акций ПАО «МГКЛ» (материнской компании) у ООО «Мосгорскупка» (с января 2022 года - ООО «Интернет-Аукцион») в количестве 24 221 шт. привилегированных акций и 4 218 шт. (42 180 000 шт. после дробления акций) обыкновенных акций. Сумма сделки составила 322 454 тыс. рублей. Сделка полностью оплачена в феврале 2022 года. В период с сентября по декабрь 2022 года компания ООО «Ломбард Аурум» реализовала вышеуказанные акции миноритарным акционерам на общую сумму 339 903 тыс. рублей и получила от данных сделок эмиссионный доход в размере 16 438 тыс. рублей</t>
  </si>
  <si>
    <t>Ресейл</t>
  </si>
  <si>
    <t>ПАО "ТрансФин-М"</t>
  </si>
  <si>
    <t xml:space="preserve">6 июня 2024 года Группа реализовала 100% акций в дочерней компании АО «Мустанг» третьему лицу, получив выручку в размере 1 млн руб. </t>
  </si>
  <si>
    <t>Операционная аренда</t>
  </si>
  <si>
    <t>Ремонт и техническое обслуживание прочих транспортных средств и оборудования</t>
  </si>
  <si>
    <t>18 сентября 2024 года Компанией было приобретено 50% акций компании АО «ТФМ-Транссервис» в дополнение к 50% акций, имевшимся на балансе Компании. Приобретаемые активы и обязательства составляли несущественную сумму, стоимость покупки составила 3,5 млн рублей. Прибыль от выгодной покупки дочернего предприятия в сумме 2,7 млн рублей отражена в составе статьи «Прочие доходы».</t>
  </si>
  <si>
    <t>27 декабря 2022г. Группа приобрела 25% голосующих акций АО «Транслизингсервис», получив на это разрешение от соответствующих регулирующих органов. Основной деятельностью приобретенной компании является оперирование железнодорожным подвижным составом. Совместно с приобретением и получением контроля, компания получила 100% контроль над компанией АО «Мустанг». Возмещение, переданное при приобретении, состоит из денежных средств, уплаченных при приобретении, в
размере 19 млн руб., и взаимных обязательств и требований, возникших до приобретения контроля, в сумме 10 128 млн руб., включающих в себя обязательства по договорам аренды и НДС к уплате в размере 1 050 млн руб. Разница между балансовой стоимостью обязательств и требований, возникших до появления контроля, и справедливой стоимостью в размере (761) млн руб. отражена в составе прочих расходов (от операционной деятельности) консолидированного отчета о совокупном доходе Группы.</t>
  </si>
  <si>
    <t>В июле 2022 года было реализовано 50% акций АО «ТФМ-Транссервис» в пользу АО «Вектор Рейл».</t>
  </si>
  <si>
    <t>28 января 2020 г. Группа приобрела 50% доли в уставном капитале ЗАО «ТФМ−Транссервис», получив на это разрешение от соответствующих регулирующих органов. Основной деятельностью приобретенной компании является деятельность железнодорожного транспорта. Непосредственно перед датой приобретения Группа владела 50% доли в уставном капитале Общества, которые учитывались в составе инвестиций в совместные предприятия и ассоциированные компании. Приобретение контроля в ЗАО «ТФМ−Транссервис» обусловлено стратегией развития Группы.</t>
  </si>
  <si>
    <t>14 октября 2020 г. Группа приобрела за 6 000 тыс. руб. 10% долей в уставном капитале ООО «ТФМ-Спецтехника» (доведя свое участие до 100% долей), получив на это разрешение от соответствующих регулирующих органов. Балансовая стоимость дополнительно приобретенной доли участия в сумме 166 734 тыс. руб. учтена в составе нераспределенной прибыли в собственном капитале на 31 декабря 2020 года.</t>
  </si>
  <si>
    <t>5 ноября 2020 г. Группа реализовала 90%-ую долю в ООО «ТФМ-Сервис» третьей стороне за 100 тыс. руб. На дату выбытия балансовая стоимость неконтролирующей доли участия составила 3 328 тыс. руб. Эффект от продажи дочерней компании на финансовый результат Группы составил убыток в размере 21 685 тыс. руб.</t>
  </si>
  <si>
    <t>30 декабря 2019 г. Группа приобрела за 5 958 тыс. руб. 10% долей в уставном капитале ООО «ТФМ-Спецтехника» (доведя свое участие до 90% долей), получив на это разрешение от соответствующих регулирующих органов. Балансовая стоимость дополнительно приобретенной доли участия в сумме 136 178 тыс. руб. учтена в составе нераспределенной прибыли в собственном капитале на 31 декабря 2019 года.</t>
  </si>
  <si>
    <t>30 января 2019 г. Группа приобрела 30% доли в уставном капитале ООО «ТФМ-Спецтехника», получив на это разрешение от соответствующих регулирующих органов. Основной деятельностью приобретенной компании является оперирование специализированной техникой в угледобывающей отрасли. Непосредственно перед датой приобретения Группа владела 50% доли в уставном капитале Общества, которые учитывались в составе инвестиций в совместные предприятия и ассоциированные компании. Основной целью приобретения дочернего предприятия является получение контроля над оператором специализированной техники в угледобывающей отрасли. Возмещение, переданное при приобретении, состоит из денежных средств, уплаченных при приобретении, в размере 767 тыс. руб., и взаимных обязательств и требований, возникших до приобретения контроля, в сумме 9 142 943 тыс. руб., включающих в себя кредиторскую задолженность по договорам поставки, заключенным между ООО «ТФМ-Спецтехника» и Компанией, в размере 1 039 548 тыс. руб. и обязательства по договорам аренды, заключенным между ООО «ТФМ-Спецтехника» и Компанией, в размере 8 103 395 тыс. руб. С даты приобретения вклад компании в финансовый результат Группы по основной деятельности составил (3 260) тыс. руб., в прочие убытки – (356 724) тыс. руб., в чистую прибыль Группы до учета налогообложения – убыток в размере (359 984) тыс. руб. Если бы объединение произошло в начале года, то эффекты на прибыли и убытки изменились бы незначительно.</t>
  </si>
  <si>
    <t>24 октября 2014 г. Компания утратила контроль над ООО «РРЛ» в результате продажи принадлежащей ей 100,00% долей уставного капитала ООО «РРЛ» совместному предприятию за денежное вознаграждение 1 034 тыс. руб. Доход от выбытия дочерней компании в консолидированном отчете о совокупном доходе за 2014 год составил 1 125 тыс. руб.</t>
  </si>
  <si>
    <t>В апреле 2019 года Группа реализовала 100%-ую долю в АО «ТФМ-Гарант» членам Совета директоров Компании за 273 тыс. руб. Эффект от продажи дочерней компании на финансовый результат Группы составил прибыль в размере 313 245 тыс. руб.</t>
  </si>
  <si>
    <t>24 мая 2019 г. Группа приобрела 90% доли в уставном капитале ООО «ТФМ-Оператор», получив на это разрешение от соответствующих регулирующих органов. Основной деятельностью приобретенной компании является оперирование железнодорожным подвижным составом. Непосредственно перед датой приобретения Группа владела 10% доли в уставном капитале Общества, которые учитывались в составе инвестиционных ценных бумаг. Основной целью приобретения дочернего предприятия является получение контроля над оператором железнодорожного подвижного состава. Возмещение, переданное при приобретении, состоит из денежных средств, уплаченных при приобретении, в размере 9 тыс. руб., и взаимных обязательств и требований, возникших до приобретения контроля, в сумме 8 139 835 тыс. руб., включающих в себя займы в форме вексельной задолженности, полученные компанией ООО «ТФМ-Оператор» от Компании в размере 2 297 635 тыс. руб., и обязательства по договорам аренды,
заключенным между ООО «ТФМ-Оператор» и Компанией, в размере 5 842 200 тыс. руб. С даты приобретения вклад компании в финансовый результат Группы по основной деятельности составил (61 724) тыс. руб., в прочие прибыли – 886 659 тыс. руб., в чистую прибыль Группы до учета налогообложения – прибыль в размере 824 935 тыс. руб. Если бы объединение произошло в начале 2019 года, вклад компании в финансовый результат Группы по основной деятельности составил (53 535) тыс. руб., прочие прибыли – 1 973 604 тыс. руб., в чистую прибыль Группы до учета налогообложения – прибыль в размере 1 920 069 тыс. руб.</t>
  </si>
  <si>
    <t xml:space="preserve">26 сентября 2019 г. Группа приобрела 100% долей в уставном капитале ООО «Атлант», получив на это разрешение от соответствующих регулирующих органов. Основной деятельностью приобретенной компании является оперирование железнодорожным подвижным составом. Основной целью приобретения дочернего предприятия является получение контроля над оператором железнодорожного подвижного состава. Возмещение, переданное при приобретении, состоит из денежных средств, уплаченных при приобретении, в размере 48 771 тыс. руб., и взаимных обязательств и требований, возникших до приобретения контроля, в сумме 45 502 925 тыс. руб., включающих в себя обязательства по договорам аренды, заключенным между ООО «Атлант» и Компанией, в размере 45 497 434 тыс. руб. и обязательства по договорам аренды, заключенным между АО «ТФМ-Транс» и Компанией, в размере 5 491 тыс. руб. С даты приобретения вклад компании в чистую прибыль Группы до учета налогообложения составил
70 765 тыс. руб. </t>
  </si>
  <si>
    <t xml:space="preserve">12 декабря 2019 г. Группа реализовала 25% долей в уставном капитале ООО «Атлант» (долговые инструменты) за 3 тыс. руб. ГК «ВЭБ.РФ». Неконтрольная доля участия в ООО «Атлант» на дату сделки составила 2 193 920 тыс. руб. </t>
  </si>
  <si>
    <t>АО "Государственная транспортная лизинговая компания" (АО "ГТЛК")</t>
  </si>
  <si>
    <t>В июле 2022 года Группа реализовала 81,32 % уставного капитала Акционерного коммерческого банка «Национальный Резервный Банк». Сумма вознаграждения составила 3 390 млн руб. Финансовый результат от выбытия Банка составил убыток в размере 118 млн руб.</t>
  </si>
  <si>
    <t>GTLK Asia M1 Limited и GTLK Asia M2 Limited</t>
  </si>
  <si>
    <t>24 июня 2022 года была Группа продала третьей стороне две дочерние компании: GTLK Asia M1 Limited и GTLK Asia M2 Limited, которые планировалось использовать для предоставления услуг финансового лизинга. В результате этой транзакции Группа потеряла контроль над дочерними компаниями 24 июня 2022 года. Сумма вознаграждения составила 880 428 евро (или 49 млн руб. по курсу на дату выбытия). На 31 декабря 2022 года вознаграждение было оплачено частично в размере 191 482 евро (10 млн руб. по курсу на дату операции). Неоплаченная часть вознаграждения в размере 688 946 Евро (52 млн руб. по курсу на 31 декабря 2022 года) отражена в составе прочей дебиторской задолженности прочих финансовых активов. В 2023 году оставшееся вознаграждение было оплачено покупателем в размере 688 946 евро (61 млн руб. по курсу на дату операций), и отражено в отчете о движении денежных средств за 2023 год по статье «Выбытие дочерних компаний за вычетом выбывших денежных средств».</t>
  </si>
  <si>
    <t>06 декабря 2019 года Группа приобрела 78,19% голосующих акций коммерческого банка (далее – «Банк»), получив на это разрешение от соответствующих регулирующих органов. Банк принимает вклады населения, предоставляет кредиты и осуществляет переводы денежных средств на территории Российской Федерации и за ее пределами, проводит валютообменные операции, а также оказывает другие банковские услуги юридическим и физическим лицам, являющимся клиентами Банка. Основной целью приобретения Банка Группой является достижение синергитического эффекта от доступа Группы к банковским продуктам и услугам как для увеличения доходов и прибыли Группы, так и расширения спектра предлагаемых услуг крупным клиентам Группы и их партнерам.
С даты приобретения вклад Банка в финансовый результат Группы по основной деятельности составил (10) млн руб., в прочие убытки – (67) млн руб., в чистую прибыль Группы до учета налогообложения – убыток в размере (77) млн руб. Если бы объединение произошло в начале года, вклад Банка в финансовый результат Группы по основной деятельности составил (397) млн руб., прочие убытки – (561) млн руб., в чистую прибыль Группы до учета налогообложения – убыток в размере (958) млн руб.</t>
  </si>
  <si>
    <t>ПАО СК "Росгосстрах"</t>
  </si>
  <si>
    <t>В 2023 году Группа приобрела 100,00% доли в уставном капитале Компании 1 (далее «приобретенная компания»), работающей в сегменте страхования иного, чем страхование жизни. За счет использования технологий на базе цифровых решений приобретенной компании предполагается трансформировать бизнес-модель материнской компании с фокусом на цифровизацию, а также расширить клиентскую базу в цифровых каналах продаж продуктов банковского страхования. Для целей составления консолидированной финансовой отчетности датой получения контроля над приобретенной компанией в Группу считается 1 июля 2023 года За период с даты приобретения до 31 декабря 2023 года доля приобретенной дочерней организации в выручке Группы составила 808 447 тыс. руб., а в прибыли - (288 519) тыс. руб. Если бы приобретение произошло 1 января 2023 года, то выручка Группы за 2023 год составила бы 84 069 396 тыс. руб., а прибыль за 2023 год составила бы 4 360 666 тыс. руб.</t>
  </si>
  <si>
    <t>Компания 1</t>
  </si>
  <si>
    <t>Компания 2</t>
  </si>
  <si>
    <t>31 декабря 2015 года Группа осуществила приобретение 49 % долей ЗАО "КС-Холдинг” (Россия) и ее дочерних компаний ЗАО “Капитал Перестрахование”, ОАО "Капитал Страхование”, ЗАО “Капитал Медицинское страхование” и ООО "Институт управления медицинскими рисками и оптимизации страхования” (МЕДИС) у третьих лип за 6 434 963 тыс. рублей. Балансовая стоимость доли неконтролирующих участников на дату составила 7 464 526 тыс. рублей, в консолидированном отчете об изменениях в составе собственных средств была признана прибыль, причитающаяся акционерам материнской компании в размере 962 952 тыс. рублей.</t>
  </si>
  <si>
    <t>В апреле 2016 года ООО “РГС-Медицина” и ЗАО "Капитал Медицинское Страхование” были проданы компании, находящейся под общим контролем.</t>
  </si>
  <si>
    <t>В ноябре 2016 года СЗАО “Росгосстрах-Армения” (Армения) было продано третьей стороне.</t>
  </si>
  <si>
    <t>01 октября 2015 года ЧАО “Страховая компания “ПРОВИДНА” (Украина) было продано третьей стороне.</t>
  </si>
  <si>
    <t>СЗАО “Росгосстрах-Армения”</t>
  </si>
  <si>
    <t>ЧАО “Страховая компания “ПРОВИДНА”</t>
  </si>
  <si>
    <t>ООО “РГС-Медицина”</t>
  </si>
  <si>
    <t>ЗАО "Капитал Медицинское Страхование”</t>
  </si>
  <si>
    <t>ЗАО "КС-Холдинг”</t>
  </si>
  <si>
    <t>СПАО "Ингосстрах"</t>
  </si>
  <si>
    <t>В 2023 году не произошло изменений в структуре зарубежных страховых активов. В декабре 2023 года СПАО «Ингосстрах» продало дочернюю компанию в Узбекистане — сделка по продаже была закрыта в январе 2024 года.</t>
  </si>
  <si>
    <t>Дочерняя компания в Узбекистане</t>
  </si>
  <si>
    <t>В ноябре 2019 года Группа приобрела 100% акций компании ООО «МСК «Медика-Восток».</t>
  </si>
  <si>
    <t>В декабре 2018 года Группа получила контроль над АО «Негосударственный пенсионный фонд «Эмеритура», АО «Негосударственный пенсионный фонд «Ингосстрах-Пенсия», АО «Негосударственный пенсионный фонд «Социум», ЗАО «Плавательный бассейн «Нептун». Контроль над пенсионными фондами был получен в результате акционирования последних согласно требованиям законодательства. Если бы приобретение компаний произошло 1 января 2018 года, прибыль Группы за 2018 год была бы больше на 851 млн. руб.</t>
  </si>
  <si>
    <t>В 2015 году доля Группы в ЗСАО «БелИнгосстрах» увеличилась на 1,5% до 99,94%</t>
  </si>
  <si>
    <t>В 2017 году доля Группы в ЗСАО «Ингосстрах» увеличилась на 0,02% и составила 99,98%</t>
  </si>
  <si>
    <t>В 2017 году доля Группы в СЗАО «ИНГО-УЗБЕКИСТАН» увеличилась на 1,18% и составила 91,18%.</t>
  </si>
  <si>
    <t>В 2016 году доля Группы в ЗСАО «Ингосстрах» увеличилась на 0,02% и составила 99,96%.</t>
  </si>
  <si>
    <t>В 2016 году доля Группы в Harshal Holdings Limited увеличилась на 0,05% и составила 99,97%.</t>
  </si>
  <si>
    <t>В июле 2016 года Группа приобрела 100% акций ООО «Аквамарин».</t>
  </si>
  <si>
    <t>Harshal Holdings Limited</t>
  </si>
  <si>
    <t>В 2016 году доля Группы в БАНК СОЮЗ (АО) уменьшилась на 4,13% и составила 95,86%, это привело к уменьшению долей в компаниях ЗАО «Ипотечный Агент Союз-1» и ООО «Союз Лизинг».</t>
  </si>
  <si>
    <t>БАНК СОЮЗ (АО)</t>
  </si>
  <si>
    <t>В июле 2015 года была осуществлена сделка по продаже 100% доли участия Группы в ЗАО АСК «ИНГО Украина», ЗАО АСК «ИНГО Украина Жизнь» и ООО «МЦ «НАША СЕМЬЯ». Цена продажи трех компаний на Украине составила 1 370 млн. руб. Доход от продажи – 201 млн. руб. Итого чистый денежный поток от продажи составил 1 067 млн. руб.</t>
  </si>
  <si>
    <t>В октябре 2014 года доля Группы в ЗСАО «БелИнгосстрах» увеличилась на 0,2% до 98,4%.</t>
  </si>
  <si>
    <t>С начала 2013 года доля Группы в Harshal Holdings Limited составила 99,92% (увеличение на 0,92%)</t>
  </si>
  <si>
    <t>С начала 2013 года доля Группы в Credit Bank, Co Ltd составила 99,92% (увеличение на 0,92%)</t>
  </si>
  <si>
    <t>В мае 2013 года Группа приобрела 100% акций ООО «ЖСО-Медицина»</t>
  </si>
  <si>
    <t>Credit Bank, Co Ltd</t>
  </si>
  <si>
    <t>Монголия</t>
  </si>
  <si>
    <t>ОМС</t>
  </si>
  <si>
    <t>В феврале 2012 года Группа продала 100% акций САО «ИнгоНорд».</t>
  </si>
  <si>
    <t>В июле 2012 года Группа приобрела 100% акций «Ground Hound Limited».</t>
  </si>
  <si>
    <t>31 октября 2012 года Группа приобрела пакет акций банка АКБ «СОЮЗ» (ОАО) в размере 50,00% акций за 2 815 млн. руб., в результате под контролем Группы находится доля в размере 99,99%. Результаты деятельности банка были включены в консолидированную финансовую отчетности Группы с 1 ноября 2012 года. До 31 октября 2012 года Группа учитывала инвестиции в банк АКБ «СОЮЗ» (ОАО) как инвестицию в ассоциированную компанию.</t>
  </si>
  <si>
    <t>В июле 2012 года Группа приобрела 100% акций ООО «МЦ «НАША СЕМЬЯ». Данная операция рассматривается Группой как приобретение группы активов.</t>
  </si>
  <si>
    <t>В конце 2012 года Группа приобрела контроль над ОАО «Магистральный механосборочный завод». Данная операция рассматривается Группой как приобретение группы активов.</t>
  </si>
  <si>
    <t>В 2012 году Группа приобрела дополнительный пакет акций ОАО «ЭМЭСК» в размере 0,19%. 3 августа 2012 года ОАО «ЭМЭСК» было реорганизовано в форме преобразования в ООО «ЭМЭСК», после чего единственным участником общества стало ЗАО «ИнВест-Полис». В декабре 2012 года ООО «ЭМЭСК» было реорганизовано в форме присоединения к ООО СК «Ингосстрах-М».</t>
  </si>
  <si>
    <t>В декабре 2012 года Группа продала 75% акций ООО «Аудит безопасности», в результате доля Группы в ООО «Аудит безопасности» снизилась до 25%. По состоянию на 31 декабря 2012 года инвестиции в ООО «Аудит безопасности» отражены как инвестиции в дочернюю компанию в связи с сохранением контроля над ООО «Аудит безопасности».</t>
  </si>
  <si>
    <t>В июне 2019 года Группа приобрела контроль над САО «ЭРГО», компанией, зарегистрированной в Российской Федерации, посредством приобретения 100% акций САО «ЭРГО» компанией СПАО «РЕСО-Гарантия»</t>
  </si>
  <si>
    <t>В мае 2019 года Группа приобрела контроль над АО «Медицинская страховая организация «Надежда», компанией, зарегистрированной в Российской Федерации, посредством приобретения 100% акций АО «Медицинская страховая организация «Надежда» компанией ООО «СМК РЕСО-Мед»»</t>
  </si>
  <si>
    <t>СПАО "РЕСО-Гарантия"</t>
  </si>
  <si>
    <t>В июне 2019 года Группа приобрела контроль над ООО «Медицинская страховая компания «Медстрах», компанией, зарегистрированной в Российской Федерации, посредством приобретения 99,99% доли владения в ООО «Медицинская страховая компания «Медстрах» АО «Банк РЕСО-Кредит». В сентябре 2019 года Группа увеличила долю владения в ООО «Медицинская страховая компания «Медстрах» до 100%.</t>
  </si>
  <si>
    <t>Обязательное медицинское страхование</t>
  </si>
  <si>
    <t>Страхование иное, чем страхование жизни</t>
  </si>
  <si>
    <t>В сентябре 2018 года Группа приобрела 100% Группы «Астровэй» путем приобретения 100% доли участия в «Астровей Лимитед». Общая денежная сумма, уплаченная за приобретение в пользу стороны, находящейся под контролем акционеров Группы, составила 3 155 000 тыс. рублей. «Астровей Лимитед» является холдинговой компанией банковской группы, состоящей из АО «Банк РЕСО-Кредит» и ООО «Межрегиональная депозитарная компания». Основными видами деятельности Группы являются привлечение депозитов, расчетно-кассовое обслуживание, а также операции с ценными бумагами и иностранной валютой.</t>
  </si>
  <si>
    <t>В течение 2017 года Группа приобрела 100% АО «Медицинская Страховая Компания «УралСиб» за денежное вознаграждение в размере 1 488 785 тыс. рублей. Основным видом деятельности АО «Медицинская Страховая Компания «УралСиб» является обязательное медицинское страхование на территории Российской Федерации.</t>
  </si>
  <si>
    <t>В 2016 году Группа приобрела 100% ООО «Липецкое страховое общество «Шанс». Общая денежная сумма, уплаченная за приобретение, составила 183 134 тыс. рублей. В январе 2017 года ООО «Липецкое страховое общество «Шанс» было переименовано в ООО «Страховая компания «РЕСО-Шанс». Основным видом деятельности ООО «Страховая компания «РЕСО-Шанс» является оказание услуг по страхованию иному, чем страхование жизни, на территории Российской Федерации.</t>
  </si>
  <si>
    <t>В 2016 году Группа приобрела 100% ООО «СПК «Юнити Ре» у компании, находящейся под общим контролем с Группой. Общая денежная сумма, уплаченная за приобретение, составила 1 630 475 тыс. рублей. Основным видом деятельности ООО «СПК «Юнити Ре» является оказание услуг по страхованию иному, чем страхование жизни, и перестрахованию на территории Российской Федерации.</t>
  </si>
  <si>
    <t>Страхование перестрахование</t>
  </si>
  <si>
    <t>В 4 квартале 2015 года Группа приобрела 100% долю участия в ООО “РЕСО-Авто-Сервис". Общая денежная сумма, уплаченная за приобретение в пользу стороны, находящейся под контролем акционеров Группы, составила 12 489 тыс. рублей. Основным видом деятельности ООО “РЕСО-Авто-Сервис” является оказание услуг по ремонту транспортных средств.</t>
  </si>
  <si>
    <t>Оказание услуг по ремонту транспортных средств</t>
  </si>
  <si>
    <t>ООО “РЕСО-Авто-Сервис"</t>
  </si>
  <si>
    <t>Группа РЕСО-Лизинг</t>
  </si>
  <si>
    <t>В течение 2014 года Группа приобрела 100% Группы РЕСО-Лизинг путем приобретения 30% доли участия в ООО «РЕСО-Лизинг» в течение первого полугодия и 100% акций в ОАО «РЕСОТРАСТ» в течение третьего квартала 2014 года. В течение первого полугодия ООО «РЕСОТРАСТ» являлось 100% дочерним обществом ООО «РЕСО-Лизинг», и в течение второго квартала 2014 года, приобрело 70% доли в ООО «РЕСО-Лизинг». Общая денежная сумма, уплаченная за приобретение в пользу стороны, находящейся под контролем акционеров Группы, составила 8 902 000 тыс. рублей. Основным видом деятельности Группы РЕСО-Лизинг является оказание услуг финансового лизинга на территории Российской Федерации и Республики Беларусь.</t>
  </si>
  <si>
    <t>Финансовый лизинг</t>
  </si>
  <si>
    <t>В 2014 году Группа приобрела контрольную долю владения в ООО «МИКА», компанию, зарегистрированную в Российской Федерации, основным видом деятельности которой является инвестирование в офисную недвижимость и сдача ее в аренду с целью получения прибыли. Приобретение удовлетворяет условиям приобретения активов, а не условиям объединения бизнеса, и было учтено в соответствии с ними.</t>
  </si>
  <si>
    <t>28 мая 2013 года Группа приобрела 100% владения в ООО Страховая медицинская компания РЕСО-Мед (ООО СМК РЕСО-Мед) за денежную сумму в размере 1 066 000 тыс. рублей у стороны, находящейся под контролем акционеров Группы. Основным видом деятельности ООО СМК РЕСО-Мед является организация предоставления медицинских услуг по обязательному медицинскому страхованию (ОМС) на территории Российской Федерации. Компания является одним из лидеров рынка ОМС в России и обслуживает более 6 000 000 застрахованных лиц.</t>
  </si>
  <si>
    <t>31 июля 2013 года Группа приобрела 98,4% владения в ЗАО СК Белросстрах за денежную сумму в размере 956 552 тыс. рублей у стороны, находящейся под контролем акционеров Группы. Основным видом деятельности ЗАО СК Белросстрах является организация предоставления услуг по страхованию иному, чем страхование жизни, на территории Республики Беларусь.</t>
  </si>
  <si>
    <t>ООО Страховая медицинская компания РЕСО-Мед (ООО СМК РЕСО-Мед)</t>
  </si>
  <si>
    <t>ЗАО СК Белросстрах</t>
  </si>
  <si>
    <t>Рeйвен Проперти Груп</t>
  </si>
  <si>
    <t>RAVN</t>
  </si>
  <si>
    <t>11 мая 2021 года были завершены соглашения, достигнутые с Invesco Asset Management («Invesco») о продаже Invesco своей доли в обыкновенных акциях и привилегированных акциях Компании. Продажа была осуществлена ​​в различных составных частях:
• покупка Raven Holdings Limited, недавно созданным совместным предприятием, 100 000 000 обыкновенных акций и 32 500 000 привилегированных акций и связанных с этим соглашений о совместном предприятии;
• покупка Компанией 9 850 350 обыкновенных акций;
• размещение Singer Capital Markets от имени Компании оставшихся 46 824 074 обыкновенных акций и 31 071 616 привилегированных акций, принадлежащих Invesco, существующим и новым инвесторам Компании; и
• сопутствующее финансирование покупки Компанией и ее инвестиций в Raven Holdings Limited Банком ВТБ («ВТБ»).
Цены продажи обыкновенных акций и привилегированных акций в каждом случае составляли 21,6 пенса за акцию и 90,8 пенса за акцию соответственно.
(a) Покупка Raven Holdings Limited и связанные с ней соглашения о совместном предприятии
19 апреля 2021 года Компания заключила новое совместное предприятие 50:50, Raven Holdings Limited, с компанией, принадлежащей исполнительным директорам Компании и некоторым старшим менеджерам («Manco»). Совместное предприятие было создано исключительно для осуществления покупки 100 000 000 обыкновенных акций и 32 500 000 привилегированных акций у Invesco за общую сумму 51,1 млн фунтов стерлингов. Компания сделала денежные инвестиции в размере 15,4 млн фунтов стерлингов в совместное предприятие, а исполнительные директора Компании и Manco внесли 53 030 301 обыкновенную акцию в Raven Property Group в обмен на их 50% долю в совместном предприятии. Остаток суммы покупки, причитающейся Invesco, был предоставлен взаймы Raven Holdings Limited дочерней компанией, полностью принадлежащей Компании. Совместное предприятие изначально создано на 5 лет с возможностью для Компании и Manco договориться о продлении срока.
В соответствии с соглашением о совместном предприятии, пока заем между Группой и Raven Holdings Limited остается непогашенным, весь доход, возникающий в совместном предприятии от обыкновенных акций и привилегированных акций, приобретенных у Invesco, будет использован в интересах Группы и использован для выплаты процентов по кредиту, погашения кредита или для распределения Компании. В то время как весь доход, полученный от обыкновенных акций, внесенных Manco, будет направлен в пользу Manco и распределен Manco.
Raven Holdings Limited является связанной стороной Компании. Применяя учетную политику Группы к своим инвестициям в Raven Holdings Limited, руководство должно было вынести суждение при оценке того, контролировала ли Группа Raven Holdings Limited, и, таким образом, она считалась дочерней компанией Группы, или же она была совместным предприятием или ассоциированной компанией Группы. В соответствии с МСФО (IFRS) 10 «Консолидированная финансовая отчетность» руководство рассмотрело, имеет ли Группа полномочия над Raven Holdings Limited, подвержена ли она воздействию переменной доходности от своего участия в Raven Holdings Limited и могла ли она использовать свои полномочия для влияния на эту доходность.
(b) Покупка обыкновенных акций Компанией
Компания приобрела 9 850 350 обыкновенных акций на общую сумму 2,1 млн фунтов стерлингов. Все приобретенные обыкновенные акции были аннулированы.
(c) Финансовые соглашения с ВТБ
Инвестиции Компании в Raven Holdings Limited вместе с соответствующим кредитным финансированием, предоставленным Raven Holdings Limited, и покупка Компанией обыкновенных акций у Invesco были профинансированы за счет кредитной линии в размере 60 млн евро, предоставленной ВТБ одной из дочерних компаний, находящихся в полной собственности Компании. Кредит был полностью использован 29 апреля 2021 года. Он предоставляется сроком на пять лет и имеет процентную ставку 5,65% сверх EURIBOR.
В соответствии с кредитными документами ВТБ ВТБ получил обеспечение по определенным активам Группы и Raven Holdings Limited. Это включает вторичное обеспечение по активам, уже финансируемым ВТБ, где он имеет первичное ипотечное обеспечение, залог по обыкновенным акциям и привилегированным акциям, приобретенным Raven Holdings Limited у Invesco, а также право уступки кредита, предоставленного Группой Raven Holdings Limited.</t>
  </si>
  <si>
    <t>Invesco Asset Management</t>
  </si>
  <si>
    <t>В декабре 2019 года Raven Mount завершила продажу своей доли в совместном предприятии Coln Park за общую сумму 7 миллионов фунтов стерлингов. 4 миллиона фунтов стерлингов были получены в декабре 2019 года, а остаток в размере 3 миллионов фунтов стерлингов был выплачен в декабре 2020 года.</t>
  </si>
  <si>
    <t>Рeйвен Проперти Груп (Raven Mount)</t>
  </si>
  <si>
    <t>Coln Park</t>
  </si>
  <si>
    <t>В ноябре 2015 года Компания приобрела неконтролирующую долю в Группе КИТ Финанс Холдинговая компания (ООО)</t>
  </si>
  <si>
    <t>КИТ Финанс Капитал (ООО)</t>
  </si>
  <si>
    <t>Группа КИТ Финанс Холдинговая компания (ООО)</t>
  </si>
  <si>
    <t>Дочерняя компания</t>
  </si>
  <si>
    <t>В ноябре 2014 года Компанией была приобретена контролирующая доля участия в телекоммуникационной компании, достаточной для существенного влияния на бизнес. Руководство утвердило план продажи данной компании несвязанной стороне и проводит активные маркетинговые мероприятия по их реализации. Руководство Компании рассчитывает завершить продажу до ноября 2015 года. Данные вложения Компании были классифицированы как долгосрочные активы, предназначенные для продажи, так как балансовая стоимость данных инвестиций будет возмещена за счет последующей продажи, а не посредством продолжающегося использования (владения)</t>
  </si>
  <si>
    <t>ООО "ИНВЕСТПРО"</t>
  </si>
  <si>
    <t>ООО "Фактор Инвест"</t>
  </si>
  <si>
    <t>В мае 2014 года Компания утратила контроль над ООО "Фактор Инвест" в результате продажи 100% доли в уставном капитале несвязанным третьим сторонам. В резульате данного выбытия Компания признала доход в размере 6 789 тыс. руб.</t>
  </si>
  <si>
    <t>ООО "ИФК "ФОРТРАСТ"</t>
  </si>
  <si>
    <t>В 2015 году утрачен контроль над ООО "ИФК "ФОРТРАСТ" в связи с продажей доли в уставном капитале.</t>
  </si>
  <si>
    <t>В 2015 году доля в размере 0,002844% уставного капитала ООО "ИК "РусФин" была продана</t>
  </si>
  <si>
    <t>ПАО "Оптима Инвест"</t>
  </si>
  <si>
    <t>ООО "ИК "РусФин"</t>
  </si>
  <si>
    <t>Брокерская деятельность</t>
  </si>
  <si>
    <t>Деятельность по управлению ценными бумагами</t>
  </si>
  <si>
    <t>Группа осуществила продажу принадлежащей ей в размере 100 (Ста) % доли в уставном капитале ООО «УК «ПрофЭксперт» на сумму 80 033 000,00 (Восемьдесят
миллионов тридцать три тысячи) рублей «27» марта 2013г.</t>
  </si>
  <si>
    <t>ИТ сервис</t>
  </si>
  <si>
    <t>ПАО "ИК РУСС-ИНВЕСТ"</t>
  </si>
  <si>
    <t>Предприятие ООО «Сапиента» было приобретено Группой в марте 2015 года. Основным видом деятельности ООО «Сапиента» является создание сервисов в области информационных технологий. Средняя численность сотрудников на протяжении 2015 года составляла 1 человек. По состоянию на 31 декабря 2015 года ООО «Сапиента» находится в полном владении ОАО «ИК РУСС-ИНВЕСТ». На 31 декабря 2014 года чистые активы ООО «Сапиента» составили 8 957 тыс. рублей, что является свидетельством обесценения актива. По данному активу создан резерв в размере 9 748 тыс. рублей.</t>
  </si>
  <si>
    <t>В 2014 году Группа осуществила покупку 17,5% долей в капитале ООО «Вобот». Цена вложения составила 7 813 тыс. рублей.</t>
  </si>
  <si>
    <t>В 2014 году Группа осуществила покупку 5,56% долей в капитале ООО «Семиотик». Цена вложения составила 42 000 тыс. руб.</t>
  </si>
  <si>
    <t>Bio</t>
  </si>
  <si>
    <t>В 2016 году Группа осуществила покупку 30% долей в капитале ООО «Вобот». Цена вложения составила 6 тыс. рублей. Затем Группа продала 5% долей в капитале «Вобот». Убыток от продажи составил 1 610 тыс. рублей.</t>
  </si>
  <si>
    <t>В 2013 году Группа приобрела дополнительные доли за 18 700 тыс. рублей в капитале ООО «Сапиента», увеличив свою долю с 30% до 48%.</t>
  </si>
  <si>
    <t>В 2013 году Группа осуществила покупку 27.79% долей в капитале ООО "Семиотик". Цена вложения составила 5 000 тыс. рублей. На дату приобретения доля Группы в чистых активах ООО "Семиотик" составила 1 456 тыс. рублей</t>
  </si>
  <si>
    <t>ООО "Теледайн"</t>
  </si>
  <si>
    <t>В 2012 году Группа осуществила продажу инвестиции в ассоциированную компанию ОАО "Рязанский завод нефтехим продуктов". доля участия в которой составляла 38.01% (29 049 тыс. рублей). Цена сделки составила 65 501 тыс. рублей. Группа восстановила ранее начисленный резерв под обесценение инвест иции в указанную компанию в сумме 29 049 тыс. рублей.</t>
  </si>
  <si>
    <t>ОАО "Рязанский завод нефтехим продуктов"</t>
  </si>
  <si>
    <t>ООО "Викигудс"</t>
  </si>
  <si>
    <t>ЗАО “РУСС-ИНВЕСТ Брокер” (ранее – ЗАО “ХАЙ КЛАСС”)</t>
  </si>
  <si>
    <t>25 июля 2012 года Группа приобрела контроль над ЗАО “РУСС-ИНВЕСТ Брокер” (ранее – ЗАО “ХАЙ КЛАСС”) посредством покупки 57.78% голосующих акций данной компании у связанной стороны для целей развития бизнеса. В результате данной сделки доля Группы в капитале ЗАО “РУСС-ИНВЕСТ Брокер” выросла с 42.00% до 99.78%. Возмещение, переданное в форме денежных средств для осуществления данной сделки составило 69 950 тыс. рублей. 28 мая 2015 года приказом Банка России № ОД-1183 были аннулированы лицензии на осуществление брокерской и дилерской деятельности по инициативе профессионального участника рынка ценных бумаг ООО «РУСС-ИНВЕСТ БРОКЕР». Основным видом деятельности ООО «РУСС-ИНВЕСТ БРОКЕР» является инвестиционная деятельность. Средняя численность сотрудников в течение 2015 года составляла 1 человек (2014: 1 человек). В случае приобретение предприятия 1 января 2012 года, процентные и прочие доходы за год составили бы на 19 781 тыс. рублей больше и убытки за год составили бы на 1 908 тыс. рублей больше. При определении данных показателей предполагалось, что корректировки к справедливой стоимости на 1 января 2012 года были бы такими же, как и на дату приобретения.</t>
  </si>
  <si>
    <t>Предприятие ООО «НАЩОКИН» было приобретено Группой в 2000 году. Основным видом деятельности ООО «НАЩОКИН» является содержание недвижимости, принадлежащей Группе. Средняя численность сотрудников на протяжении 2015 года составляла 2 человека (2014 год: 3 человека). По состоянию на 31 декабря 2015 года ОАО «ИК РУСС-ИНВЕСТ» владеет 65,71% долей ООО «НАЩОКИН» (31 декабря 2014 года: 65,71%).</t>
  </si>
  <si>
    <t>Предприятие ОАО «БЕРЕЗКА В ЛУЖНИКАХ» было приобретено Группой в сентябре 2004 года. Основными видами деятельности ОАО «БЕРЕЗКА В ЛУЖНИКАХ» являются торговля и содержание недвижимости, принадлежащей Группе. Средняя численность сотрудников на протяжении 2015 года составляла 3 человека (2014 год: 3 человека). По состоянию на 31 декабря 2015 года ОАО «ИК РУСС-ИНВЕСТ» владеет 99,94% обыкновенных акций ОАО «БЕРЕЗКА В ЛУЖНИКАХ» (2014 год: 99,94%).</t>
  </si>
  <si>
    <t>В апреле 2015 года Компания приобрела 109 012 512 штук акций ПАО «МОСТОТРЕСТ» на сумму 10 043 322 тыс.руб., после чего доля Компании в уставном капитале ПАО «МОСТОТРЕСТ» составила 63,63% ( по состоянию на 31.12.2014 г. - 25%+1 акция). Итого инвестиция в ПАО «МОСТОТРЕСТ » на 30 июня 2015 г. состоит из 179 566 395 штук акций на сумму 16 071 192 тыс.руб. (на 31.12.2014 - 70 553 883 штук акций на сумму 4 684 778 тыс.руб.). По состоянию на 30 июня 2015 г. Компания не получила полномочия в отношении управления значимой деятельностью ПАО «МОСТОТРЕСТ» и оценивает, что контроль над объектом инвестиции к ней не перешел. Поэтому в настоящей промежуточной финансовой отчетности учитывает инвестицию в ПАО «МОСТОТРЕСТ» как инвестицию, оцениваемую по справедливой стоимости, изменение которой отражается через прибыль или убыток. Согласно условиям получения займа акции ПАО «МОСТОТРЕСТ» должны быть переданы в залог. Договор залога на дату утверждения отчетности находится на стадии согласования.</t>
  </si>
  <si>
    <t>В 2014 году Компания приобрела акции ПАО «ТрансКонтейнер» стоимостью 459 988 тыс. руб. в количестве 187 750 штук, что составляет 1,35% уставного капитала. По состоянию на 31 декабря 2014 года стоимость акций составила 452 477 тыс. руб.</t>
  </si>
  <si>
    <t>В декабре 2013 года Компания приобрела 70 525 653 штук акций ОАО «Мостотрест» (24,99% уставного капитала) на сумму 13 399 874 070 руб. Оценка акций ОАО «Мостотрест» была проведена независимым оценщиком - компанией ЗАО «АБМ Партнер» по состоянию на 07 ноября 2013 года. ОАО «Мостотрест» - первый в России интегрированный диверсифицированный холдинг, оказывающий полный спектр услуг в инфраструктурном строительстве, ведущая компания Российской Федерации на рынке строительства транспортной инфраструктуры по объему выручки в части работ, выполненных своими силами, по данным независимого отраслевого консультанта EMBS Group. ОАО «Мостотрест» специализируется на строительстве и реконструкции автодорожных, железнодорожных и городских мостов, дорог, а также других инженерных сооружений; оказании сервисных услуг по эксплуатации, содержанию и ремонту автомобильных дорог и мостов; инвестировании в инфраструктурные проекты.</t>
  </si>
  <si>
    <t>АО "ТФК-Финанс"</t>
  </si>
  <si>
    <t>ПАО НК "РуссНефть" (ПАО "Саратовнефтегаз")</t>
  </si>
  <si>
    <t>В июне 2013 года ОАО «Саратовнефтегаз» приобрело у физического лица 17,31% доли в уставном капитале ООО «СО «Агро», в результате чего ООО «СО «Агро» стало 100% дочерним обществом ОАО «Саратовнефтегаз». Сумма уплаченного вознаграждения денежными средствами несущественная.</t>
  </si>
  <si>
    <t>В 2019 году Группа приобрела 37% ООО «Русатом ИР».</t>
  </si>
  <si>
    <t>В 2020 году Группа приобрела 21% ООО «Русские традиции».</t>
  </si>
  <si>
    <t>ПАО "Русполимет"</t>
  </si>
  <si>
    <t>14 июля 2022 г. Компания приобрела 76% голосующих акций компании ЗАО «МАГИСТРАЛЬ ОЙЛ», акции которой не котируются на бирже, в обмен на денежное вознаграждение в размере 167 200 тыс. руб. Компания расположена в Российской Федерации и специализируется на аренде и управлении собственным или арендованным движимым и недвижимым имуществом, оптовой торговле нефтепродуктами.</t>
  </si>
  <si>
    <t>08 сентября 2022 г. Компания приобрела 100% доли в компании ООО «ВЕКТОР» в обмен на денежное вознаграждение в размере 213 843 тыс. руб. Компания расположена в Российской Федерации и специализируется на услугах по перевозке нефтепродуктов (бензин, дизельное топливо) с использованием арендованного автотранспорта, оптовой торговле нефтепродуктами. Для осуществления указанных видов деятельности ООО «ВЕКТОР» владеет необходимыми лицензиями и иной разрешительной документацией.</t>
  </si>
  <si>
    <t>Торговля нефтепродуктами (опттовая)</t>
  </si>
  <si>
    <t>Перевозка нефтепродуктов</t>
  </si>
  <si>
    <t>ПАО "ЕВРОТРАНС"</t>
  </si>
  <si>
    <t>09 сентября 2022 г. Компания приобрела 96% доли в компании ООО «ТРАССА ГСМ» в обмен на денежное вознаграждение в размере 1 410 697,92 тыс. руб. Компания расположена в Российской Федерации и специализируется на хранении, поставке и реализации нефтепродуктов (бензин, дизельное топливо), а также на производстве отдельных видов топлива премиального сегмента. Для осуществления указанных видов деятельности ООО «ТРАССА ГСМ» обладает необходимыми лицензиями и иной разрешительной документацией, в том числе для эксплуатации подъездных железнодорожных путей на территории нефтебазы. Группа приобрела указанные компании, поскольку это должно позволить ей достичь существенного повышения эффективности деятельности в области выстраивания логистических цепочек поставок нефтепродуктов непосредственно от производителей нефтепродуктов – до конечных потребителей, приобретающих топливо (бензин, дизельное топливо) в сети автозаправочных комплексов, эксплуатируемых Группой. Группа приняла решение об оценке неконтролирующей доли участия в объекте приобретения по пропорциональной части идентифицируемых чистых активов объекта приобретения.</t>
  </si>
  <si>
    <t>В конце декабря 2021 года выбыли контрольные доли дочерних компаний АО «СПА-центр «Золотые ворота» в размере 74,99% и ООО «Гута-Клиник» в размере 26%, доход от сделки составил 896 288 тыс. руб. Доля Группы в этих компаниях после выбытия контрольных долей составила по 25% в каждой из компаний. Данные инвестиции были переклассифицированы как инвестиции в ассоциированные компании.</t>
  </si>
  <si>
    <t>Деятельность фитнесс-центров</t>
  </si>
  <si>
    <t>Оказание медицинский услуг</t>
  </si>
  <si>
    <t>ПАО "МКФ "Красный Октябрь"</t>
  </si>
  <si>
    <t>В 2019 году Группа приобрела 100% акции компании АО «СПА-центр «Золотые ворота». Гудвилл представляет собой ожидания экономических выгод в будущем от совместной работы Группы с новой дочерней компанией. Ежегодно гудвилл тестируется на обесценение. По состоянию на 31 декабря 2021 года Гудвилл списан.</t>
  </si>
  <si>
    <t>Услуги в области права и бухгалтерского учета</t>
  </si>
  <si>
    <t>ПАО "Озон Фармацевтика"</t>
  </si>
  <si>
    <t>Производство лекарственных
препаратов и материалов
(противоопухолевые и
иммуномодуляторы)</t>
  </si>
  <si>
    <t>Разработка и производство
лекарственных препаратов
(биоаналогов) на основе
моноклональных антител и
других рекомбинантных
белков</t>
  </si>
  <si>
    <t>В 1 квартале 2024 года Группа находилась в процессе реструктуризации с целью создания единого фармацевтического холдинга, в рамках которого приобретен контроль над следующими организациями (ранее являвшимися прочими связанными сторонами). Приобретенные дочерние организации позволят Группе производить препараты с высоким классом токсичности и биотехнологические препараты с полным циклом производства, что укрепит рыночные позиции Группы.</t>
  </si>
  <si>
    <t>Предоставление в использование регистрационных удостоверений</t>
  </si>
  <si>
    <t>Предоставление в аренду недвижимого имущества</t>
  </si>
  <si>
    <t>Предоставление в использование товарных знаков</t>
  </si>
  <si>
    <t>В 1 квартале 2024 года Группа также приобрела следующие организации, ранее являвшиеся прочими связанными сторонами, принадлежащими владельцам Группы. Данные приобретения представляют собой приобретение группы активов и обязательств, которые не представляют собой бизнес. Приобретенные активы (товарные знаки, регистрационные удостоверения, здания, техническое оборудование и прочие объекты) до приобретения использовались в производственной деятельности Группы на основе договоров аренды/предоставления в использование.</t>
  </si>
  <si>
    <t>ПАО "ПРОМОМЕД"</t>
  </si>
  <si>
    <t>Производство органических химических веществ и фармацевтических субстанций</t>
  </si>
  <si>
    <t>26 декабря 2022 года Группа приобрела 51% долю участия в уставном капитале ООО «Берахим», получив контроль над ООО «Берахим». ООО «Берахим» является производителем органических химических веществ и фармацевтических субстанций и соответствует определению бизнеса в соответствии с МСФО (IFRS) 3. ООО «Берахим» было приобретено с целью расширения производства фармацевтических субстанций. На дату составления консолидированной финансовой отчетности Группы за год, окончившийся 31 декабря 2022 года необходимые рыночные оценки и другие расчеты еще не были завершены, и поэтому они были определены только в предварительном порядке на основе наилучшей оценки руководства касательно вероятной справедливой стоимости. В 2023 году Группа завершила оценку активов и обязательств ООО «Берахим» и осуществляет ретроспективную корректировку предварительно оцененных сумм.</t>
  </si>
  <si>
    <t>Дочерняя компания ООО «Ламбумиз Трейд» была продана 07.02.2024 г. по номинальной стоимости физическому лицу.</t>
  </si>
  <si>
    <t>Торговля упаковкой</t>
  </si>
  <si>
    <t>Производство электрической распределительной и регулирующей аппаратуры</t>
  </si>
  <si>
    <t>08 декабря 2023 года зарегистрирована сделка купли-продажи ПАО «Европейская Электротехника» 100% доли в уставном капитале ООО «Европейская Электротехника Новосибирск», 50% принадлежащей ранее Каленкову Илье Анатольевичу, 50% принадлежащей Дубенку Сергею Николаевичу, номинальной стоимостью 100 000 руб. (Ого тысяч рублей). Стоимость продажи доли равна рыночной стоимости доли и составляет 100 000 руб. (Сто тысяч рублей). Покупатель доли -Г1АО «Европейская Электротехника» (ИНН 7716814300). ООО «Европейская Электротехника Новосибирск» зарегистрировано Межрайонной инспекцией Федеральной налоговой службы № 16 по Новосибирской области 22 ноября 2013 года, основной государственный регистрационный номер 1135476174459, свидетельство о государственной регистрации юридического лица серия 54 № 004864833.</t>
  </si>
  <si>
    <t>Троговля оптовая</t>
  </si>
  <si>
    <t>08 декабря 2023 года зарегистрирована сделка купли-продажи ПАО «Европейская Электротехника» 100% доли в уставном капитале ООО «Европейская Электротехника Самара», 50% принадлежащей ранее Каленкову Илье Анатольевичу, 50% принадлежащей Дубенку Сергею Николаевичу, номинальной стоимостью 100 000 руб. (Сто тысяч рублей). Стоимость продажи доли равна рыночной стоимости доли и составляет 100 000 руб. (Сто тысяч рублей). Покупатель доли - ПАО «Европейская Электротехника» (ИНН 7716814300). ООО «Европейская Электротехника Самара» зарегистрировано Инспекцией Федеральной налоговой службы по Октябрьскому району г. Самара 7 ноября 2013 года, основной государственный регистрационный номер 1136316010720, свидетельство о государственной регистрации юридического лица серия 63 № 005784718.</t>
  </si>
  <si>
    <t>08 декабря 2023 года зарегистрирована сделка купли-продажи ПАО «Европейская Электротехника» 100% доли в уставном капитале ООО «Европейская Электротехника Поволжье», 50% принадлежащей ранее Каленкову Илье Анатольевичу, 50% принадлежащей Дубенку Сергею Николаевичу, номинальной стоимостью 100 000 руб. (Ого тысяч рублей). Стоимость продажи доли равна рыночной стоимости доли и составляет 100 000 руб. (Сто тысяч рублей). Покупатель доли -ПАО «Европейская Электротехника» (ИНН 7716814300). ООО «Европейская Электротехника Поволжье» зарегистрировано Межрайонной инспекцией Федеральной налоговой службы № 18 по Республике Татарстан 18 декабря 2009 года, основной государственный регистрационный номер 1091690065466, свидетельство о государственной регистрации юридического лица серия 16 № 005756364.</t>
  </si>
  <si>
    <t>08 декабря 2023 года зарегистрирована сделка купли-продажи ПАО «Европейская Электротехника» 100% доли в уставном капитале ООО «Европейская Электротехника Уфа», 50% принадлежащей ранее Каленкову Илье Анатольевичу, 50% принадлежащей Дубенку Сергею Николаевичу, номинальной стоимостью 100 000 руб. (Сто тысяч рублей). Стоимость продажи доли равна рыночной стоимости доли и составляет 100 000 руб. (Сто тысяч рублей). Покупатель доли - Г1АО «Европейская Электротехника» (ИНН 7716814300). ООО «Европейская Электротехника Уфа» зарегистрировано Межрайонной инспекцией Федеральной налоговой службы № 39 по Республике Башкортостан 05 марта 2011 года, основной государственный регистрационный номер 1110280008520, свидетельство о государственной регистрации юридического лица серия 02 № 006669545.</t>
  </si>
  <si>
    <t>09 декабря 2022 года зарегистрирована сделка купли-продажи ПАО «Европейская Электротехника» 99% доли в уставном капитале ООО «Европейская Электротехника», принадлежащей ранее ООО «Европейская Электротехника Северо-Запад», номинальной стоимостью 928 719 000 руб. (Девятьсот двадцать восемь миллионов семьсот девятнадцать тысяч рублей). Рыночная стоимость указанной доли, определенная оценщиком, составляет 880 422 840 руб. (Восемьсот восемьдесят миллионов четыреста двадцать две тысячи восемьсот сорок рублей). Стоимость продажи указанной доли равна рыночной стоимости доли и составляет 880 422 840 руб. (Восемьсот восемьдесят миллионов четыреста двадцать две тысячи восемьсот сорок рублей). Покупатель доли -ПАО «Европейская Электротехника» (ИНН 7716814300).
09 декабря 2022 года зарегистрирована сделка купли-продажи ПАО «Европейская Электротехника» 0,5% доли в уставном капитале ООО «Европейская Электротехника», принадлежащей ранее Юшенкову Илье Анатольевич)', номинальной стоимостью 4 690 500 руб. (Четыре миллиона шестьсот девяносто тысяч пятьсот рублей). Стоимость продажи указанной доли составила 4 446 580 руб. (Четыре миллиона четыреста сорок шесть тысяч пятьсот восемьдесят рублей). Покупатель доли - ПАО «Европейская Электротехника» (ИНН 7716814300).
09 декабря 2022 года зарегистрирована сделка купли-продажи ПАО «Европейская Электротехника» 0,5% доли в уставном капитале ООО «Европейская Электротехника», принадлежащей ранее Дубенку Сергею Николаевичу, номинальной стоимостью 4 690 500 руб. (Четыре миллиона шестьсот девяносто тысяч пятьсот рублей). Стоимость продажи указанной доли - составила 4 446 580 руб. (Четыре миллиона четыреста сорок шесть тысяч пятьсот восемьдесят рублей). Покупатель доли - ПАО «Европейская Электротехника» (ИНН 7716814300).</t>
  </si>
  <si>
    <t>Производство машин и оборудования для добычи полезных ископаемых и строительства</t>
  </si>
  <si>
    <t>03 июня 2021 года зарегистрирована сделка купли-продажи ПАО «Европейская Электротехника» 95% доли в уставном капитале ООО «РНГ-Инжиниринг», принадлежащей ранее ООО «Инженерный центр «Европейская Электротехника», номинальной стоимостью 9 500 руб. (Девять тысяч пятьсот рублей). Рыночная стоимость указанной доли, определенная оценщиком, составляет 2 755 000 руб. (Два миллиона семьсот пятьдесят пять тысяч рублей). Стоимость продажи доли равна рыночной стоимости доли и составляет 2 755 000 руб. (Два миллиона семьсот пятьдесят пять тысяч рублей). Покупатель доли - ПАО «Европейская Электротехника» (ИНН 7716814300). ООО «РНГ-Инжиниринг» зарегистрировано Межрайонной инспекцией Федеральной налоговой службы № 39 по Республике Башкортостан 13 августа 2013 года, основной государственный регистрационный номер 1130280048051, свидетельство о государственной регистрации юридического лица серия 02 № 007131020.</t>
  </si>
  <si>
    <t>20 апреля 2018 года 100% доли в уставном капитале ООО «Европейская Электротехника Северо-Запад» номинальной стоимостью 100 тыс. руб. проданы ПАО «Европейская электротехника» по рыночной стоимости 194 000 тыс. руб. Превышение рыночной оценки долей в уставном капитале ООО «Европейская Электротехника Северо-Запад» над их номинальной стоимостью учтено в капитане Группы в составе нераспределенной прибыли.</t>
  </si>
  <si>
    <t>28 июня 2018 г. завершена сделка по приобретению 95% доли в уставном капитале ООО «РПГ-Инжиниринг» по номинальной стоимости 9,5 тыс. руб. Разница между и инвестицией и стоимостью чистых активов, принадлежащих группе, отражена как увеличение нераспределенной прибыли. Таким образом, в 2018 году в результате приобретения ООО «Европейская Электротехника Северо-Запад» и ООО «РНГ-Инжиниринг» отражен перенос чистых активов дочерних компаний: - на неконтролирующую долю участия в размере 4 985 тыс. руб.; - на увеличение нераспределенной прибыли при приобретении дочерних компаний в размере 15 416 тыс. руб.</t>
  </si>
  <si>
    <t>ПАО "Магнитогорский металлургический комбинат" (ПАО "ММК")</t>
  </si>
  <si>
    <t>ПАО "Новолипецкий металлургический комбинат" (ПАО "НЛМК")</t>
  </si>
  <si>
    <t>Материнская организация 5 ноября 2019 года приняла решение о внесении вклада в уставный капитал ООО «ММК-ИНДУСТРИАЛЬНЫЙ ПАРК» в размере 334 591 тысяча рублей (из них недвижимым имуществом на сумму 294 015 тысяч рублей и движимым имуществом на сумму 40 576 тысяч рублей) согласно отчёту независимого оценщика». Таким образом, доля ОАО «ММК-МЕТИЗ» в уставном капитале ООО «ММК-ИНДУСТРИАЛЬНЫЙ ПАРК» составила 90,91%», компания ООО «ММК-ИНДУСТРИАЛЬНЫЙ ПАРК» была признана дочерней организацией.</t>
  </si>
  <si>
    <t>Материнская организация 14 января 2020 года приняла решение о внесении вклада в уставный капитал ООО «ММК-ИНДУСТРИАЛЬНЫЙ ПАРК» в размере 38 405 тысяч рублей недвижимым имуществом. Таким образом, доля ОАО «ММК-МЕТИЗ» в уставном капитале ООО «ММК-ИНДУСТРИАЛЬНЫЙ ПАРК» составила 91,77%.</t>
  </si>
  <si>
    <t>Миноритарный акционер (ПАО «Магнитогорский металлургический комбинат») 29 апреля 2020 года принял решение о внесении дополнительного вклада в уставный капитал ООО «ММК-ИНДУСТРИАЛЬНЫЙ ПАРК» в размере 3 500 тысяч рублей денежными средствами. Таким образом, доля ОАО «ММК-МЕТИЗ» в уставном капитале ООО «ММК-ИНДУСТРИАЛЬНЫЙ ПАРК» составила 90,99%.</t>
  </si>
  <si>
    <t>ОАО "ММК-МЕТИЗ"</t>
  </si>
  <si>
    <t>Аренда и управление собственным и арендованным недвижимым имуществом</t>
  </si>
  <si>
    <t>ООО ВДЦ Караван</t>
  </si>
  <si>
    <t>ПАО Группа Астра</t>
  </si>
  <si>
    <t>В апреле 2024 года ПАО Группа Астра заключила несколько опционов с третьей стороной на покупку долей в облачном провайдере ООО ВДЦ Караван. В мае ПАО Группа Астра реализовала опцион на покупку 80% доли ООО ВДЦ Караван за 434 369 тыс. руб. и получила право на покупку оставшейся доли в размере 20% по стоимости, которая будет рассчитана в зависимости от рыночной стоимости акций ПАО Группа Астра. По оценке руководства справедливая стоимость опциона признана несущественной.</t>
  </si>
  <si>
    <t>В июне 2024 года Группа приобрела 80% долю в ООО Тантор ДиЭлЭйч за денежное вознаграждение в размере 36 000 тыс. руб., с последующим денежным вкладом в имущество в размере 82 550 тыс. руб. согласно заключенному корпоративному соглашению. На покупку оставшейся 20% доли в ООО Тантор ДиЭлЭйч Группа Астра заключила несколько опционов по стоимости, которая будет определяться на основании будущих финансовых результатов компании. По оценке руководства справедливая стоимость опциона признана несущественной.</t>
  </si>
  <si>
    <t>ООО Тантор ДиЭлЭйч</t>
  </si>
  <si>
    <t>Облачный провайдер</t>
  </si>
  <si>
    <t>Разработка платформы для управления данными</t>
  </si>
  <si>
    <t>ООО Астра Облако (бывш. ООО Русоникс)</t>
  </si>
  <si>
    <t>АО Экзософт</t>
  </si>
  <si>
    <t>В июле 2023 года Группа увеличила свою долю на 7,5%, получив 55% и контроль над АО Экзософт в рамках поэтапного приобретения 70% компании. Денежное вознаграждение, переданное ранее за приобретенную долю в размере 47,5% капитала, составило 210 млн. руб. В результате переоценки до справедливой стоимости ранее имевшейся у Группы доли в размере 47,5% в объекте инвестиций, учитываемого методом долевого участия, возникла прибыль в размере 496 тыс. руб.</t>
  </si>
  <si>
    <t>Разработка платформы виртуализации, управления физической ИТ-инфраструктурой, биллинговой платформы</t>
  </si>
  <si>
    <t>ООО Номари СиАйЭс</t>
  </si>
  <si>
    <t xml:space="preserve">В октябре 2023 года ПАО Группа Астра приобрела 70,2% долю в компании ООО Номари СиАйЭс по номинальной стоимости за денежное вознаграждение в размере 7 тыс. руб. с последующим внесением денежного вклада в имущество компании в размере 120 млн руб. без увеличения доли владения согласно условиям заключенного корпоративного договора. ООО Номари СиАйЭс на дату покупки владело 100% долей в ООО Линда Девелопмент и 87,3% долями в ООО Номари Продакшн и ООО Номари Лернинг в каждой. В результате приобретения была признана неконтролирующая доля участия прочих акционеров в размере 89 186 тыс. руб. </t>
  </si>
  <si>
    <t>ООО Ресолют</t>
  </si>
  <si>
    <t>Холдинговая структура; разработка платформ</t>
  </si>
  <si>
    <t>В августе 2023 года Компания приобрела 26% долю в ООО Ресолют за денежное вознаграждение в размере 88 тыс. руб. с последующим денежным вкладом в добавочный капитал компании в размере 99 912 тыс. руб. без увеличения доли владения согласно условиями заключенного корпоративного договора. В декабре 2023 Компания дополнительно приобрела 25% долю в обществе за денежное вознаграждение в размере 85 тыс. руб. Часть вознаграждения составляет условное вознаграждение, справедливая оценка которого на дату покупки составляла 5 652 тыс. руб., и была отражена в составе прочих долгосрочных обязательств. В результате этой операций в составе неконтролирующей доли участия была отражена доля миноритарных акционеров в размере 83 145 тыс. руб. Доход от выгодной покупки был признан в размере 36 684 тыс. руб. Основным продуктом компании является платформа GitFlic для хранения исходного кода и работы с ним. а также для совместной работы команд разработчиков. В основе программы лежит технология контроля версий Git, которая применяется для управления версиями в проектах по разработке ПО. как коммерческих, так и с открытым исходным кодом.</t>
  </si>
  <si>
    <t>Разработка платформы для хранения исходного кода и работы с ним</t>
  </si>
  <si>
    <t>В феврале 2023 Компания выкупила дополнительную 11% долю участия в ООО УВЕОН -Облачные Технологии у неконтролирующих акционеров за общее денежное вознаграждение в размере 11 605 тыс. руб. Уменьшение доли неконтролирующих собственников в обществах с ограниченной ответственностью составило 3 859 тыс. руб. Эффект от приобретения дополнительной доли участия в размере 7 746 тыс. руб. был отражен как уменьшение нераспределенной прибыли.</t>
  </si>
  <si>
    <t>В декабре 2023 года Группа приобрела дополнительные 7,5% доли участия в АО Экзософт за вознаграждение в размере 50 000 тыс. руб. , доведя свою долю владения до 62,5%. Увеличение доли было отражено как уменьшение нераспределенной прибыли в размере 13 072 тыс. руб. с одновременным признанием 36 928 тыс. руб. в составе неконтролирующей доли участия.</t>
  </si>
  <si>
    <t>ООО УВЕОН -Облачные Технологии</t>
  </si>
  <si>
    <t>Разработка инфраструктуры виртуальных рабочих мест</t>
  </si>
  <si>
    <t>ООО АйСиЭл Астра Сервис</t>
  </si>
  <si>
    <t>Оказание услуг по внедрению и сопровождению</t>
  </si>
  <si>
    <t>В феврале 2023 года было учреждено ООО АйСиЭл Астра Сервис с уставным капиталом в размере 70 268 тыс. руб. (доля Группы составила 56%) Позднее второй участник внес дополнительный вклад в размере 1 812 тыс. руб. В результате непропорционального увеличения капитала ООО АйСиЭл Астра Сервис за счет вклада одного участника 1 015 тыс. руб. было отражено как увеличение нераспределенной прибыли Группы. В сентябре 2023 года 5% доля владения ООО АйСиЭл Астра Сервис была реализована связанной стороне, эффект от продажи доли участия в размере 428 тыс. руб. был отражён как уменьшение нераспределенной прибыли Группы.</t>
  </si>
  <si>
    <t>В декабре 2023 года в соответствии с условиями корпоративного договора ООО Номари СиАйЭс приобрело доли своих дочерних компаний (ЗАО Номари Продакшн и ЗАО Номари Лернинг) в размере 12,7% каждая у неконтролирующего собственника. Эффект от приобретения неконтролирующей доли участия в размере 19 158 тыс. руб. был отражен как уменьшение нераспределенной прибыли в размере 19 673 тыс. руб. с одновременным признание резервов накопленных курсовых разниц в размере 515 тыс. руб.</t>
  </si>
  <si>
    <t>ПАО Группа Астра (ООО Номари СиАйЭс)</t>
  </si>
  <si>
    <t>ЗАО Номари Продакшн и ЗАО Номари Лернинг</t>
  </si>
  <si>
    <t>Разработка платформ</t>
  </si>
  <si>
    <t>ООО РУБЭКАП</t>
  </si>
  <si>
    <t>ООО Лаборатории Тантор</t>
  </si>
  <si>
    <t>В октябре 2022 года АО Группа Астра расширила свою экосистему продуктов системой управления баз данных Tantor, приобретя 75% долю в ООО Лаборатории Тантор у третьих лиц. Доля была оплачена денежными средствами в размере 100 млн руб. В результате приобретения доли в Тантор, Группа получила доход от выгодного приобретения в размере 70 799 тыс. руб. Неконтролирующая доля участия прочих акционеров в размере 56 933 тыс. руб. была признана в составе краткосрочных обязательств.</t>
  </si>
  <si>
    <t>Разработка СУБД и платформы управления и мониторинга</t>
  </si>
  <si>
    <t>ООО Астра Академия</t>
  </si>
  <si>
    <t>В течение 2021 года 80% доли участия в ООО РУБЭКАП (64%, принадлежащие конечному бенефициару и 16%, принадлежащие неконтролирующему участнику) и 51% доли участия в ООО УВЕОН -Облачные технологии (40,8%, принадлежащие конечному бенефициару и 10,2%, принадлежащие неконтролирующему участнику) были переданы Компании за денежное вознаграждение в размере 32 400 тыс. рублей и 10 тыс. рублей, соответственно. Эффект от проведенной реструктуризации в размере 5 992 тыс. руб. был признан в составе нераспределённой прибыли как операции по реструктуризации Группы.</t>
  </si>
  <si>
    <t xml:space="preserve">Разработка сервиса по резервному копированию данных </t>
  </si>
  <si>
    <t>Образовательные проекты</t>
  </si>
  <si>
    <t>В феврале 2021 года 80% доли участия в ООО Астра Академия были приобретены Группой у третьей стороны за денежное вознаграждение 2 500 тыс. руб. Данная сделка была отражена как приобретение активов в консолидированной финансовой отчетности, поскольку не попадала под определение приобретения бизнеса согласно МСФО (IFRS) 3 «Объединение бизнеса».</t>
  </si>
  <si>
    <t>ПАО "Диасофт"</t>
  </si>
  <si>
    <t>18 августа 2023 года Группа получила контроль над ООО «Диасофт Технопарк» посредством приобретения 87,7308 %-ой доли участия в уставном капитале. Основной деятельностью компании является сдача в аренду собственного и арендованного недвижимого имущества компаниям Группы.</t>
  </si>
  <si>
    <t>Сдача в аренду/субаренду недвижимого имущества</t>
  </si>
  <si>
    <t>В июне 2023 года Группа приобрела неконтролирующую долю участия в дочерней компании АО «Новая Афина» в размере 39,2%, после чего доля Группы составила 59,2%.</t>
  </si>
  <si>
    <t>Разработка компьютерного ПО</t>
  </si>
  <si>
    <t>В марте 2024 года Группа заключила договора на продажу доли ООО «Тера Интегро» неконтролирующему участнику в размере 5%.</t>
  </si>
  <si>
    <t>Консалтинг в области построения и развития корпоративных аналитических платформ</t>
  </si>
  <si>
    <t>27 июня 2022 г. Группа приобрела долю 100% ООО "ЦОА". Группа обладает контролем над данным объектом согласно МСФО (IFRS) 10 и классифицирует OOO «ЦОА» как дочернюю организацию. Эффективная доля владения Группы в OOO «ЦОА» на 31 декабря 2023 г. составляет 92.95%.</t>
  </si>
  <si>
    <t>ООО "ЦОА"</t>
  </si>
  <si>
    <t>20 октября 2021 г. Группа приобрела долю 80% ООО "Ридус Дата". На момент приобретения ООО "Ридус Дата" принадлежало 60% ООО «Пикодата» (вместе Группа Ридус Дата). Группа обладает контролем над данным объектом согласно МСФО (IFRS) 10 и классифицирует Группу Ридус Дата как дочернюю организацию. Эффективная доля владения Группы в ООО "Ридус Дата" составляет 80%. Эффективная доля владения Группы в ООО «Пикодата» составляет 48%.</t>
  </si>
  <si>
    <t>В июле 2022 г. Группа приобрела 90% ООО «Тера Интегро». Группа обладает контролем над ООО «Тера Интегро» согласно МСФО (IFRS) 10 и классифицирует как дочернюю организацию. Эффективная доля владения Группы в ООО «Тера Интегро» на 31 декабря 2023 г. составляет 95%.</t>
  </si>
  <si>
    <t>В декабре 2023 года Группа заключила договора на продажу долей ООО «Аренадата Софтвер» с тремя неконтролирующими участниками на общую долю компании в размере 2.05%.</t>
  </si>
  <si>
    <t>В декабре 2023 года Группа заключила договор на покупку части неконтролирующей доли ООО «Тера Интегро» в размере 5%. Возмещение составило 14,000 тыс. руб. В отчетности Группы уменьшено обязательство по строке «Чистые активы, приходящиеся на неконтролирующие доли участия» на сумму 6,888 тыс. руб.</t>
  </si>
  <si>
    <t>В марте 2023 года Группа заключила договор на продажу доли ООО «ДатаКаталог» неконтролирующему участнику в размере 5%.</t>
  </si>
  <si>
    <t>В декабре 2023 года Группа заключила договор на покупку части неконтролирующей доли ООО «ДатаКаталог» в размере 23.21%. Возмещение по продаже составило 50 тыс. руб., возмещение по покупке составило 27,852 тыс. руб.</t>
  </si>
  <si>
    <t>В апреле 2022 года Группа продала принадлежащую ей 57% долю в компании ООО «Датамарт». Группа оценила справедливую стоимость инвестиции в ассоциированною организацию ООО «Датамарт», исходя из рыночной стоимости доли 57% в размере 76,000 тыс. руб.</t>
  </si>
  <si>
    <t>ПАО "ИВА"</t>
  </si>
  <si>
    <t>12 июля 2021 года Группа приобрела контроль над компанией АО «ВКурсе» посредством покупки 51% акций. Основным видом деятельности компании является разработка программного обеспечения.</t>
  </si>
  <si>
    <t>29 декабря 2022 года Группа приобрела контроль над компанией ООО «НТЦ «ХайТэк» путём заключения договора об осуществлении прав участника ООО «НТЦ «ХайТэк». Согласно указанному договору Группа приобрела право определять ключевые решения, принимаемые общим собранием участников, а также зафиксировала намерение приобрести 100 % доли в ООО «НТЦ «ХайТэк» в течение одного года. Сделка по приобретению 100% доли в уставном капитале ООО «НТЦ «ХайТэк» была завершена 27 декабря 2023 года.</t>
  </si>
  <si>
    <t>В течение первого полугодия 2024 года Группа продала 100%-ную долю владения в дочернем обществе, владеющим лицензией на осуществление геологоразведочных работ, за общее вознаграждение в сумме 5 440 млн рублей (представлено в строке Прочая дебиторская задолженность на отчетную дату) и отразила доход от выбытия в сумме 3 527 млн рублей.</t>
  </si>
  <si>
    <t>В течение первого полугодия 2023 года Группа продала 100%-ную долю владения в дочернем обществе, владеющим лицензиями на осуществление геологоразведочных работ, за общее вознаграждение в сумме 3 705 млн рублей (за вычетом выбывших денежных средств) и отразила доход от выбытия в сумме 2 497 млн рублей.</t>
  </si>
  <si>
    <t>В июле 2023 года Группа одобрила программу приобретения акций до 40 802 741 обыкновенных акций Компании (29,99% от общего количества акций) на общую максимальную сумму сделки 579 399 млн рублей. В августе 2023 года Группа завершила программу и приобрела 40 799 587 обыкновенных акций Компании в сумме 579 429 млн рублей (включая затраты, связанные с программой, в сумме 75 млн рублей).</t>
  </si>
  <si>
    <t>Дочернее общество 1</t>
  </si>
  <si>
    <t>Дочернее общество 2</t>
  </si>
  <si>
    <t>PLZL</t>
  </si>
  <si>
    <t>За год, закончившийся 31 декабря 2022 года, Группа завершила программу обратного выкупа обыкновенных акций на открытом рынке и приобрела 70 тысяч обыкновенных акций Компании общей стоимостью 713 млн рублей.</t>
  </si>
  <si>
    <t>В течение первого квартала 2021 года Группа завершила обратный выкуп акций, начавшийся в декабре 2020 года, путем приобретения 62 тысяч обыкновенных акций Компании у его акционеров. По состоянию на 31 декабря 2020 года в отношении акций к получению было признано обязательство в размере 1,051 млн рублей.</t>
  </si>
  <si>
    <t>В течение 2020 года Группа выкупила 126,345 обыкновенных акций и 15,498 привилегированных акций у акционеров ПАО «Лензолото» за общую величину денежных средств в размере 2,448 млн рублей и 5 тысяч обыкновенных акций ПАО «Полюс».</t>
  </si>
  <si>
    <t>3 марта 2017 года, в рамках исполнения выше обозначенных требований, Компанией было выкуплено 14 тысяч штук собственных обыкновенных акций (0,01%) по цене 4,497 рублей за акцию, что привело к оттоку денежных средств в размере 62 млн. рублей.</t>
  </si>
  <si>
    <t>В течение 2016 года Группа завершила процесс выкупа собственных обыкновенных акций в количестве 60,519 тысяч штук за 244,656 млн. рублей.</t>
  </si>
  <si>
    <t>В январе 2016 года Группа завершила сделку по продаже Группе «Полиметалл» (Polymetal International pic) доли в компании на 100% владеющей АО «Южно-Верхоянская Горнодобывающая Компания» (месторождение Нежданинское). В соответствии с соглашением Группа «Полиметалл» будет участвовать в разработке месторождения и может приобрести до 50% в компании владеющей 100% АО «Южно-Верхоянская Горнодобывающая Компания» в результате дополнительных эмиссий акций приобретаемой компании.</t>
  </si>
  <si>
    <t>В 2015 году компания АО «Полюс» приобрела у компании PGIL: - 35.93% акций АО «Южно-Верхоянская горнодобывающая компания», за 65 млн. долларов США (4,300 млн. рублей), увеличив долю владения до 100%; и - 50.46% акций Polyus Exploration Limited, за 165 млн. долларов США (11,742 млн. рублей), увеличив долю владения до 100%. Плата за акции была выплачена денежными средствами в 2015 году. По результатам покупки акций дочерних предприятий произошло уменьшение нераспределенной прибыли Компании и доли неконтролирующих акционеров на 15,085 млн. рублей и 957 млн. рублей, соответственно (Консолидированный отчет об изменениях в капитале).</t>
  </si>
  <si>
    <t>В 2014 году компания Jenington реализовала компании PGIL: - 35.93% акций ОАО «Южно-Верхоянская горнодобывающая компания», за 193 млн. долларов США (11,780 млн. рублей), сократив долю владения до 64.07%; и - 50.46% акций Polyus Exploration Limited, за 108 млн. долларов США (6,557 млн. рублей), сократив долю владения до 49.54%. Плата за акции была получена денежными средствами в 2014 году. По результатам продажи акций дочерних предприятий произошло увеличение нераспределенной прибыли Компании и доли неконтролирующих акционеров на 17,441 и 896 млн. рублей соответственно (Консолидированный отчет об изменениях в капитале). Компания сохраняет контроль над дочерней компанией Polyus Exploration Limited, поскольку она продолжает определять ее финансовую и операционную политику в силу того, что большинство членов Совета Директоров являются представителями Группы, поэтому данная компания консолидируются, несмотря на то, что эффективная доля собственности менее 50%.</t>
  </si>
  <si>
    <t xml:space="preserve">В 2014 году Группа реализовала компании PGIL американские депозитарные расписки (далее - «АДР») в количестве 8,995,860 штук, дающие право на 4,497,930 акций ОАО «Полюс Золото». Учетная стоимость АДР составляла 7,688 млн. рублей, цена реализации 95 млн. долларов США (5,810 млн. рублей) </t>
  </si>
  <si>
    <t>Акции и глобальные депозитарные расписки компании PGIL, материнской компании Группы, принадлежащие компании Jenington, дочернему предприятию Группы, в данной консолидированной финансовой отчетности представлены как собственные акции, выкупленные у акционеров. 11 мая 2012 года компания Jenington завершила сделку по продаже вложений в компанию PGIL. 151.608 тысяч акций были проданы Chengdong Investment Corporation, дочерней компании CIC International Со. Ltd.; 50,198 тысяч акций и 25,154 тысяч глобальных депозитарных расписок первого уровня (одна глобальная депозитарная расписка равна одной акции) были проданы АО «ВТБ Банк». Выручка, полученная в результате двух транзакций, равна 18,942 млн. руб., за вычетом 331 млн. руб. организационных расходов, непосредственно связанных с продажей собственных акций, выкупленных у акционеров.</t>
  </si>
  <si>
    <t>16 декабря 2011 года Polyus Gold International Limited завершил приобретение обыкновенных именных акций ОАО «Полюс Золото». В результате Обязательного предложения Компания приобрела 7,263,644 акции на общую сумму 446,103 тыс. долл. США. получив приблизительно 3.81% выпущенных и находившихся в обращении акций ОАО «Полюс Золото». По завершении Обязательного предложения Polyus Gold International Limited стал владельцем 177,190.246 акций, составляющих приблизительно 92.95% выпущенных и находившихся в обращении акций ОАО «Полюс Золото». Это привело к уменьшению неконтролирующих долей владения на 136,920 тыс. долл. США.</t>
  </si>
  <si>
    <t>29 июля 2011 года и после закрытия описанного выше Частного предложения Группа через свое дочернее предприятие Jenington International Inc. инициировала дополнительное Частное предложение об обмене акций («Предложение Jenington»), чтобы позволить тем владельцам ценных бумаг «Полюс Золото», которые не участвовали в Частном предложении, обменять свои ценные бумаги на аналогичных условиях. Предложение Jenington было закрыто 15 августа 2011 года и привело к приобретению 4,141,089 АДР (что эквивалентно 2,070,545 обыкновенным акциям) «Полюс Золото» (или 1.09% выпущенных ценных бумаг «Полюс Золото») в обмен на 35,489,133 собственных акций Компании, выкупленных у акционеров, общей стоимостью 119,623 тыс. долл. США.</t>
  </si>
  <si>
    <t>Кроме того, к концу августа 2011 года Jenington приобрел 4,854,770 АДР (что эквивалентно 2,427,385 обыкновенным акциям) «Полюс Золото» (или 1.27% выпущенных ценных бумаг «Полюс Золото») на сумму 142,713 тыс. долл. США.
В результате вышеупомянутых сделок общее количество выпущенных ценных бумаг «Полюс Золото», принадлежащих Компании и Jenington International Inc., увеличилось до 91.5% общего выпущенного капитала «Полюс Золото» с соответствующим уменьшением неконтролирующих долей владения в размере 86,560 тыс. долл. США.</t>
  </si>
  <si>
    <t>1 июля 2010 года KazakhGold выпустил 66,666,667 новых обыкновенных акций по цене размещения 1.50 долл. США за акцию на общую сумму 98,747 тыс. долл. США (за вычетом затрат на размещение). «Полюс Золото» через дочернюю компанию Jenington Inc. приобрела 51,194,922 акции, тем самым увеличив долю владения в KazakhGold до 65% выпущенного уставного капитала. В результате Группа признала уменьшение неконтролирующих долей владения в размере 11,068 тыс. долл. США.</t>
  </si>
  <si>
    <t>Группа сделала предложение по покупке большей части выпущенных акций KazakhGold («Частичное предложение»). В соответствии с условиями Частичного предложения Группа предложила 0,423 акции ОАО «Полюс Золото» («Акции, используемые в качестве встречного вознаграждения») за каждую акцию KazakhGold. 30 июля 2009 года Частичное предложение стало безусловным в отношении акцепта, так как необходимое количество соответствующих акцептов было получено. 14 августа 2009 года было объявлено, что Частичное предложение стало безусловным во всех отношениях. 30 июля 2009 года Группа приобрела 50,2% выпущенных акций золотодобывающей компании KazakhGold Group Limited, основные производственные активы которой расположены в Республике Казахстан. Приобретение KazakhGold представляло часть плана руководства по увеличению запасов и объемов производства золота. Рыночная капитализация KazakhGold на 14 августа 2009 года («дата закрытия сделки»), дату, к которой приблизительно 96% акционеров KazakhGold приняли Частичное предложение, составила приблизительно 439 млн. долл. США, исходя из размера выпущенного уставного капитала KazakhGold Group Limited на дату закрытия сделки, а также рыночных котировок АДР ОАО «Полюс Золото» на эту дату. В соответствии с условиями Частичного предложения, 84,86% акций, используемых в качестве встречного вознаграждения, были незамедлительно выкуплены Группой по цене 20 долл. США за каждую акцию. Справедливая стоимость оставшихся акций, используемых в качестве встречного вознаграждения (1 700 240 штук), была рассчитана исходя из рыночных котировок на ММВБ на дату приобретения, и составила 63 585 тыс. долл. США. Кроме покупки акций Группа приобрела у предыдущего основного акционера опционы на покупку всех прав и обязательств по конвертируемым займам, полученным компанией KazakhGold от предыдущего основного акционера. По условиям договоров конвертируемых займов займодавец имеет право конвертировать основную часть займов в сумме 31 025 тыс. долл. США. а также сумму начисленных процентов, в обыкновенные акции KazakhGold по цене 1,5 долл. США за акцию. Справедливая стоимость опционов была оценена в размере 89 872 тыс. долл. США на дату приобретения опционов. Стоимость приобретения KazakhGold была скорректирована на справедливую стоимость приобретенных опционов.</t>
  </si>
  <si>
    <t>В марте 2021 года Группа подписала предварительное соглашение с третьей стороной, в соответствии с которым 100% доля владения в шахте Абашевская может быть продана Группой. В первом полугодии 2022 года Группа завершила подготовительные процедуры, необходимые для продажи шахты в текущем состоянии и в июне 2022 года были выполнены критерии для классификации актива как удерживаемого для продажи. Поэтому, по состоянию на 30 июня 2022 г. и до конца 2022 г. Группа раскрывала шахту Абашевская как выбывающую группу, классифицированную как предназначенную для продажи. На 31 декабря 2022 г. чистые обязательства шахты составляли 1,980 млн руб. В 2022 г. Группа получила полную сумму денежного возмещения авансом (460 млн руб.). В январе 2023 г., когда контроль над дочерней компанией перешел к покупателю, сделка была завершена. Группа признала прибыль от продажи шахты Абашевская в сумме 2,440 млн руб.</t>
  </si>
  <si>
    <t>Межегейуголь (ООО «Угольная Компания «Межегейуголь») является дочерней компанией Общества с долей владения 100%, приобретенной 30 декабря 2020 г. До приобретения Обществом Южкузбассуголь был компанией под общим контролем с Обществом. В 2020 и 2019 годах Группа реализовывала данному предприятию запасы и оборудование.</t>
  </si>
  <si>
    <t>В период с 20 февраля 2012 г. по 20 апреля 2012 г. Общество выкупило 77 608 366 своих обыкновенных акций за 11 641 254 900 руб. (150 руб. за акцию). 23 октября 2012 г. Общество погасило все собственные акции.</t>
  </si>
  <si>
    <t>28 апреля 2010 г. Группа приобрела у Evraz 100%-ную долю участия в ЗАО «Коксовая», занимающемся добычей коксующегося угля и находящемся в г. Междуреченск, за денежную компенсацию в размере 1 162 492 тыс. руб. (40 млн. долл. США по обменному курсу Банка России, действительному на дату транзакции). В результате, данные о финансовом состоянии и результатах деятельности ЗАО «Коксовая» были включены в консолидированную финансовую отчѐтность Группы начиная с 28 апреля 2010 г. ЗАО «Коксовая» обладает лицензией на разработку участка «Томусинская 5-6». В соответствии с условиями сделки в мае 2010 г. мы заключили контракт сроком на 10 лет на поставку предприятиям Evraz части угольной продукции, произведѐнной шахтами «Коксовая» и «Распадская-Коксовая», по рыночным ценам с использованием сложившейся коммерческой практики.</t>
  </si>
  <si>
    <t>15 ноября 2011 г. Общество сделало своим акционером предложение о приобретении 78 079 980 собственных акций, что составляет 10% уставного капитала Общества. Цена за одну акцию была установлена на уровне 150 руб. В результате 31 декабря 2011 г. Группа признала обязательство в размере 363 771 тыс. долл. США, которое, как планируется, будет погашено с привлечением собственных денежных средств. 31 января 2012 г. Общество завершило сбор заявок акционеров, желающих продать акции. В результате 78 079 980 акций в настоящее время приобретаются на пропорциональной основе. Подписание соответствующих договоров по выкупу акций будет завершено Группой 2 апреля 2012 г.</t>
  </si>
  <si>
    <t>26 февраля 2021 г. ПАО «Распадская» завершила выкуп собственных акций от неконтролирующих акционеров. Фактическое количество выкупленных акций составило 2.51% от уставного капитала ПАО «Распадская» и было приобретено за 2,808 млн руб. (включая сумму, перечисленную инвесторам 2,759 млн руб. и НДФЛ, удержанный у источника выплаты 49 млн руб.). 3 июня 2022 г. компания погасила все эти акции. (В 2021 году Группа EVRAZ plc приобрела дополнительную долю в размере 2,51% в Распадской за денежное вознаграждение в размере 38 млн долл. США.)</t>
  </si>
  <si>
    <t>27 июня 2019 г. Компания выкупила у третьих сторон путем публичной оферты 20,412,828 собственных акций по цене 141 рубль за штуку. Итоговая сумма сделки приблизительно равна 2,878 млн. руб. и была полостью оплачена денежными средствами. (В июне 2019 года Распадская приобрела собственные акции в рамках тендерного предложения за денежное вознаграждение в размере 46 млн долларов США. Группа EVRAZ plc прекратила признание 2,53% неконтролирующих долей.)</t>
  </si>
  <si>
    <t>Ярцевский сталепрокатный завод (основные средства)</t>
  </si>
  <si>
    <t>Strategic Minerals Corporation</t>
  </si>
  <si>
    <t>14 марта 2017 года Группа подписала опционное соглашение с неконтролирующим акционером в отношении акций Межегейуголь, дочернего угледобывающего предприятия Группы. В соответствии с соглашением неконтролирующий акционер имел право продать Группе (опцион пут) все свои акции Межегейуголь (39,9841%) за 39 млн долл. США и погасить задолженность перед Группой за 25 млн долл. США. В результате Группа будет владеть 100% долей участия в дочернем предприятии. Опцион может быть реализован с 1 декабря 2019 года по 1 декабря 2020 года. В 2017 году Группа определила, что условия опционного соглашения предоставляют Группе права на бенефициарные доли в Межегейуголь, и прекратила признание неконтролирующих долей в полном объеме и признала обязательство по опциону пут в размере 60 млн долл. США. С марта 2017 года и до исполнения опциона пут Группа накопила 9 миллионов долларов процентов по этому обязательству (1 миллион, 3 миллиона и 4 миллиона долларов в 2020, 2019 и 2018 годах соответственно). В июне 2020 года неконтролирующий акционер продал свою долю Группе. Вознаграждение за приобретенную неконтролирующую долю состояло из неденежного погашения кредита, причитающегося Группе, с балансовой стоимостью 30 миллионов долларов, что приблизительно соответствовало справедливой стоимости, и 39 миллионов долларов денежного вознаграждения.</t>
  </si>
  <si>
    <t>В 2015 году EVRAZ plc выкупил 108 458 508 собственных акций (336 млн долларов США)</t>
  </si>
  <si>
    <t>В 2017 году Группа продала Strategic Minerals Corporation, владеющую ванадиевым бизнесом в Южно-Африканской Республике. По соглашению покупатель обязан выплатить Группе компенсационные выплаты до 31 декабря 2025 г., если будут достигнуты базовые цены на феррованадий. В 2021 и В 2020 году Группа получила 2 миллиона долларов США и 1 миллион долларов США соответственно в виде выплат. После подписанного в 2016 году соглашения о продаже, 6 апреля 2017 года Группа продала Strategic Minerals Corporation (США), в которой она имела 78,76% доли участия, третьей стороне за денежное вознаграждение в размере 16 млн долл. США. Strategic Minerals Corporation владеет 75% акций ванадиевого рудника и завода Vametco, расположенных в Южно-Африканской Республике. До продажи обе дочерние компании были включены в стальной сегмент. Группа признала прибыль в размере 2 млн долл. США от продажи дочерней компании, включая (3) млн долл. США накопленных курсовых убытков, реклассифицированных из прочего совокупного дохода в консолидированный отчет о прибылях и убытках. Результат был включен в статью Прибыль/(убыток) по группам выбытия, классифицированным как удерживаемые для продажи, консолидированного отчета о прибылях и убытках. Денежные средства, выбывшие из дочерней компании, составили 12 миллионов долларов.</t>
  </si>
  <si>
    <t>В ноябре 2019 года Группа приобрела 100% акций компании Metservice, которая предоставляет складские и сопутствующие услуги в Нижнем Тагиле (Россия).
Стоимость сделки составила 3 ​​млн долл. США наличными. На дату объединения бизнеса справедливая стоимость чистых активов приобретенной компании составляла 3 млн долл. США.</t>
  </si>
  <si>
    <t>Метсервис</t>
  </si>
  <si>
    <t>Складские и сопутствующие услуги</t>
  </si>
  <si>
    <t>EVRAZ Portland Structural Tubing</t>
  </si>
  <si>
    <t>В 2014 году Группа приобрела 7 439 383 акций EVRAZ plc за 13 млн долл. США и передала 7 742 100 акций участникам Планов поощрений. Стоимость казначейских акций, переданных участникам Планов поощрений, в размере 14 млн долл. США была отнесена на накопленную прибыль</t>
  </si>
  <si>
    <t>В 2013 году Группа продала 3 угольные шахты в Кемеровской области России: «Юбилейная», «Грамотеинская» и «Казанковская». Общая сумма сделки составила 630 долларов США. Группа признала прибыль в размере 34 миллионов долларов США по этим сделкам, включая 1 миллион долларов США накопленной курсовой прибыли, реклассифицированной из прочего совокупного дохода в консолидированный отчет о прибылях и убытках.</t>
  </si>
  <si>
    <t>В 2013 году Группа приобрела 3 720 298 акций EVRAZ plc за 6 млн долл. США и передала 3 564 312 акций участникам Планов поощрений. Стоимость казначейских акций, подаренных в рамках Планов поощрений, в размере 6 млн долл. США была отнесена на накопленную прибыль.</t>
  </si>
  <si>
    <t>Межегейское угольное месторождение (проект)</t>
  </si>
  <si>
    <t>В 2012 году Группа приобрела 869 469 акций EVRAZ plc за $4 млн и передала 1 498 148 акций участникам Incentive Plans. Стоимость казначейских акций, подаренных в рамках Incentive Plans, в размере $11 млн была отнесена на накопленную прибыль.</t>
  </si>
  <si>
    <t>Активы Евразруды (Хакассия)</t>
  </si>
  <si>
    <t>В 2011 году Группа приобрела 235 878 акций Evraz Group S.A. за 22 млн долл. США, продала 34 332 акции за 3 млн долл. США и передала 115 389 акций участникам Планов поощрений (Примечание 21). Остаток непогашенных казначейских акций был обменян на акции EVRAZ plc в ходе реорганизации Группы, описанной выше. Стоимость казначейских акций, подаренных в рамках Планов поощрений, в размере 11 млн долл. США, была отнесена на накопленную прибыль.</t>
  </si>
  <si>
    <t>20 декабря 2007 года Группа подписала опционное соглашение с ООО «СГМК-Инжиниринг» (далее — «Продавец») в отношении акций ОАО «Ванадий-Тула» (далее — «Ванадий-Тула»), ванадиевого завода, расположенного в России. В соответствии с соглашением Группа имела право приобрести (опцион колл), а ООО «СГМКИнжиниринг» имело право продать Группе (опцион пут) 90,84% акций «Ванадий-Тула» за 3 140 млн рублей (108 млн долларов США по обменному курсу на 2 ноября 2009 года, дату объединения бизнеса). Срок действия опционов был продлен до 31 декабря 2009 года. Реализация опционов была обусловлена ​​одобрением регулирующих органов. Для обеспечения опциона пут Группа предоставила продавцу беспроцентный депозит в размере 3 091 млн рублей (121 млн долларов США по обменному курсу на дату оплаты). Депозит подлежал бы возврату Группе, если бы ни опцион колл, ни опцион пут не были реализованы до истечения срока их действия.
В течение 2008 и 2009 годов Группа приобрела акции Vanady-Tula и непосредственно перед объединением бизнеса владела 1,88% долей участия в предприятии. Вознаграждение, уплаченное за эти акции, составило 2 миллиона долларов.
2 ноября 2009 года Группа получила необходимые разрешения регулирующих органов. Опционы на акции стали реализуемыми, и с этой даты экономические выгоды были фактически переданы Группе. В результате финансовое положение и результаты деятельности Vanady-Tula были включены в консолидированную финансовую отчетность Группы, начиная с 2 ноября 2009 года, поскольку с этой даты Группа фактически осуществляла контроль над деятельностью предприятия.
В декабре 2009 года опционное соглашение было расторгнуто, и компании заключили новое соглашение о покупке 82,96% доли участия в Vanady-Tula. Стоимость приобретения составила 2 854 млн рублей (95 млн долларов США по курсу на дату сделки, которая была завершена 15 декабря 2009 года).</t>
  </si>
  <si>
    <t>21 декабря 2007 года Группа подписала опционное соглашение с ООО «СГМК-Инжиниринг» (далее — «Продавец») в отношении акций ОАО «Ванадий-Тула» (далее — «Ванадий-Тула»), ванадиевого завода, расположенного в России. В соответствии с соглашением Группа имела право приобрести (опцион колл), а ООО «СГМКИнжиниринг» имело право продать Группе (опцион пут) 90,84% акций «Ванадий-Тула» за 3 140 млн рублей (108 млн долларов США по обменному курсу на 2 ноября 2009 года, дату объединения бизнеса). Срок действия опционов был продлен до 31 декабря 2009 года. Реализация опционов была обусловлена ​​одобрением регулирующих органов. Для обеспечения опциона пут Группа предоставила продавцу беспроцентный депозит в размере 3 091 млн рублей (121 млн долларов США по обменному курсу на дату оплаты). Депозит подлежал бы возврату Группе, если бы ни опцион колл, ни опцион пут не были реализованы до истечения срока их действия.
В течение 2008 и 2009 годов Группа приобрела акции Vanady-Tula и непосредственно перед объединением бизнеса владела 1,88% долей участия в предприятии. Вознаграждение, уплаченное за эти акции, составило 2 миллиона долларов.
2 ноября 2009 года Группа получила необходимые разрешения регулирующих органов. Опционы на акции стали реализуемыми, и с этой даты экономические выгоды были фактически переданы Группе. В результате финансовое положение и результаты деятельности Vanady-Tula были включены в консолидированную финансовую отчетность Группы, начиная с 2 ноября 2009 года, поскольку с этой даты Группа фактически осуществляла контроль над деятельностью предприятия.
В декабре 2009 года опционное соглашение было расторгнуто, и компании заключили новое соглашение о покупке 82,96% доли участия в Vanady-Tula. Стоимость приобретения составила 2 854 млн рублей (95 млн долларов США по курсу на дату сделки, которая была завершена 15 декабря 2009 года).</t>
  </si>
  <si>
    <t>В соответствии с российским законодательством, приобретатель, который приобретает не менее 30% акционерного капитала приобретаемой компании, обязан предложить другим акционерам продать их доли («обязательное предложение»). 15 декабря 2009 года, в дату, когда Группа стала законным владельцем акций по новому соглашению о покупке, Группа прекратила признание всех неконтролирующих долей участия в компании и начислила обязательство перед неконтролирующими акционерами в размере 17 млн ​​долларов США. Эта сделка привела к списанию 5 млн долларов США на накопленную прибыль.
В феврале 2010 года Группа сделала предложение неконтролирующим акционерам «Ванадий-Тула» о продаже их долей Группе. Неконтролирующие акционеры продали Группе долю участия в размере 11,26%. Российское законодательство позволяет акционеру, владеющему более 95% акций компании, увеличить свою долю до 100% путем принудительной продажи акций, принадлежащих неконтролирующим акционерам. Соответственно, в августе 2010 года Группа начала выкуп неконтролирующих акций Vanady-Tula. В ноябре 2010 года Группа завершила выкуп оставшихся акций (3,90%). Общая сумма покупки доли в 15,16% составила 521 млн рублей (18 млн долларов США по обменному курсу на даты совершения сделок).</t>
  </si>
  <si>
    <t>15 октября 2009 года Группа приобрела 100% акций холдинговой компании, владеющей дилерами стали по всей России (ранее известной как Carbofer). Стоимость покупки составила 11 миллионов долларов. Финансовое положение и результаты деятельности этого холдинга были включены в консолидированную финансовую отчетность Группы, начиная с 15 октября 2009 года.</t>
  </si>
  <si>
    <t>Холдинговая компания, владеющая дилерами стали по всей России (ранее Carbofer)</t>
  </si>
  <si>
    <t>22 декабря 2010 года Группа приобрела 100% акций холдинговой компании, владеющей дилерами стали по всей России (известной как Группа Инпром). Стоимость покупки состояла из денежных средств в размере 19 миллионов долларов плюс справедливая стоимость отложенного вознаграждения в размере 21 миллиона долларов.
Финансовое положение и результаты деятельности Инпром были включены в консолидированную финансовую отчетность Группы, начиная с 22 декабря 2010 года.</t>
  </si>
  <si>
    <t>1 июня 2009 года Группа заключила договорное соглашение о продаже 100% доли участия в шахте 12, угольной шахте, расположенной в России, за денежное вознаграждение в размере 2 млн долл. США. По условиям соглашения контроль над шахтой 12 был передан покупателю на дату заключения соглашения, и Группа прекратила консолидировать шахту 12 с этой даты. В июле 2009 года было получено одобрение регулирующих органов на приобретение шахты 12, и сделка была завершена.
Убыток от продажи шахты 12 в размере 9 млн долл. США был включен в консолидированный отчет о прибылях и убытках за год, закончившийся 31 декабря 2009 года.</t>
  </si>
  <si>
    <t>Шахта 12</t>
  </si>
  <si>
    <t>В 2009 году Группа приобрела 67 569 казначейских акций за 5 миллионов долларов США и продала 135 000 казначейских акций, включая 27 902 акции, которые были проданы участникам плана по ценам исполнения, определенным в Планах поощрений. Превышение стоимости покупки казначейских акций над выручкой от их продажи, составившее 6 миллионов долларов США, было отнесено на накопленную прибыль.</t>
  </si>
  <si>
    <t>EVRAZ plc (Lanebrook Limited)</t>
  </si>
  <si>
    <t>11 декабря 2007 года Lanebrook Limited («Lanebrook», конечная материнская компания Группы) приобрела контрольный пакет акций в отдельных производственных активах в Украине, которые включали следующее: - 99,25% акций горно-обогатительного комплекса «Суха Балка»; - 95,57% акций Днепропетровского металлургического комбината; - три коксохимических завода (Баглейкокс - 94,37%, Днепрококс - 98,65% и Днепродзержинский коксохимический завод - 93,86% акций в обращении).
Lanebrook приобрела эти производственные активы («Palmrose») на основе свободного от оборотного капитала и долгов. В соответствии с соглашением о покупке акций у продавца было примерно три месяца («Расчетный период») для погашения текущих активов, обязательств и долгов, которые существовали на дату приобретения, и получения чистого расчета от Lanebrook. Общая сумма возмещения за приобретение Palmrose составила $2,108 млн, включая денежные средства в размере $1,060 млн, выплаченные Группой от имени Lanebrook, и 4,195,150 акций Evraz Group со справедливой стоимостью на дату приобретения $1,048 млн. В декабре 2007 года Группа подписала соглашение с Lanebrook о приобретении Palmrose. В соответствии с этим соглашением общая сумма вознаграждения за приобретение Palmrose у Lanebrook включала денежные средства в размере $1,110 млн. и 4,195,150 акций Evraz Group, которые должны были быть выпущены для урегулирования этого приобретения.
14 апреля 2008 года Группа приобрела 51,4% акций Palmrose за денежное вознаграждение в размере $1,110 млн. В июне 2008 года это соглашение было изменено, увеличив денежную часть вознаграждения, выплачиваемого Lanebrook, на $18 млн.
Группа получила контроль над Palmrose 14 апреля 2008 года. Приобретение 51,4% и 48,6% долей собственности в Palmrose рассматривалось как связанные сделки и учитывалось как единая сделка в данной финансовой отчетности. В результате 14 апреля 2008 года Группа фактически приобрела 100% долю собственности в Palmrose с отложенным вознаграждением в отношении 48,6% доли собственности. В соответствии с учетной политикой Группа учла это приобретение, применив метод объединения интересов, и представила свою консолидированную финансовую отчетность так, как если бы передача контрольного пакета акций в дочерней компании произошла с даты приобретения дочерней компании Lanebrook, которая была 11 декабря 2007 года.
В результате финансовое положение и результаты деятельности Palmrose были включены в консолидированную финансовую отчетность Группы, начиная с 11 декабря 2007 года.</t>
  </si>
  <si>
    <t>Claymont Steel Holdings, Inc.</t>
  </si>
  <si>
    <t>16 января 2008 года Группа приобрела 16 415 722 акций Claymont Steel Holdings, Inc. («Claymont Steel») посредством тендерного предложения, что составляет примерно 93,4% выпущенных обыкновенных акций Claymont Steel. Claymont Steel — производитель листового проката, расположенный в Соединенных Штатах. В соответствии с законодательством США после приобретения контрольного пакета акций Claymont Steel все невыставленные на тендер акции были конвертированы в право на получение 23,50 долл. США наличными, что является той же ценой за акцию, которая была уплачена во время тендерного предложения. Затем компания объединилась с дочерней компанией Группы, находящейся в полной собственности. Общая сумма денежного вознаграждения за приобретение 100% доли участия в Claymont Steel составила 420 млн долл. США, включая транзакционные издержки в размере 7 млн ​​долл. США. В результате финансовое положение и результаты деятельности Claymont Steel были включены в консолидированную финансовую отчетность Группы, начиная с 16 января 2008 года</t>
  </si>
  <si>
    <t>IPSCO</t>
  </si>
  <si>
    <t>В марте 2008 года Группа заключила соглашение с SSAB, шведской сталелитейной компанией, о приобретении канадского бизнеса IPSCO по производству листового проката и труб. IPSCO является ведущим североамериканским производителем стальных листов и труб для нефтегазовой промышленности. В рамках сделки Группа и ОАО «ТМК» («ТМК»), ведущий российский игрок на рынке труб, приобрели бизнес по производству листового проката и труб за 4 211 млн долл. США (без учета транзакционных издержек и корректировки оборотного капитала на возмещение, уплаченное ТМК, если таковое имеется), включая определенные канадские бизнесы по производству листового проката и труб, американскую компанию по металлолому (совместно — «IPSCO Inc.») и американский бизнес по производству труб. Группа также заключила встречное соглашение с ТМК и ее аффилированными лицами, которое состояло из продажи приобретенных американских бизнесов по производству труб, включая 51% в NS Group, ТМК за 1 250 млн долл. США.
Кроме того, Группа подписала опционное соглашение, которое давало ей право продать и давало TMK право купить 49% в NS Group примерно за 511 миллионов долларов плюс проценты по годовой ставке от 10% до 12%, начисленные с 12 июня 2008 года до даты исполнения опциона. Опцион пут мог быть реализован Группой в отношении всего пакета акций, принадлежащего Группе, и не ранее 22 октября 2009 года. Опцион колл мог быть реализован TMK в отношении любого пакета акций в NS Group, начиная с 12 июня 2008 года. 12 июня 2008 года приобретение было завершено. В результате чистая стоимость приобретения 100% IPSCO Inc. для Группы составила 2 450 миллионов долларов, включая транзакционные издержки в размере 65 миллионов долларов. Финансовое положение и результаты деятельности IPSCO Inc. были включены в консолидированную финансовую отчетность Группы, начиная с 12 июня 2008 г.</t>
  </si>
  <si>
    <t>EVRAZ plc и ПАО "Трубная Металлургическая Компания"</t>
  </si>
  <si>
    <t>В течение 2008 года Группа приобрела 1 037 498 казначейских акций за 197 миллионов долларов.</t>
  </si>
  <si>
    <t>pkez</t>
  </si>
  <si>
    <t>Операции в ЦАР и в Бурунди; Сделка по продаже в октябре 2014 года привела к убытку от обесценения в размере 25 млн долл. США (Чистые активы 142-70=72 млн долл. США)</t>
  </si>
  <si>
    <t>В июле 2023 года Группа приобрела 100% акций угледобывающей компании, расположенной в Российской Федерации, за общую сумму 22 549 млн рублей, включая 17 514 млн рублей в виде займов, погашенных в пользу бывших владельцев компании.</t>
  </si>
  <si>
    <t>Угледобывающая компания</t>
  </si>
  <si>
    <t>19 декабря 2017 г. Группа приобрела 100% доли в ООО "ЛМК", материнской компании Группы ЛМК (ЗАО "ЛМЗ", ООО "ИНСАЮР-АВТОТРЕЙД-ТЛ"), которая занимается производством металлопродукции, за общее денежное вознаграждение 614 млн рублей. Компании в составе приобретенной группы зарегистрированы в Российской Федерации, холдинговая компания расположена в г. Лысьва. Приобретение ЗАО "ЛМЗ" усилит Группу за счет расширения ассортимента продукции. Кроме того, данная сделка помогает повысить общую операционную эффективность и конкурентоспособность Группы за счет увеличения объемов производства и продажи товаров с высокой добавленной стоимостью. Данная сделка осуществлена в рамках стратегии Группы по интеграции активов, позволяющих производить товары глубокой переработки. Приобретение было учтено по методу приобретения. На 31 декабря 2017 г. Группа определила справедливую стоимость идентифицируемых активов, обязательств и условных обязательств приобретенной организации на предварительной основе. По состоянию на 31 декабря 2018 г. необходимые оценки справедливой стоимости основных средств и прочие расчеты были завершены. По итогам оценки корректировка распределения цены приобретения в консолидированной финансовой отчетности Группы по состоянию на 31 декабря 2017 г. не требуется.</t>
  </si>
  <si>
    <t>В течение года, закончившегося 31 декабря 2013, Группа приобрела дополнительные 12,8% в ОАО «Белон» за 1 403 млн. рублей, увеличив свою долю с 82,6% до 95,4%. Балансовая стоимость чистых активов ОАО «Белон» составляла на дату приобретения 15 817 млн. рублей.
(не включая гудвил). Группа признала уменьшение неконтролирующей доли в размере
2 905 млн. рублей и увеличение величины нераспределенной прибыли в размере 1 502 млн.
рублей.</t>
  </si>
  <si>
    <t>В октябре 2013 Группа продала свою долю в MMK Trading AG за 324 млн. рублей (9 миллионов швейцарских франков), финансовый результат от выбытия компании был незначительным. 19 млн. рублей (0,5 миллиона швейцарских франков) были выплачены в 2013 году, величина оставшегося вознаграждения в сумме 305 млн. рублей (8,5 миллионов швейцарских франков) была скорректирована до 260 млн. рублей на основании аудированной промежуточной финансовой отчетности MMK Trading AG за 10 месяцев, закончившихся 31 октября 2013 года.</t>
  </si>
  <si>
    <t>В августе 2012 года Группа совершила сделку по продаже своей доли в дочерних обществах, обладающих лицензией на разработку железорудного месторождения в Челябинской области, за вознаграждение в размере 1 177 млн. рублей.</t>
  </si>
  <si>
    <t>В течение года, закончившегося 31 декабря 2011, дочерняя компания Группы ММК Atakas Melalurji осуществила выпуск дополнительных обыкновенных акций на общую сумму 1 628 млн. рублей. Данные акции были выкуплены Группой и миноритарными акционерами пропорционально их текущим долям владения. В сентябре 2011 года Группа завершила сделку по приобретению неконтрольной доли владения, 50% минус 1 акция, в ММК Atakas Metaluiji за денежное вознаграждение в сумме 13 911 млн. рублей. В результате данного приобретения доля Группы составила 100%. а компания ММК Atakas Metaluiji была переименована в ММК Melalurji.</t>
  </si>
  <si>
    <t>В декабре 2010 года Группа продала выбывающую группу, состоявшую из двух дочерних предприятий: ООО Шахта «Листвяжная» и ЗАО ОФ «Листвяжная», а также ряда активов, связанных с операциями Группы по добыче и переработке угля, за денежное вознаграждение в размере 280 млн. долл. США. На 31 декабря 2010 года часть этой суммы в размере 55 млн. долл. США учитывалась в составе дебиторской задолженности, и была погашена в 2011 году.</t>
  </si>
  <si>
    <t>В марте 2008 года Группа приобрела 50% долю в Onarbay Enterprises Ltd, Кипр, владеющей 82.6% долей в ОАО «Белон», занимающемся добычей и переработкой угля и расположенным на территории Российской Федерации, за денежное вознаграждение в 234 млн. долл. США.
В октябре 2009 года Группа приобрела оставшуюся 50% долю в Onarbay Enterprises Ltd, Кипр, зависимом предприятии Группы, за денежное вознаграждение в 309 млн. долл. США. В результате данного приобретения Группа получила контроль над Onarbay Enterprises Ltd., являющейся холдинговой компанией ОАО «Белон» и его дочерних предприятий («Группа Белон»). Группа приобрела Onarbay Enterprises Ltd с целью доступа к угольным ресурсам ОАО «Белон» для удовлетворения текущих потребностей Группы в данном виде сырья. Onarbay Enterprises Ltd. является холдинговой компанией и не осуществляет никаких операций, помимо операций, осуществляемых Группой Белон. Данное приобретение было учтено по методу покупки. Неконтрольная доля владения была оценена по справедливой стоимости на основе рыночных котировок обыкновенных акций ОАО «Белон» на дату приобретения. Поскольку Onarbay Enterprises Ltd. является холдинговой компанией и не осуществляет самостоятельных операций, то аналогичный способ оценки был применен к определению справедливой стоимости ранее имевшейся у Группы доли в Onarbay Enterprises Ltd. и представлявшей собой долю в Группе Белон. На дату приобретения Группа предварительно определила справедливую стоимость активов, обязательств и условных обязательств приобретенной компании и представила предварительную стоимость приобретения в консолидированной финансовой отчетности за год, закончившийся 31 декабря 2009 года. Окончательное распределение цены приобретения было рассчитано в течение года, закончившегося 31 декабря 2010 года, и данный вариант распределения цены приобретения был учтен ретроспективно, начиная с даты приобретения.</t>
  </si>
  <si>
    <t>В июне 2009 года Группа приобрела 100% долю в ЗАО «Профит», головной компании группы «Профит», занимающихся сбором и переработкой металлического лома, за денежное вознаграждение в 15 млн. долл. США. Предприятия Группы «Профит» действуют в Российской Федерации и расположены по всей стране, головная компания расположена в г. Магнитогорске. Металлический лом, собираемый Группой «Профит», в основном продается Группе. Приобретение поставщика стратегического сырья позволило существенно укрепить сырьевую безопасность Группы. Данное приобретение было учтено по методу покупки. Неконтрольные доли владения были оценены в соответствующей пропорции от справедливой стоимости чистых активов приобретенного предприятия. На момент приобретения Группа предварительно определила справедливую стоимость активов, обязательств и условных обязательств приобретенной компании и представила предварительную стоимость в неаудированной промежуточной консолидированной финансовой отчетности за шесть месяцев, закончившихся 30 июня 2009 года.</t>
  </si>
  <si>
    <t>12 февраля 2013 года состоялась сделка по продаже Группой доли в ООО «ММК-Транс». Окончательный размер вознаграждения был согласован в июле 2013 года на основании данных из утвержденной финансовой отчетности ООО «ММК-Транс» за год, закончившийся 31 декабря 2012 года, подготовленной в соответствии с МСФО, и составил 4 166 млн. рублей (131 млн. долл. США). В рамках данной сделки было заключено пятилетнее соглашения между сторонами о железнодорожных перевозках не менее 70% грузов Группы ММК.</t>
  </si>
  <si>
    <t>Ж/д грузовые перевозки</t>
  </si>
  <si>
    <t>1 октября 2008 года Группа приобрела 99% долю в ООО «МАГМА трейд», торговой компании, расположенной в Российской Федерации, за номинальное денежное вознаграждение. Данное приобретение было учтено по методу покупки. Группа определила справедливую стоимость активов, обязательств и условных обязательств приобретенной компании на дату приобретения.</t>
  </si>
  <si>
    <t>В декабре 2008 года Группа приобрела дополнительно 1% долю в ООО «МАГМА трейд» за номинальное денежное вознаграждение, увеличив свою долю владения в ООО «МАГМА трейд» до 100%. На дату приобретения ООО «МАГМА трейд» не подготовило финансовую отчетность в соответствии с МСФО. Соответственно, определить балансовую стоимость приобретенных активов, обязательств и условных обязательств по МСФО непосредственно до приобретения не представлялось возможным, и данная информация в настоящей консолидированной финансовой отчетности не представлена. Поскольку ООО «МАГМА трейд» являлось дистрибьютором продукции Группы до приобретения, выручка и прибыль до налогообложения Группы не подверглись значительным изменениям в результате приобретения этой компании. В течение года, закончившегося 31 декабря 2009 года, ООО «МАГМА трейд» было переименовано в ООО «ТД ММК-Москва».</t>
  </si>
  <si>
    <t>24 июня 2008 года Группа приобрела 80% долю в ООО «Уралсибтрейд», торговой компании, расположенной в Российской Федерации, за номинальное денежное вознаграждение. Превышение доли Группы в справедливой стоимости приобретенных чистых активов над ценой покупки в размере 4 млн. долл. США было отражено в консолидированном отчете о совокупном доходе. В декабре 2008 года Группа приобрела дополнительно 20% долю в ООО «Уралсибтрейд» за номинальное денежное вознаграждение, увеличив долю владения до 100%. Поскольку ООО «Уралсибтрейд» являлось дистрибьютором продукции Группы до приобретения, выручка и прибыль до налогообложения Группы не подверглись значительным изменениям в результате приобретения этой компании. В течение года, закончившегося 31 декабря 2009 года, ООО «Уралсибтрейд» было переименовано в ООО «ТД ММК-Урал».</t>
  </si>
  <si>
    <t>В сентябре 2013 г. Группа подписала соглашение с бельгийской государственной компанией Societe Wallonne de Gestion et de Participations S.A. (далее – «SOGEPA») о продаже 20,5% акций холдинга NLMK Belgium Holdings S.A. (далее – «NBH»), принадлежащего дочерней компании SIF S.A., в состав которого входят производственные и сбытовые компании дивизиона NLMK Europe, за исключением компании NLMK DanSteel A/S, за 91,1 млн. евро (122,9 млн. долларов США). В соответствии с соглашением SOGEPA получила права участия в управлении компанией NBH и ее дочерними компаниями, включая совместное с Группой принятие решений по ключевым вопросам через представительство в Совете директоров NBH.
Привлечение SOGEPA в качестве стратегического инвестора осуществлено в рамках продолжающейся реструктуризации европейских активов Группы, направленной на дальнейшее повышение эффективности и оптимизацию затрат.
Данное соглашение привело к потере Группой контроля над NBH и, соответственно, прекращению включения показателей NBH в состав консолидированной финансовой отчетности Группы, начиная с 30 сентября 2013 г.
Справедливая стоимость оставшихся в распоряжении Группы 79,5% акций NBH была рассчитана на основе наилучших оценок руководством будущих денежных потоков, включая допущения относительно увеличения загрузки производственных мощностей и исполнения операционного бизнес-плана, включающего план реструктуризации. Данные акции были приняты к учету в сумме 459,2 млн. долларов США в качестве долгосрочных финансовых вложений в компанию, учитываемую по методу долевого
участия, которая является связанной стороной. Также в расчет результата от выбытия включены денежные поступления в сумме 122,9 млн. долларов США, списание трансляционной разницы в сумме 60,0 млн. долларов США, списание гудвилла в сумме 289,7 млн. долларов США, списание опциона в сумме 30,0 млн. долларов США и списание активов NBH на дату выбытия, раскрытых ниже. В результате сделки Группа признала убыток от выбытия, относящийся к данной операции, в сумме 51,4 млн. долларов США, которая отражена по строке «Результат от выбытия дочерней компании».</t>
  </si>
  <si>
    <t xml:space="preserve">В декабре 2006 г., в рамках стратегического сотрудничества с группой Duferco, Группа приобрела за 805 млн. долларов США 50% выпущенных акций SIF S.A., которые учитывались Группой методом долевого участия до июля 2011 г. Соглашения, заключенные в ходе исполнения сделки, предоставляли возможность реализации Группой опциона на покупку, а группой Duferco – опционов на покупку и продажу всех акций SIF S.A.
Компании SIF принадлежит NLMK Belgium Holdings S.A. («NBH»), а также она имеет 100% или мажоритарное участие в 22 компаниях, расположенных в Европе и США, которые включают в себя одно сталеплавильное и пять прокатных предприятий, а также сеть сервисных центров </t>
  </si>
  <si>
    <t xml:space="preserve">В июле 2011 г. Группа исполнила опцион на приобретение оставшихся 50% акций SIF S.A. у группы Duferco. Сумма сделки составила 600 млн. долларов США. Первоначальная сумма, уплаченная продавцу 30 июня 2011 г., составила 150 млн. долларов США. Следующие платежи подлежат уплате в рассрочку тремя равными ежегодными траншами. Определенная руководством справедливая стоимость вознаграждения продавцу за 50% пакет акций, приобретенный в результате объединения бизнеса, составила 578 млн. долларов США. Справедливая стоимость ранее приобретенного 50% пакета акций (до приобретения контроля) была определена в сумме 289 млн. долларов США. Оценка справедливой стоимости основывалась на величине активов и обязательств SIF S.A., определенной независимым оценщиком. Прибыль в размере 104 млн. долларов США, полученная в результате переоценки ранее имевшегося пакета, была признана и отражена в статье «Прибыли / (убытки) от финансовых вложений, нетто» консолидированного отчета о прибылях и убытках в 2011 г. Итого стоимость приобретения, включающая стоимость 50% пакета акций, приобретенного в результате объединения бизнеса, и 50% пакета акций, имеющегося до приобретения контроля, составила 867 млн. долларов США.
Компании SIF принадлежит NLMK Belgium Holdings S.A. («NBH»), а также она имеет 100% или мажоритарное участие в 22 компаниях, расположенных в Европе и США, которые включают в себя одно сталеплавильное и пять прокатных предприятий, а также сеть сервисных центров </t>
  </si>
  <si>
    <t>В феврале 2013 г. Материнская Компания приобрела на открытом аукционе за 9 609 тыс. долларов США пакет акций ОАО «НСММЗ» в размере 35,59%. В результате данной сделки произошло уменьшение добавочного капитала на 49 469 тыс. долларов США с отражением соответствующего изменения доли неконтролирующих акционеров за год, закончившийся 31 декабря 2013 г.</t>
  </si>
  <si>
    <t>В октябре 2010 г. Группа приобрела 100% ООО «ВМИ Ресайклинг Групп», владеющей активами для сбора
и переработки лома черных металлов, расположенными в Московской области, за 28,4 млн. долларов США.
Данное приобретение осуществлено в рамках стратегии вертикальной интеграции, направленной на
повышение эффективной самообеспеченности Группы основными видами сырья.</t>
  </si>
  <si>
    <t>В июне 2011 г. Материнская Компания завершила сделку по продаже принадлежащей ей 100% доли в ООО «НТК» и его дочерних компаниях (далее «НТК») компании под общим контролем за вознаграждение в сумме 325 млн. долларов США (по курсу на дату платежа). Прибыль после налогообложения по данной операции в размере 207 639 тыс. долларов США была признана Группой и отражена в составе строки «Продажа активов компании под общим контролем» консолидированного отчета об акционерном капитале и совокупных доходах акционеров за год, закончившийся 31 декабря 2011 г. Данная сделка осуществлена в рамках ранее объявленной стратегии, направленной на дальнейшее развитие Группы. Доля в НТК была отнесена решением Комитета по стратегическому планированию Совета директоров в апреле 2010 г. к непрофильным активам. Группа продолжает использовать транспортные услуги, предоставляемые НТК, после выбытия. Соответственно, операции НТК в настоящей консолидированной финансовой отчетности были отражены в составе продолжающейся деятельности Группы в составе стального сегмента.</t>
  </si>
  <si>
    <t>В декабре 2008 г. Материнская Компания достигла договоренности о продаже компании под общим контролем всего принадлежащего ей контролирующего пакета акций ОАО «ТМТП» и его дочерних компаний (далее «ТМТП») в размере 69,41% за 258 182 тыс. долларов США (по курсу на дату платежа). Операция была завершена в январе 2009 г. Прибыль после налогообложения по данной операции в размере 85 345 тыс. долларов США была признана Группой и отражена в составе строки «Продажа активов
компании под общим контролем» консолидированного отчета об акционерном капитале и совокупных доходах акционеров за год, закончившихся 31 декабря 2009 г. Руководство Группы планирует продолжать использовать транспортные услуги, предоставляемые ТМТП. Соответственно, операции ТМТП до даты выбытия в настоящей консолидированной финансовой отчетности были отражены в составе продолжающейся деятельности Группы в составе прочих сегментов.</t>
  </si>
  <si>
    <t>Приобретение акций Beta Steel Corp. (позднее переименованной в NLMK Indiana). В октябре 2008 г. Группа приобрела 100% долю владения NLMK Indiana. Приобретенная компания консолидирована Группой в первый раз по состоянию на эффективную дату приобретения контроля, которой, по мнению руководства, является октябрь 2008 г. Первоначальная сумма, уплаченная продавцам, составила 190 442 тыс. долларов США. Оставшаяся часть цены приобретения в размере 161 023 тыс. долларов США была выплачена банкам в качестве возврата займов NLMK Indiana в соответствии с условиями договора купли-продажи. Приобретение NLMK Indiana осуществлено в рамках стратегии Группы по диверсификации продуктового портфеля и увеличению продаж готовой продукции на ключевых рынках. В данной таблице приводится справедливая стоимость активов и обязательств, приобретенных в ходе объединения компаний. Основные средства и нематериальные активы были первоначально учтены по справедливой стоимости, определенной независимым оценщиком.</t>
  </si>
  <si>
    <t>В декабре 2007 г. Группа достигла соглашения о приобретении 100% долей в трейдинговых компаниях Novexco (Cyprus) Ltd., Кипр и Novex Trading (Swiss) S.A., Швейцария. Приобретенные компании консолидированы Группой в первый раз по состоянию на эффективную дату приобретения контроля, которой, по мнению руководства, является май 2008 г. Сумма, уплаченная продавцу, составила 119 935 тыс. долларов США. Данное приобретение осуществлено в рамках стратегии Группы, которая предполагает создание международной торговой структуры. Кроме того, данная сделка позволила Группе улучшить контроль над экспортными поставками и увеличило ее присутствие на ключевых рынках сбыта. Поскольку обе компании приобретались в рамках одного договора купли-продажи и имеют в качестве своего основного актива единую клиентскую базу, руководство Группы считает целесообразным раскрытие информации об активах и обязательствах приобретенных компаний в обобщенном виде.</t>
  </si>
  <si>
    <t>В декабре 2007 г. Материнская Компания приобрела 50% плюс 1 акцию Макси-Групп. В соответствии с формулой, определенной в договоре на приобретение акций, Группа оценила предварительную стоимость приобретения в размере 558 515 тыс. долларов США, переведенную по курсу на дату приобретения контроля, и начислила соответствующее обязательство по состоянию на 31 декабря 2007 г. В январе 2008 г. Материнская Компания осуществила первый платеж за приобретенные акции в размере 299 928 тыс. долларов США (по курсу на дату проведения операции). Окончательные расчеты между сторонами должны были быть осуществлены после завершения должной проверки компаний Макси-Групп и завершения соответствующей корректировки цены приобретения. Принимая во внимание завершение годичного срока распределения цены приобретения в декабре 2008 г., руководство Группы подготовило наилучшую оценку цены приобретения пакета акций ОАО «МаксиГрупп», которая составила на эту дату 299 088 тыс. долларов США (по курсу на дату перехода права собственности). Впоследствии, по результатам проведенной, в соответствии с обязывающим соглашением, должной проверки компаний Макси-Групп Материнская Компания рассчитала корректировку, уменьшающую цену приобретения, и предъявила в декабре 2009 г. требование продавцу о возврате излишне перечисленных денежных средств. Согласование цены приобретения не завершено, и поскольку не было достигнуто соглашение между сторонами, стороны обратились в Международный Коммерческий Арбитражный Суд при ТорговоПромышленной Палате Российской Федерации (далее: «МКАС»), который по условиям обязывающего соглашения в отношении приобретения контрольного пакета акций Макси-Групп определен в качестве стороны, урегулирующей разногласия по вопросам цены приобретения. Приобретенные компании консолидированы первый раз по состоянию на дату перехода права собственности на акции Макси-Групп, которой, по мнению руководства, является декабрь 2007 г. Данное приобретение осуществлено в рамках стратегии Группы по расширению присутствия на российском рынке. Оно позволит Группе занять значительную долю внутреннего рынка сортового проката, а также достичь полной самообеспеченности металлоломом.</t>
  </si>
  <si>
    <t>В июне 2009 г. Материнская Компания приобрела на открытом аукционе за 44 572 тыс. долларов США пакеты акций трех компаний, входящих в Макси-Групп, в размере от 32% до 100% их уставного капитала. В соответствии с законодательством Российской Федерации о залоге и условиями договоров о залоге акций аукцион был проведен независимым организатором в связи с исполнением залоговых обязательств дочерних компаний ОАО «Макси-Групп» по займам, привлеченным последней до даты приобретения. Стартовая цена для целей аукциона была определена по результатам оценки, проведенной независимым оценщиком.
В июле 2009 г. Материнская Компания приобрела дополнительный пакет акций в одной из вышеуказанных компаний, входящих в Макси-Групп, в размере 25% и увеличила долю прямого участия в данной компании до контрольной. В результате данных сделок, осуществленных между компаниями Группы, произошло увеличение доли неконтролирующих акционеров на 25 290 тыс. долларов США с отражением соответствующего уменьшения добавочного капитала.
В мае 2010 г. Материнская Компания также приобрела за 20 246 тыс. долларов США пакет акций еще одной компании, входящей в Макси-Групп, в размере 100% ее уставного капитала. В результате данной сделки, осуществленных между компаниями Группы, произошло увеличение доли неконтролирующих акционеров на 13 698 тыс. долларов США с отражением соответствующего уменьшения добавочного капитала. Указанные приобретения осуществлены с целью повышения эффективности управления активами. В июле 2009 г. неконтролирующий акционер Макси-Групп инициировал процедуру оспаривания результатов открытого аукциона в суде, по которой впоследствии было вынесено судебное решение об отказе в удовлетворении заявленных исковых требований.</t>
  </si>
  <si>
    <t>Компании, входящие в Макси-Групп</t>
  </si>
  <si>
    <t>Oth</t>
  </si>
  <si>
    <t>Util</t>
  </si>
  <si>
    <t>DGBZ</t>
  </si>
  <si>
    <t>szrt</t>
  </si>
  <si>
    <t>mscp</t>
  </si>
  <si>
    <t>ООО "Добринка-Агро</t>
  </si>
  <si>
    <t>ЗПИФ прямых инвестиций "Стратегический" и "Актив Сиги"</t>
  </si>
  <si>
    <t>АО "СПА-центр "Золотые ворота</t>
  </si>
  <si>
    <t>"Талита Трейдинг", Лтд.</t>
  </si>
  <si>
    <t>ООО "Оренбургская Буровая Компания"</t>
  </si>
  <si>
    <t>ЗАО "Марийский НПЗ"</t>
  </si>
  <si>
    <t>"Иррико", Лтд</t>
  </si>
  <si>
    <t>ОАО "Велозаводский рынок"</t>
  </si>
  <si>
    <t>ПАО "Лето Банк" (ПАО "Почта Банк")</t>
  </si>
  <si>
    <t>ФГУП "Почта России" (дочерняя компания)</t>
  </si>
  <si>
    <t xml:space="preserve">АО "Футбольный клуб "Динамо-Москва" </t>
  </si>
  <si>
    <t>ОАО СК "Росно-МС"</t>
  </si>
  <si>
    <t>ОАО "Чайка"</t>
  </si>
  <si>
    <t>АО "Гостиничный комплекс "Орехово"</t>
  </si>
  <si>
    <t>ООО "Галс-Инвест Девелопмент"</t>
  </si>
  <si>
    <t>АО "Эстонский кредитный банк"</t>
  </si>
  <si>
    <t>ООО "Волей Гранд"</t>
  </si>
  <si>
    <t>АО "Московский Метрострой"</t>
  </si>
  <si>
    <t>Дочерние компании АО "Московский метрострой"</t>
  </si>
  <si>
    <t>ПАО "Почта Банк"</t>
  </si>
  <si>
    <t>ОАО "Банк ВТБ Азербайджан"</t>
  </si>
  <si>
    <t>ПАО "Новороссийский комбинат хлебопродуктов"</t>
  </si>
  <si>
    <t>ООО "Геленджик Аэропорт"</t>
  </si>
  <si>
    <t>ООО "Группа "Техносерв"</t>
  </si>
  <si>
    <t>АО "Гостиница "Восход"</t>
  </si>
  <si>
    <t>ОАО "Гостиница "Алтай"</t>
  </si>
  <si>
    <t>ООО "Мосгорломбард-Авто"</t>
  </si>
  <si>
    <t>АО "Банк ВТБ (Белград)"</t>
  </si>
  <si>
    <t>СК "ВТБ Страхование"</t>
  </si>
  <si>
    <t>СК "СОГАЗ"</t>
  </si>
  <si>
    <t>Банка "Возрождение" (ПАО)</t>
  </si>
  <si>
    <t>ПАО "Рустранском"</t>
  </si>
  <si>
    <t>АО АКБ "Еврофинанс Моснарбанк"</t>
  </si>
  <si>
    <t>ООО "Домилецд"</t>
  </si>
  <si>
    <t>ООО "ЮНИКОМ 24"</t>
  </si>
  <si>
    <t>АО "Объединенная зерновая компания"</t>
  </si>
  <si>
    <t>ООО "Мирогруп ресурсы"</t>
  </si>
  <si>
    <t>ЗАО "Новороссийский зерновой терминал"</t>
  </si>
  <si>
    <t>АО НПФ "Магнит"</t>
  </si>
  <si>
    <t>ПАО "Запсибкомбанк"</t>
  </si>
  <si>
    <t>ПАО "Саровбизнесбанк"</t>
  </si>
  <si>
    <t>ООО "Т2 РТК Холдинг"</t>
  </si>
  <si>
    <t>ЗАО "Управляющая компания Динамо"</t>
  </si>
  <si>
    <t>ООО "Центр Хранения данных"</t>
  </si>
  <si>
    <t>Ristango Holding Limited (владеет 100% ООО "Биннофарм Групп")</t>
  </si>
  <si>
    <t>АО "Инфотекс Интернет Траст"</t>
  </si>
  <si>
    <t>АО "Современные платежные решения"</t>
  </si>
  <si>
    <t>АО "Первый канал"</t>
  </si>
  <si>
    <t>ОАО "БПС Банк" (ОАО "Белпромстрой Банк")</t>
  </si>
  <si>
    <t>ЗАО УК ГП "ГОТЭК"</t>
  </si>
  <si>
    <t>ООО "Павлово-Посадское Горнодобывающее Объединение"</t>
  </si>
  <si>
    <t>ОАО "Павловская керамика"</t>
  </si>
  <si>
    <t>ООО "Хрустальные Башни"</t>
  </si>
  <si>
    <t>ООО "Павлово‐Посадское Горнодобывающее Объединение"</t>
  </si>
  <si>
    <t>ЗАО "Рублево‐Архангельское"</t>
  </si>
  <si>
    <t>ОАО ХК "ГВСУ Центр"</t>
  </si>
  <si>
    <t>ЗАО "НК "Дулисьма"</t>
  </si>
  <si>
    <t>НАО "Красная Поляна"</t>
  </si>
  <si>
    <t>ООО "Сетелем Банк" (Cetelem)</t>
  </si>
  <si>
    <t>ООО "ПС Яндекс.Деньги"</t>
  </si>
  <si>
    <t>PJSC "VS Bank"</t>
  </si>
  <si>
    <t>ООО "Эпоха Диджитал"</t>
  </si>
  <si>
    <t>АО "Негосударственный Пенсионный Фонд Ренессанс пенсии"</t>
  </si>
  <si>
    <t>ПАО "Сбербанк России" (АО "Негосударственный Пенсионный Фонд Сбербанка")</t>
  </si>
  <si>
    <t>АО "Просвещение"</t>
  </si>
  <si>
    <t>Материнская компания (GFI Investment Limited) и долг Группы компаний "Евроцемент"</t>
  </si>
  <si>
    <t>ООО "Михайловский комбинат строительных материалов"</t>
  </si>
  <si>
    <t>АО "Грузовой терминал Пулково"</t>
  </si>
  <si>
    <t>ПАО "БАНК "САНКТ-ПЕТЕРБУРГ" (ЗПИФ инвестиций "Венчурный проект")</t>
  </si>
  <si>
    <t>ООО "Невская управляющая компания"</t>
  </si>
  <si>
    <t>ЗАО ИКБ "Европейский"</t>
  </si>
  <si>
    <t>Лизинговая компания "Санкт-Петербург"</t>
  </si>
  <si>
    <t>Страховая компания "Гайде"</t>
  </si>
  <si>
    <t>"Генеральная Страховая Компания"</t>
  </si>
  <si>
    <t>ООО "Восток Ойл"</t>
  </si>
  <si>
    <t>АО "Томскнефть"</t>
  </si>
  <si>
    <t>МКПАО "ТКС Холдинг" (ТиСиЭс Груп Холдинг ПиЭлСи)</t>
  </si>
  <si>
    <t>ЗПИФ "Центральный"</t>
  </si>
  <si>
    <t>ОАО Банк Москвы (АО "БМ-Банк")</t>
  </si>
  <si>
    <t>ООО "Глобус Недвижимость", ООО "Эксперт Недвижимость", ООО "Монолит Недвижимость", ООО "Перспективные Инвестиции", ООО "Азбука Инвестиций", ООО "Концепт Недвижимость"</t>
  </si>
  <si>
    <t>ЗАО "Спецстрой-2"</t>
  </si>
  <si>
    <t>ООО "ЕН-Активы", ООО "ЕН-Инвест", ООО "Компания Сити Лэнд Групп"</t>
  </si>
  <si>
    <t>ОАО "Страховая группа МСК"</t>
  </si>
  <si>
    <t>ООО "БАЛТЕХ"</t>
  </si>
  <si>
    <t>ООО "Данков-Агро", ООО "Долгоруково-Агро", ООО "ЛТ-Агро", ООО "Политовское ХПП", ЗАО АПГ "Лебедянский элеватор"</t>
  </si>
  <si>
    <t>ОАО "Агрокомбинат Южный"</t>
  </si>
  <si>
    <t>ООО "ТД "Раменская"</t>
  </si>
  <si>
    <t>ЗАО "Автоматизированные Банковские Технологии"</t>
  </si>
  <si>
    <t>ЗПИФ прямых инвестиций "Гостиницы и курорты"</t>
  </si>
  <si>
    <t>ООО "Агроцентр-Тамбов", ООО "Агроцентр-Рязань", ООО "Агроцентр-Сибирь", ООО "Агроцентр-Орел" на 23,76%, в ООО "Агроцентр-Курск" на 23,96% и в ООО "ТерраИнвест"</t>
  </si>
  <si>
    <t>ЗПИФ "ВТБ - Долгосрочные инвестиции"</t>
  </si>
  <si>
    <t>ИОАО "Московская инвестиционная строительная компания"</t>
  </si>
  <si>
    <t>ООО "СУ Космос-М"</t>
  </si>
  <si>
    <t>ОАО "Гостиничная компания", ОАО "Агрокомбинат Южный", ОАО "Велозаводский рынок", ОАО "Кунцевский рынок" ОАО, "МГКЛ Мосгорломбард", ООО "Авиапарк"</t>
  </si>
  <si>
    <t>ОАО "Бумажно-полиграфическое объединение "Печатники"</t>
  </si>
  <si>
    <t>ООО "Полесье" и ООО "Сосновый остров"</t>
  </si>
  <si>
    <t>ОАО "Российский Национальный Коммерческий Банк"</t>
  </si>
  <si>
    <t>ООО "ГОЛОВИНО ПЛАЗА" и ЗАО "ИПО "Полигран"</t>
  </si>
  <si>
    <t>ЗАО "ТРАСТ-РЕЗЕРВ"</t>
  </si>
  <si>
    <t>ООО "ММВЗ-АГРО", MMVZ Moldova S.R.L. и СП Кэлэрашь Дивин АО</t>
  </si>
  <si>
    <t>ООО "НПО Информатика"</t>
  </si>
  <si>
    <t>ООО "Авиапарк"</t>
  </si>
  <si>
    <t>ООО "ЛОДБРОК"</t>
  </si>
  <si>
    <t>ООО "Деревообработка – Проект"</t>
  </si>
  <si>
    <t>ЗАО "Доминанта" и ООО "БМ-Проект Экология"</t>
  </si>
  <si>
    <t>ПАО Банк ВТБ (ООО "ВТБ Пенсионный администратор")</t>
  </si>
  <si>
    <t>ЗПИФ прямых инвестиций "Глобус Прямые Инвестиции" (ООО "Головино Плаза", ООО "НПО "Информатика", ЗАО "Траст-Резерв" и ЗАО "ИПО Полигран")</t>
  </si>
  <si>
    <t>ЗПИФ прямых инвестиций "Гостиницы и курорты" (ЗАО "Гостиница "Сокольники" и ЗАО "УК "Отель Менеджмент")</t>
  </si>
  <si>
    <t>ООО "Риэлт-Сити"</t>
  </si>
  <si>
    <t>ЗАО "Стэли Холдинг"</t>
  </si>
  <si>
    <t>ООО "Компания "Спецкоммунтехника" и ЗАО "Экология и энергетика"</t>
  </si>
  <si>
    <t>ЗАО "Регистратор КРЦ"</t>
  </si>
  <si>
    <t>АО "Банк Москвы" – Белград</t>
  </si>
  <si>
    <t>ОАО Банк Москвы (АО "БМ-Банк") - ВоМ Finance Ltd.</t>
  </si>
  <si>
    <t>ООО "Терра ИнвестХолдинг" (100%), ООО "Бутурлиновка-Агро" (100%), ООО "Данков-Агро" (100%), ООО "Добринка-Агро" (100%), ООО "Долгоруково-Агро" (100%), ООО "ЛТ-Агро" (100%). ООО "Танаис" (74,7%), ООО "Им. К. Маркса" (74,7%), ООО "Долгоруково-Молоко" (100%), ЗАО "Победа" (39,6%), ООО "Терра Агроменеджмент" (100%), ООО "Терра-Инвест" (75,3%), ООО "Политовское ХПП" (100%), ЗАО "АПГ Лебедянский элеватор" (95,7%), ООО "Первый Агрокомбинат" (38,4%)</t>
  </si>
  <si>
    <t>ОАО Банк Москвы (АО "БМ-Банк") - ООО "БМ Проект"</t>
  </si>
  <si>
    <t>ООО "КИНОФРЭШ" (100%), ООО "Синема Инвест" (100%), ООО "Синема Инвест Ижевск" (100%), ООО "Синема Инвест Казань" (100%), ООО "Кино Сфера" (100%), ЗАО "Профит-Синема" (100%), ООО "ЕвразияСинема" (100%), ООО "Евразия" (100%)</t>
  </si>
  <si>
    <t>ОАО "Чайка" и ЗАО "ОргСпортСервис"</t>
  </si>
  <si>
    <t>ООО "Агрохолдинг-Курск" (75,95%), ООО "Агрохолдинг-Орел" (76,18%), ООО "Агроцентр-Тамбов" (76,18%), ООО "Агроцентр-Рязань" (76,18%), ООО "Агроцентр-Сибирь" (76,18%), и ЗАО "Новоалексеевское" (75,94%)</t>
  </si>
  <si>
    <t>ЗАО "Стели Холдинг"</t>
  </si>
  <si>
    <t xml:space="preserve">ЗПИФ "Долгосрочные инвестиции" </t>
  </si>
  <si>
    <t>ООО "Конми"</t>
  </si>
  <si>
    <t>ООО "Вервольф"</t>
  </si>
  <si>
    <t>ОАО "Международная управляющая компания"</t>
  </si>
  <si>
    <t>ОАО Банк Москвы (АО "БМ-Банк") - ООО "БМ-Дирекция"</t>
  </si>
  <si>
    <t>ОАО "Бежица-Банк"</t>
  </si>
  <si>
    <t>ООО "Мос-Брокер"</t>
  </si>
  <si>
    <t>ЗАО "Инвестлеспром"</t>
  </si>
  <si>
    <t>ОАО "Объединенная компания"</t>
  </si>
  <si>
    <t>ООО "Центр "Городские информационные технологии"</t>
  </si>
  <si>
    <t>ОАО Банк Москвы (АО "БМ-Банк") - ОАО "Международная управляющая компания"</t>
  </si>
  <si>
    <t>ОАО Банк Москвы (АО "БМ-Банк") - Bom Finance Ltd.</t>
  </si>
  <si>
    <t>АО "Латвийский Бизнесбанк"</t>
  </si>
  <si>
    <t>ЗАО "УПРАВЛЯЮЩАЯ КОМПАНИЯ БАНКА МОСКВЫ"</t>
  </si>
  <si>
    <t>ООО "Регистратор КРЦ"</t>
  </si>
  <si>
    <t>ООО "Инвестплаза"</t>
  </si>
  <si>
    <t>ЗАО "Концерн "Вечерняя Москва"</t>
  </si>
  <si>
    <t>ОАО КБ "Мосводоканалбанк"</t>
  </si>
  <si>
    <t>ЗАО "Финансовый ассистент"</t>
  </si>
  <si>
    <t>ЗАО "Леспромпроцессинг"</t>
  </si>
  <si>
    <t>ЗАО "Монолит"</t>
  </si>
  <si>
    <t>ЗАО "СЖ Финанс"</t>
  </si>
  <si>
    <t>ОАО НКО "ИНКАХРАН" и ООО "Инкахран Сервис"</t>
  </si>
  <si>
    <t>ЗАО "Долговой центр Росбанка"</t>
  </si>
  <si>
    <t>ЗАО КБ "РОСБАНК-ВОЛГА", "Белросбанк" и ООО "Агентство по возврату долгов"</t>
  </si>
  <si>
    <t>ООО "РБ Лизинг"</t>
  </si>
  <si>
    <t>Группа "Интеррос"</t>
  </si>
  <si>
    <t>Банки "Русфинанс" и "Дельта Кредит"</t>
  </si>
  <si>
    <t>ПАО "Первобанк"</t>
  </si>
  <si>
    <t>ЗПИФ "4-й Национальный"</t>
  </si>
  <si>
    <t>ОАО "СПИРИТБАНК"</t>
  </si>
  <si>
    <t>ОАО "Союзпушнина"</t>
  </si>
  <si>
    <t>ООО "Рокет"</t>
  </si>
  <si>
    <t>ООО "Финансово-промышленное интегрирование"</t>
  </si>
  <si>
    <t>ООО "БЦ Северный"</t>
  </si>
  <si>
    <t>ООО "Интерлизинг"</t>
  </si>
  <si>
    <t>ООО "УРАЛСИБ Брокер"</t>
  </si>
  <si>
    <t>ООО "ГИГАНТ КОНТИ"</t>
  </si>
  <si>
    <t>ООО "Капиталпроект", ООО "Инвестгарант", ООО "Инвестсоюз", ООО "АгроЛэнд", ООО "Путилково", ООО "КАПО М"</t>
  </si>
  <si>
    <t>ООО "Набатниково"</t>
  </si>
  <si>
    <t>ООО "Полюс"</t>
  </si>
  <si>
    <t>ООО "Капиталсоюз"</t>
  </si>
  <si>
    <t>ЗПИФ недвижимости "Строительные инвестиции"</t>
  </si>
  <si>
    <t xml:space="preserve">ЗПИФ недвижимости "Земельные инвестиции - 1" </t>
  </si>
  <si>
    <t>ПАО "Башпромбанк"</t>
  </si>
  <si>
    <t>ПАО "Банк БФА"</t>
  </si>
  <si>
    <t>ЗАО "НПФ УРАЛСИБ"</t>
  </si>
  <si>
    <t>"ЗПИФ Стратегический-1"</t>
  </si>
  <si>
    <t>АО "ЗНАК"</t>
  </si>
  <si>
    <t>ООО "Толстой-М"</t>
  </si>
  <si>
    <t>ООО "Лизинговая компания УРАЛСИБ"</t>
  </si>
  <si>
    <t>ООО "Уфа-Сити"</t>
  </si>
  <si>
    <t>ООО "Поварово"</t>
  </si>
  <si>
    <t>ООО "СпортВенчер Москва"</t>
  </si>
  <si>
    <t>Cтраховая группа "УралСиб"</t>
  </si>
  <si>
    <t>ООО "РГО Воронеж"</t>
  </si>
  <si>
    <t>ООО "ОРТО-ХАУЗ"</t>
  </si>
  <si>
    <t>ООО "Бизнес Лизинг"</t>
  </si>
  <si>
    <t>ООО "Регион-Лизинг-Консалт" и ООО "Регион-Лизинг-Уфа"</t>
  </si>
  <si>
    <t>ЗПИФ смешанных инвестиций "УРАЛСИБ – Перспектива"</t>
  </si>
  <si>
    <t xml:space="preserve">ЗПИФ недвижимости "Земельные инвестиции" </t>
  </si>
  <si>
    <t>ПАО "БАНК УРАЛСИБ" (ООО "Лизинговая компания УРАЛСИБ")</t>
  </si>
  <si>
    <t>ООО "ОФК "УРАЛСИБ-Факторинг"</t>
  </si>
  <si>
    <t>ООО "Лизинговая компания НИКОЙЛ"</t>
  </si>
  <si>
    <t>Кредитного закрытого паевого инвестиционного фонда "УРАЛСИБ — Кредитные технологии"</t>
  </si>
  <si>
    <t>ООО "Амадор" и ЗАО "Красногорскстройкомплект"</t>
  </si>
  <si>
    <t>ЗПИФ недвижимости "УРАЛСИБ - Развитие регионов"</t>
  </si>
  <si>
    <t>ООО "Альфа Директ Сервис"</t>
  </si>
  <si>
    <t>ООО "Ателье-Люкс" и ООО магазин "Пашков"</t>
  </si>
  <si>
    <t>ООО "Альфа-Лизинг"</t>
  </si>
  <si>
    <t>ПАО "Балтийский Банк"</t>
  </si>
  <si>
    <t>ООО "Райффайзен-Лизинг"</t>
  </si>
  <si>
    <t>ООО "ЮниКредит Лизинг"</t>
  </si>
  <si>
    <t>ЗАО "Банк Сибирь"</t>
  </si>
  <si>
    <t>АО "Албашский элеватор", АО "Величковский элеватор", АО "Степнянский элеватор", ООО "Башкирская сахарная компания", ООО "Раевсахар", ООО "Торговый дом "Башкирский сахар", ООО "Агрофирма "Красный Клин", ООО "Раевская", ООО "Карламанский продукт", ООО "Ломан 2"</t>
  </si>
  <si>
    <t>ООО "Агроторг Троицк"</t>
  </si>
  <si>
    <t>"Группа ТСК" (ООО "Тамбовская сахарная компания" и ООО "Тамбовсахаринвест")</t>
  </si>
  <si>
    <t>ОАО "Белоглинский элеватор", ОАО "Еянский элеватор", ОАО "Крыловский элеватор", ОАО "Ладожский элеватор", ОАО "Малороссийский элеватор", ОАО "Ровненский элеватор" и ОАО "Уманский элеватор"</t>
  </si>
  <si>
    <t>ООО "АПП "Ставрополье"</t>
  </si>
  <si>
    <t>ЗАО "Челябинский коммерческий земельный банк"</t>
  </si>
  <si>
    <t>ЗАО "Страховая компания "ГазГарант" (ЗАО "РСХБ-Страхование")</t>
  </si>
  <si>
    <t>ОАО "Албашский элеватор"; ОАО "Белоглинский элеватор"; ОАО "Величковский элеватор"; ОАО "Еянский элеватор"; ОАО "Крыловский элеватор"; ОАО "Ладожский элеватор"; ОАО "Малороссийский элеватор"; ОАО "Ровненский элеватор"; ОАО "Степнянский элеватор"; ОАО "Уманский элеватор"</t>
  </si>
  <si>
    <t>ОАО "Рассвет"; ОАО "Лужский комбикормовый завод"; ОАО "Лужский мясокомбинат"</t>
  </si>
  <si>
    <t>ООО "Доминант"; ООО "АгроИнвест"; ЗАО "Агро-проект"; ООО "Агролюкс"</t>
  </si>
  <si>
    <t>ЗАО "Хомяковский хладокомбинат"; ООО "Оптовые технологии"; ЗАО "Агрохолдинг "СП-Холод""; ООО "Бригантина"</t>
  </si>
  <si>
    <t>Группа "ЕВРОДОН" (ООО "ЕВРОДОН", ООО "Урсдон", ООО "Евродон-Юг", ООО "Ирдон", "ТД Индолина", ООО "Металл-Дон")</t>
  </si>
  <si>
    <t>АО "Корпорация развития Северного Кавказа"</t>
  </si>
  <si>
    <t>ООО "ВЭБ-Инвест"</t>
  </si>
  <si>
    <t>АО "Каспийский завод листового стекла"</t>
  </si>
  <si>
    <t>ПАО "Проминвестбанк"</t>
  </si>
  <si>
    <t>ООО "ВЭБ Капитал"</t>
  </si>
  <si>
    <t>АО "МСП Банк"</t>
  </si>
  <si>
    <t>ООО "Инфраструктура Молжаниново" (ранее – ООО "Ресад")</t>
  </si>
  <si>
    <t>АО "ВЭБ-лизинг"</t>
  </si>
  <si>
    <t>ПАО АКБ "Связь-Банк"</t>
  </si>
  <si>
    <t>ЗАО "Курорт "Золотое кольцо" (ООО "Курорт "Золотое кольцо")</t>
  </si>
  <si>
    <t>АО "Российский экспортный центр"</t>
  </si>
  <si>
    <t>АО РОСЭКСИМБАНК и АО "ЭКСАР"</t>
  </si>
  <si>
    <t>АО "ЭКСАР"</t>
  </si>
  <si>
    <t>АО "ГЛОБЭКСБАНК"</t>
  </si>
  <si>
    <t>ГК развития "ВЭБ.РФ" (ГК "Банк развития и внешнеэкономической деятельности (Внешэкономбанк)") (дочерняя компания - ООО "ВЭБ Капитал" (Pilsen Toll s.r.o.))</t>
  </si>
  <si>
    <t>ООО "ВЭБ Инжиниринг"</t>
  </si>
  <si>
    <t>ГК развития "ВЭБ.РФ" (ГК "Банк развития и внешнеэкономической деятельности (Внешэкономбанк)") (дочерняя компания - АО "ГЛОБЭКСБАНК")</t>
  </si>
  <si>
    <t>ОАО "Федеральный центр проектного финансирования"</t>
  </si>
  <si>
    <t>ОАО "Фонд развития Дальнего Востока и Байкальского региона"</t>
  </si>
  <si>
    <t>ЗПИФ "Базис – Долгосрочные инвестиции"</t>
  </si>
  <si>
    <t>ООО "Торгово-промышленная компания "Орские заводы"</t>
  </si>
  <si>
    <t>ОАО "Банк БелВЭБ"</t>
  </si>
  <si>
    <t>ЗПИФ прямых инвестиций "МРИФ – II"</t>
  </si>
  <si>
    <t>ЗАО "ГЛОБЭКСБАНК"</t>
  </si>
  <si>
    <t>ООО "Управляющая компания РФПИ"</t>
  </si>
  <si>
    <t>ЗПИФ хедж-фонд "Маккуори Ренессанс Инфраструктурный фонд" и ЗПИФ прямых инвестиций "Маккуори Ренессанс Инфраструктурный фонд-II"</t>
  </si>
  <si>
    <t>ООО "Югра-Лизинг"</t>
  </si>
  <si>
    <t>ЗАО "Ипотечный агент Петрокоммерц-1"</t>
  </si>
  <si>
    <t>ОАО "Новосибирский Муниципальный Банк"</t>
  </si>
  <si>
    <t>ОАО "НОМОС-БАНК"</t>
  </si>
  <si>
    <t>ЗАО "Банк Петрокоммерц-Украина" (ПАО "Петрокоммерц-Украина")</t>
  </si>
  <si>
    <t>ОАО Комирегионбанк "Ухтабанк"</t>
  </si>
  <si>
    <t>АИК ПСБ "Ставрополье" (Ставропольпромстройбанк)</t>
  </si>
  <si>
    <t>ПАО "МИнБанк"</t>
  </si>
  <si>
    <t>ООО "Забота"</t>
  </si>
  <si>
    <t>ООО "РК Проект"</t>
  </si>
  <si>
    <t>АО Банк "Советский"</t>
  </si>
  <si>
    <t>ПАО "Татфондбанк"</t>
  </si>
  <si>
    <t>АО "Социнвестбанк"</t>
  </si>
  <si>
    <t>АО "Птицефабрика Белокалитвиснкая"</t>
  </si>
  <si>
    <t>АО "НПФ "БУДУЩЕЕ"</t>
  </si>
  <si>
    <t>ООО УК "МД Траст"</t>
  </si>
  <si>
    <t>ООО "ИК "Ленинградское Адажио"</t>
  </si>
  <si>
    <t>АО НПФ "Образование" и АО "НПФ "Социальное Развитие"</t>
  </si>
  <si>
    <t>АО "НПФ "Социальное Развитие"</t>
  </si>
  <si>
    <t>ЗАО "НПФ "Русский стандарт" и АО "НПФ "Образование"</t>
  </si>
  <si>
    <t>АО "НПФ "СтальФонд"</t>
  </si>
  <si>
    <t>АО "НПФ "Телеком-Союз"</t>
  </si>
  <si>
    <t>ООО "Команда МГКЛ"</t>
  </si>
  <si>
    <t>АО "ИК "РИКОМ-ТРАСТ"</t>
  </si>
  <si>
    <t>ООО "Мосгорскупка-М"</t>
  </si>
  <si>
    <t>ООО "ЛОТ-ЗОЛОТО НДС"</t>
  </si>
  <si>
    <t>ООО "Ломбард Аурум" (с марта 2023 г. - ООО "Ресейл", входит в состав Группы)</t>
  </si>
  <si>
    <t>ООО "Мосгорскупка" (с января 2022 года - ООО "Интернет-Аукцион")</t>
  </si>
  <si>
    <t>ООО "Ломбард Платинум"</t>
  </si>
  <si>
    <t>ООО "Авто-ломбард Эквивалент"</t>
  </si>
  <si>
    <t>ООО "Ломбард Аурум" (ООО "Ресейл")</t>
  </si>
  <si>
    <t>ООО "Ломбард Золотое руно" (ООО "Главмосторг")</t>
  </si>
  <si>
    <t>АО "Мустанг"</t>
  </si>
  <si>
    <t>АО "ТФМ-Транссервис"</t>
  </si>
  <si>
    <t>АО "Транслизингсервис"</t>
  </si>
  <si>
    <t>АО "Вектор Рейл"</t>
  </si>
  <si>
    <t>ООО "ТФМ-Спецтехника"</t>
  </si>
  <si>
    <t>ООО "ТФМ-Сервис"</t>
  </si>
  <si>
    <t>ООО "ТФМ-Оператор"</t>
  </si>
  <si>
    <t>Группа "Атлант" (АО "Титан", АО "ТФМ-Транс", ООО "Атлант")</t>
  </si>
  <si>
    <t>ГК "ВЭБ.РФ"</t>
  </si>
  <si>
    <t>АО "ТФМ-Гарант"</t>
  </si>
  <si>
    <t>ООО "РРЛ"</t>
  </si>
  <si>
    <t>АКБ "Национальный Резервный Банк"</t>
  </si>
  <si>
    <t>АО НПФ "Ренессанс пенсии" и ООО "Велби Холдинг"</t>
  </si>
  <si>
    <t>АО "НПФ Сбербанка"</t>
  </si>
  <si>
    <t>АО "БУДУ"</t>
  </si>
  <si>
    <t>АО "Цифровые технологии здоровья"</t>
  </si>
  <si>
    <t>ООО "МСК "Медика-Восток"</t>
  </si>
  <si>
    <t>АО "Негосударственный пенсионный фонд "Эмеритура", АО "Негосударственный пенсионный фонд "Ингосстрах-Пенсия", АО "Негосударственный пенсионный фонд "Социум", ЗАО "Плавательный бассейн "Нептун"</t>
  </si>
  <si>
    <t>ЗСАО "Ингосстрах"</t>
  </si>
  <si>
    <t>СЗАО "ИНГО-УЗБЕКИСТАН"</t>
  </si>
  <si>
    <t>ООО "Аквамарин"</t>
  </si>
  <si>
    <t>ЗСАО "БелИнгосстрах"</t>
  </si>
  <si>
    <t>ЗАО АСК "ИНГО Украина", ЗАО АСК "ИНГО Украина Жизнь" и ООО "МЦ "НАША СЕМЬЯ"</t>
  </si>
  <si>
    <t>ООО "ЖСО-Медицина"</t>
  </si>
  <si>
    <t>САО "ИнгоНорд"</t>
  </si>
  <si>
    <t>ООО "МЦ "НАША СЕМЬЯ"</t>
  </si>
  <si>
    <t>"Ground Hound Limited"</t>
  </si>
  <si>
    <t>ОАО "Магистральный механосборочный завод"</t>
  </si>
  <si>
    <t>ОАО "ЭМЭСК"</t>
  </si>
  <si>
    <t>ООО "Аудит безопасности"</t>
  </si>
  <si>
    <t>САО "ЭРГО"</t>
  </si>
  <si>
    <t>ООО "Медицинская страховая компания "Медстрах"</t>
  </si>
  <si>
    <t>АО "Медицинская страховая организация "Надежда"</t>
  </si>
  <si>
    <t>Группа "Астровэй"</t>
  </si>
  <si>
    <t>АО "Медицинская Страховая Компания "УралСиб"</t>
  </si>
  <si>
    <t>ООО "Липецкое страховое общество "Шанс"</t>
  </si>
  <si>
    <t>ООО "СПК "Юнити Ре"</t>
  </si>
  <si>
    <t>ООО "МИКА"</t>
  </si>
  <si>
    <t>ПАО "ЛК "Европлан"</t>
  </si>
  <si>
    <t>ООО "Азбука+" (ООО "ВСК-Линия жизни")</t>
  </si>
  <si>
    <t>САО "ВСК"</t>
  </si>
  <si>
    <t>АО НПФ "САФМАР"</t>
  </si>
  <si>
    <t>ООО "ИК "Ленинградское адажио"</t>
  </si>
  <si>
    <t>АО НПФ "Моспромстрой-Фонд"</t>
  </si>
  <si>
    <t>АО НПФ "Внешэкономфонд"</t>
  </si>
  <si>
    <t>ООО "Директ Кредит Центр"</t>
  </si>
  <si>
    <t>ZARANA INVESTMENTS LIMITED (ООО "РЕГИОН ЭСТЕЙТ"; GFN.RU)</t>
  </si>
  <si>
    <t>ООО "Инвест-Проект" (АО "НПФ "Доверие")</t>
  </si>
  <si>
    <t>АО "ПОМЕСТЬЕ" и его дочерние компании ООО "КРАУН КД" и ООО "СК Европлан" ("Группа АО "ПОМЕСТЬЕ")</t>
  </si>
  <si>
    <t>АО "Европлан Банк"</t>
  </si>
  <si>
    <t>"Европлан Холдингз Лимитед"</t>
  </si>
  <si>
    <t>"Сендонбридж Глобал Лимитед" (Cendonbridge Global Limited)</t>
  </si>
  <si>
    <t>INGURU (ООО "МБ Маркетплейс" (бывш. ООО "Дисоверс") и ООО "Инсвеб")</t>
  </si>
  <si>
    <t>АО "Национальная Товарная Биржа" (НТБ)</t>
  </si>
  <si>
    <t>АО "Товарная Биржа "Евразийская торговая система"" (ETC)</t>
  </si>
  <si>
    <t>ЧАО "Фондовая Биржа ПФТС"</t>
  </si>
  <si>
    <t>ПАО "Бест Эффортс Банк"</t>
  </si>
  <si>
    <t>ПАО "Клиринговый центр МФБ" (ПАО "КЦ МФБ")</t>
  </si>
  <si>
    <t>ООО "УК "ПрофЭксперт"</t>
  </si>
  <si>
    <t>ООО "Вобот"</t>
  </si>
  <si>
    <t>ООО "Сапиента"</t>
  </si>
  <si>
    <t>ООО "Семиотик"</t>
  </si>
  <si>
    <t>ОАО "БЕРЕЗКА В ЛУЖНИКАХ"</t>
  </si>
  <si>
    <t>ООО "НАЩОКИН"</t>
  </si>
  <si>
    <t>ПАО "МОСТОТРЕСТ"</t>
  </si>
  <si>
    <t>ООО "Таймырбурсервис"</t>
  </si>
  <si>
    <t>АО "Таймырнефтегаз"</t>
  </si>
  <si>
    <t>ООО "Независимая нефтегазовая компания–Холдинг" ("ННК")</t>
  </si>
  <si>
    <t>ООО "КрасГеоНац"</t>
  </si>
  <si>
    <t>ООО ИК "Сибинтек" ("Сибинтек")</t>
  </si>
  <si>
    <t>Доли в обществах группы "Петербургская топливная компания" (ПТК)</t>
  </si>
  <si>
    <t>АКБ "Пересвет" (АО)</t>
  </si>
  <si>
    <t>ПАО "Верхнечонскнефтегаз"</t>
  </si>
  <si>
    <t>ООО "Бурение Сервис Технологии"</t>
  </si>
  <si>
    <t>ООО "Независимая Нефтегазовая Компания − Проекты"</t>
  </si>
  <si>
    <t xml:space="preserve">ООО "Таас-Юрях Нефтегазодобыча" </t>
  </si>
  <si>
    <t>АО "Ванкорнефть"</t>
  </si>
  <si>
    <t>Petróleos de Venezuela S.A. ("PDVSA")</t>
  </si>
  <si>
    <t>АО "Таргин"</t>
  </si>
  <si>
    <t>ООО "Компания "Полярное сияние"</t>
  </si>
  <si>
    <t>ООО "Трайкан Велл Сервис"</t>
  </si>
  <si>
    <t>ООО "Петрол Маркет"</t>
  </si>
  <si>
    <t>ЗАО "Новокуйбышевская нефтехимическая компания"</t>
  </si>
  <si>
    <t>ООО "Национальный нефтяной консорциум" ("ННК")</t>
  </si>
  <si>
    <t>ООО "Юграгазпереработка"</t>
  </si>
  <si>
    <t>ОАО "Сибур-Холдинг"</t>
  </si>
  <si>
    <t>ООО "Базовый авиатопливный оператор" и ООО "Генерал Авиа"</t>
  </si>
  <si>
    <t>ООО "НГК "ИТЕРА"</t>
  </si>
  <si>
    <t>ООО "ТНК-Шереметьево" (ООО "РН-Аэро Шереметьево")</t>
  </si>
  <si>
    <t>ООО "Таас-Юрях Нефтегазодобыча"</t>
  </si>
  <si>
    <t>ОАО "Сибнефтегаз"</t>
  </si>
  <si>
    <t>ПАО "НОВАТЭК"</t>
  </si>
  <si>
    <t>ОАО "РН Холдинг"</t>
  </si>
  <si>
    <t>ООО "Сбербанк Капитал"</t>
  </si>
  <si>
    <t>ЗАО "Арктикшельфнефтегаз" (АШНГ)</t>
  </si>
  <si>
    <t>ООО "Центр исследований и разработок"</t>
  </si>
  <si>
    <t>ООО "Полярный терминал"</t>
  </si>
  <si>
    <t>ОАО "Удмуртнефть"</t>
  </si>
  <si>
    <t>ЗАО ТЗК "Кольцово" и ООО "ТЗК Актив"</t>
  </si>
  <si>
    <t>ООО "Абекс"</t>
  </si>
  <si>
    <t>ООО "Юпитер-А"</t>
  </si>
  <si>
    <t>ОАО "Новосибирскнефтегаз" и ОАО "Северноенефтегаз"</t>
  </si>
  <si>
    <t>ЗАО "Радонеж Петролеум"</t>
  </si>
  <si>
    <t>ООО "Тарховское"</t>
  </si>
  <si>
    <t>ООО "Университет-Недра" и ООО "Ключи"</t>
  </si>
  <si>
    <t xml:space="preserve">ОАО "ВЧНГ" </t>
  </si>
  <si>
    <t>ТД "ОНАКО"</t>
  </si>
  <si>
    <t>ОАО "ТНК-Ярославль"</t>
  </si>
  <si>
    <t>ПАО "НГК "Славнефть"</t>
  </si>
  <si>
    <t>ООО "Меретояханефтегаз"</t>
  </si>
  <si>
    <t>ПАО "Газпромнефть"</t>
  </si>
  <si>
    <t xml:space="preserve">АО "Архангельскгеолдобыча" </t>
  </si>
  <si>
    <t xml:space="preserve">ЗАО "СамараНафта" </t>
  </si>
  <si>
    <t>ЗАО "Кама-ойл"</t>
  </si>
  <si>
    <t>"Газпромбанк" (Акционерное общество)</t>
  </si>
  <si>
    <t>АО "РЭП Холдинг"</t>
  </si>
  <si>
    <t xml:space="preserve">АО "Газум" </t>
  </si>
  <si>
    <t>25,01 % акций ООО "Ачим Девелопмент" и 9 % обыкновенных акций, 1 привилегированная акция типа "А" и 1 привилегированная акция типа "В" АО "Ачим сбыт"</t>
  </si>
  <si>
    <t>"ВИБГ ГмбХ"; "Винтерсхалл Ноордзее Б.В."; "Винтерсхалл Сервисез Б.В."</t>
  </si>
  <si>
    <t>"Винтерсхалл Холдинг ГмбХ"</t>
  </si>
  <si>
    <t>"ЭНИ Интернешнл Б.В." (20 %), "ЭДФ Интернешнл С.А.С." (15 %) и "Винтерсхалл Холдинг
ГмбХ" (15 %)</t>
  </si>
  <si>
    <t>ОАО "Газпром нефтехим Салават"</t>
  </si>
  <si>
    <t>ОАО "Центральная топливная компания"</t>
  </si>
  <si>
    <t>ОАО "Белтрансгаз"</t>
  </si>
  <si>
    <t>ООО "СеверЭнергия"</t>
  </si>
  <si>
    <t>OOO "СО "Сургутнефтегаз"</t>
  </si>
  <si>
    <t>ПАО "Сургутнефтегаз"</t>
  </si>
  <si>
    <t>ОАО "Совхоз "Червишевский"</t>
  </si>
  <si>
    <t>ООО "ДмитровМонтажГрупп"</t>
  </si>
  <si>
    <t xml:space="preserve">ООО "Национальный Нефтяной Консорциум" </t>
  </si>
  <si>
    <t>ООО "РН-кат"</t>
  </si>
  <si>
    <t xml:space="preserve">ПАО "Уфаоргсинтез" </t>
  </si>
  <si>
    <t xml:space="preserve">ООО "Бурнефтегаз" </t>
  </si>
  <si>
    <t xml:space="preserve">Группа "Оптан" </t>
  </si>
  <si>
    <t xml:space="preserve">ОАО "Объединенная нефтехимическая компания" </t>
  </si>
  <si>
    <t xml:space="preserve">ООО "Башнефть Сервисные активы" </t>
  </si>
  <si>
    <t>ПАО АФК "Система" (АО "Агрохолдинг Степь")</t>
  </si>
  <si>
    <t>ОАО "Система-Инвест"</t>
  </si>
  <si>
    <t>ООО УК "Татбурнефть", ООО "Татинтек", ООО УК "Татспецтранспорт", ООО "ТаграС-ХимСервис", ООО "КРССервис", ООО "НКТ-Сервис", ООО "МехСервис-НПО", ООО "ТМС-Логистика"</t>
  </si>
  <si>
    <t>ООО "ТНГ-АлГИС"</t>
  </si>
  <si>
    <t>ООО "ТНГ-Групп"</t>
  </si>
  <si>
    <t>ООО "БалтТехПром", ООО "ТД "Экополимеры" и АО "Экопэт"</t>
  </si>
  <si>
    <t>ПАО Национальный банк "ТРАСТ"</t>
  </si>
  <si>
    <t>ООО "СИБУР Тольятти" (ООО "Тольяттикаучук") и АО "Тольяттисинтез"</t>
  </si>
  <si>
    <t>ПАО "СИБУР Холдинг"</t>
  </si>
  <si>
    <t>ООО "Несте Санкт-Петербург"</t>
  </si>
  <si>
    <t>ООО "Газпромнефть-Сахалин"</t>
  </si>
  <si>
    <t>ООО "Арктическая Перевалка"</t>
  </si>
  <si>
    <t>"TOTAL E&amp;P Transshipment SAS" (дочернее общество "TotalEnergies SE")</t>
  </si>
  <si>
    <t>ООО "Черничное"</t>
  </si>
  <si>
    <t>ЗАО "Тернефтегаз"</t>
  </si>
  <si>
    <t>ООО "Арктик СПГ 2"</t>
  </si>
  <si>
    <t>"CNODC Dawn Light Limited" (дочернее общество "CNPC"), "CEPR Limited" (дочернее общество "CNOOC Limited"), "Japan Arctic LNG B.V." (совместное предприятие "Mitsui &amp; Co., Ltd." и "JOGMEC")</t>
  </si>
  <si>
    <t>"TOTAL E&amp;P Salmanov" (100% дочернее общество "TOTAL S.A.")</t>
  </si>
  <si>
    <t>АО "Геотрансгаз" и ООО "Уренгойская газовая компания"</t>
  </si>
  <si>
    <t>АO "Евротэк" и АО "Южно-Хадырьяхинское"</t>
  </si>
  <si>
    <t>OOO "Севернефть-Уренгой"</t>
  </si>
  <si>
    <t>ООО "Криогаз-Высоцк"</t>
  </si>
  <si>
    <t>ООО "Евротэк-Юх"</t>
  </si>
  <si>
    <t>"Artic Russia B.V." (ООО "СеверЭнергия")</t>
  </si>
  <si>
    <t>ООО "НоваЭнерго"</t>
  </si>
  <si>
    <t>АО "Офис"</t>
  </si>
  <si>
    <t>ООО "НОВАТЭК-Кострома" (OOO "Газпром межрегионгаз Кострома")</t>
  </si>
  <si>
    <t xml:space="preserve">ЗАО "Нортгаз" </t>
  </si>
  <si>
    <t>ООО "Пуровский терминал"</t>
  </si>
  <si>
    <t>OOO "Газпром межрегионгаз Челябинск"</t>
  </si>
  <si>
    <t>OOO "Ямалгазресурс Челябинск"</t>
  </si>
  <si>
    <t>ООО "Ойлтехпродукт-Инвест", ООО "Петра Инвест-М" и ООО "Тайликснефтегаз"</t>
  </si>
  <si>
    <t>ООО "НОВАТЭК-Полимер"</t>
  </si>
  <si>
    <t>ОАО "Тамбейнефтегаз"</t>
  </si>
  <si>
    <t>ОАО "Славнефть-ЯНПЗ им. Менделеева" (Русойл)</t>
  </si>
  <si>
    <t>ООО "Мегион сервис"</t>
  </si>
  <si>
    <t>ЗАО "СП МеКаМи Нефть"</t>
  </si>
  <si>
    <t>ОАО "ТНК-ВР Холдинп"</t>
  </si>
  <si>
    <t>ООО "Гыдан Энерджи"</t>
  </si>
  <si>
    <t>ООО "Газпромнефть-Восток"</t>
  </si>
  <si>
    <t>ООО "Газпром Ресурс Нортгаз"</t>
  </si>
  <si>
    <t>ООО "Газпром нефть шельф"</t>
  </si>
  <si>
    <t>ООО "Аэро ТО"</t>
  </si>
  <si>
    <t xml:space="preserve">ООО "Газпром нефть Новый Порт" </t>
  </si>
  <si>
    <t>ООО "Живой исток"</t>
  </si>
  <si>
    <t>ЗАО "Центр наукоемких технологий", ОАО “Южуралнефтегаз"</t>
  </si>
  <si>
    <t>ЗАО "Газпром нефть Оренбург"</t>
  </si>
  <si>
    <t>ООО "ЗападноМалобалыкское"</t>
  </si>
  <si>
    <t>ООО "Средне-Васюганское" и ООО "Муромское"</t>
  </si>
  <si>
    <t>ОАО МПК "Аганнефтегазгеология"</t>
  </si>
  <si>
    <t>ОАО "Варьеганнефть"</t>
  </si>
  <si>
    <t>ООО "РедОйл"</t>
  </si>
  <si>
    <t>ООО "СО "Агро"</t>
  </si>
  <si>
    <t>ЗАО "Ханты-Мансийская нефтяная компания"</t>
  </si>
  <si>
    <t>ЗАО "Назымская нефтегазоразведочная экспедиция"</t>
  </si>
  <si>
    <t>ООО "Белые ночи"</t>
  </si>
  <si>
    <t>ОАО "АКИ-ОТЫР"</t>
  </si>
  <si>
    <t>ОАО "Ульяновскнефть"</t>
  </si>
  <si>
    <t>ООО "Томская Нефть"</t>
  </si>
  <si>
    <t>ОАО "Мохтикнефть"</t>
  </si>
  <si>
    <t xml:space="preserve">ЗАО "Черногорское" </t>
  </si>
  <si>
    <t>СТ ЗАО "Голойл"</t>
  </si>
  <si>
    <t>ОАО "Саратовнефтегаз"</t>
  </si>
  <si>
    <t>ОАО "Нефтеразведка"</t>
  </si>
  <si>
    <t>ИП "Славнефтехим" ЗАО</t>
  </si>
  <si>
    <t>ООО "НЗТ"</t>
  </si>
  <si>
    <t>АО "КТК-Р" и АО "КТК-К" ("КТК Компани" и "КТК Инвестментс Компани")</t>
  </si>
  <si>
    <t>АО "Усть-Луга Ойл" и Sandmark Operations Limited</t>
  </si>
  <si>
    <t>ЗПИФ "Газпромбанк - Финансовый"</t>
  </si>
  <si>
    <t>ООО "НМТ"</t>
  </si>
  <si>
    <t>ОАО "Юго-Запад транснефтепродукт"</t>
  </si>
  <si>
    <t>ООО "ИПТЭР"</t>
  </si>
  <si>
    <t>ООО "Транснефть Телеком" (ранее ООО "Сигма Tелеком"), ООО "Тихорецк-Нафта" и АО "ПРОМСФЕРА"</t>
  </si>
  <si>
    <t>ООО "Транснефть Телеком"</t>
  </si>
  <si>
    <t>ООО "Авеста и Ко"</t>
  </si>
  <si>
    <t>ЗАО "СК "ТРАНСНЕФТЬ"</t>
  </si>
  <si>
    <t>ОАО "Уралсибнефтепровод"</t>
  </si>
  <si>
    <t xml:space="preserve">ОАО "Уралтранснефтепродукт" </t>
  </si>
  <si>
    <t>ООО "Невская трубопроводная компания"</t>
  </si>
  <si>
    <t>ОАО "ВОСТОКНЕФТЕТРАНС"</t>
  </si>
  <si>
    <t xml:space="preserve">ООО "Приморский торговый порт" </t>
  </si>
  <si>
    <t>ЗАО "МАГИСТРАЛЬ ОЙЛ"</t>
  </si>
  <si>
    <t>ООО "ВЕКТОР"</t>
  </si>
  <si>
    <t>ООО "ТРАССА ГСМ"</t>
  </si>
  <si>
    <t xml:space="preserve">ГРО "Катока Майнинг Лтд." </t>
  </si>
  <si>
    <t>Национальная алмазная компания Анголы – "ЭНДИАМА, Э.П."</t>
  </si>
  <si>
    <t>АО "ПО "Кристалл"</t>
  </si>
  <si>
    <t>ПАО "АЛРОСА-Нюрба"</t>
  </si>
  <si>
    <t>ООО "МАК-банк"</t>
  </si>
  <si>
    <t>ЗАО "Иреляхнефть"</t>
  </si>
  <si>
    <t>ЗАО "Геотрансгаз" и ООО "Уренгойская газовая компания"</t>
  </si>
  <si>
    <t>ОАО "Нижне-Ленское"</t>
  </si>
  <si>
    <t>ОАО "ГМК Тимир"</t>
  </si>
  <si>
    <t>Группа компаний "Синтез"</t>
  </si>
  <si>
    <t>ПАО "Северсталь"</t>
  </si>
  <si>
    <t>ООО "Башни ВРС"</t>
  </si>
  <si>
    <t>ООО "Линде Северсталь"</t>
  </si>
  <si>
    <t>АО "Северсталь - Сортовой завод Балаково"</t>
  </si>
  <si>
    <t>ЧАО "Днепрометиз"</t>
  </si>
  <si>
    <t>ОАО "Severstallat" (SIA "Severstal Distribution")</t>
  </si>
  <si>
    <t>ОАО "Воркутауголь"</t>
  </si>
  <si>
    <t>ООО "Северсталь-Украина"</t>
  </si>
  <si>
    <t>ОАО "Стальмаг"</t>
  </si>
  <si>
    <t>АО "Уральская Сталь"</t>
  </si>
  <si>
    <t>АО "ХК "МЕТАЛЛОИНВЕСТ"</t>
  </si>
  <si>
    <t>ООО "Губкин-Инвест"</t>
  </si>
  <si>
    <t>OOО "ПРОФИКО"</t>
  </si>
  <si>
    <t>ООО "АККЕРМАНН ЦЕМЕНТ"</t>
  </si>
  <si>
    <t>АО "ХК "Удоканская медь"</t>
  </si>
  <si>
    <t>ООО "АрконГрупп"</t>
  </si>
  <si>
    <t>ООО "Металлоинвесттранс"</t>
  </si>
  <si>
    <t>ООО "Амет-Урал" и ООО "Содружество"</t>
  </si>
  <si>
    <t>АО "Разрез Томусинский"</t>
  </si>
  <si>
    <t>ООО "Эльгауголь", ООО "Эльга-Дорога" и ООО "Мечел-Транс Восток" (далее – "Эльгинский угольный комплекс")</t>
  </si>
  <si>
    <t>АО "Сибирь-Полиметаллы"</t>
  </si>
  <si>
    <t>АО "Корбалихинский рудник"</t>
  </si>
  <si>
    <t>"Нова Трейдинг энд Коммерс АГ" ("Нова Холдинг АГ")</t>
  </si>
  <si>
    <t>ООО "ТМК МЕТА" и ООО "МетаИнвест"</t>
  </si>
  <si>
    <t>ООО "ТМК Трубный сервис" (включая принадлежащий ему ООО "СПО Алнас")</t>
  </si>
  <si>
    <t>АО ТД "Уралтрубосталь"</t>
  </si>
  <si>
    <t>Нефтесервисный дивизион (РИМЕРА-АЛНАС, Ижнефтемаш, РИМЕРА-Сервис) и компания ООО "Киберсталь"</t>
  </si>
  <si>
    <t>АО "Группа ЧТПЗ"</t>
  </si>
  <si>
    <t>ООО "Этерно" и MSA</t>
  </si>
  <si>
    <t xml:space="preserve">ЗАО "Логистик Северо-Запад" </t>
  </si>
  <si>
    <t>ООО "Юганскнефтегазгеофизика"</t>
  </si>
  <si>
    <t xml:space="preserve">ООО "Ижнефтемаш-101" и ЗАО "Компания Ижнефтемаш" </t>
  </si>
  <si>
    <t>ООО "ТехноИнвест Альянс"</t>
  </si>
  <si>
    <t>ОАО "РОСНефтегазгеология" ("РНГГ"), ЗАО "Таймырнефтеразведка" и ООО "ТаймырТрансГруз"</t>
  </si>
  <si>
    <t>Ряд дочерних компаний ЗАО "ЧТПЗ-Мета"</t>
  </si>
  <si>
    <t>ЗАО "ЧТПЗ-Мета"</t>
  </si>
  <si>
    <t>ОАО "Бугульминский электронасосный завод"</t>
  </si>
  <si>
    <t>ООО "Варейнефтегаз"</t>
  </si>
  <si>
    <t>ООО "Полярный литий"</t>
  </si>
  <si>
    <t>АО "АК "Нордстар"</t>
  </si>
  <si>
    <t>ООО "ГРК "Быстринское"</t>
  </si>
  <si>
    <t>ОАО "Архангельский морской торговый порт"</t>
  </si>
  <si>
    <t xml:space="preserve">ЗАО "Нордавиа – региональные авиалинии" </t>
  </si>
  <si>
    <t>Nkomati Nickel Mine ("Nkomati") и Tati Nickel Mining Company (TNMC)</t>
  </si>
  <si>
    <t>ОАО "Енисейское речное пароходство"</t>
  </si>
  <si>
    <t>ОАО "Норильскгазпром"</t>
  </si>
  <si>
    <t>ООО "Администратор Фондов"</t>
  </si>
  <si>
    <t>ООО "Кингашская ГРК"</t>
  </si>
  <si>
    <t>Лицензия на разведку и разработку угольных месторождений на участке "Брянский 1"</t>
  </si>
  <si>
    <t>ОАО "Барабинский Гортоп"</t>
  </si>
  <si>
    <t>ОАО "Кузбасстопливосбыт"</t>
  </si>
  <si>
    <t>ООО "Удинск Золото" и ООО "Берилл Золото"</t>
  </si>
  <si>
    <t xml:space="preserve">ПАО "Лензолото" </t>
  </si>
  <si>
    <t>ПАО "Полюс" (АО "Полюс Красноярск")</t>
  </si>
  <si>
    <t xml:space="preserve">АО "ЗДК "Лензолото" </t>
  </si>
  <si>
    <t xml:space="preserve">ООО "СЛ Золото" </t>
  </si>
  <si>
    <t>ПАО "Полюс" (дочернее общество с 51% долей ООО "СЛ Золото")</t>
  </si>
  <si>
    <t>Chengdong Investment Corporation; АО "ВТБ Банк"</t>
  </si>
  <si>
    <t>OOO "Шахта "Абашевская"</t>
  </si>
  <si>
    <t>АО "Объединенная Угольная компания "Южкузбассуголь"</t>
  </si>
  <si>
    <t>ООО "Угольная Компания "Межегейуголь"</t>
  </si>
  <si>
    <t>ЗАО "Коксовая"</t>
  </si>
  <si>
    <t>"Евразтранс Украина"</t>
  </si>
  <si>
    <t>ЧАО "ЕВРАЗ – Днепропетровский металлургический завод им. Петровского"</t>
  </si>
  <si>
    <t>ЧAO "ЕВРАЗ Суха Балка"</t>
  </si>
  <si>
    <t>"ЕВРАЗ Находкинский морской торговый порт" ("НМТП")</t>
  </si>
  <si>
    <t>Коксохимический завод "Южкокс"</t>
  </si>
  <si>
    <t>ОАО "Высокогорский горно-обогатительный комбинат"</t>
  </si>
  <si>
    <t>Шахты "Южкузбассугля"</t>
  </si>
  <si>
    <t>"Евразтранс"</t>
  </si>
  <si>
    <t>ОАО "Завод труб большого диаметра"</t>
  </si>
  <si>
    <t>Strategic Minerals Corporation ("Stratcor")</t>
  </si>
  <si>
    <t>ОАО "Ванадий-Тула"</t>
  </si>
  <si>
    <t>99,25% акций горно-обогатительного комплекса "Суха Балка"; 95,57% акций Днепропетровского металлургического комбината; три коксохимических завода (Баглейкокс - 94,37%, Днепрококс - 98,65% и Днепродзержинский коксохимический завод - 93,86% акций в обращении)</t>
  </si>
  <si>
    <t>ООО "ЛМК"</t>
  </si>
  <si>
    <t>ООО "ММК-Транс"</t>
  </si>
  <si>
    <t>ООО "Бакальское рудоуправление"</t>
  </si>
  <si>
    <t>ООО Шахта "Листвяжная" и ЗАО ОФ "Листвяжная"</t>
  </si>
  <si>
    <t>ЗАО "Профит"</t>
  </si>
  <si>
    <t>ООО "МАГМА трейд"</t>
  </si>
  <si>
    <t>ООО "Уралсибтрейд"</t>
  </si>
  <si>
    <t>ООО "ММК-ИНДУСТРИАЛЬНЫЙ ПАРК"</t>
  </si>
  <si>
    <t>NLMK Belgium Holdings S.A. ("NBH")</t>
  </si>
  <si>
    <t>ОАО "НСММЗ"</t>
  </si>
  <si>
    <t xml:space="preserve">ООО "НТК" </t>
  </si>
  <si>
    <t>ООО "ВМИ Ресайклинг Групп"</t>
  </si>
  <si>
    <t>ОАО "ТМТП"</t>
  </si>
  <si>
    <t>ООО "Ильинское" (и ее ассоциированная компания АО "Верхнетисская горнорудная компания")</t>
  </si>
  <si>
    <t>АО ЗДП "Кобольдо"</t>
  </si>
  <si>
    <t xml:space="preserve">ОАО "Берелех" и его дочерние компании ООО "Малдяк", ООО "Монолит" и ООО "Элита" </t>
  </si>
  <si>
    <t>ОАО "Верхнетисская горнорудная компания"</t>
  </si>
  <si>
    <t>ОАО "Красноярская ГГК"</t>
  </si>
  <si>
    <t>ЗАО "ЗРК "Омчак" и его дочернее предприятие ООО "Каурчак"</t>
  </si>
  <si>
    <t>ЗАО "СеверХром"</t>
  </si>
  <si>
    <t>ООО "Удума"</t>
  </si>
  <si>
    <t>ООО ГПХ "РусКит"</t>
  </si>
  <si>
    <t>ООО "Пекинская горнодобывающая компания"</t>
  </si>
  <si>
    <t>ООО "Матенвунай"</t>
  </si>
  <si>
    <t>ООО "ТриАрк Майнинг"</t>
  </si>
  <si>
    <t>ООО "Новопетровское"</t>
  </si>
  <si>
    <t>ООО "Охотская горно-геологическая компания" (Хаканджа)</t>
  </si>
  <si>
    <t>ООО "Прогноз Серебро"</t>
  </si>
  <si>
    <t>ООО "ГРК Амикан"</t>
  </si>
  <si>
    <t>ООО "Приморская ГГК"</t>
  </si>
  <si>
    <t>ООО "Саумская Горнорудная Компания"</t>
  </si>
  <si>
    <t>ЗАО "Dundee Precious Metals Kapan" ("DPMK")</t>
  </si>
  <si>
    <t>ТОО "Орион Минералс"</t>
  </si>
  <si>
    <t>ТОО "Казцинк" (дочернее предприятие Glencore International plc)</t>
  </si>
  <si>
    <t>ООО "Проэкс" (Проект разведки алмазного месторождения)</t>
  </si>
  <si>
    <t>ТОО "Актогай Мыс"</t>
  </si>
  <si>
    <t>ООО "Приморское"</t>
  </si>
  <si>
    <t>ООО "Хаканджинское"</t>
  </si>
  <si>
    <t>ООО "Олимп"</t>
  </si>
  <si>
    <t>ЗАО "Маминская горнорудная компания"</t>
  </si>
  <si>
    <t>ООО "Хабаровская геологоразведочная компания"</t>
  </si>
  <si>
    <t>Стратегический альянс "AngloGold Ashanti – Полиметалл"</t>
  </si>
  <si>
    <t>ООО "Семченское золото"</t>
  </si>
  <si>
    <t>ОАО "Невьянская группа"</t>
  </si>
  <si>
    <t>ООО "Уральское ГРП"</t>
  </si>
  <si>
    <t>ООО "Северно­Уральское ГРП"</t>
  </si>
  <si>
    <t>ООО "Индустрия"</t>
  </si>
  <si>
    <t>ООО "Офис"</t>
  </si>
  <si>
    <t>ООО "ИСТ-Колыма"</t>
  </si>
  <si>
    <t>ЗАО "Северо-восточная угольная компания"</t>
  </si>
  <si>
    <t>ООО "Рудник Авлаякан" и ООО "Киранкан"</t>
  </si>
  <si>
    <t>ООО "ПД РУС"</t>
  </si>
  <si>
    <t>ООО "Полиметаллы Северного Урала"</t>
  </si>
  <si>
    <t>ООО ЗК "Майское"</t>
  </si>
  <si>
    <t xml:space="preserve">ПАО "Селигдар" </t>
  </si>
  <si>
    <t>ООО "Белое Золото"</t>
  </si>
  <si>
    <t>ПАО "Селигдар"  (дочерняя компания ООО "Управление золотыми активами")</t>
  </si>
  <si>
    <t>ООО "Хатырхай"</t>
  </si>
  <si>
    <t>ООО ГПК "Восточная"</t>
  </si>
  <si>
    <t>ПАО "Селигдар"  (ООО "Белое золото")</t>
  </si>
  <si>
    <t>ООО "Максимус" и АО "Трежери Инвест"</t>
  </si>
  <si>
    <t>ООО "Нирунган"</t>
  </si>
  <si>
    <t>ООО "Азимут"</t>
  </si>
  <si>
    <t>ООО "Газнефтеинжиниринг"</t>
  </si>
  <si>
    <t>ООО "Капитал Центр"</t>
  </si>
  <si>
    <t>АО "Прейсиш-Эйлау"</t>
  </si>
  <si>
    <t>ООО "Правоурмийское"</t>
  </si>
  <si>
    <t>ООО "Азимут" и ООО "Прейсиш-Эйлау"</t>
  </si>
  <si>
    <t>НАО "БШПУ"</t>
  </si>
  <si>
    <t>JIUQUAN IRON &amp; STEEL (GROUP) Co. Ltd. ("JISCO")</t>
  </si>
  <si>
    <t>ООО "ТМК – Ярцевский метзавод"</t>
  </si>
  <si>
    <t>Предприятия, входящие в состав ООО "Трубы 2000"</t>
  </si>
  <si>
    <t>АО "Уралчермет"</t>
  </si>
  <si>
    <t>ОАО "Уралредмет"</t>
  </si>
  <si>
    <t>ООО "Авиакапитал-Сервис"</t>
  </si>
  <si>
    <t>ОАО "Оловянная рудная компания"</t>
  </si>
  <si>
    <t>ООО "Росомаха"</t>
  </si>
  <si>
    <t>ООО "Русские традиции"</t>
  </si>
  <si>
    <t>ООО "Русатом ИР"</t>
  </si>
  <si>
    <t>АО "Садовое Кольцо"</t>
  </si>
  <si>
    <t>ПАО "МегаФон"</t>
  </si>
  <si>
    <t>USM Investments Limited ("USMI")</t>
  </si>
  <si>
    <t>ООО "Диджитал Инвест"</t>
  </si>
  <si>
    <t>АО "МФ Технологии"</t>
  </si>
  <si>
    <t xml:space="preserve">АО "Новые башни" </t>
  </si>
  <si>
    <t xml:space="preserve">АО "Квантера" </t>
  </si>
  <si>
    <t>ООО "Диджитал Медиа Холдинг"</t>
  </si>
  <si>
    <t>ООО "Сити-Мобил"</t>
  </si>
  <si>
    <t>DTSRetail Limited (компания группы "Связной")</t>
  </si>
  <si>
    <t>ООО "Финансовые Инвестиции", "Газпромбанк" и ООО "РТ-Развитие Бизнеса" (дочерней компании госкорпорации "Ростех")</t>
  </si>
  <si>
    <t>ООО "УК ТехноИнвестПроект" (впоследствии переименованного в ООО "Коркласс")</t>
  </si>
  <si>
    <t>ПАО "МегаФон" (через дочернюю компанию АО "МегаЛабс")</t>
  </si>
  <si>
    <t>контроль над PBL Bitdotgames Publishing Limited ("BitGam.es"), 100% в ООО "33 слона" и в ООО "Технологии недвижимости" (вместе "33 слона") и 100% в Consult Universal Corp ("InShopper")</t>
  </si>
  <si>
    <t>ПАО "МегаФон" (через дочернюю компанию MGL)</t>
  </si>
  <si>
    <t>МКПАО "ВК" (VK Company Limited; Мэйл.ру Груп Лимитед); ПАО "МегаФон" (через дочернюю компанию MGL)</t>
  </si>
  <si>
    <t>ООО "Атланг Телеком"</t>
  </si>
  <si>
    <t>Glanbury Investments Ltd. (100% владелец АО "Садовое Кольцо")</t>
  </si>
  <si>
    <t>ЗАО "Стартел" (владеет брендом "Yota" вместе со Maxiten Co Limited)</t>
  </si>
  <si>
    <t>ООО "ТелеМИГ"</t>
  </si>
  <si>
    <t>ООО "Астон"</t>
  </si>
  <si>
    <t>ЗАО "Экспресс Телеком"</t>
  </si>
  <si>
    <t>ЗАО "Эдвантедж Телеком"</t>
  </si>
  <si>
    <t>Maxiten Co Limited (владеет брендом "Yota" вместе со "Скартел")</t>
  </si>
  <si>
    <t>Felebior Holding Limited ("ВАС Медиа")</t>
  </si>
  <si>
    <t>ООО "Ньюстюб"</t>
  </si>
  <si>
    <t>Fairlie Holding and Finance Limited ("NetByNet")</t>
  </si>
  <si>
    <t>ОАО "Югрател"</t>
  </si>
  <si>
    <t>"Вэб Плас"</t>
  </si>
  <si>
    <t>"Находка Телеком"</t>
  </si>
  <si>
    <t>"ЧебНет"</t>
  </si>
  <si>
    <t>"Лучше.Net"</t>
  </si>
  <si>
    <t>ЗАО "Синтерра"</t>
  </si>
  <si>
    <t>ЗАО "Метроком"</t>
  </si>
  <si>
    <t>"EWUB"</t>
  </si>
  <si>
    <t>ПАО АФК "Система"</t>
  </si>
  <si>
    <t>Концерн "ЮИТ"</t>
  </si>
  <si>
    <t>ПАО АФК "Система" (ЭТАЛОН ГРУП ПИЭЛСИ)</t>
  </si>
  <si>
    <t>ООО "Лойд-Фиш"</t>
  </si>
  <si>
    <t>ООО "Лойд-Авто"</t>
  </si>
  <si>
    <t>ООО "Кристалл Фиш"</t>
  </si>
  <si>
    <t>ООО "Хангар"</t>
  </si>
  <si>
    <t>ООО "Биннофарм Групп"</t>
  </si>
  <si>
    <t>ОАО "Синтез"</t>
  </si>
  <si>
    <t>ПАО АФК "Система" (ООО "Система Телеком Активы")</t>
  </si>
  <si>
    <t>Ростех (АО "Национальная иммунобиологическая компания")</t>
  </si>
  <si>
    <t>ООО "Интер Форест Рус"</t>
  </si>
  <si>
    <t>ПАО АФК "Система" (ПАО "СЕГЕЖА ГРУПП")</t>
  </si>
  <si>
    <t>ЗАО "Новоенисейский Лесохимический Комплекс" (НЛХК)</t>
  </si>
  <si>
    <t>сеть клиник "Диалайн" в г. Волгоград (компании ООО "Клинико-диагностическая лаборатория "ДИАЛАЙН" и ООО "Многопрофильный медицинский центр "ДИАЛАЙН"), а также сеть клиник "Промедицина" в г. Уфа (компании ООО "ММЦ "Клиника аллергологии и педиатрии", ООО "КНЦ", ООО "МЦ "Профилактическая медицина", ООО "ММЦ "Профилактическая медицина" и ООО "Профилактическая медицина-Фарм")</t>
  </si>
  <si>
    <t>ПАО АФК "Система" (Медси)</t>
  </si>
  <si>
    <t>ООО "Заря"</t>
  </si>
  <si>
    <t>ПАО АФК "Система" (Sistema Finance S.A.)</t>
  </si>
  <si>
    <t>ПАО "СЕГЕЖА ГРУПП"</t>
  </si>
  <si>
    <t>АО "Лидер-Инвест"</t>
  </si>
  <si>
    <t>АО "Биннофарм"</t>
  </si>
  <si>
    <t>АО "Электрозавод"</t>
  </si>
  <si>
    <t>ПАО АФК "Система" (ООО "Мегаполис-Инвест")</t>
  </si>
  <si>
    <t>ПАО "Навигационно-Информационные Системы"</t>
  </si>
  <si>
    <t>ООО "Мультикабельные сети Балашихи"</t>
  </si>
  <si>
    <t>АО "НПО ПРОГТЕХ"</t>
  </si>
  <si>
    <t>АО "Бизнес-Недвижимость" (дочерняя компания АФК "Система")</t>
  </si>
  <si>
    <t>"НПО Прогтех Юг"</t>
  </si>
  <si>
    <t>Паи ЗПИФ ПАО "МТС"</t>
  </si>
  <si>
    <t>АО "Пансионат "Приазовье"</t>
  </si>
  <si>
    <t xml:space="preserve">ЗАО "Рент-Недвижимость" </t>
  </si>
  <si>
    <t>ЗАО "Бизнес-Недвижимость" (ПАО АФК "Система")</t>
  </si>
  <si>
    <t>ОАО "ИнтеллектТелеком"</t>
  </si>
  <si>
    <t>ЗАО "Лидер-Инвест" (ПАО АФК "Система")</t>
  </si>
  <si>
    <t>ЗАО "Бизнес-Недвижимость"</t>
  </si>
  <si>
    <t>ЗАО "Таском"</t>
  </si>
  <si>
    <t>ЗАО "Открытые коммуникации"</t>
  </si>
  <si>
    <t>ООО "Баззула интернет технологии" ("Buzzoola")</t>
  </si>
  <si>
    <t>АО "Гольфстрим охранные системы" ("Гольфстрим")</t>
  </si>
  <si>
    <t>ООО "Компания Броневик" и ООО "Броневик Онлайн" (вместе - "Броневик")</t>
  </si>
  <si>
    <t>ООО "Вебинар" и ООО "Вебинар Технологии" (вместе - "Вебинар")</t>
  </si>
  <si>
    <t>Youdo Web Technologies Limited ( "YouDo")</t>
  </si>
  <si>
    <t>Achemar Holdings Limited (владеет операционными компаниями Группы "Зеленая точка")</t>
  </si>
  <si>
    <t>ООО "Кредит Консалтинг"</t>
  </si>
  <si>
    <t>ОАО "Межрегиональный Транзит Телеком" ("МТТ")</t>
  </si>
  <si>
    <t>ООО "ГДЦ Энерджи Групп" (владелец и оператор ЦОД GreenBush)</t>
  </si>
  <si>
    <t>ООО УК "Система Капитал"</t>
  </si>
  <si>
    <t>дочерние компании ПАО АФК "Система"</t>
  </si>
  <si>
    <t>ТОО "Ситроникс Телеком Солюшнс Украина" ("СТС-Украина")</t>
  </si>
  <si>
    <t>ООО "Факторин"</t>
  </si>
  <si>
    <t>ООО "Стопол Авто" и ООО "Коагент Рус" ("Стопол", позднее "МТС Авто")</t>
  </si>
  <si>
    <t>Preludium B.V. (владелец 100% в УК ПрАО "ВФ Украина" - Vodafone Ukraine)</t>
  </si>
  <si>
    <t>АО "РИКТ" ("РИКТ")</t>
  </si>
  <si>
    <t>АО "Объединенные Русские Киностудии" ("Кинополис")</t>
  </si>
  <si>
    <t>дочерняя компания ПАО АФК "Система"</t>
  </si>
  <si>
    <t>Бизнес-комплекс на ул. Народного Ополчения ("Народное")</t>
  </si>
  <si>
    <t>АО "Бизнес-Недвижимость" (ПАО АФК "Система")</t>
  </si>
  <si>
    <t>Ozon Holdings Limited ("ОЗОН")</t>
  </si>
  <si>
    <t>SWIPGLOBAL Limited (материнская компания ООО "Умный кошелек")</t>
  </si>
  <si>
    <t>ЗПИФ "Система - Рентная недвижимость 1"</t>
  </si>
  <si>
    <t>ООО "Культурная служба" (бренд Пономиналу.ру)</t>
  </si>
  <si>
    <t>ООО "Московская Дирекция Театрально-концертных и Спортивно-зрелищных Касс" ("МДТЗК", бренд Ticketland.ru)</t>
  </si>
  <si>
    <t>ЗАО НПО "Прогрессивные технологии" ("ПрогТех")</t>
  </si>
  <si>
    <t>ООО "ИТ-Град 1 Клауд"</t>
  </si>
  <si>
    <t>Имущественный комплекс "Декарт"</t>
  </si>
  <si>
    <t>Имущественный комплекс "Серебряный Бор"</t>
  </si>
  <si>
    <t>ОАО "Сотовая связь Башкортостана" (далее -"ССБ")</t>
  </si>
  <si>
    <t>ООО "Облачный Ритейл" (торговая марка LiteBox)</t>
  </si>
  <si>
    <t>"Praliss Enterprises"</t>
  </si>
  <si>
    <t>АО "Рент-Недвижимость"</t>
  </si>
  <si>
    <t>ООО "Стрим"</t>
  </si>
  <si>
    <t>"Интеллект Телеком"</t>
  </si>
  <si>
    <t>"Инвест-Связь" (100% дочка ПАО АФК "Система")</t>
  </si>
  <si>
    <t>ПАО "ВымпелКом"</t>
  </si>
  <si>
    <t>ООО "ВЕОН Джорджия" ("VEON Грузия")</t>
  </si>
  <si>
    <t>ООО "Мирен Инвест"</t>
  </si>
  <si>
    <t>4000 розничных магазинов "Евросети" в России</t>
  </si>
  <si>
    <t>VEON (дочернее предприятие ПАО "ВымпелКом")</t>
  </si>
  <si>
    <t>VEON ("Pakistan Mobile Communications Limited")</t>
  </si>
  <si>
    <t>Warid Telecom (Pvt) Limited ("Warid")</t>
  </si>
  <si>
    <t>ТОО "2Day Telecom"</t>
  </si>
  <si>
    <t>ТОО "КазЕвроМобайл"</t>
  </si>
  <si>
    <t>ООО "Голден Телеком"</t>
  </si>
  <si>
    <t>ЗАО "Раском"</t>
  </si>
  <si>
    <t>ЧАО "Украинские Радиосистемы"</t>
  </si>
  <si>
    <t>ООО "Форкам"</t>
  </si>
  <si>
    <t>ПАО "Башинформсвязь"</t>
  </si>
  <si>
    <t>ООО "Фастек"</t>
  </si>
  <si>
    <t>ООО "Миралоджик Сервис Медиа"</t>
  </si>
  <si>
    <t>ООО "РИЦ"</t>
  </si>
  <si>
    <t>ООО "Прометей"</t>
  </si>
  <si>
    <t>АО "Северен Телком" (входит Группу ПАО Ростелеком, материнской компании ПАО Башинформсвязь)</t>
  </si>
  <si>
    <t xml:space="preserve">ООО "Интерпроект", ООО "Столица", ООО "Орион", ООО "Прогресс" </t>
  </si>
  <si>
    <t>АО "РТКомм.РУ" (входит Группу ПАО Ростелеком, материнской компании ПАО Башинформсвязь)</t>
  </si>
  <si>
    <t>ООО "РДП.РУ"</t>
  </si>
  <si>
    <t>ООО "Архангельская телевизионная компания" (ООО "АТК")</t>
  </si>
  <si>
    <t>ООО "ВойсЛинк"</t>
  </si>
  <si>
    <t>ЗАО "Синтерра Медиа"</t>
  </si>
  <si>
    <t>ООО "Лукойл-Информ"</t>
  </si>
  <si>
    <t>Группа "Планета" (ООО "Созвездие Н", ООО "АйТиЭм Холдинг", ООО "МИРАЛОДЖИК СИ", ООО "КОМТЕХЦЕНТР")</t>
  </si>
  <si>
    <t>Группа АльянсТелеком (ООО "ОктопусНет", ООО "С25РУ", ООО "УссуриТелесервис")</t>
  </si>
  <si>
    <t>ООО "Связьсервис"</t>
  </si>
  <si>
    <t>ООО "ЛекСтар Коммуникейшн"</t>
  </si>
  <si>
    <t>ООО "ДартИТ"</t>
  </si>
  <si>
    <t>Группа Мегаком (ООО "Мегаком-ИТ" и ООО "Гарант - Сибирь")</t>
  </si>
  <si>
    <t>Группа Инфолинк (ООО "Инфолинк" и ООО "СвязьСтрой-21")</t>
  </si>
  <si>
    <t>Группа Фрештел (ООО "Орион", ООО "Интерпроект", ООО "Столица" и ООО "Прогресс")</t>
  </si>
  <si>
    <t>ООО "Сервис телекоммуникаций"</t>
  </si>
  <si>
    <t>ООО "Стар2Ком"</t>
  </si>
  <si>
    <t>ЗАО "Нетрис"</t>
  </si>
  <si>
    <t xml:space="preserve">ООО "Новые Цифровые Решения" </t>
  </si>
  <si>
    <t>АО НПФ "Альянс"</t>
  </si>
  <si>
    <t>75% в ООО "Открытая мобильная платформа" и 75% в ООО "Вотрон" (компании Группы Сэйлфиш)</t>
  </si>
  <si>
    <t>ПАО "Ростелеком" (дочерняя компания ПАО "Башинформсвязь")</t>
  </si>
  <si>
    <t>ООО "Солар Секьюрити"</t>
  </si>
  <si>
    <t>ПАО "Ростелеком" (дочерние компании ООО "Центр хранения данных" и ПАО "Башинформсвязь")</t>
  </si>
  <si>
    <t>ООО "Центр хранения данных" и его дочерние компании (Группа SafeData)</t>
  </si>
  <si>
    <t>ООО "Твинго телеком"</t>
  </si>
  <si>
    <t>Группа "Мортон"</t>
  </si>
  <si>
    <t>АО "Аист"</t>
  </si>
  <si>
    <t>ООО "Национальные Дата-Центры"</t>
  </si>
  <si>
    <t>ПАО "Ростелеком" (дочерняя компания ООО "РТК-ЦОД")</t>
  </si>
  <si>
    <t>ООО "Сибитекс"</t>
  </si>
  <si>
    <t>АО "Цифровое телевидение" (АО "ЦТВ")</t>
  </si>
  <si>
    <t>АО "Востоктелеком"</t>
  </si>
  <si>
    <t>ПАО "Ростелеком" (ОАО "РТКомм.Ру")</t>
  </si>
  <si>
    <t>ЗАО "Глобал-Тел"</t>
  </si>
  <si>
    <t>ЗАО "Айкумен ИБС"</t>
  </si>
  <si>
    <t>ЗАО "Скай Линк"</t>
  </si>
  <si>
    <t>ОАО "Связьинвест" и др.</t>
  </si>
  <si>
    <t>ООО "Баштелекоминвест"</t>
  </si>
  <si>
    <t>ЗАО "Северен-Телеком"</t>
  </si>
  <si>
    <t>ООО "Городская телефонная связь" (ООО "ГТС")</t>
  </si>
  <si>
    <t>ЗАО "Росмедиа"</t>
  </si>
  <si>
    <t>ООО "ЮжноУральская Телефонная Компания"</t>
  </si>
  <si>
    <t>ОАО "Сахателеком"</t>
  </si>
  <si>
    <t>ПАО "Ростелеком" (дочерняя компания ОАО "Дальсвязь")</t>
  </si>
  <si>
    <t>ОАО "РТКомм.РУ"</t>
  </si>
  <si>
    <t>ЗАО "СМАРТС-Казань"</t>
  </si>
  <si>
    <t>ООО "Камател"</t>
  </si>
  <si>
    <t>ООО "Волна"</t>
  </si>
  <si>
    <t>ООО "Камател-Янтел"</t>
  </si>
  <si>
    <t>ОАО "Московская телекоммуникационная корпорация" (АО "КОМКОР")</t>
  </si>
  <si>
    <t>ООО "Новые Технологии"</t>
  </si>
  <si>
    <t>ЗАО "Русские навигационные технологии" (ОАО "Русские навигационные технологии")</t>
  </si>
  <si>
    <t xml:space="preserve">ОАО "Губеровский ремонтно-механический завод" </t>
  </si>
  <si>
    <t>АО "Родник здоровья"</t>
  </si>
  <si>
    <t>АО "ДГК"</t>
  </si>
  <si>
    <t>ПАО "Юнипро"</t>
  </si>
  <si>
    <t>ОАО "Шатурская управляющая компания"</t>
  </si>
  <si>
    <t>АО "ЖКХ Столица"</t>
  </si>
  <si>
    <t>АО "НАТЭК Инвест-Энерго"</t>
  </si>
  <si>
    <t>ПАО "Юнипро" (ООО "Э.ОН Коннектинг Энерджис")</t>
  </si>
  <si>
    <t>ООО "Э.ОН Коннектинг Энерджис"</t>
  </si>
  <si>
    <t xml:space="preserve">ООО "Ногинский Тепловой Центр" </t>
  </si>
  <si>
    <t>ПАО "Фармстандарт - Биолек" (ПАО "Харковское предприятие по производству иммунобиологических и лекарственных препаратов "Биолек")</t>
  </si>
  <si>
    <t>ООО "Аптека 313"</t>
  </si>
  <si>
    <t>ООО "Город"</t>
  </si>
  <si>
    <t>ООО "Аптека-Сити"</t>
  </si>
  <si>
    <t>ПАО "ПРОТЕК" (ООО "Альфа Живика")</t>
  </si>
  <si>
    <t>АО "Рафарма"</t>
  </si>
  <si>
    <t>Аптечная сеть "ДОМфарма" (АО "Аптечная сеть "ДОМфарма" и ООО "СветАл Фарм")</t>
  </si>
  <si>
    <t xml:space="preserve">ООО "НПО "Карат" </t>
  </si>
  <si>
    <t>ООО "АнвиЛаб"</t>
  </si>
  <si>
    <t>ОАО "Новая аптека"</t>
  </si>
  <si>
    <t>ОАО "Биофарм"</t>
  </si>
  <si>
    <t>Компании "Живика"</t>
  </si>
  <si>
    <t>ООО "Ригла-Екатеринбург"</t>
  </si>
  <si>
    <t>Moxania Estates Ltd (ООО "Риэлти-А")</t>
  </si>
  <si>
    <t>ОАО "Томские магистральные сети"</t>
  </si>
  <si>
    <t>ПАО "ФСК ЕЭС"</t>
  </si>
  <si>
    <t>ОАО "Кубанские магистральные сети" и ОАО "Томские магистральные сети"</t>
  </si>
  <si>
    <t>АО "Интер РАО Капитал", ООО "ДВБ Лизинг" и ООО "Практика"</t>
  </si>
  <si>
    <t>АО "Чувашская энергосбытовая компания"</t>
  </si>
  <si>
    <t>ООО "Трансэнергопром"</t>
  </si>
  <si>
    <t>АО "ЛУР" и ООО "Приморская ГРЭС"</t>
  </si>
  <si>
    <t>ООО "МК "Доналинк"</t>
  </si>
  <si>
    <t>АО "Сахалинская энергетическая компания" (АО "СЭК")</t>
  </si>
  <si>
    <t>ПАО "НК "Роснефть"</t>
  </si>
  <si>
    <t>ЗАО "Международная энергетическая компания" (ЗАО "МЭК")</t>
  </si>
  <si>
    <t>ОАО "Разданская энергетическая компания (РазТЭС)"</t>
  </si>
  <si>
    <t>ООО "ЭСКБ"</t>
  </si>
  <si>
    <t>Группа "Сигма"</t>
  </si>
  <si>
    <t>11 строительно-инжиниринговых компаний (ООО "Энергосеть", ООО "СтройЭнергоКом", ООО "НПК Химстройэнерго", ООО "Сиб МИР", ООО "Маштехстрой", ООО "КПЭИ", ООО "И-Трейд", ООО "эВ-групп", ООО "Энергетическое строительство", ООО "ИК Энергия", ООО "Инженерные Технологии")</t>
  </si>
  <si>
    <t>ПАО "Тамбовская энергосбытовая компания"</t>
  </si>
  <si>
    <t>ПАО "Томскэнергосбыт"</t>
  </si>
  <si>
    <t>ПАО "Саратовэнерго"</t>
  </si>
  <si>
    <t>ООО "Мтквари Энергетика"</t>
  </si>
  <si>
    <t>АО "ЕИРЦ ЛО"</t>
  </si>
  <si>
    <t>ЗАО "Электрические сети Армении" и и ОАО "РазТЭС"</t>
  </si>
  <si>
    <t>Группа "Ташир"</t>
  </si>
  <si>
    <t>ООО "Кварц Групп"</t>
  </si>
  <si>
    <t>ООО "Инвест Информ Проект"</t>
  </si>
  <si>
    <t>ОАО "Башэнергоактив"</t>
  </si>
  <si>
    <t>ОАО "ОГК-1"</t>
  </si>
  <si>
    <t>ОАО "ТГК-11"</t>
  </si>
  <si>
    <t>ОАО "Петербургская сбытовая компания"</t>
  </si>
  <si>
    <t>ОАО "Электролуч"</t>
  </si>
  <si>
    <t>ОАО "Королевская сеть"</t>
  </si>
  <si>
    <t>ООО "Энергия Холдинг"</t>
  </si>
  <si>
    <t>ООО "РОК"</t>
  </si>
  <si>
    <t>ООО "УК "Спортивные проекты"</t>
  </si>
  <si>
    <t>ОАО "Мариэнергоремонт" (ОАО "МЭР")</t>
  </si>
  <si>
    <t>ОАО "Свердловэлектроремонт" (ОАО "СЭР")</t>
  </si>
  <si>
    <t>ОАО "Пермэнергоремонт"</t>
  </si>
  <si>
    <t>ОАО "Свердловская энергосервисная компания"</t>
  </si>
  <si>
    <t>ОАО "Пермэнергоремонт" ОАО "ПЭР")</t>
  </si>
  <si>
    <t>ОАО "Кировэнергоремонт" (ОАО "КЭР")</t>
  </si>
  <si>
    <t>ОАО "Чувашэнергоремонт" (ОАО "ЧЭР")</t>
  </si>
  <si>
    <t>ОАО "Свердловская энергосервисная компания" (ОАО "СЭСК")</t>
  </si>
  <si>
    <t>ООО "Спецтурбмонтаж" (ООО "СТМ")</t>
  </si>
  <si>
    <t>"Марийская теплоснабжающая компания"</t>
  </si>
  <si>
    <t>Inter Promo Trade Limited ("Российские коммунальные системы"(РКС) и ЗАО "Новогор")</t>
  </si>
  <si>
    <t>ОАО "ТГК-9"</t>
  </si>
  <si>
    <t>ОАО "КРЦ-Прикамье"</t>
  </si>
  <si>
    <t>ОАО "КомиЭСБ"</t>
  </si>
  <si>
    <t>ООО "Центр Регион Инвест" (ООО ЦРИ)</t>
  </si>
  <si>
    <t>ООО "Центр Регион Инвест"</t>
  </si>
  <si>
    <t>ООО "Учетно-финансовый сервис" (ООО УФС)</t>
  </si>
  <si>
    <t>ООО "Юнис"</t>
  </si>
  <si>
    <t>ЗАО "УК Энергостройсервис" (ЗАО УК ЭСС)</t>
  </si>
  <si>
    <t>ПАО "Владимирская энергосбытовая компания" (ПАО ВЭСК)</t>
  </si>
  <si>
    <t>ООО "Пермская сетевая компания"</t>
  </si>
  <si>
    <t>ООО "ИнвестСпецПром"</t>
  </si>
  <si>
    <t>ООО "Пермский коммунальный союз"</t>
  </si>
  <si>
    <t>ОАО "Свердловэнергосбыт"</t>
  </si>
  <si>
    <t>ОАО "Кировэнергосбыт"</t>
  </si>
  <si>
    <t>ОАО "Удмуртская энергосбытовая компания"</t>
  </si>
  <si>
    <t>ОАО "Кировэнергосбыт" и ОАО "Удмуртская энергосбытовая компания"</t>
  </si>
  <si>
    <t>ЗАО "КЭС-Энергосбыт" (ЗАО КЭС Эсб)</t>
  </si>
  <si>
    <t>ООО "Перспектива"</t>
  </si>
  <si>
    <t>ООО "Златоустовский завод металлоконструкций"</t>
  </si>
  <si>
    <t>ООО "Орский завод металлоконструкций"</t>
  </si>
  <si>
    <t>ООО "Энел Рус Винд Дженерейшн" и ее дочерние компании ООО "Виндлайф Кола Ветро ЛЛ1" и ООО "Азовская ВЭС"</t>
  </si>
  <si>
    <t>ООО "ПГЛЗ"</t>
  </si>
  <si>
    <t>ООО "ГрандСтрой"</t>
  </si>
  <si>
    <t>АО "Красноярская ГЭС"</t>
  </si>
  <si>
    <t>МКПАО ЭН+ ГРУП (АО "Евросибэнерго")</t>
  </si>
  <si>
    <t>ОАО "Отделение временной эксплуатации"</t>
  </si>
  <si>
    <t>ООО "Эрчим Тхан"</t>
  </si>
  <si>
    <t>ООО "Атозаводская ТЭЦ"</t>
  </si>
  <si>
    <t xml:space="preserve">ООО "Теплосети" </t>
  </si>
  <si>
    <t xml:space="preserve">ООО "Генерация тепла" </t>
  </si>
  <si>
    <t>ООО "КраМЗ-Авто"</t>
  </si>
  <si>
    <t>ООО "Многопрофильное Энергетическое Предприятие"</t>
  </si>
  <si>
    <t>ЗАО "Армроскогенерация"</t>
  </si>
  <si>
    <t>АО "Камчатскэнергоремонт"</t>
  </si>
  <si>
    <t>ООО "Шадринские тепловые сети" и ООО "Курганские теплоэнергетические системы"</t>
  </si>
  <si>
    <t>ООО "Курганский индустриальный парк"</t>
  </si>
  <si>
    <t>ОАО "Современные коммунальные системы"</t>
  </si>
  <si>
    <t>ООО "Кольская тепловая компания"</t>
  </si>
  <si>
    <t>АО "Санкт-Петербургские электрические сети" (АО "СПбЭС")</t>
  </si>
  <si>
    <t>ОАО "Петродворцовая электросеть"</t>
  </si>
  <si>
    <t>ЗАО "Курортэнерго"</t>
  </si>
  <si>
    <t>ОАО "ПСХ "Лучинское"</t>
  </si>
  <si>
    <t>ЗАО "Страховая компания "Приват-Энергострах"</t>
  </si>
  <si>
    <t>ОАО "Курганэнерго"</t>
  </si>
  <si>
    <t>ООО "Уральская транспортная компания"</t>
  </si>
  <si>
    <t>ООО "Пермское автотранспортное предприятие"</t>
  </si>
  <si>
    <t>ООО "Челябинское автотранспортное предприятие"</t>
  </si>
  <si>
    <t>ООО "ЧОП "Энергия"</t>
  </si>
  <si>
    <t>ОАО "Алтайэнергоспецкомплект"</t>
  </si>
  <si>
    <t>ОАО "Забайкалец-Энергия"</t>
  </si>
  <si>
    <t>ООО "Энерго-лизинг"</t>
  </si>
  <si>
    <t>ООО "ГЭХ Индустриальные активы"</t>
  </si>
  <si>
    <t>ООО "Мосэнергопроект"</t>
  </si>
  <si>
    <t>ООО "Ремонтпроект"</t>
  </si>
  <si>
    <t>ОАО "Энергоцентр"</t>
  </si>
  <si>
    <t>ООО "Инфраструктурные инвестиции – 3"</t>
  </si>
  <si>
    <t>АО "Берендеевское"</t>
  </si>
  <si>
    <t>АО "Межрегиональная энергосервисная компания "Энергоэффективные технологии"</t>
  </si>
  <si>
    <t>ПАО "МРСК Центра и Приволжья" (ПАО "Россети Центр и Приволжье") - дочернее общество АО "Свет"</t>
  </si>
  <si>
    <t>ПАО "Россети Центр"</t>
  </si>
  <si>
    <t>ООО "БрянскЭлектро"</t>
  </si>
  <si>
    <t>АО "Тульские городские электрические сети" (АО "ТГЭС")</t>
  </si>
  <si>
    <t>АО "Воронежские городские электрические сети" (АО "ВГЭС")</t>
  </si>
  <si>
    <t>ОАО "Яргорэлектросеть"</t>
  </si>
  <si>
    <t>ПАО "Россети Центр" (MPCК Центра)</t>
  </si>
  <si>
    <t>АО "ПСХ Соколовское"</t>
  </si>
  <si>
    <t>ПАО "Россети Юг"</t>
  </si>
  <si>
    <t>ООО "ЮгСтройМонтаж"</t>
  </si>
  <si>
    <t>АО "Волгоградские межрайонные электрические сети"</t>
  </si>
  <si>
    <t>АО "Чеченэнерго", ПАО "Россети Северный Кавказ" и ПАО "Россети Кубань"</t>
  </si>
  <si>
    <t>ПАО "РОССЕТИ"</t>
  </si>
  <si>
    <t>ПАО "Россети Северный Кавказ"</t>
  </si>
  <si>
    <t>АО "Чеченэнерго"</t>
  </si>
  <si>
    <t>АО "Воронежские городские электрические сети"</t>
  </si>
  <si>
    <t>ПАО "МРСК Центра"</t>
  </si>
  <si>
    <t>АО "Тульские городские электрические сети"</t>
  </si>
  <si>
    <t>ПАО "Кубаньэнерго"</t>
  </si>
  <si>
    <t>"ГЕННОРД ПРОДЖЕКТС ЛИМИТЕД"</t>
  </si>
  <si>
    <t>ПАО "МРСК Волги"</t>
  </si>
  <si>
    <t>ПАО "МРСК Сибири"</t>
  </si>
  <si>
    <t>ПАО "Ленэнерго"</t>
  </si>
  <si>
    <t>ПАО "РОССЕТИ" и другие существующие держатели долей</t>
  </si>
  <si>
    <t>ОАО "МРСК Сибири"</t>
  </si>
  <si>
    <t>ООО "ТСК Метрология"</t>
  </si>
  <si>
    <t>ООО "Газпромэнергоремонт"</t>
  </si>
  <si>
    <t>ПАО "Межрегионтеплосетьэнергоремонт"</t>
  </si>
  <si>
    <t>ООО "АНТ-Сервис"</t>
  </si>
  <si>
    <t>ПАО "Мосэнерго"</t>
  </si>
  <si>
    <t>ООО "ТСК Мосэнерго"</t>
  </si>
  <si>
    <t>АО "МОЭК-Проект"</t>
  </si>
  <si>
    <t>АО "Газпром Энергоремонт"</t>
  </si>
  <si>
    <t>ОАО "МТК" (ОАО "Московская теплосетевая компания")</t>
  </si>
  <si>
    <t>ОАО "Нижегородская теплоснабжающая компания"</t>
  </si>
  <si>
    <t>ПАО "ТГК-2"</t>
  </si>
  <si>
    <t>ТГК-2 (ООО "Долговое агентство")</t>
  </si>
  <si>
    <t>ООО "Промтехлит",
ООО "Антэл", ОАО "Русский энергетический консорциум", ООО "Сигналстрой-69",
ООО "Нутри Гарант"</t>
  </si>
  <si>
    <t>ПАО ГК "ТНС ЭНЕРГО"</t>
  </si>
  <si>
    <t>АО "ВТБ Капитал"</t>
  </si>
  <si>
    <t>ООО "ЕИРЦ КРАСНОДАРСКОГО КРАЯ" (ООО "ЕИРЦ КК")</t>
  </si>
  <si>
    <t>ПАО "ТНС энерго Ростов-на-Дону"</t>
  </si>
  <si>
    <t>ПАО "ТНС энерго Кубань" (ОАО "Кубаньэнергосбыт")</t>
  </si>
  <si>
    <t>ПАО "ТНС энерго Марий Эл"</t>
  </si>
  <si>
    <t>ПАО "ТНС энерго Воронеж"</t>
  </si>
  <si>
    <t>ПАО "ТНС энерго НН"</t>
  </si>
  <si>
    <t>ПАО "ТНС энерго Ярославль"</t>
  </si>
  <si>
    <t>ООО "ЕИРЦ Южный"</t>
  </si>
  <si>
    <t>ПАО ГК "ТНС ЭНЕРГО" (ПАО "ТНС энерго Ростов-на-Дону")</t>
  </si>
  <si>
    <t>ООО "Гарантэнергосервис"</t>
  </si>
  <si>
    <t>ООО "Энерготрейдинг"</t>
  </si>
  <si>
    <t>ООО "Донэнергосбыт"</t>
  </si>
  <si>
    <t>ОАО "Энергосбыт Ростовэнерго"</t>
  </si>
  <si>
    <t>ПАО "ТНС энерго Тула", АО "ТНС энерго Карелия"</t>
  </si>
  <si>
    <t>ПАО "ТНС энерго Ростов-на-Дону", ПАО "ТНС энерго Ярославль"</t>
  </si>
  <si>
    <t>ПАО "ТНС энерго Воронеж", ПАО ГК "ТНС ЭНЕРГО", ПАО "ТНС энерго Марий Эл", ПАО "ТНС энерго НН", ПАО "ТНС энерго Ростов-на-Дону", ПАО "ТНС энерго Ярославль"</t>
  </si>
  <si>
    <t>ПАО "ТНС энерго Тула"</t>
  </si>
  <si>
    <t>ООО "Санфлейк"</t>
  </si>
  <si>
    <t>ООО "ТеплогазВладимир"</t>
  </si>
  <si>
    <t>ООО "Городская энергосбытовая компания" (ООО "ГЭСК")</t>
  </si>
  <si>
    <t xml:space="preserve">ОАО "ЛЭСК" </t>
  </si>
  <si>
    <t>ООО "Юридическое агентство "Делегат" (ООО "ЮА "Делегат")</t>
  </si>
  <si>
    <t>ООО "Комплексный Расчетный Центр г. Петрозаводска"</t>
  </si>
  <si>
    <t>ПАО "Т Плюс"</t>
  </si>
  <si>
    <t>ООО "Региональный энергосбытовой комплекс" (ООО "РЭКС")</t>
  </si>
  <si>
    <t>ЗАО "КЭС-Энергосбыт"</t>
  </si>
  <si>
    <t>ОАО "ЭнергосбыТ Плюс"</t>
  </si>
  <si>
    <t>ООО "Технология комфорта"</t>
  </si>
  <si>
    <t>ЗАО "КЭС Трейдинг"</t>
  </si>
  <si>
    <t>ООО "ГАЗЭКС-Менеджмент"</t>
  </si>
  <si>
    <t>ЗАО "Газмонтаж"</t>
  </si>
  <si>
    <t>ЗАО "КЭС"</t>
  </si>
  <si>
    <t>ОАО "Владимирская областная электросетевая компания"</t>
  </si>
  <si>
    <t>ОАО "Газ-Сервис плюс"</t>
  </si>
  <si>
    <t>ОАО "Предпариятие тепловых сетей"</t>
  </si>
  <si>
    <t>ООО "Энергокомфлорт Карелия"</t>
  </si>
  <si>
    <t>ЗАО "КЭС Энергосбыт"</t>
  </si>
  <si>
    <t>ООО "Байкальские коммунальные системы"</t>
  </si>
  <si>
    <t>ООО "РКС-электрические сети"</t>
  </si>
  <si>
    <t>АО "СК Агроэнерго"</t>
  </si>
  <si>
    <t>ОАО "Дальтехэнерго"</t>
  </si>
  <si>
    <t>ОАО "Губеровский ремонтномеханический завод"</t>
  </si>
  <si>
    <t>ОАО "Мосэнергосбыт", ОАО "Петербургская сбытовая компания", ОАО "Алтайэнергосбыт", ОАО "Тамбовская сбытовая
компания", ОАО "Саратовэнерго" и ОАО "Объединенная энергосбытовая компания"</t>
  </si>
  <si>
    <t>АО "Энергосбытовая компания Московской области" (АО "ЭСКМО")</t>
  </si>
  <si>
    <t>ООО "МосОблЕИРЦ" (ООО "Мосэнергосбыт-ЕИРКЦ")</t>
  </si>
  <si>
    <t>МУП "Участок энергообеспечения"</t>
  </si>
  <si>
    <t>ООО "Приморская соя"</t>
  </si>
  <si>
    <t>ОАО "Пугачевский элеватор"</t>
  </si>
  <si>
    <t>ООО "ГК Агро-Белогорье"</t>
  </si>
  <si>
    <t>ООО "Колышлейский Элеватор"</t>
  </si>
  <si>
    <t>ПАО "Пугачевский элеватор"</t>
  </si>
  <si>
    <t>ООО "Торговый дом КапиталАгро" и ХК ООО "Капитал-Инвест"</t>
  </si>
  <si>
    <t>ООО "Возрождение"</t>
  </si>
  <si>
    <t>ООО "Регионстрой"</t>
  </si>
  <si>
    <t>ПАО "Пугачевский элеватор", ОАО "Геркулес" и ОАО Имени "Генерала Ватутина"</t>
  </si>
  <si>
    <t>ЗАО "Статус"</t>
  </si>
  <si>
    <t>ОАО "Кривец-Сахар"</t>
  </si>
  <si>
    <t>ООО "Русагро-Белгород" (ОАО "Валуйкисахар")</t>
  </si>
  <si>
    <t>ОАО "Геркулес"</t>
  </si>
  <si>
    <t>ООО "Колышлейский элеватор"</t>
  </si>
  <si>
    <t>ООО "Алексеевка-Агроинвест"</t>
  </si>
  <si>
    <t xml:space="preserve">ОАО "Учебно-опытное хозяйство Приморской государственной сельскохозяйственной академии" (ОАО "Учхоз ПГСХА") </t>
  </si>
  <si>
    <t xml:space="preserve">ОАО "Знаменский сахарный завод" </t>
  </si>
  <si>
    <t xml:space="preserve">ООО "Русагро-Приморье" </t>
  </si>
  <si>
    <t>ОАО "Тоцкое хлебоприемное предприятие"</t>
  </si>
  <si>
    <t>ООО "Жердевский элеватор" и ОАО "Тоцкое хлебоприемное предприятие"</t>
  </si>
  <si>
    <t>ЗАО "Самараагропромпереработка"</t>
  </si>
  <si>
    <t>ОАО "Жировой комбинат"</t>
  </si>
  <si>
    <t>ООО "Олхи" (LLC Olkhi)</t>
  </si>
  <si>
    <t>ОАО "Жердевский элеватор"</t>
  </si>
  <si>
    <t>ООО "Агротехнологии"</t>
  </si>
  <si>
    <t>ООО "Альбион-2002" ("Бристоль")</t>
  </si>
  <si>
    <t>ООО "Гамма Звездная"</t>
  </si>
  <si>
    <t>ОАО ГК "Виктория"</t>
  </si>
  <si>
    <t>ООО "Архангельский водорослевый комбинат", ООО "Русские водоросли -Муксалма", ООО "Русские водоросли -Карелия"</t>
  </si>
  <si>
    <t>ООО "УК Свиньин и партнеры"</t>
  </si>
  <si>
    <t>ООО "Мулинское Рыбоводное хозяйство"</t>
  </si>
  <si>
    <t>ООО "ЦБТ-Энерго"</t>
  </si>
  <si>
    <t>Oyralaks AS ("Ойралакс АС"), Villa Smolt AS ("Вилла Смолт АС"), Oldenselskapene AS ("Олденсэлскапене АС"), Olden Oppdrettsanlegg AS ("Олден Оппдреттсанлегг АС"), Setran Settefisk AS ("Сетран Сеттэфиск АС")</t>
  </si>
  <si>
    <t>ООО "Селекционный центр аквакультуры" и ООО "Центр аквакультуры"</t>
  </si>
  <si>
    <t>Setran Settefisk AS ("Сетран Сеттэфиск АС")</t>
  </si>
  <si>
    <t>ООО "Три Ручья" и ООО "Мурманрыбпром"</t>
  </si>
  <si>
    <t>ООО "Гута-Клиник"</t>
  </si>
  <si>
    <t>ОАО "Птицефабрика "Башкирская"</t>
  </si>
  <si>
    <t>Группа компаний "Здоровая ферма" (ООО "Уральская мясная компания", ООО "Группа компаний "Здоровая ферма", ООО "Здоровая ферма деликатесы", ООО ТД "Здоровая ферма", АО "Уралбройлер")</t>
  </si>
  <si>
    <t>Группа компаний Русское зерно Уфа (АО "Башкирская птицефабрика", АО "Турбаслинские бройлеры", АО "Уфимский комбинат хлебопродуктов", ООО "Башкирское зерно+", "ООО Башкирское зерно" и ООО "ТД Турбаслинский бройлер")</t>
  </si>
  <si>
    <t>ЗАО "Орский мясокомбинат", ЗАО "Оренбургский бройлер" и ЗАО "Уральский бройлер"</t>
  </si>
  <si>
    <t>ЗАО "Донская аграрная группа"</t>
  </si>
  <si>
    <t>ЗАО "Анастасиевское"</t>
  </si>
  <si>
    <t>ОАО "Дубовскхлебопродукт"</t>
  </si>
  <si>
    <t>ОАО "Русско-Полянский элеватор"</t>
  </si>
  <si>
    <t>OAO "Славянский КХП"</t>
  </si>
  <si>
    <t>ОАО "Шипуновский элеватор"</t>
  </si>
  <si>
    <t>ОАО "Подольский экспериментальный мукомольный завод"</t>
  </si>
  <si>
    <t>ООО "Анастасиевское"</t>
  </si>
  <si>
    <t>ОАО "Подольский экспериментальный мукомольный завод", ОАО "Шипуновский элеватор", ООО "Давлекановский КХП № 1"</t>
  </si>
  <si>
    <t>ООО "Торговый дом "Геркулес", ООО "Торговый дом "Геркулес, ООО "Торговый дом "Геркулес", ООО "Западно-Сибирская зерновая компания", ООО "Курская зерновая компания", 	ООО "Разгуляй-Кубань", ООО "Ставропольское зерно", ООО "Тамбовская зерновая компания", ООО "Торговый дом "Кубаньрис", ООО "Южно-донское зерно", Exim Grain Trade B.V.</t>
  </si>
  <si>
    <t>ЗАО "Нурлатский элеватор", ЗАО "Нурлатский Сахар", ООО "Русская бакалейная компания" и ООО "Аксубаевоагроинвест"</t>
  </si>
  <si>
    <t xml:space="preserve">	ЗАО "Карачаево-Черкесский Мукомол"</t>
  </si>
  <si>
    <t xml:space="preserve">	ОАО "Светлоградский элеватор"</t>
  </si>
  <si>
    <t xml:space="preserve">	ОАО "Хлебная база № 63"</t>
  </si>
  <si>
    <t xml:space="preserve">	ОАО "Дубовскхлебопродукт"</t>
  </si>
  <si>
    <t xml:space="preserve">	ООО "Анастасиевское"</t>
  </si>
  <si>
    <t xml:space="preserve">	ООО "Чишмы-агроинвест"</t>
  </si>
  <si>
    <t>ЗАО "Бугульминский КХП № 2"</t>
  </si>
  <si>
    <t>ЗАО "Бугульминский элеватор"</t>
  </si>
  <si>
    <t>ОАО "Кавказ"</t>
  </si>
  <si>
    <t>ЗАО "Никалт"</t>
  </si>
  <si>
    <t>ООО "Азовский портовый элеватор", ЗАО "Сахарный комбинат Колпнянский", ООО "Орелагроинвест" и ЗАО "Бугульминский КХП №1"</t>
  </si>
  <si>
    <t>АО "Башкирская птицефабрика"</t>
  </si>
  <si>
    <t>СГЦ "Вишневский"</t>
  </si>
  <si>
    <t>ООО "Сибилла РУС"</t>
  </si>
  <si>
    <t>ООО "Мясокомбинат Всеволжский" ("Самсон – Продукты Питания")</t>
  </si>
  <si>
    <t>ООО "Тамбовская индейка" (бренд "Пава-Пава")</t>
  </si>
  <si>
    <t>Компания "Краснобор"</t>
  </si>
  <si>
    <t>Фонд "Russia Partners"</t>
  </si>
  <si>
    <t>ООО "Пит-Продукт"</t>
  </si>
  <si>
    <t>ООО "Компас Фудс"</t>
  </si>
  <si>
    <t>ЗАО "Ровеньский Бройлер"</t>
  </si>
  <si>
    <t>ООО "Белая Птица Курск"</t>
  </si>
  <si>
    <t>АО "Алтайский Бройлер"</t>
  </si>
  <si>
    <t>ЗАО "Краснояружский бройлер" (материальные активы)</t>
  </si>
  <si>
    <t>Аптечная сеть "Калина Фарм"</t>
  </si>
  <si>
    <t>ООО "Фарма", ООО "КИТ Фарма", ООО "Прогресс-Фарма"</t>
  </si>
  <si>
    <t>ООО "36,6-Здоровье 36" и ООО "Прайд"</t>
  </si>
  <si>
    <t>ООО "ДжиДиПи", ООО "ДжиДиПи +" и ООО "Омега-Фарм"</t>
  </si>
  <si>
    <t>Аптечная сеть "А5"</t>
  </si>
  <si>
    <t>ООО "Аптека А5", ООО "Аптека А5 Регион", ООО "Аптека народная", ООО "Аптека Норма Низкие Цены", ООО "Аптека Норма Низкие Цены-М", ООО "Аптеки А5 Центр", ООО "Аптеки А5 Ленинградская Область", ООО "Аптеки А5 Московская область", ООО "Аптеки А5 Санкт-Петербург", ООО "Аптеки А5 Ярославль", АО "Торговая Сеть "Аптечка", АО "Мособлфармация", АО "Сап", ЗАО "Сап Приволжья", ООО "Стиль Фарма", ООО "Элитторг"</t>
  </si>
  <si>
    <t>ООО "Проект", ООО "Аптеки 36,6 "Область", ЗАО "Атлант", ООО "Незабудка", ОАО "Аптека №98", ОАО "Аптека 188 Пресненская", ООО "ПОС-Холдинг", ООО "ПОС-Холдинг Регион", ООО "Санрайз", ООО "Сервис-комплект", ООО "Дон-лав", ООО "ЗЕМ фарм", ООО "ЛеММ", ЗАО "Фармакон-Центр", ООО "Медпроект", ООО "Медлюкс", ОАО "Аптека 19", ЗАО "Интерлек", ООО "Фармтраст", ООО "Сервис-Центр 36,6", Molten Trading Limited, Simison Holdings Limited, WEBB Trade S.A., ООО "Фармопт", ООО "Витим и Ко", ООО "Рентсервис", ООО "03 АПТЕКА"</t>
  </si>
  <si>
    <t>Alliance Boots Holdings B.V. ("Walgreens Boots Alliance")</t>
  </si>
  <si>
    <t>ПАО "Аптечная сеть 36,6" (ООО "Аптека-А.в.е")</t>
  </si>
  <si>
    <t>ООО "Мегастиль", ООО "Мега-стиль", ООО "Тайга Фудс", ООО "Аист АС", ООО Фирма "Аванта", ООО "Мульти-Фарма", ООО "Аптеки 36,6 "Северо-Запад", ООО "Астра-Трейд", ОАО "Фармация", ООО "Аптеки 36,6 "Центр", ООО "ФармФирма "Аптечный склад "Новый", ООО "Рикс", ООО "Парацельс", ООО "Аквимекс", ООО "Аптечная сеть "Южный Урал", ООО "Башмедснаб", ООО "Фармацевтическая Фирма "Илья", ООО "Вита Плюс", ООО "Оптовая компания "Вита Плюс", ООО "Фирма "ИКА", ООО ФК "Медитек", ООО "Юнит-П", ООО "Чаша Здоровья", ООО "Фармация 5", ООО "Фармация 4", ООО "Фармация", ООО "Аптека "Сервис*", ООО "Аптечная сеть "Атолл-Фарм", ООО "Оптовый склад "Атолл-фарм", ООО "Юнит-Е", ООО "Фармацевтический Центр", ООО "Аптеки 36,6 "Тюмень", ООО "Аптеки 36,6 "Поволжье", ООО "Экорос-фарм", ООО "Аптеки 36,6 "Нижний Новгород", ООО "Нижегородский Аптечный Дом", ООО "Центр", ООО "Аптеки 36,6 "Юг", ООО "Три Фарма", ООО "Три Фарма-С", ООО "Аптеки 36,6 "Волгоград", ООО "Аптеки 36,6 "Краснодар", ООО "Аптеки 36,6 "Ростов", ООО "Аптеки 36,6 "Западная Сибирь", ООО "Суперлаб" и ЗАО "Время"</t>
  </si>
  <si>
    <t>аптечная сеть "А.в.е"</t>
  </si>
  <si>
    <t>ООО "Куб Маркет"</t>
  </si>
  <si>
    <t>ЗАО "Тауфарм"</t>
  </si>
  <si>
    <t>ООО "Смарт" (Красный Яр) и ООО "Маяк" (Слата)</t>
  </si>
  <si>
    <t>Ряд магазинов торговой сети "Полушка" в Санкт-Петербурге и Ленинградской области</t>
  </si>
  <si>
    <t>ООО "Агроторг­Самара"</t>
  </si>
  <si>
    <t>ООО "Торговая компания ПиК" (Сеть магазинов "Народный")</t>
  </si>
  <si>
    <t>ЗАО "Остров-Инвест"</t>
  </si>
  <si>
    <t>ООО "Гринхаус"</t>
  </si>
  <si>
    <t>ООО "МФ-СИА" (Группа компаний СИА)</t>
  </si>
  <si>
    <t xml:space="preserve">ООО "ТД-Холдинг" </t>
  </si>
  <si>
    <t>ООО "МагнитЭнерго"</t>
  </si>
  <si>
    <t>ООО "Билла Риэлти" и ООО "Билла"</t>
  </si>
  <si>
    <t>МКПАО "Лента" (ООО "Лента")</t>
  </si>
  <si>
    <t>Группа компаний "Семья"</t>
  </si>
  <si>
    <t>МКПАО "Лента"</t>
  </si>
  <si>
    <t>6 компания Kesko в России ("KFR"), работающие под брендом "K-Ruoka"</t>
  </si>
  <si>
    <t>ООО "Куб-Маркет"</t>
  </si>
  <si>
    <t>ООО "МАРКЕТПЛЕЙС"</t>
  </si>
  <si>
    <t>ООО "Директ Кредит Центр" ("группа Директ Кредит")</t>
  </si>
  <si>
    <t>ПАО "М.видео" (ООО "МВМ")</t>
  </si>
  <si>
    <t>Группа Медиа Маркт (ООО "БТ Холдинг")</t>
  </si>
  <si>
    <t>АФК "Система"</t>
  </si>
  <si>
    <t>ООО "Мастершуз"</t>
  </si>
  <si>
    <t>ГК "Россита" (бренды "Россита" и "Lisette"; ООО "Интегра", ООО "МираСтиль", ООО "МодернШуз", ООО "Торговый дом "Россита", ООО "СтильМаркет", ООО "Дион", ООО "Дизайн-Студия")</t>
  </si>
  <si>
    <t>ПАО "ОРГ" (ОАО "ОР" через ее собственника г-на Титова А.М.)</t>
  </si>
  <si>
    <t>Rosinter Czech Republic s.r.o., Rosinter Andel s.r.o., Rosinter Hungary Kft и ООО "Росинтер Украина"</t>
  </si>
  <si>
    <t>АО "Спиртзавод Чугуновский"</t>
  </si>
  <si>
    <t>АО "ЛВЗ Хабаровский" и АО "Алвиз"</t>
  </si>
  <si>
    <t>ООО "Вилла Романов" (переименовано в ООО "Поместье Голубицкое") и контрольные доли в двух вспомогательных компаниях</t>
  </si>
  <si>
    <t>АО "Винлаб"</t>
  </si>
  <si>
    <t>АО "ВинЛаб"</t>
  </si>
  <si>
    <t>ЗАО "Примтехпромснаб"</t>
  </si>
  <si>
    <t>ОАО "Племрепродуктор 1 порядка “Зоринский""</t>
  </si>
  <si>
    <t>ЗАО "Русский Гектар Урожай"</t>
  </si>
  <si>
    <t>ОАО "КВЭН"</t>
  </si>
  <si>
    <t>ОАО "Уссурийский Бальзам"</t>
  </si>
  <si>
    <t>ОАО "Уссурийский Молокозавод"</t>
  </si>
  <si>
    <t>ЗАО "Родстор" и ЗАО "Русский Гектар Урожай"</t>
  </si>
  <si>
    <t>ООО "АДКМ"</t>
  </si>
  <si>
    <t>ООО "Агрофирма "Юбилейная" и ООО "Винодельня Юбилейная"</t>
  </si>
  <si>
    <t>ООО "Агрофирма "Ахтанизовская"</t>
  </si>
  <si>
    <t>ООО "Управляющая компания "Донвингром"</t>
  </si>
  <si>
    <t>ЗАО "Абрау-Дюрсо"</t>
  </si>
  <si>
    <t>ООО "Абрау-Дюрсо коммунальные системы"</t>
  </si>
  <si>
    <t>ООО "Территория Абрау-Дюрсо"</t>
  </si>
  <si>
    <t>ПАО "Абрау-Дюрсо" (ОАО "Абрау-Дюрсо")</t>
  </si>
  <si>
    <t>ООО "Универсалоптторг"</t>
  </si>
  <si>
    <t>ООО "Генотаргет"</t>
  </si>
  <si>
    <t>ООО "Гистографт"</t>
  </si>
  <si>
    <t>ПАО "ММЦБ"</t>
  </si>
  <si>
    <t>ПАО "Артген" (ПАО "ИСКЧ") - ПАО "ММЦБ"</t>
  </si>
  <si>
    <t>ООО "Скинцел"</t>
  </si>
  <si>
    <t>ПАО "ЦГРМ "ГЕНЕТИКО"</t>
  </si>
  <si>
    <t>ООО "ИСКЧ Венчурс"</t>
  </si>
  <si>
    <t>ООО "АйсГен 2" (новое наименование – ООО "ИСКЧ Венчурс")</t>
  </si>
  <si>
    <t>ООО "Биофонд РВК"</t>
  </si>
  <si>
    <t>ООО "ЛКТ" ("Лаборатории Клеточных Технологий")</t>
  </si>
  <si>
    <t>ЗАО "Крионикс"</t>
  </si>
  <si>
    <t>ООО "Ангиогенезис"</t>
  </si>
  <si>
    <t>ООО "Медицинский центр "Гемафонд""</t>
  </si>
  <si>
    <t>ООО "СинБио"</t>
  </si>
  <si>
    <t>ПАО "Артген" (ПАО "ИСКЧ") - АО "Крионикс"</t>
  </si>
  <si>
    <t>ООО "Витацел"</t>
  </si>
  <si>
    <t>АО "ВАКЦИНЫ"</t>
  </si>
  <si>
    <t>АО "РОСНАНО"</t>
  </si>
  <si>
    <t>ООО "АйсГен"</t>
  </si>
  <si>
    <t>АО "РОСНАНО" и ООО "АйсГен"</t>
  </si>
  <si>
    <t>ЗАО "Корпорация ОЛИФЕН"</t>
  </si>
  <si>
    <t>ЗАО "Фармлайн-Д"</t>
  </si>
  <si>
    <t>ООО "Оранж Фарма"</t>
  </si>
  <si>
    <t>ЗАО "Аметис"</t>
  </si>
  <si>
    <t>ЗАО "Тайга-ГАЗ"</t>
  </si>
  <si>
    <t>ЗАО "Экология питания"</t>
  </si>
  <si>
    <t>ООО "ЛИТбромпрепарат"</t>
  </si>
  <si>
    <t>"DIOD INVESTMENT" Ltd</t>
  </si>
  <si>
    <t>ООО "Управляющая компания"</t>
  </si>
  <si>
    <t>ООО "Озон Медика"</t>
  </si>
  <si>
    <t>ООО "Мабскейл"</t>
  </si>
  <si>
    <t>ООО "Коралл"</t>
  </si>
  <si>
    <t>ООО "Атолл"</t>
  </si>
  <si>
    <t>ООО "Берахим"</t>
  </si>
  <si>
    <t>ООО "Мать и дитя Юго-Запад", ООО "ФимедЛаб", ООО "Велум", ООО "Клиника здоровья", ООО "Капитал Групп", ООО "Мать и дитя Пермь", ООО "Мать и дитя Уфа" и ООО "Мать и дитя Санкт-Петербург"</t>
  </si>
  <si>
    <t>ООО "Медика 2"</t>
  </si>
  <si>
    <t>ООО "Центр репродуктивной медицины"</t>
  </si>
  <si>
    <t>ООО "Астра-77"</t>
  </si>
  <si>
    <t>ООО "Медстатус"</t>
  </si>
  <si>
    <t>ООО "Топатомклиник"</t>
  </si>
  <si>
    <t>Overseas Medical Centers Limited ("Оверсиз Медикал Сентр Лимитед", ОМС)</t>
  </si>
  <si>
    <t>ООО "Роддом XXI"</t>
  </si>
  <si>
    <t>ООО "Оней Банк"</t>
  </si>
  <si>
    <t>ООО "Деливери клаб"</t>
  </si>
  <si>
    <t>ООО "Дзен.Платформа"</t>
  </si>
  <si>
    <t>АО "Коммерческий банк "АКРОПОЛЬ"</t>
  </si>
  <si>
    <t>ООО "Херст Шкулёв Диджитал"</t>
  </si>
  <si>
    <t>Auto.ru ("Авто.ру")</t>
  </si>
  <si>
    <t>ООО "ADFOX"</t>
  </si>
  <si>
    <t>ООО "КиноПоиск"</t>
  </si>
  <si>
    <t>ООО "Сейсмотех"</t>
  </si>
  <si>
    <t>Face.com, Inc. (ранее Vizi Information Labs Ltd. ("Vizi Labs"))</t>
  </si>
  <si>
    <t>Blekko, Inc. ("Блекко")</t>
  </si>
  <si>
    <t>ООО "ГИС-Технологии"</t>
  </si>
  <si>
    <t>ООО "Авапс"</t>
  </si>
  <si>
    <t>АО "Точка"</t>
  </si>
  <si>
    <t>ООО "Учи.ру"</t>
  </si>
  <si>
    <t>ООО "Диденок Стар"</t>
  </si>
  <si>
    <t>ООО "Цифровое образование"</t>
  </si>
  <si>
    <t>ООО "ВК Арт Лаб"</t>
  </si>
  <si>
    <t>ООО "Препреп.ру" ("Тетрика")</t>
  </si>
  <si>
    <t>ООО "УАЙКЛАЕНТС" ("YClients")</t>
  </si>
  <si>
    <t>ООО "Система "КЭСПА" ("Skillbox английский")</t>
  </si>
  <si>
    <t>АО "Линдер"</t>
  </si>
  <si>
    <t>ООО "Гудт"</t>
  </si>
  <si>
    <t>ООО "Технологии интерактивного видео" (ООО "Фудплекс")</t>
  </si>
  <si>
    <t>ООО "Медиум Кволити Продакшн"</t>
  </si>
  <si>
    <t>100% доли в ООО "Инвайт", 75% доли в "Инвайт Лицензия", 80% доли в "Инвайт Мьюзик"</t>
  </si>
  <si>
    <t>MY.GAMES HOLDINGS LTD (Кипр) и ООО "Май.Геймз"</t>
  </si>
  <si>
    <t>ООО "Скилфэктори"</t>
  </si>
  <si>
    <t>ООО "Мамбу Геймс"</t>
  </si>
  <si>
    <t>ООО "Умскул"</t>
  </si>
  <si>
    <t>ООО "Сваг Маша"</t>
  </si>
  <si>
    <t>ООО "Skillbox"</t>
  </si>
  <si>
    <t>PBL Bitdotgames Publishing Limited ("BitGames")</t>
  </si>
  <si>
    <t>ООО "33 Слона" и ООО "Технологии недвижимости" (совместно — "33 Слона")</t>
  </si>
  <si>
    <t>Consult Universal Corp ("InShopper")</t>
  </si>
  <si>
    <t>Salerton Investments Limited ("UMA")</t>
  </si>
  <si>
    <t>Inplat Holding Limited ("Инплат")</t>
  </si>
  <si>
    <t>VK.Com Limited ("ВК")</t>
  </si>
  <si>
    <t>QIWI PLC (КИВИ ПиЭлСи) (дочерняя компания - ЗАО "Объединение Системы Моментальных Платежей")</t>
  </si>
  <si>
    <t>ООО "Дата-центр М100"</t>
  </si>
  <si>
    <t>Port.ru, Inc. ("Порт.ру")</t>
  </si>
  <si>
    <t>"All U Need"</t>
  </si>
  <si>
    <t>ООО "Вся работа"</t>
  </si>
  <si>
    <t>ООО "Эдштейн" (Россия)</t>
  </si>
  <si>
    <t>ООО "Скиллаз"</t>
  </si>
  <si>
    <t xml:space="preserve">ООО "Дрим Джоб" </t>
  </si>
  <si>
    <t>ООО "Зарплата.ру"</t>
  </si>
  <si>
    <t>ООО "Практика успеха" ("SmartDeal")</t>
  </si>
  <si>
    <t>ООО "Н1.ру"</t>
  </si>
  <si>
    <t>БэллИнтегратор (АО "БэллИнтегратор Групп", АО "БеллИнтегратор", ООО "БэллИнтегратор (Минск)", АО "БэллИнтегратор", ООО "БэллИнтегратор Инновации", ООО "Би Телеком Солюшнз", ООО "БэллИнтегратор Сервис", ООО "Би Сервис")</t>
  </si>
  <si>
    <t>Барьер (ООО АКБ "Барьер" и ООО "Сэйвит Эдьюкейшн")</t>
  </si>
  <si>
    <t>ООО "Борлас АФС"</t>
  </si>
  <si>
    <t>СЛ Софт (ООО "СЛ Софт", ООО "Цитрос", ООО "Преферентум", ООО "Робин", ООО "Робин Облако", АО "БОСС Кадровые системы", ООО "Реляционное программирование")</t>
  </si>
  <si>
    <t>ООО "Брайтум"</t>
  </si>
  <si>
    <t>ООО "Сойка"</t>
  </si>
  <si>
    <t>Эктив (ООО "Активхост РУ" и ООО "Активные технологии")</t>
  </si>
  <si>
    <t xml:space="preserve">ООО "Инверсум" </t>
  </si>
  <si>
    <t>ООО "ДИТ Финанс" и ООО "Перспектива и Развитие"</t>
  </si>
  <si>
    <t>ММТР (ООО "ММТР", ООО "ММТР Технологии" и ООО "СофтЭкспорт")</t>
  </si>
  <si>
    <t>АО "Технический центр "Инженер"</t>
  </si>
  <si>
    <t>Академия АйТи (АНО ДПО "Академия АйТи", ООО "Аплана Европа", ООО "АйТи. Образовательный холдинг")</t>
  </si>
  <si>
    <t>ООО "Полиматика Рус"</t>
  </si>
  <si>
    <t>ВПП (ООО "Ваш Платежный Проводник", ООО "Крествэйв Технолоджис", ООО "Крествэйв Электроникс", ООО "Скай Технолоджис")</t>
  </si>
  <si>
    <t>СООО "ДПА"</t>
  </si>
  <si>
    <t>ООО "НАЦИОНАЛЬНЫЙ ЦЕНТР ПОДДЕРЖКИ И РАЗРАБОТКИ" (ООО "НЦПР")</t>
  </si>
  <si>
    <t>Аплана (ООО "Аплана. Центр разработки". ООО "Центр разработки программного обеспечения" и ООО "Аплана Международные проекты")</t>
  </si>
  <si>
    <t>ООО "СофтЛайн Энтерпрайс Солюшнс" (ООО "СЛЭС")</t>
  </si>
  <si>
    <t>ООО "Софтлайн Директ"</t>
  </si>
  <si>
    <t>ЦВТ (ООО "Центр высоких технологий" и ООО "Инженерная информатика")</t>
  </si>
  <si>
    <t>ООО "Диасофт Технопарк"</t>
  </si>
  <si>
    <t>АО "Новая Афина"</t>
  </si>
  <si>
    <t>ООО "Тера Интегро"</t>
  </si>
  <si>
    <t>ПАО "Группа Аренадата"</t>
  </si>
  <si>
    <t>ООО "Аренадата Софтвер"</t>
  </si>
  <si>
    <t>ООО "ДатаКаталог"</t>
  </si>
  <si>
    <t>ООО "Датамарт"</t>
  </si>
  <si>
    <t>ООО "Ридус Дата" (ООО "Пикодата")</t>
  </si>
  <si>
    <t>ООО "НТЦ "ХайТэк"</t>
  </si>
  <si>
    <t>АО "ВКурсе"</t>
  </si>
  <si>
    <t>ТОО "ВУШ КЗ" и ООО "БУШ БЛ"</t>
  </si>
  <si>
    <t>ООО "Bera-ГАЗ"</t>
  </si>
  <si>
    <t>ПАО "Наука-Связь"</t>
  </si>
  <si>
    <t>ООО "Автоматизация и Телекоммуникации"</t>
  </si>
  <si>
    <t>ООО "РИНО.КОМ"</t>
  </si>
  <si>
    <t>ООО "Полет-Связь"</t>
  </si>
  <si>
    <t>ЗАО "ПКФ "Невский фильтр"</t>
  </si>
  <si>
    <t>ООО "А-ГАЗ"</t>
  </si>
  <si>
    <t>ООО "Процессинговый центр Рапида"</t>
  </si>
  <si>
    <t>ООО "СМТ Инжиниринг"</t>
  </si>
  <si>
    <t>ООО "ЦИХРУС" и ее дочерних компаний: ООО "Аттениум", ООО "Гикор", ООО "Рапида", ООО "Процессинговый центр "Рапида"</t>
  </si>
  <si>
    <t>ООО "К5 Ритейл" (QIWI Retail LLC)</t>
  </si>
  <si>
    <t>Freshpay IT Solutions PVl Ltd ("Freshpay")</t>
  </si>
  <si>
    <t>Instant Payments LLP ("Мгновенные платежи")</t>
  </si>
  <si>
    <t>АО "НАЗ "Сокол"</t>
  </si>
  <si>
    <t>АО "ГСС"</t>
  </si>
  <si>
    <t>АО "НГТ"</t>
  </si>
  <si>
    <t>ООО "ОАК - Центр комплектования"</t>
  </si>
  <si>
    <t>ОАО "Уфимский машиностроительный завод"</t>
  </si>
  <si>
    <t>Активы и обязательства филиала, занимающегося научно - исследовательскими и опытно - конструкторскими работами, которые раннее учитывались на балансе ОАО "НПО "Сатурн"</t>
  </si>
  <si>
    <t>АО "99 ЗАТО"</t>
  </si>
  <si>
    <t>АО "419 АРЗ", АО "810 АРЗ", АО "150 АРЗ", АО "12 АРЗ" и АО "356 АРЗ"</t>
  </si>
  <si>
    <t>ООО "Информационно-консалтинговая группа "Инфинтраст"</t>
  </si>
  <si>
    <t>ЗАО "ХелиВерт"</t>
  </si>
  <si>
    <t>АО "Вертолеты России" (ООО "Международные вертолетные программы")</t>
  </si>
  <si>
    <t>ОАО "Редуктор-ПМ" ("Редуктор")</t>
  </si>
  <si>
    <t>ОАО "Кумертауское авиационное производственное предприятие" ("КУМАПП")</t>
  </si>
  <si>
    <t>ОАО "Казанский вертолетный завод"</t>
  </si>
  <si>
    <t>ОАО "Арсеньевская авиационная компания "ПРОГРЕСС" ("Прогресс")</t>
  </si>
  <si>
    <t>ОАО "КАМОВ" ("Камов")</t>
  </si>
  <si>
    <t>ЗАО "Авиакомпания "Роствертол-Авиа"</t>
  </si>
  <si>
    <t>АО "Вертолеты России" ("Роствертол")</t>
  </si>
  <si>
    <t>ЗАО "Санаторий "Зорька"</t>
  </si>
  <si>
    <t>ОАО "Казанский вертолетный завод" (ООО "ТФК")</t>
  </si>
  <si>
    <t>АО "Вертолеты России" (ОАО "Казанский вертолетный завод")</t>
  </si>
  <si>
    <t>ОАО "Роствертол" ("Роствертол")</t>
  </si>
  <si>
    <t>ОАО "Улан-Удэнский авиационный завод"</t>
  </si>
  <si>
    <t>ОАО "Московский вертолетный завод им. МЛ. Миля" ("Московский вертолетный завод")</t>
  </si>
  <si>
    <t>ОАО "Новосибирский авиаремонтный завод"</t>
  </si>
  <si>
    <t>АО "Вертолеты России" (ОАО "Вертолетная сервисная компания")</t>
  </si>
  <si>
    <t>ООО "ВР Литейное производство"</t>
  </si>
  <si>
    <t>IMRCR LTD (ООО "МРК 1520")</t>
  </si>
  <si>
    <t>ООО "Восток 1520"</t>
  </si>
  <si>
    <t>АО "Тихвинский Сборочный Завод "Титран-Экспресс"</t>
  </si>
  <si>
    <t>ООО "Трансмашэнерго"</t>
  </si>
  <si>
    <t>ООО "Юргинский Машиностроительный Завод"</t>
  </si>
  <si>
    <t>АО "Поволжский Подшипниковый Завод"</t>
  </si>
  <si>
    <t>АО "НПО Электромашина"</t>
  </si>
  <si>
    <t>ООО "Технопарк Тракторозаводский" и ООО "ЧТЗУралтрак"</t>
  </si>
  <si>
    <t>ОАО "Тверской вагоностроительный завод"</t>
  </si>
  <si>
    <t>ОАО "Томский электротехнический завод"</t>
  </si>
  <si>
    <t>ОАО "Востокнефтетранс"</t>
  </si>
  <si>
    <t>ОАО "НИИД"</t>
  </si>
  <si>
    <t>ОАО "ЦНИИ "Буревестник"</t>
  </si>
  <si>
    <t>ОАО "Уралтрансмаш"</t>
  </si>
  <si>
    <t>ООО "Балтийский индустриальный парк "Мастер"</t>
  </si>
  <si>
    <t>ПАО "Тутаевский моторный завод" (ПАО "ТМЗ")</t>
  </si>
  <si>
    <t>АО "Объединенные автомобильные технологии" (АО "ОАТ")</t>
  </si>
  <si>
    <t>ОАО "Автоприцеп-КАМАЗ"</t>
  </si>
  <si>
    <t>"Камаз Вектра Моторз Лимитед"</t>
  </si>
  <si>
    <t>ЗАО "Ремдизель"</t>
  </si>
  <si>
    <t>АО "Исузу Рус"</t>
  </si>
  <si>
    <t>ООО "УАЗ-Автокомпонент"</t>
  </si>
  <si>
    <t>Ford Sollers Netherlands B.V. (СП "ФордСОЛЛЕРС")</t>
  </si>
  <si>
    <t>ПАО "Заволжский моторный завод"</t>
  </si>
  <si>
    <t>ЗАО "Соллерс-Исузу"</t>
  </si>
  <si>
    <t>ООO "Ульяновский автомобильный завод" (ранее ПAO "Ульяновский автомобильный завод")</t>
  </si>
  <si>
    <t>ООО "Брянский тракторный завод" (бывш. ООО "ПО ХТЗ Белгород")</t>
  </si>
  <si>
    <t>ЗАО "НПП "Сотекс"</t>
  </si>
  <si>
    <t xml:space="preserve">ПАО "Автодизель" (ЯМЗ) </t>
  </si>
  <si>
    <t>ООО "Русские Автобусы Марко" и ООО "МАГНА-ГАЗ джойнт супплаинг организейшн"</t>
  </si>
  <si>
    <t>ПАО "Ижорские заводы"</t>
  </si>
  <si>
    <t>АО "ПО "Уралэнергомонтаж"</t>
  </si>
  <si>
    <t>ООО "ИЗ-КАРТЭКС имени П.Г. Коробкова" и его дочерняя компания</t>
  </si>
  <si>
    <t>ООО "ОМЗ-Литейное производство"</t>
  </si>
  <si>
    <t>ПАО "Криогенмаш"</t>
  </si>
  <si>
    <t>АО "МК "Уралмаш", ПАО "Уралмашзавод" и в их дочерние компании</t>
  </si>
  <si>
    <t xml:space="preserve">ООО "Мосэлектроприбор".  </t>
  </si>
  <si>
    <t>ОАО "Донской завод радиодеталей" (ОАО "ДЗРД")</t>
  </si>
  <si>
    <t>ООО "ИПК Плазменное оборудование"</t>
  </si>
  <si>
    <t>ПАО "Плазмек"</t>
  </si>
  <si>
    <t>ООО "МедПлазма"</t>
  </si>
  <si>
    <t>АО "АК Аврора"</t>
  </si>
  <si>
    <t>АО "Корпорация развития Сахалинской области"</t>
  </si>
  <si>
    <t>АО "Донавиа"</t>
  </si>
  <si>
    <t>АО "Оренбургские авиалинии"</t>
  </si>
  <si>
    <t>ООО "Аэрофлот-Финанс"</t>
  </si>
  <si>
    <t>"АЛЬТ Рейсебюро А/С"</t>
  </si>
  <si>
    <t>ЗАО "Аэроферст" (Аэроферст)</t>
  </si>
  <si>
    <t>ОАО АК "Россия" - 75% минус одна акция; - ОАО "Оренбургские авиалинии" - 100%; - ОАО АК "Сахалинские авиатрассы" - 100%; - ОАО "Саратовские авиалинии" - 51%; - ОАО "Владивосток Авиа" - 52,156%</t>
  </si>
  <si>
    <t>ОАО "Саратовские авиалинии"</t>
  </si>
  <si>
    <t>ЗАО "ТЗК Шереметьево"; ОАО "Страховая компания "Москва"; ЗАО "Нордавиа"; ОАО "Терминал"; ЗАО "Дэйт"</t>
  </si>
  <si>
    <t>ОАО "Терминал"</t>
  </si>
  <si>
    <t>ОАО "МАШ"</t>
  </si>
  <si>
    <t>АО "Авиационная компания "Восток"</t>
  </si>
  <si>
    <t>ОАО "Аэропорт Сургут"</t>
  </si>
  <si>
    <t>ООО Авиакомпания "Турухан"</t>
  </si>
  <si>
    <t>ПАО "Авиакомпания "ЮТэйр" (ООО "ЮТэйр-Лизинг")</t>
  </si>
  <si>
    <t>ООО "ЮТэйр-Финанс"</t>
  </si>
  <si>
    <t>ООО "Западно-Сибирское агентство воздушных сообщений"</t>
  </si>
  <si>
    <t>ООО "Авиакомпания "АЗУР ЭЙР Украина", ЗАО "Украинская Хэндлинговая Компания", ООО "ЮТстар", ООО "Форумавиа"</t>
  </si>
  <si>
    <t>ОАО "ЮТэйр-Инжиниринг"</t>
  </si>
  <si>
    <t>ЗАО "Ю-Ти-Джи"</t>
  </si>
  <si>
    <t>ООО "ПКФ "КАТЭКАВИА"</t>
  </si>
  <si>
    <t>ООО "Тюменский научно-производственный центр авиации общего назначения"</t>
  </si>
  <si>
    <t>ООО "Полар-Аэро" (ООО "ЮТэйр-Мурманск")</t>
  </si>
  <si>
    <t>ООО "Югра Отель Балабаново"</t>
  </si>
  <si>
    <t>АО "Вагонная ремонтная компания-2"</t>
  </si>
  <si>
    <t>АО "РЖД-ЗДОРОВЬЕ"</t>
  </si>
  <si>
    <t>АО "Вагонная ремонтная компания-3"</t>
  </si>
  <si>
    <t>АО "Рефсервис"</t>
  </si>
  <si>
    <t>ЗАО "Логистика-Терминал"</t>
  </si>
  <si>
    <t>ОАО "Российские железные дороги" (ОАО "РЖД"), ПАО "ТрансКонтейнер"</t>
  </si>
  <si>
    <t>АО "Калужский завод "Ремпутьмаш"</t>
  </si>
  <si>
    <t>ООО "Терминал" и в ЗАО "ТРАНСКАТ"</t>
  </si>
  <si>
    <t>АО "Росжслдорпроекг"</t>
  </si>
  <si>
    <t>ОАО "Первая нерудная компания"</t>
  </si>
  <si>
    <t>ОАО "Вагонреммаш"</t>
  </si>
  <si>
    <t>Far East Land Bridge Ltd ("FELB")</t>
  </si>
  <si>
    <t>ЗАО "МАГИНФО"</t>
  </si>
  <si>
    <t>ОАО "Российские железные дороги" (ОАО "РЖД") - ЗАО "Компания ТрансТелеКом"</t>
  </si>
  <si>
    <t>ОАО "Красноярский электровагоноремонтный завод"</t>
  </si>
  <si>
    <t>ОАО "Новосибирский стрелочный завод"</t>
  </si>
  <si>
    <t>АО "Кедентранссервис"</t>
  </si>
  <si>
    <t>ЗАО "Электро-ком"</t>
  </si>
  <si>
    <t>ЗАО "АК Железные дороги Якутии"</t>
  </si>
  <si>
    <t>ЗАО "Желдорипотека"</t>
  </si>
  <si>
    <t>ОАО "Желдорреммаш"</t>
  </si>
  <si>
    <t>ОАО "Торговый дом РЖД"</t>
  </si>
  <si>
    <t>ОАО "Первая грузовая компания"</t>
  </si>
  <si>
    <t>ОАО "Барнаульский вагоноремонтный завод"</t>
  </si>
  <si>
    <t>ОАО "Рославльский вагоноремонтный завод"</t>
  </si>
  <si>
    <t>ОАО "ЭЛТЕЗА"</t>
  </si>
  <si>
    <t>ОАО "Российские железные дороги" (ОАО "РЖД") - ОАО "ТрансКредитБанк"</t>
  </si>
  <si>
    <t>ООО "КИТ Финанс Холдинговая компания" и ОАО "КИТ Финанс Инвестиционный банк" и ООО "Вэб-инвест.ру"</t>
  </si>
  <si>
    <t>ТрансКредитБанк ("ТКБ"); ЗАО "Газета "Гудок" ("Гудок"); ОАО "Железные дороги Якутии" ("ЖДЯ"); РОАО "Высокоскоростные магистрали" ("ВСМ")</t>
  </si>
  <si>
    <t>ООО "Новороссийский зерновой терминал" ("НЗТ")</t>
  </si>
  <si>
    <t>ООО "Деметра 1" (компания Группы ВТБ)</t>
  </si>
  <si>
    <t>ООО "НМТП-Капитал"</t>
  </si>
  <si>
    <t>ООО "Транснефть-Сервис"</t>
  </si>
  <si>
    <t>ОАО "ИПП"</t>
  </si>
  <si>
    <t>ООО "Приморский торговый порт" ООО "ПТП"</t>
  </si>
  <si>
    <t>ООО "БалтТрансСервис"</t>
  </si>
  <si>
    <t>ООО "СинтезРейл"</t>
  </si>
  <si>
    <t>ЗАО "Уральская вагоноремонтная компания"</t>
  </si>
  <si>
    <t>ООО "Стальтранс" (ранее "ММК-Транс")</t>
  </si>
  <si>
    <t>Amalfico Holdings Limited (ЗАО "Уральская вагоноремонтная компания")</t>
  </si>
  <si>
    <t>ООО "Ферротранс" (ранее ООО "Металлоинвесттранс")</t>
  </si>
  <si>
    <t>Ultracare Holdings Limited (ООО "БалтТрансСервис")</t>
  </si>
  <si>
    <t xml:space="preserve">Вагоноремонтное депо "Иваново" </t>
  </si>
  <si>
    <t>ООО "Севтехнотранс"</t>
  </si>
  <si>
    <t>ООО "НПК Финанс"</t>
  </si>
  <si>
    <t>ООО "Агрохимтранс"</t>
  </si>
  <si>
    <t>АО "Национальная компания "Казакстан TeMip жолы" ("КТЖ")</t>
  </si>
  <si>
    <t>ООО "Дело-Центр"</t>
  </si>
  <si>
    <t>АО "ОТЛК"</t>
  </si>
  <si>
    <t>АО "Первый Контейнерный Терминал"</t>
  </si>
  <si>
    <t>ООО "Фрейт Вилладж Калуга Север"</t>
  </si>
  <si>
    <t>ООО "Простор Инвест Групп"</t>
  </si>
  <si>
    <t>ООО "Кашалот"</t>
  </si>
  <si>
    <t>ООО "Магна" и ООО "Лонгран Логистик"</t>
  </si>
  <si>
    <t>АО "Русская тройка"</t>
  </si>
  <si>
    <t>ООО "Транс - Грейн"</t>
  </si>
  <si>
    <t>АО "Русская Тройка"</t>
  </si>
  <si>
    <t>ООО "Трансгарант Украина"</t>
  </si>
  <si>
    <t>ОАО "Владивостокский морской торговый порт" (ОАО "ВМТП")</t>
  </si>
  <si>
    <t>Группа "МетизТранс" (ООО "МетизТранс", ООО "Инвестконсалтинг" и "ООО ТЭК МЕТИЗТРАНС")</t>
  </si>
  <si>
    <t>ООО "Пост Модерн Технолоджи"</t>
  </si>
  <si>
    <t>ООО "Метатехнологии"</t>
  </si>
  <si>
    <t>ООО "Программный продукт"</t>
  </si>
  <si>
    <t>ООО "ЛСР БАУ"</t>
  </si>
  <si>
    <t>ООО "Навис инжиниринг"</t>
  </si>
  <si>
    <t>ООО "Форт-Инвест"</t>
  </si>
  <si>
    <t>АО "Санаторий "Сестрорецкий курорт"</t>
  </si>
  <si>
    <t>ООО "ЛСР. Газобетон" (ООО "Н+Н")</t>
  </si>
  <si>
    <t>Ряд компаний сегмента "Недвижимость и Строительство"</t>
  </si>
  <si>
    <t>ООО "ЛСР. Железобетон"</t>
  </si>
  <si>
    <t>АО "ПО "Баррикада" (АО "ЛСР. Железобетон-СЗ")</t>
  </si>
  <si>
    <t>ООО "ДСК- Прогресс" (ООО "ЛСР. Строительство-М")</t>
  </si>
  <si>
    <t>ООО "ЛСР. Цемент-СЗ" (ООО "Петербургцемент")</t>
  </si>
  <si>
    <t>ООО "Газстрой"</t>
  </si>
  <si>
    <t>ООО "Строительный трест №28" и ЗАО "Строительный трест №28"</t>
  </si>
  <si>
    <t>ОАО "Завод ЖБИ-6"</t>
  </si>
  <si>
    <t>ОАО "Павловская Керамика"</t>
  </si>
  <si>
    <t>ООО "Квартира Люкс Сервис"</t>
  </si>
  <si>
    <t>ЗАО "НПО "ВСР"</t>
  </si>
  <si>
    <t>ОАО "Обуховский завод СМиК" и долей ООО "Вертикаль"</t>
  </si>
  <si>
    <t>ООО "МСР Перспектива"</t>
  </si>
  <si>
    <t>OOO "436 КНИ"</t>
  </si>
  <si>
    <t>ООО "КИН-Центр"</t>
  </si>
  <si>
    <t>ЗАО "Золотая Казанская"</t>
  </si>
  <si>
    <t>OOO "Карьер Петровский"</t>
  </si>
  <si>
    <t>Aeroc International AS (Aeroc Poribet SIA, ЗАО "Петробетон", ООО "Аэрок Калининград")</t>
  </si>
  <si>
    <t>ООО "Служба 071"</t>
  </si>
  <si>
    <t>ЗАО "Кикерино-электрик"</t>
  </si>
  <si>
    <t>Компании, входившие в сегменты "Девелопмент и строительство" и "Прочие виды деятельности".</t>
  </si>
  <si>
    <t>ООО "Союз"; ООО "Рассвет Инвест"; ООО "Гамма Холдинг"; АО "Специализированный застройщик "Сенс.Сухаревская"; АО "Форп Трейд"; ООО "О-Мега"; ООО "Нельсон"</t>
  </si>
  <si>
    <t>ООО "Сигма Холдинг"</t>
  </si>
  <si>
    <t>Компании, входящие в сегмент "Обслуживание и Эксплуатация"</t>
  </si>
  <si>
    <t>Земельный участок - проект "Парк-Сити" (ООО "ПИК-Инвест", Porgots Ltd, ЗАО "КРПТ")</t>
  </si>
  <si>
    <t>ЗАО "Очаковский ЖБК"</t>
  </si>
  <si>
    <t>ОАО "Новоросгражданпроект"</t>
  </si>
  <si>
    <t>ОАО "ДСК-3"</t>
  </si>
  <si>
    <t>ООО "Маяк"</t>
  </si>
  <si>
    <t>ООО "Статус Лэнд"</t>
  </si>
  <si>
    <t>ООО "РусБизнесИнвест" и ООО "Макс Лтд"</t>
  </si>
  <si>
    <t>ООО "Ижстрой"</t>
  </si>
  <si>
    <t>ООО "ПИКрегион Пермь"</t>
  </si>
  <si>
    <t>ООО "Алантея"</t>
  </si>
  <si>
    <t>ООО "Пулково Эстейт"</t>
  </si>
  <si>
    <t>ООО "Фотон ГБИ" и ООО "Фотон АБЗ"</t>
  </si>
  <si>
    <t>OAO "480 КЖИ"</t>
  </si>
  <si>
    <t>ОАО "Хромцовский карьер"</t>
  </si>
  <si>
    <t>ЗАО "Виктор"</t>
  </si>
  <si>
    <t>ОАО "Химический завод "Кусковские ордена "Знак Почета"" (КХЗ)</t>
  </si>
  <si>
    <t>ЗАО "НеваИнвест"</t>
  </si>
  <si>
    <t>ООО "Вейстоун"</t>
  </si>
  <si>
    <t>ЗАО "Стройинвестрегион"</t>
  </si>
  <si>
    <t>ЗАО "Парк-Сити Инвестментс" /ООО "Компания реабилитации промышленных территорий" (ООО "КРПТ")</t>
  </si>
  <si>
    <t>ООО "Страна-Эталон"</t>
  </si>
  <si>
    <t>YIT Corporation ("ЮИТ Россия")</t>
  </si>
  <si>
    <t>АО "ЛидерИнвест"</t>
  </si>
  <si>
    <t>ПАО "Группа компаний "Самолет"</t>
  </si>
  <si>
    <t>Группа компаний "МИЦ" (ООО "ГК МИЦ" и ООО "Парк Капитал Групп" и их дочерние общества)</t>
  </si>
  <si>
    <t>ООО "Миратек" и ее дочерние общества</t>
  </si>
  <si>
    <t>ООО "СПб Реновация" и ее дочерние общества</t>
  </si>
  <si>
    <t>ООО "Инпут Лаб"</t>
  </si>
  <si>
    <t>ООО "Санино-1"</t>
  </si>
  <si>
    <t>ООО "Самолет Две Столицы"</t>
  </si>
  <si>
    <t>ООО "Некрасовка-Инвест"</t>
  </si>
  <si>
    <t>ООО "Мега-Сити"</t>
  </si>
  <si>
    <t>ООО "Милвертин"</t>
  </si>
  <si>
    <t>ООО "Природа" и ООО "Бухта-Лэнд"</t>
  </si>
  <si>
    <t>ЗАО "Эквивалент"</t>
  </si>
  <si>
    <t>АО "Кунцево-Инвест"</t>
  </si>
  <si>
    <t>Часть помещений "IQ-квартал"</t>
  </si>
  <si>
    <t>ООО "Альянс-Буд"</t>
  </si>
  <si>
    <t>Нежилые помещения Башни Б в БЦ "SkyLight"</t>
  </si>
  <si>
    <t>ООО "Лира"</t>
  </si>
  <si>
    <t>ЗАО "Престиж"</t>
  </si>
  <si>
    <t>ЗАО "СтройПромОбъект"</t>
  </si>
  <si>
    <t>ОАО "ГОК "Пекин"</t>
  </si>
  <si>
    <t>ЗАО "РТИ-Эстейт"</t>
  </si>
  <si>
    <t>ЗАО "Сити-Галс"</t>
  </si>
  <si>
    <t>"Ландшафт-2"</t>
  </si>
  <si>
    <t>ПСО "Система-Галс" и "Организатор"</t>
  </si>
  <si>
    <t>ООО "Трансстроймеханизация"</t>
  </si>
  <si>
    <t>ООО "Объединенные Системы Сбора Платы" (ООО "ОССП")</t>
  </si>
  <si>
    <t>ООО "Ресторанъ на Московской"</t>
  </si>
  <si>
    <t>Сегмент "Digital инфраструктура для бизнеса" (включает ООО "РУ-ЦЕНТР ГРУПП" и его дочерние предприятия)</t>
  </si>
  <si>
    <t>ООО "Заявка"</t>
  </si>
  <si>
    <t>ЗАО ИД "Салон Пресс", ЗАО Эйдос Логистике</t>
  </si>
  <si>
    <t>ООО "Марка №1"</t>
  </si>
  <si>
    <t>ЗАО "Байт-Телеком"</t>
  </si>
  <si>
    <t>ЗАО "Публичная библиотека"</t>
  </si>
  <si>
    <t>ООО "Регги-Бизнес"</t>
  </si>
  <si>
    <t>KUPONGID Corp (материнскя компания ООО "Купонгид")</t>
  </si>
  <si>
    <t>ЗАО "Региональный сетевой информационный центр" ("РУ-ЦЕНТР")</t>
  </si>
  <si>
    <t>ООО "Фидел Солюшнс"</t>
  </si>
  <si>
    <t>ЗАО "Южный регион - Телекоммуникации"</t>
  </si>
  <si>
    <t>ООО "Аккорд"</t>
  </si>
  <si>
    <t>ООО "ПМТ"</t>
  </si>
  <si>
    <t>ОАО "Мосдачтрест" и ЗАО "Ландшафт"</t>
  </si>
  <si>
    <t>ООО "Софит"</t>
  </si>
  <si>
    <t>ООО "Пространство"</t>
  </si>
  <si>
    <t>ООО "02ТВ Медиа"</t>
  </si>
  <si>
    <t>ООО "Гамма"</t>
  </si>
  <si>
    <t>АО "Новоенисейский Лесохимический Комплекс" (НЛХК)</t>
  </si>
  <si>
    <t>ООО "ГаличЛес"</t>
  </si>
  <si>
    <t>ООО "Карелиан Вуд Кампани"</t>
  </si>
  <si>
    <t>ЗАО "Гипробум"</t>
  </si>
  <si>
    <t>ООО "Лэнд-10"</t>
  </si>
  <si>
    <t>Группа компаний "Волома-Инвест"</t>
  </si>
  <si>
    <t>АО "Карелия ДСП"</t>
  </si>
  <si>
    <t>ООО "Ламбумиз Трейд"</t>
  </si>
  <si>
    <t>ПАО "Ламбумиз"</t>
  </si>
  <si>
    <t>ООО "Европейская Электротехника Новосибирск"</t>
  </si>
  <si>
    <t>ПАО "Европейская Электротехника"</t>
  </si>
  <si>
    <t>ООО "Европейская Электротехника Поволжье"</t>
  </si>
  <si>
    <t>ООО "Европейская Электротехника Уфа"</t>
  </si>
  <si>
    <t>ООО "Европейская Электротехника Самара"</t>
  </si>
  <si>
    <t>ООО "Европейская Электротехника"</t>
  </si>
  <si>
    <t>ООО "РНГ-Инжиниринг"</t>
  </si>
  <si>
    <t>ООО "Европейская Электротехника Северо-Запад"</t>
  </si>
  <si>
    <t>ОАО "Апатит"</t>
  </si>
  <si>
    <t>АО "ФосАгро-Череповец"</t>
  </si>
  <si>
    <t>ООО "Репаблик Медиа"</t>
  </si>
  <si>
    <t>ООО "ФосАгро-СевероЗапад"</t>
  </si>
  <si>
    <t>ООО "ФосАгроТамбов"</t>
  </si>
  <si>
    <t xml:space="preserve">ООО "Метахим" </t>
  </si>
  <si>
    <t>ЗАО "Нордик Рус Холдинг"</t>
  </si>
  <si>
    <t>ОАО "Череповецкий Азот"</t>
  </si>
  <si>
    <t>ООО ПК "АгроЧереповец"</t>
  </si>
  <si>
    <t>ОАО "Сильвинит"</t>
  </si>
  <si>
    <t>ЗАО "Соликамский Строительный Трест"</t>
  </si>
  <si>
    <t>ООО "Соликамскавто" и ООО "Строймаркет"</t>
  </si>
  <si>
    <t>ООО "Поликлиника Уралкалий-Мед"</t>
  </si>
  <si>
    <t>ГРУППА "ЕВРОХИМ"</t>
  </si>
  <si>
    <t>ДП "Агроцентр ЕвроХимУкраина" и ООО "Агроцентр –Украина"</t>
  </si>
  <si>
    <t>ООО "Севернефть-Уренгой"</t>
  </si>
  <si>
    <t>"Agricola Bulgaria" Ead</t>
  </si>
  <si>
    <t>"Emerger Fertilizantes S.A."</t>
  </si>
  <si>
    <t>"Hispalense de Líquidos S.L."</t>
  </si>
  <si>
    <t>ООО "Биохим Технологии"</t>
  </si>
  <si>
    <t>ООО "Азоттех"</t>
  </si>
  <si>
    <t>ЗАО "Агросфера"</t>
  </si>
  <si>
    <t>"Fertilizantes Tocantins Ltda"</t>
  </si>
  <si>
    <t>ПАО "Мурманский морской торговый порт"</t>
  </si>
  <si>
    <t>"Agrinos AS"</t>
  </si>
  <si>
    <t>ООО "Тиссен Шахтбау ЕвроХим Бурение"</t>
  </si>
  <si>
    <t>"EuroChem-Migao Ltd"</t>
  </si>
  <si>
    <t>"H.K. Migao Industry limited"</t>
  </si>
  <si>
    <t>"EuroChem Agro" (ранее "К+S Nitrogen") и "EuroChem Antwerpen NV"</t>
  </si>
  <si>
    <t>"K+S Group"</t>
  </si>
  <si>
    <t>"EuroChem Group S.E"</t>
  </si>
  <si>
    <t>"EuroChem Antwerpen NV"</t>
  </si>
  <si>
    <t>76,6% акций ОАО "Монтажник" и 100% акций ЗАО "Спецпроммонтаж"</t>
  </si>
  <si>
    <t>"Lifosa AB"</t>
  </si>
  <si>
    <t>ООО "Промканал-Техно"</t>
  </si>
  <si>
    <t>ОАО "Тольяттиазот"</t>
  </si>
  <si>
    <t xml:space="preserve">ООО "Управление автомобильного транспорта" </t>
  </si>
  <si>
    <t>ОАО "Завод минеральных удобрений Кирово-Чепецкого химического комбината" ("ЗМУ КЧХК")</t>
  </si>
  <si>
    <t>ОАО "Воскресенские минеральные удобрения" ("ВМУ")</t>
  </si>
  <si>
    <t>НАО "Транскама"</t>
  </si>
  <si>
    <t>АО "ТАИФ"</t>
  </si>
  <si>
    <t>ООО "Амурский ГХК"</t>
  </si>
  <si>
    <t>АО "Сибгазполимер"</t>
  </si>
  <si>
    <t>АО "ГК Титан"</t>
  </si>
  <si>
    <t>ООО "Полиом"</t>
  </si>
  <si>
    <t>ООО "Пластик-Геосинтетика"</t>
  </si>
  <si>
    <t>ООО "Портэнерго"</t>
  </si>
  <si>
    <t>АО "Уралоргсинтез"</t>
  </si>
  <si>
    <t>ОАО "ЭКТОСинтез"</t>
  </si>
  <si>
    <t>АО "НИПИгазпереработка"</t>
  </si>
  <si>
    <t>ООО "Тобольская ТЭЦ"</t>
  </si>
  <si>
    <t>ОАО "Фортум"</t>
  </si>
  <si>
    <t>АО "Полиэф"</t>
  </si>
  <si>
    <t>ООО "ИТ-Сервис"</t>
  </si>
  <si>
    <t>ООО "Биаксплен"</t>
  </si>
  <si>
    <t>ОАО "Полиэф"</t>
  </si>
  <si>
    <t>ОАО "ПАО Банк ВТБ"</t>
  </si>
  <si>
    <t>ОАО "Кировский шинный завод" и активы Воронежского шинного завода</t>
  </si>
  <si>
    <t>ЗАО "Миракл"</t>
  </si>
  <si>
    <t>ООО "Новатэк-Полимер"</t>
  </si>
  <si>
    <t>OAO "НОВАТЭК"</t>
  </si>
  <si>
    <t>100% ЗАО "Промышленный капитал" и 97% ОАО "Тюменьпромжелдортранс"</t>
  </si>
  <si>
    <t>ОАО "Каучук"</t>
  </si>
  <si>
    <t>ООО "Нефтеоргсинтез"</t>
  </si>
  <si>
    <t>ОАО "Саранский завод "Резинотехника"</t>
  </si>
  <si>
    <t>ОАО "Курскрезинотехника"</t>
  </si>
  <si>
    <t>ООО "НПП Нефтехимия"</t>
  </si>
  <si>
    <t>ОАО "Московский НПЗ"</t>
  </si>
  <si>
    <t>ООО "Синтез-Инвест"</t>
  </si>
  <si>
    <t>ООО "Сибметахим"</t>
  </si>
  <si>
    <t>ООО "Межозерное"</t>
  </si>
  <si>
    <t>ПАО "Якутская ТЭК"</t>
  </si>
  <si>
    <t>ООО "Отечественные полимеры"</t>
  </si>
  <si>
    <t>ООО "Мирныйнефтегаз"</t>
  </si>
  <si>
    <t>АО "СЧЗ"</t>
  </si>
  <si>
    <t>ООО "ТУЛАЧЕРМЕТ-СТАЛЬ"</t>
  </si>
  <si>
    <t>ПAO "ЦОФ "Березовская"</t>
  </si>
  <si>
    <t>ЗAO "Сибирские ресурсы"</t>
  </si>
  <si>
    <t>ООО "Новобачатский-2"</t>
  </si>
  <si>
    <t>ПАО "Тулачермет"</t>
  </si>
  <si>
    <t>ООО "Стивидорная компания "Малый порт"</t>
  </si>
  <si>
    <t>ООО "Туапсинский балкерный терминал"</t>
  </si>
  <si>
    <t>ООО "Мурманский балкерный терминал"</t>
  </si>
  <si>
    <t>ПАО "Мурманский Морской Торговый Порт"</t>
  </si>
  <si>
    <t>АО "СУЭК" (АО "Кузбассэнерго")</t>
  </si>
  <si>
    <t>ОАО "Приморскуголь"</t>
  </si>
  <si>
    <t>ООО "Сахагазсинтез-Недра"</t>
  </si>
  <si>
    <t>ОАО "Ургалуголь"</t>
  </si>
  <si>
    <t>ОАО "Разрез Изыхский"</t>
  </si>
  <si>
    <t>ОАО "СУЭК-Кузбасс", ОАО "СУЭК-Красноярск" и ОАО "Приморскуголь"</t>
  </si>
  <si>
    <t>ООО "Арктические разработки"</t>
  </si>
  <si>
    <t>Петропавловск плс</t>
  </si>
  <si>
    <t>Разведка и добыча хрома</t>
  </si>
  <si>
    <t>В сентябре 2023 года Группа приняла решение об аннулировании соответствующих колл- и пут-опционов, а также корпоративного договора, заключенного с партнером по совместному предприятию (СП) в отношении 40,6%-ной доли в ООО ГРК «Амикан» «Амикан») (данные по сделке представлены в консолидированной финансовой отчетности за год, закончившийся 31 декабря 2020 года), что позволило создать новое совместное предприятие на базе данного актива. Сторонняя компания приобрела 40,6%-ную долю, ранее принадлежащую партнеру АО «Полиметалл» по СП. АО «Полиметалл» также продало данной компании 9,5%-ную долю в активе за денежное вознаграждение в размере $21 млн. В результате этой сделки Группе на текущий момент принадлежит 49,9%-ная доля в Амикане. АО «Полиметалл» также заключило несколько корпоративных соглашений с новым акционером в части проектного финансирования, корпоративного управления и операционной деятельности. В 2020 году при создании опционов Группа определила, что колл-опцион на покупку 40,6% доли в Амикане является производным инструментом, содержащим потенциальное право голоса, что давало Группе право на получение дохода, связанного с данной долей владения в Амикане. Таким образом, в соответствии с МСФО (IFRS) 10 «Консолидированная финансовая отчетность» Группа учла опционы на покупку 40,6%-ной доли в Амикане как уже реализованные, консолидировала 100% актива и признала стоимость реализованного опциона в качестве отсроченного обязательства по уплате вознаграждения. На дату выбытия справедливая стоимость отсроченного обязательства по уплате вознаграждения составила $88 млн и была отражена в качестве вознаграждения, полученного при выбытии актива. В результате сделки Группа продала 50,1%-ную долю в предприятии. Оставшаяся 49,9%-ная доля отражена по справедливой стоимости, составившей $110 млн на дату утраты контроля над отчуждаемой долей в соответствии с требованиями МСФО (IFRS) 10. Справедливая стоимость условного вознаграждения была определена на основе вознаграждения, полученного от третьей стороны в обмен на 9,5%-ную долю в Амикане и рассчитанного с использованием модели эксплуатации месторождения. На основании структуры управления объектом инвестиций, процесса формирования политики и состава совета директоров, Группа определила, что принятие ключевых решений требует единогласного одобрения сторон, осуществляющих контроль, и стороны соглашения о совместной деятельности наделены правами на чистые активы совместного предприятия. Таким образом, Группа определила, что инвестиция должна быть классифицирована как совместное предприятие  в дальнейшем будет учитываться по методу долевого участия.</t>
  </si>
  <si>
    <t>ООО ГРК «Амикан»</t>
  </si>
  <si>
    <t>ООО «НОРК»</t>
  </si>
  <si>
    <t>ООО «ОГК»</t>
  </si>
  <si>
    <t>ООО «УГК»</t>
  </si>
  <si>
    <t>ООО «ГРК Уенма»</t>
  </si>
  <si>
    <t>Баксы</t>
  </si>
  <si>
    <t>АО «ПСУ-ХОЛДИНГ»</t>
  </si>
  <si>
    <t xml:space="preserve">10 марта 2022 года Группа приобрела 100% доли в АО «ПСУ-ХОЛДИНГ», материнской компании ООО «ПСУ», которому принадлежит лицензия на золото-сульфидное месторождение Галка. Общая сумма денежного вознаграждения составила $27 млн. Сделка представляет собой приобретение актива в соответствии с МСФО (IFRS) 3 «Объединения бизнесов», так как приобретаемое предприятие не обладает существенными бизнес-процессами, необходимыми для создания прибыли. Выплаченное вознаграждение главным образом относится к приобретению прав на разработку недр в размере $29 млн и прочим краткосрочным обязательствам в размере $2 млн. </t>
  </si>
  <si>
    <t>В декабре 2021 года Группа заключила предварительный договор аренды ЛЭП, проходящей от поселка Горин до производственной площадки Албазино, на ранее согласованных условиях. Предполагалось, что Албазинская ЛЭП будет принадлежать ООО «АЭК», независимой компании в области управления энергосетями, выполнявшей строительство и ведущей ее эксплуатацию. Капитальное строительство профинансировано посредством восьмилетнего кредита и восьмилетнего субординированного займа. Полиметалл предоставил банкам гарантии по кредиту и платежам по договору аренды с ООО «АЭК». В 2022 году Полиметалл принял решение консолидировать 100% доли в ООО «АЭК» для получения полного контроля над проектом. Приобретение компании было завершено 28 июня 2022 года за вознаграждение в размере 10 тыс. руб. (около $177), равное номинальному акционерному капиталу данной компании. Группа определила, что сделка представляет собой приобретение актива в соответствии с МСФО (IFRS) 3 «Объединения бизнесов», так как приобретаемая компания не обладает существенными бизнес-процессами, необходимыми для создания прибыли.</t>
  </si>
  <si>
    <t>ООО «АЭК»</t>
  </si>
  <si>
    <t>ООО «Новопетровское»</t>
  </si>
  <si>
    <t>22 марта 2022 года Группа увеличила долю владения в ООО «Новопетровское» с 75% до 100% после завершения первичной оценки минеральных ресурсов, подготовленной в соответствии с Кодексом JORC. Группа приобрела 25% доли у несвязанной стороны в обмен на денежное вознаграждение в размере $24 млн. Ранее Группа определила, что компания ООО «Новопетровское» соответствует определению дочерней компании, и с даты приобретения 75%-ной доли она была консолидирована. Увеличение доли в активе было признано в качестве приобретения неконтролирующей доли и отражено в составе собственного капитала. По состоянию на 31 декабря 2021 года приобретение Новопетровского не привело к отражению значительной неконтролирующей доли в собственном капитале, отчете о прибылях и убытках и отчете о совокупном доходе.</t>
  </si>
  <si>
    <t>В декабре 2022 года Группа продала третьей стороне 100% доли в небольшом дочернем предприятии «Тарутинское» в обмен на денежное вознаграждение в размере $7 млн. Выбывшие активы и обязательства были представлены правами на пользование недрами на сумму $9 млн и долговыми обязательствами по внутригрупповым займам в размере $10 млн, которые были переуступлены покупателю в рамках сделки. В результате выбытия дочернего предприятия Группа признала убыток в размере $2 млн. Денежное вознаграждение в размере $5 млн было получено в декабре 2022 года. Оставшаяся часть вознаграждения подлежит выплате равными долями через один и два года с даты выбытия актива.</t>
  </si>
  <si>
    <t>«Тарутинское»</t>
  </si>
  <si>
    <t>В марте 2020 года Полиметалл заключил юридически обязывающее соглашение по приобретению 9,1% доли в ООО «ТриАрк Майнинг» (ТриАрк) за $20 млн. ТриАрк принадлежит 100% доли в Томторском ниобий-редкоземельном месторождении (Томтор).
Сделка была завершена в апреле 2020 года. Проект включает в себя горнодобывающее предприятие на месторождении Томтор, пригодном для отработки открытым способом, и Краснокаменский гидрометаллургический комбинат (КГМК), который будет построен вблизи г. Краснокаменск Забайкальского края. Город расположен в Юго-Восточной Сибири, недалеко от границы с Китаем. В Краснокаменске располагается крупнейший в России урановый рудник и связанная с ним инфраструктура для переработки и хранения образующихся отходов. Томторское месторождение, расположенное на северо-западе Республики Саха (Якутия), является одним из самых богатых в мире с точки зрения содержания в руде редкоземельных металлов (РЗМ) и крупнейшим проектом развития месторождения ниобия. В 2018 году завершено ТЭО постоянных разведочных кондиций и на баланс ГКЗ поставлены 30,5 млн тонн руды с содержанием 4,0% Nb2O5 +10,6% РЗО (1,2 млн тонн Nb2O5 и 3,2 млн тонн РЗО).
Преимущества проекта включают в себя наличие высоких содержаний полезных компонентов в руде, крупные запасы, длительный срок отработки месторождения, доступ к зеленым технологиям и потенциальный вклад в борьбу с климатическими изменениями, а также возможность применения опыта Полиметалла в области гидрометаллургии и регионального присутствия в Якутии. Группа определила наличие существенного влияния на объект инвестиций за счет участия в процессе принятия ключевых решений и в совете директоров предприятия. Таким образом, в соответствии с МСФО (IAS) 28 «Инвестиции в ассоциированные организации и совместные предприятия» ТриАрк является ассоциированным предприятием. Инвестиция учитывается по методу долевого участия. Данная сделка представляет собой транзакцию со связанной стороной, поскольку ICT Holding Ltd (Группа ИСТ) является существенным акционером Polymetal International plc и основным собственником ТриАрк. Сделка была заключена на рыночных условиях, и ее стоимость до увеличения уставного капитала («pre-money») оценена в $259 млн. В период с завершения сделки и до 31 декабря 2020 года Томтор не оказал существенного влияния на прибыль/(убыток) Группы.</t>
  </si>
  <si>
    <t>В 2018 году Полиметалл консолидировал 100% долю в золоторудном месторождении Нежданинское в Якутии, Россия, путем приобретения 7-процентной доли за денежное вознаграждение в размере $8 млн согласно соглашению между участниками, подписанному в июле 2017 года, а также за счет реализации опциона на покупку оставшейся доли 75,3% за вознаграждение в размере $146 млн, которое должно было быть выплачено за счет денежных средств и акций Полиметалла. Для завершения сделки
и реализации опциона на покупку было получено одобрение Правительственной Комиссии по контролю за осуществлением иностранных инвестиций в Российской Федерации. Первоначальная доля 17,7% в Нежданинском учитывалась как совместное предприятие согласно МСФО (IFRS) 11 «Совместные предприятия». В ноябре 2018 года Полиметалл получил все необходимые одобрения и завершил приобретение 82,3% доли в Нежданинском у компаний, принадлежащих Ивану Кулакову. Группа определила, что контроль над золоторудным месторождением Нежданинское был приобретен 26 ноября 2018 года. Нежданинское представляет собой интегрированную совокупность видов деятельности с упором на геологоразведку. Следовательно, Группа определила, что Нежданинское соответствует определению бизнеса согласно МСФО (IFRS) 3 и оно должно быть отражено по справедливой стоимости по методу приобретения. Справедливая стоимость 13 486 579 обыкновенных акций, выпущенных в составе вознаграждения, была определена на основе цены «спот» на дату приобретения $10,07 и составила $136 млн. Справедливая стоимость опциона на покупку, описанного выше, представляет собой часть переданного вознаграждения и составила $11 млн на дату приобретения. Поскольку Группа приобрела контроль над золоторудным месторождением Нежданинское, которое ранее являлось совместным предприятием и соответствовало определению бизнеса, то в соответствии с требованиями МСФО (IFRS) 3 Группа переоценила ранее признанную долю в бизнесе с учетом его справедливой стоимости. Переоценка привела к возникновению прибыли от изменения справедливой стоимости в размере $20 млн на дату приобретения и была признана в составе отчета о прибылях и убытках.</t>
  </si>
  <si>
    <t>В декабре 2018 года Группа продала 100% доли в предприятиях Хаканджинского хаба (ООО «Охотская горно-геологическая компания»), которые включают в себя перерабатывающую фабрику производительностью 600 тыс. тонн в год, инфраструктуру на
месторождении Хаканджинское, а также оставшиеся складские запасы руды с месторождений Хаканджинское, Авлаякан и Озерное, которые на текущий момент составляют приблизительно 0,1 млн унций золотого эквивалента, а также участки Кундуми и Мевачан. Общее вознаграждение за Хаканджинский хаб составило $5 млн, полученное в виде денежных средств. Кроме того, при продаже вместе с бизнесом был передан долг на сумму $25 млн.</t>
  </si>
  <si>
    <t>В декабре 2018 года Группа продала свои активы в порту Охотска, которые ранее учитывались как часть предприятий Хаканджинского хаба, за вознаграждение в размере $2 млн, которое было выплачено денежными средствами. Продажа предприятий Хаканджинского хаба является частью стратегии по продаже небольших активов с коротким сроком эксплуатации.</t>
  </si>
  <si>
    <t>В октябре 2018 года Группа приобрела дополнительную долю в размере 31,7 % в ООО «ГРК Амикан» («Амикан»), владеющем лицензией на участок «Ведуга». Ведуга – месторождение богатого упорного золота с запасами 1,4 млн унций золота при содержании 4,8 г/т и дополнительными минеральными ресурсами 0,4 млн унций при содержании 4,9 г/т. После этого приобретения Группа увеличила свою общую долю участия в золоторудном месторождении Ведуга до 74,3%. Полиметалл является частичным владельцем объекта с 2006 г., при этом первоначальная доля в размере 50% была приобретена через СП с AngloGoldAshanti и впоследствии разбавлена ​​за счет внешнего акционерного финансирования. С 2012 года доля участия Группы в капитале составляла 42,65%, и она оказывала значительное влияние на недвижимость. В 2012–2018 годах на карьере Ведуга было добыто 2 882 тыс. тонн руды со средним содержанием 3,84 г/т, содержащей 356 тыс. унций золота. Исторически руда продавалась нескольким обогатительным фабрикам, включая Варваринское. Поскольку деятельность Амикан представляет собой интегрированный комплекс деятельности с упором на добычу и извлечение драгоценных металлов. Общая сумма вознаграждения составила $21,5 млн, выплаченных в виде 2 456 049 обыкновенных акций Компании нового выпуска. Количество выпущенных акций было рассчитано путем деления $19,7 млн на $8,036, спот-цену обыкновенных акций Компании на основной площадке Лондонской фондовой биржи (LSE) по состоянию на момент закрытия рынка 10 октября 2018 года в долларах США. Справедливая стоимость переданного вознаграждения была определена на основании цены закрытия на 12 октября 2018 года $8,78.
Поскольку Группа приобрела контроль над золоторудным месторождением Амикан, которое ранее являлось совместным предприятием и соответствует определению бизнеса, то в соответствии с требованиями МСФО (IFRS) 3 Группа переоценила ранее признанную долю в совместно контролируемом бизнесе по справедливой стоимости. Переоценка привела к возникновению прибыли от изменения справедливой стоимости в размере $21 млн на дату приобретения и была признана в составе отчета о прибылях и убытках. Неконтролирующая доля (25,69% доли владения в Амикане), признанная на дату приобретения, была оценена пропорционально в суммах, признаваемых в отношении идентифицируемых активов и принимаемых обязательств приобретаемой компании, и составила $17 млн.</t>
  </si>
  <si>
    <t xml:space="preserve">В сентябре 2018 года Группа увеличила свою долю в ООО «Саумская Горнорудная Компания» (компания владеет лицензией Саумского полиметаллического месторождения с ресурсами в 435 тыс. унций золотого эквивалента с содержаниями 9,7 г/т) на 20% (с 80% до 100%). Группа приобрела у несвязанной стороны дополнительные 20% за вознаграждение в сумме 6 млн долл., которое подлежит выплате акциями Компании в количестве 834 055 новых акций Polymetal International plc. Ранее Группа определила, что компания ООО «Саумская Горнорудная Компания» соответствует определению дочерней компании, и с даты приобретения 80% доли она была консолидирована. Увеличение доли в Сауме было признано в качестве приобретения неконтрольной доли и отражено в составе собственного капитала. По состоянию на дату приобретения и в течение периодов, закончившихся 31 декабря 2018 года и 31 декабря 2017 года, приобретение Саума не привело к отражению значительной неконтрольной доли в собственном капитале, отчете о прибылях и убытках и в отчете о совокупном доходе. </t>
  </si>
  <si>
    <t>2 декабря 2016 года Полиметалл приобрел 80% ООО «Саумская Горнорудная Компания», владеющей лицензией Саумского полиметаллического месторождения («Саум»). Полиметалл выпустил 1 120 690 новых акций («Акции Вознаграждения»), представляющие 0,26% от увеличенного акционерного капитала Полиметалла, в связи с приобретением 80% уставного капитала Саума у несвязанной российской компании. Общая сумма сделки составляет приблизительно 10,7 млн долл. США. Площадь Саумского лицензионного участка составляет 34,2 км2, он расположен в Свердловской области России на Урале и примерно в 240 километрах от Воронцовской золотоизвлекательной фабрики, принадлежащей Полиметаллу. Полиметалл планирует подготовить оценку Рудных Запасов в IV квартале 2017 г. Дальнейшее бурение на участке планируется в 2017 и 2018 гг. Группа приобрела права на разработку недр стоимостью 10 млн долл. США и прочие оборотные активы стоимостью 1 млн долл. США. Саумское не соответствует определению бизнеса согласно МСФО 3, так как оно представляет собой приобретение лицензии на добычу через юридическое лицо, которое не ведет деятельность, поэтому приобретение учитывается как приобретение группы активов. Группа приобрела права на разработку недр стоимостью 10 млн долл. США и прочие оборотные активы стоимостью 1 млн долл. США.</t>
  </si>
  <si>
    <t>В июле 2015 года Полиметалл приобрел 100% акций компании, владеющей лицензией на разработку Приморского серебряно-золотого месторождения, расположенного в Магаданской области России, Decamor Investments Limited. Вознаграждение за приобретение включает в себя первоначальное вознаграждение в размере 4 млн долл. США, которое оплачивается собственными акциями Компании в количестве 533 301 обыкновенных новых акций Polymetal International plc и отложенное денежное вознаграждение, которое должно быть выплачено в феврале 2017 года. Отложенное денежное вознаграждение определяется как наибольшее из следующих значений: 13 333 долл. США за тонну серебряного эквивалента (или 0,415 долл. США за унцию серебряного эквивалента) на основе аудированной оценки запасов месторождения и 8 млн долл. США. Приморское не соответствует определению бизнеса согласно МСФО 3, так как оно представляет собой приобретение лицензии на добычу через юридическое лицо, которое не ведет деятельность, поэтому приобретение было учтено как приобретение группы активов.Группа приобрела права на разработку недр стоимостью 11 млн долл. США.</t>
  </si>
  <si>
    <t>4 сентября 2014 года Группа приобрела 100% акций Altynalmas Gold Ltd (AAG), холдинговой компании золоторудного проекта Кызыл в Казахстане.</t>
  </si>
  <si>
    <t>ЗАО LV Gold Mining</t>
  </si>
  <si>
    <t>26 октября 2015 года Группа продала свое дочернее предприятия ООО «Хаканджинское», которое владело лицензией на месторождение Хаканджинское, независимой стороне за денежное вознаграждение в размере 0,5 млн долл. США. Общая сумма чистых выбывших активов составила (0,7) млн долл. США. В результате прибыль от выбытия дочернего предприятия 1,2 млн долл. США.</t>
  </si>
  <si>
    <t>В апреле 2015 года Группа приобрела 25% доли в компании, владеющей лицензией на геологоразведку Личкваз в Армении (включая связанные с ней акционерные займы). Покупка произведена за 429 260 собственных акций на сумму 4 млн долл. США. Полиметалл также взял на себя обязательства по финансированию геологоразведочных работ на месторождении, технологических исследований и подготовки отчета по оценке запасов в соответствии с кодексом JORC, в обмен на право увеличить долю в компании до 50% после окончания данных работ. Данные соглашения являются совместным предприятием и вложением, учитываемым по методу долевого участия при стоимости 4 млн долл. США по состоянию на 30 июня 2015 года. 11 ноября 2015 года Полиметалл подписал соглашение о покупке оставшихся 75% акций LV Gold Mining. Цена покупки включала в себя 1 047 756 акций Polymetal International plc и отложенное вознаграждение на сумму, равную до 2% от стоимости драгоценных металлов в руде, которая будет добываться на месторождении Личкваз в будущем в течение срока службы месторождения. Согласно контракту, продавец также уступил Полиметаллу дебиторскую задолженность по внутрикорпоративному займу в размере 0,3 млн долл. США в обмен на дополнительные 37 097 акций Polymetal International plc. Общая сумма вознаграждения, подлежащая выплате в акциях, оценена в 9 млн долл. США, а условное вознаграждение – в 5 млн долл. США. LV Gold Mining не соответствует определению бизнеса согласно МСФО 3, так как оно представляет собой приобретение лицензии на добычу через юридическое лицо, которое не ведет деятельность, поэтому приобретение было учтено как приобретение группы активов. Приобретение осуществлялось поэтапно и учитывалось по стоимости приобретения, которое составило в общем 25% от первоначальной доли и 75% дополнительно. Группа приобрела права на разработку недр стоимостью 20 млн долл. США.</t>
  </si>
  <si>
    <t>4 апреля 2016 года Полиметалл заключил юридически обязывающее соглашение с компанией ТОО «Казцинк», дочерним предприятием Glencore International plc, о приобретении компании ТОО «Орион Минералс», владеющей лицензией на месторождение золота Комаровское в Республике Казахстан. Актив представляет собой действующие карьер и фабрику кучного выщелачивания производительностью 500 тыс. тонн в год, и имеет доступ к электросетям. Полиметалл планирует добывать, доставлять по железной дороге и перерабатывать на Варваринском до 2 млн тонн руды в год, что позволит увеличить объемы годового производства золота на Варваринском за счет переработки сырья с более низкой себестоимостью производства. Приобретение Комаровского было завершено 1 августа 2016 года после получения соответствующих разрешений регулирующих органов. Руководство считает, что контроль над Комаровским был приобретен на дату завершения сделки. Общая сумма вознаграждения составила 100 млн долл. США денежными средствами. Кроме того, ТОО «Казцинк» получил отложенное вознаграждение, размер которого зависит от будущего производства на Комаровском и цен на золото. Роялти рассчитывается ежеквартально на основе содержания золота в добытой руде в соответствующем квартале и выплачивается при цене на золото выше 1 250 долл. США за унцию, при этом общая сумма роялти не превысит 80 миллионов долларов США. Отложенное вознаграждение, описанное выше, соответствует определению условного вознаграждения. Справедливая стоимость условного вознаграждения была определена на основе модели эксплуатации месторождения Комаровское и оценена по методу Монте-Карло. Прогнозируемые денежные потоки были дисконтированы на дату приобретения по ставке 9,04%. Волатильность цен на золото было оценена на уровне 18,08%, средняя цена на золото за один квартал до даты оценки составила 1 291 долл. США за унцию. Оценочная справедливая стоимость условного вознаграждения на дату приобретения составила 20 млн долл. США.</t>
  </si>
  <si>
    <t>В марте 2016 года, Полиметалл заключил юридически обязывающее соглашение с компанией Dundee Precious Metals Inc. о приобретении ЗАО «Dundee Precious Metals Kapan» («DPMK»), владеющего лицензией на месторождение золота Капан («Капан») в Республике Армения. Активы включают в себя полностью механизированный подземный рудник производительностью около 400 тыс. тонн в год, традиционную флотационную обогатительную фабрику производительностью 750 тыс. тонн в год и различные объекты инфраструктуры. Предприятие производит золото-медно-серебряные и цинковые концентраты для продажи на экспорт. 28 апреля 2016 года Группа приобрела 100% акций DPMK. Капан соответствует определению бизнеса, содержащемуся в МСФО 3, и, соответственно, был отражен по справедливой стоимости по методу приобретения. Общая сумма вознаграждения за приобретение акций, выплаченная на момент закрытия сделки, составила 38 млн долл. США. Вознаграждение включало в себя 14 млн долл. США денежными средствами (в том числе корректировка оборотного капитала на сумму 5 млн долл. США после завершения сделки) и 15 млн долл. США, выплаченных в виде 1 481 785 новых обыкновенных акций Компании. Кроме того, Dundee получит 2% роялти с чистого дохода от будущего производства на месторождении Капан, сумма которого не превысит 25 млн долл. США. Справедливая стоимость 1 481 785 обыкновенных акций, выпущенных в составе вознаграждения, выплачиваемого за месторождение Капан, была определена на основе цены «спот» на дату приобретения 10,28 долл. США и составила 15 млн долл. США. Роялти с чистого дохода от будущего производства на месторождении Капан, описанное выше, соответствует определению условноговознаграждения. Справедливая стоимость условного вознаграждения была определена на основе модели эксплуатации месторождения Капан путем дисконтирования прогнозируемых денежных потоков на дату приобретения. При расчете справедливой стоимости были использованы следующие допущения по ценам на металлы, соответствующие допущениям, принятым при долгосрочном планировании: Au – 1250 долл. США за унцию, Ag – 17 долл. США за унцию, Cu – 4500 долл. США за тонну, цинк – 1800 долл. США за тонну; реальная ставка дисконтирования после уплаты налогов составила 9,04%. Оценочная справедливая стоимость условного вознаграждения на дату приобретения составила 9 млн долл. США. По состоянию на 31 декабря 2016 года условное вознаграждение составляет приблизительно 9 млн долл. США.</t>
  </si>
  <si>
    <t>В июне 2015 года Группа подписала соглашение о покупке 25­процентной доли в ТОО «Актогай Мыс», владеющей лицензией на геологоразведку Долинное в Казахстане (включая связанные с ней акционерные займы). Полиметалл также взял на себя обязательства по финансированию геологоразведочных работ на месторождении и технологических исследований и сможет увеличить долю в компании до 50% после окончания данных работ. Вознаграждение включает в себя 2,4 млн долл. США, выплачиваемых в виде акций, и 2,7 млн долл. США, которые были выплачены в июне 2015 в счет погашения акционерного займа и связанных с ним процентов. Данные соглашения являются совместным предприятием и вложением, учитываемым по методу долевого участия. В течение года, закончившегося 31 декабря 2015 года, доля Группы в убытке Актогай Мыс превысила ее долю в совместном предприятии из­за убытков от курсовых разниц, признанных Актогай Мыс, следовательно, балансовая стоимость вложения была списана полностью. Общая накопленная непризнанная доля Группы в убытке составляет по состоянию на 31 декабря 2015 года 0,7 млн долл. США.</t>
  </si>
  <si>
    <t>20 февраля 2013 года Группа заключила юридически обязывающий меморандум о взаимопонимании с Vitalex Investments Ltd и Arrowline Investments Ltd о приобретении 100% доли в ЗАО «Маминская горнорудная компания» («МГК»), которой принадлежит лицензия на изучение и добычу на Маминском золоторудном месторождении («Маминское»). 9 апреля 2013 года Компания приобрела 100% акций и долга ЗАО «Маминская Горнорудная Компания» (далее – «МГК»), владеющего лицензией на добычу и геологоразведку на Маминском золоторудном поле («Маминское»). Вознаграждение за покупку акций составило 3,9 млн долл. США, подлежащих уплате денежными средствами, и 5 491 661 обыкновенных акций Полиметалла, которые на дату приобретения оценивались в 74,6 млн долл. США. Долговые инвестиции в МГК были приобретены за вознаграждение в размере 8 млн долл. США, подлежащих уплате денежными средствами. МГК соответствует определению бизнеса, содержащемуся в МСФО 3 (2008). Соответственно, она была отражена по справедливой стоимости по методу приобретения.</t>
  </si>
  <si>
    <t>24 января 2013 года Группа завершила приобретение 100% доли ООО «Олимп», российской компании, владеющей лицензией на добычу и геологоразведку золотосеребряного месторождения Ольча, в обмен на 775 000 обыкновенных акций Полиметалла. ООО «Олимп» не соответствует определению бизнеса, содержащемуся в МСФО 3 (2008), и, соответственно, он отражен как приобретение группы активов. Группа купила права на недропользование за 13,4 млн долл. США и прочие текущие обязательства за 0,01 млн долл. США.</t>
  </si>
  <si>
    <t>22 октября 2013 года Группа продала своего дочернее предприятия ООО «Хабаровская геологоразведочная компания» независимой стороне за 3,5 млн долл. США.</t>
  </si>
  <si>
    <t>7 февраля 2012 года Группа выкупила у AngloGold Ashanti Holdings PLC (AngloGold) 50% долю AngloGold в различных компаниях, которые являлись совместными предприятиями AngloGold и Полиметалл и оставляли Стратегический альянс «AngloGold Ashanti– Полиметалл», общей стоимостью 20 млн долл. США. Впоследствии Группа заключила ряд сделок с новыми инвесторами (несвязанными сторонами), сохранив долю участия, составляющую 42,65%, в основном активе – лицензии на разработку месторождения Ведуга.</t>
  </si>
  <si>
    <t>22 августа 2012 года Группа приобрела 100% долю владения в ООО «Семченское золото» («Семченское золото») у несвязанных сторон: Сунцова В. А. (25% доля) и Polister Limited (75% доля). Семченское золото владеет лицензией на разработку Семченского месторождения в Карелии. Группа выплатила денежное вознаграждение в размере 0,8 млн долл. США; кроме этого, Группа должна будет уплатить условное вознаграждение в размере 0,5 млн долл. США, если разведка лицензионного участка даст положительные результаты, и если до 25 декабря 2014 года будет получена лицензия на пользование недрами нового месторождения золота. Дополнительное вознаграждение в размере 1,2 млн долл. США подлежит уплате в зависимости от объема доказанных и вероятных запасов руды на новом месторождении. По результатам расчета возможного итога дополнительного обязательства Группа оценивает справедливую стоимость условного вознаграждения в 0,1 млн долл. США. Семченское золото не соответствует определению бизнеса согласно МСФО 3 (2008), поэтому оно было учтено как приобретение группы активов. Группа приобрела права на разработку недр стоимостью 0,8 млн долл. США и другие краткосрочные обязательства на сумму 0,024 млн долл. США.</t>
  </si>
  <si>
    <t>17 декабря 2012 года Группа приобрела долю участия в ОАО «Невьянская группа» («Невьянская группа») в размере 24,99%. Невьянская группа является российским юридическим лицом, которому полностью принадлежит дочернее предприятие, владеющее лицензией на разработку недр и геологическую разведку на Светлоборском платиновом месторождении. Вознаграждение было предоставлено в форме 130 053 новых обыкновенных акций Компании, выпущенных Группой. Наряду с этим, ЗАО «ВТБ Капитал» («ВТБ») приобрело долю в Невьянской группе в размере 75,01% в обмен на 390 369 новых обыкновенных акций Полиметалл, на которые было подписано дочернее предприятие ВТБ, за встречное денежное вознаграждение в размере 6,9 млн долл. США.
В дополнение Группа подписала юридически обязывающее соглашение о приобретении у ВТБ доли в Невьянской группе в размере 75,01% после одобрения данной сделки Правительственной комиссией по контролю за осуществлением иностранных инвестиций за денежное вознаграждение в размере 6,9 млн долл. США с процентами, начисленными на указанную сумму, по ставке 7,25% годовых. Группа установила, что датой получения контроля над Невьянской группой является 17 декабря 2012 года, соответственно, этот день является датой поглощения приобретаемой компании. Денежное вознаграждение, полученное от ВТБ, было учтено в качестве займа и классифицировано в кредиты и займы. Невьянская группа не соответствует определению бизнеса согласно МСФО 3 (2008), поэтому сделка рассматривалась как приобретение активов.</t>
  </si>
  <si>
    <t>ОАО "Аурум"</t>
  </si>
  <si>
    <t>ООО "Кутынская ГГК" (ООО "Кутын")</t>
  </si>
  <si>
    <t>29 апреля 2011 года Группа приобрела 100% долю в ООО «Кутынская ГГК» (Кутын) у несвязанной стороны Olsen Business Limited, в обмен на 3 500 000 ГДР ОАО «Полиметалл». Курсовая стоимость ГДР на дату приобретения составила 19,14 долл. США. Группа приобрела Кутын, поскольку данная компания владеет лицензией на освоение месторождения золота Кутын, расположенного в Хабаровском крае. Кутын не отвечает определению бизнеса, содержащемуся в МСФО 3 (от 2008 года). Соответственно, он был отражен как приобретение группы активов.</t>
  </si>
  <si>
    <t>27 мая 2011 года Группа приобрела 100% долю в ООО «Индустрия» (Индустрия) у независимой стороны в лице Кузьмичева В. В. Группа приобрела ООО «Индустрия», поскольку данная компания владеет лицензией на разведку и освоение скального рудопроявления золота Эльмус. За приобретение Группа выплатила денежное вознаграждение в размере 1,78 млн долл. США. Индустрия не отвечает определению бизнеса, содержащемуся в МСФО 3 (от 2008 года). Соответственно, приобретение было отражено как приобретение группы активов. Группа приобрела права на пользование недрами в размере 1,82 млн долл. США и прочие текущие обязательства в размере 0,042 млн долл. США.</t>
  </si>
  <si>
    <t>13 мая 2011 года Группа приобрела 100% долю в ООО «Офис» (Офис) у независимой стороны ООО «ИСТ-Колыма» за 10,3 млн долл. США, при этом 6,2 млн долл. США было зачтено в счет аванса, предоставленного ООО «ИСТ-Колыма» в 2010 году Группа приобрела Офис, поскольку компания владеет тремя этажами офисных помещений в Магадане. Стоимость офисных помещений составила 9,76 млн долл. США, а оставшаяся сумма в размере 0,56 млн долл. США представляет собой прочие приобретенные активы и обязательства.</t>
  </si>
  <si>
    <t>29 июня 2011 года Группа продала независимой стороне 100% доли в ЗАО «Северо-восточная угольная компания»
за 5,3 млн долл. США. В течение 2011 года ЗАО «Северо-восточная угольная компания» не осуществляла операции</t>
  </si>
  <si>
    <t>8 октября 2010 года Группа приобрела у несвязанной стороны, Doland Business Limited, 100% доли в ООО «Рудник Авлаякан» («Авлаякан») и ООО «Киранкан» («Киранкан») в обмен на 3 500 000 ГДР Компании рыночной стоимостью 17,20 долларов США за одну ГДР на дату приобретения. Группа приобрела Авлаякан и Киранкан, поскольку они владеют лицензиями на добычу золота и серебра на Авлаяканском и Киранканском месторождениях, расположенных в Хабаровском крае. Авлаякан и Киранкан не отвечают определению бизнеса, содержащемуся в МСФО 3 (2008). Соответственно, данные приобретения были отражены как приобретение группы активов.</t>
  </si>
  <si>
    <t>9 декабря 2010 года Группа приобрела у несвязанной стороны, Castalian Trading Limited, 100% доли в ООО «ПД РУС» («ПД РУС»). Группа приобрела «ПД РУС» поскольку оно владеет лицензией на разведку и освоение месторождения золота Светлое, расположенное в Хабаровском крае. Группа выплатила денежное вознаграждение в размере 9,25 млн долларов США в форме погашения обязательств «ПД РУС». «ПД РУС» не отвечает определению бизнеса, содержащемуся в МСФО 3 (2008). Соответственно, он был отражен как приобретение группы активов.</t>
  </si>
  <si>
    <t>В ноябре 2010 года Группа заключила соглашение с ООО «Валенторский Рудник» и Кузьмичевым В.В. о создании ОАО «Урал-Полиметалл» («Урал-Полиметалл»). Группа внесла в «Урал-Полиметалл» 100% своей доли в ООО «Полиметаллы Северного Урала», дочернем предприятии Группы, владеющим лицензией на добычу золота, цинка и серебра на месторождении Галкинское. Другие инвесторы также внесли активы в предприятие, при этом доля участия Группы в «Урал-Полиметалле» составляет 33%. Балансовая стоимость чистых активов, внесенных в уставный капитал на дату выбытия, была приблизительно равна справедливой стоимости.</t>
  </si>
  <si>
    <t>28 апреля 2009 года Группа приобрела у несвязанной стороны, Highland Gold Mining Limited, 9% акций ООО ЗК «Майское» (ЗК «Майское»). ЗК «Майское» имеет лицензию на право пользования недрами на территории золоторудного месторождения «Майское», расположенного в Чукотском автономном округе. Группа выплатила вознаграждение в размере 14 долл. США. Оставшиеся 91% акций ЗК «Майское» были одновременно приобретены четырьмя российскими частными компаниями («Покупатели акций»), не связанными с Группой, за 137 долл. США. 28 апреля 2009 года Компания и Покупатели акций заключили юридически обязывающее соглашение («Соглашение»), по которому:
(а) Компания и Покупатели акций согласились рекапитализировать ЗК «Майское» путем вложения в уставный капитал ЗК «Майское» 104,852 долл. США пропорционально своим долям владения (т.е. Компания согласилась вложить для целей рекапитализации 9.437 долл. США, а Покупатели акций - 95,415 долл. США).
(б) Компания согласилась, при условии получения необходимых нормативных согласований, приобрести 91% акций ЗК «Майское» за денежное вознаграждение в размере 95,550 долл. США или в обмен на передачу 15,925,000 обыкновенных акций Компании, плюс рекапитализационная корректировка в виде денежных средств (см. п. (с) ниже). Покупатели акций обладали правом выбора способа расчетов (т е. денежные средства или акции Компании).
(в) На общую сумму вложений Покупателей акций, согласно условиям сделки, ежегодно начислялось 14%. Данная сумма была включена в состав суммы вознаграждения в качестве рекапитализационной корректировки, уплачиваемой Компанией в виде денежных средств на момент завершения сделки.
Группа определила, что на 28 апреля 2009 года первоначальное приобретение 9% акций ЗК «Майское» отвечало определению организации с переменным участием. Кроме того, было установлено, что соглашение, указанное выше, представляет собой опцион на покупку, встроенный в Соглашение. В результате наличия письменного опциона на покупку 91% акций, принадлежащих Покупателям акций, Компания была признана основным бенефициаром ЗК «Майское», и соответственно консолидировала ЗК «Майское» начиная с 28 апреля 2009 года.Опцион на покупку был учтен по справедливой стоимости и включен в стоимость вознаграждения по первоначальной справедливой стоимости. Последующие изменения справедливой стоимости были отражены в качестве «Изменения справедливой стоимости производных финансовых инструментов» в консолидированном отчете о прибылях и убытках. 27 октября 2009 года, после получения необходимых согласований, Группа завершила приобретение 100% акций ЗК «Майское». Группа и Покупатели акций подписали юридически обязывающее дополнение к Соглашению, в соответствии с которым Покупатели акций выразили согласие на получение 15,925,000 обыкновенных акций ОАО «Полиметалл» в обмен на 91% акций ЗК «Майское».</t>
  </si>
  <si>
    <t>В октябре 2009 года Группа приобрела у несвязанной стороны, Orsu Metals Corporation, 100% акций компании Three К Exploration and Mining Limited («Three К»), которой принадлежит АО «Варваринское» в Казахстане («Варваринское»). Группа приобрела АО «Варваринское» в связи с тем, что ему принадлежит лицензия на право пользования недрами Варваринского золотомедного месторождения, расположенного в Казахстане. По условиям договора купли-продажи Группа приобрела акции за денежное вознаграждение в размере 8,000 долл. США и условное вознаграждение в размере до 12,000 долл. США (приблизительной справедливой стоимостью 3,419 долл. США на дату приобретения), рассчитанное по формуле, в которой опубликованные будущие цены золота и меди сравниваются с ценой исполнения заключенных форвардных контрактов на покупку золота и с ценой фиксинга меди, опубликованной Лондонской биржей металлов на дату заключения указанных выше форвардных контрактов на покупку золота. Затраты на приобретение составили 1,496 долл. США и были включены в состав прочих операционных расходов в консолидированном отчете о прибылях и убытках. До момента приобретения Three К и Варваринское имели определенные долговые и хеджинговые обязательства перед синдикатом банков, в состав которого входили Investec Bank Ltd, Investec Bank Pic, Nedbank Limited и Natixis Bank (далее совместно именуемые как «Синдикат банков»). В частности:
(а) Долговые обязательства в сумме 85,660 долл. США; и
(б) Форвардный контракт на продажу золота с фиксированной ценой (Примечание 28) на основе ожидаемого объема производства золота на Варваринском месторождении. Контракт предусматривает продажу общего условного объема в размере 320,160 унций золота по фиксированной форвардной цене 574.25 долл. США за унцию и имеет ежемесячные даты исполнения с ноября 2009 по апрель 2014 года.
В октябре 2009 года Группа заключила форвардный контракт на покупку золота по фиксированной цене 1,129.65 долл. США за унцию, на тот же условный объем и с теми же ежемесячными сроками исполнения, как и указанный выше форвардный контракт на продажу золота по фиксированной цене. Форвардный контракт на покупку золота заключен с целью застраховать убытки по существующему форвардному контракту на продажу золота.
В результате исполнения встречной сделки Группа обязана будет уплачивать чистую разницу между встречными требованиями и обязательствами на каждую дату исполнения контракта (на конец каждого месяца в течение периода с 30 сентября 2009 года по 30 апреля 2014 года). Если какая-либо сумма разницы не будет уплачена на соответствующую дату исполнения, на нее будут начисляться проценты в размере 3-месячной ставки LIBOR плюс 3% и она должна быть погашена 31 декабря 2013 года (35% от всей суммы задолженности, накопленной к данному моменту) и 31 декабря 2014 года (остаток суммы к исполнению и все проценты, начисленные к данному моменту). Кроме того, ко всем свободным денежным потокам, создаваемым Варваринским до полного погашения всех обязательств, будет применяться механизм автоматического списания.
Группа предоставила Синдикату банков корпоративное поручительство в размере 90,000 долл. США. которое может быть использовано в определенных ограниченных обстоятельствах.</t>
  </si>
  <si>
    <t>В апреле 2009 года Компания подписала предварительный меморандум о взаимопонимании с четырьмя российскими частными компаниями, не являющимися связанными сторонами, в соответствии с которым Компания может приобрести 100% акций ООО «Рудник Кварцевый» («Рудник Кварцевый») за вознаграждение в размере 10,000,000 обыкновенных акций Компании. Рудник Кварцевый является держателем лицензии на добычу золота и серебра на месторождении Сопка Кварцевая и владеет 100% акций ООО «Внешстройгрупп», имеющего лицензию на добычу золота и серебра на месторождении Дальний. Оба месторождения расположены в Северо-Эвенском районе Магаданской области. Помимо лицензионных участков, Рудник Кварцевый располагает горнодобывающим оборудованием и инфраструктурой на территории месторождения Сопка Кварцевая. Группа намеревается поставлять руду, добытую на Руднике Кварцевом, на один из своих перерабатывающих заводов в Магаданской области.
В октябре 2009 года Группа приобрела 100% акций Рудника Кварцевый за денежное вознаграждение в размере 3,391 долл. США и в обмен на передачу 10,000,000 обыкновенных акций ОАО «Полиметалл», оцениваемых на дату сделки в 90,600 долл. США.</t>
  </si>
  <si>
    <t>В январе 2009 года Группа приобрела акции ЗАО «Артель старателей «Аякс» («Аякс») в количестве 4,166 штук (10.39%) у Silver Ster Ltd., дочерней компании несвязанной стороны Ovoca Gold Pic за денежное вознаграждение в размере 3,926 долл. США. Аякс владеет лицензией на разведку и освоение месторождения серебра Гольцовое, расположенного на территории Магаданской области Российской Федерации. Помимо лицензии Аякс располагает горнодобывающим оборудованием и инфраструктурой на территории месторождения Гольцовое. В январе 2009 года несвязанная сторона Verda Financial Ltd. («Verda») приобрела оставшиеся 89.61% акций Аякса. Одновременно с этими сделками Компания подписала предварительное письмо о намерениях с Verda, наделяющее Компанию правом приобретения 89.61% акций Аякса в обмен на 7,500.000 обыкновенных акций Компании. В рамках данного соглашения Компания предоставила Verda займ в размере 10,000 долл. США, который последняя использовала для финансирования приобретения 89.61% акций Аякса. Данный займ подлежал погашению после завершения приобретения акций у Verda или принятия Компанией решения аннулировать письмо о намерениях.
В октябре 2009 года Группа приобрела оставшиеся 35,934 акции Аякса (89.61%) у Verda Financial Ltd. в обмен на 7,500,000 обыкновенных акций Компании. Займ в размере 10,000 долл. США был погашен Verda в полном объёме при приобретении данных акций. Поскольку Аякс не отвечает определению бизнеса, содержащемуся в КСБУ 805, он был отражен как приобретение группы активов.</t>
  </si>
  <si>
    <t>ООО «Хвойное»</t>
  </si>
  <si>
    <t>В сентябре 2023 года Группа реализовала 60% принадлежащей ей доли в уставном капитале ООО «Хвойное» с целью привлечения льготного проектного финансирования строительства золотоизвлекательной фабрики для переработки руды на месторождении Хвойное. Месторождение Хвойное является частью лицензии Нижнеякокитского рудного поля и принадлежит АО «Золото Селигдара». В результате сделки Группа сохранила существенное влияние над Обществом и дальнейшее отражение ООО «Хвойное» в консолидированной финансовой отчетности ПАО «Селигдар» будет осуществляться по методу долевого участия.</t>
  </si>
  <si>
    <t>В июне 2021 года в рамках приобретения ООО «Нирунган», а также с согласия ФАС России ПАО «Селигдар» приобрело компанию ООО «Юрский». Величина приобретаемой доли составила 70%, доля приобретена у связанной стороны. Приобретение компании ООО «Юрский» не оказало существенного влияния на финансовые результаты, активы и обязательства Группы.</t>
  </si>
  <si>
    <t>ООО «Хохой»</t>
  </si>
  <si>
    <t>ООО «Двадцать третья концессионная компания»</t>
  </si>
  <si>
    <t>ООО «Рябиновое»</t>
  </si>
  <si>
    <t>Росгеология</t>
  </si>
  <si>
    <t>В июле 2021 года в рамках совместного освоения участка недр Хохойское рудное поле, Группа приобрела у «Росгеологии» 75% доли в компании ООО «Хохой», владеющей лицензией на геологическое изучение одноименного месторождения рудного золота. Стоимость инвестиции составила 40 000 тысяч рублей. Приобретение компании ООО «Хохой» не оказало существенного влияния на финансовые результаты, активы и обязательства Группы.</t>
  </si>
  <si>
    <t>В ноябре 2021 года с целью расширения масштабов бизнеса ПАО «Селигдар» приобрело 51% доли в уставном капитале ООО «Двадцать третья концессионная компания», которое является держателем лицензии на геологическое изучение, поиск и оценку полезных ископаемых на участке недр Школьный, находящий на территории Алданского района Республики Саха (Якутия).</t>
  </si>
  <si>
    <t>В декабре 2021 года ПАО «Селигдар» выкупило долю в размере 99,99% в уставном капитале ООО «Рябиновое» принадлежащую АО «Золото Селигдара», став единственным участником Общества. Сделка проведена внутри Группы и не оказала влияния на ее финансовое состояние.</t>
  </si>
  <si>
    <t>В феврале 2020 года Группа приобрела дополнительно 2,65% пакет акций ПАО «Русолово».</t>
  </si>
  <si>
    <t>В 2020 году в целях реорганизации приобрела долю меньшинства в компании ООО «Теплосервис», результат по сделке отражен в отчете о движении капитала Группы.</t>
  </si>
  <si>
    <t>ООО «Теплосервис»</t>
  </si>
  <si>
    <t>Во 2 и 3 квартале 2017 года Группа (получив согласование Федеральной Антимонопольной Службы России) провела сделку по покупке ПАО «Русолово» и его дочерней компании (ОАО "Оловянная рудная компания"). По результатам сделки Группа получила контроль над 88.78% ПАО «Русолово». Общая стоимость сделки составила 6 458 495 тыс. рублей. По состоянию на 31 декабря 2017 года сделка полностью оплачена и завершена Группой.</t>
  </si>
  <si>
    <t>В июне 2015 года Группой реализована компания ООО «Газнефтеинжиниринг» в размере 100% имеющейся доли компании ООО «Бронкс-М» на сумму 245 729 тыс. руб. По состоянию на отчетную дату дебиторская задолженность ООО «Бронкс-М», связанная с выбытием компании, полностью погашена.</t>
  </si>
  <si>
    <t>В 2012 году Группа приобрела 100% доли владения в ООО «Азимут» и ЗАО «Прейсиш-Эйлау». Общая сумма денежных инвестиции составила 21 572 тыс. долларов США. Вследствие того, что эти компании не являются операционными и все их активы представлены акциями ОАО «Селигдар», Группа отразила покупку этих компаний как выкуп собственных акций с отражением превышения суммы уплаты над номиналом акций в уменьшение капитала Группы.</t>
  </si>
  <si>
    <t>В 2013 году Группа приобрела 25% в компании ПАО «Русолово». основной деятельностью которой является добыча олова на общую сумму 739 944 тыс. руб. (23 187 тыс. долл.) В настоящий момент проект находится в стадии развития.</t>
  </si>
  <si>
    <t>в 2010 году группа приобрела 100% долой ООО "Газнефтеинжиниринг" единственным активом которой било мание учтенное в составе инвестиционной недвижимости ООО "Газнефтеинжиниринг" не вело хозяйственной деятельности. Группа рассматривала приобретение ООО «Газнефтеинжиниринг» как приобретение активов в соответствии с IFRS 3.</t>
  </si>
  <si>
    <t>01 Декабри 2011 Года Группа приобрела 100% компании ООО "Авес-Байкал" у компаний Маслю Холдинге Лимитед на общую сумму 6 270 тыс долларов</t>
  </si>
  <si>
    <t>В 2011 году Группа приобрела миноритарные доли компаний ООО «Оренбургская Горная Компания», ООО «Артель старателей «Поиск», ООО "Артель старателей "Сининда-1"</t>
  </si>
  <si>
    <t>31 Декабря 2010 Года Группа приобрела 67% компании ООО Артель старателей «Сининда-1» у компаний ФРТ Ассетс Лимитед, Тейт Инаестмемтс Лимитед и Бэкстар Холдинге Лимитед на общую сумму 20.363 тыс. долларов.</t>
  </si>
  <si>
    <t>14 сентября 2010 года Группа продала 29.9% долю в уставном капитале ООО «Территория». 30 сентября 2010 года Группе продала оставшуюся 36.9% долю в уставном капитале ООО «Территория».</t>
  </si>
  <si>
    <t>В 2010 году ОАО "Селигдар" приобрело 44.371% в АО "Алданзолотобанк".</t>
  </si>
  <si>
    <t>АО "Алданзолотобанк"</t>
  </si>
  <si>
    <t>Финансовая деятельность (банк)</t>
  </si>
  <si>
    <t>ООО «Оренбургская Горная Компания», ООО «Артель старателей «Поиск», ООО "Артель старателей "Сининда-1"</t>
  </si>
  <si>
    <t>ПАО "Южуралзолото Группа Компаний"</t>
  </si>
  <si>
    <t>UGLD</t>
  </si>
  <si>
    <t>22 ноября 2023 года ПАЮ «ЮГК» провела первичное публичное размещение 12,7 млрд шт. обыкновенных акций на Московской бирже. Номинал акции составляет 0,001 рубль каждая. В результате проведенного размещения Группа привлекла 7 млрд руб.</t>
  </si>
  <si>
    <t>В октябре 2023 года Группа заключила договор купли-продажи 30% акций Hebei Wenfeng New Materials Co., Ltd. – завода по производству глинозема, расположенного в Китае. Все права, связанные с приобретенной долей, были переданы Группе в апреле 2024 года, поэтому Группа признала инвестицию в своей неаудированной консолидированной промежуточной сокращенной финансовой отчетности за шесть месяцев, закончившихся 30 июня 2024 года. Выплаченная сумма составила 264 млн долларов США. На дату публикации данной отчетности оценка покупки не была завершена и может быть ретроспективно закончена в течение двенадцати месяцев с момента транзакции.</t>
  </si>
  <si>
    <t>Hebei Wenfeng New Materials Co., Ltd.</t>
  </si>
  <si>
    <t>16 сентября 2011 года UC RUSAL заключила соглашение о покупке акций с норвежской Norsk Hydro ASA с целью приобретения оставшихся 35% акций Alumina Partners of Jamaica («Alpart») за денежное вознаграждение в размере 46 миллионов долларов США, после чего компания стала полностью контролируемой.</t>
  </si>
  <si>
    <t>В апреле 2012 года Группа приобрела 33% акций North United Aluminium за 16 млн долл. США. North United Aluminium — китайский трейдер, специализирующийся на торговле алюминием, сплавами и другими цветными металлами.</t>
  </si>
  <si>
    <t>27 января 2010 года Компания успешно завершила Глобальное размещение. По завершении размещения Компания выпустила 1 636 363 646 новых акций, что составляет около 11% от выпущенных и находящихся в обращении акций Компании (выпущенный акционерный капитал Компании был увеличен до 13 500 000 000 акций непосредственно перед размещением в результате эмиссии капитализации). Компания привлекла около 2 188 млн долл. США за вычетом связанных расходов в размере 48 млн долл. США, из которых 2 143 млн долл. США были направлены на погашение основного долга Компании перед ее международными и российскими кредиторами (за исключением Государственной корпорации «Банк развития и внешнеэкономической деятельности», именуемой далее «ВЭБ») и «Онэксим». В дополнение к 48 млн долл. США, напрямую связанным с размещением вновь выпущенных акций и отраженным в составе капитала, расходы на листинг в размере 34 млн долл. США были напрямую отнесены на отчет о прибылях и убытках, поскольку эти расходы были связаны с допуском всего акционерного капитала Компании к торгам на Гонконгской фондовой бирже Limited и Euronext Paris, а не с размещением новых акций, что привело к увеличению капитала. UC RUSAL также выплатила комиссии своим международным кредиторам и Onexim в связи с реструктуризацией задолженности.</t>
  </si>
  <si>
    <t>Производство аллюминия</t>
  </si>
  <si>
    <t>ООО «ТМК ТР»</t>
  </si>
  <si>
    <t>В январе 2024 г. Группа приобрела 8%-ную долю в компании ООО «ТМК ТР», производителе сварных труб большого диаметра, за денежное вознаграждение 1 300. До даты приобретения Группа владела 50%-ной долей в ТМК ТР, которая была учтена в составе инвестиций в ассоциированные компании и совместные предприятия. Балансовая стоимость инвестиции на дату приобретения составила 558. Доход от переоценки ранее имеющейся доли составил 7 115 и был отражен в составе прибыли/(убытка) от ассоциированных компаний и совместных предприятий.</t>
  </si>
  <si>
    <t>В феврале 2024 г. Группа приобрела 100%-ную долю участия в ООО «ГК ЧЕРМЕТ», торгово-сбытовой компании, специализирующейся на поставках металлолома, за денежное вознаграждение 5 001. Вознаграждение было выплачено в 2023 г. По состоянию на дату приобретения справедливая стоимость чистых активов компании составила 994 по предварительной оценке. Гудвил, возникший в результате приобретения, составил 4 007. Гудвил связан с ожидаемым эффектом синергии, обусловленным интеграцией приобретенного бизнеса в состав трубно-металлургического операционного сегмента.</t>
  </si>
  <si>
    <t>В июне 2024 г. Группа продала 100%-ную долю участия в ООО «ТМК - Ярцевский метзавод» за денежное вознаграждение 8 648. Убыток от продажи доли (до налога на прибыль) составил 5 451. Стоимость выбывших чистых активов составила 14 099, в том числе основные средства – 12 553 и гудвил – 1 984. В отчетном периоде Группа получила денежное вознаграждение в размере 2 300 за продажу доли.</t>
  </si>
  <si>
    <t>22 января 2024 г. в соответствии с решением Банка России осуществлена государственная регистрация дополнительного выпуска обыкновенных акций ПАО «ТМК», размещаемых путем закрытой подписки. Количество размещаемых акций дополнительного выпуска составило 40 000 000 штук номинальной стоимостью 10 рублей каждая. Цена размещения – 220,68 рублей за акцию. В результате дополнительной эмиссии размещено 18 864 634 штуки акций на общую сумму 4 163,05. Уставный капитал Компании по итогам завершения дополнительной эмиссии составил 10 520. Отчет об итогах дополнительного выпуска обыкновенных акций Компании зарегистрирован в соответствии с решением Банка России от 22 апреля 2024 г. Изменения в Устав Компании зарегистрированы 7 мая 2024 г.</t>
  </si>
  <si>
    <t>TRMK</t>
  </si>
  <si>
    <t>ООО «ТМК - Ярцевский метзавод»</t>
  </si>
  <si>
    <t>ООО «ГК ЧЕРМЕТ»</t>
  </si>
  <si>
    <t>В сентябре 2023 г. Группа продала 100%-ные доли в ООО «ТМК МЕТА» и ООО «МетаИнвест». Прибыль от продажи долей составила 580. Стоимость выбывших чистых активов дочерних компаний составила 5 872, в том числе внеоборотные активы - 1 552, оборотные активы - 7 201, долгосрочные обязательства - 118 и краткосрочные обязательства - 2 763.</t>
  </si>
  <si>
    <t>В августе 2023 г. Группа продала 100%-ную долю в ТОО «ТМК-Казтрубпром». Прибыль от продажи доли составила 89.</t>
  </si>
  <si>
    <t>В декабре 2022 г. Группа продала 100%-ную долю в TMK Europe GmbH и его дочерних предприятиях, включая завод в Румынии TMK-ARTROM S.A. Убыток от продажи доли с учетом курсовых разниц, которые были переведены в отчет о прибылях и убытках в результате выбытия, в размере 5 109, составил 3 355.</t>
  </si>
  <si>
    <t>В декабре 2022 г. Группа продала 100%-ную долю в TMK Global S.A. и его дочерних предприятиях. Убыток от продажи доли с учетом курсовых разниц, которые были переведены в отчет о прибылях и убытках в результате выбытия, в размере 439, составил 1 519.</t>
  </si>
  <si>
    <t>В декабре 2022 г. Группа продала 50%-ную долю в ООО «ТМК Трубопроводные решения» (далее по тексту - «ТМК ТР»). Прибыль от продажи доли составила 616. Оставшаяся 50%-ная доля в ТМК ТР была включена в инвестиции в ассоциированные компании и совместные предприятия по справедливой стоимости. Балансовая стоимость инвестиции в ТМК ТР на 31 декабря 2022 г. составила 0. По состоянию на 31 декабря 2023 г. 50%-ная доля Группы в ТМК ТР находилась в залоге у банка в качестве обеспечения по кредиту ТМК ТР.</t>
  </si>
  <si>
    <t>В декабре 2022 г. Группа приобрела 51%-ную долю в компании АО «ЧЗМК» (далее «ЧЗМК») за вознаграждение в размере 4 499. В течение 2023 г. Группа приобрела дополнительно 45,36% акций АО «ЧЗМК» за 4 001. ЧЗМК является одним из ведущих производителей стальных строительных конструкций и специализируется на изготовлении сборных конструкций для производственных зданий, объектов транспортной инфраструктуры и прочих сооружений. В результате интеграции ЧЗМК Группа ожидает диверсифицирование рынков сбыта и продуктовой линейки, а также увеличение присутствия в различных отраслях промышленности.</t>
  </si>
  <si>
    <t>В июле 2022 г. Группа приобрела 100%-ную долю в ООО «УК СПТ» за вознаграждение в размере 1 393. Справедливая стоимость чистых активов компании на дату сделки составила 831. Гудвил, возникший в результате приобретения, составил 562.</t>
  </si>
  <si>
    <t>АО «ЧЗМК»</t>
  </si>
  <si>
    <t>ООО «ТМК МЕТА» и ООО «МетаИнвест»</t>
  </si>
  <si>
    <t>ТОО «ТМК-Казтрубпром»</t>
  </si>
  <si>
    <t>TMK Europe GmbH</t>
  </si>
  <si>
    <t>TMK Global S.A.</t>
  </si>
  <si>
    <t>ООО «УК СПТ»</t>
  </si>
  <si>
    <t>Производство стальных строительных конструкций, изготовление сборных конструкций для производственных зданий, объектов транспортной инфраструктуры и прочих сооружений</t>
  </si>
  <si>
    <t>15 марта 2021 г. Группа приобрела 86,54% - долю в компании АО «ЧТПЗ» и ее дочерних предприятиях (далее - «ЧТПЗ») за денежное вознаграждение в размере 69 316. В течение 2021 г. в рамках обязательного предложения о выкупе акций Группа приобрела оставшиеся 13,46% акций АО «ЧТПЗ» за 13 091, в результате доля владения Группы в ЧТПЗ составила 100%.</t>
  </si>
  <si>
    <t>В октябре 2020 г. Группа приобрела контрольный пакет акций предприятий, входящих в состав ООО «Трубы 2000», одного из ведущих в России производителей трубопроводных систем для атомной энергетики, за вознаграждение в размере 400. Данное приобретение позволит Группе расширить сотрудничество с Госкорпорацией «Росатом» и ускорит развитие компетенций Группы в сегменте оборудования для атомных станций. Оценка активов и обязательств компании была завершена в 1 квартале 2021 г. Справедливая стоимость приобретенных активов и принятых обязательств составила 1 414 и 1 014, соответственно. Стоимость неконтролирующих долей участия составила 42. Гудвил, возникший в результате приобретения, составил 42.</t>
  </si>
  <si>
    <t>2 января 2020 г. Группа завершила продажу американской дочерней компании IPSCO компании Tenaris за 63 437. 22 марта 2019 г. Группа подписала договор купли-продажи с Tenaris, производителем бесшовных и сварных труб, на продажу 100% акций IPSCO. Общая цена сделки составила 1 209 млн. долларов США, без учета денежных средств и долговых обязательств на балансе, но включая 270 млн. долларов США оборотного капитала. Условием совершения сделки являлось выполнение определенных договором купли-продажи предварительных условий, включая, в том числе, получение всех необходимых разрешений и одобрений. С даты договора куплипродажи Группа классифицировала IPSCO как выбывающую группу, предназначенную для продажи, и как прекращенную деятельность. 17 декабря 2019 г. Министерство юстиции США одобрило сделку по продаже IPSCO, которая была завершена 2 января 2020 г. (дата закрытия). Вознаграждение за продажу IPSCO, полученное Группой на дату закрытия, составило 1,067 млрд. долларов США. Окончательная цена продажи была определена с учетом корректировок, предусмотренных договором, в том числе, чтобы учесть фактические суммы оборотного капитала, долговых обязательств на дату закрытия и некоторые другие поправки. Цена сделки была окончательно определена во втором квартале 2020 года и составила 1,029 млрд. долларов США.</t>
  </si>
  <si>
    <t>В октябре 2020 г. в рамках реализации долгосрочной стратегии, направленной на диверсификацию портфеля продуктов и услуг, Группа приобрела 100%-ную долю в компании ООО «ТМК – Ярцевский метзавод» (прежнее название – ООО «Парус»), которая представляет собой литейно-прокатный комплекс, расположенный в городе Ярцево Смоленской области. Производственная мощность предприятия составляет более 300 тыс. тонн сортового проката в год. На дату публикации консолидированной финансовой отчетности за 2020 год распределение цены покупки не было завершено. Справедливая стоимость активов и обязательств на дату приобретения была отражена по предварительной оценке. Оценка активов и обязательств компании была завершена в 1 квартале 2021 г., в результате справедливая стоимость основных средств на дату приобретения увеличилась на 228 с соответствующим увеличением отложенных налоговых обязательств на 45 и уменьшением гудвила на 183.</t>
  </si>
  <si>
    <t>За год по 31 декабря 2016 г. Группа приобрела дополнительно акции ПАО «Синарский трубный завод» и ПАО «Северский трубный завод» за денежное вознаграждение в размере 16. Разница между стоимостью выплаченного вознаграждения и балансовой стоимостью приобретенной неконтролирующей доли участия в размере 11 была отражена в составе дополнительного оплаченного капитала.</t>
  </si>
  <si>
    <t>ПАО «Синарский трубный завод» и ПАО «Северский трубный завод»</t>
  </si>
  <si>
    <t>В сентябре 2016 г. Группа продала 75%-ную долю участия в компании OFS Development S.a r.l., которая владела активами по сервисному обслуживанию трубной продукции и производству аксессуаров для нефтегазодобывающей отрасли в США, за вознаграждение в размере 156. В результате транзакции был признан убыток в размере 98 (включая перевод из состава капитала накопленных курсовых разниц от пересчета в валюту представления в размере 399). Балансовая стоимость выбывших чистых активов и обязательств составила 871, балансовая стоимость неконтролирующих долей участия, признание которых было прекращено, составила 218.</t>
  </si>
  <si>
    <t>В феврале 2015 г. Группа приобрела бизнес по заканчиванию скважин за 573. Приобретение данного бизнеса позволяет Группе выйти на рынок услуг по заканчиванию скважин и расширить ассортимент продуктов и услуг, реализуемых клиентам. Справедливая стоимость чистых идентифицируемых активов бизнеса на дату приобретения составила 422. Превышение стоимости приобретения над справедливой стоимостью чистых активов в размере 151 было отражено в составе гудвила.</t>
  </si>
  <si>
    <t xml:space="preserve">В декабре 2016 г. Группа продала 100%-ную долю участия в ООО «ТМК ЧЕРМЕТ» (и его дочерних компаниях) предприятию, находящемуся под общим контролем с ПАО «ТМК», за вознаграждение в размере 5 000. Выбытие позволило Группе оптимизировать уровень ликвидности и укрепить денежную позицию. В результате продажи была признана прибыль в размере 2 256. ООО «ТМК ЧЕРМЕТ» исторически является основным поставщиком лома черных металлов для заводов Группы. </t>
  </si>
  <si>
    <t>Компания была приобретена в феврале 2015 г. за 2 729. Справедливая стоимость идентифицируемых чистых активов бизнеса на дату приобретения составила 1 058. В результате сделки Группа признала гудвил в размере 1 671. ООО «ТМК ЧЕРМЕТ» является одним из крупнейших участников российского рынка лома черных металлов; компания осуществляет заготовку, переработку и поставку лома черных металлов металлургическим предприятиям, а также услуги по комплексному материально - техническому снабжению. В 2015 г. ООО «ЧсрметСсрвис-Снабжение» было переименовано в ООО « ТМК ЧЕРМЕТ».</t>
  </si>
  <si>
    <t>В апреле 2013 года Группа приобрела бизнес по сервисному обслуживанию трубной продукции и производству аксессуаров для нефтегазодобывающей отрасли, расположенный в США, за 26,6 миллиона долларов США (835 по обменному курсу на дату осуществления платежа). В течение 2013 года Группа полностью выплатила вознаграждение за приобретение бизнеса. Затраты, связанные с приобретением, на сумму 41 были отражены в составе общехозяйственных и административных расходов в консолидированном отчете о прибылях и убытках за год по 31 декабря 2013 г.</t>
  </si>
  <si>
    <t>27 марта 2013 г. Группа продала 81%-ную долю участия в ООО "Складской комплекс ТМК".</t>
  </si>
  <si>
    <t>В 2012 году Компания приобрела дополнительные 0,74% акций ОАО "Северский трубный завод”, 0,57% акций ОАО “Синарский трубный завод”, 0,25% акций ОАО "Таганрогский металлургический завод”. Общая сумма денежного вознаграждения за акции составила 129. Превышение балансовой стоимости приобретаемой доли в чистых активах дочерних предприятий над суммой, уплаченной за акции, на 53, было отражено в составе дополнительного оплаченного капитала.</t>
  </si>
  <si>
    <t>В 2012 году Компания приобрела 0,96% акций ОАО "Северский трубный завод" и 2,31% акций ОАО "Синарский трубный завод” в обмен на 1 860 868 собственных акций Компании. Превышение балансовой стоимости приобретаемых долей в чистых активах над стоимостью переданных собственных акций на 160 было отражено в составе дополнительного оплаченного капитала.</t>
  </si>
  <si>
    <t>ПАО «Синарский трубный завод», ПАО «Северский трубный завод», ОАО "Таганрогский металлургический завод”</t>
  </si>
  <si>
    <t>2 декабря 2012 г. Группа приобрела 55% голосующих акций Gulf International Pipe Industry LLC ("GIPI"), компании, расположенной в Султанате Оман и специализирующейся на производстве сварных стальных труб.</t>
  </si>
  <si>
    <t>3 августа 2012 г. Группа приобрела 100%-ную долю участия в ООО "Уральский двор" (гостиничный комплекс) за денежное вознаграждение в размере 199. Справедливая стоимость чистых идентифицируемых активов и обязательств приобретаемой компании на дату приобретения составила 92, включая стоимость основных средств в размере 107. Превышение стоимости приобретения над справедливой стоимостью чистых активов ООО "Уральский двор" в размере 107 было отражено в качестве гудвила. В 2012 году денежные средства, связанные с приобретением, составили 184, за вычетом приобретенных денежных средств на сумму 15.</t>
  </si>
  <si>
    <t>В 2011 году Компания дополнительно приобрела 0,26% акций ОАО «Северский трубный завод», 0,13% акций ОАО «Синарский трубный завод», 0,03% акций ОАО «Таганрогский металлургический завод». Общая сумма денежного вознаграждения за акции составила 1,374. Превышение в размере 14 суммы вознаграждения, уплаченного за акции, над балансовой стоимостью чистых активов, приходящихся на долю участия ОАО «Таганрогский металлургический завод», было отнесено на накопленную прибыль. Превышение в размере 439 балансовой стоимости чистых активов, приходящихся на долю участия в ОАО «Северский трубный завод» и ОАО «Синарский трубный завод», над суммой вознаграждения, уплаченного за такую ​​неконтрольную долю участия, было отражено в составе добавочного оплаченного капитала.</t>
  </si>
  <si>
    <t>4 августа 2011 года Группа приобрела 25,5% доли участия в ОАО "Волгоградский речной порт" за вознаграждение в размере 112 825 тыс. руб. (4 004 по обменным курсам на даты оплаты). По состоянию на 31 декабря 2011 года присутствовали признаки обесценения инвестиции в ОАО "Волгоградский речной порт". В связи с этим, Группа провела на указанную дату  проверку на предмет обесценения данной инвестиции. По результатам проведенной проверки Группа определила, что балансовая стоимость инвестиции в ОАО "Волгоградский речной порт" превысила ее возмещаемую сумму. В связи с этим Группа отразила обесценение инвестиции в ОАО "Волгоградский речной порт" на сумму 1 833.</t>
  </si>
  <si>
    <t>27 мая 2011 года Группа продала 100% доли участия в TMK HYDROENERGY POWER S.R.L. В декабре 2010 года Группа получила вознаграждение от покупателя в размере 26 027. Полученное денежное вознаграждение было включено в состав авансов от покупателей и заказчиков.</t>
  </si>
  <si>
    <t>В 2010 году Компания приобрела дополнительные 0,15% акций ОАО "Северский трубный завод", 0,11% акций ОАО "Синарский трубный завод", 0,04% акций ОАО "Таганрогский металлургический завод" и 49% долей участия в ООО "ТМК Металлургические услуги". Общая сумма денежного вознаграждения за акции составила 1 254.</t>
  </si>
  <si>
    <t>ПАО «Синарский трубный завод», ПАО «Северский трубный завод», ОАО "Таганрогский металлургический завод”, ООО "ТМК Металлургические услуги"</t>
  </si>
  <si>
    <t>14 марта 2008 года Группа заключила с Evraz Group S.A. (далее - "Evraz") договор о выкупе 100% акций IPSCO Tubulars Inc. и 51% акций NS Group Inc. (обе компании зарегистрированы и расположены в США) у Svenskt Stal AB (далее - "SSAB"), шведской сталелитейной компании. В рамках сделки 11 июня 2008 года Группа заключила соглашение о пут-колл опционе с Evraz, в соответствии с которым Группа имеет право приобрести у Evraz, а Evraz имеет право продать Группе 49% акций NS Group, Inc. за 510 625. Таким образом, по существу, Группа приобрела 100% доли участия в NS Group Inc., поскольку Группа получила доступ к экономическим выгодам, связанным с данным участием. Срок исполнения колл-опциона Группы наступил 12 июня 2008 года. Evraz мог исполнить пут-опцион 22 октября 2009 года или после этой даты. На обязательство по пут-колл опциону начислялись проценты в размере 10% годовых. 22 января 2009 года Группа и Evraz внесли поправки в опционное соглашение, уменьшив цену исполнения опциона с 510 625 до 507 542, а также исключив из него статью о начислении процентов. 30 января 2009 года ТМК исполнила опцион на покупку 49% акций NS Group. В результате Группа признала прибыль от погашения задолженности в размере 32 251</t>
  </si>
  <si>
    <t>В декабре 2010 года Группа продала свою долю участия в ООО "Северный Европейский Трубный Проект" в размере 2,05% третьему лицу. Общая стоимость сделки составила 28 809 тыс. руб. (945 по обменному курсу на 31 декабря 2010 года). Группа признала прибыль от выбытия в размере 879 в качестве финансового дохода за год по 31 декабря 2010 года.</t>
  </si>
  <si>
    <t>10 сентября 2009 года Группа реализовала акции ВТБ на сумму 8 177. В результате Группа признала прибыль от выбытия в размере 1 988 в качестве финансового дохода за год по 31 декабря 2009 года.</t>
  </si>
  <si>
    <t>В декабре 2009 года Группа продала свою долю участия в ООО "Северный Европейский Трубный Проект" в размере 12% третьему лицу. Общая стоимость сделки составила 24 100 тыс. руб. (797 по обменному курсу на 31 декабря 2009 года). Группа признала прибыль от выбытия в размере 379. Группа перестала использовать метод долевого участия с даты потери существенного влияния. На 31 декабря 2010 года инвестиции в ООО "Северный Европейский Трубный Проект" были отражены по фактической стоимости в составе прочих внеоборотных активов.</t>
  </si>
  <si>
    <t>ПАО «Синарский трубный завод», ПАО «Северский трубный завод», ОАО "Таганрогский металлургический завод”, SC TMK-RESITA SA</t>
  </si>
  <si>
    <t>В 2009 году Компания приобрела дополнительно 0,69% акций ОАО "Северский трубный завод", 1,21% акций ОАО "Синарский трубный завод", 0,12% акций ОАО "Таганрогский металлургический завод" и 0,51% акций SC TMK-RESITA SA. Общая сумма денежного вознаграждения за акции составила 9 349.</t>
  </si>
  <si>
    <t>ООО "Трейдсервис"</t>
  </si>
  <si>
    <t>"Хунжи-Акрон" (Shandong Hongri Acron Chemical Joint Stock Company Ltd)</t>
  </si>
  <si>
    <t>ОАО "Астраханская нефтегазовая компания"</t>
  </si>
  <si>
    <t>В сентябре 2010 года Группа приобрела 18,98% акций ОАО «Уралредмет». OAO «Уралредмет» является одним из ключевых поставщиков лигатур для Группы.</t>
  </si>
  <si>
    <t>В апреле 2011 года Группа приобрела 6,03% акций ОАО «Уралредмет», стоимостью 6 168 тыс. долл. США или 181 261 тыс. руб. После этого приобретения общая сумма акций в ОАО «Уралредмет» возросла до 25% + 1 акция и Группа получила существенное влияние на операционную и финансовую деятельность компании. Инвестиции в ОАО «Уралредмет» были осуществлены Группой с целью обеспечения поставок одного из основных видов сырья, используемого в производстве титановых продуктов.</t>
  </si>
  <si>
    <t>В сентябре 2014 года Группа приобрела долю 27,02% в уставном капитале компании ООО «Авиакапитал-Сервис». Группа конвертировала заём, выданный данной компании в 2012 году в размере 8 265 тыс. долл. США или 465 000 тыс. руб., в долю в уставном капитале данной компании. После данной операции Группа получила возможность оказывать существенное влияние на операционную и финансовую деятельность компании. ООО «Авиакапитал-Сервис» работает в сфере лизинга воздушных судов и в текущий момент имеет два договора на поставку новых воздушных судов: Боинг 737 и МС-21.</t>
  </si>
  <si>
    <t>В 2018 году Группа приобрела обыкновенные акции компании ПАО «РусГидро» в количестве 16 865 336 082 штук на сумму 210 777 тыс. долл. США или 12 693 455 тыс. руб.</t>
  </si>
  <si>
    <t>В июле 2011 г. Группа приобрела лицензию на право пользования недрами северной части восточного участка месторождения «Центральное», расположенного в Тамбовской области. Стоимость приобретения составила 50 134 тыс. долл. США или 1 473 317 тыс. руб. Группа продлила срок действия лицензии до 2029 года. Данная лицензия дает право на разведку месторождения и добычу ильменит-рутил-цирконовых песков, которые служат основным сырьем для производства титановой губки. Стоимость приобретения была определена на основании дисконтированных денежных потоков, которые ожидаются от добычи ильменитрутил-цирконовых песков на территории всего восточного участка месторождения «Центральное». Группа собирается получить лицензию на право добычи на территории всего восточного участка месторождения «Центральное». На данный момент Группа не может оценить приблизительные затраты, связанные с таким расширением. До 2015 года Группой был признан убыток от обесценения в сумме 27 811 тыс. долл. США или 902 391 тыс. руб. в связи со снижением цен на титановое сырье, более низким, чем ожидалось, качеством титановых песков месторождения, отсрочкой реализации проекта и изменением ставки дисконтирования. В 2015 году был признан дополнительный убыток от обесценения в сумме 3 035 тыс. долл. США или 185 000 тыс. руб. в связи со снижением цен на ильменитовый концентрат.</t>
  </si>
  <si>
    <t>Северная часть восточного участка месторождения «Центральное» (Тамбовская область)</t>
  </si>
  <si>
    <t>VSMO</t>
  </si>
  <si>
    <t>Met-Titan</t>
  </si>
  <si>
    <t>Добыча и производство титана</t>
  </si>
  <si>
    <t>В мае 2015 года компании Группы продали собственные акции Компании в количестве 124 814 штук за 1 400 929 тыс. руб. или 23 828 тыс. долл. США. По состоянию на 31 декабря 2015 года в резерве выкупленных собственных акций отражено 5 737 штук (на 31 декабря 2014 года – 130 551 штук).</t>
  </si>
  <si>
    <t>В 2014 году компании Группы выкупили на свободном рынке у миноритарных акционеров собственные акций Компании в количестве 130 551 штук общей стоимостью 1 654 690 тыс. руб. или 29 365 тыс. долл. США.</t>
  </si>
  <si>
    <t>В июле 2012 г. Группа приобрела 75% акций холдинговой компании Limpieza Ltd., зарегистрированной на Кипре, владеющей 100% долей в ООО «Демуринский горно-обогатительный комбинат» (далее ООО «ДГОК»), расположенного в Украине (далее вместе «Группа Limpieza»). Приобретенная группа находится на стадии начала своей деятельности по добыче и обогащению ильменит-циркониевого концентрата, который является основным сырьем для производства титановой губки. Данная сделка была осуществлена с целью обеспечения поставок основного сырья, используемого Группой. Limpieza владеет лицензией на разработку ильменит-циркониевых песков Волчанского месторождения Днепропетровской области. Общее количество запасов месторождения оценивается на уровне 5 миллионов тонн ильменита, рутила, циркония и прочих полезных ископаемых. Группа приобрела лицензию на право разработки месторождения за 44 380 тыс. долл. США или 1 456 420 тыс. руб. Приобретенная группа находится на стадии начала своей деятельности по добыче и обогащению ильменит-циркониевого концентрата, который является основным сырьем для производства титановой губки. Группа начала разработку месторождения в 2016 году. До 2015 года Группой был признан убыток от обесценения в сумме 18 839 тыс. долл. США или 600 000 тыс. руб. в связи с задержкой реализации проекта и увеличения ставки дисконтирования по причине увеличения странового риска. В 2015 году Группой был признан убыток от обесценения в сумме 7 319 тыс. долл. США или 446 141 тыс. руб. Убыток от  обесценения возник в результате снижения цен на ильменитовый концентрат.По состоянию на 31 декабря 2016 года Группа провела оценку возмещаемой стоимости
лицензии на право пользования недрами месторождения «Волчанское» в Днепропетровской области. Возмещаемая величина была определена на основании ценности использования, рассчитанной путем дисконтирования будущих потоков денежных средств от дальнейшей эксплуатации производственных мощностей.</t>
  </si>
  <si>
    <t>В апреле 2013 года руководство Группы завершило сделку по выкупу 45,42% акций ОАО «Корпорация ВСМПО-АВСИМА» у Государственной корпорации «Ростехнологии». В результате сделки руководство Группы контролирует 50.02% акций ОАО «Корпорация ВСМПО-АВИСМА», в то время как доля Государственной корпорации «Ростехнологии» сократилась до 25% + I акция.</t>
  </si>
  <si>
    <t>ГК «Ростехнологии»</t>
  </si>
  <si>
    <t>В декабре 2017 года Группа получила контроль над компанией ООО «Правоурмийское». В течение предыдущих периодов Группа имела контроль над 33,33% Компании. В декабре 2017 года Группа была назначена управляющей компанией над ООО «Правоурмийское», что в соответствии с Уставом дает право определять решения ООО «Правоурмийское».Группа расценивает эту событие как получение контроля над Компанией. Общая стоимость сделки составила 548 078 тыс. рублей.</t>
  </si>
  <si>
    <t>ООО «Правоурмийское»</t>
  </si>
  <si>
    <t>В августе 2013 года ОАО «Русолово» выкупило контролирующую долю в ОАО «Оловянная рудная компания», доля владения на 31.12.2013 составила 100%.При приобретении ОАО «Оловянная рудная компания» Общество выкупило часть собственных акций, которые в 2015 году были переданы компании ЗАО «Русские Фонды» в счет погашения кредиторской задолженности.</t>
  </si>
  <si>
    <t>ПАО "ДЭК" (ПАО "Дальневосточная энергетическая компания")</t>
  </si>
  <si>
    <t>24 марта 2015 года Группой были проданы акции дочерней компании ОАО «Губеровский ремонтно-механический завод» (ОАО «ГРМЗ»). Сумма сделки составила 25 млн руб. Вся сумма полностью оплачена денежными средствами. Продажа осуществлена в соответствии с решением Совета директоров ПАО «ДЭК» (Протокол от 19 декабря 2014 года № 230). Величина чистых активов ОАО «ГРМЗ» на момент выбытия была отрицательной и составляла 1 млн руб. Прибыль от продажи составила 26 млн руб.</t>
  </si>
  <si>
    <t xml:space="preserve">ООО "Энергокомфорт". Единая амурская сбытовая компания" </t>
  </si>
  <si>
    <t>31 июля 2014 года Группа приобрела 100% долю в уставном капитале ООО «Энергокомфорт» Единая амурская сбытовая компания». ООО «Энергокомфорт» Единая амурская сбытовая компания» занимается реализацией электроэнергии, на территории Амурской области. Стоимость приобретения доли составляет десять тысяч рублей.</t>
  </si>
  <si>
    <t>Title</t>
  </si>
  <si>
    <t>Наименование</t>
  </si>
  <si>
    <t>Sector</t>
  </si>
  <si>
    <t>Industry</t>
  </si>
  <si>
    <t>Eng</t>
  </si>
  <si>
    <t>Рус</t>
  </si>
  <si>
    <t>Date update</t>
  </si>
  <si>
    <t>Created by</t>
  </si>
  <si>
    <t>Создан</t>
  </si>
  <si>
    <t>Дата обновления</t>
  </si>
  <si>
    <t>Иван Семенушкин (ivan.semenushkin@yandex.ru)</t>
  </si>
  <si>
    <t>Comments</t>
  </si>
  <si>
    <t>Данные</t>
  </si>
  <si>
    <t>Ivan Semenushkin (ivan.semenushkin@yandex.ru)</t>
  </si>
  <si>
    <t>M&amp;A Database</t>
  </si>
  <si>
    <t>Sources</t>
  </si>
  <si>
    <t>Источники</t>
  </si>
  <si>
    <t>База данных по сделкам слияний и поглощений (M&amp;A)</t>
  </si>
  <si>
    <t>Homepage</t>
  </si>
  <si>
    <t>Домашняя страница</t>
  </si>
  <si>
    <t>https://fmiasim.ru</t>
  </si>
  <si>
    <t>Компании</t>
  </si>
  <si>
    <t>Companies</t>
  </si>
  <si>
    <t># of column</t>
  </si>
  <si>
    <t>Тип данных</t>
  </si>
  <si>
    <t>input</t>
  </si>
  <si>
    <t>Variable Definitions</t>
  </si>
  <si>
    <t>Определения переменных</t>
  </si>
  <si>
    <t>Definitions</t>
  </si>
  <si>
    <t>Определения</t>
  </si>
  <si>
    <t>Target</t>
  </si>
  <si>
    <t>Country</t>
  </si>
  <si>
    <t>Ticker</t>
  </si>
  <si>
    <t>Type_activ_soourc</t>
  </si>
  <si>
    <t>Title for DB (short)</t>
  </si>
  <si>
    <t>Сountry of registration</t>
  </si>
  <si>
    <t>Сompany - acquisition target</t>
  </si>
  <si>
    <t>Компания - цель поглощения</t>
  </si>
  <si>
    <t>Страна регистрации</t>
  </si>
  <si>
    <t>choice</t>
  </si>
  <si>
    <t>Share</t>
  </si>
  <si>
    <t>Date</t>
  </si>
  <si>
    <t>Date of acquisition</t>
  </si>
  <si>
    <t>Приобретаемая доля</t>
  </si>
  <si>
    <t>Acquired share</t>
  </si>
  <si>
    <t>Year</t>
  </si>
  <si>
    <t>Acquirer</t>
  </si>
  <si>
    <t>Seller</t>
  </si>
  <si>
    <t>Own shares</t>
  </si>
  <si>
    <t>Price_mln$</t>
  </si>
  <si>
    <t>Price_mln€</t>
  </si>
  <si>
    <t>Price_blnRUR</t>
  </si>
  <si>
    <t>MVE_blnRUR</t>
  </si>
  <si>
    <t>EV_blnRUR</t>
  </si>
  <si>
    <t>Sales_blnRUR</t>
  </si>
  <si>
    <t>EBITDA_blnRUR</t>
  </si>
  <si>
    <t>EBIT_blnRUR</t>
  </si>
  <si>
    <t>NI_blnRUR</t>
  </si>
  <si>
    <t>NA_blnRUR</t>
  </si>
  <si>
    <t>ND_blnRUR</t>
  </si>
  <si>
    <t>Price-to-Sales ratio, P/S</t>
  </si>
  <si>
    <t>Цена/Выручка</t>
  </si>
  <si>
    <t>Price-to-Earnings ratio, P/E</t>
  </si>
  <si>
    <t>Цена/Прибыль</t>
  </si>
  <si>
    <t>Price-to-Book ratio, P/B</t>
  </si>
  <si>
    <t>Цена/Балансовая стоимость</t>
  </si>
  <si>
    <t>Стоимость компании/Выручка</t>
  </si>
  <si>
    <t>Стоимость компании/EBITDA</t>
  </si>
  <si>
    <t>Стоимость компании/EBIT</t>
  </si>
  <si>
    <t>EV/Invested Capital</t>
  </si>
  <si>
    <t>Стоимость компании/Инвестированный капитал</t>
  </si>
  <si>
    <t>calculation</t>
  </si>
  <si>
    <t>Год сделки</t>
  </si>
  <si>
    <t>Year of deal</t>
  </si>
  <si>
    <t>Сделка с собственными акциями</t>
  </si>
  <si>
    <t>Deal with own shares</t>
  </si>
  <si>
    <t>Цена в млн.евро</t>
  </si>
  <si>
    <t>Рыночная стоимость собственного капитала в млрд.руб.</t>
  </si>
  <si>
    <t>Market Value of Equity in blnRUR</t>
  </si>
  <si>
    <t>Enterprice Value in blnRUR</t>
  </si>
  <si>
    <t>Стоимость компании в млрд.руб.</t>
  </si>
  <si>
    <t>Стоимость сделки в млн.долл.</t>
  </si>
  <si>
    <t>Value_mln$</t>
  </si>
  <si>
    <t>Value_mln€</t>
  </si>
  <si>
    <t>Value_blnRUR</t>
  </si>
  <si>
    <t>Value of the deal in mln$</t>
  </si>
  <si>
    <t>Value of the deal in mln€</t>
  </si>
  <si>
    <t>Value of the deal in blnRUR</t>
  </si>
  <si>
    <t>Дата приоретения</t>
  </si>
  <si>
    <t>Цена в млрд.руб.</t>
  </si>
  <si>
    <t>input/calculation</t>
  </si>
  <si>
    <t>Net Assets in blnRUR (as of the last reporting date before the deal)</t>
  </si>
  <si>
    <t>Net Debt in blnRUR (as of the last reporting date before the deal)</t>
  </si>
  <si>
    <t>IC_blnRUR</t>
  </si>
  <si>
    <t>Invested Capital in blnRUR (as of the last reporting date before the deal)</t>
  </si>
  <si>
    <t>Sales in blnRUR (for the last reporting year/LTM before the deal)</t>
  </si>
  <si>
    <t>EBITDA in blnRUR (for the last reporting year/LTM before the deal)</t>
  </si>
  <si>
    <t>EBIT in blnRUR (for the last reporting year/LTM before the deal)</t>
  </si>
  <si>
    <t>Net Income in blnRUR (for the last reporting year/LTM before the deal)</t>
  </si>
  <si>
    <t>Выручка в млрд.руб. (за последний отчетный год/за последние 12 месяцев до сделки)</t>
  </si>
  <si>
    <t>EBITDA в млрд.руб. (за последний отчетный год/за последние 12 месяцев до сделки)</t>
  </si>
  <si>
    <t>EBIT в млрд.руб. (за последний отчетный год/за последние 12 месяцев до сделки)</t>
  </si>
  <si>
    <t>Чистая прибыль в млрд.руб. (за последний отчетный год/за последние 12 месяцев до сделки)</t>
  </si>
  <si>
    <t>Чистый активы в млрд.руб. (на последнюю отчетную дату до сделки)</t>
  </si>
  <si>
    <t>Чистый долг в млрд.руб. (на последнюю отчетную дату до сделки)</t>
  </si>
  <si>
    <t>Инвестированный капитал в млрд.руб. (на последнюю отчетную дату до сделки)</t>
  </si>
  <si>
    <t>ISIN</t>
  </si>
  <si>
    <t>Ticker_ord</t>
  </si>
  <si>
    <t>Ticker_pref</t>
  </si>
  <si>
    <t>Title_Rus</t>
  </si>
  <si>
    <t>Title_Eng</t>
  </si>
  <si>
    <t>Subsidiary_of</t>
  </si>
  <si>
    <t>Website</t>
  </si>
  <si>
    <t>Website_alt</t>
  </si>
  <si>
    <t>RU000A0J2Q06</t>
  </si>
  <si>
    <t>PJSC "Rosneft Oil Company"</t>
  </si>
  <si>
    <t>www.rosneft.ru</t>
  </si>
  <si>
    <t>e-disclosure.ru/portal/company.aspx?id=6505</t>
  </si>
  <si>
    <t>RU0007661625</t>
  </si>
  <si>
    <t>GAZP</t>
  </si>
  <si>
    <t>PJSC "Gazprom"</t>
  </si>
  <si>
    <t>www.gazprom.ru</t>
  </si>
  <si>
    <t>e-disclosure.ru/portal/company.aspx?id=934</t>
  </si>
  <si>
    <t>RU0009024277</t>
  </si>
  <si>
    <t>LKOH</t>
  </si>
  <si>
    <t>PJSC "LUKOIL"</t>
  </si>
  <si>
    <t>www.lukoil.ru</t>
  </si>
  <si>
    <t>e-disclosure.ru/portal/company.aspx?id=17</t>
  </si>
  <si>
    <t>RU0008926258</t>
  </si>
  <si>
    <t>SNGS</t>
  </si>
  <si>
    <t>SNGSP</t>
  </si>
  <si>
    <t>PJSC "Surgutneftegas"</t>
  </si>
  <si>
    <t>www.surgutneftegas.ru</t>
  </si>
  <si>
    <t>e-disclosure.ru/portal/company.aspx?id=312</t>
  </si>
  <si>
    <t>RU0007976957</t>
  </si>
  <si>
    <t>BANE</t>
  </si>
  <si>
    <t>BANEP</t>
  </si>
  <si>
    <t>PJSC "Bashneft"</t>
  </si>
  <si>
    <t>www.bashneft.ru</t>
  </si>
  <si>
    <t>e-disclosure.ru/portal/company.aspx?id=1976</t>
  </si>
  <si>
    <t>RU0009033591</t>
  </si>
  <si>
    <t>TATN</t>
  </si>
  <si>
    <t>TATNP</t>
  </si>
  <si>
    <t>PJSC "Tatneft"</t>
  </si>
  <si>
    <t>www.tatneft.ru</t>
  </si>
  <si>
    <t>disclosure.skrin.ru/disclosure/1644003838</t>
  </si>
  <si>
    <t>RU000A0DKVS5</t>
  </si>
  <si>
    <t>PJSC "NOVATEK"</t>
  </si>
  <si>
    <t>www.novatek.ru</t>
  </si>
  <si>
    <t>e-disclosure.ru/portal/company.aspx?id=225</t>
  </si>
  <si>
    <t>RU0007796819</t>
  </si>
  <si>
    <t>YAKG</t>
  </si>
  <si>
    <t>ПАО "Якутская топливно-энергетическая компания"</t>
  </si>
  <si>
    <t>PJSC "Yakutsk Fuel and Energy Company"</t>
  </si>
  <si>
    <t>www.yatec.ru</t>
  </si>
  <si>
    <t>e-disclosure.ru/portal/company.aspx?id=4994</t>
  </si>
  <si>
    <t>RU0009062467</t>
  </si>
  <si>
    <t>SIBN</t>
  </si>
  <si>
    <t>PJSC "Gazprom Neft"</t>
  </si>
  <si>
    <t>www.gazprom-neft.ru</t>
  </si>
  <si>
    <t>e-disclosure.ru/portal/company.aspx?id=347</t>
  </si>
  <si>
    <t>RU000A0JSE60</t>
  </si>
  <si>
    <t>PJSC "RussNeft"</t>
  </si>
  <si>
    <t>www.russneft.ru</t>
  </si>
  <si>
    <t>e-disclosure.ru/portal/company.aspx?id=534</t>
  </si>
  <si>
    <t>RU0009091573</t>
  </si>
  <si>
    <t>TRNFP</t>
  </si>
  <si>
    <t>PJSC "Transneft"</t>
  </si>
  <si>
    <t>www.transneft.ru</t>
  </si>
  <si>
    <t>e-disclosure.ru/portal/company.aspx?id=636</t>
  </si>
  <si>
    <t>RU0009086904</t>
  </si>
  <si>
    <t>slav</t>
  </si>
  <si>
    <t>PJSC "OGC "SLAVNEFT"</t>
  </si>
  <si>
    <t>www.slavneft.ru</t>
  </si>
  <si>
    <t>e-disclosure.ru/portal/company.aspx?id=560</t>
  </si>
  <si>
    <t>RU0009011126</t>
  </si>
  <si>
    <t>MFGS</t>
  </si>
  <si>
    <t>MFGSP</t>
  </si>
  <si>
    <t>ПАО "Славнефть - Мегионнефтегаз"</t>
  </si>
  <si>
    <t>PJSC "Slavneft-Megionneftegas"</t>
  </si>
  <si>
    <t>www.sn-mng.ru</t>
  </si>
  <si>
    <t>e-disclosure.ru/portal/company.aspx?id=568</t>
  </si>
  <si>
    <t>RU0009046460</t>
  </si>
  <si>
    <t>VJGZ</t>
  </si>
  <si>
    <t>VJGZP</t>
  </si>
  <si>
    <t>ПАО "ННК-Варьеганнефтегаз"</t>
  </si>
  <si>
    <t>PJSC "NNK-Varyoganneftegaz"</t>
  </si>
  <si>
    <t>www.varyeganneftegaz.ru</t>
  </si>
  <si>
    <t>e-disclosure.ru/portal/company.aspx?id=3166</t>
  </si>
  <si>
    <t>RU0009100895</t>
  </si>
  <si>
    <t>JNOS</t>
  </si>
  <si>
    <t>JNOSP</t>
  </si>
  <si>
    <t>ПАО "Славнефть-Ярославнефтеоргсинтез"</t>
  </si>
  <si>
    <t>PJSC "Slavneft-Yaroslavnefteorgsintez"</t>
  </si>
  <si>
    <t>www.yanos.slavneft.ru</t>
  </si>
  <si>
    <t>e-disclosure.ru/portal/company.aspx?id=947</t>
  </si>
  <si>
    <t>RU0009100408</t>
  </si>
  <si>
    <t>KRKN</t>
  </si>
  <si>
    <t>KRKNP</t>
  </si>
  <si>
    <t>ПАО "Саратовский нефтеперерабатывающий завод"</t>
  </si>
  <si>
    <t>PJSC "Saratovskiy NPZ"</t>
  </si>
  <si>
    <t>www.saratov-npz.ru; sarnpz.rosneft.ru/about/Glance/OperationalStructure/Pererabotka/sarnpz/</t>
  </si>
  <si>
    <t>e-disclosure.ru/portal/company.aspx?id=3707</t>
  </si>
  <si>
    <t>RU0006941721</t>
  </si>
  <si>
    <t>SARN</t>
  </si>
  <si>
    <t>sarnp</t>
  </si>
  <si>
    <t>ПАО "Саратовнефтепродукт"</t>
  </si>
  <si>
    <t>PJSC "Saratovnefteprodukt"</t>
  </si>
  <si>
    <t>e-disclosure.ru/portal/company.aspx?id=4801</t>
  </si>
  <si>
    <t>RU0006941705</t>
  </si>
  <si>
    <t>SNFG</t>
  </si>
  <si>
    <t>SNFGP</t>
  </si>
  <si>
    <t>ПАО "Саратовнефтегаз"</t>
  </si>
  <si>
    <t>PJSC "Saratovneftegaz"</t>
  </si>
  <si>
    <t>www.sng.ru</t>
  </si>
  <si>
    <t>e-disclosure.ru/portal/company.aspx?id=4802</t>
  </si>
  <si>
    <t>RU000A0F5HL4</t>
  </si>
  <si>
    <t>RNCU</t>
  </si>
  <si>
    <t>RNCUP</t>
  </si>
  <si>
    <t>ПАО "НК "Роснефть"-Курганнефтепродукт"</t>
  </si>
  <si>
    <t>PJSC "NC "Rosneft" - Kurgannefteprodukt"</t>
  </si>
  <si>
    <t>e-disclosure.ru/portal/company.aspx?id=10272</t>
  </si>
  <si>
    <t>RU0007247250</t>
  </si>
  <si>
    <t>rkch</t>
  </si>
  <si>
    <t>rkchp</t>
  </si>
  <si>
    <t>ПАО "НК "Роснефть"-Карачаево-Черкесскнефтепродукт"</t>
  </si>
  <si>
    <t>PJSC "NC "Rosneft" - Karachaevo-Cherkessknefteprodukt"</t>
  </si>
  <si>
    <t>e-disclosure.ru/portal/company.aspx?id=11530</t>
  </si>
  <si>
    <t>RU000A0B7MT7</t>
  </si>
  <si>
    <t>tlnp</t>
  </si>
  <si>
    <t>tlnpp</t>
  </si>
  <si>
    <t>ПАО "Туланефтепродукт"</t>
  </si>
  <si>
    <t>PJSC "Tulanefteprodukt"</t>
  </si>
  <si>
    <t>e-disclosure.ru/portal/company.aspx?id=9361</t>
  </si>
  <si>
    <t>RU000A1061K1</t>
  </si>
  <si>
    <t>EUTR</t>
  </si>
  <si>
    <t>PJSC "EvroTrans"</t>
  </si>
  <si>
    <t>evrotrans-ao.ru</t>
  </si>
  <si>
    <t>e-disclosure.ru/portal/company.aspx?id=38758</t>
  </si>
  <si>
    <t>RU000A0JPG04</t>
  </si>
  <si>
    <t>RTGZ</t>
  </si>
  <si>
    <t>ПАО "Газпром газораспределение Ростов-на-Дону"</t>
  </si>
  <si>
    <t>PJSC "Gazprom gazorasp. Rostov"</t>
  </si>
  <si>
    <t>www.rostovoblgaz.ru</t>
  </si>
  <si>
    <t>e-disclosure.ru/portal/company.aspx?id=2047</t>
  </si>
  <si>
    <t>RU000A0HGPM9</t>
  </si>
  <si>
    <t>RNHSP</t>
  </si>
  <si>
    <t>JSC "RN Holding"</t>
  </si>
  <si>
    <t>e-disclosure.ru/portal/company.aspx?id=6567</t>
  </si>
  <si>
    <t>RU0009082291</t>
  </si>
  <si>
    <t>CHGZ</t>
  </si>
  <si>
    <t>ПАО "РН-Западная Сибирь"</t>
  </si>
  <si>
    <t>JSC "RN-Western Siberia"</t>
  </si>
  <si>
    <t>Oil-Oth</t>
  </si>
  <si>
    <t>e-disclosure.ru/portal/company.aspx?id=3867</t>
  </si>
  <si>
    <t>RU0009028674</t>
  </si>
  <si>
    <t>AKRN</t>
  </si>
  <si>
    <t>PJSC "Acron"</t>
  </si>
  <si>
    <t>www.acron.ru</t>
  </si>
  <si>
    <t>e-disclosure.ru/portal/company.aspx?id=357</t>
  </si>
  <si>
    <t>RU0007661674</t>
  </si>
  <si>
    <t>DGBZP</t>
  </si>
  <si>
    <t>ПАО "Дорогобуж"</t>
  </si>
  <si>
    <t>PJSC Dorogobuzh</t>
  </si>
  <si>
    <t>e-disclosure.ru/portal/company.aspx?id=321</t>
  </si>
  <si>
    <t>RU000A0JRKT8</t>
  </si>
  <si>
    <t>PHOR</t>
  </si>
  <si>
    <t>PJSC "PhosAgro"</t>
  </si>
  <si>
    <t>www.phosagro.ru</t>
  </si>
  <si>
    <t>e-disclosure.ru/portal/company.aspx?id=573</t>
  </si>
  <si>
    <t>RU000A0B9BV2</t>
  </si>
  <si>
    <t>KAZT</t>
  </si>
  <si>
    <t>KAZTP</t>
  </si>
  <si>
    <t>PJSC "KuibyshevAzot"</t>
  </si>
  <si>
    <t>www.kuazot.ru</t>
  </si>
  <si>
    <t>e-disclosure.ru/portal/company.aspx?id=703</t>
  </si>
  <si>
    <t>RU0007661302</t>
  </si>
  <si>
    <t>PJSC "URALKALI"</t>
  </si>
  <si>
    <t>www.uralkali.com</t>
  </si>
  <si>
    <t>e-disclosure.ru/portal/company.aspx?id=1233</t>
  </si>
  <si>
    <t>RU000A0JXRN4</t>
  </si>
  <si>
    <t>ГРУППА "ЕВРОХИМ" (АО "Минерально-химическая компания "ЕвроХим")</t>
  </si>
  <si>
    <t>EUROCHEM GROUP</t>
  </si>
  <si>
    <t>www.eurochemgroup.com</t>
  </si>
  <si>
    <t>moex.com/ru/listing/emidocs.aspx?id=7200</t>
  </si>
  <si>
    <t>RU000A0JPVE1</t>
  </si>
  <si>
    <t>JSC URALCHEM</t>
  </si>
  <si>
    <t>www.uralchem.ru</t>
  </si>
  <si>
    <t>e-disclosure.ru/portal/company.aspx?id=12361</t>
  </si>
  <si>
    <t>RU0009089825</t>
  </si>
  <si>
    <t>KZOS</t>
  </si>
  <si>
    <t>KZOSP</t>
  </si>
  <si>
    <t>К ПАО "Органический синтез"</t>
  </si>
  <si>
    <t>K PJSC "Organichesky sintez"</t>
  </si>
  <si>
    <t>www.kazanorgsintez.ru</t>
  </si>
  <si>
    <t>e-disclosure.ru/portal/company.aspx?id=938; disclosure.skrin.ru/disclosure/1658008723</t>
  </si>
  <si>
    <t>RU0009100507</t>
  </si>
  <si>
    <t>NKNC</t>
  </si>
  <si>
    <t>NKNCP</t>
  </si>
  <si>
    <t>PJSC "Nizhnekamskneftekhim"</t>
  </si>
  <si>
    <t>www.nknh.ru</t>
  </si>
  <si>
    <t>e-disclosure.ru/portal/company.aspx?id=197</t>
  </si>
  <si>
    <t>RU0009098990</t>
  </si>
  <si>
    <t>HIMC</t>
  </si>
  <si>
    <t>HIMCP</t>
  </si>
  <si>
    <t>ПАО "Химпром"</t>
  </si>
  <si>
    <t>PJSC "Khimprom"</t>
  </si>
  <si>
    <t>www.himprom.com</t>
  </si>
  <si>
    <t>e-disclosure.ru/portal/company.aspx?id=5727</t>
  </si>
  <si>
    <t>RU0007984761</t>
  </si>
  <si>
    <t>VLHZ</t>
  </si>
  <si>
    <t>ПАО "Владимирский химический завод"</t>
  </si>
  <si>
    <t>PJSC "Vladimir chemical plant"</t>
  </si>
  <si>
    <t>vhz31.ru</t>
  </si>
  <si>
    <t>disclosure.ru/issuer/3302000669/</t>
  </si>
  <si>
    <t>RU0009100911</t>
  </si>
  <si>
    <t>MGNZ</t>
  </si>
  <si>
    <t>ПАО "Соликамский магниевый завод"</t>
  </si>
  <si>
    <t>PJSC "Solikamsk magnesium works"</t>
  </si>
  <si>
    <t>www.smw.ru</t>
  </si>
  <si>
    <t>e-disclosure.ru/portal/company.aspx?id=6100</t>
  </si>
  <si>
    <t>RU000A0JWBK6</t>
  </si>
  <si>
    <t>PJSC "SIBUR Holding"</t>
  </si>
  <si>
    <t>www.sibur.ru</t>
  </si>
  <si>
    <t>disclosure.ru/issuer/7727547261/</t>
  </si>
  <si>
    <t>RU0009100515</t>
  </si>
  <si>
    <t>NKSH</t>
  </si>
  <si>
    <t>ПАО "Нижнекамскшина"</t>
  </si>
  <si>
    <t>PJSC "Nizhnekamskshina"</t>
  </si>
  <si>
    <t>www.td-kama.com/ru/enterprises/210552/</t>
  </si>
  <si>
    <t>e-disclosure.ru/portal/company.aspx?id=152</t>
  </si>
  <si>
    <t>RU0009091268</t>
  </si>
  <si>
    <t>OMSH</t>
  </si>
  <si>
    <t>ПАО "Омскшина"</t>
  </si>
  <si>
    <t>PJSC "Omskshina"</t>
  </si>
  <si>
    <t>YASH</t>
  </si>
  <si>
    <t>www.omsktyre.ru</t>
  </si>
  <si>
    <t>e-disclosure.ru/portal/company.aspx?id=2573</t>
  </si>
  <si>
    <t>RU0009087209</t>
  </si>
  <si>
    <t>yashp</t>
  </si>
  <si>
    <t>АО "Кордиант" (ПАО "Ярославский шинный завод")</t>
  </si>
  <si>
    <t>JSC "Cordiant" (PJSC  "Yaroslavl Tyre Plant")</t>
  </si>
  <si>
    <t>www.yashz.ru/emitent/</t>
  </si>
  <si>
    <t>e-disclosure.ru/portal/company.aspx?id=1114</t>
  </si>
  <si>
    <t>RU0007252813</t>
  </si>
  <si>
    <t>ALRS</t>
  </si>
  <si>
    <t>PJSC ALROSA</t>
  </si>
  <si>
    <t>www.alrosa.ru</t>
  </si>
  <si>
    <t>e-disclosure.ru/portal/company.aspx?id=199</t>
  </si>
  <si>
    <t>RU000A0JP468</t>
  </si>
  <si>
    <t>ALNU</t>
  </si>
  <si>
    <t>PJSC "ALROSA-Nurba"</t>
  </si>
  <si>
    <t>e-disclosure.ru/portal/company.aspx?id=2195</t>
  </si>
  <si>
    <t>RU0009046510</t>
  </si>
  <si>
    <t>CHMF</t>
  </si>
  <si>
    <t>PJSC Severstal</t>
  </si>
  <si>
    <t>www.severstal.ru</t>
  </si>
  <si>
    <t>e-disclosure.ru/portal/company.aspx?id=30</t>
  </si>
  <si>
    <t>RU0009084396</t>
  </si>
  <si>
    <t>MAGN</t>
  </si>
  <si>
    <t>PJSC MAGNITOGORSK IRON &amp; STEEL WORKS</t>
  </si>
  <si>
    <t>www.mmk.ru</t>
  </si>
  <si>
    <t>e-disclosure.ru/portal/company.aspx?id=9</t>
  </si>
  <si>
    <t>RU0009046452</t>
  </si>
  <si>
    <t>NLMK</t>
  </si>
  <si>
    <t>PJSC Novolipetsk Steel</t>
  </si>
  <si>
    <t>www.nlmk.com</t>
  </si>
  <si>
    <t>e-disclosure.ru/portal/company.aspx?id=2509</t>
  </si>
  <si>
    <t>GB00B71N6K86</t>
  </si>
  <si>
    <t>EVR</t>
  </si>
  <si>
    <t>Евраз</t>
  </si>
  <si>
    <t>www.evraz.com</t>
  </si>
  <si>
    <t>RU000A0B90N8</t>
  </si>
  <si>
    <t>PJSC "Raspadskaya"</t>
  </si>
  <si>
    <t>www.raspadskaya.com</t>
  </si>
  <si>
    <t>e-disclosure.ru/portal/company.aspx?id=942</t>
  </si>
  <si>
    <t>RU000A0DKXV5</t>
  </si>
  <si>
    <t>MTLRP</t>
  </si>
  <si>
    <t>PJSC "Mechel"</t>
  </si>
  <si>
    <t>www.mechel.ru</t>
  </si>
  <si>
    <t>e-disclosure.ru/portal/company.aspx?id=1942</t>
  </si>
  <si>
    <t>RU0007665170</t>
  </si>
  <si>
    <t>ПАО "Челябинский металлургический комбинат"</t>
  </si>
  <si>
    <t>Chelyabinsk Metallurgical Plant PJSC</t>
  </si>
  <si>
    <t>www.chelmk.ru</t>
  </si>
  <si>
    <t>e-disclosure.ru/portal/company.aspx?id=2116</t>
  </si>
  <si>
    <t>RU0005294775</t>
  </si>
  <si>
    <t>Southern Kuzbass Coal company PJSC</t>
  </si>
  <si>
    <t>www.ukuzbass.ru</t>
  </si>
  <si>
    <t>e-disclosure.ru/portal/company.aspx?id=1411</t>
  </si>
  <si>
    <t>RU000A0JPFY2</t>
  </si>
  <si>
    <t>URKZ</t>
  </si>
  <si>
    <t>ПАО "Уральская кузница"</t>
  </si>
  <si>
    <t>Urals Stampings Plant PJSC</t>
  </si>
  <si>
    <t>www.uralkuz.ru</t>
  </si>
  <si>
    <t>e-disclosure.ru/portal/company.aspx?id=5234</t>
  </si>
  <si>
    <t>RU0002155359</t>
  </si>
  <si>
    <t>Korshynov Mining Plant PJSC</t>
  </si>
  <si>
    <t>www.korgok.com</t>
  </si>
  <si>
    <t>e-disclosure.ru/portal/company.aspx?id=3552</t>
  </si>
  <si>
    <t>RU0002155292</t>
  </si>
  <si>
    <t>IGSTP</t>
  </si>
  <si>
    <t>Izhstal PJSC</t>
  </si>
  <si>
    <t>www.izhstal.ru</t>
  </si>
  <si>
    <t>e-disclosure.ru/portal/company.aspx?id=4089</t>
  </si>
  <si>
    <t>RU0004887991</t>
  </si>
  <si>
    <t>ПАО "Южно-Уральский никелевый комбинат"</t>
  </si>
  <si>
    <t>Southern Urals Nickel Plant PJSC</t>
  </si>
  <si>
    <t>www.unickel.ru</t>
  </si>
  <si>
    <t>e-disclosure.ru/portal/company.aspx?id=3987</t>
  </si>
  <si>
    <t>RU000A0JTLL9</t>
  </si>
  <si>
    <t>JSC HC Metalloinvest</t>
  </si>
  <si>
    <t>USM Holdings</t>
  </si>
  <si>
    <t>www.metalloinvest.com</t>
  </si>
  <si>
    <t>e-disclosure.ru/portal/company.aspx?id=13358</t>
  </si>
  <si>
    <t>RU000A0B88G6</t>
  </si>
  <si>
    <t>PJSC "Ashinskiy metallurgical works"</t>
  </si>
  <si>
    <t>www.amet.ru</t>
  </si>
  <si>
    <t>e-disclosure.ru/portal/company.aspx?id=1334</t>
  </si>
  <si>
    <t>RU000A0JNHK2</t>
  </si>
  <si>
    <t>KZMS</t>
  </si>
  <si>
    <t>ПАО "Краснокамский завод металлических сеток" (ПАО "КЗМС")</t>
  </si>
  <si>
    <t>PJSC "KZMS"</t>
  </si>
  <si>
    <t>www.rosset-kzms.ru</t>
  </si>
  <si>
    <t>e-disclosure.ru/portal/company.aspx?id=3769</t>
  </si>
  <si>
    <t>RU000A0ERNT3</t>
  </si>
  <si>
    <t>PJSC "KOKS"</t>
  </si>
  <si>
    <t>www.kemkoks.ru</t>
  </si>
  <si>
    <t>e-disclosure.ru/portal/company.aspx?id=7772</t>
  </si>
  <si>
    <t>RU000A0JPYD7</t>
  </si>
  <si>
    <t>PJSC "Kuzbasskaya Toplivnaya Company"</t>
  </si>
  <si>
    <t>ktk.company/company</t>
  </si>
  <si>
    <t>e-disclosure.ru/portal/company.aspx?id=5964</t>
  </si>
  <si>
    <t>RU000A0J2QG8</t>
  </si>
  <si>
    <t>Belon Joint Stock Company</t>
  </si>
  <si>
    <t>www.belon.ru</t>
  </si>
  <si>
    <t>e-disclosure.ru/portal/company.aspx?id=332</t>
  </si>
  <si>
    <t>RU000A101CQ4</t>
  </si>
  <si>
    <t>JSC SUEK</t>
  </si>
  <si>
    <t>www.suek.ru</t>
  </si>
  <si>
    <t>e-disclosure.ru/portal/company.aspx?id=26482</t>
  </si>
  <si>
    <t>RU0007288411</t>
  </si>
  <si>
    <t>PJSC "MMC "NORILSK NICKEL"</t>
  </si>
  <si>
    <t>www.nornickel.ru</t>
  </si>
  <si>
    <t>e-disclosure.ru/portal/company.aspx?id=564</t>
  </si>
  <si>
    <t>RU000A1025V3</t>
  </si>
  <si>
    <t>RUAL</t>
  </si>
  <si>
    <t>PJSC UC RUSAL</t>
  </si>
  <si>
    <t>www.rusal.ru</t>
  </si>
  <si>
    <t>e-disclosure.ru/portal/company.aspx?id=35101</t>
  </si>
  <si>
    <t>RU0009100291</t>
  </si>
  <si>
    <t>PJSC "VSMPO-AVISMA Corporation"</t>
  </si>
  <si>
    <t>www.vsmpo.ru</t>
  </si>
  <si>
    <t>e-disclosure.ru/portal/company.aspx?id=1641</t>
  </si>
  <si>
    <t>RU000A0JU1B0</t>
  </si>
  <si>
    <t>PJSC "Rusolovo"</t>
  </si>
  <si>
    <t>www.rus-olovo.ru</t>
  </si>
  <si>
    <t>e-disclosure.ru/portal/company.aspx?id=31422</t>
  </si>
  <si>
    <t>RU0009093918</t>
  </si>
  <si>
    <t>PJSC "Chelyabinsk Zinc Plant"</t>
  </si>
  <si>
    <t>www.zinc.ru</t>
  </si>
  <si>
    <t>e-disclosure.ru/portal/company.aspx?id=258</t>
  </si>
  <si>
    <t>RU000A0B66V1</t>
  </si>
  <si>
    <t>ELTZ</t>
  </si>
  <si>
    <t>ПАО "Электроцинк"</t>
  </si>
  <si>
    <t>PJSC "Elektrotsink"</t>
  </si>
  <si>
    <t>electrozink.ugmk.com/ru</t>
  </si>
  <si>
    <t>e-disclosure.ru/portal/company.aspx?id=3521</t>
  </si>
  <si>
    <t>RU000A0B6NK6</t>
  </si>
  <si>
    <t>PJSC "TMK"</t>
  </si>
  <si>
    <t>www.tmk-group.ru</t>
  </si>
  <si>
    <t>e-disclosure.ru/portal/company.aspx?id=274</t>
  </si>
  <si>
    <t>RU0009066807</t>
  </si>
  <si>
    <t>PJSC "Chelyabinsk Pipe Plant"</t>
  </si>
  <si>
    <t>www.chelpipe.ru</t>
  </si>
  <si>
    <t>e-disclosure.ru/portal/company.aspx?id=2772</t>
  </si>
  <si>
    <t>JE00B6T5S470</t>
  </si>
  <si>
    <t>POLY</t>
  </si>
  <si>
    <t>Polymetal International plc</t>
  </si>
  <si>
    <t>www.polymetalinternational.com</t>
  </si>
  <si>
    <t>e-disclosure.ru/portal/company.aspx?id=33331</t>
  </si>
  <si>
    <t>GB0031544546</t>
  </si>
  <si>
    <t>Petropavlovsk PLC</t>
  </si>
  <si>
    <t>www.petropavlovskplc.com</t>
  </si>
  <si>
    <t>RU000A0JNAA8</t>
  </si>
  <si>
    <t>PJSC Polyus</t>
  </si>
  <si>
    <t>www.polyus.com</t>
  </si>
  <si>
    <t>e-disclosure.ru/portal/company.aspx?id=7832</t>
  </si>
  <si>
    <t>RU000A0JPR50</t>
  </si>
  <si>
    <t>SELGP</t>
  </si>
  <si>
    <t>ПАО "Селигдар"</t>
  </si>
  <si>
    <t>PJSC Seligdar</t>
  </si>
  <si>
    <t>www.seligdar.ru</t>
  </si>
  <si>
    <t>e-disclosure.ru/portal/company.aspx?id=12557</t>
  </si>
  <si>
    <t>RU000A0JP1N2</t>
  </si>
  <si>
    <t>LNZLP</t>
  </si>
  <si>
    <t>ЛЗ ПАО "Лензолото"</t>
  </si>
  <si>
    <t>LGM PJSC "Lenzoloto"</t>
  </si>
  <si>
    <t>www.len-zoloto.ru</t>
  </si>
  <si>
    <t>e-disclosure.ru/portal/company.aspx?id=1991</t>
  </si>
  <si>
    <t>RU0009288658</t>
  </si>
  <si>
    <t>BRZL</t>
  </si>
  <si>
    <t>brzlp</t>
  </si>
  <si>
    <t>PJSC "Buryatzoloto"</t>
  </si>
  <si>
    <t>www.buryatzoloto.ru; www.nordgold.com/ru</t>
  </si>
  <si>
    <t>e-disclosure.ru/portal/company.aspx?id=1499</t>
  </si>
  <si>
    <t>RU000A0JPP37</t>
  </si>
  <si>
    <t>PJSC "Uzhuralzoloto Group of Companies"</t>
  </si>
  <si>
    <t>www.ugold.ru</t>
  </si>
  <si>
    <t>e-disclosure.ru/portal/company.aspx?id=11794</t>
  </si>
  <si>
    <t>RU000A0JNST0</t>
  </si>
  <si>
    <t>CHKZ</t>
  </si>
  <si>
    <t>chkzp</t>
  </si>
  <si>
    <t>ПАО "Челябинский кузнечно-прессовый завод" (ПАО "ЧКПЗ")</t>
  </si>
  <si>
    <t>PJSC "CKPZ"</t>
  </si>
  <si>
    <t>www.chkpz.ru</t>
  </si>
  <si>
    <t>e-disclosure.ru/portal/company.aspx?id=3306</t>
  </si>
  <si>
    <t>RU000A0JNH21</t>
  </si>
  <si>
    <t>RUSP</t>
  </si>
  <si>
    <t>PJSC "Ruspolimet"</t>
  </si>
  <si>
    <t>www.ruspolymet.ru</t>
  </si>
  <si>
    <t>e-disclosure.ru/portal/company.aspx?id=7466</t>
  </si>
  <si>
    <t>RU0009831275</t>
  </si>
  <si>
    <t>SUMZ</t>
  </si>
  <si>
    <t>ПАО "Среднеуральский медеплавильный завод" (ПАО "СУМЗ")</t>
  </si>
  <si>
    <t>PJSC "SUMZ"</t>
  </si>
  <si>
    <t>Met-Cop</t>
  </si>
  <si>
    <t>www.sumz.umn.ru</t>
  </si>
  <si>
    <t>e-disclosure.ru/portal/company.aspx?id=124</t>
  </si>
  <si>
    <t>RU000A0JPGE2</t>
  </si>
  <si>
    <t>KUNF</t>
  </si>
  <si>
    <t>АО "Каменск-Уральский завод по обработке цветных металлов" (АО "КУЗОЦМ")</t>
  </si>
  <si>
    <t>PJSC "KUZOCM"</t>
  </si>
  <si>
    <t>www.kuzocm.ru</t>
  </si>
  <si>
    <t>e-disclosure.ru/portal/company.aspx?id=4662</t>
  </si>
  <si>
    <t>RU000A0JNHX5</t>
  </si>
  <si>
    <t>mmmz</t>
  </si>
  <si>
    <t>OJSC "MMK-METIZ"</t>
  </si>
  <si>
    <t>mmk-metiz.ru</t>
  </si>
  <si>
    <t>e-disclosure.ru/portal/company.aspx?id=57</t>
  </si>
  <si>
    <t>RU000A0JPKH7</t>
  </si>
  <si>
    <t>PJSC FHGC – RusHydro</t>
  </si>
  <si>
    <t>www.rushydro.ru</t>
  </si>
  <si>
    <t>e-disclosure.ru/portal/company.aspx?id=8580</t>
  </si>
  <si>
    <t>RU000A0JPNM1</t>
  </si>
  <si>
    <t>PJSC "Inter RAO UES"</t>
  </si>
  <si>
    <t>www.interrao.ru/investors/disclosure/</t>
  </si>
  <si>
    <t>e-disclosure.ru/portal/company.aspx?id=12213</t>
  </si>
  <si>
    <t>RU000A0F5UN3</t>
  </si>
  <si>
    <t>ELFV</t>
  </si>
  <si>
    <t>ПАО «ЭЛ5-Энерго» (ПАО "Энел Россия")</t>
  </si>
  <si>
    <t>PJSC El5-Ener</t>
  </si>
  <si>
    <t>www.el5-energo.ru</t>
  </si>
  <si>
    <t>e-disclosure.ru/portal/company.aspx?id=5732</t>
  </si>
  <si>
    <t>RU000A0JNGA5</t>
  </si>
  <si>
    <t>UPRO</t>
  </si>
  <si>
    <t>PJSC "Unipro"</t>
  </si>
  <si>
    <t>www.unipro.energy</t>
  </si>
  <si>
    <t>e-disclosure.ru/portal/company.aspx?id=7878</t>
  </si>
  <si>
    <t>RU000A0JNPM1</t>
  </si>
  <si>
    <t>OGKA</t>
  </si>
  <si>
    <t>OJSC OGK-1</t>
  </si>
  <si>
    <t>www.ogk1.com</t>
  </si>
  <si>
    <t>e-disclosure.ru/portal/company.aspx?id=8572</t>
  </si>
  <si>
    <t>RU000A0JNG55</t>
  </si>
  <si>
    <t>OGKB</t>
  </si>
  <si>
    <t>ПАО "ОГК-2"</t>
  </si>
  <si>
    <t>PJSC OGK-2</t>
  </si>
  <si>
    <t>www.ogk2.ru</t>
  </si>
  <si>
    <t>e-disclosure.ru/portal/company.aspx?id=7234</t>
  </si>
  <si>
    <t>RU000A0HMML6</t>
  </si>
  <si>
    <t>OJSC OGK-3</t>
  </si>
  <si>
    <t>e-disclosure.ru/portal/company.aspx?id=6611</t>
  </si>
  <si>
    <t>RU000A0JNUD0</t>
  </si>
  <si>
    <t>TGKA</t>
  </si>
  <si>
    <t>ПАО "ТГК-1"</t>
  </si>
  <si>
    <t>PJSC TGK-1</t>
  </si>
  <si>
    <t>www.tgc1.ru</t>
  </si>
  <si>
    <t>e-disclosure.ru/portal/company.aspx?id=7263</t>
  </si>
  <si>
    <t>RU0008958863</t>
  </si>
  <si>
    <t>MSNG</t>
  </si>
  <si>
    <t>PJSC Mosenergo</t>
  </si>
  <si>
    <t>www.mosenergo.ru</t>
  </si>
  <si>
    <t>e-disclosure.ru/portal/company.aspx?id=936</t>
  </si>
  <si>
    <t>RU000A0JNMZ0</t>
  </si>
  <si>
    <t>TGKD</t>
  </si>
  <si>
    <t>TGKDP</t>
  </si>
  <si>
    <t>ПАО "Квадра - Генерирующая компания"</t>
  </si>
  <si>
    <t>PJSC "Quadra - Power Generation"</t>
  </si>
  <si>
    <t>www.quadra.ru</t>
  </si>
  <si>
    <t>e-disclosure.ru/portal/company.aspx?id=6196</t>
  </si>
  <si>
    <t>RU000A0JNGS7</t>
  </si>
  <si>
    <t>TGKBP</t>
  </si>
  <si>
    <t>PJSC TGK-2</t>
  </si>
  <si>
    <t>www.tgc-2.ru</t>
  </si>
  <si>
    <t>e-disclosure.ru/portal/company.aspx?id=7968</t>
  </si>
  <si>
    <t>RU000A0JKZF0</t>
  </si>
  <si>
    <t>OJSC TGK-5</t>
  </si>
  <si>
    <t>VTGK</t>
  </si>
  <si>
    <t>www.tgc5.ru</t>
  </si>
  <si>
    <t>e-disclosure.ru/portal/company.aspx?id=8640</t>
  </si>
  <si>
    <t>RU000A0JNG06</t>
  </si>
  <si>
    <t>OJSC TGK-6</t>
  </si>
  <si>
    <t>www.tgc6.ru</t>
  </si>
  <si>
    <t>e-disclosure.ru/portal/company.aspx?id=6489</t>
  </si>
  <si>
    <t>RU000A0JNAC4</t>
  </si>
  <si>
    <t>OJSC TGK-9</t>
  </si>
  <si>
    <t>tgc9.ru</t>
  </si>
  <si>
    <t>e-disclosure.ru/portal/company.aspx?id=8014</t>
  </si>
  <si>
    <t>RU000A0JPGX2</t>
  </si>
  <si>
    <t>OJSC TGK-11</t>
  </si>
  <si>
    <t>www.tgk11.com</t>
  </si>
  <si>
    <t>e-disclosure.ru/portal/company.aspx?id=8413</t>
  </si>
  <si>
    <t>RU0008960828</t>
  </si>
  <si>
    <t>PJSC Irkutskenergo</t>
  </si>
  <si>
    <t>www.irkutskenergo.ru/qa/reports.html</t>
  </si>
  <si>
    <t>e-disclosure.ru/portal/company.aspx?id=3899</t>
  </si>
  <si>
    <t>RU000A0HML36</t>
  </si>
  <si>
    <t>PJSC T Plus</t>
  </si>
  <si>
    <t>www.tplusgroup.ru</t>
  </si>
  <si>
    <t>e-disclosure.ru/portal/files.aspx?id=9480&amp;type=4</t>
  </si>
  <si>
    <t>RU000A0H1ES3</t>
  </si>
  <si>
    <t>PJSC TGK-14</t>
  </si>
  <si>
    <t>Russian Railways</t>
  </si>
  <si>
    <t>www.tgk-14.com</t>
  </si>
  <si>
    <t>disclosure.1prime.ru/Portal/Default.aspx?emId=7534018889</t>
  </si>
  <si>
    <t>RU0009280465</t>
  </si>
  <si>
    <t>SLEN</t>
  </si>
  <si>
    <t>ПАО "Сахалинэнерго"</t>
  </si>
  <si>
    <t>PJSC Sakhalinenergo</t>
  </si>
  <si>
    <t>www.sakhalinenergo.ru</t>
  </si>
  <si>
    <t>e-disclosure.ru/portal/company.aspx?id=4842</t>
  </si>
  <si>
    <t>RU0009257075</t>
  </si>
  <si>
    <t>YKEN</t>
  </si>
  <si>
    <t>YKENP</t>
  </si>
  <si>
    <t>ПАО "Якутскэнерго"</t>
  </si>
  <si>
    <t>PJSC YakutskEnergo</t>
  </si>
  <si>
    <t>VRAO</t>
  </si>
  <si>
    <t>www.yakutskenergo.ru</t>
  </si>
  <si>
    <t>e-disclosure.ru/portal/company.aspx?id=169</t>
  </si>
  <si>
    <t>RU0006753498</t>
  </si>
  <si>
    <t>KCHE</t>
  </si>
  <si>
    <t>KCHEP</t>
  </si>
  <si>
    <t>PJSC Kamchatskenergo</t>
  </si>
  <si>
    <t>www.kamenergo.ru</t>
  </si>
  <si>
    <t>e-disclosure.ru/portal/company.aspx?id=1409</t>
  </si>
  <si>
    <t>RU0009044242</t>
  </si>
  <si>
    <t>BEGY</t>
  </si>
  <si>
    <t>BEGYP</t>
  </si>
  <si>
    <t>БОАО энергетики и электрификации "Башкирэнерго"</t>
  </si>
  <si>
    <t>BOJSC of the power industry and electrification "Bashkirenergo"</t>
  </si>
  <si>
    <t>e-disclosure.ru/portal/company.aspx?id=278</t>
  </si>
  <si>
    <t>RU000A0JP120</t>
  </si>
  <si>
    <t>KGKC</t>
  </si>
  <si>
    <t>KGKCP</t>
  </si>
  <si>
    <t>PJSC Kurganskaja Gener.Kompanija</t>
  </si>
  <si>
    <t>kgk-kurgan.ru</t>
  </si>
  <si>
    <t>e-disclosure.ru/portal/company.aspx?id=17935</t>
  </si>
  <si>
    <t>RU000A0HNRS8</t>
  </si>
  <si>
    <t>MUGS</t>
  </si>
  <si>
    <t>MUGSP</t>
  </si>
  <si>
    <t>PJSC Murmanskaya TEC</t>
  </si>
  <si>
    <t>www.murmantec.com</t>
  </si>
  <si>
    <t>e-disclosure.ru/portal/company.aspx?id=8231</t>
  </si>
  <si>
    <t>RU000A0JPVL6</t>
  </si>
  <si>
    <t>VRAOP</t>
  </si>
  <si>
    <t>ОАО "РАО Энергетические системы Востока"</t>
  </si>
  <si>
    <t>JSC "RAO Energy System of East"</t>
  </si>
  <si>
    <t>www.rao-esv.ru</t>
  </si>
  <si>
    <t>e-disclosure.ru/portal/company.aspx?id=13497</t>
  </si>
  <si>
    <t>RU0009085922</t>
  </si>
  <si>
    <t>ПАО "Красноярская ГЭС"</t>
  </si>
  <si>
    <t>PJSC Krasnoyarsk HPP</t>
  </si>
  <si>
    <t>e-disclosure.ru/portal/company.aspx?id=2141</t>
  </si>
  <si>
    <t>RU000A0JNJJ0</t>
  </si>
  <si>
    <t>ПАО "Южно-Кузбасская ГРЭС"</t>
  </si>
  <si>
    <t>PJSC "Yuzhno-Kuzbasskaya GRES"</t>
  </si>
  <si>
    <t>www.ukgres.ru</t>
  </si>
  <si>
    <t>e-disclosure.ru/portal/company.aspx?id=8768</t>
  </si>
  <si>
    <t>RU000A0JPNN9</t>
  </si>
  <si>
    <t>PJSC "FGC UES"</t>
  </si>
  <si>
    <t>www.fsk-ees.ru</t>
  </si>
  <si>
    <t>e-disclosure.ru/portal/company.aspx?id=379</t>
  </si>
  <si>
    <t>RU000A0JPVJ0</t>
  </si>
  <si>
    <t>RSTIP</t>
  </si>
  <si>
    <t>ПАО "Российские сети"</t>
  </si>
  <si>
    <t>PJSC "ROSSETI"</t>
  </si>
  <si>
    <t>www.rosseti.ru</t>
  </si>
  <si>
    <t>e-disclosure.ru/portal/company.aspx?id=13806</t>
  </si>
  <si>
    <t>RU0009034490</t>
  </si>
  <si>
    <t>LSNGP</t>
  </si>
  <si>
    <t>PJSC "LENENERGO"</t>
  </si>
  <si>
    <t>rosseti-lenenergo.ru</t>
  </si>
  <si>
    <t>e-disclosure.ru/portal/company.aspx?id=65</t>
  </si>
  <si>
    <t>RU000A0JPN96</t>
  </si>
  <si>
    <t>MRKP</t>
  </si>
  <si>
    <t>PJSC "IDGC of Center and Volga Region"</t>
  </si>
  <si>
    <t>www.mrsk-cp.ru</t>
  </si>
  <si>
    <t>e-disclosure.ru/portal/company.aspx?id=12093</t>
  </si>
  <si>
    <t>RU000A0JPPN4</t>
  </si>
  <si>
    <t>ПАО "МРСК Волги" (ПАО "Россети Волга")</t>
  </si>
  <si>
    <t>PJSC "IDGC of Volga"</t>
  </si>
  <si>
    <t>www.mrsk-volgi.ru</t>
  </si>
  <si>
    <t>e-disclosure.ru/portal/company.aspx?id=12131</t>
  </si>
  <si>
    <t>RU000A0JPPL8</t>
  </si>
  <si>
    <t>MRKC</t>
  </si>
  <si>
    <t>ПАО "МРСК Центра" (ПАО "Россети Центр")</t>
  </si>
  <si>
    <t>PJSC "IDGC of  Centre"</t>
  </si>
  <si>
    <t>www.mrsk-1.ru</t>
  </si>
  <si>
    <t>e-disclosure.ru/portal/company.aspx?id=7985</t>
  </si>
  <si>
    <t>RU000A0ET7Y7</t>
  </si>
  <si>
    <t>MSRS</t>
  </si>
  <si>
    <t>PJSC "MOESK"</t>
  </si>
  <si>
    <t>rossetimr.ru</t>
  </si>
  <si>
    <t>e-disclosure.ru/portal/company.aspx?id=5563</t>
  </si>
  <si>
    <t>RU000A0JPPG8</t>
  </si>
  <si>
    <t>ПАО "МРСК Юга" (ПАО "Россети Юг")</t>
  </si>
  <si>
    <t>PJSC "IDGC of Yuga"</t>
  </si>
  <si>
    <t>www.mrsk-yuga.ru</t>
  </si>
  <si>
    <t>e-disclosure.ru/portal/company.aspx?id=11999</t>
  </si>
  <si>
    <t>RU000A0JPPT1</t>
  </si>
  <si>
    <t>MRKU</t>
  </si>
  <si>
    <t>ПАО "МРСК Урала"</t>
  </si>
  <si>
    <t>PJSC "IDGC of Urals"</t>
  </si>
  <si>
    <t>rosseti-ural.ru</t>
  </si>
  <si>
    <t>e-disclosure.ru/portal/company.aspx?id=12105</t>
  </si>
  <si>
    <t>RU000A0JPPB9</t>
  </si>
  <si>
    <t>MRKZ</t>
  </si>
  <si>
    <t>ПАО "МРСК Северо-Запада" (ПАО "Россети Северо-Запад")</t>
  </si>
  <si>
    <t>PJSC "IDGC of North-West"</t>
  </si>
  <si>
    <t>rosseti-sz.ru</t>
  </si>
  <si>
    <t>disclosure.ru/issuer/7802312751/</t>
  </si>
  <si>
    <t>RU000A0JPPF0</t>
  </si>
  <si>
    <t>ПАО "MPCК Сибири" (ПАО "Россети Сибирь")</t>
  </si>
  <si>
    <t>PJSC "IDGC of Siberia"</t>
  </si>
  <si>
    <t>rosseti-sib.ru</t>
  </si>
  <si>
    <t>e-disclosure.ru/portal/company.aspx?id=12072</t>
  </si>
  <si>
    <t>RU000A0JPPQ7</t>
  </si>
  <si>
    <t>ПАО "МРСК Северного Кавказа" (ПАО "Россети Северный Кавказ")</t>
  </si>
  <si>
    <t>PJSC "IDGC of Northern Caucasus"</t>
  </si>
  <si>
    <t>rossetisk.ru</t>
  </si>
  <si>
    <t>disclosure.skrin.ru/disclosure/2632082033</t>
  </si>
  <si>
    <t>RU000A0ETZF2</t>
  </si>
  <si>
    <t>TORSP</t>
  </si>
  <si>
    <t>ПАО "Томская распределительная компания"</t>
  </si>
  <si>
    <t>PJSC "Tomsk distribution company"</t>
  </si>
  <si>
    <t>www.trk.tom.ru</t>
  </si>
  <si>
    <t>e-disclosure.ru/portal/company.aspx?id=7242</t>
  </si>
  <si>
    <t>RU0009046767</t>
  </si>
  <si>
    <t>ПАО "Россети Кубань" (ПАО "КУБАНЬЭНЕРГО")</t>
  </si>
  <si>
    <t>PJSC Rosseti Kuban (PJSC KUBANENERGO)</t>
  </si>
  <si>
    <t>rosseti-kuban.ru</t>
  </si>
  <si>
    <t>e-disclosure.ru/portal/company.aspx?id=2827</t>
  </si>
  <si>
    <t>RU0009100424</t>
  </si>
  <si>
    <t>KRGEP</t>
  </si>
  <si>
    <t>OJSC "Kurganenergo'</t>
  </si>
  <si>
    <t>kurganenergo.ru</t>
  </si>
  <si>
    <t>e-disclosure.ru/portal/company.aspx?id=3013</t>
  </si>
  <si>
    <t>RU000A0JPQ93</t>
  </si>
  <si>
    <t>moek</t>
  </si>
  <si>
    <t>PJSC "Moscow Integrated Power Company"</t>
  </si>
  <si>
    <t>www.moek.ru</t>
  </si>
  <si>
    <t>e-disclosure.ru/portal/company.aspx?id=11714</t>
  </si>
  <si>
    <t>RU000A0ET719</t>
  </si>
  <si>
    <t>PJSC "Mezhregionteplosetenergoremont"</t>
  </si>
  <si>
    <t>e-disclosure.ru/portal/company.aspx?id=5564</t>
  </si>
  <si>
    <t>RU000A0ET123</t>
  </si>
  <si>
    <t>PMSB</t>
  </si>
  <si>
    <t>PMSBP</t>
  </si>
  <si>
    <t>ПАО "Пермская энергосбытовая компания" (ПАО "Пермэнергосбыт")</t>
  </si>
  <si>
    <t>PJSC "Perm' EnergoSbyt"</t>
  </si>
  <si>
    <t>www.permenergosbyt.ru</t>
  </si>
  <si>
    <t>e-disclosure.ru/portal/company.aspx?id=7344</t>
  </si>
  <si>
    <t>RU000A0D9AF5</t>
  </si>
  <si>
    <t>RZSB</t>
  </si>
  <si>
    <t>ПАО "Рязанская энергетическая сбытовая компания"</t>
  </si>
  <si>
    <t>PJSC "Ryazanenergosbyt"</t>
  </si>
  <si>
    <t>resk.ru</t>
  </si>
  <si>
    <t>e-disclosure.ru/portal/company.aspx?id=5422</t>
  </si>
  <si>
    <t>RU000A0HMLY1</t>
  </si>
  <si>
    <t>KRSB</t>
  </si>
  <si>
    <t>KRSBP</t>
  </si>
  <si>
    <t>ПАО "Красноярскэнергосбыт"</t>
  </si>
  <si>
    <t>PJSC "Krashojarskenergosbyt"</t>
  </si>
  <si>
    <t>krsk-sbit.ru</t>
  </si>
  <si>
    <t>e-disclosure.ru/portal/company.aspx?id=8880</t>
  </si>
  <si>
    <t>RU000A0ET1W4</t>
  </si>
  <si>
    <t>STSB</t>
  </si>
  <si>
    <t>STSBP</t>
  </si>
  <si>
    <t>ПАО "Ставропольэнергосбыт"</t>
  </si>
  <si>
    <t>PJSC "StavropolEnergoSbyt"</t>
  </si>
  <si>
    <t>staves.ru</t>
  </si>
  <si>
    <t>e-disclosure.ru/portal/company.aspx?id=7416</t>
  </si>
  <si>
    <t>RU000A0JUCQ5</t>
  </si>
  <si>
    <t>ПАО ГК "ТНС энерго"</t>
  </si>
  <si>
    <t>PJSC GC "TNS energo"</t>
  </si>
  <si>
    <t>corp.tns-e.ru</t>
  </si>
  <si>
    <t>e-disclosure.ru/portal/company.aspx?id=33277</t>
  </si>
  <si>
    <t>RU000A0DPG67</t>
  </si>
  <si>
    <t>VRSBP</t>
  </si>
  <si>
    <t>PJSC "TNS energo Voroneg"</t>
  </si>
  <si>
    <t>voronezh.tns-e.ru</t>
  </si>
  <si>
    <t>e-disclosure.ru/portal/company.aspx?id=4717</t>
  </si>
  <si>
    <t>RU000A0D8K33</t>
  </si>
  <si>
    <t>MISBP</t>
  </si>
  <si>
    <t>PJSC "TNS energo Mariy El"</t>
  </si>
  <si>
    <t>mari-el.tns-e.ru</t>
  </si>
  <si>
    <t>e-disclosure.ru/portal/company.aspx?id=6070</t>
  </si>
  <si>
    <t>RU000A0JP2W1</t>
  </si>
  <si>
    <t>PJSC "FEEC"</t>
  </si>
  <si>
    <t>www.dvec.ru</t>
  </si>
  <si>
    <t>e-disclosure.ru/portal/company.aspx?id=11385</t>
  </si>
  <si>
    <t>RU000A0D8MR7</t>
  </si>
  <si>
    <t>LPSB</t>
  </si>
  <si>
    <t>ПАО "Липецкая энергосбытовая компания" (ПАО "ЛЭСК")</t>
  </si>
  <si>
    <t>PJSC "LESK"</t>
  </si>
  <si>
    <t>www.lesk.ru</t>
  </si>
  <si>
    <t>e-disclosure.ru/portal/company.aspx?id=5082</t>
  </si>
  <si>
    <t>RU000A0F63G0</t>
  </si>
  <si>
    <t>DASB</t>
  </si>
  <si>
    <t>ПАО "Дагестанская энергосбытовая компания" (ПАО "ДЭСК")</t>
  </si>
  <si>
    <t>PJSC "Dagestan energosbyt. Company"</t>
  </si>
  <si>
    <t>www.dag-esk.ru</t>
  </si>
  <si>
    <t>e-disclosure.ru/portal/company.aspx?id=7321</t>
  </si>
  <si>
    <t>RU000A0D8NG8</t>
  </si>
  <si>
    <t>TASBP</t>
  </si>
  <si>
    <t>ПАО "Тамбовская энергосбытовая компания" (ПАО "Тамбовэнергосбыт")</t>
  </si>
  <si>
    <t>PJSC "Tambov EnergoSbyt Company"</t>
  </si>
  <si>
    <t>tesk.su</t>
  </si>
  <si>
    <t>e-disclosure.ru/portal/company.aspx?id=5121</t>
  </si>
  <si>
    <t>RU000A0D9AJ7</t>
  </si>
  <si>
    <t>MRSB</t>
  </si>
  <si>
    <t>ПАО "Мордовская энергосбытовая компания" (ПАО "Мордовэнергосбыт")</t>
  </si>
  <si>
    <t>PJSC "Mordovskaya EnergoSbyt Comp."</t>
  </si>
  <si>
    <t>www.mesk.ru</t>
  </si>
  <si>
    <t>e-disclosure.ru/portal/company.aspx?id=5754</t>
  </si>
  <si>
    <t>RU000A0DKZK3</t>
  </si>
  <si>
    <t>KLSB</t>
  </si>
  <si>
    <t>ПАО "Калужская сбытовая компания"</t>
  </si>
  <si>
    <t>PJSC "Kalugsk. Sbyt. Company"</t>
  </si>
  <si>
    <t>kskkaluga.ru</t>
  </si>
  <si>
    <t>e-disclosure.ru/portal/company.aspx?id=5830</t>
  </si>
  <si>
    <t>RU000A0EABG1</t>
  </si>
  <si>
    <t>CLSB</t>
  </si>
  <si>
    <t>CLSBP</t>
  </si>
  <si>
    <t>PJSC "Chelyab Energo Sbyt"</t>
  </si>
  <si>
    <t>esbt74.ru</t>
  </si>
  <si>
    <t>e-disclosure.ru/portal/company.aspx?id=6764</t>
  </si>
  <si>
    <t>RU0009098255</t>
  </si>
  <si>
    <t>SAGOP</t>
  </si>
  <si>
    <t>PJSC "SamaraEnergo"</t>
  </si>
  <si>
    <t>www.samaraenergo.ru</t>
  </si>
  <si>
    <t>e-disclosure.ru/portal/company.aspx?id=506</t>
  </si>
  <si>
    <t>RU000A0D8L73</t>
  </si>
  <si>
    <t>VGSB</t>
  </si>
  <si>
    <t>VGSBP</t>
  </si>
  <si>
    <t>ПАО "Волгоградэнергосбыт"</t>
  </si>
  <si>
    <t>PJSC "Volgograd Energo Sbyt"</t>
  </si>
  <si>
    <t>www.energosale34.ru</t>
  </si>
  <si>
    <t>e-disclosure.ru/portal/company.aspx?id=6223</t>
  </si>
  <si>
    <t>RU000A0D8PB4</t>
  </si>
  <si>
    <t>RTSBP</t>
  </si>
  <si>
    <t>PJSC "TNS energo Rostov-na-Dony"</t>
  </si>
  <si>
    <t>rostov.tns-e.ru</t>
  </si>
  <si>
    <t>e-disclosure.ru/portal/company.aspx?id=6930</t>
  </si>
  <si>
    <t>RU000A0D8LW9</t>
  </si>
  <si>
    <t>KTSB</t>
  </si>
  <si>
    <t>KTSBP</t>
  </si>
  <si>
    <t>ПАО "Костромская сбытовая компания"</t>
  </si>
  <si>
    <t>PJSC "KSB"</t>
  </si>
  <si>
    <t>www.k-sc.ru</t>
  </si>
  <si>
    <t>e-disclosure.ru/portal/company.aspx?id=5963</t>
  </si>
  <si>
    <t>RU000A0JNJ11</t>
  </si>
  <si>
    <t>ПАО "ТНС энерго Кубань"</t>
  </si>
  <si>
    <t>PJSC "TNS energo Kuban Company"</t>
  </si>
  <si>
    <t>kuban.tns-e.ru</t>
  </si>
  <si>
    <t>e-disclosure.ru/portal/company.aspx?id=10624</t>
  </si>
  <si>
    <t>RU000A0ET5A1</t>
  </si>
  <si>
    <t>NNSBP</t>
  </si>
  <si>
    <t>ПАО "ТНС энерго Нижний Новгород"</t>
  </si>
  <si>
    <t>PJSC "TNS energo Nizhniy-Novgorod"</t>
  </si>
  <si>
    <t>nn.tns-e.ru</t>
  </si>
  <si>
    <t>e-disclosure.ru/portal/company.aspx?id=7022</t>
  </si>
  <si>
    <t>RU000A0D8760</t>
  </si>
  <si>
    <t>YRSBP</t>
  </si>
  <si>
    <t>PJSC "TNS energo Yaroslavl"</t>
  </si>
  <si>
    <t>yar.tns-e.ru</t>
  </si>
  <si>
    <t>e-disclosure.ru/portal/company.aspx?id=6050</t>
  </si>
  <si>
    <t>RU000A0DQWJ9</t>
  </si>
  <si>
    <t>PJSC "VEK"</t>
  </si>
  <si>
    <t>e-disclosure.ru/portal/company.aspx?id=5520</t>
  </si>
  <si>
    <t>RU000A0ET7Z4</t>
  </si>
  <si>
    <t>PJSC "Mos Energo Sbyt"</t>
  </si>
  <si>
    <t>www.mosenergosbyt.ru/</t>
  </si>
  <si>
    <t>e-disclosure.ru/portal/company.aspx?id=6980</t>
  </si>
  <si>
    <t>RU000A0H1LD0</t>
  </si>
  <si>
    <t>PBSBP</t>
  </si>
  <si>
    <t>OJSC "Peterburg Sbyt.Komp."</t>
  </si>
  <si>
    <t>pesc.ru</t>
  </si>
  <si>
    <t>e-disclosure.ru/portal/company.aspx?id=8732</t>
  </si>
  <si>
    <t>RU000A0JNXK9</t>
  </si>
  <si>
    <t>keskp</t>
  </si>
  <si>
    <t>ОАО "Коми энергосбытовая компания"</t>
  </si>
  <si>
    <t>OJSC "Komy electricity sale company"</t>
  </si>
  <si>
    <t>e-disclosure.ru/portal/company.aspx?id=11559</t>
  </si>
  <si>
    <t>RU0009100754</t>
  </si>
  <si>
    <t>SAREP</t>
  </si>
  <si>
    <t>PJSC "Saratovenergo"</t>
  </si>
  <si>
    <t>www.saratovenergo.ru</t>
  </si>
  <si>
    <t>e-disclosure.ru/portal/company.aspx?id=3346</t>
  </si>
  <si>
    <t>RU0006758919</t>
  </si>
  <si>
    <t>MAGE</t>
  </si>
  <si>
    <t>MAGEP</t>
  </si>
  <si>
    <t>ПАО "Магаданэнерго"</t>
  </si>
  <si>
    <t>PJSC "Magadanenergo"</t>
  </si>
  <si>
    <t>www.magadanenergo.ru</t>
  </si>
  <si>
    <t>e-disclosure.ru/portal/company.aspx?id=3566</t>
  </si>
  <si>
    <t>RU000A0D8MM8</t>
  </si>
  <si>
    <t>ASSB</t>
  </si>
  <si>
    <t>PJSC "Astrakhan Energo Sbyt"</t>
  </si>
  <si>
    <t>astsbyt.ru</t>
  </si>
  <si>
    <t>e-disclosure.ru/portal/company.aspx?id=5966</t>
  </si>
  <si>
    <t>RU0007775219</t>
  </si>
  <si>
    <t>PJSC "MTS"</t>
  </si>
  <si>
    <t>www.mts.ru</t>
  </si>
  <si>
    <t>www.disclosure.ru/issuer/7740000076/</t>
  </si>
  <si>
    <t>US91822M5022</t>
  </si>
  <si>
    <t>VEON-RX</t>
  </si>
  <si>
    <t>VEON Ltd.</t>
  </si>
  <si>
    <t>www.veon.com</t>
  </si>
  <si>
    <t>RU000A0JS942</t>
  </si>
  <si>
    <t>MFON</t>
  </si>
  <si>
    <t>PJSC "MegaFon"</t>
  </si>
  <si>
    <t>corp.megafon.ru</t>
  </si>
  <si>
    <t>www.e-disclosure.ru/portal/company.aspx?id=219</t>
  </si>
  <si>
    <t>RU0008943394</t>
  </si>
  <si>
    <t>RTKM</t>
  </si>
  <si>
    <t>RTKMP</t>
  </si>
  <si>
    <t>PJSC "Rostelecom"</t>
  </si>
  <si>
    <t>www.rt.ru</t>
  </si>
  <si>
    <t>e-disclosure.ru/portal/company.aspx?id=141</t>
  </si>
  <si>
    <t>RU0009036461</t>
  </si>
  <si>
    <t>MGTSP</t>
  </si>
  <si>
    <t>ПАО "МГТС" (ПАО "Московская городская телефонная сеть")</t>
  </si>
  <si>
    <t>PJSC "MGTS" (PJSC "Moscow City Telephone Network")</t>
  </si>
  <si>
    <t>mgts.ru</t>
  </si>
  <si>
    <t>e-disclosure.ru/portal/company.aspx?id=1017</t>
  </si>
  <si>
    <t>RU0007665147</t>
  </si>
  <si>
    <t>CNTL</t>
  </si>
  <si>
    <t>CNTLP</t>
  </si>
  <si>
    <t>PJSC "Central Telegraph"</t>
  </si>
  <si>
    <t>cnt.ru</t>
  </si>
  <si>
    <t>e-disclosure.ru/portal/company.aspx?id=369</t>
  </si>
  <si>
    <t>RU0009059216</t>
  </si>
  <si>
    <t>BISVP</t>
  </si>
  <si>
    <t>PJSC "BashInformSvyaz"</t>
  </si>
  <si>
    <t>rostelecom-rb.ru</t>
  </si>
  <si>
    <t>e-disclosure.ru/portal/company.aspx?id=201</t>
  </si>
  <si>
    <t>RU000A0HM5C1</t>
  </si>
  <si>
    <t>TTLK</t>
  </si>
  <si>
    <t>PJSC "Tattelecom"</t>
  </si>
  <si>
    <t>tattelecom.ru</t>
  </si>
  <si>
    <t>e-disclosure.ru/portal/company.aspx?id=814</t>
  </si>
  <si>
    <t>RU000A0JQLB6</t>
  </si>
  <si>
    <t>NSVZ</t>
  </si>
  <si>
    <t>PJSC "Nauka-Svyaz"</t>
  </si>
  <si>
    <t>oaonsv.ru</t>
  </si>
  <si>
    <t>e-disclosure.ru/portal/company.aspx?id=20639</t>
  </si>
  <si>
    <t>RU000A0JQX77</t>
  </si>
  <si>
    <t>RNAV</t>
  </si>
  <si>
    <t>ОАО "РНТ"</t>
  </si>
  <si>
    <t>OJSC "RNT"</t>
  </si>
  <si>
    <t>www.autotracker.ru</t>
  </si>
  <si>
    <t>e-disclosure.ru/portal/company.aspx?id=26931</t>
  </si>
  <si>
    <t>RU000A0JX3H0</t>
  </si>
  <si>
    <t>ОАО "КОМКОР" (ОАО "Московская телекоммуникационная корпорация")</t>
  </si>
  <si>
    <t>OJSC "COMCOR"</t>
  </si>
  <si>
    <t>akado-telecom.ru</t>
  </si>
  <si>
    <t>e-disclosure.ru/portal/company.aspx?id=10558; disclosure.1prime.ru/portal/default.aspx?emId=7717020170</t>
  </si>
  <si>
    <t>RU000A0JKQU8</t>
  </si>
  <si>
    <t>PJSC "Magnit"</t>
  </si>
  <si>
    <t>www.magnit.com</t>
  </si>
  <si>
    <t>e-disclosure.ru/portal/company.aspx?id=7671</t>
  </si>
  <si>
    <t>US98387E2054</t>
  </si>
  <si>
    <t>FIVE</t>
  </si>
  <si>
    <t>Икс 5 Ритейл Груп Н.В.</t>
  </si>
  <si>
    <t>www.x5.ru</t>
  </si>
  <si>
    <t>e-disclosure.ru/portal/company.aspx?id=37240</t>
  </si>
  <si>
    <t>RU000A0JP7H1</t>
  </si>
  <si>
    <t>PJSC "DIXY GROUP"</t>
  </si>
  <si>
    <t>www.dixygroup.ru</t>
  </si>
  <si>
    <t>e-disclosure.ru/portal/company.aspx?id=9679</t>
  </si>
  <si>
    <t>RU000A102S15</t>
  </si>
  <si>
    <t>LENT</t>
  </si>
  <si>
    <t>IPJSC Lenta</t>
  </si>
  <si>
    <t>corp.lenta.com/ru/</t>
  </si>
  <si>
    <t>e-disclosure.ru/portal/company.aspx?id=38380</t>
  </si>
  <si>
    <t>US6708662019</t>
  </si>
  <si>
    <t>OKEY</t>
  </si>
  <si>
    <t>okeygroup.lu</t>
  </si>
  <si>
    <t>US33835G2057</t>
  </si>
  <si>
    <t>FIXP</t>
  </si>
  <si>
    <t>FIX PRICE GROUP PLC</t>
  </si>
  <si>
    <t>ir.fix-price.com/ru/</t>
  </si>
  <si>
    <t>e-disclosure.ru/portal/company.aspx?id=38370</t>
  </si>
  <si>
    <t>RU000A0DM8R7</t>
  </si>
  <si>
    <t>SCON</t>
  </si>
  <si>
    <t>ОАО "Седьмой Континент"</t>
  </si>
  <si>
    <t>OJSC "Seventh Continent"</t>
  </si>
  <si>
    <t>e-disclosure.ru/portal/company.aspx?id=34</t>
  </si>
  <si>
    <t>RU000A0JSQ90</t>
  </si>
  <si>
    <t>PJSC "Detsky mir"</t>
  </si>
  <si>
    <t>corp.detmir.ru</t>
  </si>
  <si>
    <t>e-disclosure.ru/portal/company.aspx?id=6788</t>
  </si>
  <si>
    <t>RU000A0JPGA0</t>
  </si>
  <si>
    <t>MVID</t>
  </si>
  <si>
    <t>PJSC "M.video"</t>
  </si>
  <si>
    <t>www.mvideoeldorado.ru/ru/</t>
  </si>
  <si>
    <t>e-disclosure.ru/portal/company.aspx?id=11014</t>
  </si>
  <si>
    <t>RU000A0JXKG3</t>
  </si>
  <si>
    <t>ORUP</t>
  </si>
  <si>
    <t>PJSC "ORG"</t>
  </si>
  <si>
    <t>orgroup.ru</t>
  </si>
  <si>
    <t>e-disclosure.ru/portal/company.aspx?id=33614</t>
  </si>
  <si>
    <t>RU000A106XF2</t>
  </si>
  <si>
    <t>HNFG</t>
  </si>
  <si>
    <t>ПАО ХЭНДЕРСОН ФЭШН ГРУПП (ПАО ЭЙЧ ЭФ ДЖИ)</t>
  </si>
  <si>
    <t>PJSC HENDERSON</t>
  </si>
  <si>
    <t>ir.henderson.ru</t>
  </si>
  <si>
    <t>e-disclosure.ru/portal/company.aspx?id=38967</t>
  </si>
  <si>
    <t>RU000A0JTVB9</t>
  </si>
  <si>
    <t>OJSC "Zhivoj office"</t>
  </si>
  <si>
    <t>zhivojoffice.com</t>
  </si>
  <si>
    <t>e-disclosure.ru/portal/company.aspx?id=31874</t>
  </si>
  <si>
    <t>RU000A0JT7Y2</t>
  </si>
  <si>
    <t>LVHK</t>
  </si>
  <si>
    <t>ПАО "Левенгук"</t>
  </si>
  <si>
    <t>PJSC "Levenguk"</t>
  </si>
  <si>
    <t>Prod-Opt</t>
  </si>
  <si>
    <t>www.levenhuk.ru</t>
  </si>
  <si>
    <t>e-disclosure.ru/portal/company.aspx?id=31319</t>
  </si>
  <si>
    <t>RU000A0JTFH9</t>
  </si>
  <si>
    <t>MSST</t>
  </si>
  <si>
    <t>ОАО "Мультисистема"</t>
  </si>
  <si>
    <t>OJSC "Mul'tisistema"</t>
  </si>
  <si>
    <t>Prod-Dev</t>
  </si>
  <si>
    <t>multisistema.ru; мультисистема.рф</t>
  </si>
  <si>
    <t>e-disclosure.ru/portal/company.aspx?id=31563</t>
  </si>
  <si>
    <t>RU000A0JTAP3</t>
  </si>
  <si>
    <t>RLMN</t>
  </si>
  <si>
    <t>RLMNP</t>
  </si>
  <si>
    <t>PJSC "Rollman Group"</t>
  </si>
  <si>
    <t>rollman-gk.com</t>
  </si>
  <si>
    <t>e-disclosure.ru/portal/company.aspx?id=29610</t>
  </si>
  <si>
    <t>RU000A0HL5M1</t>
  </si>
  <si>
    <t>PJSC "NovaBev Group" (PJSC "Beluga Group"; PJSC "Synergy")</t>
  </si>
  <si>
    <t>novabev.com</t>
  </si>
  <si>
    <t>e-disclosure.ru/portal/company.aspx?id=7380</t>
  </si>
  <si>
    <t>RU000A0JS5T7</t>
  </si>
  <si>
    <t>ABRD</t>
  </si>
  <si>
    <t>PJSC "Abrau-Durso"</t>
  </si>
  <si>
    <t>www.abraudurso.ru</t>
  </si>
  <si>
    <t>e-disclosure.ru/portal/company.aspx?id=26517</t>
  </si>
  <si>
    <t>RU000A107KX0</t>
  </si>
  <si>
    <t>KLVZ</t>
  </si>
  <si>
    <t>ПАО "АГК" (ПАО "АЛКОГОЛЬНАЯ ГРУППА КРИСТАЛЛ")</t>
  </si>
  <si>
    <t>PJSC "KLVZ KRISTALL"</t>
  </si>
  <si>
    <t>klvzk.ru</t>
  </si>
  <si>
    <t>e-disclosure.ru/portal/company.aspx?id=39009</t>
  </si>
  <si>
    <t>RU0009107684</t>
  </si>
  <si>
    <t>PKBA</t>
  </si>
  <si>
    <t>PKBAP</t>
  </si>
  <si>
    <t>OJSC "Baltika Brewery"</t>
  </si>
  <si>
    <t>e-disclosure.ru/portal/company.aspx?id=1514</t>
  </si>
  <si>
    <t>RU000A0JP922</t>
  </si>
  <si>
    <t>ROST</t>
  </si>
  <si>
    <t>PJSC "Rosinter Restaurants Holding"</t>
  </si>
  <si>
    <t>www.rosinter.ru</t>
  </si>
  <si>
    <t>e-disclosure.ru/portal/company.aspx?id=9038</t>
  </si>
  <si>
    <t>RU0008081765</t>
  </si>
  <si>
    <t>PJSC "Pharmacy Chain 36.6"</t>
  </si>
  <si>
    <t>pharmacychain366.ru</t>
  </si>
  <si>
    <t>e-disclosure.ru/portal/company.aspx?id=1216</t>
  </si>
  <si>
    <t>RU000A0JL475</t>
  </si>
  <si>
    <t>ПАО "ВЕРОФАРМ"</t>
  </si>
  <si>
    <t>PJSC "VEROPHARM"</t>
  </si>
  <si>
    <t>veropharm.ru</t>
  </si>
  <si>
    <t>e-disclosure.ru/portal/company.aspx?id=7271</t>
  </si>
  <si>
    <t>RU000A0JP7F5</t>
  </si>
  <si>
    <t>PJSC "Pharmstandard"</t>
  </si>
  <si>
    <t>pharmstd.ru</t>
  </si>
  <si>
    <t>e-disclosure.ru/portal/company.aspx?id=9187</t>
  </si>
  <si>
    <t>RU000A0JUDK6</t>
  </si>
  <si>
    <t>OTCP</t>
  </si>
  <si>
    <t>PJSC "OTCPharm"</t>
  </si>
  <si>
    <t>www.otcpharm.ru</t>
  </si>
  <si>
    <t>e-disclosure.ru/portal/company.aspx?id=34083</t>
  </si>
  <si>
    <t>RU000A0JQU47</t>
  </si>
  <si>
    <t>PJSC "PROTEK"</t>
  </si>
  <si>
    <t>www.protek-group.ru</t>
  </si>
  <si>
    <t>e-disclosure.ru/portal/company.aspx?id=13943</t>
  </si>
  <si>
    <t>RU000A0JQWC1</t>
  </si>
  <si>
    <t>DIOD</t>
  </si>
  <si>
    <t>PJSC "DIOD"</t>
  </si>
  <si>
    <t>www.diod.ru</t>
  </si>
  <si>
    <t>e-disclosure.ru/portal/company.aspx?id=10180</t>
  </si>
  <si>
    <t>RU000A109B25</t>
  </si>
  <si>
    <t>OZPH</t>
  </si>
  <si>
    <t>PJSC "Ozon Pharmaceuticals"</t>
  </si>
  <si>
    <t>ozonpharm.ru</t>
  </si>
  <si>
    <t>e-disclosure.ru/portal/company.aspx?id=39126</t>
  </si>
  <si>
    <t>RU000A108JF7</t>
  </si>
  <si>
    <t>PRMD</t>
  </si>
  <si>
    <t>PJSC "PROMOMED"</t>
  </si>
  <si>
    <t>promomed.ru</t>
  </si>
  <si>
    <t>e-disclosure.ru/portal/company.aspx?id=38533</t>
  </si>
  <si>
    <t>RU000A0JR514</t>
  </si>
  <si>
    <t>PJSC "Farmsintez "</t>
  </si>
  <si>
    <t>www.pharmsynthez.com</t>
  </si>
  <si>
    <t>e-disclosure.ru/portal/company.aspx?id=4378</t>
  </si>
  <si>
    <t>RU000A0JNAB6</t>
  </si>
  <si>
    <t>ABIO</t>
  </si>
  <si>
    <t>ПАО "Артген" (ПАО "Институт Стволовых Клеток Человека", ПАО "ИСКЧ")</t>
  </si>
  <si>
    <t>PJSC "ARTGEN" (PJSC "HSCI")</t>
  </si>
  <si>
    <t>artgen.ru</t>
  </si>
  <si>
    <t>e-disclosure.ru/portal/company.aspx?id=7814</t>
  </si>
  <si>
    <t>RU000A100GC7</t>
  </si>
  <si>
    <t>ПАО "Международный Медицинский Центр Обработки и Криохранения Биоматериалов" (ПАО "ММЦБ")</t>
  </si>
  <si>
    <t>PJSC "IMCB"</t>
  </si>
  <si>
    <t>gemabank.ru</t>
  </si>
  <si>
    <t>e-disclosure.ru/portal/company.aspx?id=37646</t>
  </si>
  <si>
    <t>RU000A105BN4</t>
  </si>
  <si>
    <t>PJSC "GENETICO"</t>
  </si>
  <si>
    <t>genetico.ru</t>
  </si>
  <si>
    <t>e-disclosure.ru/portal/files.aspx?id=38201&amp;type=3</t>
  </si>
  <si>
    <t>US55279C2008</t>
  </si>
  <si>
    <t>МД МЕДИКАЛ ГРУП ИНВЕСТМЕНТС ПЛС</t>
  </si>
  <si>
    <t>www.mcclinics.ru</t>
  </si>
  <si>
    <t>e-disclosure.ru/portal/company.aspx?id=38301</t>
  </si>
  <si>
    <t>US91085A2033</t>
  </si>
  <si>
    <t>GEMC</t>
  </si>
  <si>
    <t>ЮНАЙТЕД МЕДИКАЛ ГРУП КИ ПИЭЛСИ</t>
  </si>
  <si>
    <t>emc-investor.com</t>
  </si>
  <si>
    <t>e-disclosure.ru/portal/company.aspx?id=38456</t>
  </si>
  <si>
    <t>RU000A0JV532</t>
  </si>
  <si>
    <t>GRNT</t>
  </si>
  <si>
    <t>ПАО "Городские Инновационные Технологии" (ПАО "ГИТ")</t>
  </si>
  <si>
    <t>PJSC "CityInnovativeTechnologies"</t>
  </si>
  <si>
    <t>Serv-City</t>
  </si>
  <si>
    <t>e-disclosure.ru/portal/company.aspx?id=32725</t>
  </si>
  <si>
    <t>US7496552057</t>
  </si>
  <si>
    <t>AGRO</t>
  </si>
  <si>
    <t>ROS AGRO PLC</t>
  </si>
  <si>
    <t>www.rusagrogroup.ru</t>
  </si>
  <si>
    <t>e-disclosure.ru/portal/company.aspx?id=34871</t>
  </si>
  <si>
    <t>RU000A0JL4R1</t>
  </si>
  <si>
    <t>GCHE</t>
  </si>
  <si>
    <t>PJSC "Cherkizovo Group"</t>
  </si>
  <si>
    <t>www.cherkizovo.com</t>
  </si>
  <si>
    <t>e-disclosure.ru/portal/company.aspx?id=6652</t>
  </si>
  <si>
    <t>RU000A0HG4P4</t>
  </si>
  <si>
    <t>PJSC "RAZGULAY Group"</t>
  </si>
  <si>
    <t>www.raz.ru</t>
  </si>
  <si>
    <t>e-disclosure.ru/portal/company.aspx?id=397</t>
  </si>
  <si>
    <t>RU000A0JQTS3</t>
  </si>
  <si>
    <t>PJSC "INARCTICA" (PJSC "Russian Aquaculture")</t>
  </si>
  <si>
    <t>inarctica.com (russaquaculture.ru)</t>
  </si>
  <si>
    <t>e-disclosure.ru/portal/company.aspx?id=17531</t>
  </si>
  <si>
    <t>RU000A0JSVY3</t>
  </si>
  <si>
    <t>BGDE</t>
  </si>
  <si>
    <t>ПАО «Богородские деликатесы»</t>
  </si>
  <si>
    <t>PJSC "Bogorodskie delikatesy"</t>
  </si>
  <si>
    <t>e-disclosure.ru/portal/company.aspx?id=31279</t>
  </si>
  <si>
    <t>RU0006935830</t>
  </si>
  <si>
    <t>OSMP</t>
  </si>
  <si>
    <t>ОАО "Останкинский мясоперерабатывающий комбинат" (ОАО "ОМПК")</t>
  </si>
  <si>
    <t>PJSC "OMPK"</t>
  </si>
  <si>
    <t>Ostankino</t>
  </si>
  <si>
    <t>e-disclosure.ru/portal/company.aspx?id=316</t>
  </si>
  <si>
    <t>RU0008913850</t>
  </si>
  <si>
    <t>KROT</t>
  </si>
  <si>
    <t>KROTP</t>
  </si>
  <si>
    <t>PJSC "KrasnyiOctabr"</t>
  </si>
  <si>
    <t>Uniconf</t>
  </si>
  <si>
    <t>Prod-Conf</t>
  </si>
  <si>
    <t>www.redoct.msk.ru</t>
  </si>
  <si>
    <t>e-disclosure.ru/portal/company.aspx?id=468</t>
  </si>
  <si>
    <t>RU000A0JPNP4</t>
  </si>
  <si>
    <t>RUGR</t>
  </si>
  <si>
    <t>PJSC "Rusgrain Holding"</t>
  </si>
  <si>
    <t>e-disclosure.ru/portal/company.aspx?id=24322</t>
  </si>
  <si>
    <t>RU000A105EX7</t>
  </si>
  <si>
    <t>PJSC "WHOOSH Holding"</t>
  </si>
  <si>
    <t>whoosh-bike.ru</t>
  </si>
  <si>
    <t>e-disclosure.ru/portal/company.aspx?id=38772</t>
  </si>
  <si>
    <t>RU000A108K09</t>
  </si>
  <si>
    <t>VSEH</t>
  </si>
  <si>
    <t>ПАО «ВИ.ру»</t>
  </si>
  <si>
    <t>PJSC "VI.ru"</t>
  </si>
  <si>
    <t>ir.vseinstrumenti.ru</t>
  </si>
  <si>
    <t>e-disclosure.ru/portal/company.aspx?id=39131</t>
  </si>
  <si>
    <t>RU000A0JPLZ7</t>
  </si>
  <si>
    <t>PJSC "UAC"</t>
  </si>
  <si>
    <t>Rostec</t>
  </si>
  <si>
    <t>www.uacrussia.ru</t>
  </si>
  <si>
    <t>e-disclosure.ru/portal/company.aspx?id=11433</t>
  </si>
  <si>
    <t>RU0006752979</t>
  </si>
  <si>
    <t>IRKT</t>
  </si>
  <si>
    <t>PJSC "Yakovlev" (PJSC "IRKUT Corporation")</t>
  </si>
  <si>
    <t>yakovlev.ru</t>
  </si>
  <si>
    <t>e-disclosure.ru/portal/company.aspx?id=76</t>
  </si>
  <si>
    <t>RU0007796926</t>
  </si>
  <si>
    <t>akil</t>
  </si>
  <si>
    <t>ПАО "Авиационный комплекс им. С.В.Ильюшина" (ПАО "Ил")</t>
  </si>
  <si>
    <t>PJSC "ILYUSHIN Aviation Complex"</t>
  </si>
  <si>
    <t>e-disclosure.ru/portal/company.aspx?id=1788</t>
  </si>
  <si>
    <t>RU000A0JRPX9</t>
  </si>
  <si>
    <t>PJSC NPO "Nauka"</t>
  </si>
  <si>
    <t>npo-nauka.ru</t>
  </si>
  <si>
    <t>e-disclosure.ru/portal/company.aspx?id=691</t>
  </si>
  <si>
    <t>RU000A0JTW26</t>
  </si>
  <si>
    <t>JSC "Russian Helicopters"</t>
  </si>
  <si>
    <t>www.rhc.aero</t>
  </si>
  <si>
    <t>e-disclosure.ru/portal/company.aspx?id=21113</t>
  </si>
  <si>
    <t>RU0009102404</t>
  </si>
  <si>
    <t>khelp</t>
  </si>
  <si>
    <t>АО "Казанский вертолетный завод"</t>
  </si>
  <si>
    <t>JSC "Kazansky Helicopter Plant</t>
  </si>
  <si>
    <t>Russian Helicopters</t>
  </si>
  <si>
    <t>e-disclosure.ru/portal/company.aspx?id=3919</t>
  </si>
  <si>
    <t>RU0009109391</t>
  </si>
  <si>
    <t>АО "Арсеньевская авиационная Компания "Прогресс" им Н.И. Сазыкина" (АО ААК "ПРОГРЕСС")</t>
  </si>
  <si>
    <t>JSC ARSENIEV AIRCRAFT COMPANY "PROGRESS"</t>
  </si>
  <si>
    <t>e-disclosure.ru/portal/company.aspx?id=8990</t>
  </si>
  <si>
    <t>RU000A0JWK74</t>
  </si>
  <si>
    <t>АО "Объединенная двигателестроительная корпорация" (АО "ОДК")</t>
  </si>
  <si>
    <t>JSC "United Engine Corporation" (JSC "UEC")</t>
  </si>
  <si>
    <t>www.uecrus.com</t>
  </si>
  <si>
    <t>e-disclosure.ru/portal/company.aspx?id=27324</t>
  </si>
  <si>
    <t>RU0009095244</t>
  </si>
  <si>
    <t>PJSC "UEC-UMPO" (PJSC "UMPO")</t>
  </si>
  <si>
    <t>UEC</t>
  </si>
  <si>
    <t>www.umpo.ru</t>
  </si>
  <si>
    <t>e-disclosure.ru/portal/company.aspx?id=8744</t>
  </si>
  <si>
    <t>RU0007774998</t>
  </si>
  <si>
    <t>SATR</t>
  </si>
  <si>
    <t>ПАО "ОДК-Сатурн" (ПАО "НПО "Сатурн")</t>
  </si>
  <si>
    <t>PJSC "ODK-Saturn"</t>
  </si>
  <si>
    <t>e-disclosure.ru/portal/company.aspx?id=2348</t>
  </si>
  <si>
    <t>RU0009095939</t>
  </si>
  <si>
    <t>RKKE</t>
  </si>
  <si>
    <t>ПАО "Ракетно-космическая корпорация "Энергия" имени С.П. Королёва" (ПАО "РКК "Энергия")</t>
  </si>
  <si>
    <t>PJSC "RSC Energia"</t>
  </si>
  <si>
    <t>Space</t>
  </si>
  <si>
    <t>www.energia.ru</t>
  </si>
  <si>
    <t>e-disclosure.ru/portal/company.aspx?id=1615</t>
  </si>
  <si>
    <t>RU0008959580</t>
  </si>
  <si>
    <t>PJSC "KAMAZ"</t>
  </si>
  <si>
    <t>www.kamaz.ru</t>
  </si>
  <si>
    <t>e-disclosure.ru/portal/company.aspx?id=33</t>
  </si>
  <si>
    <t>RU0009115604</t>
  </si>
  <si>
    <t>NFAZ</t>
  </si>
  <si>
    <t>ПАО "Нефтекамский автозавод" (ПАО "НЕФАЗ")</t>
  </si>
  <si>
    <t>PJSC "NEFAZ"</t>
  </si>
  <si>
    <t>nefaz.ru</t>
  </si>
  <si>
    <t>e-disclosure.ru/portal/company.aspx?id=227</t>
  </si>
  <si>
    <t>RU0009071187</t>
  </si>
  <si>
    <t>AVAZ</t>
  </si>
  <si>
    <t>AVAZP</t>
  </si>
  <si>
    <t>АО "АВТОВАЗ"</t>
  </si>
  <si>
    <t>JSC "AVTOVAZ"</t>
  </si>
  <si>
    <t>www.lada.ru</t>
  </si>
  <si>
    <t>e-disclosure.ru/portal/company.aspx?id=31</t>
  </si>
  <si>
    <t>RU0006914488</t>
  </si>
  <si>
    <t>PJSC "SOLLERS"</t>
  </si>
  <si>
    <t>www.sollers-auto.com</t>
  </si>
  <si>
    <t>e-disclosure.ru/portal/company.aspx?id=1324</t>
  </si>
  <si>
    <t>RU0009034268</t>
  </si>
  <si>
    <t>GAZA</t>
  </si>
  <si>
    <t>GAZAP</t>
  </si>
  <si>
    <t>PJSC "GAZ"</t>
  </si>
  <si>
    <t>nn.gaz.ru</t>
  </si>
  <si>
    <t>e-disclosure.ru/portal/company.aspx?id=859</t>
  </si>
  <si>
    <t>RU0009100663</t>
  </si>
  <si>
    <t>RTLM</t>
  </si>
  <si>
    <t>RTLMP</t>
  </si>
  <si>
    <t>ПАО "Ростсельмаш"</t>
  </si>
  <si>
    <t>PJSC "Rostselmash"</t>
  </si>
  <si>
    <t>rostselmash.com</t>
  </si>
  <si>
    <t>e-disclosure.ru/portal/company.aspx?id=421</t>
  </si>
  <si>
    <t>RU0009090559</t>
  </si>
  <si>
    <t>OMZZ</t>
  </si>
  <si>
    <t>OMZZP</t>
  </si>
  <si>
    <t>PJSC "OMZ"</t>
  </si>
  <si>
    <t>Gazprombank</t>
  </si>
  <si>
    <t>omz.tech</t>
  </si>
  <si>
    <t>e-disclosure.ru/portal/company.aspx?id=249</t>
  </si>
  <si>
    <t>RU0006753613</t>
  </si>
  <si>
    <t>KMEZ</t>
  </si>
  <si>
    <t>ПАО "Ковровский механический завод"</t>
  </si>
  <si>
    <t>PJSC "Kovrov Mech. Zavod"</t>
  </si>
  <si>
    <t>TVEL Corp</t>
  </si>
  <si>
    <t>www.kvmz.ru</t>
  </si>
  <si>
    <t>e-disclosure.ru/portal/company.aspx?id=8976</t>
  </si>
  <si>
    <t>RU0006763570</t>
  </si>
  <si>
    <t>MOTZ</t>
  </si>
  <si>
    <t>ПАО специального машиностроения и металлургии "Мотовилихинские заводы"</t>
  </si>
  <si>
    <t>PJSC "Motovilihinskie zavody"</t>
  </si>
  <si>
    <t>mz.perm.ru/</t>
  </si>
  <si>
    <t>e-disclosure.ru/portal/company.aspx?id=688</t>
  </si>
  <si>
    <t>RU000A0JU0S6</t>
  </si>
  <si>
    <t>JSC "Research and Production Corporation Ural Wagon Factory"</t>
  </si>
  <si>
    <t>www.uvz.ru</t>
  </si>
  <si>
    <t>e-disclosure.ru/portal/company.aspx?id=19616; disclosure.1prime.ru/Portal/Default.aspx?emId=6623029538</t>
  </si>
  <si>
    <t>RU000A0JVBT9</t>
  </si>
  <si>
    <t>UWGN</t>
  </si>
  <si>
    <t>PJSC "RPC UWC"</t>
  </si>
  <si>
    <t>www.uniwagon.com</t>
  </si>
  <si>
    <t>e-disclosure.ru/portal/company.aspx?id=35102</t>
  </si>
  <si>
    <t>RU000A0JQW11</t>
  </si>
  <si>
    <t>DZRD</t>
  </si>
  <si>
    <t>DZRDP</t>
  </si>
  <si>
    <t>OJSC "DONSKOY FACTORY OF RADIOCOMPONENTS" (OJSC "DZRD")</t>
  </si>
  <si>
    <t>www.alund.ru</t>
  </si>
  <si>
    <t>e-disclosure.ru/portal/company.aspx?id=5496</t>
  </si>
  <si>
    <t>RU000A0JWW54</t>
  </si>
  <si>
    <t>EELT</t>
  </si>
  <si>
    <t>ПАО «Европейская Электротехника»</t>
  </si>
  <si>
    <t>PJSC "European Eltech"</t>
  </si>
  <si>
    <t>euroetpao.ru</t>
  </si>
  <si>
    <t>e-disclosure.ru/portal/company.aspx?id=36330</t>
  </si>
  <si>
    <t>RU000A0JRPV3</t>
  </si>
  <si>
    <t>PLSM</t>
  </si>
  <si>
    <t>PJSC "Plasmeq"</t>
  </si>
  <si>
    <t>plasmeq.ru</t>
  </si>
  <si>
    <t>e-disclosure.ru/portal/company.aspx?id=29198</t>
  </si>
  <si>
    <t>RU000A0JQZ42</t>
  </si>
  <si>
    <t>SEMZ</t>
  </si>
  <si>
    <t>ОАО "Софринский экспериментально- механический завод" (ОАО "СЭМЗ")</t>
  </si>
  <si>
    <t>OJSC "Sofrinsky Experimental Mechanical Plant" (OJSC "SEMZ")</t>
  </si>
  <si>
    <t>e-disclosure.ru/portal/company.aspx?id=27664</t>
  </si>
  <si>
    <t>RU000A108ZX6</t>
  </si>
  <si>
    <t>LMBZ</t>
  </si>
  <si>
    <t>ПАО «Ламбумиз»</t>
  </si>
  <si>
    <t>PJSC "Lambumiz"</t>
  </si>
  <si>
    <t>lambumiz.ru</t>
  </si>
  <si>
    <t>e-disclosure.ru/portal/company.aspx?id=36391</t>
  </si>
  <si>
    <t>RU000A102XG9</t>
  </si>
  <si>
    <t>ПАО «СЕГЕЖА ГРУПП»</t>
  </si>
  <si>
    <t>PJSC Group of companies "Segezha"</t>
  </si>
  <si>
    <t>AFKS</t>
  </si>
  <si>
    <t>www.segezha-group.com/</t>
  </si>
  <si>
    <t>e-disclosure.ru/portal/company.aspx?id=38038</t>
  </si>
  <si>
    <t>RU0009062285</t>
  </si>
  <si>
    <t>PJSC "Aeroflot"</t>
  </si>
  <si>
    <t>ir.aeroflot.ru/ru/</t>
  </si>
  <si>
    <t>e-disclosure.ru/portal/company.aspx?id=1480</t>
  </si>
  <si>
    <t>RU0007661385</t>
  </si>
  <si>
    <t>PJSC UTair Aviation</t>
  </si>
  <si>
    <t>www.utair.ru</t>
  </si>
  <si>
    <t>e-disclosure.ru/portal/company.aspx?id=1171</t>
  </si>
  <si>
    <t>RU000A0JNRU0</t>
  </si>
  <si>
    <t>TAER</t>
  </si>
  <si>
    <t>OJSC "TRANSAERO Airlines"</t>
  </si>
  <si>
    <t>e-disclosure.ru/portal/company.aspx?id=12696</t>
  </si>
  <si>
    <t>RU000A0JSGV0</t>
  </si>
  <si>
    <t>OJSC "Russian Railways"</t>
  </si>
  <si>
    <t>ir.rzd.ru</t>
  </si>
  <si>
    <t>e-disclosure.ru/portal/company.aspx?id=4543</t>
  </si>
  <si>
    <t>US37949E2046</t>
  </si>
  <si>
    <t>Глобалтранс Инвестмент ПЛС</t>
  </si>
  <si>
    <t>Globaltrans Investment PLC</t>
  </si>
  <si>
    <t>www.globaltrans.com</t>
  </si>
  <si>
    <t>e-disclosure.ru/portal/company.aspx?id=38302</t>
  </si>
  <si>
    <t>RU000A0JPRX9</t>
  </si>
  <si>
    <t>PJSC "TransContainer"</t>
  </si>
  <si>
    <t>trcont.com</t>
  </si>
  <si>
    <t>e-disclosure.ru/portal/company.aspx?id=11194</t>
  </si>
  <si>
    <t>RU000A0ZYD22</t>
  </si>
  <si>
    <t>PJSC "GLOBALTRUCK MANAGEMENT"</t>
  </si>
  <si>
    <t>globaltruck.ru/</t>
  </si>
  <si>
    <t>e-disclosure.ru/portal/company.aspx?id=37114</t>
  </si>
  <si>
    <t>RU0009084446</t>
  </si>
  <si>
    <t>PJSC "NCSP"</t>
  </si>
  <si>
    <t>ncsp.ru</t>
  </si>
  <si>
    <t>e-disclosure.ru/portal/company.aspx?id=3900</t>
  </si>
  <si>
    <t>RU0008992318</t>
  </si>
  <si>
    <t>PJSC "FESCO"</t>
  </si>
  <si>
    <t>www.fesco.ru</t>
  </si>
  <si>
    <t>e-disclosure.ru/portal/company.aspx?id=83</t>
  </si>
  <si>
    <t>RU000A0BLWD7</t>
  </si>
  <si>
    <t>ПАО "Новороссийский комбинат хлебопродуктов" (ПАО "НКХП")</t>
  </si>
  <si>
    <t>PJSC "Novorossiysk Grain Plant" (PJSC "NGP")</t>
  </si>
  <si>
    <t>OZK Group</t>
  </si>
  <si>
    <t>novoroskhp.ru</t>
  </si>
  <si>
    <t>e-disclosure.ru/portal/company.aspx?id=10198</t>
  </si>
  <si>
    <t>RU000A0JXNU8</t>
  </si>
  <si>
    <t>FLOT</t>
  </si>
  <si>
    <t>PJSC "Sovcomflot"</t>
  </si>
  <si>
    <t>scf-group.ru</t>
  </si>
  <si>
    <t>e-disclosure.ru/portal/company.aspx?id=11967</t>
  </si>
  <si>
    <t>RU000A0JPFP0</t>
  </si>
  <si>
    <t>PJSC "LSR Group"</t>
  </si>
  <si>
    <t>lsrgroup.ru</t>
  </si>
  <si>
    <t>e-disclosure.ru/portal/company.aspx?id=4834</t>
  </si>
  <si>
    <t>RU000A0JP7J7</t>
  </si>
  <si>
    <t>PJSC "PIK Group"</t>
  </si>
  <si>
    <t>pik-group.ru</t>
  </si>
  <si>
    <t>e-disclosure.ru/portal/company.aspx?id=44</t>
  </si>
  <si>
    <t>US29760G1031</t>
  </si>
  <si>
    <t>ЭТАЛОН ГРУП ПИЭЛСИ</t>
  </si>
  <si>
    <t>ETALON GROUP PLC</t>
  </si>
  <si>
    <t>www.etalongroup.com/ru/</t>
  </si>
  <si>
    <t>e-disclosure.ru/portal/company.aspx?id=38096</t>
  </si>
  <si>
    <t>RU000A0ZZG02</t>
  </si>
  <si>
    <t>ПАО «Группа компаний «Самолет»</t>
  </si>
  <si>
    <t>PJSC Samolet Group</t>
  </si>
  <si>
    <t>www.samoletgroup.ru</t>
  </si>
  <si>
    <t>e-disclosure.ru/portal/company.aspx?id=36419</t>
  </si>
  <si>
    <t>RU000A0JNP96</t>
  </si>
  <si>
    <t>JSC SG-Development (HALS-Development PJSC)</t>
  </si>
  <si>
    <t>hals-development.ru</t>
  </si>
  <si>
    <t>e-disclosure.ru/portal/company.aspx?id=8939</t>
  </si>
  <si>
    <t>RU0009177331</t>
  </si>
  <si>
    <t>PJSC "MOSTOTREST"</t>
  </si>
  <si>
    <t>mostotrest.ru</t>
  </si>
  <si>
    <t>e-disclosure.ru/portal/company.aspx?id=1220</t>
  </si>
  <si>
    <t>RU0008137070</t>
  </si>
  <si>
    <t>WTCM</t>
  </si>
  <si>
    <t>WTCMP</t>
  </si>
  <si>
    <t>PJSC "World Trade Center Moscow" (PJSC "WTC Moscow")</t>
  </si>
  <si>
    <t>wtcmoscow.ru/</t>
  </si>
  <si>
    <t>e-disclosure.ru/portal/company.aspx?id=9304</t>
  </si>
  <si>
    <t>GB00B0D5V538</t>
  </si>
  <si>
    <t>Raven Property Group</t>
  </si>
  <si>
    <t>www.theravenpropertygroup.com</t>
  </si>
  <si>
    <t>https://www.e-disclosure.ru/portal/company.aspx?id=37589</t>
  </si>
  <si>
    <t>RU000A0JNXF9</t>
  </si>
  <si>
    <t>PRFN</t>
  </si>
  <si>
    <t>ПАО "Челябинский завод профилированного стального настила" (ПАО "ЧЗПСН-Профнастил")</t>
  </si>
  <si>
    <t>PJSC "Chelyabinski zavod PROFNASTIL"</t>
  </si>
  <si>
    <t>стройсистема.рф</t>
  </si>
  <si>
    <t>e-disclosure.ru/portal/company.aspx?id=4744</t>
  </si>
  <si>
    <t>NL0009805522</t>
  </si>
  <si>
    <t>Yandex N.V.</t>
  </si>
  <si>
    <t>ir.yandex.com</t>
  </si>
  <si>
    <t>e-disclosure.ru/portal/company.aspx?id=34514</t>
  </si>
  <si>
    <t>RU000A106YF0</t>
  </si>
  <si>
    <t>PJSC "VK International" (VK Company Limited; Mail.ru Group Limited)</t>
  </si>
  <si>
    <t>vk.company/ru/</t>
  </si>
  <si>
    <t>e-disclosure.ru/portal/company.aspx?id=38965</t>
  </si>
  <si>
    <t>US69269L1044</t>
  </si>
  <si>
    <t>Озон Холдингс ПиЭлСи</t>
  </si>
  <si>
    <t>corp.ozon.ru</t>
  </si>
  <si>
    <t>e-disclosure.ru/portal/company.aspx?id=38334</t>
  </si>
  <si>
    <t>RU000A0JRHV0</t>
  </si>
  <si>
    <t>UTII</t>
  </si>
  <si>
    <t>ПАО "Платформа ЮТИНЕТ.РУ"</t>
  </si>
  <si>
    <t>PJSC "Platform UTINET.RU"</t>
  </si>
  <si>
    <t>e-disclosure.ru/portal/company.aspx?id=29452</t>
  </si>
  <si>
    <t>US42207L1061</t>
  </si>
  <si>
    <t>ХэдХантер Групп ПИЭЛСИ</t>
  </si>
  <si>
    <t>www.hh.ru</t>
  </si>
  <si>
    <t>e-disclosure.ru/portal/company.aspx?id=38250</t>
  </si>
  <si>
    <t>US83418T1088</t>
  </si>
  <si>
    <t>CIAN</t>
  </si>
  <si>
    <t>Cian PLC</t>
  </si>
  <si>
    <t>ir.ciangroup.ru/ru/</t>
  </si>
  <si>
    <t>e-disclosure.ru/portal/company.aspx?id=38549</t>
  </si>
  <si>
    <t>RU000A0JP4J4</t>
  </si>
  <si>
    <t>ARMD</t>
  </si>
  <si>
    <t>PJSC "ARMADA"</t>
  </si>
  <si>
    <t>pao-armada.ru</t>
  </si>
  <si>
    <t>e-disclosure.ru/portal/company.aspx?id=10114</t>
  </si>
  <si>
    <t>RU000A103X66</t>
  </si>
  <si>
    <t>POSI</t>
  </si>
  <si>
    <t>ПАО "Группа Позитив"</t>
  </si>
  <si>
    <t>PJSC "Positive Group"</t>
  </si>
  <si>
    <t>group.ptsecurity.com/ru</t>
  </si>
  <si>
    <t>e-disclosure.ru/portal/company.aspx?id=38538</t>
  </si>
  <si>
    <t>RU000A0ZZBC2</t>
  </si>
  <si>
    <t>SOFL</t>
  </si>
  <si>
    <t>ПАО "Софтлайн"</t>
  </si>
  <si>
    <t>PJSC "Softline"</t>
  </si>
  <si>
    <t>softline.ru</t>
  </si>
  <si>
    <t>e-disclosure.ru/portal/company.aspx?id=37065</t>
  </si>
  <si>
    <t>RU000A106T36</t>
  </si>
  <si>
    <t>ASTR</t>
  </si>
  <si>
    <t>PJSC Astra Group</t>
  </si>
  <si>
    <t>astra.ru</t>
  </si>
  <si>
    <t>e-disclosure.ru/portal/company.aspx?id=38906</t>
  </si>
  <si>
    <t>RU000A107ER5</t>
  </si>
  <si>
    <t>DIAS</t>
  </si>
  <si>
    <t>PJSC "Diasoft"</t>
  </si>
  <si>
    <t>www.diasoft.ru</t>
  </si>
  <si>
    <t>e-disclosure.ru/portal/company.aspx?id=38975</t>
  </si>
  <si>
    <t>RU000A108ZR8</t>
  </si>
  <si>
    <t>DATA</t>
  </si>
  <si>
    <t>ПАО «Группа Аренадата»</t>
  </si>
  <si>
    <t>PJSC "Arenadata Group"</t>
  </si>
  <si>
    <t>arenadata.tech</t>
  </si>
  <si>
    <t>RU000A108GD8</t>
  </si>
  <si>
    <t>IVAT</t>
  </si>
  <si>
    <t>PJSC "IVA"</t>
  </si>
  <si>
    <t>iva.ru</t>
  </si>
  <si>
    <t>e-disclosure.ru/portal/company.aspx?id=39102</t>
  </si>
  <si>
    <t>RU000A0JR6A6</t>
  </si>
  <si>
    <t>PJSC "RBC"</t>
  </si>
  <si>
    <t>rbc.group</t>
  </si>
  <si>
    <t>e-disclosure.ru/portal/company.aspx?id=24832</t>
  </si>
  <si>
    <t>RU000A0JPWV3</t>
  </si>
  <si>
    <t>ODVA</t>
  </si>
  <si>
    <t>PJSC "Mediaholding" (O2TV)</t>
  </si>
  <si>
    <t>o2tvbiz.ru</t>
  </si>
  <si>
    <t>e-disclosure.ru/portal/company.aspx?id=13312</t>
  </si>
  <si>
    <t>RU000A0JS9K8</t>
  </si>
  <si>
    <t>VTRS</t>
  </si>
  <si>
    <t>ПАО "ВТОРРЕСУРСЫ"</t>
  </si>
  <si>
    <t>PJSC "VTORRESOURCE"</t>
  </si>
  <si>
    <t>Recyc</t>
  </si>
  <si>
    <t>e-disclosure.ru/portal/company.aspx?id=30058</t>
  </si>
  <si>
    <t>RU000A100K72</t>
  </si>
  <si>
    <t>IPJSC EN+ GROUP</t>
  </si>
  <si>
    <t>enplusgroup.com</t>
  </si>
  <si>
    <t>e-disclosure.ru/portal/company.aspx?id=37955</t>
  </si>
  <si>
    <t>RU000A0DQZE3</t>
  </si>
  <si>
    <t>ПАО АФК «Система»</t>
  </si>
  <si>
    <t>PJSFC Sistema</t>
  </si>
  <si>
    <t>sistema.ru</t>
  </si>
  <si>
    <t>e-disclosure.ru/portal/company.aspx?id=4772</t>
  </si>
  <si>
    <t>RU000A0JUGP8</t>
  </si>
  <si>
    <t>TRFM</t>
  </si>
  <si>
    <t>PJSC "TransFin-M"</t>
  </si>
  <si>
    <t>www.transfin-m.ru</t>
  </si>
  <si>
    <t>e-disclosure.ru/portal/company.aspx?id=8783</t>
  </si>
  <si>
    <t>US74735M1080</t>
  </si>
  <si>
    <t>КИВИ ПиЭлСи</t>
  </si>
  <si>
    <t>QIWI PLC</t>
  </si>
  <si>
    <t>https://qiwi.global/</t>
  </si>
  <si>
    <t xml:space="preserve">e-disclosure.ru/portal/company.aspx?id=33148; disclosure.1prime.ru/Portal/Default.aspx?emId=9909362043 </t>
  </si>
  <si>
    <t>RU000A0JWNX4</t>
  </si>
  <si>
    <t>PJSC "FG FUTURE"</t>
  </si>
  <si>
    <t>www.futurefg.ru</t>
  </si>
  <si>
    <t>e-disclosure.ru/portal/company.aspx?id=34945</t>
  </si>
  <si>
    <t>RU000A0ZZM04</t>
  </si>
  <si>
    <t>PJSC "Renaissance Insurance Group"</t>
  </si>
  <si>
    <t>invest.renins.ru</t>
  </si>
  <si>
    <t>e-disclosure.ru/portal/company.aspx?id=37468</t>
  </si>
  <si>
    <t>RU0008010855</t>
  </si>
  <si>
    <t>RGSS</t>
  </si>
  <si>
    <t>PJSC "Rosgosstrakh"</t>
  </si>
  <si>
    <t>OFCB</t>
  </si>
  <si>
    <t>www.rgs.ru</t>
  </si>
  <si>
    <t>e-disclosure.ru/portal/company.aspx?id=214</t>
  </si>
  <si>
    <t>RU000A0JXS91</t>
  </si>
  <si>
    <t>ACKO</t>
  </si>
  <si>
    <t>ПАО "СК ЮЖУРАЛ-АСКО"</t>
  </si>
  <si>
    <t>PJSC "ASKO"</t>
  </si>
  <si>
    <t>www.acko.ru</t>
  </si>
  <si>
    <t>e-disclosure.ru/portal/company.aspx?id=36458</t>
  </si>
  <si>
    <t>RU000A0JRBC3</t>
  </si>
  <si>
    <t>engr</t>
  </si>
  <si>
    <t>ПАО "САК "ЭНЕРГОГАРАНТ"</t>
  </si>
  <si>
    <t>PJSIC "ENERGOGARANT"</t>
  </si>
  <si>
    <t>energogarant.ru</t>
  </si>
  <si>
    <t>e-disclosure.ru/portal/company.aspx?id=7604</t>
  </si>
  <si>
    <t>RU0006752953</t>
  </si>
  <si>
    <t>ings</t>
  </si>
  <si>
    <t>IPJSC "Ingosstrakh Insurance Company"</t>
  </si>
  <si>
    <t>ingos.ru</t>
  </si>
  <si>
    <t>e-disclosure.ru/portal/company.aspx?id=119</t>
  </si>
  <si>
    <t>RU000A0JPAC9</t>
  </si>
  <si>
    <t>reso</t>
  </si>
  <si>
    <t>IPJSC "RESO-GARANTIA"</t>
  </si>
  <si>
    <t>reso.ru</t>
  </si>
  <si>
    <t>e-disclosure.ru/portal/company.aspx?id=100</t>
  </si>
  <si>
    <t>RU000A0JXNB8</t>
  </si>
  <si>
    <t>IJSC "VSK"</t>
  </si>
  <si>
    <t>www.vsk.ru</t>
  </si>
  <si>
    <t>http://www.e-disclosure.ru/portal/company.aspx?id=1968</t>
  </si>
  <si>
    <t>RU0009029540</t>
  </si>
  <si>
    <t>SBERP</t>
  </si>
  <si>
    <t>"Sberbank of Russia" PJSC</t>
  </si>
  <si>
    <t>www.sberbank.ru</t>
  </si>
  <si>
    <t>e-disclosure.ru/portal/company.aspx?id=3043</t>
  </si>
  <si>
    <t>RU000A0JP5V6</t>
  </si>
  <si>
    <t>VTB Bank PJSC</t>
  </si>
  <si>
    <t>www.vtb.ru</t>
  </si>
  <si>
    <t>e-disclosure.ru/portal/company.aspx?id=1210</t>
  </si>
  <si>
    <t>RU0009084214</t>
  </si>
  <si>
    <t>VZRZP</t>
  </si>
  <si>
    <t>ПАО Банк "Возрождение"</t>
  </si>
  <si>
    <t>PJSC V.Bank</t>
  </si>
  <si>
    <t>www.vbank.ru</t>
  </si>
  <si>
    <t>e-disclosure.ru//portal/company.aspx?id=120</t>
  </si>
  <si>
    <t>RU0006571916</t>
  </si>
  <si>
    <t>ОАО Банк Москвы (АО «БМ-Банк»)</t>
  </si>
  <si>
    <t>OJSC Bank of Moscow</t>
  </si>
  <si>
    <t>www.bm-bank.ru</t>
  </si>
  <si>
    <t>e-disclosure.ru/portal/company.aspx?id=206</t>
  </si>
  <si>
    <t>RU0009100945</t>
  </si>
  <si>
    <t>BSPBP</t>
  </si>
  <si>
    <t>PJSC "Bank "Saint-Petersburg"</t>
  </si>
  <si>
    <t>www.bspb.ru</t>
  </si>
  <si>
    <t>e-disclosure.ru/portal/company.aspx?id=3935</t>
  </si>
  <si>
    <t>RU000A0JUG31</t>
  </si>
  <si>
    <t>CBOM</t>
  </si>
  <si>
    <t>ПАО "МОСКОВСКИЙ КРЕДИТНЫЙ БАНК"</t>
  </si>
  <si>
    <t>PJSC "CREDIT BANK OF MOSCOW"</t>
  </si>
  <si>
    <t>mkb.ru</t>
  </si>
  <si>
    <t>e-disclosure.ru/portal/company.aspx?id=202</t>
  </si>
  <si>
    <t>RU000A107UL4</t>
  </si>
  <si>
    <t>МКПАО «ТКС Холдинг» (ТиСиЭс Груп Холдинг ПиЭлСи)</t>
  </si>
  <si>
    <t>TCS Group Holding PLC</t>
  </si>
  <si>
    <t>tinkoff-group.ru</t>
  </si>
  <si>
    <t>e-disclosure.ru/portal/company.aspx?id=39055; e-disclosure.ru/portal/company.aspx?id=38033</t>
  </si>
  <si>
    <t>RU000A0HHK26</t>
  </si>
  <si>
    <t>PJSC ROSBANK</t>
  </si>
  <si>
    <t>www.rosbank.ru</t>
  </si>
  <si>
    <t>e-disclosure.ru/portal/company.aspx?id=2427</t>
  </si>
  <si>
    <t>RU000A0JNX47</t>
  </si>
  <si>
    <t>PJSC Promsvyazbank</t>
  </si>
  <si>
    <t>www.psbank.ru</t>
  </si>
  <si>
    <t>e-disclosure.ru/portal/company.aspx?id=617</t>
  </si>
  <si>
    <t>RU000A0JRH43</t>
  </si>
  <si>
    <t>PJSC "MTS Bank"</t>
  </si>
  <si>
    <t>mtsbank.ru</t>
  </si>
  <si>
    <t>e-disclosure.ru/portal/company.aspx?id=1285</t>
  </si>
  <si>
    <t>RU000A0JSQ66</t>
  </si>
  <si>
    <t>KUZB</t>
  </si>
  <si>
    <t>ПАО Банк "Кузнецкий"</t>
  </si>
  <si>
    <t>PJSC Bank "Kuzneckiy"</t>
  </si>
  <si>
    <t>www.kuzbank.ru</t>
  </si>
  <si>
    <t>e-disclosure.ru/portal/company.aspx?id=30898</t>
  </si>
  <si>
    <t>RU000A0ZZAC4</t>
  </si>
  <si>
    <t>PJSC "Sovcombank"</t>
  </si>
  <si>
    <t>www.sovcombank.ru</t>
  </si>
  <si>
    <t>e-disclosure.ru/portal/company.aspx?id=30052</t>
  </si>
  <si>
    <t>RU000A0JRAF8</t>
  </si>
  <si>
    <t>OTKRITIE FK Bank PJSC</t>
  </si>
  <si>
    <t>www.open.ru</t>
  </si>
  <si>
    <t>e-disclosure.ru/portal/company.aspx?id=235</t>
  </si>
  <si>
    <t>RU000A0DM7B3</t>
  </si>
  <si>
    <t>AVAN</t>
  </si>
  <si>
    <t>АКБ "АВАНГАРД" - ПАО</t>
  </si>
  <si>
    <t>AKB "AVANGARD" - PJSC</t>
  </si>
  <si>
    <t>avangard.ru</t>
  </si>
  <si>
    <t>e-disclosure.ru/portal/company.aspx?id=1070</t>
  </si>
  <si>
    <t>RU0006929536</t>
  </si>
  <si>
    <t>PJSC "BANK URALSIB"</t>
  </si>
  <si>
    <t>uralsib.ru</t>
  </si>
  <si>
    <t>e-disclosure.ru/portal/company.aspx?id=156</t>
  </si>
  <si>
    <t>RU000A0DPNQ5</t>
  </si>
  <si>
    <t>PRMB</t>
  </si>
  <si>
    <t>ПАО АКБ "Приморье"</t>
  </si>
  <si>
    <t>PJSC AKB "Primorye"</t>
  </si>
  <si>
    <t>www.primbank.ru</t>
  </si>
  <si>
    <t>e-disclosure.ru/portal/company.aspx?id=2839</t>
  </si>
  <si>
    <t>RU000A0JU6Q7</t>
  </si>
  <si>
    <t>RDRB</t>
  </si>
  <si>
    <t>ПАО "Российский акционерный коммерческий дорожный банк" (ПАО "Росдорбанк")</t>
  </si>
  <si>
    <t>PJSC "RosDor Bank"</t>
  </si>
  <si>
    <t>www.rdb.ru</t>
  </si>
  <si>
    <t>e-disclosure.ru/portal/company.aspx?id=1398</t>
  </si>
  <si>
    <t>RU000A0JS2M9</t>
  </si>
  <si>
    <t>PJSC "Best Efforts Bank"</t>
  </si>
  <si>
    <t>spbbank.ru</t>
  </si>
  <si>
    <t>e-disclosure.ru/portal/company.aspx?id=1929</t>
  </si>
  <si>
    <t>RU0002155334</t>
  </si>
  <si>
    <t>HMBO</t>
  </si>
  <si>
    <t>Khanty-M bank Otkritie</t>
  </si>
  <si>
    <t>www.khmb.ru</t>
  </si>
  <si>
    <t>e-disclosure.ru/portal/company.aspx?id=2880</t>
  </si>
  <si>
    <t>RU0002000373</t>
  </si>
  <si>
    <t>OJSC Petrokommerzbank</t>
  </si>
  <si>
    <t>e-disclosure.ru/portal/company.aspx?id=2380</t>
  </si>
  <si>
    <t>RU000A0BK8H2</t>
  </si>
  <si>
    <t>NBTR</t>
  </si>
  <si>
    <t>NB TRAST PJSC</t>
  </si>
  <si>
    <t>www.trust.ru</t>
  </si>
  <si>
    <t>e-disclosure.ru/portal/company.aspx?id=4197</t>
  </si>
  <si>
    <t>RU000A0JQ1V4</t>
  </si>
  <si>
    <t>REBR</t>
  </si>
  <si>
    <t>ПАО "Региональный банк развития" (ПАО АКБ "РБР")</t>
  </si>
  <si>
    <t>PJSC "Region. bank razvitiya"</t>
  </si>
  <si>
    <t>rbrbank.ru</t>
  </si>
  <si>
    <t>e-disclosure.ru/portal/company.aspx?id=981</t>
  </si>
  <si>
    <t>RU000A0JPBC7</t>
  </si>
  <si>
    <t>TAVR</t>
  </si>
  <si>
    <t>tavrp</t>
  </si>
  <si>
    <t>ТАВРИЧЕСКИЙ БАНК (АО)</t>
  </si>
  <si>
    <t>Bank "Tavricheskyi" (JSC)</t>
  </si>
  <si>
    <t>www.tavrich.ru</t>
  </si>
  <si>
    <t>e-disclosure.ru/portal/company.aspx?id=557</t>
  </si>
  <si>
    <t>RU000A0JPLQ6</t>
  </si>
  <si>
    <t>TCBN</t>
  </si>
  <si>
    <t>PJSC "TransKreditBank"</t>
  </si>
  <si>
    <t>e-disclosure.ru/portal/company.aspx?id=1176</t>
  </si>
  <si>
    <t>RU000A0CBF24</t>
  </si>
  <si>
    <t>YRSL</t>
  </si>
  <si>
    <t>ПАО Банк "ВВБ" (КБ "Ярославич" (ОАО))</t>
  </si>
  <si>
    <t>PJSC Bank VVB</t>
  </si>
  <si>
    <t>e-disclosure.ru/portal/company.aspx?id=5059</t>
  </si>
  <si>
    <t>RU000A1021R0</t>
  </si>
  <si>
    <t>DERZP</t>
  </si>
  <si>
    <t>DERZHAVA Bank PJSC</t>
  </si>
  <si>
    <t>derzhava.ru</t>
  </si>
  <si>
    <t>e-disclosure.ru/portal/company.aspx?id=1651</t>
  </si>
  <si>
    <t>RU000A0B90D9</t>
  </si>
  <si>
    <t>moib</t>
  </si>
  <si>
    <t>ПАО «МИнБанк»</t>
  </si>
  <si>
    <t>PSCB "Moscow Industrial bank"</t>
  </si>
  <si>
    <t>e-disclosure.ru/portal/company.aspx?id=3007</t>
  </si>
  <si>
    <t>RU000A0JUEY5</t>
  </si>
  <si>
    <t>"Газпромбанк" (АО)</t>
  </si>
  <si>
    <t>Gazprombank (JSC)</t>
  </si>
  <si>
    <t>www.gazprombank.ru</t>
  </si>
  <si>
    <t>e-disclosure.ru/portal/company.aspx?id=2798</t>
  </si>
  <si>
    <t>RU000A0JPCR3</t>
  </si>
  <si>
    <t>Банк ЗЕНИТ (ПАО)</t>
  </si>
  <si>
    <t>Bank ZENIT (PJSC)</t>
  </si>
  <si>
    <t>www.zenit.ru</t>
  </si>
  <si>
    <t>e-disclosure.ru/portal/company.aspx?id=538</t>
  </si>
  <si>
    <t>RU000A0JPBL8</t>
  </si>
  <si>
    <t>chlb</t>
  </si>
  <si>
    <t>ПАО "ЧЕЛИНДБАНК"</t>
  </si>
  <si>
    <t>PJSC "CHELINDBANK"</t>
  </si>
  <si>
    <t>www.chelindbank.ru</t>
  </si>
  <si>
    <t>e-disclosure.ru/portal/company.aspx?id=1946</t>
  </si>
  <si>
    <t>RU000A0JP0Z8</t>
  </si>
  <si>
    <t>cinb</t>
  </si>
  <si>
    <t>PJSC CB "Center-invest"</t>
  </si>
  <si>
    <t>www.centrinvest.ru</t>
  </si>
  <si>
    <t>e-disclosure.ru/portal/company.aspx?id=3018</t>
  </si>
  <si>
    <t>RU000A0JP062</t>
  </si>
  <si>
    <t>ombn</t>
  </si>
  <si>
    <t>ombnp</t>
  </si>
  <si>
    <t>ПАО "КВАНТ МОБАЙЛ БАНК" (ПАО "ПЛЮС БАНК")</t>
  </si>
  <si>
    <t>PJSC "Plus Bank"</t>
  </si>
  <si>
    <t>e-disclosure.ru/portal/company.aspx?id=3063</t>
  </si>
  <si>
    <t>RU000A0JRWL0</t>
  </si>
  <si>
    <t>utbn</t>
  </si>
  <si>
    <t>utbnp</t>
  </si>
  <si>
    <t>ПАО " Уралтрансбанк"</t>
  </si>
  <si>
    <t>PJSC "Uraltransbank"</t>
  </si>
  <si>
    <t>e-disclosure.ru/portal/company.aspx?id=1058</t>
  </si>
  <si>
    <t>RU000A0JV0N6</t>
  </si>
  <si>
    <t>JSC "Bank DOM.RF"</t>
  </si>
  <si>
    <t>domrfbank.ru</t>
  </si>
  <si>
    <t>e-disclosure.ru/portal/company.aspx?id=3196</t>
  </si>
  <si>
    <t>RU000A0ZYU21</t>
  </si>
  <si>
    <t>JSC "ALFA-BANK"</t>
  </si>
  <si>
    <t>www.alfabank.ru</t>
  </si>
  <si>
    <t>e-disclosure.ru/portal/company.aspx?id=1389</t>
  </si>
  <si>
    <t>RU000A0JVSW7</t>
  </si>
  <si>
    <t>JSC "UniCredit Bank"</t>
  </si>
  <si>
    <t>www.unicreditbank.ru</t>
  </si>
  <si>
    <t>e-disclosure.ru/portal/company.aspx?id=2420</t>
  </si>
  <si>
    <t>RU000A0JUAD7</t>
  </si>
  <si>
    <t>JSC "Russian Agricultural Bank" (JSC "Rosselhozbank")</t>
  </si>
  <si>
    <t>www.rshb.ru</t>
  </si>
  <si>
    <t>e-disclosure.ru/portal/company.aspx?id=3207</t>
  </si>
  <si>
    <t>RU000A0JUUE3</t>
  </si>
  <si>
    <t>JSC "Raiffeisenbank"</t>
  </si>
  <si>
    <t>www.raiffeisen.ru</t>
  </si>
  <si>
    <t>e-disclosure.ru/portal/company.aspx?id=1791</t>
  </si>
  <si>
    <t>RU000A103760</t>
  </si>
  <si>
    <t>Home Credit &amp; Finance Bank LLC (HCF Bank LLC)</t>
  </si>
  <si>
    <t>home.bank</t>
  </si>
  <si>
    <t>e-disclosure.ru/portal/company.aspx?id=4644</t>
  </si>
  <si>
    <t>RU000A0JW6P7</t>
  </si>
  <si>
    <t>State Development Corporation "VEB.RF"</t>
  </si>
  <si>
    <t>www.veb.ru</t>
  </si>
  <si>
    <t>e-disclosure.ru/portal/company.aspx?id=15609</t>
  </si>
  <si>
    <t>RU000A107RM8</t>
  </si>
  <si>
    <t>ZAYM</t>
  </si>
  <si>
    <t>ПАО МФК "Займер"</t>
  </si>
  <si>
    <t>PJSC "Zaymer"</t>
  </si>
  <si>
    <t>ir.zaymer.ru</t>
  </si>
  <si>
    <t>e-disclosure.ru/portal/company.aspx?id=38344</t>
  </si>
  <si>
    <t>RU000A105NV2</t>
  </si>
  <si>
    <t>CARM</t>
  </si>
  <si>
    <t>ПАО "СмартТехГрупп" (ПАО "СТГ"; КарМани)</t>
  </si>
  <si>
    <t>PJSC "STG"</t>
  </si>
  <si>
    <t>smarttechgroup.pro</t>
  </si>
  <si>
    <t>e-disclosure.ru/portal/company.aspx?id=38808</t>
  </si>
  <si>
    <t>RU000A0JVJQ8</t>
  </si>
  <si>
    <t>PJSC "MGKL"</t>
  </si>
  <si>
    <t>mgkl.group</t>
  </si>
  <si>
    <t>e-disclosure.ru/portal/company.aspx?id=11244</t>
  </si>
  <si>
    <t>RU000A0JR4A1</t>
  </si>
  <si>
    <t>PJSC Moscow Exchange</t>
  </si>
  <si>
    <t>www.moex.com/ru/exchange/investors.aspx</t>
  </si>
  <si>
    <t>e-disclosure.ru/portal/company.aspx?id=43</t>
  </si>
  <si>
    <t>RU000A0JQ9P9</t>
  </si>
  <si>
    <t>PJSC "SPB Exchange"</t>
  </si>
  <si>
    <t>spbexchange.ru</t>
  </si>
  <si>
    <t>e-disclosure.ru/portal/company.aspx?id=4566</t>
  </si>
  <si>
    <t>RU000A0ZZFS9</t>
  </si>
  <si>
    <t>PJSC "LC "Europlan"</t>
  </si>
  <si>
    <t>www.europlan.ru</t>
  </si>
  <si>
    <t>e-disclosure.ru/portal/company.aspx?id=37082</t>
  </si>
  <si>
    <t>RU000A0JTKM9</t>
  </si>
  <si>
    <t>JSC "GTLK"</t>
  </si>
  <si>
    <t>www.gtlk.ru</t>
  </si>
  <si>
    <t>e-disclosure.ru/portal/company.aspx?id=31532</t>
  </si>
  <si>
    <t>RU000A0JVW89</t>
  </si>
  <si>
    <t>PJSC "SFI" (PJSC "Europlan")</t>
  </si>
  <si>
    <t>sfiholding.ru</t>
  </si>
  <si>
    <t>e-disclosure.ru/portal/company.aspx?id=11328</t>
  </si>
  <si>
    <t>RU000A0JP0Q7</t>
  </si>
  <si>
    <t>ARSA</t>
  </si>
  <si>
    <t>ПАО "УК "АРСАГЕРА"</t>
  </si>
  <si>
    <t>PJSC "UK Arsagera"</t>
  </si>
  <si>
    <t>www.arsagera.ru</t>
  </si>
  <si>
    <t>e-disclosure.ru/portal/company.aspx?id=7220</t>
  </si>
  <si>
    <t>RU000A0JQ128</t>
  </si>
  <si>
    <t>MERF</t>
  </si>
  <si>
    <t>ПАО "Первый инвестиционный фонд МЕРИДИАН"</t>
  </si>
  <si>
    <t>PJSC "Meridian"</t>
  </si>
  <si>
    <t>if-meridian.ru</t>
  </si>
  <si>
    <t>e-disclosure.ru/portal/company.aspx?id=13756</t>
  </si>
  <si>
    <t>RU000A0JRBD1</t>
  </si>
  <si>
    <t>CITB</t>
  </si>
  <si>
    <t>KIT Finans Bank (LLC)</t>
  </si>
  <si>
    <t>kitkapital.ru</t>
  </si>
  <si>
    <t>e-disclosure.ru/portal/company.aspx?id=27547</t>
  </si>
  <si>
    <t>RU000A0JQKJ1</t>
  </si>
  <si>
    <t>OPTI</t>
  </si>
  <si>
    <t>PJSC "Optima Invest"</t>
  </si>
  <si>
    <t>e-disclosure.ru/portal/company.aspx?id=16584</t>
  </si>
  <si>
    <t>RU000A0JQ9W5</t>
  </si>
  <si>
    <t>RUSI</t>
  </si>
  <si>
    <t>PJSC "RUSS-INVEST IC"</t>
  </si>
  <si>
    <t>www.russ-invest.com</t>
  </si>
  <si>
    <t>e-disclosure.ru/portal/company.aspx?id=579</t>
  </si>
  <si>
    <t>RU000A0JUBW5</t>
  </si>
  <si>
    <t>TFKF</t>
  </si>
  <si>
    <t>JSC "TFK-Finance"</t>
  </si>
  <si>
    <t>e-disclosure.ru/portal/company.aspx?id=33720</t>
  </si>
  <si>
    <t>RU000A0JQDF4</t>
  </si>
  <si>
    <t>URFD</t>
  </si>
  <si>
    <t>ПАО "УК Объединенных резервных фондов" (ПАО УК ОРФ)</t>
  </si>
  <si>
    <t>PJSC "UKORF"</t>
  </si>
  <si>
    <t>e-disclosure.ru/portal/company.aspx?id=15776</t>
  </si>
  <si>
    <t>RU000A0JU1A2</t>
  </si>
  <si>
    <t>INVESTPRO LLC</t>
  </si>
  <si>
    <t>e-disclosure.ru/portal/company.aspx?id=32932</t>
  </si>
  <si>
    <t>RU000A0JTHF9</t>
  </si>
  <si>
    <t>ПАО "ИФК "СОЮЗ" (ОАО «ИнтерСофт»)</t>
  </si>
  <si>
    <t>PJSC "IFC "SOYUZ"</t>
  </si>
  <si>
    <t>e-disclosure.ru/portal/company.aspx?id=25100</t>
  </si>
  <si>
    <t>RU000A0JQG86</t>
  </si>
  <si>
    <t>GAZC</t>
  </si>
  <si>
    <t>ПАО "ГАЗКОН"</t>
  </si>
  <si>
    <t>PJSC "Gazkon"</t>
  </si>
  <si>
    <t>www.gazcon.ru</t>
  </si>
  <si>
    <t>e-disclosure.ru/portal/company.aspx?id=11633</t>
  </si>
  <si>
    <t>RU000A0JQG78</t>
  </si>
  <si>
    <t>GAZS</t>
  </si>
  <si>
    <t>ПАО "ГАЗ-сервис"</t>
  </si>
  <si>
    <t>PJSC "Gaz-service"</t>
  </si>
  <si>
    <t>www.gaz-services.ru</t>
  </si>
  <si>
    <t>e-disclosure.ru/portal/company.aspx?id=12078</t>
  </si>
  <si>
    <t>RU000A0JS199</t>
  </si>
  <si>
    <t>GAZT</t>
  </si>
  <si>
    <t>ПАО "ГАЗ-Тек"</t>
  </si>
  <si>
    <t>PJSC "GAZ-Tek"</t>
  </si>
  <si>
    <t>www.gaz-tek.ru</t>
  </si>
  <si>
    <t>e-disclosure.ru/portal/company.aspx?id=29479</t>
  </si>
  <si>
    <t>Companies list</t>
  </si>
  <si>
    <t>Перечень компаний</t>
  </si>
  <si>
    <t>Отрасль_пояснения</t>
  </si>
  <si>
    <t>Сектор_пояснения</t>
  </si>
  <si>
    <t>Sector_explanation</t>
  </si>
  <si>
    <t>Industry_explanation</t>
  </si>
  <si>
    <t>Нефть и газ</t>
  </si>
  <si>
    <t>Нефть - Интегрированные</t>
  </si>
  <si>
    <t>Генерация</t>
  </si>
  <si>
    <t>Сети</t>
  </si>
  <si>
    <t>Тепло</t>
  </si>
  <si>
    <t>Газ - Интегрированные</t>
  </si>
  <si>
    <t>Нефть - Транспортировка</t>
  </si>
  <si>
    <t>Нефть - Разведка и добыча</t>
  </si>
  <si>
    <t>Нефть - Переработка и маркетинг</t>
  </si>
  <si>
    <t>Важно</t>
  </si>
  <si>
    <t>Important</t>
  </si>
  <si>
    <t>Attention! This file is preliminary (draft). The author is not responsible for the use of information from this file in professional activities</t>
  </si>
  <si>
    <t>Мобильная связь</t>
  </si>
  <si>
    <t>Фиксированная связь</t>
  </si>
  <si>
    <t>Diversified</t>
  </si>
  <si>
    <t>Services</t>
  </si>
  <si>
    <t>Mobile communication</t>
  </si>
  <si>
    <t>Fixed communication</t>
  </si>
  <si>
    <t>Generation</t>
  </si>
  <si>
    <t>Grids</t>
  </si>
  <si>
    <t>Retail</t>
  </si>
  <si>
    <t>Металлы и добыча</t>
  </si>
  <si>
    <t>Биржи</t>
  </si>
  <si>
    <t>Банки</t>
  </si>
  <si>
    <t>Страховые компании</t>
  </si>
  <si>
    <t>Микрозаймы (МФО)</t>
  </si>
  <si>
    <t>ФинТехи</t>
  </si>
  <si>
    <t>Холдинги</t>
  </si>
  <si>
    <t>Добыча - Алмазы</t>
  </si>
  <si>
    <t>Добыча - Уголь</t>
  </si>
  <si>
    <t>Металлы - Сталь</t>
  </si>
  <si>
    <t>Металлы - Разное</t>
  </si>
  <si>
    <t>Добыча - Железная руда</t>
  </si>
  <si>
    <t>Металлы - Никель</t>
  </si>
  <si>
    <t>Металлы - Аллюминий</t>
  </si>
  <si>
    <t>Металлы - Титан</t>
  </si>
  <si>
    <t>Металлы - Олово</t>
  </si>
  <si>
    <t>Металлы - Цинк</t>
  </si>
  <si>
    <t>Металлы - Трубы</t>
  </si>
  <si>
    <t>Металлы - Медь</t>
  </si>
  <si>
    <t>Химия и нефтехимия</t>
  </si>
  <si>
    <t>Потребительский сектор</t>
  </si>
  <si>
    <t>Удобрения - Разное</t>
  </si>
  <si>
    <t>Удобрения - Аммиак</t>
  </si>
  <si>
    <t>Удобрения - Фосфор</t>
  </si>
  <si>
    <t>Удобрения - Калий</t>
  </si>
  <si>
    <t>Шины</t>
  </si>
  <si>
    <t>Газ - Переработка и маркетинг</t>
  </si>
  <si>
    <t>Нефть - Прочее</t>
  </si>
  <si>
    <t>Oil - Integrated</t>
  </si>
  <si>
    <t>Gas - Integrated</t>
  </si>
  <si>
    <t>Oil - Transportation</t>
  </si>
  <si>
    <t>Oil - Exploration and production</t>
  </si>
  <si>
    <t>Oil - Refining and Marketing</t>
  </si>
  <si>
    <t>Gas - Refining and Marketing</t>
  </si>
  <si>
    <t>Oil - Other</t>
  </si>
  <si>
    <t>Fertilizers - Diversified</t>
  </si>
  <si>
    <t>Fertilizers - Ammonia</t>
  </si>
  <si>
    <t>Fertilizers - Phosphate</t>
  </si>
  <si>
    <t>Fertilizers - Potash</t>
  </si>
  <si>
    <t>Metals and Mining</t>
  </si>
  <si>
    <t>Financials</t>
  </si>
  <si>
    <t>Leasing</t>
  </si>
  <si>
    <t>Investments</t>
  </si>
  <si>
    <t>Banks</t>
  </si>
  <si>
    <t>Insurance</t>
  </si>
  <si>
    <t>Oil &amp; Gas</t>
  </si>
  <si>
    <t>Electric Utilities</t>
  </si>
  <si>
    <t>Information Technologies</t>
  </si>
  <si>
    <t>Other</t>
  </si>
  <si>
    <t>Telecommunication Services</t>
  </si>
  <si>
    <t>Transportation</t>
  </si>
  <si>
    <t>Consumer</t>
  </si>
  <si>
    <t>Conglomerate</t>
  </si>
  <si>
    <t>Chemicals and Pertochemicals</t>
  </si>
  <si>
    <t>Tires</t>
  </si>
  <si>
    <t>Construction</t>
  </si>
  <si>
    <t>Construction (Real Estate)</t>
  </si>
  <si>
    <t>Building Materials</t>
  </si>
  <si>
    <t>Строительные материалы</t>
  </si>
  <si>
    <t>Строительство (Недвижимость)</t>
  </si>
  <si>
    <t>Real Estate</t>
  </si>
  <si>
    <t>Manufacturing (Industrials)</t>
  </si>
  <si>
    <t>Производство (промышленность)</t>
  </si>
  <si>
    <t>Информационные технологии</t>
  </si>
  <si>
    <t>Oil Field Services</t>
  </si>
  <si>
    <t>Нефтесервисные услуги</t>
  </si>
  <si>
    <t>Research</t>
  </si>
  <si>
    <t>Исследования</t>
  </si>
  <si>
    <t>Gas - Exploration and production</t>
  </si>
  <si>
    <t>Газ - Разведка и добыча</t>
  </si>
  <si>
    <t>Trans</t>
  </si>
  <si>
    <t>Добыча - Разное</t>
  </si>
  <si>
    <t>Mining - Diversified</t>
  </si>
  <si>
    <t>Metals - Trading</t>
  </si>
  <si>
    <t>Металлы - Торговля</t>
  </si>
  <si>
    <t>Metals - Other</t>
  </si>
  <si>
    <t>Металлы - Прочее</t>
  </si>
  <si>
    <t>Metals - Integrated</t>
  </si>
  <si>
    <t>Mining - Damonds</t>
  </si>
  <si>
    <t>Mining - Coal</t>
  </si>
  <si>
    <t>Mining - Iron</t>
  </si>
  <si>
    <t>Mining - Gold</t>
  </si>
  <si>
    <t>Metals - Steel</t>
  </si>
  <si>
    <t>Metals - Diversified</t>
  </si>
  <si>
    <t>Metals - Nickel</t>
  </si>
  <si>
    <t>Metals - Aluminum</t>
  </si>
  <si>
    <t>Metals - Titan</t>
  </si>
  <si>
    <t>Metals - Tin</t>
  </si>
  <si>
    <t>Metals - Zinc</t>
  </si>
  <si>
    <t>Metals - Pipes</t>
  </si>
  <si>
    <t>Добыча - Золото</t>
  </si>
  <si>
    <t>Металлы - Интегрированные</t>
  </si>
  <si>
    <t>Metals - Copper</t>
  </si>
  <si>
    <t>Metals - Scrap</t>
  </si>
  <si>
    <t>Металлы - Лом</t>
  </si>
  <si>
    <t>Met-Chrom</t>
  </si>
  <si>
    <t>Metals - Chrome</t>
  </si>
  <si>
    <t>Металлы - Хром</t>
  </si>
  <si>
    <t>Mining - Other</t>
  </si>
  <si>
    <t>Добыча - Прочее</t>
  </si>
  <si>
    <t>Metals - Lithium</t>
  </si>
  <si>
    <t>Металлы - Литий</t>
  </si>
  <si>
    <t>Min-Plat</t>
  </si>
  <si>
    <t>Mining - Platinum</t>
  </si>
  <si>
    <t>Добыча - Платина</t>
  </si>
  <si>
    <t>Min-Silv</t>
  </si>
  <si>
    <t>Mining - Silver</t>
  </si>
  <si>
    <t>Добыча - Серебро</t>
  </si>
  <si>
    <t>Metals - Services</t>
  </si>
  <si>
    <t>Металлы - Услуги</t>
  </si>
  <si>
    <t>Mining - Trading</t>
  </si>
  <si>
    <t>Добыча - Торговля</t>
  </si>
  <si>
    <t>Min-Serv</t>
  </si>
  <si>
    <t>Mining - Services</t>
  </si>
  <si>
    <t>Добыча - Услуги</t>
  </si>
  <si>
    <t>Microloans</t>
  </si>
  <si>
    <t>Exchanges</t>
  </si>
  <si>
    <t>Медиа (телеканал)</t>
  </si>
  <si>
    <t>Медиа (цифровое телефидение)</t>
  </si>
  <si>
    <t>ИТ (стрим, видео контент)</t>
  </si>
  <si>
    <t>Спутниковая связь</t>
  </si>
  <si>
    <t>Satellite communication</t>
  </si>
  <si>
    <t>Networks</t>
  </si>
  <si>
    <t>Internet access</t>
  </si>
  <si>
    <t>Доступ в интернет</t>
  </si>
  <si>
    <t>Int-Acc</t>
  </si>
  <si>
    <t>Retail - Food</t>
  </si>
  <si>
    <t>Retail - Toy</t>
  </si>
  <si>
    <t>Retail - Electric Devices</t>
  </si>
  <si>
    <t>Retail - Shoes</t>
  </si>
  <si>
    <t>Retail - Clothes</t>
  </si>
  <si>
    <t>Wholesale - Other</t>
  </si>
  <si>
    <t>Розница - Еда</t>
  </si>
  <si>
    <t>Розница - Игрушки</t>
  </si>
  <si>
    <t>Розница - Элеектрические устройства</t>
  </si>
  <si>
    <t>Розница - Обувь</t>
  </si>
  <si>
    <t>Розница - Одежда</t>
  </si>
  <si>
    <t>Опт - Прочее</t>
  </si>
  <si>
    <t>Production - Optics</t>
  </si>
  <si>
    <t>Алкоголь</t>
  </si>
  <si>
    <t>Retail - Pharmaceuticals</t>
  </si>
  <si>
    <t>Alcohol</t>
  </si>
  <si>
    <t>Restaurants</t>
  </si>
  <si>
    <t>Аренда - Самокаты</t>
  </si>
  <si>
    <t>Rent - Scooters</t>
  </si>
  <si>
    <t>Agriculture</t>
  </si>
  <si>
    <t>Services - Medicine</t>
  </si>
  <si>
    <t>Services - Urban</t>
  </si>
  <si>
    <t>Research - Pharmaceuticals</t>
  </si>
  <si>
    <t>Производство - оптика</t>
  </si>
  <si>
    <t>Производство - Устройства</t>
  </si>
  <si>
    <t>Производство - Фильтры</t>
  </si>
  <si>
    <t>Production - Devices</t>
  </si>
  <si>
    <t>Production - Filters</t>
  </si>
  <si>
    <t>Production - Pharmaceuticals</t>
  </si>
  <si>
    <t>Розница - Фармацевтика</t>
  </si>
  <si>
    <t>Производство - Фармацевтика</t>
  </si>
  <si>
    <t>Исследования - Фармацевтика</t>
  </si>
  <si>
    <t>Внимание! Данный файл является предварительным (черновым). За использование информации из данного файла в профессиональной деятельности автор ответственности не несет.</t>
  </si>
  <si>
    <t>IFRS and other reports of companies from the list</t>
  </si>
  <si>
    <t>МСФО и иная отчетность компаний из перечня</t>
  </si>
  <si>
    <t>Production - Fish</t>
  </si>
  <si>
    <t>Production - Meat</t>
  </si>
  <si>
    <t>Production - Confectionary</t>
  </si>
  <si>
    <t>Производство - рыба</t>
  </si>
  <si>
    <t>Производство - мясо</t>
  </si>
  <si>
    <t>Производство - кондитерские изделия</t>
  </si>
  <si>
    <t>Ret-Div</t>
  </si>
  <si>
    <t>Retail - Diversified</t>
  </si>
  <si>
    <t>Розница - Разное</t>
  </si>
  <si>
    <t>Ret-Oth</t>
  </si>
  <si>
    <t>Retail - Other</t>
  </si>
  <si>
    <t>Розница - Прочее</t>
  </si>
  <si>
    <t>Ret-Auto</t>
  </si>
  <si>
    <t>Retail - Cars</t>
  </si>
  <si>
    <t>Розница - Автомобили</t>
  </si>
  <si>
    <t>NonAlco</t>
  </si>
  <si>
    <t>Alcohol-free beverages</t>
  </si>
  <si>
    <t>Безалкогольные напитки</t>
  </si>
  <si>
    <t>Prod-Pack</t>
  </si>
  <si>
    <t>Production - Package</t>
  </si>
  <si>
    <t>Производство - Упаковка</t>
  </si>
  <si>
    <t>Prod-Oth</t>
  </si>
  <si>
    <t>Prod-Div</t>
  </si>
  <si>
    <t>Production - Diversified</t>
  </si>
  <si>
    <t>Production - Other</t>
  </si>
  <si>
    <t>Производство - Разное</t>
  </si>
  <si>
    <t>Производство - Прочее</t>
  </si>
  <si>
    <t>Production - Cosmetics</t>
  </si>
  <si>
    <t>Производство - косметика</t>
  </si>
  <si>
    <t>Production - Food</t>
  </si>
  <si>
    <t>Производство - Еда</t>
  </si>
  <si>
    <t>Production - Shoes</t>
  </si>
  <si>
    <t>Производство - Обувь</t>
  </si>
  <si>
    <t>Production - Plastics</t>
  </si>
  <si>
    <t>Производство - Пластмассы</t>
  </si>
  <si>
    <t>Serv-Fit</t>
  </si>
  <si>
    <t>Services - Fitness</t>
  </si>
  <si>
    <t>Услуги - Медицина</t>
  </si>
  <si>
    <t>Услуги - Городское хозяйство</t>
  </si>
  <si>
    <t>Услуги - Фитнесс</t>
  </si>
  <si>
    <t>Serv-Oth</t>
  </si>
  <si>
    <t>Services - Other</t>
  </si>
  <si>
    <t>Услуги - Прочие</t>
  </si>
  <si>
    <t>Лес</t>
  </si>
  <si>
    <t>Ret-Tools</t>
  </si>
  <si>
    <t>Retail - Tools</t>
  </si>
  <si>
    <t>Розница - Инструменты</t>
  </si>
  <si>
    <t>Aircraft manufacturing</t>
  </si>
  <si>
    <t>Производство вертолетов</t>
  </si>
  <si>
    <t>Производство двигателей</t>
  </si>
  <si>
    <t>Аэрокосмическая отрасль</t>
  </si>
  <si>
    <t>Engine production</t>
  </si>
  <si>
    <t>Aerospace</t>
  </si>
  <si>
    <t>Helicopter production</t>
  </si>
  <si>
    <t>Automobile manufacturing</t>
  </si>
  <si>
    <t>Производство автомобилей</t>
  </si>
  <si>
    <t>Стекло</t>
  </si>
  <si>
    <t>Производство сельскохозяйственных машин</t>
  </si>
  <si>
    <t>Production pf wagons</t>
  </si>
  <si>
    <t>Производство вагонов</t>
  </si>
  <si>
    <t>Производство электроприборов</t>
  </si>
  <si>
    <t>Production of electric devices</t>
  </si>
  <si>
    <t>Production of agricultural vehicles</t>
  </si>
  <si>
    <t>Производство машин и оборудования</t>
  </si>
  <si>
    <t>Production of machinery&amp;equipment</t>
  </si>
  <si>
    <t>Diamonds manufacturing</t>
  </si>
  <si>
    <t>Производство бриллиантов (обработка алмазов)</t>
  </si>
  <si>
    <t>Air transport</t>
  </si>
  <si>
    <t>Railway transport</t>
  </si>
  <si>
    <t>Автотранспорт</t>
  </si>
  <si>
    <t>Automobile transport</t>
  </si>
  <si>
    <t>Ports</t>
  </si>
  <si>
    <t>Порты</t>
  </si>
  <si>
    <t>Ship transport</t>
  </si>
  <si>
    <t>Корабельный транспорт</t>
  </si>
  <si>
    <t>Такси</t>
  </si>
  <si>
    <t>Development</t>
  </si>
  <si>
    <t>Recreation</t>
  </si>
  <si>
    <t>Отдых</t>
  </si>
  <si>
    <t>Hotels</t>
  </si>
  <si>
    <t>Гостиницы</t>
  </si>
  <si>
    <t>Publishing houses and printing</t>
  </si>
  <si>
    <t>Cinema</t>
  </si>
  <si>
    <t>Киноиндустрия</t>
  </si>
  <si>
    <t>Entertainment</t>
  </si>
  <si>
    <t>Индустрия развлечений</t>
  </si>
  <si>
    <t>Издательства и полиграфия</t>
  </si>
  <si>
    <t>Consulting</t>
  </si>
  <si>
    <t>Консульационные услуги</t>
  </si>
  <si>
    <t>Переработка вторичного сырья</t>
  </si>
  <si>
    <t>Waste recycling</t>
  </si>
  <si>
    <t>Utilities</t>
  </si>
  <si>
    <t>Реклама</t>
  </si>
  <si>
    <t>Advertising</t>
  </si>
  <si>
    <t>Biotechnologies</t>
  </si>
  <si>
    <t>Delivery</t>
  </si>
  <si>
    <t>Доставка</t>
  </si>
  <si>
    <t>Funds</t>
  </si>
  <si>
    <t>Фонды</t>
  </si>
  <si>
    <t>Cyber security</t>
  </si>
  <si>
    <t>Кибербезопасность</t>
  </si>
  <si>
    <t>Clouds technologies</t>
  </si>
  <si>
    <t>Облачные технологии</t>
  </si>
  <si>
    <t>Internet - Diversified</t>
  </si>
  <si>
    <t>Интернет - Разное</t>
  </si>
  <si>
    <t>Internet - Shop</t>
  </si>
  <si>
    <t>Интернет - Услуги</t>
  </si>
  <si>
    <t>Интернет - Магазин</t>
  </si>
  <si>
    <t>Internet - Services</t>
  </si>
  <si>
    <t>Software development</t>
  </si>
  <si>
    <t>Data centers</t>
  </si>
  <si>
    <t>Дата-центры</t>
  </si>
  <si>
    <t>Cyber sport</t>
  </si>
  <si>
    <t>Киберспорт</t>
  </si>
  <si>
    <t>Game</t>
  </si>
  <si>
    <t>Video game industry</t>
  </si>
  <si>
    <t>Индустрия видеоигр</t>
  </si>
  <si>
    <t>Internet - Educational technologies</t>
  </si>
  <si>
    <t>Интернет - Образовательные технологии</t>
  </si>
  <si>
    <t>Internet - Advertising</t>
  </si>
  <si>
    <t>Интернет - Реклама</t>
  </si>
  <si>
    <t>Int-Sear</t>
  </si>
  <si>
    <t>Internet - Search</t>
  </si>
  <si>
    <t>Интернет - Поисковые систмы</t>
  </si>
  <si>
    <t>Internet - SMM (Social Media Marketing)</t>
  </si>
  <si>
    <t>Интернет - Видео услуги</t>
  </si>
  <si>
    <t>Internet - Video services</t>
  </si>
  <si>
    <t>Internet - Payment technologies</t>
  </si>
  <si>
    <t>Интернет - Технологии проведения платежей</t>
  </si>
  <si>
    <t>Social Network</t>
  </si>
  <si>
    <t>Социальные сети</t>
  </si>
  <si>
    <t>Period covered</t>
  </si>
  <si>
    <t>Охватываемый период</t>
  </si>
  <si>
    <t>12.2010-06.2024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</si>
</sst>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р_._-;\-* #,##0.00_р_._-;_-* &quot;-&quot;??_р_._-;_-@_-"/>
    <numFmt numFmtId="165" formatCode="_-* #,##0.0_р_._-;\-* #,##0.0_р_._-;_-* &quot;-&quot;??_р_._-;_-@_-"/>
    <numFmt numFmtId="166" formatCode="[$-419]d\ mmm;@"/>
    <numFmt numFmtId="167" formatCode="0.000%"/>
    <numFmt numFmtId="168" formatCode="_(* #,##0.0_);_(* \(#,##0.0\);_(* &quot;-&quot;_);_(@_)"/>
  </numFmts>
  <fonts count="15" x14ac:knownFonts="1">
    <font>
      <sz val="11"/>
      <color theme="1"/>
      <name val="Calibri"/>
      <family val="2"/>
      <charset val="204"/>
      <scheme val="minor"/>
    </font>
    <font>
      <sz val="11"/>
      <color theme="1"/>
      <name val="Calibri"/>
      <family val="2"/>
      <charset val="204"/>
      <scheme val="minor"/>
    </font>
    <font>
      <sz val="8"/>
      <color theme="1"/>
      <name val="Arial"/>
      <family val="2"/>
      <charset val="204"/>
    </font>
    <font>
      <b/>
      <sz val="8"/>
      <color theme="1"/>
      <name val="Arial"/>
      <family val="2"/>
      <charset val="204"/>
    </font>
    <font>
      <sz val="9"/>
      <color indexed="81"/>
      <name val="Tahoma"/>
      <family val="2"/>
      <charset val="204"/>
    </font>
    <font>
      <b/>
      <sz val="9"/>
      <color indexed="81"/>
      <name val="Tahoma"/>
      <family val="2"/>
      <charset val="204"/>
    </font>
    <font>
      <sz val="8"/>
      <name val="Arial"/>
      <family val="2"/>
      <charset val="204"/>
    </font>
    <font>
      <sz val="8"/>
      <name val="Calibri"/>
      <family val="2"/>
      <charset val="204"/>
      <scheme val="minor"/>
    </font>
    <font>
      <sz val="8"/>
      <name val="Arial Cyr"/>
      <charset val="204"/>
    </font>
    <font>
      <sz val="9"/>
      <color theme="1"/>
      <name val="Arial"/>
      <family val="2"/>
      <charset val="204"/>
    </font>
    <font>
      <u/>
      <sz val="11"/>
      <color theme="10"/>
      <name val="Calibri"/>
      <family val="2"/>
      <charset val="204"/>
      <scheme val="minor"/>
    </font>
    <font>
      <u/>
      <sz val="8"/>
      <color theme="10"/>
      <name val="Arial"/>
      <family val="2"/>
      <charset val="204"/>
    </font>
    <font>
      <sz val="8"/>
      <color rgb="FFFF0000"/>
      <name val="Arial"/>
      <family val="2"/>
      <charset val="204"/>
    </font>
    <font>
      <b/>
      <sz val="9"/>
      <color indexed="81"/>
      <name val="Tahoma"/>
      <charset val="1"/>
    </font>
    <font>
      <sz val="9"/>
      <color indexed="81"/>
      <name val="Tahoma"/>
      <charset val="1"/>
    </font>
  </fonts>
  <fills count="5">
    <fill>
      <patternFill patternType="none"/>
    </fill>
    <fill>
      <patternFill patternType="gray125"/>
    </fill>
    <fill>
      <patternFill patternType="solid">
        <fgColor rgb="FFCCFFCC"/>
        <bgColor indexed="64"/>
      </patternFill>
    </fill>
    <fill>
      <patternFill patternType="solid">
        <fgColor theme="6" tint="0.59996337778862885"/>
        <bgColor indexed="64"/>
      </patternFill>
    </fill>
    <fill>
      <patternFill patternType="solid">
        <fgColor theme="8" tint="0.79998168889431442"/>
        <bgColor indexed="64"/>
      </patternFill>
    </fill>
  </fills>
  <borders count="4">
    <border>
      <left/>
      <right/>
      <top/>
      <bottom/>
      <diagonal/>
    </border>
    <border>
      <left/>
      <right/>
      <top style="medium">
        <color auto="1"/>
      </top>
      <bottom style="medium">
        <color auto="1"/>
      </bottom>
      <diagonal/>
    </border>
    <border>
      <left style="hair">
        <color auto="1"/>
      </left>
      <right style="hair">
        <color auto="1"/>
      </right>
      <top style="medium">
        <color auto="1"/>
      </top>
      <bottom style="medium">
        <color auto="1"/>
      </bottom>
      <diagonal/>
    </border>
    <border>
      <left/>
      <right style="hair">
        <color auto="1"/>
      </right>
      <top style="medium">
        <color auto="1"/>
      </top>
      <bottom style="medium">
        <color auto="1"/>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0" fillId="0" borderId="0" applyNumberFormat="0" applyFill="0" applyBorder="0" applyAlignment="0" applyProtection="0"/>
    <xf numFmtId="43" fontId="1" fillId="0" borderId="0" applyFont="0" applyFill="0" applyBorder="0" applyAlignment="0" applyProtection="0"/>
  </cellStyleXfs>
  <cellXfs count="36">
    <xf numFmtId="0" fontId="0" fillId="0" borderId="0" xfId="0"/>
    <xf numFmtId="0" fontId="2" fillId="0" borderId="0" xfId="0" applyFont="1"/>
    <xf numFmtId="0" fontId="3" fillId="0" borderId="0" xfId="0" applyFont="1" applyAlignment="1">
      <alignment horizontal="center" vertical="center"/>
    </xf>
    <xf numFmtId="165" fontId="2" fillId="0" borderId="0" xfId="1" applyNumberFormat="1" applyFont="1" applyFill="1"/>
    <xf numFmtId="10" fontId="2" fillId="0" borderId="0" xfId="2" applyNumberFormat="1" applyFont="1" applyFill="1" applyAlignment="1">
      <alignment horizontal="right"/>
    </xf>
    <xf numFmtId="0" fontId="2" fillId="0" borderId="0" xfId="0" applyFont="1" applyAlignment="1">
      <alignment wrapText="1"/>
    </xf>
    <xf numFmtId="10" fontId="2" fillId="0" borderId="0" xfId="2" applyNumberFormat="1" applyFont="1" applyFill="1" applyAlignment="1">
      <alignment horizontal="left"/>
    </xf>
    <xf numFmtId="10" fontId="6" fillId="0" borderId="0" xfId="2" applyNumberFormat="1" applyFont="1" applyFill="1" applyAlignment="1">
      <alignment horizontal="right"/>
    </xf>
    <xf numFmtId="0" fontId="3" fillId="0" borderId="0" xfId="0" applyFont="1" applyAlignment="1">
      <alignment horizontal="center" vertical="center" wrapText="1"/>
    </xf>
    <xf numFmtId="167" fontId="2" fillId="0" borderId="0" xfId="2" applyNumberFormat="1" applyFont="1" applyFill="1" applyAlignment="1">
      <alignment horizontal="right"/>
    </xf>
    <xf numFmtId="168" fontId="8" fillId="0" borderId="0" xfId="3" applyNumberFormat="1" applyFont="1" applyFill="1" applyBorder="1" applyAlignment="1">
      <alignment horizontal="right" vertical="center"/>
    </xf>
    <xf numFmtId="0" fontId="2" fillId="0" borderId="0" xfId="0" applyFont="1" applyAlignment="1">
      <alignment horizontal="center"/>
    </xf>
    <xf numFmtId="10" fontId="2" fillId="0" borderId="0" xfId="2" quotePrefix="1" applyNumberFormat="1" applyFont="1" applyFill="1" applyAlignment="1">
      <alignment horizontal="left"/>
    </xf>
    <xf numFmtId="10" fontId="2" fillId="0" borderId="0" xfId="2" quotePrefix="1" applyNumberFormat="1" applyFont="1" applyFill="1" applyAlignment="1">
      <alignment horizontal="right"/>
    </xf>
    <xf numFmtId="10" fontId="2" fillId="0" borderId="0" xfId="2" quotePrefix="1" applyNumberFormat="1" applyFont="1" applyFill="1" applyAlignment="1"/>
    <xf numFmtId="0" fontId="3" fillId="0" borderId="1" xfId="0" applyFont="1" applyBorder="1" applyAlignment="1">
      <alignment horizontal="left" vertical="center"/>
    </xf>
    <xf numFmtId="0" fontId="2" fillId="0" borderId="0" xfId="0" applyFont="1" applyAlignment="1">
      <alignment horizontal="left" vertical="center"/>
    </xf>
    <xf numFmtId="0" fontId="11" fillId="0" borderId="0" xfId="4" applyFont="1" applyAlignment="1">
      <alignment horizontal="left" vertical="center"/>
    </xf>
    <xf numFmtId="14" fontId="2" fillId="0" borderId="0" xfId="0" applyNumberFormat="1" applyFont="1" applyAlignment="1">
      <alignment horizontal="left" vertical="center"/>
    </xf>
    <xf numFmtId="0" fontId="2" fillId="0" borderId="0" xfId="0" applyFont="1" applyAlignment="1">
      <alignment horizontal="center" vertical="center"/>
    </xf>
    <xf numFmtId="0" fontId="2" fillId="2" borderId="0" xfId="0" applyFont="1" applyFill="1" applyAlignment="1">
      <alignment horizontal="left" vertical="center"/>
    </xf>
    <xf numFmtId="0" fontId="2" fillId="3" borderId="0" xfId="0" applyFont="1" applyFill="1" applyAlignment="1">
      <alignment horizontal="left" vertical="center"/>
    </xf>
    <xf numFmtId="0" fontId="2" fillId="4" borderId="0" xfId="0" applyFont="1" applyFill="1" applyAlignment="1">
      <alignment horizontal="left"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1" fillId="0" borderId="0" xfId="4" applyFont="1" applyFill="1" applyAlignment="1">
      <alignment horizontal="left" vertical="center"/>
    </xf>
    <xf numFmtId="0" fontId="12" fillId="0" borderId="0" xfId="0" applyFont="1" applyAlignment="1">
      <alignment horizontal="left" vertical="center"/>
    </xf>
    <xf numFmtId="0" fontId="12" fillId="0" borderId="0" xfId="0" applyFont="1" applyAlignment="1">
      <alignment horizontal="left" vertical="center" wrapText="1"/>
    </xf>
    <xf numFmtId="166" fontId="2" fillId="0" borderId="0" xfId="0" applyNumberFormat="1" applyFont="1"/>
    <xf numFmtId="1" fontId="2" fillId="0" borderId="0" xfId="0" applyNumberFormat="1" applyFont="1"/>
    <xf numFmtId="0" fontId="6" fillId="0" borderId="0" xfId="0" applyFont="1"/>
    <xf numFmtId="10" fontId="2" fillId="0" borderId="0" xfId="0" applyNumberFormat="1" applyFont="1" applyAlignment="1">
      <alignment horizontal="right"/>
    </xf>
    <xf numFmtId="10" fontId="2" fillId="0" borderId="0" xfId="0" applyNumberFormat="1" applyFont="1" applyAlignment="1">
      <alignment horizontal="left"/>
    </xf>
    <xf numFmtId="10" fontId="2" fillId="0" borderId="0" xfId="0" applyNumberFormat="1" applyFont="1"/>
    <xf numFmtId="9" fontId="2" fillId="0" borderId="0" xfId="0" applyNumberFormat="1" applyFont="1"/>
    <xf numFmtId="0" fontId="2" fillId="0" borderId="0" xfId="0" applyFont="1" applyAlignment="1">
      <alignment horizontal="right"/>
    </xf>
  </cellXfs>
  <cellStyles count="6">
    <cellStyle name="Гиперссылка" xfId="4" builtinId="8"/>
    <cellStyle name="Обычный" xfId="0" builtinId="0"/>
    <cellStyle name="Процентный" xfId="2" builtinId="5"/>
    <cellStyle name="Финансовый" xfId="1" builtinId="3"/>
    <cellStyle name="Финансовый 2" xfId="3" xr:uid="{35BC0C0A-739E-4FEC-89FE-B02C4BEFE71E}"/>
    <cellStyle name="Финансовый 3" xfId="5" xr:uid="{AED045E3-9F40-4054-B5AF-804EEE2B8B0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miasim.ru/" TargetMode="External"/><Relationship Id="rId2" Type="http://schemas.openxmlformats.org/officeDocument/2006/relationships/hyperlink" Target="mailto:ivan.semenushkin@yandex.ru" TargetMode="External"/><Relationship Id="rId1" Type="http://schemas.openxmlformats.org/officeDocument/2006/relationships/hyperlink" Target="mailto:ivan.semenushkin@yandex.r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hyperlink" Target="https://fmiasim.ru/"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17" Type="http://schemas.openxmlformats.org/officeDocument/2006/relationships/hyperlink" Target="http://www.e-disclosure.ru/portal/company.aspx?id=11633" TargetMode="External"/><Relationship Id="rId299" Type="http://schemas.openxmlformats.org/officeDocument/2006/relationships/hyperlink" Target="https://e-disclosure.ru/portal/company.aspx?id=26931" TargetMode="External"/><Relationship Id="rId21" Type="http://schemas.openxmlformats.org/officeDocument/2006/relationships/hyperlink" Target="http://www.himprom.com/" TargetMode="External"/><Relationship Id="rId63" Type="http://schemas.openxmlformats.org/officeDocument/2006/relationships/hyperlink" Target="http://www.e-disclosure.ru/portal/company.aspx?id=347" TargetMode="External"/><Relationship Id="rId159" Type="http://schemas.openxmlformats.org/officeDocument/2006/relationships/hyperlink" Target="http://www.kgk-kurgan.ru/" TargetMode="External"/><Relationship Id="rId324" Type="http://schemas.openxmlformats.org/officeDocument/2006/relationships/hyperlink" Target="https://pharmstd.ru/" TargetMode="External"/><Relationship Id="rId366" Type="http://schemas.openxmlformats.org/officeDocument/2006/relationships/hyperlink" Target="http://www.uniwagon.com/" TargetMode="External"/><Relationship Id="rId531" Type="http://schemas.openxmlformats.org/officeDocument/2006/relationships/hyperlink" Target="http://www.gazprombank.ru/" TargetMode="External"/><Relationship Id="rId573" Type="http://schemas.openxmlformats.org/officeDocument/2006/relationships/hyperlink" Target="https://energogarant.ru/" TargetMode="External"/><Relationship Id="rId629" Type="http://schemas.openxmlformats.org/officeDocument/2006/relationships/hyperlink" Target="https://www.e-disclosure.ru/portal/company.aspx?id=57" TargetMode="External"/><Relationship Id="rId170" Type="http://schemas.openxmlformats.org/officeDocument/2006/relationships/hyperlink" Target="http://www.lenenergo.ru/" TargetMode="External"/><Relationship Id="rId226" Type="http://schemas.openxmlformats.org/officeDocument/2006/relationships/hyperlink" Target="http://esbt74.ru/" TargetMode="External"/><Relationship Id="rId433" Type="http://schemas.openxmlformats.org/officeDocument/2006/relationships/hyperlink" Target="https://ir.ciangroup.ru/ru/" TargetMode="External"/><Relationship Id="rId268" Type="http://schemas.openxmlformats.org/officeDocument/2006/relationships/hyperlink" Target="http://www.e-disclosure.ru/portal/company.aspx?id=141" TargetMode="External"/><Relationship Id="rId475" Type="http://schemas.openxmlformats.org/officeDocument/2006/relationships/hyperlink" Target="http://www.vbank.ru/" TargetMode="External"/><Relationship Id="rId640" Type="http://schemas.openxmlformats.org/officeDocument/2006/relationships/hyperlink" Target="https://www.e-disclosure.ru/portal/company.aspx?id=36391" TargetMode="External"/><Relationship Id="rId32" Type="http://schemas.openxmlformats.org/officeDocument/2006/relationships/hyperlink" Target="http://www.mechel.ru/" TargetMode="External"/><Relationship Id="rId74" Type="http://schemas.openxmlformats.org/officeDocument/2006/relationships/hyperlink" Target="http://www.disclosure.ru/issuer/3302000669/" TargetMode="External"/><Relationship Id="rId128" Type="http://schemas.openxmlformats.org/officeDocument/2006/relationships/hyperlink" Target="http://www.e-disclosure.ru/portal/company.aspx?id=7878" TargetMode="External"/><Relationship Id="rId335" Type="http://schemas.openxmlformats.org/officeDocument/2006/relationships/hyperlink" Target="https://www.e-disclosure.ru/portal/files.aspx?id=38201&amp;type=3" TargetMode="External"/><Relationship Id="rId377" Type="http://schemas.openxmlformats.org/officeDocument/2006/relationships/hyperlink" Target="http://www.e-disclosure.ru/portal/company.aspx?id=27324" TargetMode="External"/><Relationship Id="rId500" Type="http://schemas.openxmlformats.org/officeDocument/2006/relationships/hyperlink" Target="https://www.e-disclosure.ru/portal/company.aspx?id=38038" TargetMode="External"/><Relationship Id="rId542" Type="http://schemas.openxmlformats.org/officeDocument/2006/relationships/hyperlink" Target="http://www.e-disclosure.ru/portal/company.aspx?id=4644" TargetMode="External"/><Relationship Id="rId584" Type="http://schemas.openxmlformats.org/officeDocument/2006/relationships/hyperlink" Target="https://if-meridian.ru/" TargetMode="External"/><Relationship Id="rId5" Type="http://schemas.openxmlformats.org/officeDocument/2006/relationships/hyperlink" Target="http://www.bashneft.ru/" TargetMode="External"/><Relationship Id="rId181" Type="http://schemas.openxmlformats.org/officeDocument/2006/relationships/hyperlink" Target="http://www.e-disclosure.ru/portal/company.aspx?id=11999" TargetMode="External"/><Relationship Id="rId237" Type="http://schemas.openxmlformats.org/officeDocument/2006/relationships/hyperlink" Target="http://www.e-disclosure.ru/portal/company.aspx?id=7022" TargetMode="External"/><Relationship Id="rId402" Type="http://schemas.openxmlformats.org/officeDocument/2006/relationships/hyperlink" Target="http://www.hh.ru/" TargetMode="External"/><Relationship Id="rId279" Type="http://schemas.openxmlformats.org/officeDocument/2006/relationships/hyperlink" Target="https://corp.megafon.ru/" TargetMode="External"/><Relationship Id="rId444" Type="http://schemas.openxmlformats.org/officeDocument/2006/relationships/hyperlink" Target="https://pik-group.ru/" TargetMode="External"/><Relationship Id="rId486" Type="http://schemas.openxmlformats.org/officeDocument/2006/relationships/hyperlink" Target="http://www.psbank.ru/" TargetMode="External"/><Relationship Id="rId43" Type="http://schemas.openxmlformats.org/officeDocument/2006/relationships/hyperlink" Target="http://www.kemkoks.ru/" TargetMode="External"/><Relationship Id="rId139" Type="http://schemas.openxmlformats.org/officeDocument/2006/relationships/hyperlink" Target="http://www.e-disclosure.ru/portal/company.aspx?id=6196" TargetMode="External"/><Relationship Id="rId290" Type="http://schemas.openxmlformats.org/officeDocument/2006/relationships/hyperlink" Target="http://www.magadanenergo.ru/" TargetMode="External"/><Relationship Id="rId304" Type="http://schemas.openxmlformats.org/officeDocument/2006/relationships/hyperlink" Target="http://www.e-disclosure.ru/portal/company.aspx?id=38380" TargetMode="External"/><Relationship Id="rId346" Type="http://schemas.openxmlformats.org/officeDocument/2006/relationships/hyperlink" Target="http://e-disclosure.ru/portal/company.aspx?id=34871" TargetMode="External"/><Relationship Id="rId388" Type="http://schemas.openxmlformats.org/officeDocument/2006/relationships/hyperlink" Target="http://www.e-disclosure.ru/portal/company.aspx?id=5496" TargetMode="External"/><Relationship Id="rId511" Type="http://schemas.openxmlformats.org/officeDocument/2006/relationships/hyperlink" Target="http://www.kuzbank.ru/" TargetMode="External"/><Relationship Id="rId553" Type="http://schemas.openxmlformats.org/officeDocument/2006/relationships/hyperlink" Target="http://www.trust.ru/" TargetMode="External"/><Relationship Id="rId609" Type="http://schemas.openxmlformats.org/officeDocument/2006/relationships/hyperlink" Target="http://www.e-disclosure.ru/portal/company.aspx?id=4662" TargetMode="External"/><Relationship Id="rId85" Type="http://schemas.openxmlformats.org/officeDocument/2006/relationships/hyperlink" Target="http://www.e-disclosure.ru/portal/company.aspx?id=5234" TargetMode="External"/><Relationship Id="rId150" Type="http://schemas.openxmlformats.org/officeDocument/2006/relationships/hyperlink" Target="http://www.yakutskenergo.ru/" TargetMode="External"/><Relationship Id="rId192" Type="http://schemas.openxmlformats.org/officeDocument/2006/relationships/hyperlink" Target="http://www.e-disclosure.ru/portal/company.aspx?id=2827" TargetMode="External"/><Relationship Id="rId206" Type="http://schemas.openxmlformats.org/officeDocument/2006/relationships/hyperlink" Target="https://staves.ru/" TargetMode="External"/><Relationship Id="rId413" Type="http://schemas.openxmlformats.org/officeDocument/2006/relationships/hyperlink" Target="http://www.e-disclosure.ru/portal/company.aspx?id=1324" TargetMode="External"/><Relationship Id="rId595" Type="http://schemas.openxmlformats.org/officeDocument/2006/relationships/hyperlink" Target="https://www.e-disclosure.ru/portal/company.aspx?id=15776" TargetMode="External"/><Relationship Id="rId248" Type="http://schemas.openxmlformats.org/officeDocument/2006/relationships/hyperlink" Target="https://www.e-disclosure.ru/portal/company.aspx?id=8572" TargetMode="External"/><Relationship Id="rId455" Type="http://schemas.openxmlformats.org/officeDocument/2006/relationships/hyperlink" Target="http://www.globaltrans.com/" TargetMode="External"/><Relationship Id="rId497" Type="http://schemas.openxmlformats.org/officeDocument/2006/relationships/hyperlink" Target="http://www.moex.com/ru/exchange/investors.aspx" TargetMode="External"/><Relationship Id="rId620" Type="http://schemas.openxmlformats.org/officeDocument/2006/relationships/hyperlink" Target="http://www.e-disclosure.ru/portal/company.aspx?id=468" TargetMode="External"/><Relationship Id="rId12" Type="http://schemas.openxmlformats.org/officeDocument/2006/relationships/hyperlink" Target="http://www.phosagro.ru/" TargetMode="External"/><Relationship Id="rId108" Type="http://schemas.openxmlformats.org/officeDocument/2006/relationships/hyperlink" Target="http://www.e-disclosure.ru/portal/company.aspx?id=274" TargetMode="External"/><Relationship Id="rId315" Type="http://schemas.openxmlformats.org/officeDocument/2006/relationships/hyperlink" Target="http://www.e-disclosure.ru/portal/company.aspx?id=7380" TargetMode="External"/><Relationship Id="rId357" Type="http://schemas.openxmlformats.org/officeDocument/2006/relationships/hyperlink" Target="http://www.e-disclosure.ru/portal/company.aspx?id=31563" TargetMode="External"/><Relationship Id="rId522" Type="http://schemas.openxmlformats.org/officeDocument/2006/relationships/hyperlink" Target="http://www.e-disclosure.ru/portal/company.aspx?id=1398" TargetMode="External"/><Relationship Id="rId54" Type="http://schemas.openxmlformats.org/officeDocument/2006/relationships/hyperlink" Target="http://www.len-zoloto.ru/" TargetMode="External"/><Relationship Id="rId96" Type="http://schemas.openxmlformats.org/officeDocument/2006/relationships/hyperlink" Target="http://www.e-disclosure.ru/portal/company.aspx?id=1641" TargetMode="External"/><Relationship Id="rId161" Type="http://schemas.openxmlformats.org/officeDocument/2006/relationships/hyperlink" Target="http://www.e-disclosure.ru/portal/company.aspx?id=8231" TargetMode="External"/><Relationship Id="rId217" Type="http://schemas.openxmlformats.org/officeDocument/2006/relationships/hyperlink" Target="http://www.e-disclosure.ru/portal/company.aspx?id=11385" TargetMode="External"/><Relationship Id="rId399" Type="http://schemas.openxmlformats.org/officeDocument/2006/relationships/hyperlink" Target="http://zhivojoffice.com/" TargetMode="External"/><Relationship Id="rId564" Type="http://schemas.openxmlformats.org/officeDocument/2006/relationships/hyperlink" Target="https://e-disclosure.ru/portal/company.aspx?id=11244" TargetMode="External"/><Relationship Id="rId259" Type="http://schemas.openxmlformats.org/officeDocument/2006/relationships/hyperlink" Target="https://www.e-disclosure.ru/portal/company.aspx?id=8413" TargetMode="External"/><Relationship Id="rId424" Type="http://schemas.openxmlformats.org/officeDocument/2006/relationships/hyperlink" Target="http://www.rosinter.ru/" TargetMode="External"/><Relationship Id="rId466" Type="http://schemas.openxmlformats.org/officeDocument/2006/relationships/hyperlink" Target="https://globaltruck.ru/" TargetMode="External"/><Relationship Id="rId631" Type="http://schemas.openxmlformats.org/officeDocument/2006/relationships/hyperlink" Target="https://www.e-disclosure.ru/portal/company.aspx?id=38906" TargetMode="External"/><Relationship Id="rId23" Type="http://schemas.openxmlformats.org/officeDocument/2006/relationships/hyperlink" Target="http://www.td-kama.com/ru/enterprises/210552/" TargetMode="External"/><Relationship Id="rId119" Type="http://schemas.openxmlformats.org/officeDocument/2006/relationships/hyperlink" Target="http://www.gaz-services.ru/" TargetMode="External"/><Relationship Id="rId270" Type="http://schemas.openxmlformats.org/officeDocument/2006/relationships/hyperlink" Target="http://www.e-disclosure.ru/portal/company.aspx?id=3346" TargetMode="External"/><Relationship Id="rId326" Type="http://schemas.openxmlformats.org/officeDocument/2006/relationships/hyperlink" Target="http://www.e-disclosure.ru/portal/company.aspx?id=13943" TargetMode="External"/><Relationship Id="rId533" Type="http://schemas.openxmlformats.org/officeDocument/2006/relationships/hyperlink" Target="http://www.raiffeisen.ru/" TargetMode="External"/><Relationship Id="rId65" Type="http://schemas.openxmlformats.org/officeDocument/2006/relationships/hyperlink" Target="http://www.e-disclosure.ru/portal/company.aspx?id=568" TargetMode="External"/><Relationship Id="rId130" Type="http://schemas.openxmlformats.org/officeDocument/2006/relationships/hyperlink" Target="http://www.e-disclosure.ru/portal/company.aspx?id=7234" TargetMode="External"/><Relationship Id="rId368" Type="http://schemas.openxmlformats.org/officeDocument/2006/relationships/hyperlink" Target="https://yakovlev.ru/" TargetMode="External"/><Relationship Id="rId575" Type="http://schemas.openxmlformats.org/officeDocument/2006/relationships/hyperlink" Target="https://www.e-disclosure.ru/portal/company.aspx?id=119" TargetMode="External"/><Relationship Id="rId172" Type="http://schemas.openxmlformats.org/officeDocument/2006/relationships/hyperlink" Target="http://www.mrsk-cp.ru/" TargetMode="External"/><Relationship Id="rId228" Type="http://schemas.openxmlformats.org/officeDocument/2006/relationships/hyperlink" Target="http://www.samaraenergo.ru/" TargetMode="External"/><Relationship Id="rId435" Type="http://schemas.openxmlformats.org/officeDocument/2006/relationships/hyperlink" Target="http://ir.aeroflot.ru/ru/" TargetMode="External"/><Relationship Id="rId477" Type="http://schemas.openxmlformats.org/officeDocument/2006/relationships/hyperlink" Target="http://www.e-disclosure.ru/portal/company.aspx?id=3935" TargetMode="External"/><Relationship Id="rId600" Type="http://schemas.openxmlformats.org/officeDocument/2006/relationships/hyperlink" Target="https://www.e-disclosure.ru/portal/company.aspx?id=11530" TargetMode="External"/><Relationship Id="rId642" Type="http://schemas.openxmlformats.org/officeDocument/2006/relationships/printerSettings" Target="../printerSettings/printerSettings2.bin"/><Relationship Id="rId281" Type="http://schemas.openxmlformats.org/officeDocument/2006/relationships/hyperlink" Target="http://www.magnit.com/" TargetMode="External"/><Relationship Id="rId337" Type="http://schemas.openxmlformats.org/officeDocument/2006/relationships/hyperlink" Target="https://www.e-disclosure.ru/portal/company.aspx?id=38967" TargetMode="External"/><Relationship Id="rId502" Type="http://schemas.openxmlformats.org/officeDocument/2006/relationships/hyperlink" Target="http://www.e-disclosure.ru/portal/company.aspx?id=1389" TargetMode="External"/><Relationship Id="rId34" Type="http://schemas.openxmlformats.org/officeDocument/2006/relationships/hyperlink" Target="http://www.ukuzbass.ru/" TargetMode="External"/><Relationship Id="rId76" Type="http://schemas.openxmlformats.org/officeDocument/2006/relationships/hyperlink" Target="http://www.e-disclosure.ru/portal/company.aspx?id=152" TargetMode="External"/><Relationship Id="rId141" Type="http://schemas.openxmlformats.org/officeDocument/2006/relationships/hyperlink" Target="http://www.e-disclosure.ru/portal/company.aspx?id=7968" TargetMode="External"/><Relationship Id="rId379" Type="http://schemas.openxmlformats.org/officeDocument/2006/relationships/hyperlink" Target="https://www.e-disclosure.ru/portal/company.aspx?id=8744" TargetMode="External"/><Relationship Id="rId544" Type="http://schemas.openxmlformats.org/officeDocument/2006/relationships/hyperlink" Target="http://www.e-disclosure.ru/portal/company.aspx?id=3018" TargetMode="External"/><Relationship Id="rId586" Type="http://schemas.openxmlformats.org/officeDocument/2006/relationships/hyperlink" Target="http://www.theravenpropertygroup.com/" TargetMode="External"/><Relationship Id="rId7" Type="http://schemas.openxmlformats.org/officeDocument/2006/relationships/hyperlink" Target="http://www.novatek.ru/" TargetMode="External"/><Relationship Id="rId183" Type="http://schemas.openxmlformats.org/officeDocument/2006/relationships/hyperlink" Target="http://www.e-disclosure.ru/portal/company.aspx?id=12105" TargetMode="External"/><Relationship Id="rId239" Type="http://schemas.openxmlformats.org/officeDocument/2006/relationships/hyperlink" Target="http://www.e-disclosure.ru/portal/company.aspx?id=6050" TargetMode="External"/><Relationship Id="rId390" Type="http://schemas.openxmlformats.org/officeDocument/2006/relationships/hyperlink" Target="http://www.e-disclosure.ru/portal/company.aspx?id=10114" TargetMode="External"/><Relationship Id="rId404" Type="http://schemas.openxmlformats.org/officeDocument/2006/relationships/hyperlink" Target="https://www.e-disclosure.ru/portal/company.aspx?id=38538" TargetMode="External"/><Relationship Id="rId446" Type="http://schemas.openxmlformats.org/officeDocument/2006/relationships/hyperlink" Target="https://mostotrest.ru/" TargetMode="External"/><Relationship Id="rId611" Type="http://schemas.openxmlformats.org/officeDocument/2006/relationships/hyperlink" Target="https://www.e-disclosure.ru/portal/company.aspx?id=39131" TargetMode="External"/><Relationship Id="rId250" Type="http://schemas.openxmlformats.org/officeDocument/2006/relationships/hyperlink" Target="https://www.e-disclosure.ru/portal/company.aspx?id=6611" TargetMode="External"/><Relationship Id="rId292" Type="http://schemas.openxmlformats.org/officeDocument/2006/relationships/hyperlink" Target="http://www.rostovoblgaz.ru/" TargetMode="External"/><Relationship Id="rId306" Type="http://schemas.openxmlformats.org/officeDocument/2006/relationships/hyperlink" Target="https://ir.fix-price.com/ru/" TargetMode="External"/><Relationship Id="rId488" Type="http://schemas.openxmlformats.org/officeDocument/2006/relationships/hyperlink" Target="https://www.e-disclosure.ru/portal/company.aspx?id=11328" TargetMode="External"/><Relationship Id="rId45" Type="http://schemas.openxmlformats.org/officeDocument/2006/relationships/hyperlink" Target="http://www.suek.ru/" TargetMode="External"/><Relationship Id="rId87" Type="http://schemas.openxmlformats.org/officeDocument/2006/relationships/hyperlink" Target="http://www.e-disclosure.ru/portal/company.aspx?id=4089" TargetMode="External"/><Relationship Id="rId110" Type="http://schemas.openxmlformats.org/officeDocument/2006/relationships/hyperlink" Target="http://www.chelpipe.ru/" TargetMode="External"/><Relationship Id="rId348" Type="http://schemas.openxmlformats.org/officeDocument/2006/relationships/hyperlink" Target="https://www.e-disclosure.ru/portal/company.aspx?id=6652" TargetMode="External"/><Relationship Id="rId513" Type="http://schemas.openxmlformats.org/officeDocument/2006/relationships/hyperlink" Target="http://www.sovcombank.ru/" TargetMode="External"/><Relationship Id="rId555" Type="http://schemas.openxmlformats.org/officeDocument/2006/relationships/hyperlink" Target="https://www.e-disclosure.ru/portal/company.aspx?id=3063" TargetMode="External"/><Relationship Id="rId597" Type="http://schemas.openxmlformats.org/officeDocument/2006/relationships/hyperlink" Target="https://www.e-disclosure.ru/portal/company.aspx?id=4802" TargetMode="External"/><Relationship Id="rId152" Type="http://schemas.openxmlformats.org/officeDocument/2006/relationships/hyperlink" Target="http://www.e-disclosure.ru/portal/company.aspx?id=321" TargetMode="External"/><Relationship Id="rId194" Type="http://schemas.openxmlformats.org/officeDocument/2006/relationships/hyperlink" Target="https://e-disclosure.ru/portal/company.aspx?id=11794" TargetMode="External"/><Relationship Id="rId208" Type="http://schemas.openxmlformats.org/officeDocument/2006/relationships/hyperlink" Target="http://www.e-disclosure.ru/portal/company.aspx?id=33277" TargetMode="External"/><Relationship Id="rId415" Type="http://schemas.openxmlformats.org/officeDocument/2006/relationships/hyperlink" Target="https://omz.tech/" TargetMode="External"/><Relationship Id="rId457" Type="http://schemas.openxmlformats.org/officeDocument/2006/relationships/hyperlink" Target="http://www.e-disclosure.ru/portal/company.aspx?id=1171" TargetMode="External"/><Relationship Id="rId622" Type="http://schemas.openxmlformats.org/officeDocument/2006/relationships/hyperlink" Target="https://www.e-disclosure.ru/portal/company.aspx?id=421" TargetMode="External"/><Relationship Id="rId261" Type="http://schemas.openxmlformats.org/officeDocument/2006/relationships/hyperlink" Target="https://www.e-disclosure.ru/portal/company.aspx?id=11559" TargetMode="External"/><Relationship Id="rId499" Type="http://schemas.openxmlformats.org/officeDocument/2006/relationships/hyperlink" Target="https://spbexchange.ru/" TargetMode="External"/><Relationship Id="rId14" Type="http://schemas.openxmlformats.org/officeDocument/2006/relationships/hyperlink" Target="http://www.eurochemgroup.com/" TargetMode="External"/><Relationship Id="rId56" Type="http://schemas.openxmlformats.org/officeDocument/2006/relationships/hyperlink" Target="http://www.e-disclosure.ru/portal/company.aspx?id=6505" TargetMode="External"/><Relationship Id="rId317" Type="http://schemas.openxmlformats.org/officeDocument/2006/relationships/hyperlink" Target="http://www.abraudurso.ru/" TargetMode="External"/><Relationship Id="rId359" Type="http://schemas.openxmlformats.org/officeDocument/2006/relationships/hyperlink" Target="http://www.e-disclosure.ru/portal/company.aspx?id=29610" TargetMode="External"/><Relationship Id="rId524" Type="http://schemas.openxmlformats.org/officeDocument/2006/relationships/hyperlink" Target="https://smarttechgroup.pro/investoram/presentatsii-dlya-investorov" TargetMode="External"/><Relationship Id="rId566" Type="http://schemas.openxmlformats.org/officeDocument/2006/relationships/hyperlink" Target="http://www.e-disclosure.ru/portal/company.aspx?id=8783" TargetMode="External"/><Relationship Id="rId98" Type="http://schemas.openxmlformats.org/officeDocument/2006/relationships/hyperlink" Target="http://www.e-disclosure.ru/portal/company.aspx?id=33331" TargetMode="External"/><Relationship Id="rId121" Type="http://schemas.openxmlformats.org/officeDocument/2006/relationships/hyperlink" Target="http://www.e-disclosure.ru/portal/company.aspx?id=29479" TargetMode="External"/><Relationship Id="rId163" Type="http://schemas.openxmlformats.org/officeDocument/2006/relationships/hyperlink" Target="http://www.e-disclosure.ru/portal/company.aspx?id=13497" TargetMode="External"/><Relationship Id="rId219" Type="http://schemas.openxmlformats.org/officeDocument/2006/relationships/hyperlink" Target="https://tesk.su/" TargetMode="External"/><Relationship Id="rId370" Type="http://schemas.openxmlformats.org/officeDocument/2006/relationships/hyperlink" Target="http://www.e-disclosure.ru/portal/company.aspx?id=33" TargetMode="External"/><Relationship Id="rId426" Type="http://schemas.openxmlformats.org/officeDocument/2006/relationships/hyperlink" Target="https://www.e-disclosure.ru/portal/company.aspx?id=397" TargetMode="External"/><Relationship Id="rId633" Type="http://schemas.openxmlformats.org/officeDocument/2006/relationships/hyperlink" Target="https://www.e-disclosure.ru/portal/company.aspx?id=38975" TargetMode="External"/><Relationship Id="rId230" Type="http://schemas.openxmlformats.org/officeDocument/2006/relationships/hyperlink" Target="http://www.energosale34.ru/" TargetMode="External"/><Relationship Id="rId468" Type="http://schemas.openxmlformats.org/officeDocument/2006/relationships/hyperlink" Target="https://www.e-disclosure.ru/portal/company.aspx?id=11967" TargetMode="External"/><Relationship Id="rId25" Type="http://schemas.openxmlformats.org/officeDocument/2006/relationships/hyperlink" Target="http://www.yatec.ru/" TargetMode="External"/><Relationship Id="rId67" Type="http://schemas.openxmlformats.org/officeDocument/2006/relationships/hyperlink" Target="http://www.e-disclosure.ru/portal/company.aspx?id=947" TargetMode="External"/><Relationship Id="rId272" Type="http://schemas.openxmlformats.org/officeDocument/2006/relationships/hyperlink" Target="https://e-disclosure.ru/portal/company.aspx?id=1017" TargetMode="External"/><Relationship Id="rId328" Type="http://schemas.openxmlformats.org/officeDocument/2006/relationships/hyperlink" Target="http://www.e-disclosure.ru/portal/company.aspx?id=4378" TargetMode="External"/><Relationship Id="rId535" Type="http://schemas.openxmlformats.org/officeDocument/2006/relationships/hyperlink" Target="http://www.veb.ru/" TargetMode="External"/><Relationship Id="rId577" Type="http://schemas.openxmlformats.org/officeDocument/2006/relationships/hyperlink" Target="http://www.vsk.ru/" TargetMode="External"/><Relationship Id="rId132" Type="http://schemas.openxmlformats.org/officeDocument/2006/relationships/hyperlink" Target="http://www.e-disclosure.ru/portal/company.aspx?id=7263" TargetMode="External"/><Relationship Id="rId174" Type="http://schemas.openxmlformats.org/officeDocument/2006/relationships/hyperlink" Target="http://www.mrsk-volgi.ru/" TargetMode="External"/><Relationship Id="rId381" Type="http://schemas.openxmlformats.org/officeDocument/2006/relationships/hyperlink" Target="https://www.e-disclosure.ru/portal/company.aspx?id=2348" TargetMode="External"/><Relationship Id="rId602" Type="http://schemas.openxmlformats.org/officeDocument/2006/relationships/hyperlink" Target="http://www.e-disclosure.ru/portal/company.aspx?id=2195" TargetMode="External"/><Relationship Id="rId241" Type="http://schemas.openxmlformats.org/officeDocument/2006/relationships/hyperlink" Target="http://www.e-disclosure.ru/portal/company.aspx?id=3707" TargetMode="External"/><Relationship Id="rId437" Type="http://schemas.openxmlformats.org/officeDocument/2006/relationships/hyperlink" Target="http://ir.rzd.ru/" TargetMode="External"/><Relationship Id="rId479" Type="http://schemas.openxmlformats.org/officeDocument/2006/relationships/hyperlink" Target="https://mkb.ru/" TargetMode="External"/><Relationship Id="rId36" Type="http://schemas.openxmlformats.org/officeDocument/2006/relationships/hyperlink" Target="http://www.korgok.com/" TargetMode="External"/><Relationship Id="rId283" Type="http://schemas.openxmlformats.org/officeDocument/2006/relationships/hyperlink" Target="http://www.x5.ru/" TargetMode="External"/><Relationship Id="rId339" Type="http://schemas.openxmlformats.org/officeDocument/2006/relationships/hyperlink" Target="http://www.mcclinics.ru/" TargetMode="External"/><Relationship Id="rId490" Type="http://schemas.openxmlformats.org/officeDocument/2006/relationships/hyperlink" Target="http://www.e-disclosure.ru/portal/company.aspx?id=34945" TargetMode="External"/><Relationship Id="rId504" Type="http://schemas.openxmlformats.org/officeDocument/2006/relationships/hyperlink" Target="https://www.e-disclosure.ru/portal/company.aspx?id=33148" TargetMode="External"/><Relationship Id="rId546" Type="http://schemas.openxmlformats.org/officeDocument/2006/relationships/hyperlink" Target="http://www.el5-energo.ru/" TargetMode="External"/><Relationship Id="rId78" Type="http://schemas.openxmlformats.org/officeDocument/2006/relationships/hyperlink" Target="http://www.e-disclosure.ru/portal/company.aspx?id=30" TargetMode="External"/><Relationship Id="rId101" Type="http://schemas.openxmlformats.org/officeDocument/2006/relationships/hyperlink" Target="http://www.e-disclosure.ru/portal/company.aspx?id=1991" TargetMode="External"/><Relationship Id="rId143" Type="http://schemas.openxmlformats.org/officeDocument/2006/relationships/hyperlink" Target="http://www.e-disclosure.ru/portal/company.aspx?id=3899" TargetMode="External"/><Relationship Id="rId185" Type="http://schemas.openxmlformats.org/officeDocument/2006/relationships/hyperlink" Target="http://www.disclosure.ru/issuer/7802312751/" TargetMode="External"/><Relationship Id="rId350" Type="http://schemas.openxmlformats.org/officeDocument/2006/relationships/hyperlink" Target="http://www.e-disclosure.ru/portal/company.aspx?id=17531" TargetMode="External"/><Relationship Id="rId406" Type="http://schemas.openxmlformats.org/officeDocument/2006/relationships/hyperlink" Target="https://www.e-disclosure.ru/portal/company.aspx?id=37065" TargetMode="External"/><Relationship Id="rId588" Type="http://schemas.openxmlformats.org/officeDocument/2006/relationships/hyperlink" Target="http://kitkapital.ru/otchyotnost/" TargetMode="External"/><Relationship Id="rId9" Type="http://schemas.openxmlformats.org/officeDocument/2006/relationships/hyperlink" Target="http://www.russneft.ru/" TargetMode="External"/><Relationship Id="rId210" Type="http://schemas.openxmlformats.org/officeDocument/2006/relationships/hyperlink" Target="https://voronezh.tns-e.ru/" TargetMode="External"/><Relationship Id="rId392" Type="http://schemas.openxmlformats.org/officeDocument/2006/relationships/hyperlink" Target="http://www.e-disclosure.ru/portal/company.aspx?id=13312" TargetMode="External"/><Relationship Id="rId448" Type="http://schemas.openxmlformats.org/officeDocument/2006/relationships/hyperlink" Target="http://www.etalongroup.com/ru/" TargetMode="External"/><Relationship Id="rId613" Type="http://schemas.openxmlformats.org/officeDocument/2006/relationships/hyperlink" Target="https://www.e-disclosure.ru/portal/company.aspx?id=38758" TargetMode="External"/><Relationship Id="rId252" Type="http://schemas.openxmlformats.org/officeDocument/2006/relationships/hyperlink" Target="https://www.e-disclosure.ru/portal/company.aspx?id=8732" TargetMode="External"/><Relationship Id="rId294" Type="http://schemas.openxmlformats.org/officeDocument/2006/relationships/hyperlink" Target="http://www.e-disclosure.ru/portal/company.aspx?id=20639" TargetMode="External"/><Relationship Id="rId308" Type="http://schemas.openxmlformats.org/officeDocument/2006/relationships/hyperlink" Target="http://www.e-disclosure.ru/portal/company.aspx?id=6788" TargetMode="External"/><Relationship Id="rId515" Type="http://schemas.openxmlformats.org/officeDocument/2006/relationships/hyperlink" Target="http://www.e-disclosure.ru/portal/company.aspx?id=235" TargetMode="External"/><Relationship Id="rId47" Type="http://schemas.openxmlformats.org/officeDocument/2006/relationships/hyperlink" Target="http://www.rusal.ru/" TargetMode="External"/><Relationship Id="rId89" Type="http://schemas.openxmlformats.org/officeDocument/2006/relationships/hyperlink" Target="http://www.e-disclosure.ru/portal/company.aspx?id=13358" TargetMode="External"/><Relationship Id="rId112" Type="http://schemas.openxmlformats.org/officeDocument/2006/relationships/hyperlink" Target="http://www.smw.ru/" TargetMode="External"/><Relationship Id="rId154" Type="http://schemas.openxmlformats.org/officeDocument/2006/relationships/hyperlink" Target="http://www.e-disclosure.ru/portal/company.aspx?id=1409" TargetMode="External"/><Relationship Id="rId361" Type="http://schemas.openxmlformats.org/officeDocument/2006/relationships/hyperlink" Target="https://&#1089;&#1090;&#1088;&#1086;&#1081;&#1089;&#1080;&#1089;&#1090;&#1077;&#1084;&#1072;.&#1088;&#1092;/" TargetMode="External"/><Relationship Id="rId557" Type="http://schemas.openxmlformats.org/officeDocument/2006/relationships/hyperlink" Target="https://rbrbank.ru/about/disclosing_of_the_information/events.php" TargetMode="External"/><Relationship Id="rId599" Type="http://schemas.openxmlformats.org/officeDocument/2006/relationships/hyperlink" Target="https://www.e-disclosure.ru/portal/company.aspx?id=10272" TargetMode="External"/><Relationship Id="rId196" Type="http://schemas.openxmlformats.org/officeDocument/2006/relationships/hyperlink" Target="http://www.moek.ru/" TargetMode="External"/><Relationship Id="rId417" Type="http://schemas.openxmlformats.org/officeDocument/2006/relationships/hyperlink" Target="http://www.kvmz.ru/" TargetMode="External"/><Relationship Id="rId459" Type="http://schemas.openxmlformats.org/officeDocument/2006/relationships/hyperlink" Target="http://www.e-disclosure.ru/portal/company.aspx?id=12696" TargetMode="External"/><Relationship Id="rId624" Type="http://schemas.openxmlformats.org/officeDocument/2006/relationships/hyperlink" Target="https://www.e-disclosure.ru/portal/company.aspx?id=39126" TargetMode="External"/><Relationship Id="rId16" Type="http://schemas.openxmlformats.org/officeDocument/2006/relationships/hyperlink" Target="http://www.sn-mng.ru/" TargetMode="External"/><Relationship Id="rId221" Type="http://schemas.openxmlformats.org/officeDocument/2006/relationships/hyperlink" Target="http://www.e-disclosure.ru/portal/company.aspx?id=5754" TargetMode="External"/><Relationship Id="rId263" Type="http://schemas.openxmlformats.org/officeDocument/2006/relationships/hyperlink" Target="https://www.e-disclosure.ru/portal/company.aspx?id=8768" TargetMode="External"/><Relationship Id="rId319" Type="http://schemas.openxmlformats.org/officeDocument/2006/relationships/hyperlink" Target="http://www.e-disclosure.ru/portal/company.aspx?id=1216" TargetMode="External"/><Relationship Id="rId470" Type="http://schemas.openxmlformats.org/officeDocument/2006/relationships/hyperlink" Target="http://www.e-disclosure.ru/portal/company.aspx?id=83" TargetMode="External"/><Relationship Id="rId526" Type="http://schemas.openxmlformats.org/officeDocument/2006/relationships/hyperlink" Target="http://www.e-disclosure.ru/portal/company.aspx?id=2420" TargetMode="External"/><Relationship Id="rId58" Type="http://schemas.openxmlformats.org/officeDocument/2006/relationships/hyperlink" Target="http://www.e-disclosure.ru/portal/company.aspx?id=17" TargetMode="External"/><Relationship Id="rId123" Type="http://schemas.openxmlformats.org/officeDocument/2006/relationships/hyperlink" Target="http://www.e-disclosure.ru/portal/company.aspx?id=8580" TargetMode="External"/><Relationship Id="rId330" Type="http://schemas.openxmlformats.org/officeDocument/2006/relationships/hyperlink" Target="http://www.e-disclosure.ru/portal/company.aspx?id=7814" TargetMode="External"/><Relationship Id="rId568" Type="http://schemas.openxmlformats.org/officeDocument/2006/relationships/hyperlink" Target="http://www.gtlk.ru/" TargetMode="External"/><Relationship Id="rId165" Type="http://schemas.openxmlformats.org/officeDocument/2006/relationships/hyperlink" Target="https://e-disclosure.ru/portal/files.aspx?id=2141&amp;type=2" TargetMode="External"/><Relationship Id="rId372" Type="http://schemas.openxmlformats.org/officeDocument/2006/relationships/hyperlink" Target="http://www.e-disclosure.ru/portal/company.aspx?id=227" TargetMode="External"/><Relationship Id="rId428" Type="http://schemas.openxmlformats.org/officeDocument/2006/relationships/hyperlink" Target="https://www.e-disclosure.ru/portal/company.aspx?id=938" TargetMode="External"/><Relationship Id="rId635" Type="http://schemas.openxmlformats.org/officeDocument/2006/relationships/hyperlink" Target="https://arenadata.tech/about/" TargetMode="External"/><Relationship Id="rId232" Type="http://schemas.openxmlformats.org/officeDocument/2006/relationships/hyperlink" Target="http://www.e-disclosure.ru/portal/company.aspx?id=6930" TargetMode="External"/><Relationship Id="rId274" Type="http://schemas.openxmlformats.org/officeDocument/2006/relationships/hyperlink" Target="https://cnt.ru/" TargetMode="External"/><Relationship Id="rId481" Type="http://schemas.openxmlformats.org/officeDocument/2006/relationships/hyperlink" Target="https://www.e-disclosure.ru/portal/company.aspx?id=39055" TargetMode="External"/><Relationship Id="rId27" Type="http://schemas.openxmlformats.org/officeDocument/2006/relationships/hyperlink" Target="http://www.severstal.ru/" TargetMode="External"/><Relationship Id="rId69" Type="http://schemas.openxmlformats.org/officeDocument/2006/relationships/hyperlink" Target="http://www.e-disclosure.ru/portal/company.aspx?id=573" TargetMode="External"/><Relationship Id="rId134" Type="http://schemas.openxmlformats.org/officeDocument/2006/relationships/hyperlink" Target="http://www.e-disclosure.ru/portal/company.aspx?id=936" TargetMode="External"/><Relationship Id="rId537" Type="http://schemas.openxmlformats.org/officeDocument/2006/relationships/hyperlink" Target="https://spbbank.ru/" TargetMode="External"/><Relationship Id="rId579" Type="http://schemas.openxmlformats.org/officeDocument/2006/relationships/hyperlink" Target="https://www.e-disclosure.ru/portal/company.aspx?id=100" TargetMode="External"/><Relationship Id="rId80" Type="http://schemas.openxmlformats.org/officeDocument/2006/relationships/hyperlink" Target="http://www.e-disclosure.ru/portal/company.aspx?id=2509" TargetMode="External"/><Relationship Id="rId176" Type="http://schemas.openxmlformats.org/officeDocument/2006/relationships/hyperlink" Target="http://www.mrsk-1.ru/" TargetMode="External"/><Relationship Id="rId341" Type="http://schemas.openxmlformats.org/officeDocument/2006/relationships/hyperlink" Target="https://emc-investor.com/results" TargetMode="External"/><Relationship Id="rId383" Type="http://schemas.openxmlformats.org/officeDocument/2006/relationships/hyperlink" Target="https://www.e-disclosure.ru/portal/company.aspx?id=8990" TargetMode="External"/><Relationship Id="rId439" Type="http://schemas.openxmlformats.org/officeDocument/2006/relationships/hyperlink" Target="https://www.sistema.ru/" TargetMode="External"/><Relationship Id="rId590" Type="http://schemas.openxmlformats.org/officeDocument/2006/relationships/hyperlink" Target="https://www.e-disclosure.ru/portal/company.aspx?id=16584" TargetMode="External"/><Relationship Id="rId604" Type="http://schemas.openxmlformats.org/officeDocument/2006/relationships/hyperlink" Target="http://www.chkpz.ru/" TargetMode="External"/><Relationship Id="rId201" Type="http://schemas.openxmlformats.org/officeDocument/2006/relationships/hyperlink" Target="http://www.e-disclosure.ru/portal/company.aspx?id=5422" TargetMode="External"/><Relationship Id="rId243" Type="http://schemas.openxmlformats.org/officeDocument/2006/relationships/hyperlink" Target="http://www.uralchem.ru/" TargetMode="External"/><Relationship Id="rId285" Type="http://schemas.openxmlformats.org/officeDocument/2006/relationships/hyperlink" Target="http://www.dixygroup.ru/" TargetMode="External"/><Relationship Id="rId450" Type="http://schemas.openxmlformats.org/officeDocument/2006/relationships/hyperlink" Target="http://www.samoletgroup.ru/" TargetMode="External"/><Relationship Id="rId506" Type="http://schemas.openxmlformats.org/officeDocument/2006/relationships/hyperlink" Target="http://www.e-disclosure.ru/portal/company.aspx?id=538" TargetMode="External"/><Relationship Id="rId38" Type="http://schemas.openxmlformats.org/officeDocument/2006/relationships/hyperlink" Target="http://www.unickel.ru/" TargetMode="External"/><Relationship Id="rId103" Type="http://schemas.openxmlformats.org/officeDocument/2006/relationships/hyperlink" Target="http://www.buryatzoloto.ru/" TargetMode="External"/><Relationship Id="rId310" Type="http://schemas.openxmlformats.org/officeDocument/2006/relationships/hyperlink" Target="http://www.mvideoeldorado.ru/ru/" TargetMode="External"/><Relationship Id="rId492" Type="http://schemas.openxmlformats.org/officeDocument/2006/relationships/hyperlink" Target="https://www.e-disclosure.ru/portal/company.aspx?id=37082" TargetMode="External"/><Relationship Id="rId548" Type="http://schemas.openxmlformats.org/officeDocument/2006/relationships/hyperlink" Target="https://derzhava.ru/" TargetMode="External"/><Relationship Id="rId70" Type="http://schemas.openxmlformats.org/officeDocument/2006/relationships/hyperlink" Target="http://www.e-disclosure.ru/portal/company.aspx?id=703" TargetMode="External"/><Relationship Id="rId91" Type="http://schemas.openxmlformats.org/officeDocument/2006/relationships/hyperlink" Target="http://www.e-disclosure.ru/portal/company.aspx?id=7772" TargetMode="External"/><Relationship Id="rId145" Type="http://schemas.openxmlformats.org/officeDocument/2006/relationships/hyperlink" Target="http://www.e-disclosure.ru/portal/files.aspx?id=9480&amp;type=4" TargetMode="External"/><Relationship Id="rId166" Type="http://schemas.openxmlformats.org/officeDocument/2006/relationships/hyperlink" Target="http://www.e-disclosure.ru/portal/company.aspx?id=379" TargetMode="External"/><Relationship Id="rId187" Type="http://schemas.openxmlformats.org/officeDocument/2006/relationships/hyperlink" Target="http://www.e-disclosure.ru/portal/company.aspx?id=12072" TargetMode="External"/><Relationship Id="rId331" Type="http://schemas.openxmlformats.org/officeDocument/2006/relationships/hyperlink" Target="https://artgen.ru/" TargetMode="External"/><Relationship Id="rId352" Type="http://schemas.openxmlformats.org/officeDocument/2006/relationships/hyperlink" Target="https://www.e-disclosure.ru/portal/company.aspx?id=38334" TargetMode="External"/><Relationship Id="rId373" Type="http://schemas.openxmlformats.org/officeDocument/2006/relationships/hyperlink" Target="https://nefaz.ru/shareholders/" TargetMode="External"/><Relationship Id="rId394" Type="http://schemas.openxmlformats.org/officeDocument/2006/relationships/hyperlink" Target="http://www.e-disclosure.ru/portal/company.aspx?id=29198" TargetMode="External"/><Relationship Id="rId408" Type="http://schemas.openxmlformats.org/officeDocument/2006/relationships/hyperlink" Target="https://www.e-disclosure.ru/portal/company.aspx?id=38772" TargetMode="External"/><Relationship Id="rId429" Type="http://schemas.openxmlformats.org/officeDocument/2006/relationships/hyperlink" Target="http://www.e-disclosure.ru/portal/company.aspx?id=34514" TargetMode="External"/><Relationship Id="rId580" Type="http://schemas.openxmlformats.org/officeDocument/2006/relationships/hyperlink" Target="https://reso.ru/" TargetMode="External"/><Relationship Id="rId615" Type="http://schemas.openxmlformats.org/officeDocument/2006/relationships/hyperlink" Target="https://www.e-disclosure.ru/portal/company.aspx?id=32725" TargetMode="External"/><Relationship Id="rId636" Type="http://schemas.openxmlformats.org/officeDocument/2006/relationships/hyperlink" Target="https://www.e-disclosure.ru/portal/company.aspx?id=38975" TargetMode="External"/><Relationship Id="rId1" Type="http://schemas.openxmlformats.org/officeDocument/2006/relationships/hyperlink" Target="http://www.rosneft.ru/" TargetMode="External"/><Relationship Id="rId212" Type="http://schemas.openxmlformats.org/officeDocument/2006/relationships/hyperlink" Target="http://e-disclosure.ru/portal/company.aspx?id=7321" TargetMode="External"/><Relationship Id="rId233" Type="http://schemas.openxmlformats.org/officeDocument/2006/relationships/hyperlink" Target="http://www.e-disclosure.ru/portal/company.aspx?id=5963" TargetMode="External"/><Relationship Id="rId254" Type="http://schemas.openxmlformats.org/officeDocument/2006/relationships/hyperlink" Target="http://www.tgc5.ru/" TargetMode="External"/><Relationship Id="rId440" Type="http://schemas.openxmlformats.org/officeDocument/2006/relationships/hyperlink" Target="https://www.e-disclosure.ru/portal/company.aspx?id=38549" TargetMode="External"/><Relationship Id="rId28" Type="http://schemas.openxmlformats.org/officeDocument/2006/relationships/hyperlink" Target="http://www.mmk.ru/" TargetMode="External"/><Relationship Id="rId49" Type="http://schemas.openxmlformats.org/officeDocument/2006/relationships/hyperlink" Target="http://www.petropavlovskplc.com/" TargetMode="External"/><Relationship Id="rId114" Type="http://schemas.openxmlformats.org/officeDocument/2006/relationships/hyperlink" Target="http://www.e-disclosure.ru/portal/company.aspx?id=2573" TargetMode="External"/><Relationship Id="rId275" Type="http://schemas.openxmlformats.org/officeDocument/2006/relationships/hyperlink" Target="http://www.e-disclosure.ru/portal/company.aspx?id=201" TargetMode="External"/><Relationship Id="rId296" Type="http://schemas.openxmlformats.org/officeDocument/2006/relationships/hyperlink" Target="http://electrozink.ugmk.com/ru/" TargetMode="External"/><Relationship Id="rId300" Type="http://schemas.openxmlformats.org/officeDocument/2006/relationships/hyperlink" Target="http://www.autotracker.ru/" TargetMode="External"/><Relationship Id="rId461" Type="http://schemas.openxmlformats.org/officeDocument/2006/relationships/hyperlink" Target="https://wtcmoscow.ru/" TargetMode="External"/><Relationship Id="rId482" Type="http://schemas.openxmlformats.org/officeDocument/2006/relationships/hyperlink" Target="http://www.bm-bank.ru/" TargetMode="External"/><Relationship Id="rId517" Type="http://schemas.openxmlformats.org/officeDocument/2006/relationships/hyperlink" Target="https://www.avangard.ru/rus/" TargetMode="External"/><Relationship Id="rId538" Type="http://schemas.openxmlformats.org/officeDocument/2006/relationships/hyperlink" Target="https://www.e-disclosure.ru/portal/company.aspx?id=1946" TargetMode="External"/><Relationship Id="rId559" Type="http://schemas.openxmlformats.org/officeDocument/2006/relationships/hyperlink" Target="https://www.e-disclosure.ru/portal/company.aspx?id=557" TargetMode="External"/><Relationship Id="rId60" Type="http://schemas.openxmlformats.org/officeDocument/2006/relationships/hyperlink" Target="http://www.e-disclosure.ru/portal/company.aspx?id=1976" TargetMode="External"/><Relationship Id="rId81" Type="http://schemas.openxmlformats.org/officeDocument/2006/relationships/hyperlink" Target="http://www.e-disclosure.ru/portal/company.aspx?id=942" TargetMode="External"/><Relationship Id="rId135" Type="http://schemas.openxmlformats.org/officeDocument/2006/relationships/hyperlink" Target="http://www.mosenergo.ru/" TargetMode="External"/><Relationship Id="rId156" Type="http://schemas.openxmlformats.org/officeDocument/2006/relationships/hyperlink" Target="http://www.e-disclosure.ru/portal/company.aspx?id=1114" TargetMode="External"/><Relationship Id="rId177" Type="http://schemas.openxmlformats.org/officeDocument/2006/relationships/hyperlink" Target="http://www.e-disclosure.ru/portal/company.aspx?id=7985" TargetMode="External"/><Relationship Id="rId198" Type="http://schemas.openxmlformats.org/officeDocument/2006/relationships/hyperlink" Target="https://ktk.company/company" TargetMode="External"/><Relationship Id="rId321" Type="http://schemas.openxmlformats.org/officeDocument/2006/relationships/hyperlink" Target="https://veropharm.ru/" TargetMode="External"/><Relationship Id="rId342" Type="http://schemas.openxmlformats.org/officeDocument/2006/relationships/hyperlink" Target="https://www.e-disclosure.ru/portal/company.aspx?id=38456" TargetMode="External"/><Relationship Id="rId363" Type="http://schemas.openxmlformats.org/officeDocument/2006/relationships/hyperlink" Target="http://www.e-disclosure.ru/portal/company.aspx?id=11433" TargetMode="External"/><Relationship Id="rId384" Type="http://schemas.openxmlformats.org/officeDocument/2006/relationships/hyperlink" Target="https://e-disclosure.ru/portal/company.aspx?id=6567" TargetMode="External"/><Relationship Id="rId419" Type="http://schemas.openxmlformats.org/officeDocument/2006/relationships/hyperlink" Target="https://www.e-disclosure.ru/portal/company.aspx?id=688" TargetMode="External"/><Relationship Id="rId570" Type="http://schemas.openxmlformats.org/officeDocument/2006/relationships/hyperlink" Target="http://www.rgs.ru/" TargetMode="External"/><Relationship Id="rId591" Type="http://schemas.openxmlformats.org/officeDocument/2006/relationships/hyperlink" Target="http://www.e-disclosure.ru/portal/company.aspx?id=25100" TargetMode="External"/><Relationship Id="rId605" Type="http://schemas.openxmlformats.org/officeDocument/2006/relationships/hyperlink" Target="http://www.e-disclosure.ru/portal/company.aspx?id=7466" TargetMode="External"/><Relationship Id="rId626" Type="http://schemas.openxmlformats.org/officeDocument/2006/relationships/hyperlink" Target="https://promomed.ru/" TargetMode="External"/><Relationship Id="rId202" Type="http://schemas.openxmlformats.org/officeDocument/2006/relationships/hyperlink" Target="https://resk.ru/" TargetMode="External"/><Relationship Id="rId223" Type="http://schemas.openxmlformats.org/officeDocument/2006/relationships/hyperlink" Target="http://www.e-disclosure.ru/portal/company.aspx?id=5830" TargetMode="External"/><Relationship Id="rId244" Type="http://schemas.openxmlformats.org/officeDocument/2006/relationships/hyperlink" Target="http://www.e-disclosure.ru/portal/company.aspx?id=12361" TargetMode="External"/><Relationship Id="rId430" Type="http://schemas.openxmlformats.org/officeDocument/2006/relationships/hyperlink" Target="http://ir.yandex.com/" TargetMode="External"/><Relationship Id="rId18" Type="http://schemas.openxmlformats.org/officeDocument/2006/relationships/hyperlink" Target="http://www.yanos.slavneft.ru/" TargetMode="External"/><Relationship Id="rId39" Type="http://schemas.openxmlformats.org/officeDocument/2006/relationships/hyperlink" Target="http://www.metalloinvest.com/" TargetMode="External"/><Relationship Id="rId265" Type="http://schemas.openxmlformats.org/officeDocument/2006/relationships/hyperlink" Target="http://www.mts.ru/" TargetMode="External"/><Relationship Id="rId286" Type="http://schemas.openxmlformats.org/officeDocument/2006/relationships/hyperlink" Target="http://www.e-disclosure.ru/portal/company.aspx?id=9679" TargetMode="External"/><Relationship Id="rId451" Type="http://schemas.openxmlformats.org/officeDocument/2006/relationships/hyperlink" Target="http://www.e-disclosure.ru/portal/company.aspx?id=8939" TargetMode="External"/><Relationship Id="rId472" Type="http://schemas.openxmlformats.org/officeDocument/2006/relationships/hyperlink" Target="https://rbc.group/" TargetMode="External"/><Relationship Id="rId493" Type="http://schemas.openxmlformats.org/officeDocument/2006/relationships/hyperlink" Target="http://www.europlan.ru/" TargetMode="External"/><Relationship Id="rId507" Type="http://schemas.openxmlformats.org/officeDocument/2006/relationships/hyperlink" Target="http://www.zenit.ru/" TargetMode="External"/><Relationship Id="rId528" Type="http://schemas.openxmlformats.org/officeDocument/2006/relationships/hyperlink" Target="http://www.e-disclosure.ru/portal/company.aspx?id=3207" TargetMode="External"/><Relationship Id="rId549" Type="http://schemas.openxmlformats.org/officeDocument/2006/relationships/hyperlink" Target="https://www.e-disclosure.ru/portal/company.aspx?id=2880" TargetMode="External"/><Relationship Id="rId50" Type="http://schemas.openxmlformats.org/officeDocument/2006/relationships/hyperlink" Target="http://www.polyus.com/" TargetMode="External"/><Relationship Id="rId104" Type="http://schemas.openxmlformats.org/officeDocument/2006/relationships/hyperlink" Target="http://www.e-disclosure.ru/portal/company.aspx?id=1210" TargetMode="External"/><Relationship Id="rId125" Type="http://schemas.openxmlformats.org/officeDocument/2006/relationships/hyperlink" Target="http://www.e-disclosure.ru/portal/company.aspx?id=12213" TargetMode="External"/><Relationship Id="rId146" Type="http://schemas.openxmlformats.org/officeDocument/2006/relationships/hyperlink" Target="http://disclosure.1prime.ru/Portal/Default.aspx?emId=7534018889" TargetMode="External"/><Relationship Id="rId167" Type="http://schemas.openxmlformats.org/officeDocument/2006/relationships/hyperlink" Target="http://www.fsk-ees.ru/" TargetMode="External"/><Relationship Id="rId188" Type="http://schemas.openxmlformats.org/officeDocument/2006/relationships/hyperlink" Target="http://disclosure.skrin.ru/disclosure/2632082033" TargetMode="External"/><Relationship Id="rId311" Type="http://schemas.openxmlformats.org/officeDocument/2006/relationships/hyperlink" Target="http://www.e-disclosure.ru/portal/company.aspx?id=11014" TargetMode="External"/><Relationship Id="rId332" Type="http://schemas.openxmlformats.org/officeDocument/2006/relationships/hyperlink" Target="https://www.e-disclosure.ru/portal/company.aspx?id=37646" TargetMode="External"/><Relationship Id="rId353" Type="http://schemas.openxmlformats.org/officeDocument/2006/relationships/hyperlink" Target="https://corp.ozon.ru/" TargetMode="External"/><Relationship Id="rId374" Type="http://schemas.openxmlformats.org/officeDocument/2006/relationships/hyperlink" Target="http://www.e-disclosure.ru/portal/company.aspx?id=21113" TargetMode="External"/><Relationship Id="rId395" Type="http://schemas.openxmlformats.org/officeDocument/2006/relationships/hyperlink" Target="http://plasmeq.ru/" TargetMode="External"/><Relationship Id="rId409" Type="http://schemas.openxmlformats.org/officeDocument/2006/relationships/hyperlink" Target="https://whoosh-bike.ru/" TargetMode="External"/><Relationship Id="rId560" Type="http://schemas.openxmlformats.org/officeDocument/2006/relationships/hyperlink" Target="https://www.e-disclosure.ru/portal/company.aspx?id=1176" TargetMode="External"/><Relationship Id="rId581" Type="http://schemas.openxmlformats.org/officeDocument/2006/relationships/hyperlink" Target="http://www.e-disclosure.ru/portal/company.aspx?id=7220" TargetMode="External"/><Relationship Id="rId71" Type="http://schemas.openxmlformats.org/officeDocument/2006/relationships/hyperlink" Target="http://www.e-disclosure.ru/portal/company.aspx?id=1233" TargetMode="External"/><Relationship Id="rId92" Type="http://schemas.openxmlformats.org/officeDocument/2006/relationships/hyperlink" Target="http://www.e-disclosure.ru/portal/company.aspx?id=332" TargetMode="External"/><Relationship Id="rId213" Type="http://schemas.openxmlformats.org/officeDocument/2006/relationships/hyperlink" Target="http://www.e-disclosure.ru/portal/company.aspx?id=6070" TargetMode="External"/><Relationship Id="rId234" Type="http://schemas.openxmlformats.org/officeDocument/2006/relationships/hyperlink" Target="http://www.k-sc.ru/" TargetMode="External"/><Relationship Id="rId420" Type="http://schemas.openxmlformats.org/officeDocument/2006/relationships/hyperlink" Target="http://www.e-disclosure.ru/portal/company.aspx?id=859" TargetMode="External"/><Relationship Id="rId616" Type="http://schemas.openxmlformats.org/officeDocument/2006/relationships/hyperlink" Target="https://www.e-disclosure.ru/portal/company.aspx?id=39009" TargetMode="External"/><Relationship Id="rId637" Type="http://schemas.openxmlformats.org/officeDocument/2006/relationships/hyperlink" Target="https://iva.ru/ru/investoram/" TargetMode="External"/><Relationship Id="rId2" Type="http://schemas.openxmlformats.org/officeDocument/2006/relationships/hyperlink" Target="http://www.gazprom.ru/" TargetMode="External"/><Relationship Id="rId29" Type="http://schemas.openxmlformats.org/officeDocument/2006/relationships/hyperlink" Target="http://www.nlmk.com/" TargetMode="External"/><Relationship Id="rId255" Type="http://schemas.openxmlformats.org/officeDocument/2006/relationships/hyperlink" Target="https://www.e-disclosure.ru/portal/company.aspx?id=6489" TargetMode="External"/><Relationship Id="rId276" Type="http://schemas.openxmlformats.org/officeDocument/2006/relationships/hyperlink" Target="http://rostelecom-rb.ru/" TargetMode="External"/><Relationship Id="rId297" Type="http://schemas.openxmlformats.org/officeDocument/2006/relationships/hyperlink" Target="http://akado-telecom.ru/" TargetMode="External"/><Relationship Id="rId441" Type="http://schemas.openxmlformats.org/officeDocument/2006/relationships/hyperlink" Target="http://www.lsrgroup.ru/" TargetMode="External"/><Relationship Id="rId462" Type="http://schemas.openxmlformats.org/officeDocument/2006/relationships/hyperlink" Target="https://trcont.com/" TargetMode="External"/><Relationship Id="rId483" Type="http://schemas.openxmlformats.org/officeDocument/2006/relationships/hyperlink" Target="https://www.e-disclosure.ru/portal/company.aspx?id=206" TargetMode="External"/><Relationship Id="rId518" Type="http://schemas.openxmlformats.org/officeDocument/2006/relationships/hyperlink" Target="http://www.e-disclosure.ru/portal/company.aspx?id=156" TargetMode="External"/><Relationship Id="rId539" Type="http://schemas.openxmlformats.org/officeDocument/2006/relationships/hyperlink" Target="http://www.chelindbank.ru/" TargetMode="External"/><Relationship Id="rId40" Type="http://schemas.openxmlformats.org/officeDocument/2006/relationships/hyperlink" Target="http://www.amet.ru/" TargetMode="External"/><Relationship Id="rId115" Type="http://schemas.openxmlformats.org/officeDocument/2006/relationships/hyperlink" Target="http://www.omsktyre.ru/" TargetMode="External"/><Relationship Id="rId136" Type="http://schemas.openxmlformats.org/officeDocument/2006/relationships/hyperlink" Target="http://www.e-disclosure.ru/portal/company.aspx?id=534" TargetMode="External"/><Relationship Id="rId157" Type="http://schemas.openxmlformats.org/officeDocument/2006/relationships/hyperlink" Target="http://www.yashz.ru/emitent/" TargetMode="External"/><Relationship Id="rId178" Type="http://schemas.openxmlformats.org/officeDocument/2006/relationships/hyperlink" Target="http://www.moesk.ru/" TargetMode="External"/><Relationship Id="rId301" Type="http://schemas.openxmlformats.org/officeDocument/2006/relationships/hyperlink" Target="https://www.e-disclosure.ru/portal/company.aspx?id=3769" TargetMode="External"/><Relationship Id="rId322" Type="http://schemas.openxmlformats.org/officeDocument/2006/relationships/hyperlink" Target="http://www.e-disclosure.ru/portal/company.aspx?id=34083" TargetMode="External"/><Relationship Id="rId343" Type="http://schemas.openxmlformats.org/officeDocument/2006/relationships/hyperlink" Target="https://www.e-disclosure.ru/portal/company.aspx?id=560" TargetMode="External"/><Relationship Id="rId364" Type="http://schemas.openxmlformats.org/officeDocument/2006/relationships/hyperlink" Target="http://www.uvz.ru/" TargetMode="External"/><Relationship Id="rId550" Type="http://schemas.openxmlformats.org/officeDocument/2006/relationships/hyperlink" Target="http://www.khmb.ru/" TargetMode="External"/><Relationship Id="rId61" Type="http://schemas.openxmlformats.org/officeDocument/2006/relationships/hyperlink" Target="http://www.e-disclosure.ru/portal/company.aspx?id=225" TargetMode="External"/><Relationship Id="rId82" Type="http://schemas.openxmlformats.org/officeDocument/2006/relationships/hyperlink" Target="http://www.e-disclosure.ru/portal/company.aspx?id=1942" TargetMode="External"/><Relationship Id="rId199" Type="http://schemas.openxmlformats.org/officeDocument/2006/relationships/hyperlink" Target="http://www.e-disclosure.ru/portal/company.aspx?id=7344" TargetMode="External"/><Relationship Id="rId203" Type="http://schemas.openxmlformats.org/officeDocument/2006/relationships/hyperlink" Target="http://www.e-disclosure.ru/portal/company.aspx?id=8880" TargetMode="External"/><Relationship Id="rId385" Type="http://schemas.openxmlformats.org/officeDocument/2006/relationships/hyperlink" Target="http://www.e-disclosure.ru/portal/company.aspx?id=3867" TargetMode="External"/><Relationship Id="rId571" Type="http://schemas.openxmlformats.org/officeDocument/2006/relationships/hyperlink" Target="http://www.acko.ru/" TargetMode="External"/><Relationship Id="rId592" Type="http://schemas.openxmlformats.org/officeDocument/2006/relationships/hyperlink" Target="http://www.e-disclosure.ru/portal/company.aspx?id=579" TargetMode="External"/><Relationship Id="rId606" Type="http://schemas.openxmlformats.org/officeDocument/2006/relationships/hyperlink" Target="http://www.ruspolymet.ru/" TargetMode="External"/><Relationship Id="rId627" Type="http://schemas.openxmlformats.org/officeDocument/2006/relationships/hyperlink" Target="https://www.e-disclosure.ru/portal/company.aspx?id=36330" TargetMode="External"/><Relationship Id="rId19" Type="http://schemas.openxmlformats.org/officeDocument/2006/relationships/hyperlink" Target="http://www.kazanorgsintez.ru/" TargetMode="External"/><Relationship Id="rId224" Type="http://schemas.openxmlformats.org/officeDocument/2006/relationships/hyperlink" Target="https://kskkaluga.ru/" TargetMode="External"/><Relationship Id="rId245" Type="http://schemas.openxmlformats.org/officeDocument/2006/relationships/hyperlink" Target="https://e-disclosure.ru/portal/company.aspx?id=6980" TargetMode="External"/><Relationship Id="rId266" Type="http://schemas.openxmlformats.org/officeDocument/2006/relationships/hyperlink" Target="http://www.veon.com/" TargetMode="External"/><Relationship Id="rId287" Type="http://schemas.openxmlformats.org/officeDocument/2006/relationships/hyperlink" Target="http://www.e-disclosure.ru/portal/company.aspx?id=5966" TargetMode="External"/><Relationship Id="rId410" Type="http://schemas.openxmlformats.org/officeDocument/2006/relationships/hyperlink" Target="https://www.e-disclosure.ru/portal/company.aspx?id=31" TargetMode="External"/><Relationship Id="rId431" Type="http://schemas.openxmlformats.org/officeDocument/2006/relationships/hyperlink" Target="https://www.e-disclosure.ru/portal/company.aspx?id=38965" TargetMode="External"/><Relationship Id="rId452" Type="http://schemas.openxmlformats.org/officeDocument/2006/relationships/hyperlink" Target="http://hals-development.ru/" TargetMode="External"/><Relationship Id="rId473" Type="http://schemas.openxmlformats.org/officeDocument/2006/relationships/hyperlink" Target="http://www.e-disclosure.ru/portal/company.aspx?id=24832" TargetMode="External"/><Relationship Id="rId494" Type="http://schemas.openxmlformats.org/officeDocument/2006/relationships/hyperlink" Target="https://www.e-disclosure.ru/portal/company.aspx?id=37468" TargetMode="External"/><Relationship Id="rId508" Type="http://schemas.openxmlformats.org/officeDocument/2006/relationships/hyperlink" Target="http://www.e-disclosure.ru/portal/company.aspx?id=1285" TargetMode="External"/><Relationship Id="rId529" Type="http://schemas.openxmlformats.org/officeDocument/2006/relationships/hyperlink" Target="http://www.rshb.ru/" TargetMode="External"/><Relationship Id="rId30" Type="http://schemas.openxmlformats.org/officeDocument/2006/relationships/hyperlink" Target="http://www.evraz.com/" TargetMode="External"/><Relationship Id="rId105" Type="http://schemas.openxmlformats.org/officeDocument/2006/relationships/hyperlink" Target="http://www.e-disclosure.ru/portal/company.aspx?id=3043" TargetMode="External"/><Relationship Id="rId126" Type="http://schemas.openxmlformats.org/officeDocument/2006/relationships/hyperlink" Target="http://www.e-disclosure.ru/portal/company.aspx?id=5732" TargetMode="External"/><Relationship Id="rId147" Type="http://schemas.openxmlformats.org/officeDocument/2006/relationships/hyperlink" Target="http://www.tgk-14.com/" TargetMode="External"/><Relationship Id="rId168" Type="http://schemas.openxmlformats.org/officeDocument/2006/relationships/hyperlink" Target="http://www.rosseti.ru/" TargetMode="External"/><Relationship Id="rId312" Type="http://schemas.openxmlformats.org/officeDocument/2006/relationships/hyperlink" Target="http://orgroup.ru/" TargetMode="External"/><Relationship Id="rId333" Type="http://schemas.openxmlformats.org/officeDocument/2006/relationships/hyperlink" Target="https://gemabank.ru/" TargetMode="External"/><Relationship Id="rId354" Type="http://schemas.openxmlformats.org/officeDocument/2006/relationships/hyperlink" Target="https://www.e-disclosure.ru/portal/company.aspx?id=31319" TargetMode="External"/><Relationship Id="rId540" Type="http://schemas.openxmlformats.org/officeDocument/2006/relationships/hyperlink" Target="http://www.e-disclosure.ru/portal/company.aspx?id=3196" TargetMode="External"/><Relationship Id="rId51" Type="http://schemas.openxmlformats.org/officeDocument/2006/relationships/hyperlink" Target="http://www.vsmpo.ru/" TargetMode="External"/><Relationship Id="rId72" Type="http://schemas.openxmlformats.org/officeDocument/2006/relationships/hyperlink" Target="http://www.e-disclosure.ru/portal/company.aspx?id=197" TargetMode="External"/><Relationship Id="rId93" Type="http://schemas.openxmlformats.org/officeDocument/2006/relationships/hyperlink" Target="http://www.e-disclosure.ru/portal/company.aspx?id=26482" TargetMode="External"/><Relationship Id="rId189" Type="http://schemas.openxmlformats.org/officeDocument/2006/relationships/hyperlink" Target="https://www.rossetisk.ru/" TargetMode="External"/><Relationship Id="rId375" Type="http://schemas.openxmlformats.org/officeDocument/2006/relationships/hyperlink" Target="http://www.rhc.aero/" TargetMode="External"/><Relationship Id="rId396" Type="http://schemas.openxmlformats.org/officeDocument/2006/relationships/hyperlink" Target="https://e-disclosure.ru/portal/company.aspx?id=29452" TargetMode="External"/><Relationship Id="rId561" Type="http://schemas.openxmlformats.org/officeDocument/2006/relationships/hyperlink" Target="https://www.e-disclosure.ru/portal/company.aspx?id=1058" TargetMode="External"/><Relationship Id="rId582" Type="http://schemas.openxmlformats.org/officeDocument/2006/relationships/hyperlink" Target="http://www.arsagera.ru/" TargetMode="External"/><Relationship Id="rId617" Type="http://schemas.openxmlformats.org/officeDocument/2006/relationships/hyperlink" Target="https://klvzk.ru/" TargetMode="External"/><Relationship Id="rId638" Type="http://schemas.openxmlformats.org/officeDocument/2006/relationships/hyperlink" Target="https://www.e-disclosure.ru/portal/company.aspx?id=39102" TargetMode="External"/><Relationship Id="rId3" Type="http://schemas.openxmlformats.org/officeDocument/2006/relationships/hyperlink" Target="http://www.lukoil.ru/" TargetMode="External"/><Relationship Id="rId214" Type="http://schemas.openxmlformats.org/officeDocument/2006/relationships/hyperlink" Target="https://mari-el.tns-e.ru/" TargetMode="External"/><Relationship Id="rId235" Type="http://schemas.openxmlformats.org/officeDocument/2006/relationships/hyperlink" Target="http://www.e-disclosure.ru/portal/company.aspx?id=10624" TargetMode="External"/><Relationship Id="rId256" Type="http://schemas.openxmlformats.org/officeDocument/2006/relationships/hyperlink" Target="http://www.tgc6.ru/" TargetMode="External"/><Relationship Id="rId277" Type="http://schemas.openxmlformats.org/officeDocument/2006/relationships/hyperlink" Target="http://www.e-disclosure.ru/portal/company.aspx?id=814" TargetMode="External"/><Relationship Id="rId298" Type="http://schemas.openxmlformats.org/officeDocument/2006/relationships/hyperlink" Target="https://disclosure.1prime.ru/portal/default.aspx?emId=7717020170" TargetMode="External"/><Relationship Id="rId400" Type="http://schemas.openxmlformats.org/officeDocument/2006/relationships/hyperlink" Target="https://e-disclosure.ru/portal/company.aspx?id=31874" TargetMode="External"/><Relationship Id="rId421" Type="http://schemas.openxmlformats.org/officeDocument/2006/relationships/hyperlink" Target="https://nn.gaz.ru/" TargetMode="External"/><Relationship Id="rId442" Type="http://schemas.openxmlformats.org/officeDocument/2006/relationships/hyperlink" Target="http://www.e-disclosure.ru/portal/company.aspx?id=4834" TargetMode="External"/><Relationship Id="rId463" Type="http://schemas.openxmlformats.org/officeDocument/2006/relationships/hyperlink" Target="http://www.e-disclosure.ru/portal/company.aspx?id=11194" TargetMode="External"/><Relationship Id="rId484" Type="http://schemas.openxmlformats.org/officeDocument/2006/relationships/hyperlink" Target="http://www.rosbank.ru/" TargetMode="External"/><Relationship Id="rId519" Type="http://schemas.openxmlformats.org/officeDocument/2006/relationships/hyperlink" Target="https://uralsib.ru/" TargetMode="External"/><Relationship Id="rId116" Type="http://schemas.openxmlformats.org/officeDocument/2006/relationships/hyperlink" Target="http://www.gazcon.ru/" TargetMode="External"/><Relationship Id="rId137" Type="http://schemas.openxmlformats.org/officeDocument/2006/relationships/hyperlink" Target="http://www.moex.com/ru/listing/emidocs.aspx?id=7200" TargetMode="External"/><Relationship Id="rId158" Type="http://schemas.openxmlformats.org/officeDocument/2006/relationships/hyperlink" Target="http://www.e-disclosure.ru/portal/company.aspx?id=278" TargetMode="External"/><Relationship Id="rId302" Type="http://schemas.openxmlformats.org/officeDocument/2006/relationships/hyperlink" Target="http://www.rosset-kzms.ru/" TargetMode="External"/><Relationship Id="rId323" Type="http://schemas.openxmlformats.org/officeDocument/2006/relationships/hyperlink" Target="http://www.otcpharm.ru/" TargetMode="External"/><Relationship Id="rId344" Type="http://schemas.openxmlformats.org/officeDocument/2006/relationships/hyperlink" Target="http://www.slavneft.ru/" TargetMode="External"/><Relationship Id="rId530" Type="http://schemas.openxmlformats.org/officeDocument/2006/relationships/hyperlink" Target="http://www.e-disclosure.ru/portal/company.aspx?id=2798" TargetMode="External"/><Relationship Id="rId20" Type="http://schemas.openxmlformats.org/officeDocument/2006/relationships/hyperlink" Target="http://www.nknh.ru/" TargetMode="External"/><Relationship Id="rId41" Type="http://schemas.openxmlformats.org/officeDocument/2006/relationships/hyperlink" Target="http://www.sberbank.ru/" TargetMode="External"/><Relationship Id="rId62" Type="http://schemas.openxmlformats.org/officeDocument/2006/relationships/hyperlink" Target="http://www.e-disclosure.ru/portal/company.aspx?id=4994" TargetMode="External"/><Relationship Id="rId83" Type="http://schemas.openxmlformats.org/officeDocument/2006/relationships/hyperlink" Target="http://www.e-disclosure.ru/portal/company.aspx?id=2116" TargetMode="External"/><Relationship Id="rId179" Type="http://schemas.openxmlformats.org/officeDocument/2006/relationships/hyperlink" Target="http://www.e-disclosure.ru/portal/company.aspx?id=5563" TargetMode="External"/><Relationship Id="rId365" Type="http://schemas.openxmlformats.org/officeDocument/2006/relationships/hyperlink" Target="https://www.e-disclosure.ru/portal/company.aspx?id=19616" TargetMode="External"/><Relationship Id="rId386" Type="http://schemas.openxmlformats.org/officeDocument/2006/relationships/hyperlink" Target="http://www.e-disclosure.ru/portal/company.aspx?id=10180" TargetMode="External"/><Relationship Id="rId551" Type="http://schemas.openxmlformats.org/officeDocument/2006/relationships/hyperlink" Target="https://www.e-disclosure.ru/portal/company.aspx?id=2380" TargetMode="External"/><Relationship Id="rId572" Type="http://schemas.openxmlformats.org/officeDocument/2006/relationships/hyperlink" Target="https://www.e-disclosure.ru/portal/company.aspx?id=36458" TargetMode="External"/><Relationship Id="rId593" Type="http://schemas.openxmlformats.org/officeDocument/2006/relationships/hyperlink" Target="http://www.russ-invest.com/" TargetMode="External"/><Relationship Id="rId607" Type="http://schemas.openxmlformats.org/officeDocument/2006/relationships/hyperlink" Target="https://www.e-disclosure.ru/portal/company.aspx?id=124" TargetMode="External"/><Relationship Id="rId628" Type="http://schemas.openxmlformats.org/officeDocument/2006/relationships/hyperlink" Target="https://euroetpao.ru/investors/raskrytie-informatsii/" TargetMode="External"/><Relationship Id="rId190" Type="http://schemas.openxmlformats.org/officeDocument/2006/relationships/hyperlink" Target="http://www.e-disclosure.ru/portal/company.aspx?id=7242" TargetMode="External"/><Relationship Id="rId204" Type="http://schemas.openxmlformats.org/officeDocument/2006/relationships/hyperlink" Target="https://krsk-sbit.ru/" TargetMode="External"/><Relationship Id="rId225" Type="http://schemas.openxmlformats.org/officeDocument/2006/relationships/hyperlink" Target="http://www.e-disclosure.ru/portal/company.aspx?id=6764" TargetMode="External"/><Relationship Id="rId246" Type="http://schemas.openxmlformats.org/officeDocument/2006/relationships/hyperlink" Target="http://www.mosenergosbyt.ru/" TargetMode="External"/><Relationship Id="rId267" Type="http://schemas.openxmlformats.org/officeDocument/2006/relationships/hyperlink" Target="http://www.rt.ru/" TargetMode="External"/><Relationship Id="rId288" Type="http://schemas.openxmlformats.org/officeDocument/2006/relationships/hyperlink" Target="https://astsbyt.ru/" TargetMode="External"/><Relationship Id="rId411" Type="http://schemas.openxmlformats.org/officeDocument/2006/relationships/hyperlink" Target="http://www.lada.ru/" TargetMode="External"/><Relationship Id="rId432" Type="http://schemas.openxmlformats.org/officeDocument/2006/relationships/hyperlink" Target="https://vk.company/ru/" TargetMode="External"/><Relationship Id="rId453" Type="http://schemas.openxmlformats.org/officeDocument/2006/relationships/hyperlink" Target="http://www.e-disclosure.ru/portal/company.aspx?id=3900" TargetMode="External"/><Relationship Id="rId474" Type="http://schemas.openxmlformats.org/officeDocument/2006/relationships/hyperlink" Target="http://www.e-disclosure.ru/portal/company.aspx?id=120" TargetMode="External"/><Relationship Id="rId509" Type="http://schemas.openxmlformats.org/officeDocument/2006/relationships/hyperlink" Target="https://www.mtsbank.ru/" TargetMode="External"/><Relationship Id="rId106" Type="http://schemas.openxmlformats.org/officeDocument/2006/relationships/hyperlink" Target="http://www.zinc.ru/" TargetMode="External"/><Relationship Id="rId127" Type="http://schemas.openxmlformats.org/officeDocument/2006/relationships/hyperlink" Target="http://www.unipro.energy/" TargetMode="External"/><Relationship Id="rId313" Type="http://schemas.openxmlformats.org/officeDocument/2006/relationships/hyperlink" Target="http://www.e-disclosure.ru/portal/company.aspx?id=33614" TargetMode="External"/><Relationship Id="rId495" Type="http://schemas.openxmlformats.org/officeDocument/2006/relationships/hyperlink" Target="https://invest.renins.ru/" TargetMode="External"/><Relationship Id="rId10" Type="http://schemas.openxmlformats.org/officeDocument/2006/relationships/hyperlink" Target="http://www.transneft.ru/" TargetMode="External"/><Relationship Id="rId31" Type="http://schemas.openxmlformats.org/officeDocument/2006/relationships/hyperlink" Target="http://www.raspadskaya.com/" TargetMode="External"/><Relationship Id="rId52" Type="http://schemas.openxmlformats.org/officeDocument/2006/relationships/hyperlink" Target="http://www.rus-olovo.ru/" TargetMode="External"/><Relationship Id="rId73" Type="http://schemas.openxmlformats.org/officeDocument/2006/relationships/hyperlink" Target="http://www.e-disclosure.ru/portal/company.aspx?id=5727" TargetMode="External"/><Relationship Id="rId94" Type="http://schemas.openxmlformats.org/officeDocument/2006/relationships/hyperlink" Target="http://www.e-disclosure.ru/portal/company.aspx?id=564" TargetMode="External"/><Relationship Id="rId148" Type="http://schemas.openxmlformats.org/officeDocument/2006/relationships/hyperlink" Target="http://www.e-disclosure.ru/portal/company.aspx?id=4842" TargetMode="External"/><Relationship Id="rId169" Type="http://schemas.openxmlformats.org/officeDocument/2006/relationships/hyperlink" Target="http://www.e-disclosure.ru/portal/company.aspx?id=13806" TargetMode="External"/><Relationship Id="rId334" Type="http://schemas.openxmlformats.org/officeDocument/2006/relationships/hyperlink" Target="https://genetico.ru/" TargetMode="External"/><Relationship Id="rId355" Type="http://schemas.openxmlformats.org/officeDocument/2006/relationships/hyperlink" Target="http://www.levenhuk.ru/" TargetMode="External"/><Relationship Id="rId376" Type="http://schemas.openxmlformats.org/officeDocument/2006/relationships/hyperlink" Target="https://www.e-disclosure.ru/portal/company.aspx?id=3919" TargetMode="External"/><Relationship Id="rId397" Type="http://schemas.openxmlformats.org/officeDocument/2006/relationships/hyperlink" Target="http://npo-nauka.ru/" TargetMode="External"/><Relationship Id="rId520" Type="http://schemas.openxmlformats.org/officeDocument/2006/relationships/hyperlink" Target="http://www.primbank.ru/" TargetMode="External"/><Relationship Id="rId541" Type="http://schemas.openxmlformats.org/officeDocument/2006/relationships/hyperlink" Target="https://domrfbank.ru/" TargetMode="External"/><Relationship Id="rId562" Type="http://schemas.openxmlformats.org/officeDocument/2006/relationships/hyperlink" Target="https://www.e-disclosure.ru/portal/company.aspx?id=5059" TargetMode="External"/><Relationship Id="rId583" Type="http://schemas.openxmlformats.org/officeDocument/2006/relationships/hyperlink" Target="http://www.e-disclosure.ru/portal/company.aspx?id=13756" TargetMode="External"/><Relationship Id="rId618" Type="http://schemas.openxmlformats.org/officeDocument/2006/relationships/hyperlink" Target="https://www.e-disclosure.ru/portal/company.aspx?id=31279" TargetMode="External"/><Relationship Id="rId639" Type="http://schemas.openxmlformats.org/officeDocument/2006/relationships/hyperlink" Target="https://e-disclosure.ru/portal/company.aspx?id=27664" TargetMode="External"/><Relationship Id="rId4" Type="http://schemas.openxmlformats.org/officeDocument/2006/relationships/hyperlink" Target="http://www.surgutneftegas.ru/" TargetMode="External"/><Relationship Id="rId180" Type="http://schemas.openxmlformats.org/officeDocument/2006/relationships/hyperlink" Target="http://www.mrsk-yuga.ru/" TargetMode="External"/><Relationship Id="rId215" Type="http://schemas.openxmlformats.org/officeDocument/2006/relationships/hyperlink" Target="http://www.e-disclosure.ru/portal/company.aspx?id=5082" TargetMode="External"/><Relationship Id="rId236" Type="http://schemas.openxmlformats.org/officeDocument/2006/relationships/hyperlink" Target="https://kuban.tns-e.ru/" TargetMode="External"/><Relationship Id="rId257" Type="http://schemas.openxmlformats.org/officeDocument/2006/relationships/hyperlink" Target="https://www.e-disclosure.ru/portal/company.aspx?id=8014" TargetMode="External"/><Relationship Id="rId278" Type="http://schemas.openxmlformats.org/officeDocument/2006/relationships/hyperlink" Target="http://tattelecom.ru/" TargetMode="External"/><Relationship Id="rId401" Type="http://schemas.openxmlformats.org/officeDocument/2006/relationships/hyperlink" Target="https://www.e-disclosure.ru/portal/company.aspx?id=30058" TargetMode="External"/><Relationship Id="rId422" Type="http://schemas.openxmlformats.org/officeDocument/2006/relationships/hyperlink" Target="http://www.e-disclosure.ru/portal/company.aspx?id=1615" TargetMode="External"/><Relationship Id="rId443" Type="http://schemas.openxmlformats.org/officeDocument/2006/relationships/hyperlink" Target="http://www.e-disclosure.ru/portal/company.aspx?id=44" TargetMode="External"/><Relationship Id="rId464" Type="http://schemas.openxmlformats.org/officeDocument/2006/relationships/hyperlink" Target="http://novoroskhp.ru/" TargetMode="External"/><Relationship Id="rId303" Type="http://schemas.openxmlformats.org/officeDocument/2006/relationships/hyperlink" Target="https://corp.lenta.com/ru/" TargetMode="External"/><Relationship Id="rId485" Type="http://schemas.openxmlformats.org/officeDocument/2006/relationships/hyperlink" Target="http://www.e-disclosure.ru/portal/company.aspx?id=2427" TargetMode="External"/><Relationship Id="rId42" Type="http://schemas.openxmlformats.org/officeDocument/2006/relationships/hyperlink" Target="http://www.vtb.ru/" TargetMode="External"/><Relationship Id="rId84" Type="http://schemas.openxmlformats.org/officeDocument/2006/relationships/hyperlink" Target="http://www.e-disclosure.ru/portal/company.aspx?id=1411" TargetMode="External"/><Relationship Id="rId138" Type="http://schemas.openxmlformats.org/officeDocument/2006/relationships/hyperlink" Target="http://www.quadra.ru/" TargetMode="External"/><Relationship Id="rId345" Type="http://schemas.openxmlformats.org/officeDocument/2006/relationships/hyperlink" Target="http://www.rusagrogroup.ru/" TargetMode="External"/><Relationship Id="rId387" Type="http://schemas.openxmlformats.org/officeDocument/2006/relationships/hyperlink" Target="http://www.diod.ru/" TargetMode="External"/><Relationship Id="rId510" Type="http://schemas.openxmlformats.org/officeDocument/2006/relationships/hyperlink" Target="http://www.e-disclosure.ru/portal/company.aspx?id=30898" TargetMode="External"/><Relationship Id="rId552" Type="http://schemas.openxmlformats.org/officeDocument/2006/relationships/hyperlink" Target="https://www.e-disclosure.ru/portal/company.aspx?id=3007" TargetMode="External"/><Relationship Id="rId594" Type="http://schemas.openxmlformats.org/officeDocument/2006/relationships/hyperlink" Target="https://www.e-disclosure.ru/portal/company.aspx?id=33720" TargetMode="External"/><Relationship Id="rId608" Type="http://schemas.openxmlformats.org/officeDocument/2006/relationships/hyperlink" Target="http://www.sumz.umn.ru/" TargetMode="External"/><Relationship Id="rId191" Type="http://schemas.openxmlformats.org/officeDocument/2006/relationships/hyperlink" Target="http://www.trk.tom.ru/" TargetMode="External"/><Relationship Id="rId205" Type="http://schemas.openxmlformats.org/officeDocument/2006/relationships/hyperlink" Target="http://www.e-disclosure.ru/portal/company.aspx?id=7416" TargetMode="External"/><Relationship Id="rId247" Type="http://schemas.openxmlformats.org/officeDocument/2006/relationships/hyperlink" Target="https://www.e-disclosure.ru/portal/company.aspx?id=5564" TargetMode="External"/><Relationship Id="rId412" Type="http://schemas.openxmlformats.org/officeDocument/2006/relationships/hyperlink" Target="http://www.sollers-auto.com/" TargetMode="External"/><Relationship Id="rId107" Type="http://schemas.openxmlformats.org/officeDocument/2006/relationships/hyperlink" Target="http://www.e-disclosure.ru/portal/company.aspx?id=258" TargetMode="External"/><Relationship Id="rId289" Type="http://schemas.openxmlformats.org/officeDocument/2006/relationships/hyperlink" Target="http://www.e-disclosure.ru/portal/company.aspx?id=3566" TargetMode="External"/><Relationship Id="rId454" Type="http://schemas.openxmlformats.org/officeDocument/2006/relationships/hyperlink" Target="https://ncsp.ru/" TargetMode="External"/><Relationship Id="rId496" Type="http://schemas.openxmlformats.org/officeDocument/2006/relationships/hyperlink" Target="http://www.e-disclosure.ru/portal/company.aspx?id=43" TargetMode="External"/><Relationship Id="rId11" Type="http://schemas.openxmlformats.org/officeDocument/2006/relationships/hyperlink" Target="http://www.acron.ru/" TargetMode="External"/><Relationship Id="rId53" Type="http://schemas.openxmlformats.org/officeDocument/2006/relationships/hyperlink" Target="http://www.seligdar.ru/" TargetMode="External"/><Relationship Id="rId149" Type="http://schemas.openxmlformats.org/officeDocument/2006/relationships/hyperlink" Target="http://www.sakhalinenergo.ru/" TargetMode="External"/><Relationship Id="rId314" Type="http://schemas.openxmlformats.org/officeDocument/2006/relationships/hyperlink" Target="https://novabev.com/" TargetMode="External"/><Relationship Id="rId356" Type="http://schemas.openxmlformats.org/officeDocument/2006/relationships/hyperlink" Target="https://multisistema.ru/;%20&#1084;&#1091;&#1083;&#1100;&#1090;&#1080;&#1089;&#1080;&#1089;&#1090;&#1077;&#1084;&#1072;.&#1088;&#1092;" TargetMode="External"/><Relationship Id="rId398" Type="http://schemas.openxmlformats.org/officeDocument/2006/relationships/hyperlink" Target="https://disclosure.1prime.ru/Portal/Default.aspx?emId=7714005350" TargetMode="External"/><Relationship Id="rId521" Type="http://schemas.openxmlformats.org/officeDocument/2006/relationships/hyperlink" Target="https://www.e-disclosure.ru/portal/company.aspx?id=2839" TargetMode="External"/><Relationship Id="rId563" Type="http://schemas.openxmlformats.org/officeDocument/2006/relationships/hyperlink" Target="https://mgkl.group/" TargetMode="External"/><Relationship Id="rId619" Type="http://schemas.openxmlformats.org/officeDocument/2006/relationships/hyperlink" Target="https://www.e-disclosure.ru/portal/company.aspx?id=316" TargetMode="External"/><Relationship Id="rId95" Type="http://schemas.openxmlformats.org/officeDocument/2006/relationships/hyperlink" Target="http://www.e-disclosure.ru/portal/company.aspx?id=35101" TargetMode="External"/><Relationship Id="rId160" Type="http://schemas.openxmlformats.org/officeDocument/2006/relationships/hyperlink" Target="http://www.e-disclosure.ru/portal/company.aspx?id=17935" TargetMode="External"/><Relationship Id="rId216" Type="http://schemas.openxmlformats.org/officeDocument/2006/relationships/hyperlink" Target="http://www.lesk.ru/" TargetMode="External"/><Relationship Id="rId423" Type="http://schemas.openxmlformats.org/officeDocument/2006/relationships/hyperlink" Target="http://www.energia.ru/" TargetMode="External"/><Relationship Id="rId258" Type="http://schemas.openxmlformats.org/officeDocument/2006/relationships/hyperlink" Target="https://tgc9.ru/" TargetMode="External"/><Relationship Id="rId465" Type="http://schemas.openxmlformats.org/officeDocument/2006/relationships/hyperlink" Target="https://www.e-disclosure.ru/portal/company.aspx?id=10198" TargetMode="External"/><Relationship Id="rId630" Type="http://schemas.openxmlformats.org/officeDocument/2006/relationships/hyperlink" Target="https://mmk-metiz.ru/" TargetMode="External"/><Relationship Id="rId22" Type="http://schemas.openxmlformats.org/officeDocument/2006/relationships/hyperlink" Target="https://vhz31.ru/" TargetMode="External"/><Relationship Id="rId64" Type="http://schemas.openxmlformats.org/officeDocument/2006/relationships/hyperlink" Target="http://www.e-disclosure.ru/portal/company.aspx?id=636" TargetMode="External"/><Relationship Id="rId118" Type="http://schemas.openxmlformats.org/officeDocument/2006/relationships/hyperlink" Target="http://www.e-disclosure.ru/portal/company.aspx?id=12078" TargetMode="External"/><Relationship Id="rId325" Type="http://schemas.openxmlformats.org/officeDocument/2006/relationships/hyperlink" Target="https://www.e-disclosure.ru/portal/company.aspx?id=9187" TargetMode="External"/><Relationship Id="rId367" Type="http://schemas.openxmlformats.org/officeDocument/2006/relationships/hyperlink" Target="https://www.e-disclosure.ru/portal/company.aspx?id=35102" TargetMode="External"/><Relationship Id="rId532" Type="http://schemas.openxmlformats.org/officeDocument/2006/relationships/hyperlink" Target="http://www.e-disclosure.ru/portal/company.aspx?id=1791" TargetMode="External"/><Relationship Id="rId574" Type="http://schemas.openxmlformats.org/officeDocument/2006/relationships/hyperlink" Target="https://www.e-disclosure.ru/portal/company.aspx?id=7604" TargetMode="External"/><Relationship Id="rId171" Type="http://schemas.openxmlformats.org/officeDocument/2006/relationships/hyperlink" Target="https://www.e-disclosure.ru/portal/company.aspx?id=65" TargetMode="External"/><Relationship Id="rId227" Type="http://schemas.openxmlformats.org/officeDocument/2006/relationships/hyperlink" Target="https://www.e-disclosure.ru/portal/company.aspx?id=506" TargetMode="External"/><Relationship Id="rId269" Type="http://schemas.openxmlformats.org/officeDocument/2006/relationships/hyperlink" Target="https://enplusgroup.com/ru/" TargetMode="External"/><Relationship Id="rId434" Type="http://schemas.openxmlformats.org/officeDocument/2006/relationships/hyperlink" Target="https://www.e-disclosure.ru/portal/company.aspx?id=1480" TargetMode="External"/><Relationship Id="rId476" Type="http://schemas.openxmlformats.org/officeDocument/2006/relationships/hyperlink" Target="http://www.bspb.ru/" TargetMode="External"/><Relationship Id="rId641" Type="http://schemas.openxmlformats.org/officeDocument/2006/relationships/hyperlink" Target="https://lambumiz.ru/" TargetMode="External"/><Relationship Id="rId33" Type="http://schemas.openxmlformats.org/officeDocument/2006/relationships/hyperlink" Target="http://www.chelmk.ru/" TargetMode="External"/><Relationship Id="rId129" Type="http://schemas.openxmlformats.org/officeDocument/2006/relationships/hyperlink" Target="http://www.ogk2.ru/" TargetMode="External"/><Relationship Id="rId280" Type="http://schemas.openxmlformats.org/officeDocument/2006/relationships/hyperlink" Target="http://www.e-disclosure.ru/portal/company.aspx?id=219" TargetMode="External"/><Relationship Id="rId336" Type="http://schemas.openxmlformats.org/officeDocument/2006/relationships/hyperlink" Target="https://ir.henderson.ru/" TargetMode="External"/><Relationship Id="rId501" Type="http://schemas.openxmlformats.org/officeDocument/2006/relationships/hyperlink" Target="http://www.segezha-group.com/" TargetMode="External"/><Relationship Id="rId543" Type="http://schemas.openxmlformats.org/officeDocument/2006/relationships/hyperlink" Target="http://home.bank/" TargetMode="External"/><Relationship Id="rId75" Type="http://schemas.openxmlformats.org/officeDocument/2006/relationships/hyperlink" Target="http://www.disclosure.ru/issuer/7727547261/" TargetMode="External"/><Relationship Id="rId140" Type="http://schemas.openxmlformats.org/officeDocument/2006/relationships/hyperlink" Target="http://www.tgc-2.ru/" TargetMode="External"/><Relationship Id="rId182" Type="http://schemas.openxmlformats.org/officeDocument/2006/relationships/hyperlink" Target="http://www.mrsk-ural.ru/" TargetMode="External"/><Relationship Id="rId378" Type="http://schemas.openxmlformats.org/officeDocument/2006/relationships/hyperlink" Target="http://www.uecrus.com/" TargetMode="External"/><Relationship Id="rId403" Type="http://schemas.openxmlformats.org/officeDocument/2006/relationships/hyperlink" Target="https://e-disclosure.ru/portal/company.aspx?id=38250" TargetMode="External"/><Relationship Id="rId585" Type="http://schemas.openxmlformats.org/officeDocument/2006/relationships/hyperlink" Target="https://www.e-disclosure.ru/portal/company.aspx?id=37589" TargetMode="External"/><Relationship Id="rId6" Type="http://schemas.openxmlformats.org/officeDocument/2006/relationships/hyperlink" Target="http://www.tatneft.ru/" TargetMode="External"/><Relationship Id="rId238" Type="http://schemas.openxmlformats.org/officeDocument/2006/relationships/hyperlink" Target="http://www.nsk.elektra.ru/" TargetMode="External"/><Relationship Id="rId445" Type="http://schemas.openxmlformats.org/officeDocument/2006/relationships/hyperlink" Target="http://e-disclosure.ru/portal/company.aspx?id=1220" TargetMode="External"/><Relationship Id="rId487" Type="http://schemas.openxmlformats.org/officeDocument/2006/relationships/hyperlink" Target="http://www.e-disclosure.ru/portal/company.aspx?id=617" TargetMode="External"/><Relationship Id="rId610" Type="http://schemas.openxmlformats.org/officeDocument/2006/relationships/hyperlink" Target="http://www.kuzocm.ru/" TargetMode="External"/><Relationship Id="rId291" Type="http://schemas.openxmlformats.org/officeDocument/2006/relationships/hyperlink" Target="http://www.e-disclosure.ru/portal/company.aspx?id=2047" TargetMode="External"/><Relationship Id="rId305" Type="http://schemas.openxmlformats.org/officeDocument/2006/relationships/hyperlink" Target="https://okeygroup.lu/" TargetMode="External"/><Relationship Id="rId347" Type="http://schemas.openxmlformats.org/officeDocument/2006/relationships/hyperlink" Target="http://www.cherkizovo.com/" TargetMode="External"/><Relationship Id="rId512" Type="http://schemas.openxmlformats.org/officeDocument/2006/relationships/hyperlink" Target="http://www.e-disclosure.ru/portal/company.aspx?id=30052" TargetMode="External"/><Relationship Id="rId44" Type="http://schemas.openxmlformats.org/officeDocument/2006/relationships/hyperlink" Target="http://www.belon.ru/" TargetMode="External"/><Relationship Id="rId86" Type="http://schemas.openxmlformats.org/officeDocument/2006/relationships/hyperlink" Target="http://www.e-disclosure.ru/portal/company.aspx?id=3552" TargetMode="External"/><Relationship Id="rId151" Type="http://schemas.openxmlformats.org/officeDocument/2006/relationships/hyperlink" Target="http://www.e-disclosure.ru/portal/company.aspx?id=169" TargetMode="External"/><Relationship Id="rId389" Type="http://schemas.openxmlformats.org/officeDocument/2006/relationships/hyperlink" Target="http://www.alund.ru/" TargetMode="External"/><Relationship Id="rId554" Type="http://schemas.openxmlformats.org/officeDocument/2006/relationships/hyperlink" Target="https://www.e-disclosure.ru/portal/company.aspx?id=4197" TargetMode="External"/><Relationship Id="rId596" Type="http://schemas.openxmlformats.org/officeDocument/2006/relationships/hyperlink" Target="https://www.e-disclosure.ru/portal/company.aspx?id=4801" TargetMode="External"/><Relationship Id="rId193" Type="http://schemas.openxmlformats.org/officeDocument/2006/relationships/hyperlink" Target="https://rosseti-kuban.ru/" TargetMode="External"/><Relationship Id="rId207" Type="http://schemas.openxmlformats.org/officeDocument/2006/relationships/hyperlink" Target="https://corp.tns-e.ru/" TargetMode="External"/><Relationship Id="rId249" Type="http://schemas.openxmlformats.org/officeDocument/2006/relationships/hyperlink" Target="http://www.ogk1.com/" TargetMode="External"/><Relationship Id="rId414" Type="http://schemas.openxmlformats.org/officeDocument/2006/relationships/hyperlink" Target="http://www.e-disclosure.ru/portal/company.aspx?id=249" TargetMode="External"/><Relationship Id="rId456" Type="http://schemas.openxmlformats.org/officeDocument/2006/relationships/hyperlink" Target="https://e-disclosure.ru/portal/company.aspx?id=38302" TargetMode="External"/><Relationship Id="rId498" Type="http://schemas.openxmlformats.org/officeDocument/2006/relationships/hyperlink" Target="https://www.e-disclosure.ru/portal/company.aspx?id=4566" TargetMode="External"/><Relationship Id="rId621" Type="http://schemas.openxmlformats.org/officeDocument/2006/relationships/hyperlink" Target="http://www.redoct.msk.ru/" TargetMode="External"/><Relationship Id="rId13" Type="http://schemas.openxmlformats.org/officeDocument/2006/relationships/hyperlink" Target="http://www.kuazot.ru/" TargetMode="External"/><Relationship Id="rId109" Type="http://schemas.openxmlformats.org/officeDocument/2006/relationships/hyperlink" Target="http://www.tmk-group.ru/" TargetMode="External"/><Relationship Id="rId260" Type="http://schemas.openxmlformats.org/officeDocument/2006/relationships/hyperlink" Target="http://www.tgk11.com/" TargetMode="External"/><Relationship Id="rId316" Type="http://schemas.openxmlformats.org/officeDocument/2006/relationships/hyperlink" Target="http://www.e-disclosure.ru/portal/company.aspx?id=26517" TargetMode="External"/><Relationship Id="rId523" Type="http://schemas.openxmlformats.org/officeDocument/2006/relationships/hyperlink" Target="http://www.rdb.ru/" TargetMode="External"/><Relationship Id="rId55" Type="http://schemas.openxmlformats.org/officeDocument/2006/relationships/hyperlink" Target="http://www.e-disclosure.ru/portal/company.aspx?id=5964" TargetMode="External"/><Relationship Id="rId97" Type="http://schemas.openxmlformats.org/officeDocument/2006/relationships/hyperlink" Target="http://www.e-disclosure.ru/portal/company.aspx?id=31422" TargetMode="External"/><Relationship Id="rId120" Type="http://schemas.openxmlformats.org/officeDocument/2006/relationships/hyperlink" Target="http://www.gaz-tek.ru/" TargetMode="External"/><Relationship Id="rId358" Type="http://schemas.openxmlformats.org/officeDocument/2006/relationships/hyperlink" Target="http://rollman-gk.com/" TargetMode="External"/><Relationship Id="rId565" Type="http://schemas.openxmlformats.org/officeDocument/2006/relationships/hyperlink" Target="http://www.transfin-m.ru/" TargetMode="External"/><Relationship Id="rId162" Type="http://schemas.openxmlformats.org/officeDocument/2006/relationships/hyperlink" Target="http://www.murmantec.com/" TargetMode="External"/><Relationship Id="rId218" Type="http://schemas.openxmlformats.org/officeDocument/2006/relationships/hyperlink" Target="http://www.dvec.ru/" TargetMode="External"/><Relationship Id="rId425" Type="http://schemas.openxmlformats.org/officeDocument/2006/relationships/hyperlink" Target="http://www.e-disclosure.ru/portal/company.aspx?id=9038" TargetMode="External"/><Relationship Id="rId467" Type="http://schemas.openxmlformats.org/officeDocument/2006/relationships/hyperlink" Target="https://www.e-disclosure.ru/portal/company.aspx?id=37114" TargetMode="External"/><Relationship Id="rId632" Type="http://schemas.openxmlformats.org/officeDocument/2006/relationships/hyperlink" Target="https://astra.ru/" TargetMode="External"/><Relationship Id="rId271" Type="http://schemas.openxmlformats.org/officeDocument/2006/relationships/hyperlink" Target="http://www.saratovenergo.ru/" TargetMode="External"/><Relationship Id="rId24" Type="http://schemas.openxmlformats.org/officeDocument/2006/relationships/hyperlink" Target="http://www.sibur.ru/" TargetMode="External"/><Relationship Id="rId66" Type="http://schemas.openxmlformats.org/officeDocument/2006/relationships/hyperlink" Target="http://www.e-disclosure.ru/portal/company.aspx?id=3166" TargetMode="External"/><Relationship Id="rId131" Type="http://schemas.openxmlformats.org/officeDocument/2006/relationships/hyperlink" Target="http://www.tgc1.ru/" TargetMode="External"/><Relationship Id="rId327" Type="http://schemas.openxmlformats.org/officeDocument/2006/relationships/hyperlink" Target="http://www.protek-group.ru/" TargetMode="External"/><Relationship Id="rId369" Type="http://schemas.openxmlformats.org/officeDocument/2006/relationships/hyperlink" Target="https://www.e-disclosure.ru/portal/company.aspx?id=76" TargetMode="External"/><Relationship Id="rId534" Type="http://schemas.openxmlformats.org/officeDocument/2006/relationships/hyperlink" Target="http://www.e-disclosure.ru/portal/company.aspx?id=15609" TargetMode="External"/><Relationship Id="rId576" Type="http://schemas.openxmlformats.org/officeDocument/2006/relationships/hyperlink" Target="https://www.ingos.ru/" TargetMode="External"/><Relationship Id="rId173" Type="http://schemas.openxmlformats.org/officeDocument/2006/relationships/hyperlink" Target="http://www.e-disclosure.ru/portal/company.aspx?id=12093" TargetMode="External"/><Relationship Id="rId229" Type="http://schemas.openxmlformats.org/officeDocument/2006/relationships/hyperlink" Target="http://www.e-disclosure.ru/portal/company.aspx?id=6223" TargetMode="External"/><Relationship Id="rId380" Type="http://schemas.openxmlformats.org/officeDocument/2006/relationships/hyperlink" Target="http://www.umpo.ru/" TargetMode="External"/><Relationship Id="rId436" Type="http://schemas.openxmlformats.org/officeDocument/2006/relationships/hyperlink" Target="http://www.e-disclosure.ru/portal/company.aspx?id=4543" TargetMode="External"/><Relationship Id="rId601" Type="http://schemas.openxmlformats.org/officeDocument/2006/relationships/hyperlink" Target="https://www.e-disclosure.ru/portal/company.aspx?id=9361" TargetMode="External"/><Relationship Id="rId240" Type="http://schemas.openxmlformats.org/officeDocument/2006/relationships/hyperlink" Target="http://www.e-disclosure.ru/portal/company.aspx?id=5520" TargetMode="External"/><Relationship Id="rId478" Type="http://schemas.openxmlformats.org/officeDocument/2006/relationships/hyperlink" Target="http://www.e-disclosure.ru/portal/company.aspx?id=202" TargetMode="External"/><Relationship Id="rId35" Type="http://schemas.openxmlformats.org/officeDocument/2006/relationships/hyperlink" Target="http://www.uralkuz.ru/" TargetMode="External"/><Relationship Id="rId77" Type="http://schemas.openxmlformats.org/officeDocument/2006/relationships/hyperlink" Target="http://www.e-disclosure.ru/portal/company.aspx?id=199" TargetMode="External"/><Relationship Id="rId100" Type="http://schemas.openxmlformats.org/officeDocument/2006/relationships/hyperlink" Target="http://www.e-disclosure.ru/portal/company.aspx?id=12557" TargetMode="External"/><Relationship Id="rId282" Type="http://schemas.openxmlformats.org/officeDocument/2006/relationships/hyperlink" Target="http://www.e-disclosure.ru/portal/company.aspx?id=7671" TargetMode="External"/><Relationship Id="rId338" Type="http://schemas.openxmlformats.org/officeDocument/2006/relationships/hyperlink" Target="https://www.e-disclosure.ru/portal/company.aspx?id=34" TargetMode="External"/><Relationship Id="rId503" Type="http://schemas.openxmlformats.org/officeDocument/2006/relationships/hyperlink" Target="http://www.alfabank.ru/" TargetMode="External"/><Relationship Id="rId545" Type="http://schemas.openxmlformats.org/officeDocument/2006/relationships/hyperlink" Target="http://www.centrinvest.ru/" TargetMode="External"/><Relationship Id="rId587" Type="http://schemas.openxmlformats.org/officeDocument/2006/relationships/hyperlink" Target="http://www.e-disclosure.ru/portal/company.aspx?id=27547" TargetMode="External"/><Relationship Id="rId8" Type="http://schemas.openxmlformats.org/officeDocument/2006/relationships/hyperlink" Target="http://www.gazprom-neft.ru/" TargetMode="External"/><Relationship Id="rId142" Type="http://schemas.openxmlformats.org/officeDocument/2006/relationships/hyperlink" Target="http://www.irkutskenergo.ru/qa/reports.html" TargetMode="External"/><Relationship Id="rId184" Type="http://schemas.openxmlformats.org/officeDocument/2006/relationships/hyperlink" Target="http://www.mrsksevzap.ru/" TargetMode="External"/><Relationship Id="rId391" Type="http://schemas.openxmlformats.org/officeDocument/2006/relationships/hyperlink" Target="http://pao-armada.ru/" TargetMode="External"/><Relationship Id="rId405" Type="http://schemas.openxmlformats.org/officeDocument/2006/relationships/hyperlink" Target="https://group.ptsecurity.com/ru" TargetMode="External"/><Relationship Id="rId447" Type="http://schemas.openxmlformats.org/officeDocument/2006/relationships/hyperlink" Target="https://www.e-disclosure.ru/portal/company.aspx?id=38096" TargetMode="External"/><Relationship Id="rId612" Type="http://schemas.openxmlformats.org/officeDocument/2006/relationships/hyperlink" Target="https://ir.vseinstrumenti.ru/" TargetMode="External"/><Relationship Id="rId251" Type="http://schemas.openxmlformats.org/officeDocument/2006/relationships/hyperlink" Target="https://pesc.ru/" TargetMode="External"/><Relationship Id="rId489" Type="http://schemas.openxmlformats.org/officeDocument/2006/relationships/hyperlink" Target="https://sfiholding.ru/" TargetMode="External"/><Relationship Id="rId46" Type="http://schemas.openxmlformats.org/officeDocument/2006/relationships/hyperlink" Target="http://www.nornickel.ru/" TargetMode="External"/><Relationship Id="rId293" Type="http://schemas.openxmlformats.org/officeDocument/2006/relationships/hyperlink" Target="http://oaonsv.ru/" TargetMode="External"/><Relationship Id="rId307" Type="http://schemas.openxmlformats.org/officeDocument/2006/relationships/hyperlink" Target="https://www.e-disclosure.ru/portal/company.aspx?id=38370" TargetMode="External"/><Relationship Id="rId349" Type="http://schemas.openxmlformats.org/officeDocument/2006/relationships/hyperlink" Target="https://inarctica.com/" TargetMode="External"/><Relationship Id="rId514" Type="http://schemas.openxmlformats.org/officeDocument/2006/relationships/hyperlink" Target="http://www.open.ru/" TargetMode="External"/><Relationship Id="rId556" Type="http://schemas.openxmlformats.org/officeDocument/2006/relationships/hyperlink" Target="https://www.e-disclosure.ru/portal/company.aspx?id=981" TargetMode="External"/><Relationship Id="rId88" Type="http://schemas.openxmlformats.org/officeDocument/2006/relationships/hyperlink" Target="http://www.e-disclosure.ru/portal/company.aspx?id=3987" TargetMode="External"/><Relationship Id="rId111" Type="http://schemas.openxmlformats.org/officeDocument/2006/relationships/hyperlink" Target="http://www.e-disclosure.ru/portal/company.aspx?id=2772" TargetMode="External"/><Relationship Id="rId153" Type="http://schemas.openxmlformats.org/officeDocument/2006/relationships/hyperlink" Target="http://www.acron.ru/" TargetMode="External"/><Relationship Id="rId195" Type="http://schemas.openxmlformats.org/officeDocument/2006/relationships/hyperlink" Target="http://www.ugold.ru/" TargetMode="External"/><Relationship Id="rId209" Type="http://schemas.openxmlformats.org/officeDocument/2006/relationships/hyperlink" Target="http://www.e-disclosure.ru/portal/company.aspx?id=4717" TargetMode="External"/><Relationship Id="rId360" Type="http://schemas.openxmlformats.org/officeDocument/2006/relationships/hyperlink" Target="http://www.e-disclosure.ru/portal/company.aspx?id=4744" TargetMode="External"/><Relationship Id="rId416" Type="http://schemas.openxmlformats.org/officeDocument/2006/relationships/hyperlink" Target="http://www.e-disclosure.ru/portal/company.aspx?id=8976" TargetMode="External"/><Relationship Id="rId598" Type="http://schemas.openxmlformats.org/officeDocument/2006/relationships/hyperlink" Target="http://www.sng.ru/" TargetMode="External"/><Relationship Id="rId220" Type="http://schemas.openxmlformats.org/officeDocument/2006/relationships/hyperlink" Target="http://www.e-disclosure.ru/portal/company.aspx?id=5121" TargetMode="External"/><Relationship Id="rId458" Type="http://schemas.openxmlformats.org/officeDocument/2006/relationships/hyperlink" Target="http://www.utair.ru/" TargetMode="External"/><Relationship Id="rId623" Type="http://schemas.openxmlformats.org/officeDocument/2006/relationships/hyperlink" Target="https://rostselmash.com/" TargetMode="External"/><Relationship Id="rId15" Type="http://schemas.openxmlformats.org/officeDocument/2006/relationships/hyperlink" Target="http://www.uralkali.com/" TargetMode="External"/><Relationship Id="rId57" Type="http://schemas.openxmlformats.org/officeDocument/2006/relationships/hyperlink" Target="http://www.e-disclosure.ru/portal/company.aspx?id=934" TargetMode="External"/><Relationship Id="rId262" Type="http://schemas.openxmlformats.org/officeDocument/2006/relationships/hyperlink" Target="http://www.ukgres.ru/" TargetMode="External"/><Relationship Id="rId318" Type="http://schemas.openxmlformats.org/officeDocument/2006/relationships/hyperlink" Target="http://pharmacychain366.ru/" TargetMode="External"/><Relationship Id="rId525" Type="http://schemas.openxmlformats.org/officeDocument/2006/relationships/hyperlink" Target="https://www.e-disclosure.ru/portal/company.aspx?id=38808" TargetMode="External"/><Relationship Id="rId567" Type="http://schemas.openxmlformats.org/officeDocument/2006/relationships/hyperlink" Target="http://www.e-disclosure.ru/portal/company.aspx?id=31532" TargetMode="External"/><Relationship Id="rId99" Type="http://schemas.openxmlformats.org/officeDocument/2006/relationships/hyperlink" Target="http://www.e-disclosure.ru/portal/company.aspx?id=7832" TargetMode="External"/><Relationship Id="rId122" Type="http://schemas.openxmlformats.org/officeDocument/2006/relationships/hyperlink" Target="http://www.rushydro.ru/" TargetMode="External"/><Relationship Id="rId164" Type="http://schemas.openxmlformats.org/officeDocument/2006/relationships/hyperlink" Target="http://www.rao-esv.ru/" TargetMode="External"/><Relationship Id="rId371" Type="http://schemas.openxmlformats.org/officeDocument/2006/relationships/hyperlink" Target="http://www.kamaz.ru/" TargetMode="External"/><Relationship Id="rId427" Type="http://schemas.openxmlformats.org/officeDocument/2006/relationships/hyperlink" Target="http://www.raz.ru/" TargetMode="External"/><Relationship Id="rId469" Type="http://schemas.openxmlformats.org/officeDocument/2006/relationships/hyperlink" Target="https://www.scf-group.ru/" TargetMode="External"/><Relationship Id="rId634" Type="http://schemas.openxmlformats.org/officeDocument/2006/relationships/hyperlink" Target="http://www.diasoft.ru/" TargetMode="External"/><Relationship Id="rId26" Type="http://schemas.openxmlformats.org/officeDocument/2006/relationships/hyperlink" Target="http://www.alrosa.ru/" TargetMode="External"/><Relationship Id="rId231" Type="http://schemas.openxmlformats.org/officeDocument/2006/relationships/hyperlink" Target="https://rostov.tns-e.ru/" TargetMode="External"/><Relationship Id="rId273" Type="http://schemas.openxmlformats.org/officeDocument/2006/relationships/hyperlink" Target="http://www.e-disclosure.ru/portal/company.aspx?id=369" TargetMode="External"/><Relationship Id="rId329" Type="http://schemas.openxmlformats.org/officeDocument/2006/relationships/hyperlink" Target="http://www.pharmsynthez.com/" TargetMode="External"/><Relationship Id="rId480" Type="http://schemas.openxmlformats.org/officeDocument/2006/relationships/hyperlink" Target="https://tinkoff-group.ru/" TargetMode="External"/><Relationship Id="rId536" Type="http://schemas.openxmlformats.org/officeDocument/2006/relationships/hyperlink" Target="http://www.e-disclosure.ru/portal/company.aspx?id=1929" TargetMode="External"/><Relationship Id="rId68" Type="http://schemas.openxmlformats.org/officeDocument/2006/relationships/hyperlink" Target="http://www.e-disclosure.ru/portal/company.aspx?id=357" TargetMode="External"/><Relationship Id="rId133" Type="http://schemas.openxmlformats.org/officeDocument/2006/relationships/hyperlink" Target="http://www.e-disclosure.ru/portal/company.aspx?id=37955" TargetMode="External"/><Relationship Id="rId175" Type="http://schemas.openxmlformats.org/officeDocument/2006/relationships/hyperlink" Target="http://www.e-disclosure.ru/portal/company.aspx?id=12131" TargetMode="External"/><Relationship Id="rId340" Type="http://schemas.openxmlformats.org/officeDocument/2006/relationships/hyperlink" Target="https://www.e-disclosure.ru/portal/company.aspx?id=38301" TargetMode="External"/><Relationship Id="rId578" Type="http://schemas.openxmlformats.org/officeDocument/2006/relationships/hyperlink" Target="http://www.e-disclosure.ru/portal/company.aspx?id=1968" TargetMode="External"/><Relationship Id="rId200" Type="http://schemas.openxmlformats.org/officeDocument/2006/relationships/hyperlink" Target="http://www.permenergosbyt.ru/" TargetMode="External"/><Relationship Id="rId382" Type="http://schemas.openxmlformats.org/officeDocument/2006/relationships/hyperlink" Target="https://www.e-disclosure.ru/portal/company.aspx?id=1788" TargetMode="External"/><Relationship Id="rId438" Type="http://schemas.openxmlformats.org/officeDocument/2006/relationships/hyperlink" Target="http://www.e-disclosure.ru/portal/company.aspx?id=4772" TargetMode="External"/><Relationship Id="rId603" Type="http://schemas.openxmlformats.org/officeDocument/2006/relationships/hyperlink" Target="http://www.e-disclosure.ru/portal/company.aspx?id=3306" TargetMode="External"/><Relationship Id="rId242" Type="http://schemas.openxmlformats.org/officeDocument/2006/relationships/hyperlink" Target="http://kurganenergo.ru/" TargetMode="External"/><Relationship Id="rId284" Type="http://schemas.openxmlformats.org/officeDocument/2006/relationships/hyperlink" Target="https://e-disclosure.ru/portal/company.aspx?id=37240" TargetMode="External"/><Relationship Id="rId491" Type="http://schemas.openxmlformats.org/officeDocument/2006/relationships/hyperlink" Target="http://www.futurefg.ru/" TargetMode="External"/><Relationship Id="rId505" Type="http://schemas.openxmlformats.org/officeDocument/2006/relationships/hyperlink" Target="https://qiwi.global/" TargetMode="External"/><Relationship Id="rId37" Type="http://schemas.openxmlformats.org/officeDocument/2006/relationships/hyperlink" Target="http://www.izhstal.ru/" TargetMode="External"/><Relationship Id="rId79" Type="http://schemas.openxmlformats.org/officeDocument/2006/relationships/hyperlink" Target="http://www.e-disclosure.ru/portal/company.aspx?id=9" TargetMode="External"/><Relationship Id="rId102" Type="http://schemas.openxmlformats.org/officeDocument/2006/relationships/hyperlink" Target="http://www.e-disclosure.ru/portal/company.aspx?id=1499" TargetMode="External"/><Relationship Id="rId144" Type="http://schemas.openxmlformats.org/officeDocument/2006/relationships/hyperlink" Target="http://www.tplusgroup.ru/" TargetMode="External"/><Relationship Id="rId547" Type="http://schemas.openxmlformats.org/officeDocument/2006/relationships/hyperlink" Target="https://www.e-disclosure.ru/portal/company.aspx?id=1651" TargetMode="External"/><Relationship Id="rId589" Type="http://schemas.openxmlformats.org/officeDocument/2006/relationships/hyperlink" Target="http://www.e-disclosure.ru/portal/company.aspx?id=32932" TargetMode="External"/><Relationship Id="rId90" Type="http://schemas.openxmlformats.org/officeDocument/2006/relationships/hyperlink" Target="http://www.e-disclosure.ru/portal/company.aspx?id=1334" TargetMode="External"/><Relationship Id="rId186" Type="http://schemas.openxmlformats.org/officeDocument/2006/relationships/hyperlink" Target="http://www.rosseti-sib.ru/" TargetMode="External"/><Relationship Id="rId351" Type="http://schemas.openxmlformats.org/officeDocument/2006/relationships/hyperlink" Target="https://www.e-disclosure.ru/portal/company.aspx?id=24322" TargetMode="External"/><Relationship Id="rId393" Type="http://schemas.openxmlformats.org/officeDocument/2006/relationships/hyperlink" Target="http://o2tvbiz.ru/" TargetMode="External"/><Relationship Id="rId407" Type="http://schemas.openxmlformats.org/officeDocument/2006/relationships/hyperlink" Target="https://softline.ru/" TargetMode="External"/><Relationship Id="rId449" Type="http://schemas.openxmlformats.org/officeDocument/2006/relationships/hyperlink" Target="http://www.e-disclosure.ru/portal/company.aspx?id=36419" TargetMode="External"/><Relationship Id="rId614" Type="http://schemas.openxmlformats.org/officeDocument/2006/relationships/hyperlink" Target="https://evrotrans-ao.ru/" TargetMode="External"/><Relationship Id="rId211" Type="http://schemas.openxmlformats.org/officeDocument/2006/relationships/hyperlink" Target="http://www.dag-esk.ru/" TargetMode="External"/><Relationship Id="rId253" Type="http://schemas.openxmlformats.org/officeDocument/2006/relationships/hyperlink" Target="https://www.e-disclosure.ru/portal/company.aspx?id=8640" TargetMode="External"/><Relationship Id="rId295" Type="http://schemas.openxmlformats.org/officeDocument/2006/relationships/hyperlink" Target="https://www.e-disclosure.ru/portal/company.aspx?id=3521" TargetMode="External"/><Relationship Id="rId309" Type="http://schemas.openxmlformats.org/officeDocument/2006/relationships/hyperlink" Target="http://corp.detmir.ru/shareholders-and-investors/disclosure-information/material-facts/" TargetMode="External"/><Relationship Id="rId460" Type="http://schemas.openxmlformats.org/officeDocument/2006/relationships/hyperlink" Target="http://www.e-disclosure.ru/portal/company.aspx?id=9304" TargetMode="External"/><Relationship Id="rId516" Type="http://schemas.openxmlformats.org/officeDocument/2006/relationships/hyperlink" Target="http://www.e-disclosure.ru/portal/company.aspx?id=1070" TargetMode="External"/><Relationship Id="rId48" Type="http://schemas.openxmlformats.org/officeDocument/2006/relationships/hyperlink" Target="http://www.polymetalinternational.com/" TargetMode="External"/><Relationship Id="rId113" Type="http://schemas.openxmlformats.org/officeDocument/2006/relationships/hyperlink" Target="http://www.e-disclosure.ru/portal/company.aspx?id=6100" TargetMode="External"/><Relationship Id="rId320" Type="http://schemas.openxmlformats.org/officeDocument/2006/relationships/hyperlink" Target="https://www.e-disclosure.ru/portal/company.aspx?id=7271" TargetMode="External"/><Relationship Id="rId558" Type="http://schemas.openxmlformats.org/officeDocument/2006/relationships/hyperlink" Target="http://www.tavrich.ru/" TargetMode="External"/><Relationship Id="rId155" Type="http://schemas.openxmlformats.org/officeDocument/2006/relationships/hyperlink" Target="http://www.kamenergo.ru/" TargetMode="External"/><Relationship Id="rId197" Type="http://schemas.openxmlformats.org/officeDocument/2006/relationships/hyperlink" Target="https://e-disclosure.ru/portal/company.aspx?id=11714" TargetMode="External"/><Relationship Id="rId362" Type="http://schemas.openxmlformats.org/officeDocument/2006/relationships/hyperlink" Target="http://www.uacrussia.ru/" TargetMode="External"/><Relationship Id="rId418" Type="http://schemas.openxmlformats.org/officeDocument/2006/relationships/hyperlink" Target="https://mz.perm.ru/" TargetMode="External"/><Relationship Id="rId625" Type="http://schemas.openxmlformats.org/officeDocument/2006/relationships/hyperlink" Target="https://www.e-disclosure.ru/portal/company.aspx?id=38533" TargetMode="External"/><Relationship Id="rId222" Type="http://schemas.openxmlformats.org/officeDocument/2006/relationships/hyperlink" Target="http://www.mesk.ru/" TargetMode="External"/><Relationship Id="rId264" Type="http://schemas.openxmlformats.org/officeDocument/2006/relationships/hyperlink" Target="http://www.disclosure.ru/issuer/7740000076/" TargetMode="External"/><Relationship Id="rId471" Type="http://schemas.openxmlformats.org/officeDocument/2006/relationships/hyperlink" Target="http://www.fesco.ru/" TargetMode="External"/><Relationship Id="rId17" Type="http://schemas.openxmlformats.org/officeDocument/2006/relationships/hyperlink" Target="http://www.varyeganneftegaz.ru/" TargetMode="External"/><Relationship Id="rId59" Type="http://schemas.openxmlformats.org/officeDocument/2006/relationships/hyperlink" Target="http://www.e-disclosure.ru/portal/company.aspx?id=312" TargetMode="External"/><Relationship Id="rId124" Type="http://schemas.openxmlformats.org/officeDocument/2006/relationships/hyperlink" Target="http://www.interrao.ru/investors/disclosure/" TargetMode="External"/><Relationship Id="rId527" Type="http://schemas.openxmlformats.org/officeDocument/2006/relationships/hyperlink" Target="http://www.unicreditbank.ru/" TargetMode="External"/><Relationship Id="rId569" Type="http://schemas.openxmlformats.org/officeDocument/2006/relationships/hyperlink" Target="http://www.e-disclosure.ru/portal/company.aspx?id=21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D11"/>
  <sheetViews>
    <sheetView showGridLines="0" tabSelected="1" zoomScale="160" zoomScaleNormal="160" workbookViewId="0">
      <selection activeCell="C10" sqref="C10"/>
    </sheetView>
  </sheetViews>
  <sheetFormatPr defaultRowHeight="15" x14ac:dyDescent="0.25"/>
  <cols>
    <col min="1" max="1" width="9.42578125" customWidth="1"/>
    <col min="2" max="2" width="13" customWidth="1"/>
    <col min="3" max="3" width="34.42578125" customWidth="1"/>
    <col min="4" max="4" width="38.5703125" customWidth="1"/>
  </cols>
  <sheetData>
    <row r="1" spans="1:4" ht="15.75" thickBot="1" x14ac:dyDescent="0.3">
      <c r="A1" s="15" t="s">
        <v>7190</v>
      </c>
      <c r="B1" s="15" t="s">
        <v>7191</v>
      </c>
      <c r="C1" s="15" t="s">
        <v>7197</v>
      </c>
      <c r="D1" s="15" t="s">
        <v>1669</v>
      </c>
    </row>
    <row r="2" spans="1:4" x14ac:dyDescent="0.25">
      <c r="A2" s="16" t="s">
        <v>7192</v>
      </c>
      <c r="B2" s="16" t="s">
        <v>7195</v>
      </c>
      <c r="C2" s="18">
        <v>45705</v>
      </c>
      <c r="D2" s="18">
        <v>45705</v>
      </c>
    </row>
    <row r="3" spans="1:4" x14ac:dyDescent="0.25">
      <c r="A3" s="16" t="s">
        <v>7193</v>
      </c>
      <c r="B3" s="16" t="s">
        <v>7194</v>
      </c>
      <c r="C3" s="17" t="s">
        <v>7199</v>
      </c>
      <c r="D3" s="17" t="s">
        <v>7196</v>
      </c>
    </row>
    <row r="4" spans="1:4" x14ac:dyDescent="0.25">
      <c r="A4" s="16" t="s">
        <v>7204</v>
      </c>
      <c r="B4" s="16" t="s">
        <v>7205</v>
      </c>
      <c r="C4" s="17" t="s">
        <v>7206</v>
      </c>
      <c r="D4" s="17" t="s">
        <v>7206</v>
      </c>
    </row>
    <row r="5" spans="1:4" x14ac:dyDescent="0.25">
      <c r="A5" s="16" t="s">
        <v>1945</v>
      </c>
      <c r="B5" s="16" t="s">
        <v>7198</v>
      </c>
      <c r="C5" s="17" t="s">
        <v>7200</v>
      </c>
      <c r="D5" s="17" t="s">
        <v>7203</v>
      </c>
    </row>
    <row r="6" spans="1:4" x14ac:dyDescent="0.25">
      <c r="A6" s="16" t="s">
        <v>7212</v>
      </c>
      <c r="B6" s="16" t="s">
        <v>7213</v>
      </c>
      <c r="C6" s="17" t="s">
        <v>7214</v>
      </c>
      <c r="D6" s="17" t="s">
        <v>7215</v>
      </c>
    </row>
    <row r="7" spans="1:4" x14ac:dyDescent="0.25">
      <c r="A7" s="16" t="s">
        <v>7201</v>
      </c>
      <c r="B7" s="16" t="s">
        <v>7202</v>
      </c>
      <c r="C7" s="16" t="s">
        <v>9242</v>
      </c>
      <c r="D7" s="16" t="s">
        <v>9243</v>
      </c>
    </row>
    <row r="8" spans="1:4" x14ac:dyDescent="0.25">
      <c r="A8" s="16" t="s">
        <v>9375</v>
      </c>
      <c r="B8" s="16" t="s">
        <v>9376</v>
      </c>
      <c r="C8" s="16" t="s">
        <v>9377</v>
      </c>
      <c r="D8" s="16" t="s">
        <v>9377</v>
      </c>
    </row>
    <row r="9" spans="1:4" x14ac:dyDescent="0.25">
      <c r="A9" s="16" t="s">
        <v>7208</v>
      </c>
      <c r="B9" s="16" t="s">
        <v>7207</v>
      </c>
      <c r="C9" s="17" t="s">
        <v>9056</v>
      </c>
      <c r="D9" s="17" t="s">
        <v>9057</v>
      </c>
    </row>
    <row r="10" spans="1:4" ht="56.25" x14ac:dyDescent="0.25">
      <c r="A10" s="26" t="s">
        <v>9072</v>
      </c>
      <c r="B10" s="26" t="s">
        <v>9071</v>
      </c>
      <c r="C10" s="27" t="s">
        <v>9073</v>
      </c>
      <c r="D10" s="27" t="s">
        <v>9241</v>
      </c>
    </row>
    <row r="11" spans="1:4" x14ac:dyDescent="0.25">
      <c r="A11" s="16"/>
      <c r="B11" s="16"/>
      <c r="D11" s="16"/>
    </row>
  </sheetData>
  <hyperlinks>
    <hyperlink ref="C3" r:id="rId1" display="Иван Семенушкин (ivan.semenushkin@yandex.ru)" xr:uid="{2C0539CF-4718-44BF-B9E3-E0A0BE473B2A}"/>
    <hyperlink ref="D3" r:id="rId2" xr:uid="{A36FF101-2159-4861-A7E5-0B0FECB33CBD}"/>
    <hyperlink ref="C4" r:id="rId3" xr:uid="{96E526A1-E037-4F5B-91E6-F26C37D221AE}"/>
    <hyperlink ref="D4" r:id="rId4" xr:uid="{CA709163-1086-4E92-9263-D2428E1CC29E}"/>
    <hyperlink ref="C5" location="DBMA!A1" display="M&amp;A Database" xr:uid="{2E3C4E28-EFC2-4944-815F-F9189D77835A}"/>
    <hyperlink ref="D5" location="DBMA!A1" display="База данных по сделкам слияний и поглощений (M&amp;A)" xr:uid="{8C63C8E5-6B6E-4ECA-AD33-BD9FD0A7607A}"/>
    <hyperlink ref="C6" location="Def!A1" display="Def" xr:uid="{C384A006-2F88-43B7-9B53-0C4ED04ADC73}"/>
    <hyperlink ref="D6" location="Def!A1" display="Def" xr:uid="{5316D41C-8719-49FB-9DFD-78268C4F1CBD}"/>
    <hyperlink ref="C9" location="Comp!A1" display="Companies list" xr:uid="{4AAFD506-054E-4373-8FB1-20264EEC73F9}"/>
    <hyperlink ref="D9" location="Comp!A1" display="Перечень компаний" xr:uid="{1E168F01-9143-4F1D-B37D-78F84020559A}"/>
  </hyperlinks>
  <pageMargins left="0.7" right="0.7" top="0.75" bottom="0.75" header="0.3" footer="0.3"/>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3583"/>
  <sheetViews>
    <sheetView zoomScale="85" zoomScaleNormal="85" workbookViewId="0">
      <pane ySplit="1" topLeftCell="A2" activePane="bottomLeft" state="frozen"/>
      <selection pane="bottomLeft" activeCell="M13" sqref="M13"/>
    </sheetView>
  </sheetViews>
  <sheetFormatPr defaultColWidth="9.140625" defaultRowHeight="11.25" outlineLevelCol="1" x14ac:dyDescent="0.2"/>
  <cols>
    <col min="1" max="1" width="18.7109375" style="1" customWidth="1"/>
    <col min="2" max="2" width="5" style="1" customWidth="1"/>
    <col min="3" max="3" width="6" style="1" customWidth="1"/>
    <col min="4" max="4" width="4.7109375" style="1" customWidth="1"/>
    <col min="5" max="5" width="7.42578125" style="1" customWidth="1"/>
    <col min="6" max="6" width="11.7109375" style="1" customWidth="1"/>
    <col min="7" max="7" width="8.5703125" style="1" customWidth="1"/>
    <col min="8" max="8" width="8.7109375" style="1" bestFit="1" customWidth="1"/>
    <col min="9" max="9" width="5" style="1" customWidth="1"/>
    <col min="10" max="10" width="13" style="1" customWidth="1"/>
    <col min="11" max="11" width="12.140625" style="1" customWidth="1"/>
    <col min="12" max="12" width="7.140625" style="11" customWidth="1"/>
    <col min="13" max="13" width="8.42578125" style="1" customWidth="1"/>
    <col min="14" max="14" width="8.7109375" style="1" customWidth="1"/>
    <col min="15" max="15" width="8.85546875" style="1" customWidth="1"/>
    <col min="16" max="16" width="7.85546875" style="1" customWidth="1" outlineLevel="1"/>
    <col min="17" max="17" width="8.7109375" style="1" customWidth="1" outlineLevel="1"/>
    <col min="18" max="18" width="9" style="1" customWidth="1"/>
    <col min="19" max="23" width="8.28515625" style="1" customWidth="1"/>
    <col min="24" max="31" width="8.28515625" style="1" customWidth="1" outlineLevel="1"/>
    <col min="32" max="32" width="24.7109375" style="1" customWidth="1"/>
    <col min="33" max="16384" width="9.140625" style="1"/>
  </cols>
  <sheetData>
    <row r="1" spans="1:32" s="2" customFormat="1" ht="36.75" customHeight="1" x14ac:dyDescent="0.25">
      <c r="A1" s="8" t="s">
        <v>7216</v>
      </c>
      <c r="B1" s="8" t="s">
        <v>7217</v>
      </c>
      <c r="C1" s="8" t="s">
        <v>7218</v>
      </c>
      <c r="D1" s="8" t="s">
        <v>7188</v>
      </c>
      <c r="E1" s="8" t="s">
        <v>7189</v>
      </c>
      <c r="F1" s="8" t="s">
        <v>7219</v>
      </c>
      <c r="G1" s="8" t="s">
        <v>7226</v>
      </c>
      <c r="H1" s="8" t="s">
        <v>7227</v>
      </c>
      <c r="I1" s="8" t="s">
        <v>7231</v>
      </c>
      <c r="J1" s="8" t="s">
        <v>7232</v>
      </c>
      <c r="K1" s="8" t="s">
        <v>7233</v>
      </c>
      <c r="L1" s="8" t="s">
        <v>7234</v>
      </c>
      <c r="M1" s="8" t="s">
        <v>7235</v>
      </c>
      <c r="N1" s="8" t="s">
        <v>7236</v>
      </c>
      <c r="O1" s="8" t="s">
        <v>7237</v>
      </c>
      <c r="P1" s="8" t="s">
        <v>7238</v>
      </c>
      <c r="Q1" s="8" t="s">
        <v>7239</v>
      </c>
      <c r="R1" s="8" t="s">
        <v>7240</v>
      </c>
      <c r="S1" s="8" t="s">
        <v>7241</v>
      </c>
      <c r="T1" s="8" t="s">
        <v>7242</v>
      </c>
      <c r="U1" s="8" t="s">
        <v>7243</v>
      </c>
      <c r="V1" s="8" t="s">
        <v>7244</v>
      </c>
      <c r="W1" s="8" t="s">
        <v>7245</v>
      </c>
      <c r="X1" s="8" t="s">
        <v>7279</v>
      </c>
      <c r="Y1" s="8" t="s">
        <v>4405</v>
      </c>
      <c r="Z1" s="8" t="s">
        <v>4404</v>
      </c>
      <c r="AA1" s="8" t="s">
        <v>4406</v>
      </c>
      <c r="AB1" s="8" t="s">
        <v>4407</v>
      </c>
      <c r="AC1" s="8" t="s">
        <v>4408</v>
      </c>
      <c r="AD1" s="8" t="s">
        <v>4409</v>
      </c>
      <c r="AE1" s="8" t="s">
        <v>4410</v>
      </c>
      <c r="AF1" s="8" t="s">
        <v>7197</v>
      </c>
    </row>
    <row r="2" spans="1:32" x14ac:dyDescent="0.2">
      <c r="A2" s="1" t="s">
        <v>940</v>
      </c>
      <c r="B2" s="1" t="s">
        <v>5</v>
      </c>
      <c r="C2" s="1" t="s">
        <v>1575</v>
      </c>
      <c r="D2" s="1" t="s">
        <v>1582</v>
      </c>
      <c r="E2" s="1" t="s">
        <v>1583</v>
      </c>
      <c r="F2" s="1" t="s">
        <v>406</v>
      </c>
      <c r="G2" s="4" t="s">
        <v>1575</v>
      </c>
      <c r="H2" s="28">
        <v>40543</v>
      </c>
      <c r="I2" s="29">
        <f t="shared" ref="I2:I63" si="0">YEAR(H2)</f>
        <v>2010</v>
      </c>
      <c r="J2" s="1" t="s">
        <v>972</v>
      </c>
      <c r="K2" s="1" t="s">
        <v>7</v>
      </c>
      <c r="L2" s="11" t="str">
        <f t="shared" ref="L2:L64" si="1">IF(OR(A2=J2,A2=K2),"ДА","НЕТ")</f>
        <v>НЕТ</v>
      </c>
      <c r="M2" s="10" t="s">
        <v>1575</v>
      </c>
      <c r="N2" s="10" t="s">
        <v>1575</v>
      </c>
      <c r="O2" s="10">
        <v>6.6</v>
      </c>
      <c r="P2" s="10" t="str">
        <f>IFERROR(O2/G2,"NA")</f>
        <v>NA</v>
      </c>
      <c r="Q2" s="10" t="str">
        <f>IFERROR(P2+W2,"NA")</f>
        <v>NA</v>
      </c>
      <c r="R2" s="10" t="s">
        <v>1575</v>
      </c>
      <c r="S2" s="10" t="s">
        <v>1575</v>
      </c>
      <c r="T2" s="10" t="s">
        <v>1575</v>
      </c>
      <c r="U2" s="10" t="s">
        <v>1575</v>
      </c>
      <c r="V2" s="10" t="s">
        <v>1575</v>
      </c>
      <c r="W2" s="10" t="s">
        <v>1575</v>
      </c>
      <c r="X2" s="10" t="str">
        <f>IFERROR(V2+W2,"NA")</f>
        <v>NA</v>
      </c>
      <c r="Y2" s="10" t="str">
        <f>IFERROR(P2/R2,"NA")</f>
        <v>NA</v>
      </c>
      <c r="Z2" s="10" t="str">
        <f>IFERROR(P2/U2,"NA")</f>
        <v>NA</v>
      </c>
      <c r="AA2" s="10" t="str">
        <f>IFERROR(P2/V2,"NA")</f>
        <v>NA</v>
      </c>
      <c r="AB2" s="10" t="str">
        <f>IFERROR(Q2/R2,"NA")</f>
        <v>NA</v>
      </c>
      <c r="AC2" s="10" t="str">
        <f>IFERROR(Q2/S2,"NA")</f>
        <v>NA</v>
      </c>
      <c r="AD2" s="10" t="str">
        <f>IFERROR(Q2/T2,"NA")</f>
        <v>NA</v>
      </c>
      <c r="AE2" s="10" t="str">
        <f>IFERROR(Q2/X2,"NA")</f>
        <v>NA</v>
      </c>
      <c r="AF2" s="1" t="s">
        <v>971</v>
      </c>
    </row>
    <row r="3" spans="1:32" x14ac:dyDescent="0.2">
      <c r="A3" s="1" t="s">
        <v>968</v>
      </c>
      <c r="B3" s="1" t="s">
        <v>379</v>
      </c>
      <c r="C3" s="1" t="s">
        <v>1575</v>
      </c>
      <c r="D3" s="1" t="s">
        <v>1580</v>
      </c>
      <c r="E3" s="1" t="s">
        <v>1694</v>
      </c>
      <c r="F3" s="1" t="s">
        <v>68</v>
      </c>
      <c r="G3" s="4">
        <f>96.31%-96.16%</f>
        <v>1.5000000000000568E-3</v>
      </c>
      <c r="H3" s="28">
        <v>40512</v>
      </c>
      <c r="I3" s="29">
        <f t="shared" si="0"/>
        <v>2010</v>
      </c>
      <c r="J3" s="1" t="s">
        <v>2168</v>
      </c>
      <c r="K3" s="1" t="s">
        <v>7</v>
      </c>
      <c r="L3" s="11" t="str">
        <f t="shared" si="1"/>
        <v>НЕТ</v>
      </c>
      <c r="M3" s="10" t="s">
        <v>1575</v>
      </c>
      <c r="N3" s="10" t="s">
        <v>1575</v>
      </c>
      <c r="O3" s="10">
        <v>9.5100000000000004E-2</v>
      </c>
      <c r="P3" s="10">
        <f t="shared" ref="P3:P66" si="2">IFERROR(O3/G3,"NA")</f>
        <v>63.399999999997597</v>
      </c>
      <c r="Q3" s="10" t="str">
        <f t="shared" ref="Q3:Q66" si="3">IFERROR(P3+W3,"NA")</f>
        <v>NA</v>
      </c>
      <c r="R3" s="10" t="s">
        <v>1575</v>
      </c>
      <c r="S3" s="10" t="s">
        <v>1575</v>
      </c>
      <c r="T3" s="10" t="s">
        <v>1575</v>
      </c>
      <c r="U3" s="10" t="s">
        <v>1575</v>
      </c>
      <c r="V3" s="10" t="s">
        <v>1575</v>
      </c>
      <c r="W3" s="10" t="s">
        <v>1575</v>
      </c>
      <c r="X3" s="10" t="str">
        <f t="shared" ref="X3:X66" si="4">IFERROR(V3+W3,"NA")</f>
        <v>NA</v>
      </c>
      <c r="Y3" s="10" t="str">
        <f t="shared" ref="Y3:Y66" si="5">IFERROR(P3/R3,"NA")</f>
        <v>NA</v>
      </c>
      <c r="Z3" s="10" t="str">
        <f t="shared" ref="Z3:Z66" si="6">IFERROR(P3/U3,"NA")</f>
        <v>NA</v>
      </c>
      <c r="AA3" s="10" t="str">
        <f t="shared" ref="AA3:AA66" si="7">IFERROR(P3/V3,"NA")</f>
        <v>NA</v>
      </c>
      <c r="AB3" s="10" t="str">
        <f t="shared" ref="AB3:AB66" si="8">IFERROR(Q3/R3,"NA")</f>
        <v>NA</v>
      </c>
      <c r="AC3" s="10" t="str">
        <f t="shared" ref="AC3:AC66" si="9">IFERROR(Q3/S3,"NA")</f>
        <v>NA</v>
      </c>
      <c r="AD3" s="10" t="str">
        <f t="shared" ref="AD3:AD66" si="10">IFERROR(Q3/T3,"NA")</f>
        <v>NA</v>
      </c>
      <c r="AE3" s="10" t="str">
        <f t="shared" ref="AE3:AE66" si="11">IFERROR(Q3/X3,"NA")</f>
        <v>NA</v>
      </c>
      <c r="AF3" s="1" t="s">
        <v>903</v>
      </c>
    </row>
    <row r="4" spans="1:32" x14ac:dyDescent="0.2">
      <c r="A4" s="1" t="s">
        <v>805</v>
      </c>
      <c r="B4" s="1" t="s">
        <v>91</v>
      </c>
      <c r="C4" s="1" t="s">
        <v>1575</v>
      </c>
      <c r="D4" s="1" t="s">
        <v>1580</v>
      </c>
      <c r="E4" s="1" t="s">
        <v>1694</v>
      </c>
      <c r="F4" s="1" t="s">
        <v>68</v>
      </c>
      <c r="G4" s="4">
        <f>99.97%-99.96%</f>
        <v>1.0000000000010001E-4</v>
      </c>
      <c r="H4" s="28">
        <v>40481</v>
      </c>
      <c r="I4" s="29">
        <f t="shared" si="0"/>
        <v>2010</v>
      </c>
      <c r="J4" s="1" t="s">
        <v>2168</v>
      </c>
      <c r="K4" s="1" t="s">
        <v>7</v>
      </c>
      <c r="L4" s="11" t="str">
        <f t="shared" si="1"/>
        <v>НЕТ</v>
      </c>
      <c r="M4" s="10" t="s">
        <v>1575</v>
      </c>
      <c r="N4" s="10" t="s">
        <v>1575</v>
      </c>
      <c r="O4" s="10">
        <f>9.4*0.9999</f>
        <v>9.3990600000000004</v>
      </c>
      <c r="P4" s="10">
        <f t="shared" si="2"/>
        <v>93990.599999906</v>
      </c>
      <c r="Q4" s="10" t="str">
        <f t="shared" si="3"/>
        <v>NA</v>
      </c>
      <c r="R4" s="10" t="s">
        <v>1575</v>
      </c>
      <c r="S4" s="10" t="s">
        <v>1575</v>
      </c>
      <c r="T4" s="10" t="s">
        <v>1575</v>
      </c>
      <c r="U4" s="10" t="s">
        <v>1575</v>
      </c>
      <c r="V4" s="10" t="s">
        <v>1575</v>
      </c>
      <c r="W4" s="10" t="s">
        <v>1575</v>
      </c>
      <c r="X4" s="10" t="str">
        <f t="shared" si="4"/>
        <v>NA</v>
      </c>
      <c r="Y4" s="10" t="str">
        <f t="shared" si="5"/>
        <v>NA</v>
      </c>
      <c r="Z4" s="10" t="str">
        <f t="shared" si="6"/>
        <v>NA</v>
      </c>
      <c r="AA4" s="10" t="str">
        <f t="shared" si="7"/>
        <v>NA</v>
      </c>
      <c r="AB4" s="10" t="str">
        <f t="shared" si="8"/>
        <v>NA</v>
      </c>
      <c r="AC4" s="10" t="str">
        <f t="shared" si="9"/>
        <v>NA</v>
      </c>
      <c r="AD4" s="10" t="str">
        <f t="shared" si="10"/>
        <v>NA</v>
      </c>
      <c r="AE4" s="10" t="str">
        <f t="shared" si="11"/>
        <v>NA</v>
      </c>
      <c r="AF4" s="1" t="s">
        <v>902</v>
      </c>
    </row>
    <row r="5" spans="1:32" x14ac:dyDescent="0.2">
      <c r="A5" s="1" t="s">
        <v>970</v>
      </c>
      <c r="B5" s="1" t="s">
        <v>5</v>
      </c>
      <c r="C5" s="1" t="s">
        <v>1575</v>
      </c>
      <c r="D5" s="1" t="s">
        <v>1584</v>
      </c>
      <c r="E5" s="1" t="s">
        <v>1586</v>
      </c>
      <c r="F5" s="1" t="s">
        <v>66</v>
      </c>
      <c r="G5" s="6" t="s">
        <v>969</v>
      </c>
      <c r="H5" s="28">
        <v>40451</v>
      </c>
      <c r="I5" s="29">
        <f t="shared" si="0"/>
        <v>2010</v>
      </c>
      <c r="J5" s="1" t="s">
        <v>2168</v>
      </c>
      <c r="K5" s="1" t="s">
        <v>7</v>
      </c>
      <c r="L5" s="11" t="str">
        <f t="shared" si="1"/>
        <v>НЕТ</v>
      </c>
      <c r="M5" s="10" t="s">
        <v>1575</v>
      </c>
      <c r="N5" s="10" t="s">
        <v>1575</v>
      </c>
      <c r="O5" s="10">
        <v>18</v>
      </c>
      <c r="P5" s="10" t="str">
        <f t="shared" si="2"/>
        <v>NA</v>
      </c>
      <c r="Q5" s="10" t="str">
        <f t="shared" si="3"/>
        <v>NA</v>
      </c>
      <c r="R5" s="10" t="s">
        <v>1575</v>
      </c>
      <c r="S5" s="10" t="s">
        <v>1575</v>
      </c>
      <c r="T5" s="10" t="s">
        <v>1575</v>
      </c>
      <c r="U5" s="10" t="s">
        <v>1575</v>
      </c>
      <c r="V5" s="10">
        <v>19.5</v>
      </c>
      <c r="W5" s="10" t="s">
        <v>1575</v>
      </c>
      <c r="X5" s="10" t="str">
        <f t="shared" si="4"/>
        <v>NA</v>
      </c>
      <c r="Y5" s="10" t="str">
        <f t="shared" si="5"/>
        <v>NA</v>
      </c>
      <c r="Z5" s="10" t="str">
        <f t="shared" si="6"/>
        <v>NA</v>
      </c>
      <c r="AA5" s="10" t="str">
        <f t="shared" si="7"/>
        <v>NA</v>
      </c>
      <c r="AB5" s="10" t="str">
        <f t="shared" si="8"/>
        <v>NA</v>
      </c>
      <c r="AC5" s="10" t="str">
        <f t="shared" si="9"/>
        <v>NA</v>
      </c>
      <c r="AD5" s="10" t="str">
        <f t="shared" si="10"/>
        <v>NA</v>
      </c>
      <c r="AE5" s="10" t="str">
        <f t="shared" si="11"/>
        <v>NA</v>
      </c>
      <c r="AF5" s="1" t="s">
        <v>901</v>
      </c>
    </row>
    <row r="6" spans="1:32" x14ac:dyDescent="0.2">
      <c r="A6" s="1" t="s">
        <v>943</v>
      </c>
      <c r="B6" s="1" t="s">
        <v>21</v>
      </c>
      <c r="C6" s="1" t="s">
        <v>1575</v>
      </c>
      <c r="D6" s="1" t="s">
        <v>1580</v>
      </c>
      <c r="E6" s="1" t="s">
        <v>1694</v>
      </c>
      <c r="F6" s="1" t="s">
        <v>68</v>
      </c>
      <c r="G6" s="4" t="s">
        <v>1575</v>
      </c>
      <c r="H6" s="28">
        <v>40389</v>
      </c>
      <c r="I6" s="29">
        <f t="shared" si="0"/>
        <v>2010</v>
      </c>
      <c r="J6" s="1" t="s">
        <v>2168</v>
      </c>
      <c r="K6" s="1" t="s">
        <v>7</v>
      </c>
      <c r="L6" s="11" t="str">
        <f t="shared" si="1"/>
        <v>НЕТ</v>
      </c>
      <c r="M6" s="10" t="s">
        <v>1575</v>
      </c>
      <c r="N6" s="10" t="s">
        <v>1575</v>
      </c>
      <c r="O6" s="10">
        <v>0.6</v>
      </c>
      <c r="P6" s="10" t="str">
        <f t="shared" si="2"/>
        <v>NA</v>
      </c>
      <c r="Q6" s="10" t="str">
        <f t="shared" si="3"/>
        <v>NA</v>
      </c>
      <c r="R6" s="10" t="s">
        <v>1575</v>
      </c>
      <c r="S6" s="10" t="s">
        <v>1575</v>
      </c>
      <c r="T6" s="10" t="s">
        <v>1575</v>
      </c>
      <c r="U6" s="10" t="s">
        <v>1575</v>
      </c>
      <c r="V6" s="10" t="s">
        <v>1575</v>
      </c>
      <c r="W6" s="10" t="s">
        <v>1575</v>
      </c>
      <c r="X6" s="10" t="str">
        <f t="shared" si="4"/>
        <v>NA</v>
      </c>
      <c r="Y6" s="10" t="str">
        <f t="shared" si="5"/>
        <v>NA</v>
      </c>
      <c r="Z6" s="10" t="str">
        <f t="shared" si="6"/>
        <v>NA</v>
      </c>
      <c r="AA6" s="10" t="str">
        <f t="shared" si="7"/>
        <v>NA</v>
      </c>
      <c r="AB6" s="10" t="str">
        <f t="shared" si="8"/>
        <v>NA</v>
      </c>
      <c r="AC6" s="10" t="str">
        <f t="shared" si="9"/>
        <v>NA</v>
      </c>
      <c r="AD6" s="10" t="str">
        <f t="shared" si="10"/>
        <v>NA</v>
      </c>
      <c r="AE6" s="10" t="str">
        <f t="shared" si="11"/>
        <v>NA</v>
      </c>
      <c r="AF6" s="1" t="s">
        <v>900</v>
      </c>
    </row>
    <row r="7" spans="1:32" x14ac:dyDescent="0.2">
      <c r="A7" s="1" t="s">
        <v>968</v>
      </c>
      <c r="B7" s="1" t="s">
        <v>379</v>
      </c>
      <c r="C7" s="1" t="s">
        <v>1575</v>
      </c>
      <c r="D7" s="1" t="s">
        <v>1580</v>
      </c>
      <c r="E7" s="1" t="s">
        <v>1694</v>
      </c>
      <c r="F7" s="1" t="s">
        <v>68</v>
      </c>
      <c r="G7" s="4">
        <f>96.16%-90.74%</f>
        <v>5.4200000000000026E-2</v>
      </c>
      <c r="H7" s="28">
        <v>40421</v>
      </c>
      <c r="I7" s="29">
        <f t="shared" si="0"/>
        <v>2010</v>
      </c>
      <c r="J7" s="1" t="s">
        <v>2168</v>
      </c>
      <c r="K7" s="1" t="s">
        <v>7</v>
      </c>
      <c r="L7" s="11" t="str">
        <f t="shared" si="1"/>
        <v>НЕТ</v>
      </c>
      <c r="M7" s="10">
        <v>4.25</v>
      </c>
      <c r="N7" s="10" t="s">
        <v>1575</v>
      </c>
      <c r="O7" s="10">
        <v>0.1285</v>
      </c>
      <c r="P7" s="10">
        <f t="shared" si="2"/>
        <v>2.3708487084870837</v>
      </c>
      <c r="Q7" s="10" t="str">
        <f t="shared" si="3"/>
        <v>NA</v>
      </c>
      <c r="R7" s="10" t="s">
        <v>1575</v>
      </c>
      <c r="S7" s="10" t="s">
        <v>1575</v>
      </c>
      <c r="T7" s="10" t="s">
        <v>1575</v>
      </c>
      <c r="U7" s="10" t="s">
        <v>1575</v>
      </c>
      <c r="V7" s="10" t="s">
        <v>1575</v>
      </c>
      <c r="W7" s="10" t="s">
        <v>1575</v>
      </c>
      <c r="X7" s="10" t="str">
        <f t="shared" si="4"/>
        <v>NA</v>
      </c>
      <c r="Y7" s="10" t="str">
        <f t="shared" si="5"/>
        <v>NA</v>
      </c>
      <c r="Z7" s="10" t="str">
        <f t="shared" si="6"/>
        <v>NA</v>
      </c>
      <c r="AA7" s="10" t="str">
        <f t="shared" si="7"/>
        <v>NA</v>
      </c>
      <c r="AB7" s="10" t="str">
        <f t="shared" si="8"/>
        <v>NA</v>
      </c>
      <c r="AC7" s="10" t="str">
        <f t="shared" si="9"/>
        <v>NA</v>
      </c>
      <c r="AD7" s="10" t="str">
        <f t="shared" si="10"/>
        <v>NA</v>
      </c>
      <c r="AE7" s="10" t="str">
        <f t="shared" si="11"/>
        <v>NA</v>
      </c>
      <c r="AF7" s="1" t="s">
        <v>899</v>
      </c>
    </row>
    <row r="8" spans="1:32" x14ac:dyDescent="0.2">
      <c r="A8" s="1" t="s">
        <v>967</v>
      </c>
      <c r="B8" s="1" t="s">
        <v>5</v>
      </c>
      <c r="C8" s="1" t="s">
        <v>1575</v>
      </c>
      <c r="D8" s="1" t="s">
        <v>1575</v>
      </c>
      <c r="E8" s="1" t="s">
        <v>1575</v>
      </c>
      <c r="F8" s="1" t="s">
        <v>1575</v>
      </c>
      <c r="G8" s="4">
        <v>0.5</v>
      </c>
      <c r="H8" s="28">
        <v>40329</v>
      </c>
      <c r="I8" s="29">
        <f t="shared" si="0"/>
        <v>2010</v>
      </c>
      <c r="J8" s="1" t="s">
        <v>2168</v>
      </c>
      <c r="K8" s="1" t="s">
        <v>7</v>
      </c>
      <c r="L8" s="11" t="str">
        <f t="shared" si="1"/>
        <v>НЕТ</v>
      </c>
      <c r="M8" s="10">
        <v>42.4</v>
      </c>
      <c r="N8" s="10" t="s">
        <v>1575</v>
      </c>
      <c r="O8" s="10">
        <v>1.3</v>
      </c>
      <c r="P8" s="10">
        <f t="shared" si="2"/>
        <v>2.6</v>
      </c>
      <c r="Q8" s="10" t="str">
        <f t="shared" si="3"/>
        <v>NA</v>
      </c>
      <c r="R8" s="10" t="s">
        <v>1575</v>
      </c>
      <c r="S8" s="10" t="s">
        <v>1575</v>
      </c>
      <c r="T8" s="10" t="s">
        <v>1575</v>
      </c>
      <c r="U8" s="10" t="s">
        <v>1575</v>
      </c>
      <c r="V8" s="10">
        <v>0.7</v>
      </c>
      <c r="W8" s="10" t="s">
        <v>1575</v>
      </c>
      <c r="X8" s="10" t="str">
        <f t="shared" si="4"/>
        <v>NA</v>
      </c>
      <c r="Y8" s="10" t="str">
        <f t="shared" si="5"/>
        <v>NA</v>
      </c>
      <c r="Z8" s="10" t="str">
        <f t="shared" si="6"/>
        <v>NA</v>
      </c>
      <c r="AA8" s="10">
        <f t="shared" si="7"/>
        <v>3.7142857142857149</v>
      </c>
      <c r="AB8" s="10" t="str">
        <f t="shared" si="8"/>
        <v>NA</v>
      </c>
      <c r="AC8" s="10" t="str">
        <f t="shared" si="9"/>
        <v>NA</v>
      </c>
      <c r="AD8" s="10" t="str">
        <f t="shared" si="10"/>
        <v>NA</v>
      </c>
      <c r="AE8" s="10" t="str">
        <f t="shared" si="11"/>
        <v>NA</v>
      </c>
      <c r="AF8" s="1" t="s">
        <v>898</v>
      </c>
    </row>
    <row r="9" spans="1:32" x14ac:dyDescent="0.2">
      <c r="A9" s="1" t="s">
        <v>1585</v>
      </c>
      <c r="B9" s="1" t="s">
        <v>5</v>
      </c>
      <c r="C9" s="1" t="s">
        <v>1575</v>
      </c>
      <c r="D9" s="1" t="s">
        <v>1578</v>
      </c>
      <c r="E9" s="1" t="s">
        <v>1579</v>
      </c>
      <c r="F9" s="1" t="s">
        <v>2199</v>
      </c>
      <c r="G9" s="4">
        <v>1</v>
      </c>
      <c r="H9" s="28">
        <v>40298</v>
      </c>
      <c r="I9" s="29">
        <f t="shared" si="0"/>
        <v>2010</v>
      </c>
      <c r="J9" s="1" t="s">
        <v>2168</v>
      </c>
      <c r="K9" s="1" t="s">
        <v>7</v>
      </c>
      <c r="L9" s="11" t="str">
        <f t="shared" si="1"/>
        <v>НЕТ</v>
      </c>
      <c r="M9" s="10" t="s">
        <v>1575</v>
      </c>
      <c r="N9" s="10" t="s">
        <v>1575</v>
      </c>
      <c r="O9" s="10">
        <v>0.6</v>
      </c>
      <c r="P9" s="10">
        <f t="shared" si="2"/>
        <v>0.6</v>
      </c>
      <c r="Q9" s="10" t="str">
        <f t="shared" si="3"/>
        <v>NA</v>
      </c>
      <c r="R9" s="10" t="s">
        <v>1575</v>
      </c>
      <c r="S9" s="10" t="s">
        <v>1575</v>
      </c>
      <c r="T9" s="10" t="s">
        <v>1575</v>
      </c>
      <c r="U9" s="10" t="s">
        <v>1575</v>
      </c>
      <c r="V9" s="10">
        <v>0.6</v>
      </c>
      <c r="W9" s="10" t="s">
        <v>1575</v>
      </c>
      <c r="X9" s="10" t="str">
        <f t="shared" si="4"/>
        <v>NA</v>
      </c>
      <c r="Y9" s="10" t="str">
        <f t="shared" si="5"/>
        <v>NA</v>
      </c>
      <c r="Z9" s="10" t="str">
        <f t="shared" si="6"/>
        <v>NA</v>
      </c>
      <c r="AA9" s="10">
        <f t="shared" si="7"/>
        <v>1</v>
      </c>
      <c r="AB9" s="10" t="str">
        <f t="shared" si="8"/>
        <v>NA</v>
      </c>
      <c r="AC9" s="10" t="str">
        <f t="shared" si="9"/>
        <v>NA</v>
      </c>
      <c r="AD9" s="10" t="str">
        <f t="shared" si="10"/>
        <v>NA</v>
      </c>
      <c r="AE9" s="10" t="str">
        <f t="shared" si="11"/>
        <v>NA</v>
      </c>
      <c r="AF9" s="1" t="s">
        <v>897</v>
      </c>
    </row>
    <row r="10" spans="1:32" x14ac:dyDescent="0.2">
      <c r="A10" s="1" t="s">
        <v>965</v>
      </c>
      <c r="B10" s="1" t="s">
        <v>5</v>
      </c>
      <c r="C10" s="1" t="s">
        <v>1575</v>
      </c>
      <c r="D10" s="1" t="s">
        <v>1584</v>
      </c>
      <c r="E10" s="1" t="s">
        <v>1586</v>
      </c>
      <c r="F10" s="1" t="s">
        <v>66</v>
      </c>
      <c r="G10" s="4">
        <v>0.5</v>
      </c>
      <c r="H10" s="28">
        <v>40298</v>
      </c>
      <c r="I10" s="29">
        <f t="shared" si="0"/>
        <v>2010</v>
      </c>
      <c r="J10" s="1" t="s">
        <v>2168</v>
      </c>
      <c r="K10" s="1" t="s">
        <v>7</v>
      </c>
      <c r="L10" s="11" t="str">
        <f t="shared" si="1"/>
        <v>НЕТ</v>
      </c>
      <c r="M10" s="10">
        <v>80</v>
      </c>
      <c r="N10" s="10" t="s">
        <v>1575</v>
      </c>
      <c r="O10" s="10">
        <v>2.2999999999999998</v>
      </c>
      <c r="P10" s="10">
        <f t="shared" si="2"/>
        <v>4.5999999999999996</v>
      </c>
      <c r="Q10" s="10" t="str">
        <f t="shared" si="3"/>
        <v>NA</v>
      </c>
      <c r="R10" s="10" t="s">
        <v>1575</v>
      </c>
      <c r="S10" s="10" t="s">
        <v>1575</v>
      </c>
      <c r="T10" s="10" t="s">
        <v>1575</v>
      </c>
      <c r="U10" s="10" t="s">
        <v>1575</v>
      </c>
      <c r="V10" s="10">
        <v>4.5</v>
      </c>
      <c r="W10" s="10" t="s">
        <v>1575</v>
      </c>
      <c r="X10" s="10" t="str">
        <f t="shared" si="4"/>
        <v>NA</v>
      </c>
      <c r="Y10" s="10" t="str">
        <f t="shared" si="5"/>
        <v>NA</v>
      </c>
      <c r="Z10" s="10" t="str">
        <f t="shared" si="6"/>
        <v>NA</v>
      </c>
      <c r="AA10" s="10">
        <f t="shared" si="7"/>
        <v>1.0222222222222221</v>
      </c>
      <c r="AB10" s="10" t="str">
        <f t="shared" si="8"/>
        <v>NA</v>
      </c>
      <c r="AC10" s="10" t="str">
        <f t="shared" si="9"/>
        <v>NA</v>
      </c>
      <c r="AD10" s="10" t="str">
        <f t="shared" si="10"/>
        <v>NA</v>
      </c>
      <c r="AE10" s="10" t="str">
        <f t="shared" si="11"/>
        <v>NA</v>
      </c>
      <c r="AF10" s="1" t="s">
        <v>966</v>
      </c>
    </row>
    <row r="11" spans="1:32" x14ac:dyDescent="0.2">
      <c r="A11" s="1" t="s">
        <v>876</v>
      </c>
      <c r="B11" s="1" t="s">
        <v>32</v>
      </c>
      <c r="C11" s="1" t="s">
        <v>1575</v>
      </c>
      <c r="D11" s="1" t="s">
        <v>1580</v>
      </c>
      <c r="E11" s="1" t="s">
        <v>1694</v>
      </c>
      <c r="F11" s="1" t="s">
        <v>68</v>
      </c>
      <c r="G11" s="4">
        <f>71.42%-69.7%</f>
        <v>1.7199999999999993E-2</v>
      </c>
      <c r="H11" s="28">
        <v>40298</v>
      </c>
      <c r="I11" s="29">
        <f t="shared" si="0"/>
        <v>2010</v>
      </c>
      <c r="J11" s="1" t="s">
        <v>2168</v>
      </c>
      <c r="K11" s="1" t="s">
        <v>7</v>
      </c>
      <c r="L11" s="11" t="str">
        <f t="shared" si="1"/>
        <v>НЕТ</v>
      </c>
      <c r="M11" s="10" t="s">
        <v>1575</v>
      </c>
      <c r="N11" s="10" t="s">
        <v>1575</v>
      </c>
      <c r="O11" s="10">
        <v>4.8599999999999997E-2</v>
      </c>
      <c r="P11" s="10">
        <f t="shared" si="2"/>
        <v>2.8255813953488382</v>
      </c>
      <c r="Q11" s="10" t="str">
        <f t="shared" si="3"/>
        <v>NA</v>
      </c>
      <c r="R11" s="10" t="s">
        <v>1575</v>
      </c>
      <c r="S11" s="10" t="s">
        <v>1575</v>
      </c>
      <c r="T11" s="10" t="s">
        <v>1575</v>
      </c>
      <c r="U11" s="10" t="s">
        <v>1575</v>
      </c>
      <c r="V11" s="10" t="s">
        <v>1575</v>
      </c>
      <c r="W11" s="10" t="s">
        <v>1575</v>
      </c>
      <c r="X11" s="10" t="str">
        <f t="shared" si="4"/>
        <v>NA</v>
      </c>
      <c r="Y11" s="10" t="str">
        <f t="shared" si="5"/>
        <v>NA</v>
      </c>
      <c r="Z11" s="10" t="str">
        <f t="shared" si="6"/>
        <v>NA</v>
      </c>
      <c r="AA11" s="10" t="str">
        <f t="shared" si="7"/>
        <v>NA</v>
      </c>
      <c r="AB11" s="10" t="str">
        <f t="shared" si="8"/>
        <v>NA</v>
      </c>
      <c r="AC11" s="10" t="str">
        <f t="shared" si="9"/>
        <v>NA</v>
      </c>
      <c r="AD11" s="10" t="str">
        <f t="shared" si="10"/>
        <v>NA</v>
      </c>
      <c r="AE11" s="10" t="str">
        <f t="shared" si="11"/>
        <v>NA</v>
      </c>
      <c r="AF11" s="1" t="s">
        <v>964</v>
      </c>
    </row>
    <row r="12" spans="1:32" x14ac:dyDescent="0.2">
      <c r="A12" s="1" t="s">
        <v>963</v>
      </c>
      <c r="B12" s="1" t="s">
        <v>770</v>
      </c>
      <c r="C12" s="1" t="s">
        <v>1575</v>
      </c>
      <c r="D12" s="1" t="s">
        <v>1580</v>
      </c>
      <c r="E12" s="1" t="s">
        <v>1694</v>
      </c>
      <c r="F12" s="1" t="s">
        <v>68</v>
      </c>
      <c r="G12" s="4" t="s">
        <v>1575</v>
      </c>
      <c r="H12" s="28">
        <v>40237</v>
      </c>
      <c r="I12" s="29">
        <f t="shared" si="0"/>
        <v>2010</v>
      </c>
      <c r="J12" s="1" t="s">
        <v>2168</v>
      </c>
      <c r="K12" s="1" t="s">
        <v>7</v>
      </c>
      <c r="L12" s="11" t="str">
        <f t="shared" si="1"/>
        <v>НЕТ</v>
      </c>
      <c r="M12" s="10" t="s">
        <v>1575</v>
      </c>
      <c r="N12" s="10" t="s">
        <v>1575</v>
      </c>
      <c r="O12" s="10">
        <v>0.3</v>
      </c>
      <c r="P12" s="10" t="str">
        <f t="shared" si="2"/>
        <v>NA</v>
      </c>
      <c r="Q12" s="10" t="str">
        <f t="shared" si="3"/>
        <v>NA</v>
      </c>
      <c r="R12" s="10" t="s">
        <v>1575</v>
      </c>
      <c r="S12" s="10" t="s">
        <v>1575</v>
      </c>
      <c r="T12" s="10" t="s">
        <v>1575</v>
      </c>
      <c r="U12" s="10" t="s">
        <v>1575</v>
      </c>
      <c r="V12" s="10" t="s">
        <v>1575</v>
      </c>
      <c r="W12" s="10" t="s">
        <v>1575</v>
      </c>
      <c r="X12" s="10" t="str">
        <f t="shared" si="4"/>
        <v>NA</v>
      </c>
      <c r="Y12" s="10" t="str">
        <f t="shared" si="5"/>
        <v>NA</v>
      </c>
      <c r="Z12" s="10" t="str">
        <f t="shared" si="6"/>
        <v>NA</v>
      </c>
      <c r="AA12" s="10" t="str">
        <f t="shared" si="7"/>
        <v>NA</v>
      </c>
      <c r="AB12" s="10" t="str">
        <f t="shared" si="8"/>
        <v>NA</v>
      </c>
      <c r="AC12" s="10" t="str">
        <f t="shared" si="9"/>
        <v>NA</v>
      </c>
      <c r="AD12" s="10" t="str">
        <f t="shared" si="10"/>
        <v>NA</v>
      </c>
      <c r="AE12" s="10" t="str">
        <f t="shared" si="11"/>
        <v>NA</v>
      </c>
      <c r="AF12" s="1" t="s">
        <v>962</v>
      </c>
    </row>
    <row r="13" spans="1:32" x14ac:dyDescent="0.2">
      <c r="A13" s="1" t="s">
        <v>66</v>
      </c>
      <c r="B13" s="1" t="s">
        <v>5</v>
      </c>
      <c r="C13" s="1" t="s">
        <v>1575</v>
      </c>
      <c r="D13" s="1" t="s">
        <v>1584</v>
      </c>
      <c r="E13" s="1" t="s">
        <v>1586</v>
      </c>
      <c r="F13" s="1" t="s">
        <v>66</v>
      </c>
      <c r="G13" s="4" t="s">
        <v>1575</v>
      </c>
      <c r="H13" s="28">
        <v>40543</v>
      </c>
      <c r="I13" s="29">
        <f t="shared" si="0"/>
        <v>2010</v>
      </c>
      <c r="J13" s="1" t="s">
        <v>2168</v>
      </c>
      <c r="K13" s="1" t="s">
        <v>7</v>
      </c>
      <c r="L13" s="11" t="str">
        <f t="shared" si="1"/>
        <v>НЕТ</v>
      </c>
      <c r="M13" s="10" t="s">
        <v>1575</v>
      </c>
      <c r="N13" s="10" t="s">
        <v>1575</v>
      </c>
      <c r="O13" s="10">
        <v>0.8</v>
      </c>
      <c r="P13" s="10" t="str">
        <f t="shared" si="2"/>
        <v>NA</v>
      </c>
      <c r="Q13" s="10" t="str">
        <f t="shared" si="3"/>
        <v>NA</v>
      </c>
      <c r="R13" s="10" t="s">
        <v>1575</v>
      </c>
      <c r="S13" s="10" t="s">
        <v>1575</v>
      </c>
      <c r="T13" s="10" t="s">
        <v>1575</v>
      </c>
      <c r="U13" s="10" t="s">
        <v>1575</v>
      </c>
      <c r="V13" s="10" t="s">
        <v>1575</v>
      </c>
      <c r="W13" s="10" t="s">
        <v>1575</v>
      </c>
      <c r="X13" s="10" t="str">
        <f t="shared" si="4"/>
        <v>NA</v>
      </c>
      <c r="Y13" s="10" t="str">
        <f t="shared" si="5"/>
        <v>NA</v>
      </c>
      <c r="Z13" s="10" t="str">
        <f t="shared" si="6"/>
        <v>NA</v>
      </c>
      <c r="AA13" s="10" t="str">
        <f t="shared" si="7"/>
        <v>NA</v>
      </c>
      <c r="AB13" s="10" t="str">
        <f t="shared" si="8"/>
        <v>NA</v>
      </c>
      <c r="AC13" s="10" t="str">
        <f t="shared" si="9"/>
        <v>NA</v>
      </c>
      <c r="AD13" s="10" t="str">
        <f t="shared" si="10"/>
        <v>NA</v>
      </c>
      <c r="AE13" s="10" t="str">
        <f t="shared" si="11"/>
        <v>NA</v>
      </c>
      <c r="AF13" s="1" t="s">
        <v>961</v>
      </c>
    </row>
    <row r="14" spans="1:32" x14ac:dyDescent="0.2">
      <c r="A14" s="1" t="s">
        <v>958</v>
      </c>
      <c r="B14" s="1" t="s">
        <v>5</v>
      </c>
      <c r="C14" s="1" t="s">
        <v>1575</v>
      </c>
      <c r="D14" s="1" t="s">
        <v>1584</v>
      </c>
      <c r="E14" s="1" t="s">
        <v>1586</v>
      </c>
      <c r="F14" s="1" t="s">
        <v>66</v>
      </c>
      <c r="G14" s="4" t="s">
        <v>1575</v>
      </c>
      <c r="H14" s="28">
        <v>40543</v>
      </c>
      <c r="I14" s="29">
        <f t="shared" si="0"/>
        <v>2010</v>
      </c>
      <c r="J14" s="1" t="s">
        <v>2168</v>
      </c>
      <c r="K14" s="1" t="s">
        <v>7</v>
      </c>
      <c r="L14" s="11" t="str">
        <f t="shared" si="1"/>
        <v>НЕТ</v>
      </c>
      <c r="M14" s="10" t="s">
        <v>1575</v>
      </c>
      <c r="N14" s="10" t="s">
        <v>1575</v>
      </c>
      <c r="O14" s="10">
        <v>1.2</v>
      </c>
      <c r="P14" s="10" t="str">
        <f t="shared" si="2"/>
        <v>NA</v>
      </c>
      <c r="Q14" s="10" t="str">
        <f t="shared" si="3"/>
        <v>NA</v>
      </c>
      <c r="R14" s="10" t="s">
        <v>1575</v>
      </c>
      <c r="S14" s="10" t="s">
        <v>1575</v>
      </c>
      <c r="T14" s="10" t="s">
        <v>1575</v>
      </c>
      <c r="U14" s="10" t="s">
        <v>1575</v>
      </c>
      <c r="V14" s="10" t="s">
        <v>1575</v>
      </c>
      <c r="W14" s="10" t="s">
        <v>1575</v>
      </c>
      <c r="X14" s="10" t="str">
        <f t="shared" si="4"/>
        <v>NA</v>
      </c>
      <c r="Y14" s="10" t="str">
        <f t="shared" si="5"/>
        <v>NA</v>
      </c>
      <c r="Z14" s="10" t="str">
        <f t="shared" si="6"/>
        <v>NA</v>
      </c>
      <c r="AA14" s="10" t="str">
        <f t="shared" si="7"/>
        <v>NA</v>
      </c>
      <c r="AB14" s="10" t="str">
        <f t="shared" si="8"/>
        <v>NA</v>
      </c>
      <c r="AC14" s="10" t="str">
        <f t="shared" si="9"/>
        <v>NA</v>
      </c>
      <c r="AD14" s="10" t="str">
        <f t="shared" si="10"/>
        <v>NA</v>
      </c>
      <c r="AE14" s="10" t="str">
        <f t="shared" si="11"/>
        <v>NA</v>
      </c>
      <c r="AF14" s="1" t="s">
        <v>959</v>
      </c>
    </row>
    <row r="15" spans="1:32" x14ac:dyDescent="0.2">
      <c r="A15" s="1" t="s">
        <v>913</v>
      </c>
      <c r="B15" s="1" t="s">
        <v>5</v>
      </c>
      <c r="C15" s="1" t="s">
        <v>1575</v>
      </c>
      <c r="D15" s="1" t="s">
        <v>1584</v>
      </c>
      <c r="E15" s="1" t="s">
        <v>1586</v>
      </c>
      <c r="F15" s="1" t="s">
        <v>66</v>
      </c>
      <c r="G15" s="4" t="s">
        <v>1575</v>
      </c>
      <c r="H15" s="28">
        <v>40543</v>
      </c>
      <c r="I15" s="29">
        <f t="shared" si="0"/>
        <v>2010</v>
      </c>
      <c r="J15" s="1" t="s">
        <v>2168</v>
      </c>
      <c r="K15" s="1" t="s">
        <v>7</v>
      </c>
      <c r="L15" s="11" t="str">
        <f t="shared" si="1"/>
        <v>НЕТ</v>
      </c>
      <c r="M15" s="10" t="s">
        <v>1575</v>
      </c>
      <c r="N15" s="10" t="s">
        <v>1575</v>
      </c>
      <c r="O15" s="10">
        <v>11.1</v>
      </c>
      <c r="P15" s="10" t="str">
        <f t="shared" si="2"/>
        <v>NA</v>
      </c>
      <c r="Q15" s="10" t="str">
        <f t="shared" si="3"/>
        <v>NA</v>
      </c>
      <c r="R15" s="10" t="s">
        <v>1575</v>
      </c>
      <c r="S15" s="10" t="s">
        <v>1575</v>
      </c>
      <c r="T15" s="10" t="s">
        <v>1575</v>
      </c>
      <c r="U15" s="10" t="s">
        <v>1575</v>
      </c>
      <c r="V15" s="10" t="s">
        <v>1575</v>
      </c>
      <c r="W15" s="10" t="s">
        <v>1575</v>
      </c>
      <c r="X15" s="10" t="str">
        <f t="shared" si="4"/>
        <v>NA</v>
      </c>
      <c r="Y15" s="10" t="str">
        <f t="shared" si="5"/>
        <v>NA</v>
      </c>
      <c r="Z15" s="10" t="str">
        <f t="shared" si="6"/>
        <v>NA</v>
      </c>
      <c r="AA15" s="10" t="str">
        <f t="shared" si="7"/>
        <v>NA</v>
      </c>
      <c r="AB15" s="10" t="str">
        <f t="shared" si="8"/>
        <v>NA</v>
      </c>
      <c r="AC15" s="10" t="str">
        <f t="shared" si="9"/>
        <v>NA</v>
      </c>
      <c r="AD15" s="10" t="str">
        <f t="shared" si="10"/>
        <v>NA</v>
      </c>
      <c r="AE15" s="10" t="str">
        <f t="shared" si="11"/>
        <v>NA</v>
      </c>
      <c r="AF15" s="1" t="s">
        <v>960</v>
      </c>
    </row>
    <row r="16" spans="1:32" x14ac:dyDescent="0.2">
      <c r="A16" s="1" t="s">
        <v>957</v>
      </c>
      <c r="B16" s="1" t="s">
        <v>183</v>
      </c>
      <c r="C16" s="1" t="s">
        <v>1575</v>
      </c>
      <c r="D16" s="1" t="s">
        <v>1584</v>
      </c>
      <c r="E16" s="1" t="s">
        <v>1586</v>
      </c>
      <c r="F16" s="1" t="s">
        <v>66</v>
      </c>
      <c r="G16" s="4" t="s">
        <v>1575</v>
      </c>
      <c r="H16" s="28">
        <v>40543</v>
      </c>
      <c r="I16" s="29">
        <f t="shared" si="0"/>
        <v>2010</v>
      </c>
      <c r="J16" s="1" t="s">
        <v>2168</v>
      </c>
      <c r="K16" s="1" t="s">
        <v>7</v>
      </c>
      <c r="L16" s="11" t="str">
        <f t="shared" si="1"/>
        <v>НЕТ</v>
      </c>
      <c r="M16" s="10" t="s">
        <v>1575</v>
      </c>
      <c r="N16" s="10" t="s">
        <v>1575</v>
      </c>
      <c r="O16" s="10">
        <v>0.6</v>
      </c>
      <c r="P16" s="10" t="str">
        <f t="shared" si="2"/>
        <v>NA</v>
      </c>
      <c r="Q16" s="10" t="str">
        <f t="shared" si="3"/>
        <v>NA</v>
      </c>
      <c r="R16" s="10" t="s">
        <v>1575</v>
      </c>
      <c r="S16" s="10" t="s">
        <v>1575</v>
      </c>
      <c r="T16" s="10" t="s">
        <v>1575</v>
      </c>
      <c r="U16" s="10" t="s">
        <v>1575</v>
      </c>
      <c r="V16" s="10" t="s">
        <v>1575</v>
      </c>
      <c r="W16" s="10" t="s">
        <v>1575</v>
      </c>
      <c r="X16" s="10" t="str">
        <f t="shared" si="4"/>
        <v>NA</v>
      </c>
      <c r="Y16" s="10" t="str">
        <f t="shared" si="5"/>
        <v>NA</v>
      </c>
      <c r="Z16" s="10" t="str">
        <f t="shared" si="6"/>
        <v>NA</v>
      </c>
      <c r="AA16" s="10" t="str">
        <f t="shared" si="7"/>
        <v>NA</v>
      </c>
      <c r="AB16" s="10" t="str">
        <f t="shared" si="8"/>
        <v>NA</v>
      </c>
      <c r="AC16" s="10" t="str">
        <f t="shared" si="9"/>
        <v>NA</v>
      </c>
      <c r="AD16" s="10" t="str">
        <f t="shared" si="10"/>
        <v>NA</v>
      </c>
      <c r="AE16" s="10" t="str">
        <f t="shared" si="11"/>
        <v>NA</v>
      </c>
      <c r="AF16" s="1" t="s">
        <v>956</v>
      </c>
    </row>
    <row r="17" spans="1:32" x14ac:dyDescent="0.2">
      <c r="A17" s="1" t="s">
        <v>5360</v>
      </c>
      <c r="B17" s="1" t="s">
        <v>2208</v>
      </c>
      <c r="C17" s="1" t="s">
        <v>1575</v>
      </c>
      <c r="D17" s="1" t="s">
        <v>1615</v>
      </c>
      <c r="E17" s="1" t="s">
        <v>5352</v>
      </c>
      <c r="F17" s="1" t="s">
        <v>126</v>
      </c>
      <c r="G17" s="4">
        <v>7.4999999999999997E-2</v>
      </c>
      <c r="H17" s="28">
        <v>40543</v>
      </c>
      <c r="I17" s="29">
        <f t="shared" si="0"/>
        <v>2010</v>
      </c>
      <c r="J17" s="1" t="s">
        <v>2168</v>
      </c>
      <c r="K17" s="1" t="s">
        <v>7</v>
      </c>
      <c r="L17" s="11" t="str">
        <f t="shared" si="1"/>
        <v>НЕТ</v>
      </c>
      <c r="M17" s="10" t="s">
        <v>1575</v>
      </c>
      <c r="N17" s="10" t="s">
        <v>1575</v>
      </c>
      <c r="O17" s="10">
        <v>0.2</v>
      </c>
      <c r="P17" s="10">
        <f t="shared" si="2"/>
        <v>2.666666666666667</v>
      </c>
      <c r="Q17" s="10" t="str">
        <f t="shared" si="3"/>
        <v>NA</v>
      </c>
      <c r="R17" s="10" t="s">
        <v>1575</v>
      </c>
      <c r="S17" s="10" t="s">
        <v>1575</v>
      </c>
      <c r="T17" s="10" t="s">
        <v>1575</v>
      </c>
      <c r="U17" s="10" t="s">
        <v>1575</v>
      </c>
      <c r="V17" s="10" t="s">
        <v>1575</v>
      </c>
      <c r="W17" s="10" t="s">
        <v>1575</v>
      </c>
      <c r="X17" s="10" t="str">
        <f t="shared" si="4"/>
        <v>NA</v>
      </c>
      <c r="Y17" s="10" t="str">
        <f t="shared" si="5"/>
        <v>NA</v>
      </c>
      <c r="Z17" s="10" t="str">
        <f t="shared" si="6"/>
        <v>NA</v>
      </c>
      <c r="AA17" s="10" t="str">
        <f t="shared" si="7"/>
        <v>NA</v>
      </c>
      <c r="AB17" s="10" t="str">
        <f t="shared" si="8"/>
        <v>NA</v>
      </c>
      <c r="AC17" s="10" t="str">
        <f t="shared" si="9"/>
        <v>NA</v>
      </c>
      <c r="AD17" s="10" t="str">
        <f t="shared" si="10"/>
        <v>NA</v>
      </c>
      <c r="AE17" s="10" t="str">
        <f t="shared" si="11"/>
        <v>NA</v>
      </c>
      <c r="AF17" s="1" t="s">
        <v>1592</v>
      </c>
    </row>
    <row r="18" spans="1:32" x14ac:dyDescent="0.2">
      <c r="A18" s="1" t="s">
        <v>66</v>
      </c>
      <c r="B18" s="1" t="s">
        <v>5</v>
      </c>
      <c r="C18" s="1" t="s">
        <v>1575</v>
      </c>
      <c r="D18" s="1" t="s">
        <v>1584</v>
      </c>
      <c r="E18" s="1" t="s">
        <v>1586</v>
      </c>
      <c r="F18" s="1" t="s">
        <v>66</v>
      </c>
      <c r="G18" s="4" t="s">
        <v>1575</v>
      </c>
      <c r="H18" s="28">
        <v>40543</v>
      </c>
      <c r="I18" s="29">
        <f t="shared" si="0"/>
        <v>2010</v>
      </c>
      <c r="J18" s="1" t="s">
        <v>2168</v>
      </c>
      <c r="K18" s="1" t="s">
        <v>7</v>
      </c>
      <c r="L18" s="11" t="str">
        <f t="shared" ref="L18:L19" si="12">IF(OR(A18=J18,A18=K18),"ДА","НЕТ")</f>
        <v>НЕТ</v>
      </c>
      <c r="M18" s="10" t="s">
        <v>1575</v>
      </c>
      <c r="N18" s="10" t="s">
        <v>1575</v>
      </c>
      <c r="O18" s="10">
        <v>0.8</v>
      </c>
      <c r="P18" s="10" t="str">
        <f t="shared" si="2"/>
        <v>NA</v>
      </c>
      <c r="Q18" s="10" t="str">
        <f t="shared" si="3"/>
        <v>NA</v>
      </c>
      <c r="R18" s="10" t="s">
        <v>1575</v>
      </c>
      <c r="S18" s="10" t="s">
        <v>1575</v>
      </c>
      <c r="T18" s="10" t="s">
        <v>1575</v>
      </c>
      <c r="U18" s="10" t="s">
        <v>1575</v>
      </c>
      <c r="V18" s="10" t="s">
        <v>1575</v>
      </c>
      <c r="W18" s="10" t="s">
        <v>1575</v>
      </c>
      <c r="X18" s="10" t="str">
        <f t="shared" si="4"/>
        <v>NA</v>
      </c>
      <c r="Y18" s="10" t="str">
        <f t="shared" si="5"/>
        <v>NA</v>
      </c>
      <c r="Z18" s="10" t="str">
        <f t="shared" si="6"/>
        <v>NA</v>
      </c>
      <c r="AA18" s="10" t="str">
        <f t="shared" si="7"/>
        <v>NA</v>
      </c>
      <c r="AB18" s="10" t="str">
        <f t="shared" si="8"/>
        <v>NA</v>
      </c>
      <c r="AC18" s="10" t="str">
        <f t="shared" si="9"/>
        <v>NA</v>
      </c>
      <c r="AD18" s="10" t="str">
        <f t="shared" si="10"/>
        <v>NA</v>
      </c>
      <c r="AE18" s="10" t="str">
        <f t="shared" si="11"/>
        <v>NA</v>
      </c>
      <c r="AF18" s="1" t="s">
        <v>937</v>
      </c>
    </row>
    <row r="19" spans="1:32" x14ac:dyDescent="0.2">
      <c r="A19" s="1" t="s">
        <v>859</v>
      </c>
      <c r="B19" s="1" t="s">
        <v>5</v>
      </c>
      <c r="C19" s="1" t="s">
        <v>1575</v>
      </c>
      <c r="D19" s="1" t="s">
        <v>1584</v>
      </c>
      <c r="E19" s="1" t="s">
        <v>1586</v>
      </c>
      <c r="F19" s="1" t="s">
        <v>66</v>
      </c>
      <c r="G19" s="4" t="s">
        <v>1575</v>
      </c>
      <c r="H19" s="28">
        <v>40543</v>
      </c>
      <c r="I19" s="29">
        <f t="shared" si="0"/>
        <v>2010</v>
      </c>
      <c r="J19" s="1" t="s">
        <v>2168</v>
      </c>
      <c r="K19" s="1" t="s">
        <v>7</v>
      </c>
      <c r="L19" s="11" t="str">
        <f t="shared" si="12"/>
        <v>НЕТ</v>
      </c>
      <c r="M19" s="10" t="s">
        <v>1575</v>
      </c>
      <c r="N19" s="10" t="s">
        <v>1575</v>
      </c>
      <c r="O19" s="10">
        <v>12.3</v>
      </c>
      <c r="P19" s="10" t="str">
        <f t="shared" si="2"/>
        <v>NA</v>
      </c>
      <c r="Q19" s="10" t="str">
        <f t="shared" si="3"/>
        <v>NA</v>
      </c>
      <c r="R19" s="10" t="s">
        <v>1575</v>
      </c>
      <c r="S19" s="10" t="s">
        <v>1575</v>
      </c>
      <c r="T19" s="10" t="s">
        <v>1575</v>
      </c>
      <c r="U19" s="10" t="s">
        <v>1575</v>
      </c>
      <c r="V19" s="10" t="s">
        <v>1575</v>
      </c>
      <c r="W19" s="10" t="s">
        <v>1575</v>
      </c>
      <c r="X19" s="10" t="str">
        <f t="shared" si="4"/>
        <v>NA</v>
      </c>
      <c r="Y19" s="10" t="str">
        <f t="shared" si="5"/>
        <v>NA</v>
      </c>
      <c r="Z19" s="10" t="str">
        <f t="shared" si="6"/>
        <v>NA</v>
      </c>
      <c r="AA19" s="10" t="str">
        <f t="shared" si="7"/>
        <v>NA</v>
      </c>
      <c r="AB19" s="10" t="str">
        <f t="shared" si="8"/>
        <v>NA</v>
      </c>
      <c r="AC19" s="10" t="str">
        <f t="shared" si="9"/>
        <v>NA</v>
      </c>
      <c r="AD19" s="10" t="str">
        <f t="shared" si="10"/>
        <v>NA</v>
      </c>
      <c r="AE19" s="10" t="str">
        <f t="shared" si="11"/>
        <v>NA</v>
      </c>
      <c r="AF19" s="1" t="s">
        <v>936</v>
      </c>
    </row>
    <row r="20" spans="1:32" x14ac:dyDescent="0.2">
      <c r="A20" s="1" t="s">
        <v>955</v>
      </c>
      <c r="B20" s="1" t="s">
        <v>5</v>
      </c>
      <c r="C20" s="1" t="s">
        <v>1575</v>
      </c>
      <c r="D20" s="1" t="s">
        <v>1578</v>
      </c>
      <c r="E20" s="1" t="s">
        <v>1591</v>
      </c>
      <c r="F20" s="1" t="s">
        <v>2198</v>
      </c>
      <c r="G20" s="4">
        <v>1</v>
      </c>
      <c r="H20" s="28">
        <v>40908</v>
      </c>
      <c r="I20" s="29">
        <f t="shared" si="0"/>
        <v>2011</v>
      </c>
      <c r="J20" s="1" t="s">
        <v>2168</v>
      </c>
      <c r="K20" s="1" t="s">
        <v>7</v>
      </c>
      <c r="L20" s="11" t="str">
        <f t="shared" si="1"/>
        <v>НЕТ</v>
      </c>
      <c r="M20" s="10" t="s">
        <v>1575</v>
      </c>
      <c r="N20" s="10" t="s">
        <v>1575</v>
      </c>
      <c r="O20" s="10">
        <v>1.0000000000000001E-9</v>
      </c>
      <c r="P20" s="10">
        <f t="shared" si="2"/>
        <v>1.0000000000000001E-9</v>
      </c>
      <c r="Q20" s="10" t="str">
        <f t="shared" si="3"/>
        <v>NA</v>
      </c>
      <c r="R20" s="10" t="s">
        <v>1575</v>
      </c>
      <c r="S20" s="10" t="s">
        <v>1575</v>
      </c>
      <c r="T20" s="10" t="s">
        <v>1575</v>
      </c>
      <c r="U20" s="10" t="s">
        <v>1575</v>
      </c>
      <c r="V20" s="10">
        <v>0.1</v>
      </c>
      <c r="W20" s="10" t="s">
        <v>1575</v>
      </c>
      <c r="X20" s="10" t="str">
        <f t="shared" si="4"/>
        <v>NA</v>
      </c>
      <c r="Y20" s="10" t="str">
        <f t="shared" si="5"/>
        <v>NA</v>
      </c>
      <c r="Z20" s="10" t="str">
        <f t="shared" si="6"/>
        <v>NA</v>
      </c>
      <c r="AA20" s="10">
        <f t="shared" si="7"/>
        <v>1E-8</v>
      </c>
      <c r="AB20" s="10" t="str">
        <f t="shared" si="8"/>
        <v>NA</v>
      </c>
      <c r="AC20" s="10" t="str">
        <f t="shared" si="9"/>
        <v>NA</v>
      </c>
      <c r="AD20" s="10" t="str">
        <f t="shared" si="10"/>
        <v>NA</v>
      </c>
      <c r="AE20" s="10" t="str">
        <f t="shared" si="11"/>
        <v>NA</v>
      </c>
      <c r="AF20" s="1" t="s">
        <v>896</v>
      </c>
    </row>
    <row r="21" spans="1:32" x14ac:dyDescent="0.2">
      <c r="A21" s="1" t="s">
        <v>953</v>
      </c>
      <c r="B21" s="1" t="s">
        <v>5</v>
      </c>
      <c r="C21" s="1" t="s">
        <v>1575</v>
      </c>
      <c r="D21" s="1" t="s">
        <v>1580</v>
      </c>
      <c r="E21" s="1" t="s">
        <v>1590</v>
      </c>
      <c r="F21" s="1" t="s">
        <v>869</v>
      </c>
      <c r="G21" s="4">
        <v>1</v>
      </c>
      <c r="H21" s="28">
        <v>40847</v>
      </c>
      <c r="I21" s="29">
        <f t="shared" si="0"/>
        <v>2011</v>
      </c>
      <c r="J21" s="1" t="s">
        <v>2168</v>
      </c>
      <c r="K21" s="1" t="s">
        <v>7</v>
      </c>
      <c r="L21" s="11" t="str">
        <f t="shared" si="1"/>
        <v>НЕТ</v>
      </c>
      <c r="M21" s="10" t="s">
        <v>1575</v>
      </c>
      <c r="N21" s="10" t="s">
        <v>1575</v>
      </c>
      <c r="O21" s="10">
        <v>2.1</v>
      </c>
      <c r="P21" s="10">
        <f t="shared" si="2"/>
        <v>2.1</v>
      </c>
      <c r="Q21" s="10" t="str">
        <f t="shared" si="3"/>
        <v>NA</v>
      </c>
      <c r="R21" s="10" t="s">
        <v>1575</v>
      </c>
      <c r="S21" s="10" t="s">
        <v>1575</v>
      </c>
      <c r="T21" s="10" t="s">
        <v>1575</v>
      </c>
      <c r="U21" s="10" t="s">
        <v>1575</v>
      </c>
      <c r="V21" s="10">
        <v>2.1</v>
      </c>
      <c r="W21" s="10" t="s">
        <v>1575</v>
      </c>
      <c r="X21" s="10" t="str">
        <f t="shared" si="4"/>
        <v>NA</v>
      </c>
      <c r="Y21" s="10" t="str">
        <f t="shared" si="5"/>
        <v>NA</v>
      </c>
      <c r="Z21" s="10" t="str">
        <f t="shared" si="6"/>
        <v>NA</v>
      </c>
      <c r="AA21" s="10">
        <f t="shared" si="7"/>
        <v>1</v>
      </c>
      <c r="AB21" s="10" t="str">
        <f t="shared" si="8"/>
        <v>NA</v>
      </c>
      <c r="AC21" s="10" t="str">
        <f t="shared" si="9"/>
        <v>NA</v>
      </c>
      <c r="AD21" s="10" t="str">
        <f t="shared" si="10"/>
        <v>NA</v>
      </c>
      <c r="AE21" s="10" t="str">
        <f t="shared" si="11"/>
        <v>NA</v>
      </c>
      <c r="AF21" s="1" t="s">
        <v>954</v>
      </c>
    </row>
    <row r="22" spans="1:32" x14ac:dyDescent="0.2">
      <c r="A22" s="1" t="s">
        <v>952</v>
      </c>
      <c r="B22" s="1" t="s">
        <v>1575</v>
      </c>
      <c r="C22" s="1" t="s">
        <v>1575</v>
      </c>
      <c r="D22" s="1" t="s">
        <v>1575</v>
      </c>
      <c r="E22" s="1" t="s">
        <v>1575</v>
      </c>
      <c r="F22" s="1" t="s">
        <v>1575</v>
      </c>
      <c r="G22" s="4">
        <v>0.505</v>
      </c>
      <c r="H22" s="28">
        <v>40724</v>
      </c>
      <c r="I22" s="29">
        <f t="shared" si="0"/>
        <v>2011</v>
      </c>
      <c r="J22" s="1" t="s">
        <v>2168</v>
      </c>
      <c r="K22" s="1" t="s">
        <v>7</v>
      </c>
      <c r="L22" s="11" t="str">
        <f t="shared" si="1"/>
        <v>НЕТ</v>
      </c>
      <c r="M22" s="10">
        <v>45.6</v>
      </c>
      <c r="N22" s="10" t="s">
        <v>1575</v>
      </c>
      <c r="O22" s="10">
        <v>1.3</v>
      </c>
      <c r="P22" s="10">
        <f t="shared" si="2"/>
        <v>2.5742574257425743</v>
      </c>
      <c r="Q22" s="10" t="str">
        <f t="shared" si="3"/>
        <v>NA</v>
      </c>
      <c r="R22" s="10" t="s">
        <v>1575</v>
      </c>
      <c r="S22" s="10" t="s">
        <v>1575</v>
      </c>
      <c r="T22" s="10" t="s">
        <v>1575</v>
      </c>
      <c r="U22" s="10" t="s">
        <v>1575</v>
      </c>
      <c r="V22" s="10">
        <v>2.4</v>
      </c>
      <c r="W22" s="10" t="s">
        <v>1575</v>
      </c>
      <c r="X22" s="10" t="str">
        <f t="shared" si="4"/>
        <v>NA</v>
      </c>
      <c r="Y22" s="10" t="str">
        <f t="shared" si="5"/>
        <v>NA</v>
      </c>
      <c r="Z22" s="10" t="str">
        <f t="shared" si="6"/>
        <v>NA</v>
      </c>
      <c r="AA22" s="10">
        <f t="shared" si="7"/>
        <v>1.0726072607260726</v>
      </c>
      <c r="AB22" s="10" t="str">
        <f t="shared" si="8"/>
        <v>NA</v>
      </c>
      <c r="AC22" s="10" t="str">
        <f t="shared" si="9"/>
        <v>NA</v>
      </c>
      <c r="AD22" s="10" t="str">
        <f t="shared" si="10"/>
        <v>NA</v>
      </c>
      <c r="AE22" s="10" t="str">
        <f t="shared" si="11"/>
        <v>NA</v>
      </c>
      <c r="AF22" s="1" t="s">
        <v>951</v>
      </c>
    </row>
    <row r="23" spans="1:32" x14ac:dyDescent="0.2">
      <c r="A23" s="1" t="s">
        <v>949</v>
      </c>
      <c r="B23" s="1" t="s">
        <v>5</v>
      </c>
      <c r="C23" s="1" t="s">
        <v>1575</v>
      </c>
      <c r="D23" s="1" t="s">
        <v>1580</v>
      </c>
      <c r="E23" s="1" t="s">
        <v>1694</v>
      </c>
      <c r="F23" s="1" t="s">
        <v>68</v>
      </c>
      <c r="G23" s="4">
        <v>0.51</v>
      </c>
      <c r="H23" s="28">
        <v>40724</v>
      </c>
      <c r="I23" s="29">
        <f t="shared" si="0"/>
        <v>2011</v>
      </c>
      <c r="J23" s="1" t="s">
        <v>7</v>
      </c>
      <c r="K23" s="1" t="s">
        <v>2168</v>
      </c>
      <c r="L23" s="11" t="str">
        <f t="shared" si="1"/>
        <v>НЕТ</v>
      </c>
      <c r="M23" s="10" t="s">
        <v>1575</v>
      </c>
      <c r="N23" s="10" t="s">
        <v>1575</v>
      </c>
      <c r="O23" s="10">
        <v>0.4</v>
      </c>
      <c r="P23" s="10">
        <f t="shared" si="2"/>
        <v>0.78431372549019607</v>
      </c>
      <c r="Q23" s="10" t="str">
        <f t="shared" si="3"/>
        <v>NA</v>
      </c>
      <c r="R23" s="10" t="s">
        <v>1575</v>
      </c>
      <c r="S23" s="10" t="s">
        <v>1575</v>
      </c>
      <c r="T23" s="10" t="s">
        <v>1575</v>
      </c>
      <c r="U23" s="10" t="s">
        <v>1575</v>
      </c>
      <c r="V23" s="10">
        <v>0.9</v>
      </c>
      <c r="W23" s="10" t="s">
        <v>1575</v>
      </c>
      <c r="X23" s="10" t="str">
        <f t="shared" si="4"/>
        <v>NA</v>
      </c>
      <c r="Y23" s="10" t="str">
        <f t="shared" si="5"/>
        <v>NA</v>
      </c>
      <c r="Z23" s="10" t="str">
        <f t="shared" si="6"/>
        <v>NA</v>
      </c>
      <c r="AA23" s="10">
        <f t="shared" si="7"/>
        <v>0.87145969498910669</v>
      </c>
      <c r="AB23" s="10" t="str">
        <f t="shared" si="8"/>
        <v>NA</v>
      </c>
      <c r="AC23" s="10" t="str">
        <f t="shared" si="9"/>
        <v>NA</v>
      </c>
      <c r="AD23" s="10" t="str">
        <f t="shared" si="10"/>
        <v>NA</v>
      </c>
      <c r="AE23" s="10" t="str">
        <f t="shared" si="11"/>
        <v>NA</v>
      </c>
      <c r="AF23" s="1" t="s">
        <v>950</v>
      </c>
    </row>
    <row r="24" spans="1:32" x14ac:dyDescent="0.2">
      <c r="A24" s="1" t="s">
        <v>904</v>
      </c>
      <c r="B24" s="1" t="s">
        <v>5</v>
      </c>
      <c r="C24" s="1" t="s">
        <v>1575</v>
      </c>
      <c r="D24" s="1" t="s">
        <v>1580</v>
      </c>
      <c r="E24" s="1" t="s">
        <v>1694</v>
      </c>
      <c r="F24" s="1" t="s">
        <v>68</v>
      </c>
      <c r="G24" s="4">
        <v>0.43180000000000002</v>
      </c>
      <c r="H24" s="28">
        <v>40908</v>
      </c>
      <c r="I24" s="29">
        <f t="shared" si="0"/>
        <v>2011</v>
      </c>
      <c r="J24" s="1" t="s">
        <v>2168</v>
      </c>
      <c r="K24" s="3" t="s">
        <v>7</v>
      </c>
      <c r="L24" s="11" t="str">
        <f t="shared" si="1"/>
        <v>НЕТ</v>
      </c>
      <c r="M24" s="10" t="s">
        <v>1575</v>
      </c>
      <c r="N24" s="10" t="s">
        <v>1575</v>
      </c>
      <c r="O24" s="10" t="s">
        <v>1575</v>
      </c>
      <c r="P24" s="10" t="str">
        <f t="shared" si="2"/>
        <v>NA</v>
      </c>
      <c r="Q24" s="10" t="str">
        <f t="shared" si="3"/>
        <v>NA</v>
      </c>
      <c r="R24" s="10" t="s">
        <v>1575</v>
      </c>
      <c r="S24" s="10" t="s">
        <v>1575</v>
      </c>
      <c r="T24" s="10" t="s">
        <v>1575</v>
      </c>
      <c r="U24" s="10" t="s">
        <v>1575</v>
      </c>
      <c r="V24" s="10" t="s">
        <v>1575</v>
      </c>
      <c r="W24" s="10" t="s">
        <v>1575</v>
      </c>
      <c r="X24" s="10" t="str">
        <f t="shared" si="4"/>
        <v>NA</v>
      </c>
      <c r="Y24" s="10" t="str">
        <f t="shared" si="5"/>
        <v>NA</v>
      </c>
      <c r="Z24" s="10" t="str">
        <f t="shared" si="6"/>
        <v>NA</v>
      </c>
      <c r="AA24" s="10" t="str">
        <f t="shared" si="7"/>
        <v>NA</v>
      </c>
      <c r="AB24" s="10" t="str">
        <f t="shared" si="8"/>
        <v>NA</v>
      </c>
      <c r="AC24" s="10" t="str">
        <f t="shared" si="9"/>
        <v>NA</v>
      </c>
      <c r="AD24" s="10" t="str">
        <f t="shared" si="10"/>
        <v>NA</v>
      </c>
      <c r="AE24" s="10" t="str">
        <f t="shared" si="11"/>
        <v>NA</v>
      </c>
      <c r="AF24" s="1" t="s">
        <v>948</v>
      </c>
    </row>
    <row r="25" spans="1:32" x14ac:dyDescent="0.2">
      <c r="A25" s="1" t="s">
        <v>946</v>
      </c>
      <c r="B25" s="1" t="s">
        <v>5</v>
      </c>
      <c r="C25" s="1" t="s">
        <v>1575</v>
      </c>
      <c r="D25" s="1" t="s">
        <v>1580</v>
      </c>
      <c r="E25" s="1" t="s">
        <v>5352</v>
      </c>
      <c r="F25" s="1" t="s">
        <v>947</v>
      </c>
      <c r="G25" s="4">
        <v>0.8</v>
      </c>
      <c r="H25" s="28">
        <v>40694</v>
      </c>
      <c r="I25" s="29">
        <f t="shared" si="0"/>
        <v>2011</v>
      </c>
      <c r="J25" s="1" t="s">
        <v>2168</v>
      </c>
      <c r="K25" s="28" t="s">
        <v>7</v>
      </c>
      <c r="L25" s="11" t="str">
        <f t="shared" si="1"/>
        <v>НЕТ</v>
      </c>
      <c r="M25" s="10">
        <v>4.5</v>
      </c>
      <c r="N25" s="10" t="s">
        <v>1575</v>
      </c>
      <c r="O25" s="10">
        <v>0.1</v>
      </c>
      <c r="P25" s="10">
        <f t="shared" si="2"/>
        <v>0.125</v>
      </c>
      <c r="Q25" s="10" t="str">
        <f t="shared" si="3"/>
        <v>NA</v>
      </c>
      <c r="R25" s="10" t="s">
        <v>1575</v>
      </c>
      <c r="S25" s="10" t="s">
        <v>1575</v>
      </c>
      <c r="T25" s="10" t="s">
        <v>1575</v>
      </c>
      <c r="U25" s="10" t="s">
        <v>1575</v>
      </c>
      <c r="V25" s="10" t="s">
        <v>1575</v>
      </c>
      <c r="W25" s="10" t="s">
        <v>1575</v>
      </c>
      <c r="X25" s="10" t="str">
        <f t="shared" si="4"/>
        <v>NA</v>
      </c>
      <c r="Y25" s="10" t="str">
        <f t="shared" si="5"/>
        <v>NA</v>
      </c>
      <c r="Z25" s="10" t="str">
        <f t="shared" si="6"/>
        <v>NA</v>
      </c>
      <c r="AA25" s="10" t="str">
        <f t="shared" si="7"/>
        <v>NA</v>
      </c>
      <c r="AB25" s="10" t="str">
        <f t="shared" si="8"/>
        <v>NA</v>
      </c>
      <c r="AC25" s="10" t="str">
        <f t="shared" si="9"/>
        <v>NA</v>
      </c>
      <c r="AD25" s="10" t="str">
        <f t="shared" si="10"/>
        <v>NA</v>
      </c>
      <c r="AE25" s="10" t="str">
        <f t="shared" si="11"/>
        <v>NA</v>
      </c>
      <c r="AF25" s="1" t="s">
        <v>945</v>
      </c>
    </row>
    <row r="26" spans="1:32" x14ac:dyDescent="0.2">
      <c r="A26" s="1" t="s">
        <v>915</v>
      </c>
      <c r="B26" s="1" t="s">
        <v>5</v>
      </c>
      <c r="C26" s="1" t="s">
        <v>1575</v>
      </c>
      <c r="D26" s="1" t="s">
        <v>1584</v>
      </c>
      <c r="E26" s="1" t="s">
        <v>1586</v>
      </c>
      <c r="F26" s="1" t="s">
        <v>66</v>
      </c>
      <c r="G26" s="4">
        <f>77.3%-75%</f>
        <v>2.300000000000002E-2</v>
      </c>
      <c r="H26" s="28">
        <v>40908</v>
      </c>
      <c r="I26" s="29">
        <f t="shared" si="0"/>
        <v>2011</v>
      </c>
      <c r="J26" s="1" t="s">
        <v>2168</v>
      </c>
      <c r="K26" s="28" t="s">
        <v>7</v>
      </c>
      <c r="L26" s="11" t="str">
        <f t="shared" si="1"/>
        <v>НЕТ</v>
      </c>
      <c r="M26" s="10" t="s">
        <v>1575</v>
      </c>
      <c r="N26" s="10" t="s">
        <v>1575</v>
      </c>
      <c r="O26" s="10">
        <f>101436/135248*24010/1000000000</f>
        <v>1.80075E-5</v>
      </c>
      <c r="P26" s="10">
        <f t="shared" si="2"/>
        <v>7.8293478260869497E-4</v>
      </c>
      <c r="Q26" s="10" t="str">
        <f t="shared" si="3"/>
        <v>NA</v>
      </c>
      <c r="R26" s="10" t="s">
        <v>1575</v>
      </c>
      <c r="S26" s="10" t="s">
        <v>1575</v>
      </c>
      <c r="T26" s="10" t="s">
        <v>1575</v>
      </c>
      <c r="U26" s="10" t="s">
        <v>1575</v>
      </c>
      <c r="V26" s="10" t="s">
        <v>1575</v>
      </c>
      <c r="W26" s="10" t="s">
        <v>1575</v>
      </c>
      <c r="X26" s="10" t="str">
        <f t="shared" si="4"/>
        <v>NA</v>
      </c>
      <c r="Y26" s="10" t="str">
        <f t="shared" si="5"/>
        <v>NA</v>
      </c>
      <c r="Z26" s="10" t="str">
        <f t="shared" si="6"/>
        <v>NA</v>
      </c>
      <c r="AA26" s="10" t="str">
        <f t="shared" si="7"/>
        <v>NA</v>
      </c>
      <c r="AB26" s="10" t="str">
        <f t="shared" si="8"/>
        <v>NA</v>
      </c>
      <c r="AC26" s="10" t="str">
        <f t="shared" si="9"/>
        <v>NA</v>
      </c>
      <c r="AD26" s="10" t="str">
        <f t="shared" si="10"/>
        <v>NA</v>
      </c>
      <c r="AE26" s="10" t="str">
        <f t="shared" si="11"/>
        <v>NA</v>
      </c>
      <c r="AF26" s="1" t="s">
        <v>895</v>
      </c>
    </row>
    <row r="27" spans="1:32" x14ac:dyDescent="0.2">
      <c r="A27" s="1" t="s">
        <v>944</v>
      </c>
      <c r="B27" s="1" t="s">
        <v>99</v>
      </c>
      <c r="C27" s="1" t="s">
        <v>1575</v>
      </c>
      <c r="D27" s="1" t="s">
        <v>1580</v>
      </c>
      <c r="E27" s="1" t="s">
        <v>1694</v>
      </c>
      <c r="F27" s="1" t="s">
        <v>68</v>
      </c>
      <c r="G27" s="4" t="s">
        <v>1575</v>
      </c>
      <c r="H27" s="28">
        <v>40908</v>
      </c>
      <c r="I27" s="29">
        <f t="shared" si="0"/>
        <v>2011</v>
      </c>
      <c r="J27" s="1" t="s">
        <v>2168</v>
      </c>
      <c r="K27" s="28" t="s">
        <v>7</v>
      </c>
      <c r="L27" s="11" t="str">
        <f t="shared" si="1"/>
        <v>НЕТ</v>
      </c>
      <c r="M27" s="10" t="s">
        <v>1575</v>
      </c>
      <c r="N27" s="10" t="s">
        <v>1575</v>
      </c>
      <c r="O27" s="10" t="s">
        <v>1575</v>
      </c>
      <c r="P27" s="10" t="str">
        <f t="shared" si="2"/>
        <v>NA</v>
      </c>
      <c r="Q27" s="10" t="str">
        <f t="shared" si="3"/>
        <v>NA</v>
      </c>
      <c r="R27" s="10" t="s">
        <v>1575</v>
      </c>
      <c r="S27" s="10" t="s">
        <v>1575</v>
      </c>
      <c r="T27" s="10" t="s">
        <v>1575</v>
      </c>
      <c r="U27" s="10" t="s">
        <v>1575</v>
      </c>
      <c r="V27" s="10" t="s">
        <v>1575</v>
      </c>
      <c r="W27" s="10" t="s">
        <v>1575</v>
      </c>
      <c r="X27" s="10" t="str">
        <f t="shared" si="4"/>
        <v>NA</v>
      </c>
      <c r="Y27" s="10" t="str">
        <f t="shared" si="5"/>
        <v>NA</v>
      </c>
      <c r="Z27" s="10" t="str">
        <f t="shared" si="6"/>
        <v>NA</v>
      </c>
      <c r="AA27" s="10" t="str">
        <f t="shared" si="7"/>
        <v>NA</v>
      </c>
      <c r="AB27" s="10" t="str">
        <f t="shared" si="8"/>
        <v>NA</v>
      </c>
      <c r="AC27" s="10" t="str">
        <f t="shared" si="9"/>
        <v>NA</v>
      </c>
      <c r="AD27" s="10" t="str">
        <f t="shared" si="10"/>
        <v>NA</v>
      </c>
      <c r="AE27" s="10" t="str">
        <f t="shared" si="11"/>
        <v>NA</v>
      </c>
      <c r="AF27" s="1" t="s">
        <v>894</v>
      </c>
    </row>
    <row r="28" spans="1:32" x14ac:dyDescent="0.2">
      <c r="A28" s="1" t="s">
        <v>943</v>
      </c>
      <c r="B28" s="1" t="s">
        <v>21</v>
      </c>
      <c r="C28" s="1" t="s">
        <v>1575</v>
      </c>
      <c r="D28" s="1" t="s">
        <v>1580</v>
      </c>
      <c r="E28" s="1" t="s">
        <v>1694</v>
      </c>
      <c r="F28" s="1" t="s">
        <v>68</v>
      </c>
      <c r="G28" s="4" t="s">
        <v>1575</v>
      </c>
      <c r="H28" s="28">
        <v>40724</v>
      </c>
      <c r="I28" s="29">
        <f t="shared" si="0"/>
        <v>2011</v>
      </c>
      <c r="J28" s="1" t="s">
        <v>2168</v>
      </c>
      <c r="K28" s="28" t="s">
        <v>7</v>
      </c>
      <c r="L28" s="11" t="str">
        <f t="shared" si="1"/>
        <v>НЕТ</v>
      </c>
      <c r="M28" s="10" t="s">
        <v>1575</v>
      </c>
      <c r="N28" s="10" t="s">
        <v>1575</v>
      </c>
      <c r="O28" s="10">
        <v>2.1</v>
      </c>
      <c r="P28" s="10" t="str">
        <f t="shared" si="2"/>
        <v>NA</v>
      </c>
      <c r="Q28" s="10" t="str">
        <f t="shared" si="3"/>
        <v>NA</v>
      </c>
      <c r="R28" s="10" t="s">
        <v>1575</v>
      </c>
      <c r="S28" s="10" t="s">
        <v>1575</v>
      </c>
      <c r="T28" s="10" t="s">
        <v>1575</v>
      </c>
      <c r="U28" s="10" t="s">
        <v>1575</v>
      </c>
      <c r="V28" s="10" t="s">
        <v>1575</v>
      </c>
      <c r="W28" s="10" t="s">
        <v>1575</v>
      </c>
      <c r="X28" s="10" t="str">
        <f t="shared" si="4"/>
        <v>NA</v>
      </c>
      <c r="Y28" s="10" t="str">
        <f t="shared" si="5"/>
        <v>NA</v>
      </c>
      <c r="Z28" s="10" t="str">
        <f t="shared" si="6"/>
        <v>NA</v>
      </c>
      <c r="AA28" s="10" t="str">
        <f t="shared" si="7"/>
        <v>NA</v>
      </c>
      <c r="AB28" s="10" t="str">
        <f t="shared" si="8"/>
        <v>NA</v>
      </c>
      <c r="AC28" s="10" t="str">
        <f t="shared" si="9"/>
        <v>NA</v>
      </c>
      <c r="AD28" s="10" t="str">
        <f t="shared" si="10"/>
        <v>NA</v>
      </c>
      <c r="AE28" s="10" t="str">
        <f t="shared" si="11"/>
        <v>NA</v>
      </c>
      <c r="AF28" s="1" t="s">
        <v>893</v>
      </c>
    </row>
    <row r="29" spans="1:32" x14ac:dyDescent="0.2">
      <c r="A29" s="1" t="s">
        <v>942</v>
      </c>
      <c r="B29" s="1" t="s">
        <v>5</v>
      </c>
      <c r="C29" s="1" t="s">
        <v>1575</v>
      </c>
      <c r="D29" s="1" t="s">
        <v>1580</v>
      </c>
      <c r="E29" s="1" t="s">
        <v>5352</v>
      </c>
      <c r="F29" s="1" t="s">
        <v>907</v>
      </c>
      <c r="G29" s="4" t="s">
        <v>1575</v>
      </c>
      <c r="H29" s="28">
        <v>40633</v>
      </c>
      <c r="I29" s="29">
        <f t="shared" si="0"/>
        <v>2011</v>
      </c>
      <c r="J29" s="1" t="s">
        <v>2168</v>
      </c>
      <c r="K29" s="28" t="s">
        <v>7</v>
      </c>
      <c r="L29" s="11" t="str">
        <f t="shared" si="1"/>
        <v>НЕТ</v>
      </c>
      <c r="M29" s="10" t="s">
        <v>1575</v>
      </c>
      <c r="N29" s="10" t="s">
        <v>1575</v>
      </c>
      <c r="O29" s="10">
        <v>2.8252000000000002</v>
      </c>
      <c r="P29" s="10" t="str">
        <f t="shared" si="2"/>
        <v>NA</v>
      </c>
      <c r="Q29" s="10" t="str">
        <f t="shared" si="3"/>
        <v>NA</v>
      </c>
      <c r="R29" s="10" t="s">
        <v>1575</v>
      </c>
      <c r="S29" s="10" t="s">
        <v>1575</v>
      </c>
      <c r="T29" s="10" t="s">
        <v>1575</v>
      </c>
      <c r="U29" s="10" t="s">
        <v>1575</v>
      </c>
      <c r="V29" s="10" t="s">
        <v>1575</v>
      </c>
      <c r="W29" s="10" t="s">
        <v>1575</v>
      </c>
      <c r="X29" s="10" t="str">
        <f t="shared" si="4"/>
        <v>NA</v>
      </c>
      <c r="Y29" s="10" t="str">
        <f t="shared" si="5"/>
        <v>NA</v>
      </c>
      <c r="Z29" s="10" t="str">
        <f t="shared" si="6"/>
        <v>NA</v>
      </c>
      <c r="AA29" s="10" t="str">
        <f t="shared" si="7"/>
        <v>NA</v>
      </c>
      <c r="AB29" s="10" t="str">
        <f t="shared" si="8"/>
        <v>NA</v>
      </c>
      <c r="AC29" s="10" t="str">
        <f t="shared" si="9"/>
        <v>NA</v>
      </c>
      <c r="AD29" s="10" t="str">
        <f t="shared" si="10"/>
        <v>NA</v>
      </c>
      <c r="AE29" s="10" t="str">
        <f t="shared" si="11"/>
        <v>NA</v>
      </c>
      <c r="AF29" s="1" t="s">
        <v>892</v>
      </c>
    </row>
    <row r="30" spans="1:32" x14ac:dyDescent="0.2">
      <c r="A30" s="1" t="s">
        <v>940</v>
      </c>
      <c r="B30" s="1" t="s">
        <v>5</v>
      </c>
      <c r="C30" s="1" t="s">
        <v>1575</v>
      </c>
      <c r="D30" s="1" t="s">
        <v>1582</v>
      </c>
      <c r="E30" s="1" t="s">
        <v>1583</v>
      </c>
      <c r="F30" s="1" t="s">
        <v>406</v>
      </c>
      <c r="G30" s="4">
        <v>0.50919999999999999</v>
      </c>
      <c r="H30" s="28">
        <v>40574</v>
      </c>
      <c r="I30" s="29">
        <f t="shared" si="0"/>
        <v>2011</v>
      </c>
      <c r="J30" s="1" t="s">
        <v>941</v>
      </c>
      <c r="K30" s="1" t="s">
        <v>939</v>
      </c>
      <c r="L30" s="11" t="str">
        <f t="shared" si="1"/>
        <v>НЕТ</v>
      </c>
      <c r="M30" s="10" t="s">
        <v>1575</v>
      </c>
      <c r="N30" s="10" t="s">
        <v>1575</v>
      </c>
      <c r="O30" s="10" t="s">
        <v>1575</v>
      </c>
      <c r="P30" s="10" t="str">
        <f t="shared" si="2"/>
        <v>NA</v>
      </c>
      <c r="Q30" s="10" t="str">
        <f t="shared" si="3"/>
        <v>NA</v>
      </c>
      <c r="R30" s="10" t="s">
        <v>1575</v>
      </c>
      <c r="S30" s="10" t="s">
        <v>1575</v>
      </c>
      <c r="T30" s="10" t="s">
        <v>1575</v>
      </c>
      <c r="U30" s="10" t="s">
        <v>1575</v>
      </c>
      <c r="V30" s="10" t="s">
        <v>1575</v>
      </c>
      <c r="W30" s="10" t="s">
        <v>1575</v>
      </c>
      <c r="X30" s="10" t="str">
        <f t="shared" si="4"/>
        <v>NA</v>
      </c>
      <c r="Y30" s="10" t="str">
        <f t="shared" si="5"/>
        <v>NA</v>
      </c>
      <c r="Z30" s="10" t="str">
        <f t="shared" si="6"/>
        <v>NA</v>
      </c>
      <c r="AA30" s="10" t="str">
        <f t="shared" si="7"/>
        <v>NA</v>
      </c>
      <c r="AB30" s="10" t="str">
        <f t="shared" si="8"/>
        <v>NA</v>
      </c>
      <c r="AC30" s="10" t="str">
        <f t="shared" si="9"/>
        <v>NA</v>
      </c>
      <c r="AD30" s="10" t="str">
        <f t="shared" si="10"/>
        <v>NA</v>
      </c>
      <c r="AE30" s="10" t="str">
        <f t="shared" si="11"/>
        <v>NA</v>
      </c>
      <c r="AF30" s="1" t="s">
        <v>938</v>
      </c>
    </row>
    <row r="31" spans="1:32" x14ac:dyDescent="0.2">
      <c r="A31" s="1" t="s">
        <v>66</v>
      </c>
      <c r="B31" s="1" t="s">
        <v>5</v>
      </c>
      <c r="C31" s="1" t="s">
        <v>1575</v>
      </c>
      <c r="D31" s="1" t="s">
        <v>1584</v>
      </c>
      <c r="E31" s="1" t="s">
        <v>1586</v>
      </c>
      <c r="F31" s="1" t="s">
        <v>66</v>
      </c>
      <c r="G31" s="4" t="s">
        <v>1575</v>
      </c>
      <c r="H31" s="28">
        <v>40908</v>
      </c>
      <c r="I31" s="29">
        <f t="shared" si="0"/>
        <v>2011</v>
      </c>
      <c r="J31" s="1" t="s">
        <v>2168</v>
      </c>
      <c r="K31" s="1" t="s">
        <v>7</v>
      </c>
      <c r="L31" s="11" t="str">
        <f t="shared" si="1"/>
        <v>НЕТ</v>
      </c>
      <c r="M31" s="10" t="s">
        <v>1575</v>
      </c>
      <c r="N31" s="10" t="s">
        <v>1575</v>
      </c>
      <c r="O31" s="10">
        <v>0.6</v>
      </c>
      <c r="P31" s="10" t="str">
        <f t="shared" si="2"/>
        <v>NA</v>
      </c>
      <c r="Q31" s="10" t="str">
        <f t="shared" si="3"/>
        <v>NA</v>
      </c>
      <c r="R31" s="10" t="s">
        <v>1575</v>
      </c>
      <c r="S31" s="10" t="s">
        <v>1575</v>
      </c>
      <c r="T31" s="10" t="s">
        <v>1575</v>
      </c>
      <c r="U31" s="10" t="s">
        <v>1575</v>
      </c>
      <c r="V31" s="10" t="s">
        <v>1575</v>
      </c>
      <c r="W31" s="10" t="s">
        <v>1575</v>
      </c>
      <c r="X31" s="10" t="str">
        <f t="shared" si="4"/>
        <v>NA</v>
      </c>
      <c r="Y31" s="10" t="str">
        <f t="shared" si="5"/>
        <v>NA</v>
      </c>
      <c r="Z31" s="10" t="str">
        <f t="shared" si="6"/>
        <v>NA</v>
      </c>
      <c r="AA31" s="10" t="str">
        <f t="shared" si="7"/>
        <v>NA</v>
      </c>
      <c r="AB31" s="10" t="str">
        <f t="shared" si="8"/>
        <v>NA</v>
      </c>
      <c r="AC31" s="10" t="str">
        <f t="shared" si="9"/>
        <v>NA</v>
      </c>
      <c r="AD31" s="10" t="str">
        <f t="shared" si="10"/>
        <v>NA</v>
      </c>
      <c r="AE31" s="10" t="str">
        <f t="shared" si="11"/>
        <v>NA</v>
      </c>
      <c r="AF31" s="1" t="s">
        <v>935</v>
      </c>
    </row>
    <row r="32" spans="1:32" x14ac:dyDescent="0.2">
      <c r="A32" s="1" t="s">
        <v>859</v>
      </c>
      <c r="B32" s="1" t="s">
        <v>5</v>
      </c>
      <c r="C32" s="1" t="s">
        <v>1575</v>
      </c>
      <c r="D32" s="1" t="s">
        <v>1584</v>
      </c>
      <c r="E32" s="1" t="s">
        <v>1586</v>
      </c>
      <c r="F32" s="1" t="s">
        <v>66</v>
      </c>
      <c r="G32" s="4" t="s">
        <v>1575</v>
      </c>
      <c r="H32" s="28">
        <v>40908</v>
      </c>
      <c r="I32" s="29">
        <f t="shared" si="0"/>
        <v>2011</v>
      </c>
      <c r="J32" s="1" t="s">
        <v>2168</v>
      </c>
      <c r="K32" s="1" t="s">
        <v>7</v>
      </c>
      <c r="L32" s="11" t="str">
        <f t="shared" si="1"/>
        <v>НЕТ</v>
      </c>
      <c r="M32" s="10" t="s">
        <v>1575</v>
      </c>
      <c r="N32" s="10" t="s">
        <v>1575</v>
      </c>
      <c r="O32" s="10">
        <v>3.9</v>
      </c>
      <c r="P32" s="10" t="str">
        <f t="shared" si="2"/>
        <v>NA</v>
      </c>
      <c r="Q32" s="10" t="str">
        <f t="shared" si="3"/>
        <v>NA</v>
      </c>
      <c r="R32" s="10" t="s">
        <v>1575</v>
      </c>
      <c r="S32" s="10" t="s">
        <v>1575</v>
      </c>
      <c r="T32" s="10" t="s">
        <v>1575</v>
      </c>
      <c r="U32" s="10" t="s">
        <v>1575</v>
      </c>
      <c r="V32" s="10" t="s">
        <v>1575</v>
      </c>
      <c r="W32" s="10" t="s">
        <v>1575</v>
      </c>
      <c r="X32" s="10" t="str">
        <f t="shared" si="4"/>
        <v>NA</v>
      </c>
      <c r="Y32" s="10" t="str">
        <f t="shared" si="5"/>
        <v>NA</v>
      </c>
      <c r="Z32" s="10" t="str">
        <f t="shared" si="6"/>
        <v>NA</v>
      </c>
      <c r="AA32" s="10" t="str">
        <f t="shared" si="7"/>
        <v>NA</v>
      </c>
      <c r="AB32" s="10" t="str">
        <f t="shared" si="8"/>
        <v>NA</v>
      </c>
      <c r="AC32" s="10" t="str">
        <f t="shared" si="9"/>
        <v>NA</v>
      </c>
      <c r="AD32" s="10" t="str">
        <f t="shared" si="10"/>
        <v>NA</v>
      </c>
      <c r="AE32" s="10" t="str">
        <f t="shared" si="11"/>
        <v>NA</v>
      </c>
      <c r="AF32" s="1" t="s">
        <v>934</v>
      </c>
    </row>
    <row r="33" spans="1:32" x14ac:dyDescent="0.2">
      <c r="A33" s="1" t="s">
        <v>933</v>
      </c>
      <c r="B33" s="1" t="s">
        <v>5</v>
      </c>
      <c r="C33" s="1" t="s">
        <v>1575</v>
      </c>
      <c r="D33" s="1" t="s">
        <v>1580</v>
      </c>
      <c r="E33" s="1" t="s">
        <v>1694</v>
      </c>
      <c r="F33" s="1" t="s">
        <v>68</v>
      </c>
      <c r="G33" s="4" t="s">
        <v>1575</v>
      </c>
      <c r="H33" s="28">
        <v>40602</v>
      </c>
      <c r="I33" s="29">
        <f t="shared" si="0"/>
        <v>2011</v>
      </c>
      <c r="J33" s="1" t="s">
        <v>7</v>
      </c>
      <c r="K33" s="1" t="s">
        <v>2168</v>
      </c>
      <c r="L33" s="11" t="str">
        <f t="shared" si="1"/>
        <v>НЕТ</v>
      </c>
      <c r="M33" s="10" t="s">
        <v>1575</v>
      </c>
      <c r="N33" s="10" t="s">
        <v>1575</v>
      </c>
      <c r="O33" s="10">
        <v>2.2999999999999998</v>
      </c>
      <c r="P33" s="10" t="str">
        <f t="shared" si="2"/>
        <v>NA</v>
      </c>
      <c r="Q33" s="10" t="str">
        <f t="shared" si="3"/>
        <v>NA</v>
      </c>
      <c r="R33" s="10" t="s">
        <v>1575</v>
      </c>
      <c r="S33" s="10" t="s">
        <v>1575</v>
      </c>
      <c r="T33" s="10" t="s">
        <v>1575</v>
      </c>
      <c r="U33" s="10" t="s">
        <v>1575</v>
      </c>
      <c r="V33" s="10" t="s">
        <v>1575</v>
      </c>
      <c r="W33" s="10" t="s">
        <v>1575</v>
      </c>
      <c r="X33" s="10" t="str">
        <f t="shared" si="4"/>
        <v>NA</v>
      </c>
      <c r="Y33" s="10" t="str">
        <f t="shared" si="5"/>
        <v>NA</v>
      </c>
      <c r="Z33" s="10" t="str">
        <f t="shared" si="6"/>
        <v>NA</v>
      </c>
      <c r="AA33" s="10" t="str">
        <f t="shared" si="7"/>
        <v>NA</v>
      </c>
      <c r="AB33" s="10" t="str">
        <f t="shared" si="8"/>
        <v>NA</v>
      </c>
      <c r="AC33" s="10" t="str">
        <f t="shared" si="9"/>
        <v>NA</v>
      </c>
      <c r="AD33" s="10" t="str">
        <f t="shared" si="10"/>
        <v>NA</v>
      </c>
      <c r="AE33" s="10" t="str">
        <f t="shared" si="11"/>
        <v>NA</v>
      </c>
      <c r="AF33" s="1" t="s">
        <v>930</v>
      </c>
    </row>
    <row r="34" spans="1:32" x14ac:dyDescent="0.2">
      <c r="A34" s="1" t="s">
        <v>932</v>
      </c>
      <c r="B34" s="1" t="s">
        <v>5</v>
      </c>
      <c r="C34" s="1" t="s">
        <v>1575</v>
      </c>
      <c r="D34" s="1" t="s">
        <v>1580</v>
      </c>
      <c r="E34" s="1" t="s">
        <v>1694</v>
      </c>
      <c r="F34" s="1" t="s">
        <v>68</v>
      </c>
      <c r="G34" s="4">
        <f>50%-49%</f>
        <v>1.0000000000000009E-2</v>
      </c>
      <c r="H34" s="28">
        <v>40574</v>
      </c>
      <c r="I34" s="29">
        <f t="shared" si="0"/>
        <v>2011</v>
      </c>
      <c r="J34" s="1" t="s">
        <v>2168</v>
      </c>
      <c r="K34" s="1" t="s">
        <v>7</v>
      </c>
      <c r="L34" s="11" t="str">
        <f t="shared" si="1"/>
        <v>НЕТ</v>
      </c>
      <c r="M34" s="10">
        <v>53.6</v>
      </c>
      <c r="N34" s="10" t="s">
        <v>1575</v>
      </c>
      <c r="O34" s="10">
        <v>1.6</v>
      </c>
      <c r="P34" s="10">
        <f t="shared" si="2"/>
        <v>159.99999999999986</v>
      </c>
      <c r="Q34" s="10" t="str">
        <f t="shared" si="3"/>
        <v>NA</v>
      </c>
      <c r="R34" s="10" t="s">
        <v>1575</v>
      </c>
      <c r="S34" s="10" t="s">
        <v>1575</v>
      </c>
      <c r="T34" s="10" t="s">
        <v>1575</v>
      </c>
      <c r="U34" s="10" t="s">
        <v>1575</v>
      </c>
      <c r="V34" s="10" t="s">
        <v>1575</v>
      </c>
      <c r="W34" s="10" t="s">
        <v>1575</v>
      </c>
      <c r="X34" s="10" t="str">
        <f t="shared" si="4"/>
        <v>NA</v>
      </c>
      <c r="Y34" s="10" t="str">
        <f t="shared" si="5"/>
        <v>NA</v>
      </c>
      <c r="Z34" s="10" t="str">
        <f t="shared" si="6"/>
        <v>NA</v>
      </c>
      <c r="AA34" s="10" t="str">
        <f t="shared" si="7"/>
        <v>NA</v>
      </c>
      <c r="AB34" s="10" t="str">
        <f t="shared" si="8"/>
        <v>NA</v>
      </c>
      <c r="AC34" s="10" t="str">
        <f t="shared" si="9"/>
        <v>NA</v>
      </c>
      <c r="AD34" s="10" t="str">
        <f t="shared" si="10"/>
        <v>NA</v>
      </c>
      <c r="AE34" s="10" t="str">
        <f t="shared" si="11"/>
        <v>NA</v>
      </c>
      <c r="AF34" s="1" t="s">
        <v>931</v>
      </c>
    </row>
    <row r="35" spans="1:32" x14ac:dyDescent="0.2">
      <c r="A35" s="1" t="s">
        <v>918</v>
      </c>
      <c r="B35" s="1" t="s">
        <v>5</v>
      </c>
      <c r="C35" s="1" t="s">
        <v>3198</v>
      </c>
      <c r="D35" s="1" t="s">
        <v>1580</v>
      </c>
      <c r="E35" s="1" t="s">
        <v>1694</v>
      </c>
      <c r="F35" s="1" t="s">
        <v>68</v>
      </c>
      <c r="G35" s="4">
        <f>94.85%-46.48%-34.09%</f>
        <v>0.14279999999999987</v>
      </c>
      <c r="H35" s="28">
        <v>40908</v>
      </c>
      <c r="I35" s="29">
        <f t="shared" si="0"/>
        <v>2011</v>
      </c>
      <c r="J35" s="1" t="s">
        <v>2168</v>
      </c>
      <c r="K35" s="1" t="s">
        <v>7</v>
      </c>
      <c r="L35" s="11" t="str">
        <f t="shared" ref="L35:L38" si="13">IF(OR(A35=J35,A35=K35),"ДА","НЕТ")</f>
        <v>НЕТ</v>
      </c>
      <c r="M35" s="10" t="s">
        <v>1575</v>
      </c>
      <c r="N35" s="10" t="s">
        <v>1575</v>
      </c>
      <c r="O35" s="10">
        <v>17.3</v>
      </c>
      <c r="P35" s="10">
        <f t="shared" si="2"/>
        <v>121.14845938375362</v>
      </c>
      <c r="Q35" s="10" t="str">
        <f t="shared" si="3"/>
        <v>NA</v>
      </c>
      <c r="R35" s="10" t="s">
        <v>1575</v>
      </c>
      <c r="S35" s="10" t="s">
        <v>1575</v>
      </c>
      <c r="T35" s="10" t="s">
        <v>1575</v>
      </c>
      <c r="U35" s="10">
        <v>7.5</v>
      </c>
      <c r="V35" s="10">
        <v>80.400000000000006</v>
      </c>
      <c r="W35" s="10" t="s">
        <v>1575</v>
      </c>
      <c r="X35" s="10" t="str">
        <f t="shared" si="4"/>
        <v>NA</v>
      </c>
      <c r="Y35" s="10" t="str">
        <f t="shared" si="5"/>
        <v>NA</v>
      </c>
      <c r="Z35" s="10">
        <f t="shared" si="6"/>
        <v>16.153127917833817</v>
      </c>
      <c r="AA35" s="10">
        <f t="shared" si="7"/>
        <v>1.5068216341262888</v>
      </c>
      <c r="AB35" s="10" t="str">
        <f t="shared" si="8"/>
        <v>NA</v>
      </c>
      <c r="AC35" s="10" t="str">
        <f t="shared" si="9"/>
        <v>NA</v>
      </c>
      <c r="AD35" s="10" t="str">
        <f t="shared" si="10"/>
        <v>NA</v>
      </c>
      <c r="AE35" s="10" t="str">
        <f t="shared" si="11"/>
        <v>NA</v>
      </c>
      <c r="AF35" s="1" t="s">
        <v>924</v>
      </c>
    </row>
    <row r="36" spans="1:32" x14ac:dyDescent="0.2">
      <c r="A36" s="1" t="s">
        <v>918</v>
      </c>
      <c r="B36" s="1" t="s">
        <v>5</v>
      </c>
      <c r="C36" s="1" t="s">
        <v>3198</v>
      </c>
      <c r="D36" s="1" t="s">
        <v>1580</v>
      </c>
      <c r="E36" s="1" t="s">
        <v>1694</v>
      </c>
      <c r="F36" s="1" t="s">
        <v>68</v>
      </c>
      <c r="G36" s="4">
        <v>0.46479999999999999</v>
      </c>
      <c r="H36" s="28">
        <v>40602</v>
      </c>
      <c r="I36" s="29">
        <f t="shared" si="0"/>
        <v>2011</v>
      </c>
      <c r="J36" s="1" t="s">
        <v>2168</v>
      </c>
      <c r="K36" s="1" t="s">
        <v>7</v>
      </c>
      <c r="L36" s="11" t="str">
        <f t="shared" si="13"/>
        <v>НЕТ</v>
      </c>
      <c r="M36" s="10" t="s">
        <v>1575</v>
      </c>
      <c r="N36" s="10" t="s">
        <v>1575</v>
      </c>
      <c r="O36" s="10">
        <v>92.8</v>
      </c>
      <c r="P36" s="10">
        <f t="shared" si="2"/>
        <v>199.65576592082616</v>
      </c>
      <c r="Q36" s="10" t="str">
        <f t="shared" si="3"/>
        <v>NA</v>
      </c>
      <c r="R36" s="10" t="s">
        <v>1575</v>
      </c>
      <c r="S36" s="10" t="s">
        <v>1575</v>
      </c>
      <c r="T36" s="10" t="s">
        <v>1575</v>
      </c>
      <c r="U36" s="10">
        <v>7.5</v>
      </c>
      <c r="V36" s="10">
        <v>80.400000000000006</v>
      </c>
      <c r="W36" s="10" t="s">
        <v>1575</v>
      </c>
      <c r="X36" s="10" t="str">
        <f t="shared" si="4"/>
        <v>NA</v>
      </c>
      <c r="Y36" s="10" t="str">
        <f t="shared" si="5"/>
        <v>NA</v>
      </c>
      <c r="Z36" s="10">
        <f t="shared" si="6"/>
        <v>26.620768789443488</v>
      </c>
      <c r="AA36" s="10">
        <f t="shared" si="7"/>
        <v>2.4832806706570416</v>
      </c>
      <c r="AB36" s="10" t="str">
        <f t="shared" si="8"/>
        <v>NA</v>
      </c>
      <c r="AC36" s="10" t="str">
        <f t="shared" si="9"/>
        <v>NA</v>
      </c>
      <c r="AD36" s="10" t="str">
        <f t="shared" si="10"/>
        <v>NA</v>
      </c>
      <c r="AE36" s="10" t="str">
        <f t="shared" si="11"/>
        <v>NA</v>
      </c>
      <c r="AF36" s="1" t="s">
        <v>922</v>
      </c>
    </row>
    <row r="37" spans="1:32" x14ac:dyDescent="0.2">
      <c r="A37" s="1" t="s">
        <v>855</v>
      </c>
      <c r="B37" s="1" t="s">
        <v>5</v>
      </c>
      <c r="C37" s="1" t="s">
        <v>1575</v>
      </c>
      <c r="D37" s="1" t="s">
        <v>1580</v>
      </c>
      <c r="E37" s="1" t="s">
        <v>1581</v>
      </c>
      <c r="F37" s="1" t="s">
        <v>67</v>
      </c>
      <c r="G37" s="6" t="s">
        <v>920</v>
      </c>
      <c r="H37" s="28">
        <v>40602</v>
      </c>
      <c r="I37" s="29">
        <f t="shared" si="0"/>
        <v>2011</v>
      </c>
      <c r="J37" s="1" t="s">
        <v>2168</v>
      </c>
      <c r="K37" s="1" t="s">
        <v>7</v>
      </c>
      <c r="L37" s="11" t="str">
        <f t="shared" si="13"/>
        <v>НЕТ</v>
      </c>
      <c r="M37" s="10" t="s">
        <v>1575</v>
      </c>
      <c r="N37" s="10" t="s">
        <v>1575</v>
      </c>
      <c r="O37" s="10">
        <v>10.199999999999999</v>
      </c>
      <c r="P37" s="10" t="str">
        <f t="shared" si="2"/>
        <v>NA</v>
      </c>
      <c r="Q37" s="10" t="str">
        <f t="shared" si="3"/>
        <v>NA</v>
      </c>
      <c r="R37" s="10" t="s">
        <v>1575</v>
      </c>
      <c r="S37" s="10" t="s">
        <v>1575</v>
      </c>
      <c r="T37" s="10" t="s">
        <v>1575</v>
      </c>
      <c r="U37" s="10" t="s">
        <v>1575</v>
      </c>
      <c r="V37" s="10" t="s">
        <v>1575</v>
      </c>
      <c r="W37" s="10" t="s">
        <v>1575</v>
      </c>
      <c r="X37" s="10" t="str">
        <f t="shared" si="4"/>
        <v>NA</v>
      </c>
      <c r="Y37" s="10" t="str">
        <f t="shared" si="5"/>
        <v>NA</v>
      </c>
      <c r="Z37" s="10" t="str">
        <f t="shared" si="6"/>
        <v>NA</v>
      </c>
      <c r="AA37" s="10" t="str">
        <f t="shared" si="7"/>
        <v>NA</v>
      </c>
      <c r="AB37" s="10" t="str">
        <f t="shared" si="8"/>
        <v>NA</v>
      </c>
      <c r="AC37" s="10" t="str">
        <f t="shared" si="9"/>
        <v>NA</v>
      </c>
      <c r="AD37" s="10" t="str">
        <f t="shared" si="10"/>
        <v>NA</v>
      </c>
      <c r="AE37" s="10" t="str">
        <f t="shared" si="11"/>
        <v>NA</v>
      </c>
      <c r="AF37" s="1" t="s">
        <v>919</v>
      </c>
    </row>
    <row r="38" spans="1:32" x14ac:dyDescent="0.2">
      <c r="A38" s="1" t="s">
        <v>904</v>
      </c>
      <c r="B38" s="1" t="s">
        <v>5</v>
      </c>
      <c r="C38" s="1" t="s">
        <v>1575</v>
      </c>
      <c r="D38" s="1" t="s">
        <v>1580</v>
      </c>
      <c r="E38" s="1" t="s">
        <v>1694</v>
      </c>
      <c r="F38" s="1" t="s">
        <v>68</v>
      </c>
      <c r="G38" s="4">
        <f>74.62%-43.18%</f>
        <v>0.31440000000000007</v>
      </c>
      <c r="H38" s="28">
        <v>40877</v>
      </c>
      <c r="I38" s="29">
        <f t="shared" si="0"/>
        <v>2011</v>
      </c>
      <c r="J38" s="1" t="s">
        <v>2168</v>
      </c>
      <c r="K38" s="1" t="s">
        <v>7</v>
      </c>
      <c r="L38" s="11" t="str">
        <f t="shared" si="13"/>
        <v>НЕТ</v>
      </c>
      <c r="M38" s="10" t="s">
        <v>1575</v>
      </c>
      <c r="N38" s="10" t="s">
        <v>1575</v>
      </c>
      <c r="O38" s="10">
        <f>17.4+0.1</f>
        <v>17.5</v>
      </c>
      <c r="P38" s="10">
        <f t="shared" si="2"/>
        <v>55.66157760814248</v>
      </c>
      <c r="Q38" s="10" t="str">
        <f t="shared" si="3"/>
        <v>NA</v>
      </c>
      <c r="R38" s="10" t="s">
        <v>1575</v>
      </c>
      <c r="S38" s="10" t="s">
        <v>1575</v>
      </c>
      <c r="T38" s="10" t="s">
        <v>1575</v>
      </c>
      <c r="U38" s="10" t="s">
        <v>1575</v>
      </c>
      <c r="V38" s="10">
        <v>30.4</v>
      </c>
      <c r="W38" s="10" t="s">
        <v>1575</v>
      </c>
      <c r="X38" s="10" t="str">
        <f t="shared" si="4"/>
        <v>NA</v>
      </c>
      <c r="Y38" s="10" t="str">
        <f t="shared" si="5"/>
        <v>NA</v>
      </c>
      <c r="Z38" s="10" t="str">
        <f t="shared" si="6"/>
        <v>NA</v>
      </c>
      <c r="AA38" s="10">
        <f t="shared" si="7"/>
        <v>1.8309729476362659</v>
      </c>
      <c r="AB38" s="10" t="str">
        <f t="shared" si="8"/>
        <v>NA</v>
      </c>
      <c r="AC38" s="10" t="str">
        <f t="shared" si="9"/>
        <v>NA</v>
      </c>
      <c r="AD38" s="10" t="str">
        <f t="shared" si="10"/>
        <v>NA</v>
      </c>
      <c r="AE38" s="10" t="str">
        <f t="shared" si="11"/>
        <v>NA</v>
      </c>
      <c r="AF38" s="1" t="s">
        <v>905</v>
      </c>
    </row>
    <row r="39" spans="1:32" x14ac:dyDescent="0.2">
      <c r="A39" s="1" t="s">
        <v>929</v>
      </c>
      <c r="B39" s="1" t="s">
        <v>5</v>
      </c>
      <c r="C39" s="1" t="s">
        <v>1575</v>
      </c>
      <c r="D39" s="1" t="s">
        <v>1584</v>
      </c>
      <c r="E39" s="1" t="s">
        <v>1586</v>
      </c>
      <c r="F39" s="1" t="s">
        <v>66</v>
      </c>
      <c r="G39" s="4">
        <v>0.96360000000000001</v>
      </c>
      <c r="H39" s="28">
        <v>41182</v>
      </c>
      <c r="I39" s="29">
        <f t="shared" si="0"/>
        <v>2012</v>
      </c>
      <c r="J39" s="1" t="s">
        <v>7</v>
      </c>
      <c r="K39" s="1" t="s">
        <v>2168</v>
      </c>
      <c r="L39" s="11" t="str">
        <f t="shared" si="1"/>
        <v>НЕТ</v>
      </c>
      <c r="M39" s="10" t="s">
        <v>1575</v>
      </c>
      <c r="N39" s="10" t="s">
        <v>1575</v>
      </c>
      <c r="O39" s="10">
        <v>1.4</v>
      </c>
      <c r="P39" s="10">
        <f t="shared" si="2"/>
        <v>1.4528850145288501</v>
      </c>
      <c r="Q39" s="10" t="str">
        <f t="shared" si="3"/>
        <v>NA</v>
      </c>
      <c r="R39" s="10" t="s">
        <v>1575</v>
      </c>
      <c r="S39" s="10" t="s">
        <v>1575</v>
      </c>
      <c r="T39" s="10" t="s">
        <v>1575</v>
      </c>
      <c r="U39" s="10" t="s">
        <v>1575</v>
      </c>
      <c r="V39" s="10" t="s">
        <v>1575</v>
      </c>
      <c r="W39" s="10" t="s">
        <v>1575</v>
      </c>
      <c r="X39" s="10" t="str">
        <f t="shared" si="4"/>
        <v>NA</v>
      </c>
      <c r="Y39" s="10" t="str">
        <f t="shared" si="5"/>
        <v>NA</v>
      </c>
      <c r="Z39" s="10" t="str">
        <f t="shared" si="6"/>
        <v>NA</v>
      </c>
      <c r="AA39" s="10" t="str">
        <f t="shared" si="7"/>
        <v>NA</v>
      </c>
      <c r="AB39" s="10" t="str">
        <f t="shared" si="8"/>
        <v>NA</v>
      </c>
      <c r="AC39" s="10" t="str">
        <f t="shared" si="9"/>
        <v>NA</v>
      </c>
      <c r="AD39" s="10" t="str">
        <f t="shared" si="10"/>
        <v>NA</v>
      </c>
      <c r="AE39" s="10" t="str">
        <f t="shared" si="11"/>
        <v>NA</v>
      </c>
      <c r="AF39" s="1" t="s">
        <v>890</v>
      </c>
    </row>
    <row r="40" spans="1:32" x14ac:dyDescent="0.2">
      <c r="A40" s="1" t="s">
        <v>5361</v>
      </c>
      <c r="B40" s="1" t="s">
        <v>5</v>
      </c>
      <c r="C40" s="1" t="s">
        <v>1575</v>
      </c>
      <c r="D40" s="1" t="s">
        <v>1597</v>
      </c>
      <c r="E40" s="1" t="s">
        <v>1598</v>
      </c>
      <c r="F40" s="1" t="s">
        <v>6</v>
      </c>
      <c r="G40" s="4">
        <v>0.53300000000000003</v>
      </c>
      <c r="H40" s="28">
        <v>41121</v>
      </c>
      <c r="I40" s="29">
        <f t="shared" si="0"/>
        <v>2012</v>
      </c>
      <c r="J40" s="1" t="s">
        <v>2168</v>
      </c>
      <c r="K40" s="1" t="s">
        <v>7</v>
      </c>
      <c r="L40" s="11" t="str">
        <f t="shared" si="1"/>
        <v>НЕТ</v>
      </c>
      <c r="M40" s="10" t="s">
        <v>1575</v>
      </c>
      <c r="N40" s="10" t="s">
        <v>1575</v>
      </c>
      <c r="O40" s="10">
        <v>0.9</v>
      </c>
      <c r="P40" s="10">
        <f t="shared" si="2"/>
        <v>1.6885553470919323</v>
      </c>
      <c r="Q40" s="10" t="str">
        <f t="shared" si="3"/>
        <v>NA</v>
      </c>
      <c r="R40" s="10" t="s">
        <v>1575</v>
      </c>
      <c r="S40" s="10" t="s">
        <v>1575</v>
      </c>
      <c r="T40" s="10" t="s">
        <v>1575</v>
      </c>
      <c r="U40" s="10" t="s">
        <v>1575</v>
      </c>
      <c r="V40" s="10">
        <f>6.2-4.3</f>
        <v>1.9000000000000004</v>
      </c>
      <c r="W40" s="10" t="s">
        <v>1575</v>
      </c>
      <c r="X40" s="10" t="str">
        <f t="shared" si="4"/>
        <v>NA</v>
      </c>
      <c r="Y40" s="10" t="str">
        <f t="shared" si="5"/>
        <v>NA</v>
      </c>
      <c r="Z40" s="10" t="str">
        <f t="shared" si="6"/>
        <v>NA</v>
      </c>
      <c r="AA40" s="10">
        <f t="shared" si="7"/>
        <v>0.88871334057470108</v>
      </c>
      <c r="AB40" s="10" t="str">
        <f t="shared" si="8"/>
        <v>NA</v>
      </c>
      <c r="AC40" s="10" t="str">
        <f t="shared" si="9"/>
        <v>NA</v>
      </c>
      <c r="AD40" s="10" t="str">
        <f t="shared" si="10"/>
        <v>NA</v>
      </c>
      <c r="AE40" s="10" t="str">
        <f t="shared" si="11"/>
        <v>NA</v>
      </c>
      <c r="AF40" s="1" t="s">
        <v>889</v>
      </c>
    </row>
    <row r="41" spans="1:32" x14ac:dyDescent="0.2">
      <c r="A41" s="1" t="s">
        <v>926</v>
      </c>
      <c r="B41" s="1" t="s">
        <v>5</v>
      </c>
      <c r="C41" s="1" t="s">
        <v>1575</v>
      </c>
      <c r="D41" s="1" t="s">
        <v>1580</v>
      </c>
      <c r="E41" s="1" t="s">
        <v>1694</v>
      </c>
      <c r="F41" s="1" t="s">
        <v>68</v>
      </c>
      <c r="G41" s="4">
        <v>0.9274</v>
      </c>
      <c r="H41" s="28">
        <v>41121</v>
      </c>
      <c r="I41" s="29">
        <f t="shared" si="0"/>
        <v>2012</v>
      </c>
      <c r="J41" s="1" t="s">
        <v>7</v>
      </c>
      <c r="K41" s="1" t="s">
        <v>2168</v>
      </c>
      <c r="L41" s="11" t="str">
        <f t="shared" si="1"/>
        <v>НЕТ</v>
      </c>
      <c r="M41" s="10" t="s">
        <v>1575</v>
      </c>
      <c r="N41" s="10" t="s">
        <v>1575</v>
      </c>
      <c r="O41" s="10">
        <v>0.3</v>
      </c>
      <c r="P41" s="10">
        <f t="shared" si="2"/>
        <v>0.32348501186111711</v>
      </c>
      <c r="Q41" s="10" t="str">
        <f t="shared" si="3"/>
        <v>NA</v>
      </c>
      <c r="R41" s="10" t="s">
        <v>1575</v>
      </c>
      <c r="S41" s="10" t="s">
        <v>1575</v>
      </c>
      <c r="T41" s="10" t="s">
        <v>1575</v>
      </c>
      <c r="U41" s="10" t="s">
        <v>1575</v>
      </c>
      <c r="V41" s="10" t="s">
        <v>1575</v>
      </c>
      <c r="W41" s="10" t="s">
        <v>1575</v>
      </c>
      <c r="X41" s="10" t="str">
        <f t="shared" si="4"/>
        <v>NA</v>
      </c>
      <c r="Y41" s="10" t="str">
        <f t="shared" si="5"/>
        <v>NA</v>
      </c>
      <c r="Z41" s="10" t="str">
        <f t="shared" si="6"/>
        <v>NA</v>
      </c>
      <c r="AA41" s="10" t="str">
        <f t="shared" si="7"/>
        <v>NA</v>
      </c>
      <c r="AB41" s="10" t="str">
        <f t="shared" si="8"/>
        <v>NA</v>
      </c>
      <c r="AC41" s="10" t="str">
        <f t="shared" si="9"/>
        <v>NA</v>
      </c>
      <c r="AD41" s="10" t="str">
        <f t="shared" si="10"/>
        <v>NA</v>
      </c>
      <c r="AE41" s="10" t="str">
        <f t="shared" si="11"/>
        <v>NA</v>
      </c>
      <c r="AF41" s="1" t="s">
        <v>927</v>
      </c>
    </row>
    <row r="42" spans="1:32" x14ac:dyDescent="0.2">
      <c r="A42" s="1" t="s">
        <v>926</v>
      </c>
      <c r="B42" s="1" t="s">
        <v>5</v>
      </c>
      <c r="C42" s="1" t="s">
        <v>1575</v>
      </c>
      <c r="D42" s="1" t="s">
        <v>1580</v>
      </c>
      <c r="E42" s="1" t="s">
        <v>1694</v>
      </c>
      <c r="F42" s="1" t="s">
        <v>68</v>
      </c>
      <c r="G42" s="4">
        <v>0.26869999999999999</v>
      </c>
      <c r="H42" s="28">
        <v>41090</v>
      </c>
      <c r="I42" s="29">
        <f t="shared" si="0"/>
        <v>2012</v>
      </c>
      <c r="J42" s="1" t="s">
        <v>2168</v>
      </c>
      <c r="K42" s="1" t="s">
        <v>7</v>
      </c>
      <c r="L42" s="11" t="str">
        <f t="shared" si="1"/>
        <v>НЕТ</v>
      </c>
      <c r="M42" s="10" t="s">
        <v>1575</v>
      </c>
      <c r="N42" s="10" t="s">
        <v>1575</v>
      </c>
      <c r="O42" s="10">
        <v>0.1</v>
      </c>
      <c r="P42" s="10">
        <f t="shared" si="2"/>
        <v>0.3721622627465575</v>
      </c>
      <c r="Q42" s="10" t="str">
        <f t="shared" si="3"/>
        <v>NA</v>
      </c>
      <c r="R42" s="10" t="s">
        <v>1575</v>
      </c>
      <c r="S42" s="10" t="s">
        <v>1575</v>
      </c>
      <c r="T42" s="10" t="s">
        <v>1575</v>
      </c>
      <c r="U42" s="10" t="s">
        <v>1575</v>
      </c>
      <c r="V42" s="10" t="s">
        <v>1575</v>
      </c>
      <c r="W42" s="10" t="s">
        <v>1575</v>
      </c>
      <c r="X42" s="10" t="str">
        <f t="shared" si="4"/>
        <v>NA</v>
      </c>
      <c r="Y42" s="10" t="str">
        <f t="shared" si="5"/>
        <v>NA</v>
      </c>
      <c r="Z42" s="10" t="str">
        <f t="shared" si="6"/>
        <v>NA</v>
      </c>
      <c r="AA42" s="10" t="str">
        <f t="shared" si="7"/>
        <v>NA</v>
      </c>
      <c r="AB42" s="10" t="str">
        <f t="shared" si="8"/>
        <v>NA</v>
      </c>
      <c r="AC42" s="10" t="str">
        <f t="shared" si="9"/>
        <v>NA</v>
      </c>
      <c r="AD42" s="10" t="str">
        <f t="shared" si="10"/>
        <v>NA</v>
      </c>
      <c r="AE42" s="10" t="str">
        <f t="shared" si="11"/>
        <v>NA</v>
      </c>
      <c r="AF42" s="1" t="s">
        <v>928</v>
      </c>
    </row>
    <row r="43" spans="1:32" x14ac:dyDescent="0.2">
      <c r="A43" s="1" t="s">
        <v>918</v>
      </c>
      <c r="B43" s="1" t="s">
        <v>5</v>
      </c>
      <c r="C43" s="1" t="s">
        <v>3198</v>
      </c>
      <c r="D43" s="1" t="s">
        <v>1580</v>
      </c>
      <c r="E43" s="1" t="s">
        <v>1694</v>
      </c>
      <c r="F43" s="1" t="s">
        <v>68</v>
      </c>
      <c r="G43" s="4">
        <f>80.57%-46.48%</f>
        <v>0.34089999999999998</v>
      </c>
      <c r="H43" s="28">
        <v>41182</v>
      </c>
      <c r="I43" s="29">
        <f t="shared" si="0"/>
        <v>2012</v>
      </c>
      <c r="J43" s="1" t="s">
        <v>2168</v>
      </c>
      <c r="K43" s="1" t="s">
        <v>7</v>
      </c>
      <c r="L43" s="11" t="str">
        <f t="shared" si="1"/>
        <v>НЕТ</v>
      </c>
      <c r="M43" s="10" t="s">
        <v>1575</v>
      </c>
      <c r="N43" s="10" t="s">
        <v>1575</v>
      </c>
      <c r="O43" s="10">
        <v>50.2</v>
      </c>
      <c r="P43" s="10">
        <f t="shared" si="2"/>
        <v>147.25726019360519</v>
      </c>
      <c r="Q43" s="10" t="str">
        <f t="shared" si="3"/>
        <v>NA</v>
      </c>
      <c r="R43" s="10" t="s">
        <v>1575</v>
      </c>
      <c r="S43" s="10" t="s">
        <v>1575</v>
      </c>
      <c r="T43" s="10" t="s">
        <v>1575</v>
      </c>
      <c r="U43" s="10">
        <v>7.5</v>
      </c>
      <c r="V43" s="10">
        <v>80.400000000000006</v>
      </c>
      <c r="W43" s="10" t="s">
        <v>1575</v>
      </c>
      <c r="X43" s="10" t="str">
        <f t="shared" si="4"/>
        <v>NA</v>
      </c>
      <c r="Y43" s="10" t="str">
        <f t="shared" si="5"/>
        <v>NA</v>
      </c>
      <c r="Z43" s="10">
        <f t="shared" si="6"/>
        <v>19.634301359147358</v>
      </c>
      <c r="AA43" s="10">
        <f t="shared" si="7"/>
        <v>1.8315579626070295</v>
      </c>
      <c r="AB43" s="10" t="str">
        <f t="shared" si="8"/>
        <v>NA</v>
      </c>
      <c r="AC43" s="10" t="str">
        <f t="shared" si="9"/>
        <v>NA</v>
      </c>
      <c r="AD43" s="10" t="str">
        <f t="shared" si="10"/>
        <v>NA</v>
      </c>
      <c r="AE43" s="10" t="str">
        <f t="shared" si="11"/>
        <v>NA</v>
      </c>
      <c r="AF43" s="1" t="s">
        <v>923</v>
      </c>
    </row>
    <row r="44" spans="1:32" x14ac:dyDescent="0.2">
      <c r="A44" s="1" t="s">
        <v>918</v>
      </c>
      <c r="B44" s="1" t="s">
        <v>5</v>
      </c>
      <c r="C44" s="1" t="s">
        <v>3198</v>
      </c>
      <c r="D44" s="1" t="s">
        <v>1580</v>
      </c>
      <c r="E44" s="1" t="s">
        <v>1694</v>
      </c>
      <c r="F44" s="1" t="s">
        <v>68</v>
      </c>
      <c r="G44" s="4">
        <f>95.52%-46.48%-34.09%-14.28%</f>
        <v>6.6999999999999282E-3</v>
      </c>
      <c r="H44" s="28">
        <v>41090</v>
      </c>
      <c r="I44" s="29">
        <f t="shared" si="0"/>
        <v>2012</v>
      </c>
      <c r="J44" s="1" t="s">
        <v>2168</v>
      </c>
      <c r="K44" s="1" t="s">
        <v>7</v>
      </c>
      <c r="L44" s="11" t="str">
        <f t="shared" si="1"/>
        <v>НЕТ</v>
      </c>
      <c r="M44" s="10" t="s">
        <v>1575</v>
      </c>
      <c r="N44" s="10" t="s">
        <v>1575</v>
      </c>
      <c r="O44" s="10">
        <f>0.1+1.6</f>
        <v>1.7000000000000002</v>
      </c>
      <c r="P44" s="10">
        <f t="shared" si="2"/>
        <v>253.73134328358483</v>
      </c>
      <c r="Q44" s="10" t="str">
        <f t="shared" si="3"/>
        <v>NA</v>
      </c>
      <c r="R44" s="10" t="s">
        <v>1575</v>
      </c>
      <c r="S44" s="10" t="s">
        <v>1575</v>
      </c>
      <c r="T44" s="10" t="s">
        <v>1575</v>
      </c>
      <c r="U44" s="10">
        <v>7.5</v>
      </c>
      <c r="V44" s="10">
        <v>80.400000000000006</v>
      </c>
      <c r="W44" s="10" t="s">
        <v>1575</v>
      </c>
      <c r="X44" s="10" t="str">
        <f t="shared" si="4"/>
        <v>NA</v>
      </c>
      <c r="Y44" s="10" t="str">
        <f t="shared" si="5"/>
        <v>NA</v>
      </c>
      <c r="Z44" s="10">
        <f t="shared" si="6"/>
        <v>33.830845771144645</v>
      </c>
      <c r="AA44" s="10">
        <f t="shared" si="7"/>
        <v>3.1558624786515526</v>
      </c>
      <c r="AB44" s="10" t="str">
        <f t="shared" si="8"/>
        <v>NA</v>
      </c>
      <c r="AC44" s="10" t="str">
        <f t="shared" si="9"/>
        <v>NA</v>
      </c>
      <c r="AD44" s="10" t="str">
        <f t="shared" si="10"/>
        <v>NA</v>
      </c>
      <c r="AE44" s="10" t="str">
        <f t="shared" si="11"/>
        <v>NA</v>
      </c>
      <c r="AF44" s="1" t="s">
        <v>921</v>
      </c>
    </row>
    <row r="45" spans="1:32" x14ac:dyDescent="0.2">
      <c r="A45" s="1" t="s">
        <v>915</v>
      </c>
      <c r="B45" s="1" t="s">
        <v>5</v>
      </c>
      <c r="C45" s="1" t="s">
        <v>1575</v>
      </c>
      <c r="D45" s="1" t="s">
        <v>1584</v>
      </c>
      <c r="E45" s="1" t="s">
        <v>1586</v>
      </c>
      <c r="F45" s="1" t="s">
        <v>66</v>
      </c>
      <c r="G45" s="6" t="s">
        <v>917</v>
      </c>
      <c r="H45" s="28">
        <v>41152</v>
      </c>
      <c r="I45" s="29">
        <f t="shared" si="0"/>
        <v>2012</v>
      </c>
      <c r="J45" s="1" t="s">
        <v>7</v>
      </c>
      <c r="K45" s="1" t="s">
        <v>2168</v>
      </c>
      <c r="L45" s="11" t="str">
        <f t="shared" si="1"/>
        <v>НЕТ</v>
      </c>
      <c r="M45" s="10" t="s">
        <v>1575</v>
      </c>
      <c r="N45" s="10" t="s">
        <v>1575</v>
      </c>
      <c r="O45" s="10">
        <f>(33812+28177)*24010/1000000000</f>
        <v>1.48835589</v>
      </c>
      <c r="P45" s="10" t="str">
        <f t="shared" si="2"/>
        <v>NA</v>
      </c>
      <c r="Q45" s="10" t="str">
        <f t="shared" si="3"/>
        <v>NA</v>
      </c>
      <c r="R45" s="10" t="s">
        <v>1575</v>
      </c>
      <c r="S45" s="10" t="s">
        <v>1575</v>
      </c>
      <c r="T45" s="10" t="s">
        <v>1575</v>
      </c>
      <c r="U45" s="10" t="s">
        <v>1575</v>
      </c>
      <c r="V45" s="10" t="s">
        <v>1575</v>
      </c>
      <c r="W45" s="10" t="s">
        <v>1575</v>
      </c>
      <c r="X45" s="10" t="str">
        <f t="shared" si="4"/>
        <v>NA</v>
      </c>
      <c r="Y45" s="10" t="str">
        <f t="shared" si="5"/>
        <v>NA</v>
      </c>
      <c r="Z45" s="10" t="str">
        <f t="shared" si="6"/>
        <v>NA</v>
      </c>
      <c r="AA45" s="10" t="str">
        <f t="shared" si="7"/>
        <v>NA</v>
      </c>
      <c r="AB45" s="10" t="str">
        <f t="shared" si="8"/>
        <v>NA</v>
      </c>
      <c r="AC45" s="10" t="str">
        <f t="shared" si="9"/>
        <v>NA</v>
      </c>
      <c r="AD45" s="10" t="str">
        <f t="shared" si="10"/>
        <v>NA</v>
      </c>
      <c r="AE45" s="10" t="str">
        <f t="shared" si="11"/>
        <v>NA</v>
      </c>
      <c r="AF45" s="1" t="s">
        <v>916</v>
      </c>
    </row>
    <row r="46" spans="1:32" x14ac:dyDescent="0.2">
      <c r="A46" s="1" t="s">
        <v>866</v>
      </c>
      <c r="B46" s="1" t="s">
        <v>5</v>
      </c>
      <c r="C46" s="1" t="s">
        <v>1575</v>
      </c>
      <c r="D46" s="1" t="s">
        <v>1601</v>
      </c>
      <c r="E46" s="1" t="s">
        <v>1602</v>
      </c>
      <c r="F46" s="1" t="s">
        <v>1563</v>
      </c>
      <c r="G46" s="4" t="s">
        <v>1575</v>
      </c>
      <c r="H46" s="28">
        <v>41152</v>
      </c>
      <c r="I46" s="29">
        <f t="shared" si="0"/>
        <v>2012</v>
      </c>
      <c r="J46" s="1" t="s">
        <v>2168</v>
      </c>
      <c r="K46" s="1" t="s">
        <v>7</v>
      </c>
      <c r="L46" s="11" t="str">
        <f t="shared" si="1"/>
        <v>НЕТ</v>
      </c>
      <c r="M46" s="10" t="s">
        <v>1575</v>
      </c>
      <c r="N46" s="10" t="s">
        <v>1575</v>
      </c>
      <c r="O46" s="10" t="s">
        <v>1575</v>
      </c>
      <c r="P46" s="10" t="str">
        <f t="shared" si="2"/>
        <v>NA</v>
      </c>
      <c r="Q46" s="10" t="str">
        <f t="shared" si="3"/>
        <v>NA</v>
      </c>
      <c r="R46" s="10" t="s">
        <v>1575</v>
      </c>
      <c r="S46" s="10" t="s">
        <v>1575</v>
      </c>
      <c r="T46" s="10" t="s">
        <v>1575</v>
      </c>
      <c r="U46" s="10" t="s">
        <v>1575</v>
      </c>
      <c r="V46" s="10" t="s">
        <v>1575</v>
      </c>
      <c r="W46" s="10" t="s">
        <v>1575</v>
      </c>
      <c r="X46" s="10" t="str">
        <f t="shared" si="4"/>
        <v>NA</v>
      </c>
      <c r="Y46" s="10" t="str">
        <f t="shared" si="5"/>
        <v>NA</v>
      </c>
      <c r="Z46" s="10" t="str">
        <f t="shared" si="6"/>
        <v>NA</v>
      </c>
      <c r="AA46" s="10" t="str">
        <f t="shared" si="7"/>
        <v>NA</v>
      </c>
      <c r="AB46" s="10" t="str">
        <f t="shared" si="8"/>
        <v>NA</v>
      </c>
      <c r="AC46" s="10" t="str">
        <f t="shared" si="9"/>
        <v>NA</v>
      </c>
      <c r="AD46" s="10" t="str">
        <f t="shared" si="10"/>
        <v>NA</v>
      </c>
      <c r="AE46" s="10" t="str">
        <f t="shared" si="11"/>
        <v>NA</v>
      </c>
      <c r="AF46" s="1" t="s">
        <v>914</v>
      </c>
    </row>
    <row r="47" spans="1:32" x14ac:dyDescent="0.2">
      <c r="A47" s="1" t="s">
        <v>913</v>
      </c>
      <c r="B47" s="1" t="s">
        <v>5</v>
      </c>
      <c r="C47" s="1" t="s">
        <v>1575</v>
      </c>
      <c r="D47" s="1" t="s">
        <v>1584</v>
      </c>
      <c r="E47" s="1" t="s">
        <v>1586</v>
      </c>
      <c r="F47" s="1" t="s">
        <v>66</v>
      </c>
      <c r="G47" s="4" t="s">
        <v>1575</v>
      </c>
      <c r="H47" s="28">
        <v>41274</v>
      </c>
      <c r="I47" s="29">
        <f t="shared" si="0"/>
        <v>2012</v>
      </c>
      <c r="J47" s="1" t="s">
        <v>2168</v>
      </c>
      <c r="K47" s="1" t="s">
        <v>7</v>
      </c>
      <c r="L47" s="11" t="str">
        <f t="shared" si="1"/>
        <v>НЕТ</v>
      </c>
      <c r="M47" s="10" t="s">
        <v>1575</v>
      </c>
      <c r="N47" s="10" t="s">
        <v>1575</v>
      </c>
      <c r="O47" s="10">
        <v>0.6</v>
      </c>
      <c r="P47" s="10" t="str">
        <f t="shared" si="2"/>
        <v>NA</v>
      </c>
      <c r="Q47" s="10" t="str">
        <f t="shared" si="3"/>
        <v>NA</v>
      </c>
      <c r="R47" s="10" t="s">
        <v>1575</v>
      </c>
      <c r="S47" s="10" t="s">
        <v>1575</v>
      </c>
      <c r="T47" s="10" t="s">
        <v>1575</v>
      </c>
      <c r="U47" s="10" t="s">
        <v>1575</v>
      </c>
      <c r="V47" s="10" t="s">
        <v>1575</v>
      </c>
      <c r="W47" s="10" t="s">
        <v>1575</v>
      </c>
      <c r="X47" s="10" t="str">
        <f t="shared" si="4"/>
        <v>NA</v>
      </c>
      <c r="Y47" s="10" t="str">
        <f t="shared" si="5"/>
        <v>NA</v>
      </c>
      <c r="Z47" s="10" t="str">
        <f t="shared" si="6"/>
        <v>NA</v>
      </c>
      <c r="AA47" s="10" t="str">
        <f t="shared" si="7"/>
        <v>NA</v>
      </c>
      <c r="AB47" s="10" t="str">
        <f t="shared" si="8"/>
        <v>NA</v>
      </c>
      <c r="AC47" s="10" t="str">
        <f t="shared" si="9"/>
        <v>NA</v>
      </c>
      <c r="AD47" s="10" t="str">
        <f t="shared" si="10"/>
        <v>NA</v>
      </c>
      <c r="AE47" s="10" t="str">
        <f t="shared" si="11"/>
        <v>NA</v>
      </c>
      <c r="AF47" s="1" t="s">
        <v>912</v>
      </c>
    </row>
    <row r="48" spans="1:32" x14ac:dyDescent="0.2">
      <c r="A48" s="1" t="s">
        <v>66</v>
      </c>
      <c r="B48" s="1" t="s">
        <v>5</v>
      </c>
      <c r="C48" s="1" t="s">
        <v>1575</v>
      </c>
      <c r="D48" s="1" t="s">
        <v>1584</v>
      </c>
      <c r="E48" s="1" t="s">
        <v>1586</v>
      </c>
      <c r="F48" s="1" t="s">
        <v>66</v>
      </c>
      <c r="G48" s="4" t="s">
        <v>1575</v>
      </c>
      <c r="H48" s="28">
        <v>41274</v>
      </c>
      <c r="I48" s="29">
        <f t="shared" si="0"/>
        <v>2012</v>
      </c>
      <c r="J48" s="1" t="s">
        <v>2168</v>
      </c>
      <c r="K48" s="1" t="s">
        <v>7</v>
      </c>
      <c r="L48" s="11" t="str">
        <f t="shared" si="1"/>
        <v>НЕТ</v>
      </c>
      <c r="M48" s="10" t="s">
        <v>1575</v>
      </c>
      <c r="N48" s="10" t="s">
        <v>1575</v>
      </c>
      <c r="O48" s="10">
        <v>1.2</v>
      </c>
      <c r="P48" s="10" t="str">
        <f t="shared" si="2"/>
        <v>NA</v>
      </c>
      <c r="Q48" s="10" t="str">
        <f t="shared" si="3"/>
        <v>NA</v>
      </c>
      <c r="R48" s="10" t="s">
        <v>1575</v>
      </c>
      <c r="S48" s="10" t="s">
        <v>1575</v>
      </c>
      <c r="T48" s="10" t="s">
        <v>1575</v>
      </c>
      <c r="U48" s="10" t="s">
        <v>1575</v>
      </c>
      <c r="V48" s="10" t="s">
        <v>1575</v>
      </c>
      <c r="W48" s="10" t="s">
        <v>1575</v>
      </c>
      <c r="X48" s="10" t="str">
        <f t="shared" si="4"/>
        <v>NA</v>
      </c>
      <c r="Y48" s="10" t="str">
        <f t="shared" si="5"/>
        <v>NA</v>
      </c>
      <c r="Z48" s="10" t="str">
        <f t="shared" si="6"/>
        <v>NA</v>
      </c>
      <c r="AA48" s="10" t="str">
        <f t="shared" si="7"/>
        <v>NA</v>
      </c>
      <c r="AB48" s="10" t="str">
        <f t="shared" si="8"/>
        <v>NA</v>
      </c>
      <c r="AC48" s="10" t="str">
        <f t="shared" si="9"/>
        <v>NA</v>
      </c>
      <c r="AD48" s="10" t="str">
        <f t="shared" si="10"/>
        <v>NA</v>
      </c>
      <c r="AE48" s="10" t="str">
        <f t="shared" si="11"/>
        <v>NA</v>
      </c>
      <c r="AF48" s="1" t="s">
        <v>911</v>
      </c>
    </row>
    <row r="49" spans="1:32" x14ac:dyDescent="0.2">
      <c r="A49" s="1" t="s">
        <v>909</v>
      </c>
      <c r="B49" s="1" t="s">
        <v>5</v>
      </c>
      <c r="C49" s="1" t="s">
        <v>1575</v>
      </c>
      <c r="D49" s="1" t="s">
        <v>1584</v>
      </c>
      <c r="E49" s="1" t="s">
        <v>1586</v>
      </c>
      <c r="F49" s="1" t="s">
        <v>66</v>
      </c>
      <c r="G49" s="4" t="s">
        <v>1575</v>
      </c>
      <c r="H49" s="28">
        <v>41274</v>
      </c>
      <c r="I49" s="29">
        <f t="shared" si="0"/>
        <v>2012</v>
      </c>
      <c r="J49" s="1" t="s">
        <v>2168</v>
      </c>
      <c r="K49" s="1" t="s">
        <v>7</v>
      </c>
      <c r="L49" s="11" t="str">
        <f t="shared" si="1"/>
        <v>НЕТ</v>
      </c>
      <c r="M49" s="10" t="s">
        <v>1575</v>
      </c>
      <c r="N49" s="10" t="s">
        <v>1575</v>
      </c>
      <c r="O49" s="10">
        <v>2.2000000000000002</v>
      </c>
      <c r="P49" s="10" t="str">
        <f t="shared" si="2"/>
        <v>NA</v>
      </c>
      <c r="Q49" s="10" t="str">
        <f t="shared" si="3"/>
        <v>NA</v>
      </c>
      <c r="R49" s="10" t="s">
        <v>1575</v>
      </c>
      <c r="S49" s="10" t="s">
        <v>1575</v>
      </c>
      <c r="T49" s="10" t="s">
        <v>1575</v>
      </c>
      <c r="U49" s="10" t="s">
        <v>1575</v>
      </c>
      <c r="V49" s="10" t="s">
        <v>1575</v>
      </c>
      <c r="W49" s="10" t="s">
        <v>1575</v>
      </c>
      <c r="X49" s="10" t="str">
        <f t="shared" si="4"/>
        <v>NA</v>
      </c>
      <c r="Y49" s="10" t="str">
        <f t="shared" si="5"/>
        <v>NA</v>
      </c>
      <c r="Z49" s="10" t="str">
        <f t="shared" si="6"/>
        <v>NA</v>
      </c>
      <c r="AA49" s="10" t="str">
        <f t="shared" si="7"/>
        <v>NA</v>
      </c>
      <c r="AB49" s="10" t="str">
        <f t="shared" si="8"/>
        <v>NA</v>
      </c>
      <c r="AC49" s="10" t="str">
        <f t="shared" si="9"/>
        <v>NA</v>
      </c>
      <c r="AD49" s="10" t="str">
        <f t="shared" si="10"/>
        <v>NA</v>
      </c>
      <c r="AE49" s="10" t="str">
        <f t="shared" si="11"/>
        <v>NA</v>
      </c>
      <c r="AF49" s="1" t="s">
        <v>910</v>
      </c>
    </row>
    <row r="50" spans="1:32" x14ac:dyDescent="0.2">
      <c r="A50" s="1" t="s">
        <v>908</v>
      </c>
      <c r="B50" s="1" t="s">
        <v>5</v>
      </c>
      <c r="C50" s="1" t="s">
        <v>1575</v>
      </c>
      <c r="D50" s="1" t="s">
        <v>1600</v>
      </c>
      <c r="E50" s="1" t="s">
        <v>1653</v>
      </c>
      <c r="F50" s="1" t="s">
        <v>101</v>
      </c>
      <c r="G50" s="4">
        <f>23.08%-9.92%</f>
        <v>0.13159999999999999</v>
      </c>
      <c r="H50" s="28">
        <v>41182</v>
      </c>
      <c r="I50" s="29">
        <f t="shared" si="0"/>
        <v>2012</v>
      </c>
      <c r="J50" s="1" t="s">
        <v>2168</v>
      </c>
      <c r="K50" s="1" t="s">
        <v>7</v>
      </c>
      <c r="L50" s="11" t="str">
        <f t="shared" si="1"/>
        <v>НЕТ</v>
      </c>
      <c r="M50" s="10">
        <v>32</v>
      </c>
      <c r="N50" s="10" t="s">
        <v>1575</v>
      </c>
      <c r="O50" s="10">
        <v>1</v>
      </c>
      <c r="P50" s="10">
        <f t="shared" si="2"/>
        <v>7.5987841945288759</v>
      </c>
      <c r="Q50" s="10" t="str">
        <f t="shared" si="3"/>
        <v>NA</v>
      </c>
      <c r="R50" s="10" t="s">
        <v>1575</v>
      </c>
      <c r="S50" s="10" t="s">
        <v>1575</v>
      </c>
      <c r="T50" s="10" t="s">
        <v>1575</v>
      </c>
      <c r="U50" s="10" t="s">
        <v>1575</v>
      </c>
      <c r="V50" s="10" t="s">
        <v>1575</v>
      </c>
      <c r="W50" s="10" t="s">
        <v>1575</v>
      </c>
      <c r="X50" s="10" t="str">
        <f t="shared" si="4"/>
        <v>NA</v>
      </c>
      <c r="Y50" s="10" t="str">
        <f t="shared" si="5"/>
        <v>NA</v>
      </c>
      <c r="Z50" s="10" t="str">
        <f t="shared" si="6"/>
        <v>NA</v>
      </c>
      <c r="AA50" s="10" t="str">
        <f t="shared" si="7"/>
        <v>NA</v>
      </c>
      <c r="AB50" s="10" t="str">
        <f t="shared" si="8"/>
        <v>NA</v>
      </c>
      <c r="AC50" s="10" t="str">
        <f t="shared" si="9"/>
        <v>NA</v>
      </c>
      <c r="AD50" s="10" t="str">
        <f t="shared" si="10"/>
        <v>NA</v>
      </c>
      <c r="AE50" s="10" t="str">
        <f t="shared" si="11"/>
        <v>NA</v>
      </c>
      <c r="AF50" s="1" t="s">
        <v>884</v>
      </c>
    </row>
    <row r="51" spans="1:32" x14ac:dyDescent="0.2">
      <c r="A51" s="1" t="s">
        <v>906</v>
      </c>
      <c r="B51" s="1" t="s">
        <v>5</v>
      </c>
      <c r="C51" s="1" t="s">
        <v>1575</v>
      </c>
      <c r="D51" s="1" t="s">
        <v>1580</v>
      </c>
      <c r="E51" s="1" t="s">
        <v>5352</v>
      </c>
      <c r="F51" s="1" t="s">
        <v>907</v>
      </c>
      <c r="G51" s="4">
        <v>0.81</v>
      </c>
      <c r="H51" s="28">
        <v>41121</v>
      </c>
      <c r="I51" s="29">
        <f t="shared" si="0"/>
        <v>2012</v>
      </c>
      <c r="J51" s="1" t="s">
        <v>2168</v>
      </c>
      <c r="K51" s="1" t="s">
        <v>7</v>
      </c>
      <c r="L51" s="11" t="str">
        <f t="shared" si="1"/>
        <v>НЕТ</v>
      </c>
      <c r="M51" s="10" t="s">
        <v>1575</v>
      </c>
      <c r="N51" s="10" t="s">
        <v>1575</v>
      </c>
      <c r="O51" s="10">
        <v>0.3</v>
      </c>
      <c r="P51" s="10">
        <f t="shared" si="2"/>
        <v>0.37037037037037035</v>
      </c>
      <c r="Q51" s="10" t="str">
        <f t="shared" si="3"/>
        <v>NA</v>
      </c>
      <c r="R51" s="10" t="s">
        <v>1575</v>
      </c>
      <c r="S51" s="10" t="s">
        <v>1575</v>
      </c>
      <c r="T51" s="10" t="s">
        <v>1575</v>
      </c>
      <c r="U51" s="10" t="s">
        <v>1575</v>
      </c>
      <c r="V51" s="10" t="s">
        <v>1575</v>
      </c>
      <c r="W51" s="10" t="s">
        <v>1575</v>
      </c>
      <c r="X51" s="10" t="str">
        <f t="shared" si="4"/>
        <v>NA</v>
      </c>
      <c r="Y51" s="10" t="str">
        <f t="shared" si="5"/>
        <v>NA</v>
      </c>
      <c r="Z51" s="10" t="str">
        <f t="shared" si="6"/>
        <v>NA</v>
      </c>
      <c r="AA51" s="10" t="str">
        <f t="shared" si="7"/>
        <v>NA</v>
      </c>
      <c r="AB51" s="10" t="str">
        <f t="shared" si="8"/>
        <v>NA</v>
      </c>
      <c r="AC51" s="10" t="str">
        <f t="shared" si="9"/>
        <v>NA</v>
      </c>
      <c r="AD51" s="10" t="str">
        <f t="shared" si="10"/>
        <v>NA</v>
      </c>
      <c r="AE51" s="10" t="str">
        <f t="shared" si="11"/>
        <v>NA</v>
      </c>
      <c r="AF51" s="1" t="s">
        <v>888</v>
      </c>
    </row>
    <row r="52" spans="1:32" x14ac:dyDescent="0.2">
      <c r="A52" s="1" t="s">
        <v>2217</v>
      </c>
      <c r="B52" s="1" t="s">
        <v>5</v>
      </c>
      <c r="C52" s="1" t="s">
        <v>1575</v>
      </c>
      <c r="D52" s="1" t="s">
        <v>1584</v>
      </c>
      <c r="E52" s="1" t="s">
        <v>3486</v>
      </c>
      <c r="F52" s="1" t="s">
        <v>46</v>
      </c>
      <c r="G52" s="4">
        <v>1</v>
      </c>
      <c r="H52" s="28">
        <v>41090</v>
      </c>
      <c r="I52" s="29">
        <f t="shared" si="0"/>
        <v>2012</v>
      </c>
      <c r="J52" s="1" t="s">
        <v>2168</v>
      </c>
      <c r="K52" s="1" t="s">
        <v>7</v>
      </c>
      <c r="L52" s="11" t="str">
        <f t="shared" si="1"/>
        <v>НЕТ</v>
      </c>
      <c r="M52" s="10" t="s">
        <v>1575</v>
      </c>
      <c r="N52" s="10" t="s">
        <v>1575</v>
      </c>
      <c r="O52" s="10">
        <v>1</v>
      </c>
      <c r="P52" s="10">
        <f t="shared" si="2"/>
        <v>1</v>
      </c>
      <c r="Q52" s="10" t="str">
        <f t="shared" si="3"/>
        <v>NA</v>
      </c>
      <c r="R52" s="10" t="s">
        <v>1575</v>
      </c>
      <c r="S52" s="10" t="s">
        <v>1575</v>
      </c>
      <c r="T52" s="10" t="s">
        <v>1575</v>
      </c>
      <c r="U52" s="10" t="s">
        <v>1575</v>
      </c>
      <c r="V52" s="10" t="s">
        <v>1575</v>
      </c>
      <c r="W52" s="10" t="s">
        <v>1575</v>
      </c>
      <c r="X52" s="10" t="str">
        <f t="shared" si="4"/>
        <v>NA</v>
      </c>
      <c r="Y52" s="10" t="str">
        <f t="shared" si="5"/>
        <v>NA</v>
      </c>
      <c r="Z52" s="10" t="str">
        <f t="shared" si="6"/>
        <v>NA</v>
      </c>
      <c r="AA52" s="10" t="str">
        <f t="shared" si="7"/>
        <v>NA</v>
      </c>
      <c r="AB52" s="10" t="str">
        <f t="shared" si="8"/>
        <v>NA</v>
      </c>
      <c r="AC52" s="10" t="str">
        <f t="shared" si="9"/>
        <v>NA</v>
      </c>
      <c r="AD52" s="10" t="str">
        <f t="shared" si="10"/>
        <v>NA</v>
      </c>
      <c r="AE52" s="10" t="str">
        <f t="shared" si="11"/>
        <v>NA</v>
      </c>
      <c r="AF52" s="1" t="s">
        <v>925</v>
      </c>
    </row>
    <row r="53" spans="1:32" x14ac:dyDescent="0.2">
      <c r="A53" s="1" t="s">
        <v>759</v>
      </c>
      <c r="B53" s="1" t="s">
        <v>179</v>
      </c>
      <c r="C53" s="1" t="s">
        <v>1575</v>
      </c>
      <c r="D53" s="1" t="s">
        <v>1578</v>
      </c>
      <c r="E53" s="1" t="s">
        <v>1599</v>
      </c>
      <c r="F53" s="1" t="s">
        <v>551</v>
      </c>
      <c r="G53" s="4">
        <v>0.48799999999999999</v>
      </c>
      <c r="H53" s="28">
        <v>41090</v>
      </c>
      <c r="I53" s="29">
        <f t="shared" si="0"/>
        <v>2012</v>
      </c>
      <c r="J53" s="1" t="s">
        <v>2168</v>
      </c>
      <c r="K53" s="1" t="s">
        <v>7</v>
      </c>
      <c r="L53" s="11" t="str">
        <f t="shared" si="1"/>
        <v>НЕТ</v>
      </c>
      <c r="M53" s="10">
        <v>50</v>
      </c>
      <c r="N53" s="10" t="s">
        <v>1575</v>
      </c>
      <c r="O53" s="10">
        <v>1.6</v>
      </c>
      <c r="P53" s="10">
        <f t="shared" si="2"/>
        <v>3.278688524590164</v>
      </c>
      <c r="Q53" s="10" t="str">
        <f t="shared" si="3"/>
        <v>NA</v>
      </c>
      <c r="R53" s="10" t="s">
        <v>1575</v>
      </c>
      <c r="S53" s="10" t="s">
        <v>1575</v>
      </c>
      <c r="T53" s="10" t="s">
        <v>1575</v>
      </c>
      <c r="U53" s="10" t="s">
        <v>1575</v>
      </c>
      <c r="V53" s="10" t="s">
        <v>1575</v>
      </c>
      <c r="W53" s="10" t="s">
        <v>1575</v>
      </c>
      <c r="X53" s="10" t="str">
        <f t="shared" si="4"/>
        <v>NA</v>
      </c>
      <c r="Y53" s="10" t="str">
        <f t="shared" si="5"/>
        <v>NA</v>
      </c>
      <c r="Z53" s="10" t="str">
        <f t="shared" si="6"/>
        <v>NA</v>
      </c>
      <c r="AA53" s="10" t="str">
        <f t="shared" si="7"/>
        <v>NA</v>
      </c>
      <c r="AB53" s="10" t="str">
        <f t="shared" si="8"/>
        <v>NA</v>
      </c>
      <c r="AC53" s="10" t="str">
        <f t="shared" si="9"/>
        <v>NA</v>
      </c>
      <c r="AD53" s="10" t="str">
        <f t="shared" si="10"/>
        <v>NA</v>
      </c>
      <c r="AE53" s="10" t="str">
        <f t="shared" si="11"/>
        <v>NA</v>
      </c>
      <c r="AF53" s="1" t="s">
        <v>883</v>
      </c>
    </row>
    <row r="54" spans="1:32" x14ac:dyDescent="0.2">
      <c r="A54" s="1" t="s">
        <v>904</v>
      </c>
      <c r="B54" s="1" t="s">
        <v>5</v>
      </c>
      <c r="C54" s="1" t="s">
        <v>1575</v>
      </c>
      <c r="D54" s="1" t="s">
        <v>1580</v>
      </c>
      <c r="E54" s="1" t="s">
        <v>1694</v>
      </c>
      <c r="F54" s="1" t="s">
        <v>68</v>
      </c>
      <c r="G54" s="4">
        <f>99.66%-74.62%</f>
        <v>0.25039999999999984</v>
      </c>
      <c r="H54" s="28">
        <v>41182</v>
      </c>
      <c r="I54" s="29">
        <f t="shared" si="0"/>
        <v>2012</v>
      </c>
      <c r="J54" s="1" t="s">
        <v>2168</v>
      </c>
      <c r="K54" s="1" t="s">
        <v>7</v>
      </c>
      <c r="L54" s="11" t="str">
        <f t="shared" si="1"/>
        <v>НЕТ</v>
      </c>
      <c r="M54" s="10" t="s">
        <v>1575</v>
      </c>
      <c r="N54" s="10" t="s">
        <v>1575</v>
      </c>
      <c r="O54" s="10">
        <f>7.6+571650529*38.67/1000000000</f>
        <v>29.705725956430001</v>
      </c>
      <c r="P54" s="10">
        <f t="shared" si="2"/>
        <v>118.63309088031158</v>
      </c>
      <c r="Q54" s="10" t="str">
        <f t="shared" si="3"/>
        <v>NA</v>
      </c>
      <c r="R54" s="10" t="s">
        <v>1575</v>
      </c>
      <c r="S54" s="10" t="s">
        <v>1575</v>
      </c>
      <c r="T54" s="10" t="s">
        <v>1575</v>
      </c>
      <c r="U54" s="10" t="s">
        <v>1575</v>
      </c>
      <c r="V54" s="10">
        <v>30.4</v>
      </c>
      <c r="W54" s="10" t="s">
        <v>1575</v>
      </c>
      <c r="X54" s="10" t="str">
        <f t="shared" si="4"/>
        <v>NA</v>
      </c>
      <c r="Y54" s="10" t="str">
        <f t="shared" si="5"/>
        <v>NA</v>
      </c>
      <c r="Z54" s="10" t="str">
        <f t="shared" si="6"/>
        <v>NA</v>
      </c>
      <c r="AA54" s="10">
        <f t="shared" si="7"/>
        <v>3.9024043052734076</v>
      </c>
      <c r="AB54" s="10" t="str">
        <f t="shared" si="8"/>
        <v>NA</v>
      </c>
      <c r="AC54" s="10" t="str">
        <f t="shared" si="9"/>
        <v>NA</v>
      </c>
      <c r="AD54" s="10" t="str">
        <f t="shared" si="10"/>
        <v>NA</v>
      </c>
      <c r="AE54" s="10" t="str">
        <f t="shared" si="11"/>
        <v>NA</v>
      </c>
      <c r="AF54" s="1" t="s">
        <v>887</v>
      </c>
    </row>
    <row r="55" spans="1:32" x14ac:dyDescent="0.2">
      <c r="A55" s="1" t="s">
        <v>817</v>
      </c>
      <c r="B55" s="1" t="s">
        <v>5</v>
      </c>
      <c r="C55" s="1" t="s">
        <v>1575</v>
      </c>
      <c r="D55" s="1" t="s">
        <v>1580</v>
      </c>
      <c r="E55" s="1" t="s">
        <v>1694</v>
      </c>
      <c r="F55" s="1" t="s">
        <v>68</v>
      </c>
      <c r="G55" s="4">
        <v>0.4511</v>
      </c>
      <c r="H55" s="28">
        <v>40967</v>
      </c>
      <c r="I55" s="29">
        <f t="shared" si="0"/>
        <v>2012</v>
      </c>
      <c r="J55" s="1" t="s">
        <v>2168</v>
      </c>
      <c r="K55" s="1" t="s">
        <v>7</v>
      </c>
      <c r="L55" s="11" t="str">
        <f t="shared" si="1"/>
        <v>НЕТ</v>
      </c>
      <c r="M55" s="10" t="s">
        <v>1575</v>
      </c>
      <c r="N55" s="10" t="s">
        <v>1575</v>
      </c>
      <c r="O55" s="10">
        <v>0.4</v>
      </c>
      <c r="P55" s="10">
        <f t="shared" si="2"/>
        <v>0.88672134781644874</v>
      </c>
      <c r="Q55" s="10" t="str">
        <f t="shared" si="3"/>
        <v>NA</v>
      </c>
      <c r="R55" s="10" t="s">
        <v>1575</v>
      </c>
      <c r="S55" s="10" t="s">
        <v>1575</v>
      </c>
      <c r="T55" s="10" t="s">
        <v>1575</v>
      </c>
      <c r="U55" s="10" t="s">
        <v>1575</v>
      </c>
      <c r="V55" s="10" t="s">
        <v>1575</v>
      </c>
      <c r="W55" s="10" t="s">
        <v>1575</v>
      </c>
      <c r="X55" s="10" t="str">
        <f t="shared" si="4"/>
        <v>NA</v>
      </c>
      <c r="Y55" s="10" t="str">
        <f t="shared" si="5"/>
        <v>NA</v>
      </c>
      <c r="Z55" s="10" t="str">
        <f t="shared" si="6"/>
        <v>NA</v>
      </c>
      <c r="AA55" s="10" t="str">
        <f t="shared" si="7"/>
        <v>NA</v>
      </c>
      <c r="AB55" s="10" t="str">
        <f t="shared" si="8"/>
        <v>NA</v>
      </c>
      <c r="AC55" s="10" t="str">
        <f t="shared" si="9"/>
        <v>NA</v>
      </c>
      <c r="AD55" s="10" t="str">
        <f t="shared" si="10"/>
        <v>NA</v>
      </c>
      <c r="AE55" s="10" t="str">
        <f t="shared" si="11"/>
        <v>NA</v>
      </c>
      <c r="AF55" s="1" t="s">
        <v>886</v>
      </c>
    </row>
    <row r="56" spans="1:32" x14ac:dyDescent="0.2">
      <c r="A56" s="1" t="s">
        <v>882</v>
      </c>
      <c r="B56" s="1" t="s">
        <v>183</v>
      </c>
      <c r="C56" s="1" t="s">
        <v>1575</v>
      </c>
      <c r="D56" s="1" t="s">
        <v>1584</v>
      </c>
      <c r="E56" s="1" t="s">
        <v>3486</v>
      </c>
      <c r="F56" s="1" t="s">
        <v>46</v>
      </c>
      <c r="G56" s="4">
        <v>0.5</v>
      </c>
      <c r="H56" s="28">
        <v>40939</v>
      </c>
      <c r="I56" s="29">
        <f t="shared" si="0"/>
        <v>2012</v>
      </c>
      <c r="J56" s="1" t="s">
        <v>2168</v>
      </c>
      <c r="K56" s="1" t="s">
        <v>7</v>
      </c>
      <c r="L56" s="11" t="str">
        <f t="shared" si="1"/>
        <v>НЕТ</v>
      </c>
      <c r="M56" s="10" t="s">
        <v>1575</v>
      </c>
      <c r="N56" s="10" t="s">
        <v>1575</v>
      </c>
      <c r="O56" s="10">
        <v>1.3</v>
      </c>
      <c r="P56" s="10">
        <f t="shared" si="2"/>
        <v>2.6</v>
      </c>
      <c r="Q56" s="10" t="str">
        <f t="shared" si="3"/>
        <v>NA</v>
      </c>
      <c r="R56" s="10" t="s">
        <v>1575</v>
      </c>
      <c r="S56" s="10" t="s">
        <v>1575</v>
      </c>
      <c r="T56" s="10" t="s">
        <v>1575</v>
      </c>
      <c r="U56" s="10" t="s">
        <v>1575</v>
      </c>
      <c r="V56" s="10" t="s">
        <v>1575</v>
      </c>
      <c r="W56" s="10" t="s">
        <v>1575</v>
      </c>
      <c r="X56" s="10" t="str">
        <f t="shared" si="4"/>
        <v>NA</v>
      </c>
      <c r="Y56" s="10" t="str">
        <f t="shared" si="5"/>
        <v>NA</v>
      </c>
      <c r="Z56" s="10" t="str">
        <f t="shared" si="6"/>
        <v>NA</v>
      </c>
      <c r="AA56" s="10" t="str">
        <f t="shared" si="7"/>
        <v>NA</v>
      </c>
      <c r="AB56" s="10" t="str">
        <f t="shared" si="8"/>
        <v>NA</v>
      </c>
      <c r="AC56" s="10" t="str">
        <f t="shared" si="9"/>
        <v>NA</v>
      </c>
      <c r="AD56" s="10" t="str">
        <f t="shared" si="10"/>
        <v>NA</v>
      </c>
      <c r="AE56" s="10" t="str">
        <f t="shared" si="11"/>
        <v>NA</v>
      </c>
      <c r="AF56" s="1" t="s">
        <v>885</v>
      </c>
    </row>
    <row r="57" spans="1:32" x14ac:dyDescent="0.2">
      <c r="A57" s="1" t="s">
        <v>2168</v>
      </c>
      <c r="B57" s="1" t="s">
        <v>5</v>
      </c>
      <c r="C57" s="1" t="s">
        <v>3199</v>
      </c>
      <c r="D57" s="1" t="s">
        <v>1580</v>
      </c>
      <c r="E57" s="1" t="s">
        <v>1694</v>
      </c>
      <c r="F57" s="1" t="s">
        <v>68</v>
      </c>
      <c r="G57" s="4">
        <f>83448797249/10460541337338</f>
        <v>7.97748362707929E-3</v>
      </c>
      <c r="H57" s="28">
        <v>41012</v>
      </c>
      <c r="I57" s="29">
        <f t="shared" si="0"/>
        <v>2012</v>
      </c>
      <c r="J57" s="1" t="s">
        <v>2168</v>
      </c>
      <c r="K57" s="1" t="s">
        <v>7</v>
      </c>
      <c r="L57" s="11" t="str">
        <f t="shared" ref="L57" si="14">IF(OR(A57=J57,A57=K57),"ДА","НЕТ")</f>
        <v>ДА</v>
      </c>
      <c r="M57" s="10" t="s">
        <v>1575</v>
      </c>
      <c r="N57" s="10" t="s">
        <v>1575</v>
      </c>
      <c r="O57" s="10">
        <v>11.3</v>
      </c>
      <c r="P57" s="10">
        <f t="shared" si="2"/>
        <v>1416.4867680383004</v>
      </c>
      <c r="Q57" s="10" t="str">
        <f t="shared" si="3"/>
        <v>NA</v>
      </c>
      <c r="R57" s="10" t="s">
        <v>1575</v>
      </c>
      <c r="S57" s="10" t="s">
        <v>1575</v>
      </c>
      <c r="T57" s="10" t="s">
        <v>1575</v>
      </c>
      <c r="U57" s="10">
        <v>90.5</v>
      </c>
      <c r="V57" s="10">
        <v>625.1</v>
      </c>
      <c r="W57" s="10" t="s">
        <v>1575</v>
      </c>
      <c r="X57" s="10" t="str">
        <f t="shared" si="4"/>
        <v>NA</v>
      </c>
      <c r="Y57" s="10" t="str">
        <f t="shared" si="5"/>
        <v>NA</v>
      </c>
      <c r="Z57" s="10">
        <f t="shared" si="6"/>
        <v>15.651787492135917</v>
      </c>
      <c r="AA57" s="10">
        <f t="shared" si="7"/>
        <v>2.2660162662586791</v>
      </c>
      <c r="AB57" s="10" t="str">
        <f t="shared" si="8"/>
        <v>NA</v>
      </c>
      <c r="AC57" s="10" t="str">
        <f t="shared" si="9"/>
        <v>NA</v>
      </c>
      <c r="AD57" s="10" t="str">
        <f t="shared" si="10"/>
        <v>NA</v>
      </c>
      <c r="AE57" s="10" t="str">
        <f t="shared" si="11"/>
        <v>NA</v>
      </c>
      <c r="AF57" s="1" t="s">
        <v>3200</v>
      </c>
    </row>
    <row r="58" spans="1:32" x14ac:dyDescent="0.2">
      <c r="A58" s="1" t="s">
        <v>1594</v>
      </c>
      <c r="B58" s="1" t="s">
        <v>5</v>
      </c>
      <c r="C58" s="1" t="s">
        <v>1575</v>
      </c>
      <c r="D58" s="1" t="s">
        <v>1595</v>
      </c>
      <c r="E58" s="1" t="s">
        <v>1596</v>
      </c>
      <c r="F58" s="1" t="s">
        <v>244</v>
      </c>
      <c r="G58" s="4">
        <v>1</v>
      </c>
      <c r="H58" s="28">
        <v>41394</v>
      </c>
      <c r="I58" s="29">
        <f t="shared" si="0"/>
        <v>2013</v>
      </c>
      <c r="J58" s="1" t="s">
        <v>2168</v>
      </c>
      <c r="K58" s="1" t="s">
        <v>7</v>
      </c>
      <c r="L58" s="11" t="str">
        <f t="shared" ref="L58" si="15">IF(OR(A58=J58,A58=K58),"ДА","НЕТ")</f>
        <v>НЕТ</v>
      </c>
      <c r="M58" s="10">
        <v>2400</v>
      </c>
      <c r="N58" s="10" t="s">
        <v>1575</v>
      </c>
      <c r="O58" s="10">
        <v>75.3</v>
      </c>
      <c r="P58" s="10">
        <f t="shared" si="2"/>
        <v>75.3</v>
      </c>
      <c r="Q58" s="10" t="str">
        <f t="shared" si="3"/>
        <v>NA</v>
      </c>
      <c r="R58" s="10" t="s">
        <v>1575</v>
      </c>
      <c r="S58" s="10" t="s">
        <v>1575</v>
      </c>
      <c r="T58" s="10" t="s">
        <v>1575</v>
      </c>
      <c r="U58" s="10" t="s">
        <v>1575</v>
      </c>
      <c r="V58" s="10" t="s">
        <v>1575</v>
      </c>
      <c r="W58" s="10" t="s">
        <v>1575</v>
      </c>
      <c r="X58" s="10" t="str">
        <f t="shared" si="4"/>
        <v>NA</v>
      </c>
      <c r="Y58" s="10" t="str">
        <f t="shared" si="5"/>
        <v>NA</v>
      </c>
      <c r="Z58" s="10" t="str">
        <f t="shared" si="6"/>
        <v>NA</v>
      </c>
      <c r="AA58" s="10" t="str">
        <f t="shared" si="7"/>
        <v>NA</v>
      </c>
      <c r="AB58" s="10" t="str">
        <f t="shared" si="8"/>
        <v>NA</v>
      </c>
      <c r="AC58" s="10" t="str">
        <f t="shared" si="9"/>
        <v>NA</v>
      </c>
      <c r="AD58" s="10" t="str">
        <f t="shared" si="10"/>
        <v>NA</v>
      </c>
      <c r="AE58" s="10" t="str">
        <f t="shared" si="11"/>
        <v>NA</v>
      </c>
      <c r="AF58" s="1" t="s">
        <v>891</v>
      </c>
    </row>
    <row r="59" spans="1:32" x14ac:dyDescent="0.2">
      <c r="A59" s="1" t="s">
        <v>880</v>
      </c>
      <c r="B59" s="1" t="s">
        <v>5</v>
      </c>
      <c r="C59" s="1" t="s">
        <v>1575</v>
      </c>
      <c r="D59" s="1" t="s">
        <v>1689</v>
      </c>
      <c r="E59" s="1" t="s">
        <v>1698</v>
      </c>
      <c r="F59" s="1" t="s">
        <v>583</v>
      </c>
      <c r="G59" s="4" t="s">
        <v>1575</v>
      </c>
      <c r="H59" s="28">
        <v>41639</v>
      </c>
      <c r="I59" s="29">
        <f t="shared" si="0"/>
        <v>2013</v>
      </c>
      <c r="J59" s="1" t="s">
        <v>7</v>
      </c>
      <c r="K59" s="1" t="s">
        <v>2168</v>
      </c>
      <c r="L59" s="11" t="str">
        <f t="shared" si="1"/>
        <v>НЕТ</v>
      </c>
      <c r="M59" s="10" t="s">
        <v>1575</v>
      </c>
      <c r="N59" s="10" t="s">
        <v>1575</v>
      </c>
      <c r="O59" s="10" t="s">
        <v>1575</v>
      </c>
      <c r="P59" s="10" t="str">
        <f t="shared" si="2"/>
        <v>NA</v>
      </c>
      <c r="Q59" s="10" t="str">
        <f t="shared" si="3"/>
        <v>NA</v>
      </c>
      <c r="R59" s="10" t="s">
        <v>1575</v>
      </c>
      <c r="S59" s="10" t="s">
        <v>1575</v>
      </c>
      <c r="T59" s="10" t="s">
        <v>1575</v>
      </c>
      <c r="U59" s="10" t="s">
        <v>1575</v>
      </c>
      <c r="V59" s="10" t="s">
        <v>1575</v>
      </c>
      <c r="W59" s="10" t="s">
        <v>1575</v>
      </c>
      <c r="X59" s="10" t="str">
        <f t="shared" si="4"/>
        <v>NA</v>
      </c>
      <c r="Y59" s="10" t="str">
        <f t="shared" si="5"/>
        <v>NA</v>
      </c>
      <c r="Z59" s="10" t="str">
        <f t="shared" si="6"/>
        <v>NA</v>
      </c>
      <c r="AA59" s="10" t="str">
        <f t="shared" si="7"/>
        <v>NA</v>
      </c>
      <c r="AB59" s="10" t="str">
        <f t="shared" si="8"/>
        <v>NA</v>
      </c>
      <c r="AC59" s="10" t="str">
        <f t="shared" si="9"/>
        <v>NA</v>
      </c>
      <c r="AD59" s="10" t="str">
        <f t="shared" si="10"/>
        <v>NA</v>
      </c>
      <c r="AE59" s="10" t="str">
        <f t="shared" si="11"/>
        <v>NA</v>
      </c>
      <c r="AF59" s="1" t="s">
        <v>881</v>
      </c>
    </row>
    <row r="60" spans="1:32" x14ac:dyDescent="0.2">
      <c r="A60" s="1" t="s">
        <v>878</v>
      </c>
      <c r="B60" s="1" t="s">
        <v>2216</v>
      </c>
      <c r="C60" s="1" t="s">
        <v>1575</v>
      </c>
      <c r="D60" s="1" t="s">
        <v>1580</v>
      </c>
      <c r="E60" s="1" t="s">
        <v>2057</v>
      </c>
      <c r="F60" s="1" t="s">
        <v>242</v>
      </c>
      <c r="G60" s="4">
        <v>1</v>
      </c>
      <c r="H60" s="28">
        <v>41614</v>
      </c>
      <c r="I60" s="29">
        <f t="shared" si="0"/>
        <v>2013</v>
      </c>
      <c r="J60" s="1" t="s">
        <v>2168</v>
      </c>
      <c r="K60" s="1" t="s">
        <v>7</v>
      </c>
      <c r="L60" s="11" t="str">
        <f t="shared" si="1"/>
        <v>НЕТ</v>
      </c>
      <c r="M60" s="10" t="s">
        <v>1575</v>
      </c>
      <c r="N60" s="10" t="s">
        <v>1575</v>
      </c>
      <c r="O60" s="10">
        <v>1.3</v>
      </c>
      <c r="P60" s="10">
        <f t="shared" si="2"/>
        <v>1.3</v>
      </c>
      <c r="Q60" s="10" t="str">
        <f t="shared" si="3"/>
        <v>NA</v>
      </c>
      <c r="R60" s="10" t="s">
        <v>1575</v>
      </c>
      <c r="S60" s="10" t="s">
        <v>1575</v>
      </c>
      <c r="T60" s="10" t="s">
        <v>1575</v>
      </c>
      <c r="U60" s="10" t="s">
        <v>1575</v>
      </c>
      <c r="V60" s="10">
        <v>12.5</v>
      </c>
      <c r="W60" s="10" t="s">
        <v>1575</v>
      </c>
      <c r="X60" s="10" t="str">
        <f t="shared" si="4"/>
        <v>NA</v>
      </c>
      <c r="Y60" s="10" t="str">
        <f t="shared" si="5"/>
        <v>NA</v>
      </c>
      <c r="Z60" s="10" t="str">
        <f t="shared" si="6"/>
        <v>NA</v>
      </c>
      <c r="AA60" s="10">
        <f t="shared" si="7"/>
        <v>0.10400000000000001</v>
      </c>
      <c r="AB60" s="10" t="str">
        <f t="shared" si="8"/>
        <v>NA</v>
      </c>
      <c r="AC60" s="10" t="str">
        <f t="shared" si="9"/>
        <v>NA</v>
      </c>
      <c r="AD60" s="10" t="str">
        <f t="shared" si="10"/>
        <v>NA</v>
      </c>
      <c r="AE60" s="10" t="str">
        <f t="shared" si="11"/>
        <v>NA</v>
      </c>
      <c r="AF60" s="1" t="s">
        <v>877</v>
      </c>
    </row>
    <row r="61" spans="1:32" x14ac:dyDescent="0.2">
      <c r="A61" s="1" t="s">
        <v>876</v>
      </c>
      <c r="B61" s="1" t="s">
        <v>32</v>
      </c>
      <c r="C61" s="1" t="s">
        <v>1575</v>
      </c>
      <c r="D61" s="1" t="s">
        <v>1580</v>
      </c>
      <c r="E61" s="1" t="s">
        <v>1694</v>
      </c>
      <c r="F61" s="1" t="s">
        <v>68</v>
      </c>
      <c r="G61" s="4">
        <f>100%-71.42%</f>
        <v>0.28579999999999994</v>
      </c>
      <c r="H61" s="28">
        <v>41639</v>
      </c>
      <c r="I61" s="29">
        <f t="shared" si="0"/>
        <v>2013</v>
      </c>
      <c r="J61" s="1" t="s">
        <v>2168</v>
      </c>
      <c r="K61" s="1" t="s">
        <v>7</v>
      </c>
      <c r="L61" s="11" t="str">
        <f t="shared" si="1"/>
        <v>НЕТ</v>
      </c>
      <c r="M61" s="10">
        <f>19.1+1.9</f>
        <v>21</v>
      </c>
      <c r="N61" s="10" t="s">
        <v>1575</v>
      </c>
      <c r="O61" s="10">
        <f>0.6172+0.0638</f>
        <v>0.68099999999999994</v>
      </c>
      <c r="P61" s="10">
        <f t="shared" si="2"/>
        <v>2.3827851644506652</v>
      </c>
      <c r="Q61" s="10" t="str">
        <f t="shared" si="3"/>
        <v>NA</v>
      </c>
      <c r="R61" s="10" t="s">
        <v>1575</v>
      </c>
      <c r="S61" s="10" t="s">
        <v>1575</v>
      </c>
      <c r="T61" s="10" t="s">
        <v>1575</v>
      </c>
      <c r="U61" s="10" t="s">
        <v>1575</v>
      </c>
      <c r="V61" s="10" t="s">
        <v>1575</v>
      </c>
      <c r="W61" s="10" t="s">
        <v>1575</v>
      </c>
      <c r="X61" s="10" t="str">
        <f t="shared" si="4"/>
        <v>NA</v>
      </c>
      <c r="Y61" s="10" t="str">
        <f t="shared" si="5"/>
        <v>NA</v>
      </c>
      <c r="Z61" s="10" t="str">
        <f t="shared" si="6"/>
        <v>NA</v>
      </c>
      <c r="AA61" s="10" t="str">
        <f t="shared" si="7"/>
        <v>NA</v>
      </c>
      <c r="AB61" s="10" t="str">
        <f t="shared" si="8"/>
        <v>NA</v>
      </c>
      <c r="AC61" s="10" t="str">
        <f t="shared" si="9"/>
        <v>NA</v>
      </c>
      <c r="AD61" s="10" t="str">
        <f t="shared" si="10"/>
        <v>NA</v>
      </c>
      <c r="AE61" s="10" t="str">
        <f t="shared" si="11"/>
        <v>NA</v>
      </c>
      <c r="AF61" s="1" t="s">
        <v>875</v>
      </c>
    </row>
    <row r="62" spans="1:32" x14ac:dyDescent="0.2">
      <c r="A62" s="1" t="s">
        <v>874</v>
      </c>
      <c r="B62" s="1" t="s">
        <v>5</v>
      </c>
      <c r="C62" s="1" t="s">
        <v>1575</v>
      </c>
      <c r="D62" s="1" t="s">
        <v>1580</v>
      </c>
      <c r="E62" s="1" t="s">
        <v>1590</v>
      </c>
      <c r="F62" s="1" t="s">
        <v>869</v>
      </c>
      <c r="G62" s="4">
        <v>0.79</v>
      </c>
      <c r="H62" s="28">
        <v>41425</v>
      </c>
      <c r="I62" s="29">
        <f t="shared" si="0"/>
        <v>2013</v>
      </c>
      <c r="J62" s="1" t="s">
        <v>2168</v>
      </c>
      <c r="K62" s="1" t="s">
        <v>7</v>
      </c>
      <c r="L62" s="11" t="str">
        <f t="shared" si="1"/>
        <v>НЕТ</v>
      </c>
      <c r="M62" s="10" t="s">
        <v>1575</v>
      </c>
      <c r="N62" s="10" t="s">
        <v>1575</v>
      </c>
      <c r="O62" s="10">
        <v>0.5</v>
      </c>
      <c r="P62" s="10">
        <f t="shared" si="2"/>
        <v>0.63291139240506322</v>
      </c>
      <c r="Q62" s="10" t="str">
        <f t="shared" si="3"/>
        <v>NA</v>
      </c>
      <c r="R62" s="10" t="s">
        <v>1575</v>
      </c>
      <c r="S62" s="10" t="s">
        <v>1575</v>
      </c>
      <c r="T62" s="10" t="s">
        <v>1575</v>
      </c>
      <c r="U62" s="10" t="s">
        <v>1575</v>
      </c>
      <c r="V62" s="10">
        <v>3.5</v>
      </c>
      <c r="W62" s="10" t="s">
        <v>1575</v>
      </c>
      <c r="X62" s="10" t="str">
        <f t="shared" si="4"/>
        <v>NA</v>
      </c>
      <c r="Y62" s="10" t="str">
        <f t="shared" si="5"/>
        <v>NA</v>
      </c>
      <c r="Z62" s="10" t="str">
        <f t="shared" si="6"/>
        <v>NA</v>
      </c>
      <c r="AA62" s="10">
        <f t="shared" si="7"/>
        <v>0.18083182640144663</v>
      </c>
      <c r="AB62" s="10" t="str">
        <f t="shared" si="8"/>
        <v>NA</v>
      </c>
      <c r="AC62" s="10" t="str">
        <f t="shared" si="9"/>
        <v>NA</v>
      </c>
      <c r="AD62" s="10" t="str">
        <f t="shared" si="10"/>
        <v>NA</v>
      </c>
      <c r="AE62" s="10" t="str">
        <f t="shared" si="11"/>
        <v>NA</v>
      </c>
      <c r="AF62" s="1" t="s">
        <v>873</v>
      </c>
    </row>
    <row r="63" spans="1:32" x14ac:dyDescent="0.2">
      <c r="A63" s="1" t="s">
        <v>871</v>
      </c>
      <c r="B63" s="1" t="s">
        <v>5</v>
      </c>
      <c r="C63" s="1" t="s">
        <v>1575</v>
      </c>
      <c r="D63" s="1" t="s">
        <v>1580</v>
      </c>
      <c r="E63" s="1" t="s">
        <v>1590</v>
      </c>
      <c r="F63" s="1" t="s">
        <v>869</v>
      </c>
      <c r="G63" s="4">
        <v>1</v>
      </c>
      <c r="H63" s="28">
        <v>41425</v>
      </c>
      <c r="I63" s="29">
        <f t="shared" si="0"/>
        <v>2013</v>
      </c>
      <c r="J63" s="1" t="s">
        <v>2168</v>
      </c>
      <c r="K63" s="1" t="s">
        <v>7</v>
      </c>
      <c r="L63" s="11" t="str">
        <f t="shared" si="1"/>
        <v>НЕТ</v>
      </c>
      <c r="M63" s="10" t="s">
        <v>1575</v>
      </c>
      <c r="N63" s="10" t="s">
        <v>1575</v>
      </c>
      <c r="O63" s="10">
        <v>1.3</v>
      </c>
      <c r="P63" s="10">
        <f t="shared" si="2"/>
        <v>1.3</v>
      </c>
      <c r="Q63" s="10" t="str">
        <f t="shared" si="3"/>
        <v>NA</v>
      </c>
      <c r="R63" s="10" t="s">
        <v>1575</v>
      </c>
      <c r="S63" s="10" t="s">
        <v>1575</v>
      </c>
      <c r="T63" s="10" t="s">
        <v>1575</v>
      </c>
      <c r="U63" s="10" t="s">
        <v>1575</v>
      </c>
      <c r="V63" s="10">
        <v>7.4</v>
      </c>
      <c r="W63" s="10" t="s">
        <v>1575</v>
      </c>
      <c r="X63" s="10" t="str">
        <f t="shared" si="4"/>
        <v>NA</v>
      </c>
      <c r="Y63" s="10" t="str">
        <f t="shared" si="5"/>
        <v>NA</v>
      </c>
      <c r="Z63" s="10" t="str">
        <f t="shared" si="6"/>
        <v>NA</v>
      </c>
      <c r="AA63" s="10">
        <f t="shared" si="7"/>
        <v>0.17567567567567569</v>
      </c>
      <c r="AB63" s="10" t="str">
        <f t="shared" si="8"/>
        <v>NA</v>
      </c>
      <c r="AC63" s="10" t="str">
        <f t="shared" si="9"/>
        <v>NA</v>
      </c>
      <c r="AD63" s="10" t="str">
        <f t="shared" si="10"/>
        <v>NA</v>
      </c>
      <c r="AE63" s="10" t="str">
        <f t="shared" si="11"/>
        <v>NA</v>
      </c>
      <c r="AF63" s="1" t="s">
        <v>870</v>
      </c>
    </row>
    <row r="64" spans="1:32" x14ac:dyDescent="0.2">
      <c r="A64" s="1" t="s">
        <v>868</v>
      </c>
      <c r="B64" s="1" t="s">
        <v>5</v>
      </c>
      <c r="C64" s="1" t="s">
        <v>1575</v>
      </c>
      <c r="D64" s="1" t="s">
        <v>1582</v>
      </c>
      <c r="E64" s="1" t="s">
        <v>2166</v>
      </c>
      <c r="F64" s="1" t="s">
        <v>847</v>
      </c>
      <c r="G64" s="4" t="s">
        <v>11</v>
      </c>
      <c r="H64" s="28">
        <v>41394</v>
      </c>
      <c r="I64" s="29">
        <f t="shared" ref="I64:I127" si="16">YEAR(H64)</f>
        <v>2013</v>
      </c>
      <c r="J64" s="1" t="s">
        <v>2168</v>
      </c>
      <c r="K64" s="1" t="s">
        <v>7</v>
      </c>
      <c r="L64" s="11" t="str">
        <f t="shared" si="1"/>
        <v>НЕТ</v>
      </c>
      <c r="M64" s="10" t="s">
        <v>1575</v>
      </c>
      <c r="N64" s="10" t="s">
        <v>1575</v>
      </c>
      <c r="O64" s="10" t="s">
        <v>1575</v>
      </c>
      <c r="P64" s="10" t="str">
        <f t="shared" si="2"/>
        <v>NA</v>
      </c>
      <c r="Q64" s="10" t="str">
        <f t="shared" si="3"/>
        <v>NA</v>
      </c>
      <c r="R64" s="10" t="s">
        <v>1575</v>
      </c>
      <c r="S64" s="10" t="s">
        <v>1575</v>
      </c>
      <c r="T64" s="10" t="s">
        <v>1575</v>
      </c>
      <c r="U64" s="10" t="s">
        <v>1575</v>
      </c>
      <c r="V64" s="10" t="s">
        <v>1575</v>
      </c>
      <c r="W64" s="10" t="s">
        <v>1575</v>
      </c>
      <c r="X64" s="10" t="str">
        <f t="shared" si="4"/>
        <v>NA</v>
      </c>
      <c r="Y64" s="10" t="str">
        <f t="shared" si="5"/>
        <v>NA</v>
      </c>
      <c r="Z64" s="10" t="str">
        <f t="shared" si="6"/>
        <v>NA</v>
      </c>
      <c r="AA64" s="10" t="str">
        <f t="shared" si="7"/>
        <v>NA</v>
      </c>
      <c r="AB64" s="10" t="str">
        <f t="shared" si="8"/>
        <v>NA</v>
      </c>
      <c r="AC64" s="10" t="str">
        <f t="shared" si="9"/>
        <v>NA</v>
      </c>
      <c r="AD64" s="10" t="str">
        <f t="shared" si="10"/>
        <v>NA</v>
      </c>
      <c r="AE64" s="10" t="str">
        <f t="shared" si="11"/>
        <v>NA</v>
      </c>
      <c r="AF64" s="1" t="s">
        <v>867</v>
      </c>
    </row>
    <row r="65" spans="1:32" x14ac:dyDescent="0.2">
      <c r="A65" s="1" t="s">
        <v>866</v>
      </c>
      <c r="B65" s="1" t="s">
        <v>5</v>
      </c>
      <c r="C65" s="1" t="s">
        <v>1575</v>
      </c>
      <c r="D65" s="1" t="s">
        <v>1601</v>
      </c>
      <c r="E65" s="1" t="s">
        <v>1602</v>
      </c>
      <c r="F65" s="1" t="s">
        <v>1563</v>
      </c>
      <c r="G65" s="4">
        <v>0.49</v>
      </c>
      <c r="H65" s="28">
        <v>41639</v>
      </c>
      <c r="I65" s="29">
        <f t="shared" si="16"/>
        <v>2013</v>
      </c>
      <c r="J65" s="1" t="s">
        <v>7</v>
      </c>
      <c r="K65" s="1" t="s">
        <v>2168</v>
      </c>
      <c r="L65" s="11" t="str">
        <f t="shared" ref="L65:L128" si="17">IF(OR(A65=J65,A65=K65),"ДА","НЕТ")</f>
        <v>НЕТ</v>
      </c>
      <c r="M65" s="10" t="s">
        <v>1575</v>
      </c>
      <c r="N65" s="10" t="s">
        <v>1575</v>
      </c>
      <c r="O65" s="10">
        <v>0.8</v>
      </c>
      <c r="P65" s="10">
        <f t="shared" si="2"/>
        <v>1.6326530612244898</v>
      </c>
      <c r="Q65" s="10" t="str">
        <f t="shared" si="3"/>
        <v>NA</v>
      </c>
      <c r="R65" s="10" t="s">
        <v>1575</v>
      </c>
      <c r="S65" s="10" t="s">
        <v>1575</v>
      </c>
      <c r="T65" s="10" t="s">
        <v>1575</v>
      </c>
      <c r="U65" s="10" t="s">
        <v>1575</v>
      </c>
      <c r="V65" s="10" t="s">
        <v>1575</v>
      </c>
      <c r="W65" s="10" t="s">
        <v>1575</v>
      </c>
      <c r="X65" s="10" t="str">
        <f t="shared" si="4"/>
        <v>NA</v>
      </c>
      <c r="Y65" s="10" t="str">
        <f t="shared" si="5"/>
        <v>NA</v>
      </c>
      <c r="Z65" s="10" t="str">
        <f t="shared" si="6"/>
        <v>NA</v>
      </c>
      <c r="AA65" s="10" t="str">
        <f t="shared" si="7"/>
        <v>NA</v>
      </c>
      <c r="AB65" s="10" t="str">
        <f t="shared" si="8"/>
        <v>NA</v>
      </c>
      <c r="AC65" s="10" t="str">
        <f t="shared" si="9"/>
        <v>NA</v>
      </c>
      <c r="AD65" s="10" t="str">
        <f t="shared" si="10"/>
        <v>NA</v>
      </c>
      <c r="AE65" s="10" t="str">
        <f t="shared" si="11"/>
        <v>NA</v>
      </c>
      <c r="AF65" s="1" t="s">
        <v>865</v>
      </c>
    </row>
    <row r="66" spans="1:32" x14ac:dyDescent="0.2">
      <c r="A66" s="1" t="s">
        <v>5362</v>
      </c>
      <c r="B66" s="1" t="s">
        <v>5</v>
      </c>
      <c r="C66" s="1" t="s">
        <v>1575</v>
      </c>
      <c r="D66" s="1" t="s">
        <v>1597</v>
      </c>
      <c r="E66" s="1" t="s">
        <v>1699</v>
      </c>
      <c r="F66" s="1" t="s">
        <v>4</v>
      </c>
      <c r="G66" s="4">
        <v>0.99299999999999999</v>
      </c>
      <c r="H66" s="28">
        <v>41608</v>
      </c>
      <c r="I66" s="29">
        <f t="shared" si="16"/>
        <v>2013</v>
      </c>
      <c r="J66" s="1" t="s">
        <v>2168</v>
      </c>
      <c r="K66" s="1" t="s">
        <v>7</v>
      </c>
      <c r="L66" s="11" t="str">
        <f t="shared" si="17"/>
        <v>НЕТ</v>
      </c>
      <c r="M66" s="10" t="s">
        <v>1575</v>
      </c>
      <c r="N66" s="10" t="s">
        <v>1575</v>
      </c>
      <c r="O66" s="10">
        <v>5.7</v>
      </c>
      <c r="P66" s="10">
        <f t="shared" si="2"/>
        <v>5.7401812688821758</v>
      </c>
      <c r="Q66" s="10" t="str">
        <f t="shared" si="3"/>
        <v>NA</v>
      </c>
      <c r="R66" s="10" t="s">
        <v>1575</v>
      </c>
      <c r="S66" s="10" t="s">
        <v>1575</v>
      </c>
      <c r="T66" s="10" t="s">
        <v>1575</v>
      </c>
      <c r="U66" s="10" t="s">
        <v>1575</v>
      </c>
      <c r="V66" s="10" t="s">
        <v>1575</v>
      </c>
      <c r="W66" s="10" t="s">
        <v>1575</v>
      </c>
      <c r="X66" s="10" t="str">
        <f t="shared" si="4"/>
        <v>NA</v>
      </c>
      <c r="Y66" s="10" t="str">
        <f t="shared" si="5"/>
        <v>NA</v>
      </c>
      <c r="Z66" s="10" t="str">
        <f t="shared" si="6"/>
        <v>NA</v>
      </c>
      <c r="AA66" s="10" t="str">
        <f t="shared" si="7"/>
        <v>NA</v>
      </c>
      <c r="AB66" s="10" t="str">
        <f t="shared" si="8"/>
        <v>NA</v>
      </c>
      <c r="AC66" s="10" t="str">
        <f t="shared" si="9"/>
        <v>NA</v>
      </c>
      <c r="AD66" s="10" t="str">
        <f t="shared" si="10"/>
        <v>NA</v>
      </c>
      <c r="AE66" s="10" t="str">
        <f t="shared" si="11"/>
        <v>NA</v>
      </c>
      <c r="AF66" s="1" t="s">
        <v>864</v>
      </c>
    </row>
    <row r="67" spans="1:32" x14ac:dyDescent="0.2">
      <c r="A67" s="1" t="s">
        <v>862</v>
      </c>
      <c r="B67" s="1" t="s">
        <v>5</v>
      </c>
      <c r="C67" s="1" t="s">
        <v>1575</v>
      </c>
      <c r="D67" s="1" t="s">
        <v>2160</v>
      </c>
      <c r="E67" s="1" t="s">
        <v>2167</v>
      </c>
      <c r="F67" s="1" t="s">
        <v>813</v>
      </c>
      <c r="G67" s="4">
        <v>1</v>
      </c>
      <c r="H67" s="28">
        <v>41517</v>
      </c>
      <c r="I67" s="29">
        <f t="shared" si="16"/>
        <v>2013</v>
      </c>
      <c r="J67" s="1" t="s">
        <v>2168</v>
      </c>
      <c r="K67" s="1" t="s">
        <v>7</v>
      </c>
      <c r="L67" s="11" t="str">
        <f t="shared" si="17"/>
        <v>НЕТ</v>
      </c>
      <c r="M67" s="10" t="s">
        <v>1575</v>
      </c>
      <c r="N67" s="10" t="s">
        <v>1575</v>
      </c>
      <c r="O67" s="10">
        <f>6.3+0.5</f>
        <v>6.8</v>
      </c>
      <c r="P67" s="10">
        <f t="shared" ref="P67:P130" si="18">IFERROR(O67/G67,"NA")</f>
        <v>6.8</v>
      </c>
      <c r="Q67" s="10" t="str">
        <f t="shared" ref="Q67:Q130" si="19">IFERROR(P67+W67,"NA")</f>
        <v>NA</v>
      </c>
      <c r="R67" s="10" t="s">
        <v>1575</v>
      </c>
      <c r="S67" s="10" t="s">
        <v>1575</v>
      </c>
      <c r="T67" s="10" t="s">
        <v>1575</v>
      </c>
      <c r="U67" s="10" t="s">
        <v>1575</v>
      </c>
      <c r="V67" s="10" t="s">
        <v>1575</v>
      </c>
      <c r="W67" s="10" t="s">
        <v>1575</v>
      </c>
      <c r="X67" s="10" t="str">
        <f t="shared" ref="X67:X130" si="20">IFERROR(V67+W67,"NA")</f>
        <v>NA</v>
      </c>
      <c r="Y67" s="10" t="str">
        <f t="shared" ref="Y67:Y130" si="21">IFERROR(P67/R67,"NA")</f>
        <v>NA</v>
      </c>
      <c r="Z67" s="10" t="str">
        <f t="shared" ref="Z67:Z130" si="22">IFERROR(P67/U67,"NA")</f>
        <v>NA</v>
      </c>
      <c r="AA67" s="10" t="str">
        <f t="shared" ref="AA67:AA130" si="23">IFERROR(P67/V67,"NA")</f>
        <v>NA</v>
      </c>
      <c r="AB67" s="10" t="str">
        <f t="shared" ref="AB67:AB130" si="24">IFERROR(Q67/R67,"NA")</f>
        <v>NA</v>
      </c>
      <c r="AC67" s="10" t="str">
        <f t="shared" ref="AC67:AC130" si="25">IFERROR(Q67/S67,"NA")</f>
        <v>NA</v>
      </c>
      <c r="AD67" s="10" t="str">
        <f t="shared" ref="AD67:AD130" si="26">IFERROR(Q67/T67,"NA")</f>
        <v>NA</v>
      </c>
      <c r="AE67" s="10" t="str">
        <f t="shared" ref="AE67:AE130" si="27">IFERROR(Q67/X67,"NA")</f>
        <v>NA</v>
      </c>
      <c r="AF67" s="1" t="s">
        <v>863</v>
      </c>
    </row>
    <row r="68" spans="1:32" x14ac:dyDescent="0.2">
      <c r="A68" s="1" t="s">
        <v>861</v>
      </c>
      <c r="B68" s="1" t="s">
        <v>5</v>
      </c>
      <c r="C68" s="1" t="s">
        <v>1575</v>
      </c>
      <c r="D68" s="1" t="s">
        <v>1584</v>
      </c>
      <c r="E68" s="1" t="s">
        <v>1586</v>
      </c>
      <c r="F68" s="1" t="s">
        <v>66</v>
      </c>
      <c r="G68" s="4" t="s">
        <v>1575</v>
      </c>
      <c r="H68" s="28">
        <v>41639</v>
      </c>
      <c r="I68" s="29">
        <f t="shared" si="16"/>
        <v>2013</v>
      </c>
      <c r="J68" s="1" t="s">
        <v>7</v>
      </c>
      <c r="K68" s="1" t="s">
        <v>2168</v>
      </c>
      <c r="L68" s="11" t="str">
        <f t="shared" si="17"/>
        <v>НЕТ</v>
      </c>
      <c r="M68" s="10" t="s">
        <v>1575</v>
      </c>
      <c r="N68" s="10" t="s">
        <v>1575</v>
      </c>
      <c r="O68" s="10">
        <v>7.1</v>
      </c>
      <c r="P68" s="10" t="str">
        <f t="shared" si="18"/>
        <v>NA</v>
      </c>
      <c r="Q68" s="10" t="str">
        <f t="shared" si="19"/>
        <v>NA</v>
      </c>
      <c r="R68" s="10" t="s">
        <v>1575</v>
      </c>
      <c r="S68" s="10" t="s">
        <v>1575</v>
      </c>
      <c r="T68" s="10" t="s">
        <v>1575</v>
      </c>
      <c r="U68" s="10" t="s">
        <v>1575</v>
      </c>
      <c r="V68" s="10" t="s">
        <v>1575</v>
      </c>
      <c r="W68" s="10" t="s">
        <v>1575</v>
      </c>
      <c r="X68" s="10" t="str">
        <f t="shared" si="20"/>
        <v>NA</v>
      </c>
      <c r="Y68" s="10" t="str">
        <f t="shared" si="21"/>
        <v>NA</v>
      </c>
      <c r="Z68" s="10" t="str">
        <f t="shared" si="22"/>
        <v>NA</v>
      </c>
      <c r="AA68" s="10" t="str">
        <f t="shared" si="23"/>
        <v>NA</v>
      </c>
      <c r="AB68" s="10" t="str">
        <f t="shared" si="24"/>
        <v>NA</v>
      </c>
      <c r="AC68" s="10" t="str">
        <f t="shared" si="25"/>
        <v>NA</v>
      </c>
      <c r="AD68" s="10" t="str">
        <f t="shared" si="26"/>
        <v>NA</v>
      </c>
      <c r="AE68" s="10" t="str">
        <f t="shared" si="27"/>
        <v>NA</v>
      </c>
      <c r="AF68" s="1" t="s">
        <v>860</v>
      </c>
    </row>
    <row r="69" spans="1:32" x14ac:dyDescent="0.2">
      <c r="A69" s="1" t="s">
        <v>859</v>
      </c>
      <c r="B69" s="1" t="s">
        <v>5</v>
      </c>
      <c r="C69" s="1" t="s">
        <v>1575</v>
      </c>
      <c r="D69" s="1" t="s">
        <v>1584</v>
      </c>
      <c r="E69" s="1" t="s">
        <v>1586</v>
      </c>
      <c r="F69" s="1" t="s">
        <v>66</v>
      </c>
      <c r="G69" s="4" t="s">
        <v>1575</v>
      </c>
      <c r="H69" s="28">
        <v>41639</v>
      </c>
      <c r="I69" s="29">
        <f t="shared" si="16"/>
        <v>2013</v>
      </c>
      <c r="J69" s="1" t="s">
        <v>7</v>
      </c>
      <c r="K69" s="1" t="s">
        <v>2168</v>
      </c>
      <c r="L69" s="11" t="str">
        <f t="shared" si="17"/>
        <v>НЕТ</v>
      </c>
      <c r="M69" s="10" t="s">
        <v>1575</v>
      </c>
      <c r="N69" s="10" t="s">
        <v>1575</v>
      </c>
      <c r="O69" s="10">
        <v>4.2</v>
      </c>
      <c r="P69" s="10" t="str">
        <f t="shared" si="18"/>
        <v>NA</v>
      </c>
      <c r="Q69" s="10" t="str">
        <f t="shared" si="19"/>
        <v>NA</v>
      </c>
      <c r="R69" s="10" t="s">
        <v>1575</v>
      </c>
      <c r="S69" s="10" t="s">
        <v>1575</v>
      </c>
      <c r="T69" s="10" t="s">
        <v>1575</v>
      </c>
      <c r="U69" s="10" t="s">
        <v>1575</v>
      </c>
      <c r="V69" s="10" t="s">
        <v>1575</v>
      </c>
      <c r="W69" s="10" t="s">
        <v>1575</v>
      </c>
      <c r="X69" s="10" t="str">
        <f t="shared" si="20"/>
        <v>NA</v>
      </c>
      <c r="Y69" s="10" t="str">
        <f t="shared" si="21"/>
        <v>NA</v>
      </c>
      <c r="Z69" s="10" t="str">
        <f t="shared" si="22"/>
        <v>NA</v>
      </c>
      <c r="AA69" s="10" t="str">
        <f t="shared" si="23"/>
        <v>NA</v>
      </c>
      <c r="AB69" s="10" t="str">
        <f t="shared" si="24"/>
        <v>NA</v>
      </c>
      <c r="AC69" s="10" t="str">
        <f t="shared" si="25"/>
        <v>NA</v>
      </c>
      <c r="AD69" s="10" t="str">
        <f t="shared" si="26"/>
        <v>NA</v>
      </c>
      <c r="AE69" s="10" t="str">
        <f t="shared" si="27"/>
        <v>NA</v>
      </c>
      <c r="AF69" s="1" t="s">
        <v>858</v>
      </c>
    </row>
    <row r="70" spans="1:32" x14ac:dyDescent="0.2">
      <c r="A70" s="1" t="s">
        <v>857</v>
      </c>
      <c r="B70" s="1" t="s">
        <v>30</v>
      </c>
      <c r="C70" s="1" t="s">
        <v>1575</v>
      </c>
      <c r="D70" s="1" t="s">
        <v>1595</v>
      </c>
      <c r="E70" s="1" t="s">
        <v>1596</v>
      </c>
      <c r="F70" s="1" t="s">
        <v>244</v>
      </c>
      <c r="G70" s="4">
        <v>0.5</v>
      </c>
      <c r="H70" s="28">
        <v>41578</v>
      </c>
      <c r="I70" s="29">
        <f t="shared" si="16"/>
        <v>2013</v>
      </c>
      <c r="J70" s="1" t="s">
        <v>7</v>
      </c>
      <c r="K70" s="1" t="s">
        <v>2168</v>
      </c>
      <c r="L70" s="11" t="str">
        <f t="shared" si="17"/>
        <v>НЕТ</v>
      </c>
      <c r="M70" s="10" t="s">
        <v>1575</v>
      </c>
      <c r="N70" s="10" t="s">
        <v>1575</v>
      </c>
      <c r="O70" s="10" t="s">
        <v>1575</v>
      </c>
      <c r="P70" s="10" t="str">
        <f t="shared" si="18"/>
        <v>NA</v>
      </c>
      <c r="Q70" s="10" t="str">
        <f t="shared" si="19"/>
        <v>NA</v>
      </c>
      <c r="R70" s="10">
        <v>65.3</v>
      </c>
      <c r="S70" s="10">
        <f>65.3-33.8-12.6+5.3</f>
        <v>24.2</v>
      </c>
      <c r="T70" s="10">
        <f>65.3-33.8-12.6</f>
        <v>18.899999999999999</v>
      </c>
      <c r="U70" s="10">
        <v>9.4</v>
      </c>
      <c r="V70" s="10">
        <v>4</v>
      </c>
      <c r="W70" s="10">
        <f>31.5+7-9.3</f>
        <v>29.2</v>
      </c>
      <c r="X70" s="10">
        <f t="shared" si="20"/>
        <v>33.200000000000003</v>
      </c>
      <c r="Y70" s="10" t="str">
        <f t="shared" si="21"/>
        <v>NA</v>
      </c>
      <c r="Z70" s="10" t="str">
        <f t="shared" si="22"/>
        <v>NA</v>
      </c>
      <c r="AA70" s="10" t="str">
        <f t="shared" si="23"/>
        <v>NA</v>
      </c>
      <c r="AB70" s="10" t="str">
        <f t="shared" si="24"/>
        <v>NA</v>
      </c>
      <c r="AC70" s="10" t="str">
        <f t="shared" si="25"/>
        <v>NA</v>
      </c>
      <c r="AD70" s="10" t="str">
        <f t="shared" si="26"/>
        <v>NA</v>
      </c>
      <c r="AE70" s="10" t="str">
        <f t="shared" si="27"/>
        <v>NA</v>
      </c>
      <c r="AF70" s="1" t="s">
        <v>856</v>
      </c>
    </row>
    <row r="71" spans="1:32" x14ac:dyDescent="0.2">
      <c r="A71" s="1" t="s">
        <v>855</v>
      </c>
      <c r="B71" s="1" t="s">
        <v>5</v>
      </c>
      <c r="C71" s="1" t="s">
        <v>1575</v>
      </c>
      <c r="D71" s="1" t="s">
        <v>1580</v>
      </c>
      <c r="E71" s="1" t="s">
        <v>1581</v>
      </c>
      <c r="F71" s="1" t="s">
        <v>67</v>
      </c>
      <c r="G71" s="4">
        <v>0.5</v>
      </c>
      <c r="H71" s="28">
        <v>41547</v>
      </c>
      <c r="I71" s="29">
        <f t="shared" si="16"/>
        <v>2013</v>
      </c>
      <c r="J71" s="1" t="s">
        <v>2168</v>
      </c>
      <c r="K71" s="1" t="s">
        <v>7</v>
      </c>
      <c r="L71" s="11" t="str">
        <f t="shared" si="17"/>
        <v>НЕТ</v>
      </c>
      <c r="M71" s="10" t="s">
        <v>1575</v>
      </c>
      <c r="N71" s="10" t="s">
        <v>1575</v>
      </c>
      <c r="O71" s="10" t="s">
        <v>1575</v>
      </c>
      <c r="P71" s="10" t="str">
        <f t="shared" si="18"/>
        <v>NA</v>
      </c>
      <c r="Q71" s="10" t="str">
        <f t="shared" si="19"/>
        <v>NA</v>
      </c>
      <c r="R71" s="10" t="s">
        <v>1575</v>
      </c>
      <c r="S71" s="10" t="s">
        <v>1575</v>
      </c>
      <c r="T71" s="10" t="s">
        <v>1575</v>
      </c>
      <c r="U71" s="10" t="s">
        <v>1575</v>
      </c>
      <c r="V71" s="10">
        <f>26.8-26.8</f>
        <v>0</v>
      </c>
      <c r="W71" s="10" t="s">
        <v>1575</v>
      </c>
      <c r="X71" s="10" t="str">
        <f t="shared" si="20"/>
        <v>NA</v>
      </c>
      <c r="Y71" s="10" t="str">
        <f t="shared" si="21"/>
        <v>NA</v>
      </c>
      <c r="Z71" s="10" t="str">
        <f t="shared" si="22"/>
        <v>NA</v>
      </c>
      <c r="AA71" s="10" t="str">
        <f t="shared" si="23"/>
        <v>NA</v>
      </c>
      <c r="AB71" s="10" t="str">
        <f t="shared" si="24"/>
        <v>NA</v>
      </c>
      <c r="AC71" s="10" t="str">
        <f t="shared" si="25"/>
        <v>NA</v>
      </c>
      <c r="AD71" s="10" t="str">
        <f t="shared" si="26"/>
        <v>NA</v>
      </c>
      <c r="AE71" s="10" t="str">
        <f t="shared" si="27"/>
        <v>NA</v>
      </c>
      <c r="AF71" s="1" t="s">
        <v>872</v>
      </c>
    </row>
    <row r="72" spans="1:32" x14ac:dyDescent="0.2">
      <c r="A72" s="1" t="s">
        <v>5363</v>
      </c>
      <c r="B72" s="1" t="s">
        <v>2214</v>
      </c>
      <c r="C72" s="1" t="s">
        <v>1575</v>
      </c>
      <c r="D72" s="1" t="s">
        <v>1578</v>
      </c>
      <c r="E72" s="1" t="s">
        <v>1579</v>
      </c>
      <c r="F72" s="1" t="s">
        <v>429</v>
      </c>
      <c r="G72" s="4">
        <v>0.34150000000000003</v>
      </c>
      <c r="H72" s="28">
        <v>41639</v>
      </c>
      <c r="I72" s="29">
        <f t="shared" si="16"/>
        <v>2013</v>
      </c>
      <c r="J72" s="1" t="s">
        <v>853</v>
      </c>
      <c r="K72" s="1" t="s">
        <v>2168</v>
      </c>
      <c r="L72" s="11" t="str">
        <f t="shared" si="17"/>
        <v>НЕТ</v>
      </c>
      <c r="M72" s="10" t="s">
        <v>1575</v>
      </c>
      <c r="N72" s="10" t="s">
        <v>1575</v>
      </c>
      <c r="O72" s="10">
        <v>0.6</v>
      </c>
      <c r="P72" s="10">
        <f t="shared" si="18"/>
        <v>1.7569546120058563</v>
      </c>
      <c r="Q72" s="10" t="str">
        <f t="shared" si="19"/>
        <v>NA</v>
      </c>
      <c r="R72" s="10" t="s">
        <v>1575</v>
      </c>
      <c r="S72" s="10" t="s">
        <v>1575</v>
      </c>
      <c r="T72" s="10" t="s">
        <v>1575</v>
      </c>
      <c r="U72" s="10" t="s">
        <v>1575</v>
      </c>
      <c r="V72" s="10" t="s">
        <v>1575</v>
      </c>
      <c r="W72" s="10" t="s">
        <v>1575</v>
      </c>
      <c r="X72" s="10" t="str">
        <f t="shared" si="20"/>
        <v>NA</v>
      </c>
      <c r="Y72" s="10" t="str">
        <f t="shared" si="21"/>
        <v>NA</v>
      </c>
      <c r="Z72" s="10" t="str">
        <f t="shared" si="22"/>
        <v>NA</v>
      </c>
      <c r="AA72" s="10" t="str">
        <f t="shared" si="23"/>
        <v>NA</v>
      </c>
      <c r="AB72" s="10" t="str">
        <f t="shared" si="24"/>
        <v>NA</v>
      </c>
      <c r="AC72" s="10" t="str">
        <f t="shared" si="25"/>
        <v>NA</v>
      </c>
      <c r="AD72" s="10" t="str">
        <f t="shared" si="26"/>
        <v>NA</v>
      </c>
      <c r="AE72" s="10" t="str">
        <f t="shared" si="27"/>
        <v>NA</v>
      </c>
      <c r="AF72" s="1" t="s">
        <v>852</v>
      </c>
    </row>
    <row r="73" spans="1:32" x14ac:dyDescent="0.2">
      <c r="A73" s="1" t="s">
        <v>5363</v>
      </c>
      <c r="B73" s="1" t="s">
        <v>2214</v>
      </c>
      <c r="C73" s="1" t="s">
        <v>1575</v>
      </c>
      <c r="D73" s="1" t="s">
        <v>1578</v>
      </c>
      <c r="E73" s="1" t="s">
        <v>1579</v>
      </c>
      <c r="F73" s="1" t="s">
        <v>429</v>
      </c>
      <c r="G73" s="4">
        <v>0.49</v>
      </c>
      <c r="H73" s="28">
        <v>41639</v>
      </c>
      <c r="I73" s="29">
        <f t="shared" si="16"/>
        <v>2013</v>
      </c>
      <c r="J73" s="1" t="s">
        <v>2168</v>
      </c>
      <c r="K73" s="1" t="s">
        <v>7</v>
      </c>
      <c r="L73" s="11" t="str">
        <f t="shared" si="17"/>
        <v>НЕТ</v>
      </c>
      <c r="M73" s="10">
        <v>24</v>
      </c>
      <c r="N73" s="10" t="s">
        <v>1575</v>
      </c>
      <c r="O73" s="10">
        <v>0.7</v>
      </c>
      <c r="P73" s="10">
        <f t="shared" si="18"/>
        <v>1.4285714285714286</v>
      </c>
      <c r="Q73" s="10" t="str">
        <f t="shared" si="19"/>
        <v>NA</v>
      </c>
      <c r="R73" s="10" t="s">
        <v>1575</v>
      </c>
      <c r="S73" s="10" t="s">
        <v>1575</v>
      </c>
      <c r="T73" s="10" t="s">
        <v>1575</v>
      </c>
      <c r="U73" s="10" t="s">
        <v>1575</v>
      </c>
      <c r="V73" s="10" t="s">
        <v>1575</v>
      </c>
      <c r="W73" s="10" t="s">
        <v>1575</v>
      </c>
      <c r="X73" s="10" t="str">
        <f t="shared" si="20"/>
        <v>NA</v>
      </c>
      <c r="Y73" s="10" t="str">
        <f t="shared" si="21"/>
        <v>NA</v>
      </c>
      <c r="Z73" s="10" t="str">
        <f t="shared" si="22"/>
        <v>NA</v>
      </c>
      <c r="AA73" s="10" t="str">
        <f t="shared" si="23"/>
        <v>NA</v>
      </c>
      <c r="AB73" s="10" t="str">
        <f t="shared" si="24"/>
        <v>NA</v>
      </c>
      <c r="AC73" s="10" t="str">
        <f t="shared" si="25"/>
        <v>NA</v>
      </c>
      <c r="AD73" s="10" t="str">
        <f t="shared" si="26"/>
        <v>NA</v>
      </c>
      <c r="AE73" s="10" t="str">
        <f t="shared" si="27"/>
        <v>NA</v>
      </c>
      <c r="AF73" s="1" t="s">
        <v>851</v>
      </c>
    </row>
    <row r="74" spans="1:32" x14ac:dyDescent="0.2">
      <c r="A74" s="1" t="s">
        <v>850</v>
      </c>
      <c r="B74" s="1" t="s">
        <v>91</v>
      </c>
      <c r="C74" s="1" t="s">
        <v>1575</v>
      </c>
      <c r="D74" s="1" t="s">
        <v>1580</v>
      </c>
      <c r="E74" s="1" t="s">
        <v>2057</v>
      </c>
      <c r="F74" s="1" t="s">
        <v>434</v>
      </c>
      <c r="G74" s="4">
        <v>1</v>
      </c>
      <c r="H74" s="28">
        <v>42004</v>
      </c>
      <c r="I74" s="29">
        <f t="shared" si="16"/>
        <v>2014</v>
      </c>
      <c r="J74" s="1" t="s">
        <v>7</v>
      </c>
      <c r="K74" s="1" t="s">
        <v>2168</v>
      </c>
      <c r="L74" s="11" t="str">
        <f t="shared" si="17"/>
        <v>НЕТ</v>
      </c>
      <c r="M74" s="10" t="s">
        <v>1575</v>
      </c>
      <c r="N74" s="10" t="s">
        <v>1575</v>
      </c>
      <c r="O74" s="10">
        <v>1.5E-3</v>
      </c>
      <c r="P74" s="10">
        <f t="shared" si="18"/>
        <v>1.5E-3</v>
      </c>
      <c r="Q74" s="10" t="str">
        <f t="shared" si="19"/>
        <v>NA</v>
      </c>
      <c r="R74" s="10" t="s">
        <v>1575</v>
      </c>
      <c r="S74" s="10" t="s">
        <v>1575</v>
      </c>
      <c r="T74" s="10" t="s">
        <v>1575</v>
      </c>
      <c r="U74" s="10" t="s">
        <v>1575</v>
      </c>
      <c r="V74" s="10">
        <f>9.3-17.6</f>
        <v>-8.3000000000000007</v>
      </c>
      <c r="W74" s="10" t="s">
        <v>1575</v>
      </c>
      <c r="X74" s="10" t="str">
        <f t="shared" si="20"/>
        <v>NA</v>
      </c>
      <c r="Y74" s="10" t="str">
        <f t="shared" si="21"/>
        <v>NA</v>
      </c>
      <c r="Z74" s="10" t="str">
        <f t="shared" si="22"/>
        <v>NA</v>
      </c>
      <c r="AA74" s="10">
        <f t="shared" si="23"/>
        <v>-1.8072289156626504E-4</v>
      </c>
      <c r="AB74" s="10" t="str">
        <f t="shared" si="24"/>
        <v>NA</v>
      </c>
      <c r="AC74" s="10" t="str">
        <f t="shared" si="25"/>
        <v>NA</v>
      </c>
      <c r="AD74" s="10" t="str">
        <f t="shared" si="26"/>
        <v>NA</v>
      </c>
      <c r="AE74" s="10" t="str">
        <f t="shared" si="27"/>
        <v>NA</v>
      </c>
      <c r="AF74" s="1" t="s">
        <v>826</v>
      </c>
    </row>
    <row r="75" spans="1:32" x14ac:dyDescent="0.2">
      <c r="A75" s="1" t="s">
        <v>849</v>
      </c>
      <c r="B75" s="1" t="s">
        <v>5</v>
      </c>
      <c r="C75" s="1" t="s">
        <v>1575</v>
      </c>
      <c r="D75" s="1" t="s">
        <v>1580</v>
      </c>
      <c r="E75" s="1" t="s">
        <v>1694</v>
      </c>
      <c r="F75" s="1" t="s">
        <v>68</v>
      </c>
      <c r="G75" s="4">
        <v>1</v>
      </c>
      <c r="H75" s="28">
        <v>41943</v>
      </c>
      <c r="I75" s="29">
        <f t="shared" si="16"/>
        <v>2014</v>
      </c>
      <c r="J75" s="1" t="s">
        <v>7</v>
      </c>
      <c r="K75" s="1" t="s">
        <v>2168</v>
      </c>
      <c r="L75" s="11" t="str">
        <f t="shared" si="17"/>
        <v>НЕТ</v>
      </c>
      <c r="M75" s="10">
        <v>55.7</v>
      </c>
      <c r="N75" s="10" t="s">
        <v>1575</v>
      </c>
      <c r="O75" s="10">
        <v>2.4</v>
      </c>
      <c r="P75" s="10">
        <f t="shared" si="18"/>
        <v>2.4</v>
      </c>
      <c r="Q75" s="10" t="str">
        <f t="shared" si="19"/>
        <v>NA</v>
      </c>
      <c r="R75" s="10" t="s">
        <v>1575</v>
      </c>
      <c r="S75" s="10" t="s">
        <v>1575</v>
      </c>
      <c r="T75" s="10" t="s">
        <v>1575</v>
      </c>
      <c r="U75" s="10" t="s">
        <v>1575</v>
      </c>
      <c r="V75" s="10">
        <f>15.2-13</f>
        <v>2.1999999999999993</v>
      </c>
      <c r="W75" s="10" t="s">
        <v>1575</v>
      </c>
      <c r="X75" s="10" t="str">
        <f t="shared" si="20"/>
        <v>NA</v>
      </c>
      <c r="Y75" s="10" t="str">
        <f t="shared" si="21"/>
        <v>NA</v>
      </c>
      <c r="Z75" s="10" t="str">
        <f t="shared" si="22"/>
        <v>NA</v>
      </c>
      <c r="AA75" s="10">
        <f t="shared" si="23"/>
        <v>1.0909090909090913</v>
      </c>
      <c r="AB75" s="10" t="str">
        <f t="shared" si="24"/>
        <v>NA</v>
      </c>
      <c r="AC75" s="10" t="str">
        <f t="shared" si="25"/>
        <v>NA</v>
      </c>
      <c r="AD75" s="10" t="str">
        <f t="shared" si="26"/>
        <v>NA</v>
      </c>
      <c r="AE75" s="10" t="str">
        <f t="shared" si="27"/>
        <v>NA</v>
      </c>
      <c r="AF75" s="1" t="s">
        <v>825</v>
      </c>
    </row>
    <row r="76" spans="1:32" x14ac:dyDescent="0.2">
      <c r="A76" s="1" t="s">
        <v>845</v>
      </c>
      <c r="B76" s="1" t="s">
        <v>5</v>
      </c>
      <c r="C76" s="1" t="s">
        <v>1575</v>
      </c>
      <c r="D76" s="1" t="s">
        <v>1584</v>
      </c>
      <c r="E76" s="1" t="s">
        <v>1586</v>
      </c>
      <c r="F76" s="1" t="s">
        <v>66</v>
      </c>
      <c r="G76" s="4" t="s">
        <v>11</v>
      </c>
      <c r="H76" s="28">
        <v>41912</v>
      </c>
      <c r="I76" s="29">
        <f t="shared" si="16"/>
        <v>2014</v>
      </c>
      <c r="J76" s="1" t="s">
        <v>7</v>
      </c>
      <c r="K76" s="1" t="s">
        <v>2168</v>
      </c>
      <c r="L76" s="11" t="str">
        <f t="shared" si="17"/>
        <v>НЕТ</v>
      </c>
      <c r="M76" s="10" t="s">
        <v>1575</v>
      </c>
      <c r="N76" s="10" t="s">
        <v>1575</v>
      </c>
      <c r="O76" s="10">
        <v>4.4000000000000004</v>
      </c>
      <c r="P76" s="10" t="str">
        <f t="shared" si="18"/>
        <v>NA</v>
      </c>
      <c r="Q76" s="10" t="str">
        <f t="shared" si="19"/>
        <v>NA</v>
      </c>
      <c r="R76" s="10" t="s">
        <v>1575</v>
      </c>
      <c r="S76" s="10" t="s">
        <v>1575</v>
      </c>
      <c r="T76" s="10" t="s">
        <v>1575</v>
      </c>
      <c r="U76" s="10" t="s">
        <v>1575</v>
      </c>
      <c r="V76" s="10" t="s">
        <v>1575</v>
      </c>
      <c r="W76" s="10" t="s">
        <v>1575</v>
      </c>
      <c r="X76" s="10" t="str">
        <f t="shared" si="20"/>
        <v>NA</v>
      </c>
      <c r="Y76" s="10" t="str">
        <f t="shared" si="21"/>
        <v>NA</v>
      </c>
      <c r="Z76" s="10" t="str">
        <f t="shared" si="22"/>
        <v>NA</v>
      </c>
      <c r="AA76" s="10" t="str">
        <f t="shared" si="23"/>
        <v>NA</v>
      </c>
      <c r="AB76" s="10" t="str">
        <f t="shared" si="24"/>
        <v>NA</v>
      </c>
      <c r="AC76" s="10" t="str">
        <f t="shared" si="25"/>
        <v>NA</v>
      </c>
      <c r="AD76" s="10" t="str">
        <f t="shared" si="26"/>
        <v>NA</v>
      </c>
      <c r="AE76" s="10" t="str">
        <f t="shared" si="27"/>
        <v>NA</v>
      </c>
      <c r="AF76" s="1" t="s">
        <v>844</v>
      </c>
    </row>
    <row r="77" spans="1:32" x14ac:dyDescent="0.2">
      <c r="A77" s="1" t="s">
        <v>846</v>
      </c>
      <c r="B77" s="1" t="s">
        <v>5</v>
      </c>
      <c r="C77" s="1" t="s">
        <v>1575</v>
      </c>
      <c r="D77" s="1" t="s">
        <v>1582</v>
      </c>
      <c r="E77" s="1" t="s">
        <v>2166</v>
      </c>
      <c r="F77" s="1" t="s">
        <v>847</v>
      </c>
      <c r="G77" s="4">
        <v>0.74399999999999999</v>
      </c>
      <c r="H77" s="28">
        <v>41820</v>
      </c>
      <c r="I77" s="29">
        <f t="shared" si="16"/>
        <v>2014</v>
      </c>
      <c r="J77" s="1" t="s">
        <v>2168</v>
      </c>
      <c r="K77" s="1" t="s">
        <v>7</v>
      </c>
      <c r="L77" s="11" t="str">
        <f t="shared" si="17"/>
        <v>НЕТ</v>
      </c>
      <c r="M77" s="10" t="s">
        <v>1575</v>
      </c>
      <c r="N77" s="10" t="s">
        <v>1575</v>
      </c>
      <c r="O77" s="10" t="s">
        <v>1575</v>
      </c>
      <c r="P77" s="10" t="str">
        <f t="shared" si="18"/>
        <v>NA</v>
      </c>
      <c r="Q77" s="10" t="str">
        <f t="shared" si="19"/>
        <v>NA</v>
      </c>
      <c r="R77" s="10" t="s">
        <v>1575</v>
      </c>
      <c r="S77" s="10" t="s">
        <v>1575</v>
      </c>
      <c r="T77" s="10" t="s">
        <v>1575</v>
      </c>
      <c r="U77" s="10" t="s">
        <v>1575</v>
      </c>
      <c r="V77" s="10">
        <v>3.1</v>
      </c>
      <c r="W77" s="10" t="s">
        <v>1575</v>
      </c>
      <c r="X77" s="10" t="str">
        <f t="shared" si="20"/>
        <v>NA</v>
      </c>
      <c r="Y77" s="10" t="str">
        <f t="shared" si="21"/>
        <v>NA</v>
      </c>
      <c r="Z77" s="10" t="str">
        <f t="shared" si="22"/>
        <v>NA</v>
      </c>
      <c r="AA77" s="10" t="str">
        <f t="shared" si="23"/>
        <v>NA</v>
      </c>
      <c r="AB77" s="10" t="str">
        <f t="shared" si="24"/>
        <v>NA</v>
      </c>
      <c r="AC77" s="10" t="str">
        <f t="shared" si="25"/>
        <v>NA</v>
      </c>
      <c r="AD77" s="10" t="str">
        <f t="shared" si="26"/>
        <v>NA</v>
      </c>
      <c r="AE77" s="10" t="str">
        <f t="shared" si="27"/>
        <v>NA</v>
      </c>
      <c r="AF77" s="1" t="s">
        <v>848</v>
      </c>
    </row>
    <row r="78" spans="1:32" x14ac:dyDescent="0.2">
      <c r="A78" s="1" t="s">
        <v>839</v>
      </c>
      <c r="B78" s="1" t="s">
        <v>5</v>
      </c>
      <c r="C78" s="1" t="s">
        <v>1575</v>
      </c>
      <c r="D78" s="1" t="s">
        <v>1575</v>
      </c>
      <c r="E78" s="1" t="s">
        <v>1575</v>
      </c>
      <c r="F78" s="1" t="s">
        <v>1575</v>
      </c>
      <c r="G78" s="4">
        <v>1</v>
      </c>
      <c r="H78" s="28">
        <v>41759</v>
      </c>
      <c r="I78" s="29">
        <f t="shared" si="16"/>
        <v>2014</v>
      </c>
      <c r="J78" s="1" t="s">
        <v>2168</v>
      </c>
      <c r="K78" s="1" t="s">
        <v>7</v>
      </c>
      <c r="L78" s="11" t="str">
        <f t="shared" si="17"/>
        <v>НЕТ</v>
      </c>
      <c r="M78" s="10" t="s">
        <v>1575</v>
      </c>
      <c r="N78" s="10" t="s">
        <v>1575</v>
      </c>
      <c r="O78" s="10" t="s">
        <v>1575</v>
      </c>
      <c r="P78" s="10" t="str">
        <f t="shared" si="18"/>
        <v>NA</v>
      </c>
      <c r="Q78" s="10" t="str">
        <f t="shared" si="19"/>
        <v>NA</v>
      </c>
      <c r="R78" s="10" t="s">
        <v>1575</v>
      </c>
      <c r="S78" s="10" t="s">
        <v>1575</v>
      </c>
      <c r="T78" s="10" t="s">
        <v>1575</v>
      </c>
      <c r="U78" s="10" t="s">
        <v>1575</v>
      </c>
      <c r="V78" s="10" t="s">
        <v>1575</v>
      </c>
      <c r="W78" s="10" t="s">
        <v>1575</v>
      </c>
      <c r="X78" s="10" t="str">
        <f t="shared" si="20"/>
        <v>NA</v>
      </c>
      <c r="Y78" s="10" t="str">
        <f t="shared" si="21"/>
        <v>NA</v>
      </c>
      <c r="Z78" s="10" t="str">
        <f t="shared" si="22"/>
        <v>NA</v>
      </c>
      <c r="AA78" s="10" t="str">
        <f t="shared" si="23"/>
        <v>NA</v>
      </c>
      <c r="AB78" s="10" t="str">
        <f t="shared" si="24"/>
        <v>NA</v>
      </c>
      <c r="AC78" s="10" t="str">
        <f t="shared" si="25"/>
        <v>NA</v>
      </c>
      <c r="AD78" s="10" t="str">
        <f t="shared" si="26"/>
        <v>NA</v>
      </c>
      <c r="AE78" s="10" t="str">
        <f t="shared" si="27"/>
        <v>NA</v>
      </c>
      <c r="AF78" s="1" t="s">
        <v>838</v>
      </c>
    </row>
    <row r="79" spans="1:32" x14ac:dyDescent="0.2">
      <c r="A79" s="1" t="s">
        <v>2215</v>
      </c>
      <c r="B79" s="1" t="s">
        <v>5</v>
      </c>
      <c r="C79" s="1" t="s">
        <v>1575</v>
      </c>
      <c r="D79" s="1" t="s">
        <v>1580</v>
      </c>
      <c r="E79" s="1" t="s">
        <v>5016</v>
      </c>
      <c r="F79" s="1" t="s">
        <v>756</v>
      </c>
      <c r="G79" s="4">
        <v>1</v>
      </c>
      <c r="H79" s="28">
        <v>41759</v>
      </c>
      <c r="I79" s="29">
        <f t="shared" si="16"/>
        <v>2014</v>
      </c>
      <c r="J79" s="1" t="s">
        <v>2168</v>
      </c>
      <c r="K79" s="1" t="s">
        <v>7</v>
      </c>
      <c r="L79" s="11" t="str">
        <f t="shared" si="17"/>
        <v>НЕТ</v>
      </c>
      <c r="M79" s="10" t="s">
        <v>1575</v>
      </c>
      <c r="N79" s="10" t="s">
        <v>1575</v>
      </c>
      <c r="O79" s="10">
        <v>0.7</v>
      </c>
      <c r="P79" s="10">
        <f t="shared" si="18"/>
        <v>0.7</v>
      </c>
      <c r="Q79" s="10" t="str">
        <f t="shared" si="19"/>
        <v>NA</v>
      </c>
      <c r="R79" s="10" t="s">
        <v>1575</v>
      </c>
      <c r="S79" s="10" t="s">
        <v>1575</v>
      </c>
      <c r="T79" s="10" t="s">
        <v>1575</v>
      </c>
      <c r="U79" s="10" t="s">
        <v>1575</v>
      </c>
      <c r="V79" s="10" t="s">
        <v>1575</v>
      </c>
      <c r="W79" s="10" t="s">
        <v>1575</v>
      </c>
      <c r="X79" s="10" t="str">
        <f t="shared" si="20"/>
        <v>NA</v>
      </c>
      <c r="Y79" s="10" t="str">
        <f t="shared" si="21"/>
        <v>NA</v>
      </c>
      <c r="Z79" s="10" t="str">
        <f t="shared" si="22"/>
        <v>NA</v>
      </c>
      <c r="AA79" s="10" t="str">
        <f t="shared" si="23"/>
        <v>NA</v>
      </c>
      <c r="AB79" s="10" t="str">
        <f t="shared" si="24"/>
        <v>NA</v>
      </c>
      <c r="AC79" s="10" t="str">
        <f t="shared" si="25"/>
        <v>NA</v>
      </c>
      <c r="AD79" s="10" t="str">
        <f t="shared" si="26"/>
        <v>NA</v>
      </c>
      <c r="AE79" s="10" t="str">
        <f t="shared" si="27"/>
        <v>NA</v>
      </c>
      <c r="AF79" s="1" t="s">
        <v>841</v>
      </c>
    </row>
    <row r="80" spans="1:32" x14ac:dyDescent="0.2">
      <c r="A80" s="1" t="s">
        <v>840</v>
      </c>
      <c r="B80" s="1" t="s">
        <v>5</v>
      </c>
      <c r="C80" s="1" t="s">
        <v>1575</v>
      </c>
      <c r="D80" s="1" t="s">
        <v>1578</v>
      </c>
      <c r="E80" s="16" t="s">
        <v>9250</v>
      </c>
      <c r="F80" s="1" t="s">
        <v>548</v>
      </c>
      <c r="G80" s="4">
        <v>1</v>
      </c>
      <c r="H80" s="28">
        <v>41759</v>
      </c>
      <c r="I80" s="29">
        <f t="shared" si="16"/>
        <v>2014</v>
      </c>
      <c r="J80" s="1" t="s">
        <v>2168</v>
      </c>
      <c r="K80" s="1" t="s">
        <v>7</v>
      </c>
      <c r="L80" s="11" t="str">
        <f t="shared" si="17"/>
        <v>НЕТ</v>
      </c>
      <c r="M80" s="10" t="s">
        <v>1575</v>
      </c>
      <c r="N80" s="10" t="s">
        <v>1575</v>
      </c>
      <c r="O80" s="10">
        <v>0.7</v>
      </c>
      <c r="P80" s="10">
        <f t="shared" si="18"/>
        <v>0.7</v>
      </c>
      <c r="Q80" s="10" t="str">
        <f t="shared" si="19"/>
        <v>NA</v>
      </c>
      <c r="R80" s="10" t="s">
        <v>1575</v>
      </c>
      <c r="S80" s="10" t="s">
        <v>1575</v>
      </c>
      <c r="T80" s="10" t="s">
        <v>1575</v>
      </c>
      <c r="U80" s="10" t="s">
        <v>1575</v>
      </c>
      <c r="V80" s="10" t="s">
        <v>1575</v>
      </c>
      <c r="W80" s="10" t="s">
        <v>1575</v>
      </c>
      <c r="X80" s="10" t="str">
        <f t="shared" si="20"/>
        <v>NA</v>
      </c>
      <c r="Y80" s="10" t="str">
        <f t="shared" si="21"/>
        <v>NA</v>
      </c>
      <c r="Z80" s="10" t="str">
        <f t="shared" si="22"/>
        <v>NA</v>
      </c>
      <c r="AA80" s="10" t="str">
        <f t="shared" si="23"/>
        <v>NA</v>
      </c>
      <c r="AB80" s="10" t="str">
        <f t="shared" si="24"/>
        <v>NA</v>
      </c>
      <c r="AC80" s="10" t="str">
        <f t="shared" si="25"/>
        <v>NA</v>
      </c>
      <c r="AD80" s="10" t="str">
        <f t="shared" si="26"/>
        <v>NA</v>
      </c>
      <c r="AE80" s="10" t="str">
        <f t="shared" si="27"/>
        <v>NA</v>
      </c>
      <c r="AF80" s="1" t="s">
        <v>842</v>
      </c>
    </row>
    <row r="81" spans="1:32" x14ac:dyDescent="0.2">
      <c r="A81" s="1" t="s">
        <v>5364</v>
      </c>
      <c r="B81" s="1" t="s">
        <v>5</v>
      </c>
      <c r="C81" s="1" t="s">
        <v>1575</v>
      </c>
      <c r="D81" s="1" t="s">
        <v>1578</v>
      </c>
      <c r="E81" s="16" t="s">
        <v>9250</v>
      </c>
      <c r="F81" s="1" t="s">
        <v>548</v>
      </c>
      <c r="G81" s="4">
        <v>1</v>
      </c>
      <c r="H81" s="28">
        <v>41759</v>
      </c>
      <c r="I81" s="29">
        <f t="shared" si="16"/>
        <v>2014</v>
      </c>
      <c r="J81" s="1" t="s">
        <v>2168</v>
      </c>
      <c r="K81" s="1" t="s">
        <v>7</v>
      </c>
      <c r="L81" s="11" t="str">
        <f t="shared" si="17"/>
        <v>НЕТ</v>
      </c>
      <c r="M81" s="10" t="s">
        <v>1575</v>
      </c>
      <c r="N81" s="10" t="s">
        <v>1575</v>
      </c>
      <c r="O81" s="10">
        <v>0.5</v>
      </c>
      <c r="P81" s="10">
        <f t="shared" si="18"/>
        <v>0.5</v>
      </c>
      <c r="Q81" s="10" t="str">
        <f t="shared" si="19"/>
        <v>NA</v>
      </c>
      <c r="R81" s="10" t="s">
        <v>1575</v>
      </c>
      <c r="S81" s="10" t="s">
        <v>1575</v>
      </c>
      <c r="T81" s="10" t="s">
        <v>1575</v>
      </c>
      <c r="U81" s="10" t="s">
        <v>1575</v>
      </c>
      <c r="V81" s="10" t="s">
        <v>1575</v>
      </c>
      <c r="W81" s="10" t="s">
        <v>1575</v>
      </c>
      <c r="X81" s="10" t="str">
        <f t="shared" si="20"/>
        <v>NA</v>
      </c>
      <c r="Y81" s="10" t="str">
        <f t="shared" si="21"/>
        <v>NA</v>
      </c>
      <c r="Z81" s="10" t="str">
        <f t="shared" si="22"/>
        <v>NA</v>
      </c>
      <c r="AA81" s="10" t="str">
        <f t="shared" si="23"/>
        <v>NA</v>
      </c>
      <c r="AB81" s="10" t="str">
        <f t="shared" si="24"/>
        <v>NA</v>
      </c>
      <c r="AC81" s="10" t="str">
        <f t="shared" si="25"/>
        <v>NA</v>
      </c>
      <c r="AD81" s="10" t="str">
        <f t="shared" si="26"/>
        <v>NA</v>
      </c>
      <c r="AE81" s="10" t="str">
        <f t="shared" si="27"/>
        <v>NA</v>
      </c>
      <c r="AF81" s="1" t="s">
        <v>843</v>
      </c>
    </row>
    <row r="82" spans="1:32" x14ac:dyDescent="0.2">
      <c r="A82" s="1" t="s">
        <v>837</v>
      </c>
      <c r="B82" s="1" t="s">
        <v>5</v>
      </c>
      <c r="C82" s="1" t="s">
        <v>1575</v>
      </c>
      <c r="D82" s="1" t="s">
        <v>1584</v>
      </c>
      <c r="E82" s="1" t="s">
        <v>1586</v>
      </c>
      <c r="F82" s="1" t="s">
        <v>66</v>
      </c>
      <c r="G82" s="4" t="s">
        <v>1575</v>
      </c>
      <c r="H82" s="28">
        <v>41820</v>
      </c>
      <c r="I82" s="29">
        <f t="shared" si="16"/>
        <v>2014</v>
      </c>
      <c r="J82" s="1" t="s">
        <v>7</v>
      </c>
      <c r="K82" s="1" t="s">
        <v>2168</v>
      </c>
      <c r="L82" s="11" t="str">
        <f t="shared" si="17"/>
        <v>НЕТ</v>
      </c>
      <c r="M82" s="10" t="s">
        <v>1575</v>
      </c>
      <c r="N82" s="10" t="s">
        <v>1575</v>
      </c>
      <c r="O82" s="10">
        <v>5.0999999999999996</v>
      </c>
      <c r="P82" s="10" t="str">
        <f t="shared" si="18"/>
        <v>NA</v>
      </c>
      <c r="Q82" s="10" t="str">
        <f t="shared" si="19"/>
        <v>NA</v>
      </c>
      <c r="R82" s="10" t="s">
        <v>1575</v>
      </c>
      <c r="S82" s="10" t="s">
        <v>1575</v>
      </c>
      <c r="T82" s="10" t="s">
        <v>1575</v>
      </c>
      <c r="U82" s="10" t="s">
        <v>1575</v>
      </c>
      <c r="V82" s="10" t="s">
        <v>1575</v>
      </c>
      <c r="W82" s="10" t="s">
        <v>1575</v>
      </c>
      <c r="X82" s="10" t="str">
        <f t="shared" si="20"/>
        <v>NA</v>
      </c>
      <c r="Y82" s="10" t="str">
        <f t="shared" si="21"/>
        <v>NA</v>
      </c>
      <c r="Z82" s="10" t="str">
        <f t="shared" si="22"/>
        <v>NA</v>
      </c>
      <c r="AA82" s="10" t="str">
        <f t="shared" si="23"/>
        <v>NA</v>
      </c>
      <c r="AB82" s="10" t="str">
        <f t="shared" si="24"/>
        <v>NA</v>
      </c>
      <c r="AC82" s="10" t="str">
        <f t="shared" si="25"/>
        <v>NA</v>
      </c>
      <c r="AD82" s="10" t="str">
        <f t="shared" si="26"/>
        <v>NA</v>
      </c>
      <c r="AE82" s="10" t="str">
        <f t="shared" si="27"/>
        <v>NA</v>
      </c>
      <c r="AF82" s="1" t="s">
        <v>824</v>
      </c>
    </row>
    <row r="83" spans="1:32" x14ac:dyDescent="0.2">
      <c r="A83" s="1" t="s">
        <v>836</v>
      </c>
      <c r="B83" s="1" t="s">
        <v>5</v>
      </c>
      <c r="C83" s="1" t="s">
        <v>1575</v>
      </c>
      <c r="D83" s="1" t="s">
        <v>1584</v>
      </c>
      <c r="E83" s="1" t="s">
        <v>3486</v>
      </c>
      <c r="F83" s="1" t="s">
        <v>46</v>
      </c>
      <c r="G83" s="4">
        <f>93.51%-51.24%+2.93%</f>
        <v>0.45200000000000007</v>
      </c>
      <c r="H83" s="28">
        <v>41882</v>
      </c>
      <c r="I83" s="29">
        <f t="shared" si="16"/>
        <v>2014</v>
      </c>
      <c r="J83" s="1" t="s">
        <v>2168</v>
      </c>
      <c r="K83" s="1" t="s">
        <v>7</v>
      </c>
      <c r="L83" s="11" t="str">
        <f t="shared" si="17"/>
        <v>НЕТ</v>
      </c>
      <c r="M83" s="10" t="s">
        <v>1575</v>
      </c>
      <c r="N83" s="10" t="s">
        <v>1575</v>
      </c>
      <c r="O83" s="10">
        <f>14.2+1543*728271/1000000000</f>
        <v>15.323722152999999</v>
      </c>
      <c r="P83" s="10">
        <f t="shared" si="18"/>
        <v>33.902040161504416</v>
      </c>
      <c r="Q83" s="10" t="str">
        <f t="shared" si="19"/>
        <v>NA</v>
      </c>
      <c r="R83" s="10">
        <v>0.8</v>
      </c>
      <c r="S83" s="10" t="s">
        <v>1575</v>
      </c>
      <c r="T83" s="10" t="s">
        <v>1575</v>
      </c>
      <c r="U83" s="10">
        <v>-4.0999999999999996</v>
      </c>
      <c r="V83" s="10">
        <f>29.1+95.3-29.3-126.9</f>
        <v>-31.799999999999997</v>
      </c>
      <c r="W83" s="10" t="s">
        <v>1575</v>
      </c>
      <c r="X83" s="10" t="str">
        <f t="shared" si="20"/>
        <v>NA</v>
      </c>
      <c r="Y83" s="10">
        <f t="shared" si="21"/>
        <v>42.377550201880517</v>
      </c>
      <c r="Z83" s="10">
        <f t="shared" si="22"/>
        <v>-8.268790283293761</v>
      </c>
      <c r="AA83" s="10">
        <f t="shared" si="23"/>
        <v>-1.0661018918712082</v>
      </c>
      <c r="AB83" s="10" t="str">
        <f t="shared" si="24"/>
        <v>NA</v>
      </c>
      <c r="AC83" s="10" t="str">
        <f t="shared" si="25"/>
        <v>NA</v>
      </c>
      <c r="AD83" s="10" t="str">
        <f t="shared" si="26"/>
        <v>NA</v>
      </c>
      <c r="AE83" s="10" t="str">
        <f t="shared" si="27"/>
        <v>NA</v>
      </c>
      <c r="AF83" s="1" t="s">
        <v>822</v>
      </c>
    </row>
    <row r="84" spans="1:32" x14ac:dyDescent="0.2">
      <c r="A84" s="1" t="s">
        <v>835</v>
      </c>
      <c r="B84" s="1" t="s">
        <v>379</v>
      </c>
      <c r="C84" s="1" t="s">
        <v>1575</v>
      </c>
      <c r="D84" s="1" t="s">
        <v>1580</v>
      </c>
      <c r="E84" s="1" t="s">
        <v>1694</v>
      </c>
      <c r="F84" s="1" t="s">
        <v>68</v>
      </c>
      <c r="G84" s="4">
        <f>96.81%-96.59%</f>
        <v>2.2000000000000908E-3</v>
      </c>
      <c r="H84" s="28">
        <v>41729</v>
      </c>
      <c r="I84" s="29">
        <f t="shared" si="16"/>
        <v>2014</v>
      </c>
      <c r="J84" s="1" t="s">
        <v>2168</v>
      </c>
      <c r="K84" s="1" t="s">
        <v>7</v>
      </c>
      <c r="L84" s="11" t="str">
        <f t="shared" si="17"/>
        <v>НЕТ</v>
      </c>
      <c r="M84" s="10" t="s">
        <v>1575</v>
      </c>
      <c r="N84" s="10" t="s">
        <v>1575</v>
      </c>
      <c r="O84" s="10">
        <v>0.2</v>
      </c>
      <c r="P84" s="10">
        <f t="shared" si="18"/>
        <v>90.909090909087169</v>
      </c>
      <c r="Q84" s="10" t="str">
        <f t="shared" si="19"/>
        <v>NA</v>
      </c>
      <c r="R84" s="10" t="s">
        <v>1575</v>
      </c>
      <c r="S84" s="10" t="s">
        <v>1575</v>
      </c>
      <c r="T84" s="10" t="s">
        <v>1575</v>
      </c>
      <c r="U84" s="10" t="s">
        <v>1575</v>
      </c>
      <c r="V84" s="10" t="s">
        <v>1575</v>
      </c>
      <c r="W84" s="10" t="s">
        <v>1575</v>
      </c>
      <c r="X84" s="10" t="str">
        <f t="shared" si="20"/>
        <v>NA</v>
      </c>
      <c r="Y84" s="10" t="str">
        <f t="shared" si="21"/>
        <v>NA</v>
      </c>
      <c r="Z84" s="10" t="str">
        <f t="shared" si="22"/>
        <v>NA</v>
      </c>
      <c r="AA84" s="10" t="str">
        <f t="shared" si="23"/>
        <v>NA</v>
      </c>
      <c r="AB84" s="10" t="str">
        <f t="shared" si="24"/>
        <v>NA</v>
      </c>
      <c r="AC84" s="10" t="str">
        <f t="shared" si="25"/>
        <v>NA</v>
      </c>
      <c r="AD84" s="10" t="str">
        <f t="shared" si="26"/>
        <v>NA</v>
      </c>
      <c r="AE84" s="10" t="str">
        <f t="shared" si="27"/>
        <v>NA</v>
      </c>
      <c r="AF84" s="1" t="s">
        <v>821</v>
      </c>
    </row>
    <row r="85" spans="1:32" x14ac:dyDescent="0.2">
      <c r="A85" s="1" t="s">
        <v>834</v>
      </c>
      <c r="B85" s="1" t="s">
        <v>5</v>
      </c>
      <c r="C85" s="1" t="s">
        <v>1575</v>
      </c>
      <c r="D85" s="1" t="s">
        <v>1580</v>
      </c>
      <c r="E85" s="1" t="s">
        <v>1694</v>
      </c>
      <c r="F85" s="1" t="s">
        <v>68</v>
      </c>
      <c r="G85" s="4">
        <f>99.96%-99.9%</f>
        <v>5.999999999998229E-4</v>
      </c>
      <c r="H85" s="28">
        <v>42004</v>
      </c>
      <c r="I85" s="29">
        <f t="shared" si="16"/>
        <v>2014</v>
      </c>
      <c r="J85" s="1" t="s">
        <v>2168</v>
      </c>
      <c r="K85" s="1" t="s">
        <v>7</v>
      </c>
      <c r="L85" s="11" t="str">
        <f t="shared" si="17"/>
        <v>НЕТ</v>
      </c>
      <c r="M85" s="10" t="s">
        <v>1575</v>
      </c>
      <c r="N85" s="10" t="s">
        <v>1575</v>
      </c>
      <c r="O85" s="10">
        <v>43.9</v>
      </c>
      <c r="P85" s="10">
        <f t="shared" si="18"/>
        <v>73166.666666688267</v>
      </c>
      <c r="Q85" s="10" t="str">
        <f t="shared" si="19"/>
        <v>NA</v>
      </c>
      <c r="R85" s="10" t="s">
        <v>1575</v>
      </c>
      <c r="S85" s="10" t="s">
        <v>1575</v>
      </c>
      <c r="T85" s="10" t="s">
        <v>1575</v>
      </c>
      <c r="U85" s="10" t="s">
        <v>1575</v>
      </c>
      <c r="V85" s="10" t="s">
        <v>1575</v>
      </c>
      <c r="W85" s="10" t="s">
        <v>1575</v>
      </c>
      <c r="X85" s="10" t="str">
        <f t="shared" si="20"/>
        <v>NA</v>
      </c>
      <c r="Y85" s="10" t="str">
        <f t="shared" si="21"/>
        <v>NA</v>
      </c>
      <c r="Z85" s="10" t="str">
        <f t="shared" si="22"/>
        <v>NA</v>
      </c>
      <c r="AA85" s="10" t="str">
        <f t="shared" si="23"/>
        <v>NA</v>
      </c>
      <c r="AB85" s="10" t="str">
        <f t="shared" si="24"/>
        <v>NA</v>
      </c>
      <c r="AC85" s="10" t="str">
        <f t="shared" si="25"/>
        <v>NA</v>
      </c>
      <c r="AD85" s="10" t="str">
        <f t="shared" si="26"/>
        <v>NA</v>
      </c>
      <c r="AE85" s="10" t="str">
        <f t="shared" si="27"/>
        <v>NA</v>
      </c>
      <c r="AF85" s="1" t="s">
        <v>820</v>
      </c>
    </row>
    <row r="86" spans="1:32" x14ac:dyDescent="0.2">
      <c r="A86" s="1" t="s">
        <v>832</v>
      </c>
      <c r="B86" s="1" t="s">
        <v>5</v>
      </c>
      <c r="C86" s="1" t="s">
        <v>1575</v>
      </c>
      <c r="D86" s="1" t="s">
        <v>1584</v>
      </c>
      <c r="E86" s="1" t="s">
        <v>3486</v>
      </c>
      <c r="F86" s="1" t="s">
        <v>46</v>
      </c>
      <c r="G86" s="4">
        <v>0.749</v>
      </c>
      <c r="H86" s="28">
        <v>41851</v>
      </c>
      <c r="I86" s="29">
        <f t="shared" si="16"/>
        <v>2014</v>
      </c>
      <c r="J86" s="1" t="s">
        <v>7</v>
      </c>
      <c r="K86" s="1" t="s">
        <v>2168</v>
      </c>
      <c r="L86" s="11" t="str">
        <f t="shared" si="17"/>
        <v>НЕТ</v>
      </c>
      <c r="M86" s="10" t="s">
        <v>1575</v>
      </c>
      <c r="N86" s="10" t="s">
        <v>1575</v>
      </c>
      <c r="O86" s="10" t="s">
        <v>1575</v>
      </c>
      <c r="P86" s="10" t="str">
        <f t="shared" si="18"/>
        <v>NA</v>
      </c>
      <c r="Q86" s="10" t="str">
        <f t="shared" si="19"/>
        <v>NA</v>
      </c>
      <c r="R86" s="10" t="s">
        <v>1575</v>
      </c>
      <c r="S86" s="10" t="s">
        <v>1575</v>
      </c>
      <c r="T86" s="10" t="s">
        <v>1575</v>
      </c>
      <c r="U86" s="10" t="s">
        <v>1575</v>
      </c>
      <c r="V86" s="10" t="s">
        <v>1575</v>
      </c>
      <c r="W86" s="10" t="s">
        <v>1575</v>
      </c>
      <c r="X86" s="10" t="str">
        <f t="shared" si="20"/>
        <v>NA</v>
      </c>
      <c r="Y86" s="10" t="str">
        <f t="shared" si="21"/>
        <v>NA</v>
      </c>
      <c r="Z86" s="10" t="str">
        <f t="shared" si="22"/>
        <v>NA</v>
      </c>
      <c r="AA86" s="10" t="str">
        <f t="shared" si="23"/>
        <v>NA</v>
      </c>
      <c r="AB86" s="10" t="str">
        <f t="shared" si="24"/>
        <v>NA</v>
      </c>
      <c r="AC86" s="10" t="str">
        <f t="shared" si="25"/>
        <v>NA</v>
      </c>
      <c r="AD86" s="10" t="str">
        <f t="shared" si="26"/>
        <v>NA</v>
      </c>
      <c r="AE86" s="10" t="str">
        <f t="shared" si="27"/>
        <v>NA</v>
      </c>
      <c r="AF86" s="1" t="s">
        <v>833</v>
      </c>
    </row>
    <row r="87" spans="1:32" x14ac:dyDescent="0.2">
      <c r="A87" s="1" t="s">
        <v>831</v>
      </c>
      <c r="B87" s="1" t="s">
        <v>5</v>
      </c>
      <c r="C87" s="1" t="s">
        <v>1575</v>
      </c>
      <c r="D87" s="1" t="s">
        <v>2160</v>
      </c>
      <c r="E87" s="1" t="s">
        <v>2167</v>
      </c>
      <c r="F87" s="1" t="s">
        <v>813</v>
      </c>
      <c r="G87" s="4">
        <v>1</v>
      </c>
      <c r="H87" s="28">
        <v>41912</v>
      </c>
      <c r="I87" s="29">
        <f t="shared" si="16"/>
        <v>2014</v>
      </c>
      <c r="J87" s="1" t="s">
        <v>7</v>
      </c>
      <c r="K87" s="1" t="s">
        <v>2168</v>
      </c>
      <c r="L87" s="11" t="str">
        <f t="shared" si="17"/>
        <v>НЕТ</v>
      </c>
      <c r="M87" s="10" t="s">
        <v>1575</v>
      </c>
      <c r="N87" s="10" t="s">
        <v>1575</v>
      </c>
      <c r="O87" s="10">
        <v>11.4</v>
      </c>
      <c r="P87" s="10">
        <f t="shared" si="18"/>
        <v>11.4</v>
      </c>
      <c r="Q87" s="10" t="str">
        <f t="shared" si="19"/>
        <v>NA</v>
      </c>
      <c r="R87" s="10" t="s">
        <v>1575</v>
      </c>
      <c r="S87" s="10" t="s">
        <v>1575</v>
      </c>
      <c r="T87" s="10" t="s">
        <v>1575</v>
      </c>
      <c r="U87" s="10" t="s">
        <v>1575</v>
      </c>
      <c r="V87" s="10" t="s">
        <v>1575</v>
      </c>
      <c r="W87" s="10" t="s">
        <v>1575</v>
      </c>
      <c r="X87" s="10" t="str">
        <f t="shared" si="20"/>
        <v>NA</v>
      </c>
      <c r="Y87" s="10" t="str">
        <f t="shared" si="21"/>
        <v>NA</v>
      </c>
      <c r="Z87" s="10" t="str">
        <f t="shared" si="22"/>
        <v>NA</v>
      </c>
      <c r="AA87" s="10" t="str">
        <f t="shared" si="23"/>
        <v>NA</v>
      </c>
      <c r="AB87" s="10" t="str">
        <f t="shared" si="24"/>
        <v>NA</v>
      </c>
      <c r="AC87" s="10" t="str">
        <f t="shared" si="25"/>
        <v>NA</v>
      </c>
      <c r="AD87" s="10" t="str">
        <f t="shared" si="26"/>
        <v>NA</v>
      </c>
      <c r="AE87" s="10" t="str">
        <f t="shared" si="27"/>
        <v>NA</v>
      </c>
      <c r="AF87" s="1" t="s">
        <v>819</v>
      </c>
    </row>
    <row r="88" spans="1:32" x14ac:dyDescent="0.2">
      <c r="A88" s="1" t="s">
        <v>830</v>
      </c>
      <c r="B88" s="1" t="s">
        <v>5</v>
      </c>
      <c r="C88" s="1" t="s">
        <v>1575</v>
      </c>
      <c r="D88" s="1" t="s">
        <v>1578</v>
      </c>
      <c r="E88" s="16" t="s">
        <v>9250</v>
      </c>
      <c r="F88" s="1" t="s">
        <v>190</v>
      </c>
      <c r="G88" s="4">
        <v>0.29749999999999999</v>
      </c>
      <c r="H88" s="28">
        <v>41759</v>
      </c>
      <c r="I88" s="29">
        <f t="shared" si="16"/>
        <v>2014</v>
      </c>
      <c r="J88" s="1" t="s">
        <v>2168</v>
      </c>
      <c r="K88" s="1" t="s">
        <v>7</v>
      </c>
      <c r="L88" s="11" t="str">
        <f t="shared" si="17"/>
        <v>НЕТ</v>
      </c>
      <c r="M88" s="10" t="s">
        <v>1575</v>
      </c>
      <c r="N88" s="10" t="s">
        <v>1575</v>
      </c>
      <c r="O88" s="10">
        <v>0.4</v>
      </c>
      <c r="P88" s="10">
        <f t="shared" si="18"/>
        <v>1.3445378151260505</v>
      </c>
      <c r="Q88" s="10" t="str">
        <f t="shared" si="19"/>
        <v>NA</v>
      </c>
      <c r="R88" s="10" t="s">
        <v>1575</v>
      </c>
      <c r="S88" s="10" t="s">
        <v>1575</v>
      </c>
      <c r="T88" s="10" t="s">
        <v>1575</v>
      </c>
      <c r="U88" s="10" t="s">
        <v>1575</v>
      </c>
      <c r="V88" s="10" t="s">
        <v>1575</v>
      </c>
      <c r="W88" s="10" t="s">
        <v>1575</v>
      </c>
      <c r="X88" s="10" t="str">
        <f t="shared" si="20"/>
        <v>NA</v>
      </c>
      <c r="Y88" s="10" t="str">
        <f t="shared" si="21"/>
        <v>NA</v>
      </c>
      <c r="Z88" s="10" t="str">
        <f t="shared" si="22"/>
        <v>NA</v>
      </c>
      <c r="AA88" s="10" t="str">
        <f t="shared" si="23"/>
        <v>NA</v>
      </c>
      <c r="AB88" s="10" t="str">
        <f t="shared" si="24"/>
        <v>NA</v>
      </c>
      <c r="AC88" s="10" t="str">
        <f t="shared" si="25"/>
        <v>NA</v>
      </c>
      <c r="AD88" s="10" t="str">
        <f t="shared" si="26"/>
        <v>NA</v>
      </c>
      <c r="AE88" s="10" t="str">
        <f t="shared" si="27"/>
        <v>NA</v>
      </c>
      <c r="AF88" s="1" t="s">
        <v>818</v>
      </c>
    </row>
    <row r="89" spans="1:32" x14ac:dyDescent="0.2">
      <c r="A89" s="1" t="s">
        <v>829</v>
      </c>
      <c r="B89" s="1" t="s">
        <v>5</v>
      </c>
      <c r="C89" s="1" t="s">
        <v>1575</v>
      </c>
      <c r="D89" s="1" t="s">
        <v>1584</v>
      </c>
      <c r="E89" s="1" t="s">
        <v>3486</v>
      </c>
      <c r="F89" s="1" t="s">
        <v>46</v>
      </c>
      <c r="G89" s="4" t="s">
        <v>11</v>
      </c>
      <c r="H89" s="28">
        <v>41729</v>
      </c>
      <c r="I89" s="29">
        <f t="shared" si="16"/>
        <v>2014</v>
      </c>
      <c r="J89" s="1" t="s">
        <v>2168</v>
      </c>
      <c r="K89" s="1" t="s">
        <v>7</v>
      </c>
      <c r="L89" s="11" t="str">
        <f t="shared" si="17"/>
        <v>НЕТ</v>
      </c>
      <c r="M89" s="10" t="s">
        <v>1575</v>
      </c>
      <c r="N89" s="10" t="s">
        <v>1575</v>
      </c>
      <c r="O89" s="10" t="s">
        <v>1575</v>
      </c>
      <c r="P89" s="10" t="str">
        <f t="shared" si="18"/>
        <v>NA</v>
      </c>
      <c r="Q89" s="10" t="str">
        <f t="shared" si="19"/>
        <v>NA</v>
      </c>
      <c r="R89" s="10" t="s">
        <v>1575</v>
      </c>
      <c r="S89" s="10" t="s">
        <v>1575</v>
      </c>
      <c r="T89" s="10" t="s">
        <v>1575</v>
      </c>
      <c r="U89" s="10" t="s">
        <v>1575</v>
      </c>
      <c r="V89" s="10" t="s">
        <v>1575</v>
      </c>
      <c r="W89" s="10" t="s">
        <v>1575</v>
      </c>
      <c r="X89" s="10" t="str">
        <f t="shared" si="20"/>
        <v>NA</v>
      </c>
      <c r="Y89" s="10" t="str">
        <f t="shared" si="21"/>
        <v>NA</v>
      </c>
      <c r="Z89" s="10" t="str">
        <f t="shared" si="22"/>
        <v>NA</v>
      </c>
      <c r="AA89" s="10" t="str">
        <f t="shared" si="23"/>
        <v>NA</v>
      </c>
      <c r="AB89" s="10" t="str">
        <f t="shared" si="24"/>
        <v>NA</v>
      </c>
      <c r="AC89" s="10" t="str">
        <f t="shared" si="25"/>
        <v>NA</v>
      </c>
      <c r="AD89" s="10" t="str">
        <f t="shared" si="26"/>
        <v>NA</v>
      </c>
      <c r="AE89" s="10" t="str">
        <f t="shared" si="27"/>
        <v>NA</v>
      </c>
      <c r="AF89" s="1" t="s">
        <v>823</v>
      </c>
    </row>
    <row r="90" spans="1:32" x14ac:dyDescent="0.2">
      <c r="A90" s="1" t="s">
        <v>828</v>
      </c>
      <c r="B90" s="1" t="s">
        <v>5</v>
      </c>
      <c r="C90" s="1" t="s">
        <v>1575</v>
      </c>
      <c r="D90" s="1" t="s">
        <v>1584</v>
      </c>
      <c r="E90" s="1" t="s">
        <v>3486</v>
      </c>
      <c r="F90" s="1" t="s">
        <v>46</v>
      </c>
      <c r="G90" s="4">
        <v>0.95</v>
      </c>
      <c r="H90" s="28">
        <v>41698</v>
      </c>
      <c r="I90" s="29">
        <f t="shared" si="16"/>
        <v>2014</v>
      </c>
      <c r="J90" s="1" t="s">
        <v>2168</v>
      </c>
      <c r="K90" s="1" t="s">
        <v>7</v>
      </c>
      <c r="L90" s="11" t="str">
        <f t="shared" si="17"/>
        <v>НЕТ</v>
      </c>
      <c r="M90" s="10" t="s">
        <v>1575</v>
      </c>
      <c r="N90" s="10" t="s">
        <v>1575</v>
      </c>
      <c r="O90" s="10">
        <v>0.7</v>
      </c>
      <c r="P90" s="10">
        <f t="shared" si="18"/>
        <v>0.73684210526315785</v>
      </c>
      <c r="Q90" s="10" t="str">
        <f t="shared" si="19"/>
        <v>NA</v>
      </c>
      <c r="R90" s="10" t="s">
        <v>1575</v>
      </c>
      <c r="S90" s="10" t="s">
        <v>1575</v>
      </c>
      <c r="T90" s="10" t="s">
        <v>1575</v>
      </c>
      <c r="U90" s="10" t="s">
        <v>1575</v>
      </c>
      <c r="V90" s="10" t="s">
        <v>1575</v>
      </c>
      <c r="W90" s="10" t="s">
        <v>1575</v>
      </c>
      <c r="X90" s="10" t="str">
        <f t="shared" si="20"/>
        <v>NA</v>
      </c>
      <c r="Y90" s="10" t="str">
        <f t="shared" si="21"/>
        <v>NA</v>
      </c>
      <c r="Z90" s="10" t="str">
        <f t="shared" si="22"/>
        <v>NA</v>
      </c>
      <c r="AA90" s="10" t="str">
        <f t="shared" si="23"/>
        <v>NA</v>
      </c>
      <c r="AB90" s="10" t="str">
        <f t="shared" si="24"/>
        <v>NA</v>
      </c>
      <c r="AC90" s="10" t="str">
        <f t="shared" si="25"/>
        <v>NA</v>
      </c>
      <c r="AD90" s="10" t="str">
        <f t="shared" si="26"/>
        <v>NA</v>
      </c>
      <c r="AE90" s="10" t="str">
        <f t="shared" si="27"/>
        <v>NA</v>
      </c>
      <c r="AF90" s="1" t="s">
        <v>827</v>
      </c>
    </row>
    <row r="91" spans="1:32" x14ac:dyDescent="0.2">
      <c r="A91" s="1" t="s">
        <v>817</v>
      </c>
      <c r="B91" s="1" t="s">
        <v>5</v>
      </c>
      <c r="C91" s="1" t="s">
        <v>1575</v>
      </c>
      <c r="D91" s="1" t="s">
        <v>1580</v>
      </c>
      <c r="E91" s="1" t="s">
        <v>1694</v>
      </c>
      <c r="F91" s="1" t="s">
        <v>68</v>
      </c>
      <c r="G91" s="4" t="s">
        <v>11</v>
      </c>
      <c r="H91" s="28">
        <v>41729</v>
      </c>
      <c r="I91" s="29">
        <f t="shared" si="16"/>
        <v>2014</v>
      </c>
      <c r="J91" s="1" t="s">
        <v>7</v>
      </c>
      <c r="K91" s="1" t="s">
        <v>2168</v>
      </c>
      <c r="L91" s="11" t="str">
        <f t="shared" si="17"/>
        <v>НЕТ</v>
      </c>
      <c r="M91" s="10" t="s">
        <v>1575</v>
      </c>
      <c r="N91" s="10" t="s">
        <v>1575</v>
      </c>
      <c r="O91" s="10">
        <v>1.2</v>
      </c>
      <c r="P91" s="10" t="str">
        <f t="shared" si="18"/>
        <v>NA</v>
      </c>
      <c r="Q91" s="10" t="str">
        <f t="shared" si="19"/>
        <v>NA</v>
      </c>
      <c r="R91" s="10" t="s">
        <v>1575</v>
      </c>
      <c r="S91" s="10" t="s">
        <v>1575</v>
      </c>
      <c r="T91" s="10" t="s">
        <v>1575</v>
      </c>
      <c r="U91" s="10" t="s">
        <v>1575</v>
      </c>
      <c r="V91" s="10" t="s">
        <v>1575</v>
      </c>
      <c r="W91" s="10" t="s">
        <v>1575</v>
      </c>
      <c r="X91" s="10" t="str">
        <f t="shared" si="20"/>
        <v>NA</v>
      </c>
      <c r="Y91" s="10" t="str">
        <f t="shared" si="21"/>
        <v>NA</v>
      </c>
      <c r="Z91" s="10" t="str">
        <f t="shared" si="22"/>
        <v>NA</v>
      </c>
      <c r="AA91" s="10" t="str">
        <f t="shared" si="23"/>
        <v>NA</v>
      </c>
      <c r="AB91" s="10" t="str">
        <f t="shared" si="24"/>
        <v>NA</v>
      </c>
      <c r="AC91" s="10" t="str">
        <f t="shared" si="25"/>
        <v>NA</v>
      </c>
      <c r="AD91" s="10" t="str">
        <f t="shared" si="26"/>
        <v>NA</v>
      </c>
      <c r="AE91" s="10" t="str">
        <f t="shared" si="27"/>
        <v>NA</v>
      </c>
      <c r="AF91" s="1" t="s">
        <v>816</v>
      </c>
    </row>
    <row r="92" spans="1:32" x14ac:dyDescent="0.2">
      <c r="A92" s="1" t="s">
        <v>5361</v>
      </c>
      <c r="B92" s="1" t="s">
        <v>5</v>
      </c>
      <c r="C92" s="1" t="s">
        <v>1575</v>
      </c>
      <c r="D92" s="1" t="s">
        <v>1597</v>
      </c>
      <c r="E92" s="1" t="s">
        <v>1598</v>
      </c>
      <c r="F92" s="1" t="s">
        <v>6</v>
      </c>
      <c r="G92" s="4" t="s">
        <v>11</v>
      </c>
      <c r="H92" s="28">
        <v>41729</v>
      </c>
      <c r="I92" s="29">
        <f t="shared" si="16"/>
        <v>2014</v>
      </c>
      <c r="J92" s="1" t="s">
        <v>7</v>
      </c>
      <c r="K92" s="1" t="s">
        <v>2168</v>
      </c>
      <c r="L92" s="11" t="str">
        <f t="shared" si="17"/>
        <v>НЕТ</v>
      </c>
      <c r="M92" s="10" t="s">
        <v>1575</v>
      </c>
      <c r="N92" s="10" t="s">
        <v>1575</v>
      </c>
      <c r="O92" s="10">
        <v>2.8</v>
      </c>
      <c r="P92" s="10" t="str">
        <f t="shared" si="18"/>
        <v>NA</v>
      </c>
      <c r="Q92" s="10" t="str">
        <f t="shared" si="19"/>
        <v>NA</v>
      </c>
      <c r="R92" s="10" t="s">
        <v>1575</v>
      </c>
      <c r="S92" s="10" t="s">
        <v>1575</v>
      </c>
      <c r="T92" s="10" t="s">
        <v>1575</v>
      </c>
      <c r="U92" s="10" t="s">
        <v>1575</v>
      </c>
      <c r="V92" s="10" t="s">
        <v>1575</v>
      </c>
      <c r="W92" s="10" t="s">
        <v>1575</v>
      </c>
      <c r="X92" s="10" t="str">
        <f t="shared" si="20"/>
        <v>NA</v>
      </c>
      <c r="Y92" s="10" t="str">
        <f t="shared" si="21"/>
        <v>NA</v>
      </c>
      <c r="Z92" s="10" t="str">
        <f t="shared" si="22"/>
        <v>NA</v>
      </c>
      <c r="AA92" s="10" t="str">
        <f t="shared" si="23"/>
        <v>NA</v>
      </c>
      <c r="AB92" s="10" t="str">
        <f t="shared" si="24"/>
        <v>NA</v>
      </c>
      <c r="AC92" s="10" t="str">
        <f t="shared" si="25"/>
        <v>NA</v>
      </c>
      <c r="AD92" s="10" t="str">
        <f t="shared" si="26"/>
        <v>NA</v>
      </c>
      <c r="AE92" s="10" t="str">
        <f t="shared" si="27"/>
        <v>NA</v>
      </c>
      <c r="AF92" s="1" t="s">
        <v>815</v>
      </c>
    </row>
    <row r="93" spans="1:32" x14ac:dyDescent="0.2">
      <c r="A93" s="1" t="s">
        <v>812</v>
      </c>
      <c r="B93" s="1" t="s">
        <v>5</v>
      </c>
      <c r="C93" s="1" t="s">
        <v>1575</v>
      </c>
      <c r="D93" s="1" t="s">
        <v>2160</v>
      </c>
      <c r="E93" s="1" t="s">
        <v>2167</v>
      </c>
      <c r="F93" s="1" t="s">
        <v>813</v>
      </c>
      <c r="G93" s="4">
        <v>1</v>
      </c>
      <c r="H93" s="28">
        <v>41698</v>
      </c>
      <c r="I93" s="29">
        <f t="shared" si="16"/>
        <v>2014</v>
      </c>
      <c r="J93" s="1" t="s">
        <v>2168</v>
      </c>
      <c r="K93" s="1" t="s">
        <v>7</v>
      </c>
      <c r="L93" s="11" t="str">
        <f t="shared" si="17"/>
        <v>НЕТ</v>
      </c>
      <c r="M93" s="10" t="s">
        <v>1575</v>
      </c>
      <c r="N93" s="10" t="s">
        <v>1575</v>
      </c>
      <c r="O93" s="10">
        <v>4</v>
      </c>
      <c r="P93" s="10">
        <f t="shared" si="18"/>
        <v>4</v>
      </c>
      <c r="Q93" s="10" t="str">
        <f t="shared" si="19"/>
        <v>NA</v>
      </c>
      <c r="R93" s="10" t="s">
        <v>1575</v>
      </c>
      <c r="S93" s="10" t="s">
        <v>1575</v>
      </c>
      <c r="T93" s="10" t="s">
        <v>1575</v>
      </c>
      <c r="U93" s="10" t="s">
        <v>1575</v>
      </c>
      <c r="V93" s="10" t="s">
        <v>1575</v>
      </c>
      <c r="W93" s="10" t="s">
        <v>1575</v>
      </c>
      <c r="X93" s="10" t="str">
        <f t="shared" si="20"/>
        <v>NA</v>
      </c>
      <c r="Y93" s="10" t="str">
        <f t="shared" si="21"/>
        <v>NA</v>
      </c>
      <c r="Z93" s="10" t="str">
        <f t="shared" si="22"/>
        <v>NA</v>
      </c>
      <c r="AA93" s="10" t="str">
        <f t="shared" si="23"/>
        <v>NA</v>
      </c>
      <c r="AB93" s="10" t="str">
        <f t="shared" si="24"/>
        <v>NA</v>
      </c>
      <c r="AC93" s="10" t="str">
        <f t="shared" si="25"/>
        <v>NA</v>
      </c>
      <c r="AD93" s="10" t="str">
        <f t="shared" si="26"/>
        <v>NA</v>
      </c>
      <c r="AE93" s="10" t="str">
        <f t="shared" si="27"/>
        <v>NA</v>
      </c>
      <c r="AF93" s="1" t="s">
        <v>814</v>
      </c>
    </row>
    <row r="94" spans="1:32" x14ac:dyDescent="0.2">
      <c r="A94" s="1" t="s">
        <v>759</v>
      </c>
      <c r="B94" s="1" t="s">
        <v>179</v>
      </c>
      <c r="C94" s="1" t="s">
        <v>1575</v>
      </c>
      <c r="D94" s="1" t="s">
        <v>1578</v>
      </c>
      <c r="E94" s="1" t="s">
        <v>1599</v>
      </c>
      <c r="F94" s="1" t="s">
        <v>551</v>
      </c>
      <c r="G94" s="4">
        <v>0.122</v>
      </c>
      <c r="H94" s="28">
        <v>41670</v>
      </c>
      <c r="I94" s="29">
        <f t="shared" si="16"/>
        <v>2014</v>
      </c>
      <c r="J94" s="1" t="s">
        <v>7</v>
      </c>
      <c r="K94" s="1" t="s">
        <v>2168</v>
      </c>
      <c r="L94" s="11" t="str">
        <f t="shared" si="17"/>
        <v>НЕТ</v>
      </c>
      <c r="M94" s="10">
        <v>25</v>
      </c>
      <c r="N94" s="10" t="s">
        <v>1575</v>
      </c>
      <c r="O94" s="10">
        <v>0.9</v>
      </c>
      <c r="P94" s="10">
        <f t="shared" si="18"/>
        <v>7.3770491803278695</v>
      </c>
      <c r="Q94" s="10" t="str">
        <f t="shared" si="19"/>
        <v>NA</v>
      </c>
      <c r="R94" s="10" t="s">
        <v>1575</v>
      </c>
      <c r="S94" s="10" t="s">
        <v>1575</v>
      </c>
      <c r="T94" s="10" t="s">
        <v>1575</v>
      </c>
      <c r="U94" s="10" t="s">
        <v>1575</v>
      </c>
      <c r="V94" s="10" t="s">
        <v>1575</v>
      </c>
      <c r="W94" s="10" t="s">
        <v>1575</v>
      </c>
      <c r="X94" s="10" t="str">
        <f t="shared" si="20"/>
        <v>NA</v>
      </c>
      <c r="Y94" s="10" t="str">
        <f t="shared" si="21"/>
        <v>NA</v>
      </c>
      <c r="Z94" s="10" t="str">
        <f t="shared" si="22"/>
        <v>NA</v>
      </c>
      <c r="AA94" s="10" t="str">
        <f t="shared" si="23"/>
        <v>NA</v>
      </c>
      <c r="AB94" s="10" t="str">
        <f t="shared" si="24"/>
        <v>NA</v>
      </c>
      <c r="AC94" s="10" t="str">
        <f t="shared" si="25"/>
        <v>NA</v>
      </c>
      <c r="AD94" s="10" t="str">
        <f t="shared" si="26"/>
        <v>NA</v>
      </c>
      <c r="AE94" s="10" t="str">
        <f t="shared" si="27"/>
        <v>NA</v>
      </c>
      <c r="AF94" s="1" t="s">
        <v>811</v>
      </c>
    </row>
    <row r="95" spans="1:32" x14ac:dyDescent="0.2">
      <c r="A95" s="1" t="s">
        <v>2213</v>
      </c>
      <c r="B95" s="1" t="s">
        <v>879</v>
      </c>
      <c r="C95" s="1" t="s">
        <v>1575</v>
      </c>
      <c r="D95" s="1" t="s">
        <v>1578</v>
      </c>
      <c r="E95" s="16" t="s">
        <v>9279</v>
      </c>
      <c r="F95" s="1" t="s">
        <v>810</v>
      </c>
      <c r="G95" s="4">
        <v>0.22500000000000001</v>
      </c>
      <c r="H95" s="28">
        <v>41670</v>
      </c>
      <c r="I95" s="29">
        <f t="shared" si="16"/>
        <v>2014</v>
      </c>
      <c r="J95" s="1" t="s">
        <v>2168</v>
      </c>
      <c r="K95" s="1" t="s">
        <v>7</v>
      </c>
      <c r="L95" s="11" t="str">
        <f t="shared" si="17"/>
        <v>НЕТ</v>
      </c>
      <c r="M95" s="10">
        <v>19.3</v>
      </c>
      <c r="N95" s="10" t="s">
        <v>1575</v>
      </c>
      <c r="O95" s="10">
        <v>0.7</v>
      </c>
      <c r="P95" s="10">
        <f t="shared" si="18"/>
        <v>3.1111111111111107</v>
      </c>
      <c r="Q95" s="10" t="str">
        <f t="shared" si="19"/>
        <v>NA</v>
      </c>
      <c r="R95" s="10" t="s">
        <v>1575</v>
      </c>
      <c r="S95" s="10" t="s">
        <v>1575</v>
      </c>
      <c r="T95" s="10" t="s">
        <v>1575</v>
      </c>
      <c r="U95" s="10" t="s">
        <v>1575</v>
      </c>
      <c r="V95" s="10" t="s">
        <v>1575</v>
      </c>
      <c r="W95" s="10" t="s">
        <v>1575</v>
      </c>
      <c r="X95" s="10" t="str">
        <f t="shared" si="20"/>
        <v>NA</v>
      </c>
      <c r="Y95" s="10" t="str">
        <f t="shared" si="21"/>
        <v>NA</v>
      </c>
      <c r="Z95" s="10" t="str">
        <f t="shared" si="22"/>
        <v>NA</v>
      </c>
      <c r="AA95" s="10" t="str">
        <f t="shared" si="23"/>
        <v>NA</v>
      </c>
      <c r="AB95" s="10" t="str">
        <f t="shared" si="24"/>
        <v>NA</v>
      </c>
      <c r="AC95" s="10" t="str">
        <f t="shared" si="25"/>
        <v>NA</v>
      </c>
      <c r="AD95" s="10" t="str">
        <f t="shared" si="26"/>
        <v>NA</v>
      </c>
      <c r="AE95" s="10" t="str">
        <f t="shared" si="27"/>
        <v>NA</v>
      </c>
      <c r="AF95" s="1" t="s">
        <v>809</v>
      </c>
    </row>
    <row r="96" spans="1:32" x14ac:dyDescent="0.2">
      <c r="A96" s="1" t="s">
        <v>807</v>
      </c>
      <c r="B96" s="1" t="s">
        <v>5</v>
      </c>
      <c r="C96" s="1" t="s">
        <v>1575</v>
      </c>
      <c r="D96" s="1" t="s">
        <v>1584</v>
      </c>
      <c r="E96" s="1" t="s">
        <v>3486</v>
      </c>
      <c r="F96" s="1" t="s">
        <v>46</v>
      </c>
      <c r="G96" s="4">
        <f>71.1%-27.9%</f>
        <v>0.432</v>
      </c>
      <c r="H96" s="28">
        <v>42094</v>
      </c>
      <c r="I96" s="29">
        <f t="shared" si="16"/>
        <v>2015</v>
      </c>
      <c r="J96" s="1" t="s">
        <v>2168</v>
      </c>
      <c r="K96" s="1" t="s">
        <v>7</v>
      </c>
      <c r="L96" s="11" t="str">
        <f t="shared" si="17"/>
        <v>НЕТ</v>
      </c>
      <c r="M96" s="10" t="s">
        <v>1575</v>
      </c>
      <c r="N96" s="10" t="s">
        <v>1575</v>
      </c>
      <c r="O96" s="10" t="s">
        <v>1575</v>
      </c>
      <c r="P96" s="10" t="str">
        <f t="shared" si="18"/>
        <v>NA</v>
      </c>
      <c r="Q96" s="10" t="str">
        <f t="shared" si="19"/>
        <v>NA</v>
      </c>
      <c r="R96" s="10" t="s">
        <v>1575</v>
      </c>
      <c r="S96" s="10" t="s">
        <v>1575</v>
      </c>
      <c r="T96" s="10" t="s">
        <v>1575</v>
      </c>
      <c r="U96" s="10" t="s">
        <v>1575</v>
      </c>
      <c r="V96" s="10">
        <v>6.1</v>
      </c>
      <c r="W96" s="10" t="s">
        <v>1575</v>
      </c>
      <c r="X96" s="10" t="str">
        <f t="shared" si="20"/>
        <v>NA</v>
      </c>
      <c r="Y96" s="10" t="str">
        <f t="shared" si="21"/>
        <v>NA</v>
      </c>
      <c r="Z96" s="10" t="str">
        <f t="shared" si="22"/>
        <v>NA</v>
      </c>
      <c r="AA96" s="10" t="str">
        <f t="shared" si="23"/>
        <v>NA</v>
      </c>
      <c r="AB96" s="10" t="str">
        <f t="shared" si="24"/>
        <v>NA</v>
      </c>
      <c r="AC96" s="10" t="str">
        <f t="shared" si="25"/>
        <v>NA</v>
      </c>
      <c r="AD96" s="10" t="str">
        <f t="shared" si="26"/>
        <v>NA</v>
      </c>
      <c r="AE96" s="10" t="str">
        <f t="shared" si="27"/>
        <v>NA</v>
      </c>
      <c r="AF96" s="1" t="s">
        <v>808</v>
      </c>
    </row>
    <row r="97" spans="1:32" x14ac:dyDescent="0.2">
      <c r="A97" s="1" t="s">
        <v>805</v>
      </c>
      <c r="B97" s="1" t="s">
        <v>91</v>
      </c>
      <c r="C97" s="1" t="s">
        <v>1575</v>
      </c>
      <c r="D97" s="1" t="s">
        <v>1580</v>
      </c>
      <c r="E97" s="1" t="s">
        <v>1694</v>
      </c>
      <c r="F97" s="1" t="s">
        <v>68</v>
      </c>
      <c r="G97" s="4">
        <f>99.99%-99.98%</f>
        <v>9.9999999999877964E-5</v>
      </c>
      <c r="H97" s="28">
        <v>42277</v>
      </c>
      <c r="I97" s="29">
        <f t="shared" si="16"/>
        <v>2015</v>
      </c>
      <c r="J97" s="1" t="s">
        <v>2168</v>
      </c>
      <c r="K97" s="1" t="s">
        <v>7</v>
      </c>
      <c r="L97" s="11" t="str">
        <f t="shared" si="17"/>
        <v>НЕТ</v>
      </c>
      <c r="M97" s="10" t="s">
        <v>1575</v>
      </c>
      <c r="N97" s="10" t="s">
        <v>1575</v>
      </c>
      <c r="O97" s="10" t="s">
        <v>1575</v>
      </c>
      <c r="P97" s="10" t="str">
        <f t="shared" si="18"/>
        <v>NA</v>
      </c>
      <c r="Q97" s="10" t="str">
        <f t="shared" si="19"/>
        <v>NA</v>
      </c>
      <c r="R97" s="10" t="s">
        <v>1575</v>
      </c>
      <c r="S97" s="10" t="s">
        <v>1575</v>
      </c>
      <c r="T97" s="10" t="s">
        <v>1575</v>
      </c>
      <c r="U97" s="10" t="s">
        <v>1575</v>
      </c>
      <c r="V97" s="10" t="s">
        <v>1575</v>
      </c>
      <c r="W97" s="10" t="s">
        <v>1575</v>
      </c>
      <c r="X97" s="10" t="str">
        <f t="shared" si="20"/>
        <v>NA</v>
      </c>
      <c r="Y97" s="10" t="str">
        <f t="shared" si="21"/>
        <v>NA</v>
      </c>
      <c r="Z97" s="10" t="str">
        <f t="shared" si="22"/>
        <v>NA</v>
      </c>
      <c r="AA97" s="10" t="str">
        <f t="shared" si="23"/>
        <v>NA</v>
      </c>
      <c r="AB97" s="10" t="str">
        <f t="shared" si="24"/>
        <v>NA</v>
      </c>
      <c r="AC97" s="10" t="str">
        <f t="shared" si="25"/>
        <v>NA</v>
      </c>
      <c r="AD97" s="10" t="str">
        <f t="shared" si="26"/>
        <v>NA</v>
      </c>
      <c r="AE97" s="10" t="str">
        <f t="shared" si="27"/>
        <v>NA</v>
      </c>
      <c r="AF97" s="1" t="s">
        <v>804</v>
      </c>
    </row>
    <row r="98" spans="1:32" x14ac:dyDescent="0.2">
      <c r="A98" s="1" t="s">
        <v>918</v>
      </c>
      <c r="B98" s="1" t="s">
        <v>5</v>
      </c>
      <c r="C98" s="1" t="s">
        <v>1575</v>
      </c>
      <c r="D98" s="1" t="s">
        <v>1580</v>
      </c>
      <c r="E98" s="1" t="s">
        <v>1694</v>
      </c>
      <c r="F98" s="1" t="s">
        <v>68</v>
      </c>
      <c r="G98" s="4">
        <f>100%-96.88%</f>
        <v>3.1200000000000006E-2</v>
      </c>
      <c r="H98" s="28">
        <v>42369</v>
      </c>
      <c r="I98" s="29">
        <f t="shared" si="16"/>
        <v>2015</v>
      </c>
      <c r="J98" s="1" t="s">
        <v>2168</v>
      </c>
      <c r="K98" s="1" t="s">
        <v>7</v>
      </c>
      <c r="L98" s="11" t="str">
        <f t="shared" si="17"/>
        <v>НЕТ</v>
      </c>
      <c r="M98" s="10" t="s">
        <v>1575</v>
      </c>
      <c r="N98" s="10" t="s">
        <v>1575</v>
      </c>
      <c r="O98" s="10" t="s">
        <v>1575</v>
      </c>
      <c r="P98" s="10" t="str">
        <f t="shared" si="18"/>
        <v>NA</v>
      </c>
      <c r="Q98" s="10" t="str">
        <f t="shared" si="19"/>
        <v>NA</v>
      </c>
      <c r="R98" s="10" t="s">
        <v>1575</v>
      </c>
      <c r="S98" s="10" t="s">
        <v>1575</v>
      </c>
      <c r="T98" s="10" t="s">
        <v>1575</v>
      </c>
      <c r="U98" s="10">
        <v>69.099999999999994</v>
      </c>
      <c r="V98" s="10">
        <f>943.8+1171.4-1196.9-647.4</f>
        <v>270.89999999999975</v>
      </c>
      <c r="W98" s="10" t="s">
        <v>1575</v>
      </c>
      <c r="X98" s="10" t="str">
        <f t="shared" si="20"/>
        <v>NA</v>
      </c>
      <c r="Y98" s="10" t="str">
        <f t="shared" si="21"/>
        <v>NA</v>
      </c>
      <c r="Z98" s="10" t="str">
        <f t="shared" si="22"/>
        <v>NA</v>
      </c>
      <c r="AA98" s="10" t="str">
        <f t="shared" si="23"/>
        <v>NA</v>
      </c>
      <c r="AB98" s="10" t="str">
        <f t="shared" si="24"/>
        <v>NA</v>
      </c>
      <c r="AC98" s="10" t="str">
        <f t="shared" si="25"/>
        <v>NA</v>
      </c>
      <c r="AD98" s="10" t="str">
        <f t="shared" si="26"/>
        <v>NA</v>
      </c>
      <c r="AE98" s="10" t="str">
        <f t="shared" si="27"/>
        <v>NA</v>
      </c>
      <c r="AF98" s="1" t="s">
        <v>806</v>
      </c>
    </row>
    <row r="99" spans="1:32" x14ac:dyDescent="0.2">
      <c r="A99" s="1" t="s">
        <v>802</v>
      </c>
      <c r="B99" s="1" t="s">
        <v>5</v>
      </c>
      <c r="C99" s="1" t="s">
        <v>1575</v>
      </c>
      <c r="D99" s="1" t="s">
        <v>1580</v>
      </c>
      <c r="E99" s="1" t="s">
        <v>1694</v>
      </c>
      <c r="F99" s="1" t="s">
        <v>68</v>
      </c>
      <c r="G99" s="4">
        <v>0.49990000000000001</v>
      </c>
      <c r="H99" s="28">
        <v>42247</v>
      </c>
      <c r="I99" s="29">
        <f t="shared" si="16"/>
        <v>2015</v>
      </c>
      <c r="J99" s="1" t="s">
        <v>7</v>
      </c>
      <c r="K99" s="1" t="s">
        <v>2168</v>
      </c>
      <c r="L99" s="11" t="str">
        <f t="shared" si="17"/>
        <v>НЕТ</v>
      </c>
      <c r="M99" s="10" t="s">
        <v>1575</v>
      </c>
      <c r="N99" s="10" t="s">
        <v>1575</v>
      </c>
      <c r="O99" s="10">
        <v>0.5</v>
      </c>
      <c r="P99" s="10">
        <f t="shared" si="18"/>
        <v>1.0002000400080016</v>
      </c>
      <c r="Q99" s="10" t="str">
        <f t="shared" si="19"/>
        <v>NA</v>
      </c>
      <c r="R99" s="10" t="s">
        <v>1575</v>
      </c>
      <c r="S99" s="10" t="s">
        <v>1575</v>
      </c>
      <c r="T99" s="10" t="s">
        <v>1575</v>
      </c>
      <c r="U99" s="10" t="s">
        <v>1575</v>
      </c>
      <c r="V99" s="10" t="s">
        <v>1575</v>
      </c>
      <c r="W99" s="10" t="s">
        <v>1575</v>
      </c>
      <c r="X99" s="10" t="str">
        <f t="shared" si="20"/>
        <v>NA</v>
      </c>
      <c r="Y99" s="10" t="str">
        <f t="shared" si="21"/>
        <v>NA</v>
      </c>
      <c r="Z99" s="10" t="str">
        <f t="shared" si="22"/>
        <v>NA</v>
      </c>
      <c r="AA99" s="10" t="str">
        <f t="shared" si="23"/>
        <v>NA</v>
      </c>
      <c r="AB99" s="10" t="str">
        <f t="shared" si="24"/>
        <v>NA</v>
      </c>
      <c r="AC99" s="10" t="str">
        <f t="shared" si="25"/>
        <v>NA</v>
      </c>
      <c r="AD99" s="10" t="str">
        <f t="shared" si="26"/>
        <v>NA</v>
      </c>
      <c r="AE99" s="10" t="str">
        <f t="shared" si="27"/>
        <v>NA</v>
      </c>
      <c r="AF99" s="1" t="s">
        <v>803</v>
      </c>
    </row>
    <row r="100" spans="1:32" x14ac:dyDescent="0.2">
      <c r="A100" s="1" t="s">
        <v>801</v>
      </c>
      <c r="B100" s="1" t="s">
        <v>5</v>
      </c>
      <c r="C100" s="1" t="s">
        <v>1575</v>
      </c>
      <c r="D100" s="1" t="s">
        <v>1584</v>
      </c>
      <c r="E100" s="1" t="s">
        <v>1586</v>
      </c>
      <c r="F100" s="1" t="s">
        <v>66</v>
      </c>
      <c r="G100" s="4" t="s">
        <v>1575</v>
      </c>
      <c r="H100" s="28">
        <v>42063</v>
      </c>
      <c r="I100" s="29">
        <f t="shared" si="16"/>
        <v>2015</v>
      </c>
      <c r="J100" s="1" t="s">
        <v>7</v>
      </c>
      <c r="K100" s="1" t="s">
        <v>2168</v>
      </c>
      <c r="L100" s="11" t="str">
        <f t="shared" si="17"/>
        <v>НЕТ</v>
      </c>
      <c r="M100" s="10" t="s">
        <v>1575</v>
      </c>
      <c r="N100" s="10" t="s">
        <v>1575</v>
      </c>
      <c r="O100" s="10">
        <v>0.9</v>
      </c>
      <c r="P100" s="10" t="str">
        <f t="shared" si="18"/>
        <v>NA</v>
      </c>
      <c r="Q100" s="10" t="str">
        <f t="shared" si="19"/>
        <v>NA</v>
      </c>
      <c r="R100" s="10" t="s">
        <v>1575</v>
      </c>
      <c r="S100" s="10" t="s">
        <v>1575</v>
      </c>
      <c r="T100" s="10" t="s">
        <v>1575</v>
      </c>
      <c r="U100" s="10" t="s">
        <v>1575</v>
      </c>
      <c r="V100" s="10" t="s">
        <v>1575</v>
      </c>
      <c r="W100" s="10" t="s">
        <v>1575</v>
      </c>
      <c r="X100" s="10" t="str">
        <f t="shared" si="20"/>
        <v>NA</v>
      </c>
      <c r="Y100" s="10" t="str">
        <f t="shared" si="21"/>
        <v>NA</v>
      </c>
      <c r="Z100" s="10" t="str">
        <f t="shared" si="22"/>
        <v>NA</v>
      </c>
      <c r="AA100" s="10" t="str">
        <f t="shared" si="23"/>
        <v>NA</v>
      </c>
      <c r="AB100" s="10" t="str">
        <f t="shared" si="24"/>
        <v>NA</v>
      </c>
      <c r="AC100" s="10" t="str">
        <f t="shared" si="25"/>
        <v>NA</v>
      </c>
      <c r="AD100" s="10" t="str">
        <f t="shared" si="26"/>
        <v>NA</v>
      </c>
      <c r="AE100" s="10" t="str">
        <f t="shared" si="27"/>
        <v>NA</v>
      </c>
      <c r="AF100" s="1" t="s">
        <v>800</v>
      </c>
    </row>
    <row r="101" spans="1:32" x14ac:dyDescent="0.2">
      <c r="A101" s="1" t="s">
        <v>5365</v>
      </c>
      <c r="B101" s="1" t="s">
        <v>5</v>
      </c>
      <c r="C101" s="1" t="s">
        <v>1575</v>
      </c>
      <c r="D101" s="1" t="s">
        <v>1580</v>
      </c>
      <c r="E101" s="1" t="s">
        <v>1694</v>
      </c>
      <c r="F101" s="1" t="s">
        <v>68</v>
      </c>
      <c r="G101" s="4">
        <v>0.49990000000000001</v>
      </c>
      <c r="H101" s="28">
        <v>42400</v>
      </c>
      <c r="I101" s="29">
        <f t="shared" si="16"/>
        <v>2016</v>
      </c>
      <c r="J101" s="1" t="s">
        <v>5366</v>
      </c>
      <c r="K101" s="1" t="s">
        <v>2168</v>
      </c>
      <c r="L101" s="11" t="str">
        <f t="shared" si="17"/>
        <v>НЕТ</v>
      </c>
      <c r="M101" s="10" t="s">
        <v>1575</v>
      </c>
      <c r="N101" s="10" t="s">
        <v>1575</v>
      </c>
      <c r="O101" s="10">
        <v>5.5</v>
      </c>
      <c r="P101" s="10">
        <f t="shared" si="18"/>
        <v>11.002200440088018</v>
      </c>
      <c r="Q101" s="10" t="str">
        <f t="shared" si="19"/>
        <v>NA</v>
      </c>
      <c r="R101" s="10" t="s">
        <v>1575</v>
      </c>
      <c r="S101" s="10" t="s">
        <v>1575</v>
      </c>
      <c r="T101" s="10" t="s">
        <v>1575</v>
      </c>
      <c r="U101" s="10">
        <v>1.2</v>
      </c>
      <c r="V101" s="10">
        <f>34.3+79.9-54.5-40.2</f>
        <v>19.5</v>
      </c>
      <c r="W101" s="10" t="s">
        <v>1575</v>
      </c>
      <c r="X101" s="10" t="str">
        <f t="shared" si="20"/>
        <v>NA</v>
      </c>
      <c r="Y101" s="10" t="str">
        <f t="shared" si="21"/>
        <v>NA</v>
      </c>
      <c r="Z101" s="10">
        <f t="shared" si="22"/>
        <v>9.168500366740016</v>
      </c>
      <c r="AA101" s="10">
        <f t="shared" si="23"/>
        <v>0.56421540718400087</v>
      </c>
      <c r="AB101" s="10" t="str">
        <f t="shared" si="24"/>
        <v>NA</v>
      </c>
      <c r="AC101" s="10" t="str">
        <f t="shared" si="25"/>
        <v>NA</v>
      </c>
      <c r="AD101" s="10" t="str">
        <f t="shared" si="26"/>
        <v>NA</v>
      </c>
      <c r="AE101" s="10" t="str">
        <f t="shared" si="27"/>
        <v>NA</v>
      </c>
      <c r="AF101" s="1" t="s">
        <v>798</v>
      </c>
    </row>
    <row r="102" spans="1:32" x14ac:dyDescent="0.2">
      <c r="A102" s="1" t="s">
        <v>908</v>
      </c>
      <c r="B102" s="1" t="s">
        <v>2214</v>
      </c>
      <c r="C102" s="1" t="s">
        <v>1575</v>
      </c>
      <c r="D102" s="1" t="s">
        <v>1600</v>
      </c>
      <c r="E102" s="1" t="s">
        <v>1653</v>
      </c>
      <c r="F102" s="1" t="s">
        <v>101</v>
      </c>
      <c r="G102" s="6" t="s">
        <v>799</v>
      </c>
      <c r="H102" s="28">
        <v>42735</v>
      </c>
      <c r="I102" s="29">
        <f t="shared" si="16"/>
        <v>2016</v>
      </c>
      <c r="J102" s="1" t="s">
        <v>7</v>
      </c>
      <c r="K102" s="1" t="s">
        <v>2168</v>
      </c>
      <c r="L102" s="11" t="str">
        <f t="shared" si="17"/>
        <v>НЕТ</v>
      </c>
      <c r="M102" s="10">
        <v>51.3</v>
      </c>
      <c r="N102" s="10" t="s">
        <v>1575</v>
      </c>
      <c r="O102" s="10">
        <v>3.1</v>
      </c>
      <c r="P102" s="10" t="str">
        <f t="shared" si="18"/>
        <v>NA</v>
      </c>
      <c r="Q102" s="10" t="str">
        <f t="shared" si="19"/>
        <v>NA</v>
      </c>
      <c r="R102" s="10" t="s">
        <v>1575</v>
      </c>
      <c r="S102" s="10" t="s">
        <v>1575</v>
      </c>
      <c r="T102" s="10" t="s">
        <v>1575</v>
      </c>
      <c r="U102" s="10" t="s">
        <v>1575</v>
      </c>
      <c r="V102" s="10" t="s">
        <v>1575</v>
      </c>
      <c r="W102" s="10" t="s">
        <v>1575</v>
      </c>
      <c r="X102" s="10" t="str">
        <f t="shared" si="20"/>
        <v>NA</v>
      </c>
      <c r="Y102" s="10" t="str">
        <f t="shared" si="21"/>
        <v>NA</v>
      </c>
      <c r="Z102" s="10" t="str">
        <f t="shared" si="22"/>
        <v>NA</v>
      </c>
      <c r="AA102" s="10" t="str">
        <f t="shared" si="23"/>
        <v>NA</v>
      </c>
      <c r="AB102" s="10" t="str">
        <f t="shared" si="24"/>
        <v>NA</v>
      </c>
      <c r="AC102" s="10" t="str">
        <f t="shared" si="25"/>
        <v>NA</v>
      </c>
      <c r="AD102" s="10" t="str">
        <f t="shared" si="26"/>
        <v>NA</v>
      </c>
      <c r="AE102" s="10" t="str">
        <f t="shared" si="27"/>
        <v>NA</v>
      </c>
      <c r="AF102" s="1" t="s">
        <v>797</v>
      </c>
    </row>
    <row r="103" spans="1:32" x14ac:dyDescent="0.2">
      <c r="A103" s="1" t="s">
        <v>5363</v>
      </c>
      <c r="B103" s="1" t="s">
        <v>2214</v>
      </c>
      <c r="C103" s="1" t="s">
        <v>1575</v>
      </c>
      <c r="D103" s="1" t="s">
        <v>1578</v>
      </c>
      <c r="E103" s="1" t="s">
        <v>1579</v>
      </c>
      <c r="F103" s="1" t="s">
        <v>429</v>
      </c>
      <c r="G103" s="4">
        <v>0.3165</v>
      </c>
      <c r="H103" s="28">
        <v>42704</v>
      </c>
      <c r="I103" s="29">
        <f t="shared" si="16"/>
        <v>2016</v>
      </c>
      <c r="J103" s="1" t="s">
        <v>2168</v>
      </c>
      <c r="K103" s="1" t="s">
        <v>7</v>
      </c>
      <c r="L103" s="11" t="str">
        <f t="shared" si="17"/>
        <v>НЕТ</v>
      </c>
      <c r="M103" s="10" t="s">
        <v>1575</v>
      </c>
      <c r="N103" s="10" t="s">
        <v>1575</v>
      </c>
      <c r="O103" s="10" t="s">
        <v>1575</v>
      </c>
      <c r="P103" s="10" t="str">
        <f t="shared" si="18"/>
        <v>NA</v>
      </c>
      <c r="Q103" s="10" t="str">
        <f t="shared" si="19"/>
        <v>NA</v>
      </c>
      <c r="R103" s="10" t="s">
        <v>1575</v>
      </c>
      <c r="S103" s="10" t="s">
        <v>1575</v>
      </c>
      <c r="T103" s="10" t="s">
        <v>1575</v>
      </c>
      <c r="U103" s="10" t="s">
        <v>1575</v>
      </c>
      <c r="V103" s="10" t="s">
        <v>1575</v>
      </c>
      <c r="W103" s="10" t="s">
        <v>1575</v>
      </c>
      <c r="X103" s="10" t="str">
        <f t="shared" si="20"/>
        <v>NA</v>
      </c>
      <c r="Y103" s="10" t="str">
        <f t="shared" si="21"/>
        <v>NA</v>
      </c>
      <c r="Z103" s="10" t="str">
        <f t="shared" si="22"/>
        <v>NA</v>
      </c>
      <c r="AA103" s="10" t="str">
        <f t="shared" si="23"/>
        <v>NA</v>
      </c>
      <c r="AB103" s="10" t="str">
        <f t="shared" si="24"/>
        <v>NA</v>
      </c>
      <c r="AC103" s="10" t="str">
        <f t="shared" si="25"/>
        <v>NA</v>
      </c>
      <c r="AD103" s="10" t="str">
        <f t="shared" si="26"/>
        <v>NA</v>
      </c>
      <c r="AE103" s="10" t="str">
        <f t="shared" si="27"/>
        <v>NA</v>
      </c>
      <c r="AF103" s="1" t="s">
        <v>854</v>
      </c>
    </row>
    <row r="104" spans="1:32" x14ac:dyDescent="0.2">
      <c r="A104" s="1" t="s">
        <v>830</v>
      </c>
      <c r="B104" s="1" t="s">
        <v>5</v>
      </c>
      <c r="C104" s="1" t="s">
        <v>1575</v>
      </c>
      <c r="D104" s="1" t="s">
        <v>1578</v>
      </c>
      <c r="E104" s="16" t="s">
        <v>9250</v>
      </c>
      <c r="F104" s="1" t="s">
        <v>190</v>
      </c>
      <c r="G104" s="4">
        <v>0.49</v>
      </c>
      <c r="H104" s="28">
        <v>42428</v>
      </c>
      <c r="I104" s="29">
        <f t="shared" si="16"/>
        <v>2016</v>
      </c>
      <c r="J104" s="1" t="s">
        <v>7</v>
      </c>
      <c r="K104" s="1" t="s">
        <v>2169</v>
      </c>
      <c r="L104" s="11" t="str">
        <f t="shared" si="17"/>
        <v>НЕТ</v>
      </c>
      <c r="M104" s="10" t="s">
        <v>1575</v>
      </c>
      <c r="N104" s="10" t="s">
        <v>1575</v>
      </c>
      <c r="O104" s="10">
        <v>0.7</v>
      </c>
      <c r="P104" s="10">
        <f t="shared" si="18"/>
        <v>1.4285714285714286</v>
      </c>
      <c r="Q104" s="10" t="str">
        <f t="shared" si="19"/>
        <v>NA</v>
      </c>
      <c r="R104" s="10" t="s">
        <v>1575</v>
      </c>
      <c r="S104" s="10" t="s">
        <v>1575</v>
      </c>
      <c r="T104" s="10" t="s">
        <v>1575</v>
      </c>
      <c r="U104" s="10" t="s">
        <v>1575</v>
      </c>
      <c r="V104" s="10" t="s">
        <v>1575</v>
      </c>
      <c r="W104" s="10" t="s">
        <v>1575</v>
      </c>
      <c r="X104" s="10" t="str">
        <f t="shared" si="20"/>
        <v>NA</v>
      </c>
      <c r="Y104" s="10" t="str">
        <f t="shared" si="21"/>
        <v>NA</v>
      </c>
      <c r="Z104" s="10" t="str">
        <f t="shared" si="22"/>
        <v>NA</v>
      </c>
      <c r="AA104" s="10" t="str">
        <f t="shared" si="23"/>
        <v>NA</v>
      </c>
      <c r="AB104" s="10" t="str">
        <f t="shared" si="24"/>
        <v>NA</v>
      </c>
      <c r="AC104" s="10" t="str">
        <f t="shared" si="25"/>
        <v>NA</v>
      </c>
      <c r="AD104" s="10" t="str">
        <f t="shared" si="26"/>
        <v>NA</v>
      </c>
      <c r="AE104" s="10" t="str">
        <f t="shared" si="27"/>
        <v>NA</v>
      </c>
      <c r="AF104" s="1" t="s">
        <v>796</v>
      </c>
    </row>
    <row r="105" spans="1:32" x14ac:dyDescent="0.2">
      <c r="A105" s="1" t="s">
        <v>795</v>
      </c>
      <c r="B105" s="1" t="s">
        <v>183</v>
      </c>
      <c r="C105" s="1" t="s">
        <v>1575</v>
      </c>
      <c r="D105" s="1" t="s">
        <v>1595</v>
      </c>
      <c r="E105" s="1" t="s">
        <v>5352</v>
      </c>
      <c r="F105" s="1" t="s">
        <v>244</v>
      </c>
      <c r="G105" s="6" t="s">
        <v>794</v>
      </c>
      <c r="H105" s="28">
        <v>42613</v>
      </c>
      <c r="I105" s="29">
        <f t="shared" si="16"/>
        <v>2016</v>
      </c>
      <c r="J105" s="1" t="s">
        <v>2168</v>
      </c>
      <c r="K105" s="1" t="s">
        <v>7</v>
      </c>
      <c r="L105" s="11" t="str">
        <f t="shared" si="17"/>
        <v>НЕТ</v>
      </c>
      <c r="M105" s="10" t="s">
        <v>1575</v>
      </c>
      <c r="N105" s="10">
        <v>20.6</v>
      </c>
      <c r="O105" s="10">
        <v>1.5</v>
      </c>
      <c r="P105" s="10" t="str">
        <f t="shared" si="18"/>
        <v>NA</v>
      </c>
      <c r="Q105" s="10" t="str">
        <f t="shared" si="19"/>
        <v>NA</v>
      </c>
      <c r="R105" s="10" t="s">
        <v>1575</v>
      </c>
      <c r="S105" s="10" t="s">
        <v>1575</v>
      </c>
      <c r="T105" s="10" t="s">
        <v>1575</v>
      </c>
      <c r="U105" s="10" t="s">
        <v>1575</v>
      </c>
      <c r="V105" s="10" t="s">
        <v>1575</v>
      </c>
      <c r="W105" s="10" t="s">
        <v>1575</v>
      </c>
      <c r="X105" s="10" t="str">
        <f t="shared" si="20"/>
        <v>NA</v>
      </c>
      <c r="Y105" s="10" t="str">
        <f t="shared" si="21"/>
        <v>NA</v>
      </c>
      <c r="Z105" s="10" t="str">
        <f t="shared" si="22"/>
        <v>NA</v>
      </c>
      <c r="AA105" s="10" t="str">
        <f t="shared" si="23"/>
        <v>NA</v>
      </c>
      <c r="AB105" s="10" t="str">
        <f t="shared" si="24"/>
        <v>NA</v>
      </c>
      <c r="AC105" s="10" t="str">
        <f t="shared" si="25"/>
        <v>NA</v>
      </c>
      <c r="AD105" s="10" t="str">
        <f t="shared" si="26"/>
        <v>NA</v>
      </c>
      <c r="AE105" s="10" t="str">
        <f t="shared" si="27"/>
        <v>NA</v>
      </c>
      <c r="AF105" s="1" t="s">
        <v>793</v>
      </c>
    </row>
    <row r="106" spans="1:32" x14ac:dyDescent="0.2">
      <c r="A106" s="1" t="s">
        <v>5367</v>
      </c>
      <c r="B106" s="1" t="s">
        <v>5</v>
      </c>
      <c r="C106" s="1" t="s">
        <v>1575</v>
      </c>
      <c r="D106" s="1" t="s">
        <v>1582</v>
      </c>
      <c r="E106" s="1" t="s">
        <v>1583</v>
      </c>
      <c r="F106" s="1" t="s">
        <v>406</v>
      </c>
      <c r="G106" s="4">
        <v>0.99996099999999999</v>
      </c>
      <c r="H106" s="28">
        <v>42735</v>
      </c>
      <c r="I106" s="29">
        <f t="shared" si="16"/>
        <v>2016</v>
      </c>
      <c r="J106" s="1" t="s">
        <v>7</v>
      </c>
      <c r="K106" s="1" t="s">
        <v>2168</v>
      </c>
      <c r="L106" s="11" t="str">
        <f t="shared" si="17"/>
        <v>НЕТ</v>
      </c>
      <c r="M106" s="10" t="s">
        <v>1575</v>
      </c>
      <c r="N106" s="10" t="s">
        <v>1575</v>
      </c>
      <c r="O106" s="10">
        <v>1.0000000000000001E-9</v>
      </c>
      <c r="P106" s="10">
        <f t="shared" si="18"/>
        <v>1.0000390015210593E-9</v>
      </c>
      <c r="Q106" s="10" t="str">
        <f t="shared" si="19"/>
        <v>NA</v>
      </c>
      <c r="R106" s="10" t="s">
        <v>1575</v>
      </c>
      <c r="S106" s="10" t="s">
        <v>1575</v>
      </c>
      <c r="T106" s="10" t="s">
        <v>1575</v>
      </c>
      <c r="U106" s="10" t="s">
        <v>1575</v>
      </c>
      <c r="V106" s="10">
        <f>7.6-11.3</f>
        <v>-3.7000000000000011</v>
      </c>
      <c r="W106" s="10" t="s">
        <v>1575</v>
      </c>
      <c r="X106" s="10" t="str">
        <f t="shared" si="20"/>
        <v>NA</v>
      </c>
      <c r="Y106" s="10" t="str">
        <f t="shared" si="21"/>
        <v>NA</v>
      </c>
      <c r="Z106" s="10" t="str">
        <f t="shared" si="22"/>
        <v>NA</v>
      </c>
      <c r="AA106" s="10">
        <f t="shared" si="23"/>
        <v>-2.7028081122190785E-10</v>
      </c>
      <c r="AB106" s="10" t="str">
        <f t="shared" si="24"/>
        <v>NA</v>
      </c>
      <c r="AC106" s="10" t="str">
        <f t="shared" si="25"/>
        <v>NA</v>
      </c>
      <c r="AD106" s="10" t="str">
        <f t="shared" si="26"/>
        <v>NA</v>
      </c>
      <c r="AE106" s="10" t="str">
        <f t="shared" si="27"/>
        <v>NA</v>
      </c>
      <c r="AF106" s="1" t="s">
        <v>792</v>
      </c>
    </row>
    <row r="107" spans="1:32" x14ac:dyDescent="0.2">
      <c r="A107" s="1" t="s">
        <v>5368</v>
      </c>
      <c r="B107" s="1" t="s">
        <v>5</v>
      </c>
      <c r="C107" s="1" t="s">
        <v>1575</v>
      </c>
      <c r="D107" s="1" t="s">
        <v>1580</v>
      </c>
      <c r="E107" s="1" t="s">
        <v>1581</v>
      </c>
      <c r="F107" s="1" t="s">
        <v>67</v>
      </c>
      <c r="G107" s="4">
        <v>1</v>
      </c>
      <c r="H107" s="28">
        <v>42704</v>
      </c>
      <c r="I107" s="29">
        <f t="shared" si="16"/>
        <v>2016</v>
      </c>
      <c r="J107" s="1" t="s">
        <v>2168</v>
      </c>
      <c r="K107" s="1" t="s">
        <v>7</v>
      </c>
      <c r="L107" s="11" t="str">
        <f t="shared" si="17"/>
        <v>НЕТ</v>
      </c>
      <c r="M107" s="10" t="s">
        <v>1575</v>
      </c>
      <c r="N107" s="10" t="s">
        <v>1575</v>
      </c>
      <c r="O107" s="10">
        <v>2.6</v>
      </c>
      <c r="P107" s="10">
        <f t="shared" si="18"/>
        <v>2.6</v>
      </c>
      <c r="Q107" s="10" t="str">
        <f t="shared" si="19"/>
        <v>NA</v>
      </c>
      <c r="R107" s="10" t="s">
        <v>1575</v>
      </c>
      <c r="S107" s="10" t="s">
        <v>1575</v>
      </c>
      <c r="T107" s="10" t="s">
        <v>1575</v>
      </c>
      <c r="U107" s="10" t="s">
        <v>1575</v>
      </c>
      <c r="V107" s="10">
        <v>2.1</v>
      </c>
      <c r="W107" s="10" t="s">
        <v>1575</v>
      </c>
      <c r="X107" s="10" t="str">
        <f t="shared" si="20"/>
        <v>NA</v>
      </c>
      <c r="Y107" s="10" t="str">
        <f t="shared" si="21"/>
        <v>NA</v>
      </c>
      <c r="Z107" s="10" t="str">
        <f t="shared" si="22"/>
        <v>NA</v>
      </c>
      <c r="AA107" s="10">
        <f t="shared" si="23"/>
        <v>1.2380952380952381</v>
      </c>
      <c r="AB107" s="10" t="str">
        <f t="shared" si="24"/>
        <v>NA</v>
      </c>
      <c r="AC107" s="10" t="str">
        <f t="shared" si="25"/>
        <v>NA</v>
      </c>
      <c r="AD107" s="10" t="str">
        <f t="shared" si="26"/>
        <v>NA</v>
      </c>
      <c r="AE107" s="10" t="str">
        <f t="shared" si="27"/>
        <v>NA</v>
      </c>
      <c r="AF107" s="1" t="s">
        <v>791</v>
      </c>
    </row>
    <row r="108" spans="1:32" x14ac:dyDescent="0.2">
      <c r="A108" s="1" t="s">
        <v>789</v>
      </c>
      <c r="B108" s="1" t="s">
        <v>5</v>
      </c>
      <c r="C108" s="1" t="s">
        <v>1575</v>
      </c>
      <c r="D108" s="1" t="s">
        <v>1584</v>
      </c>
      <c r="E108" s="1" t="s">
        <v>1586</v>
      </c>
      <c r="F108" s="1" t="s">
        <v>788</v>
      </c>
      <c r="G108" s="4">
        <v>0.9</v>
      </c>
      <c r="H108" s="28">
        <v>42674</v>
      </c>
      <c r="I108" s="29">
        <f t="shared" si="16"/>
        <v>2016</v>
      </c>
      <c r="J108" s="1" t="s">
        <v>2168</v>
      </c>
      <c r="K108" s="1" t="s">
        <v>7</v>
      </c>
      <c r="L108" s="11" t="str">
        <f t="shared" si="17"/>
        <v>НЕТ</v>
      </c>
      <c r="M108" s="10" t="s">
        <v>1575</v>
      </c>
      <c r="N108" s="10" t="s">
        <v>1575</v>
      </c>
      <c r="O108" s="10">
        <v>18</v>
      </c>
      <c r="P108" s="10">
        <f t="shared" si="18"/>
        <v>20</v>
      </c>
      <c r="Q108" s="10" t="str">
        <f t="shared" si="19"/>
        <v>NA</v>
      </c>
      <c r="R108" s="10" t="s">
        <v>1575</v>
      </c>
      <c r="S108" s="10" t="s">
        <v>1575</v>
      </c>
      <c r="T108" s="10" t="s">
        <v>1575</v>
      </c>
      <c r="U108" s="10" t="s">
        <v>1575</v>
      </c>
      <c r="V108" s="10" t="s">
        <v>1575</v>
      </c>
      <c r="W108" s="10" t="s">
        <v>1575</v>
      </c>
      <c r="X108" s="10" t="str">
        <f t="shared" si="20"/>
        <v>NA</v>
      </c>
      <c r="Y108" s="10" t="str">
        <f t="shared" si="21"/>
        <v>NA</v>
      </c>
      <c r="Z108" s="10" t="str">
        <f t="shared" si="22"/>
        <v>NA</v>
      </c>
      <c r="AA108" s="10" t="str">
        <f t="shared" si="23"/>
        <v>NA</v>
      </c>
      <c r="AB108" s="10" t="str">
        <f t="shared" si="24"/>
        <v>NA</v>
      </c>
      <c r="AC108" s="10" t="str">
        <f t="shared" si="25"/>
        <v>NA</v>
      </c>
      <c r="AD108" s="10" t="str">
        <f t="shared" si="26"/>
        <v>NA</v>
      </c>
      <c r="AE108" s="10" t="str">
        <f t="shared" si="27"/>
        <v>NA</v>
      </c>
      <c r="AF108" s="1" t="s">
        <v>790</v>
      </c>
    </row>
    <row r="109" spans="1:32" x14ac:dyDescent="0.2">
      <c r="A109" s="1" t="s">
        <v>5369</v>
      </c>
      <c r="B109" s="1" t="s">
        <v>5</v>
      </c>
      <c r="C109" s="1" t="s">
        <v>1575</v>
      </c>
      <c r="D109" s="1" t="s">
        <v>1578</v>
      </c>
      <c r="E109" s="1" t="s">
        <v>2531</v>
      </c>
      <c r="F109" s="1" t="s">
        <v>787</v>
      </c>
      <c r="G109" s="4">
        <v>1</v>
      </c>
      <c r="H109" s="28">
        <v>42551</v>
      </c>
      <c r="I109" s="29">
        <f t="shared" si="16"/>
        <v>2016</v>
      </c>
      <c r="J109" s="1" t="s">
        <v>7</v>
      </c>
      <c r="K109" s="1" t="s">
        <v>2168</v>
      </c>
      <c r="L109" s="11" t="str">
        <f t="shared" si="17"/>
        <v>НЕТ</v>
      </c>
      <c r="M109" s="10" t="s">
        <v>1575</v>
      </c>
      <c r="N109" s="10" t="s">
        <v>1575</v>
      </c>
      <c r="O109" s="10">
        <v>2</v>
      </c>
      <c r="P109" s="10">
        <f t="shared" si="18"/>
        <v>2</v>
      </c>
      <c r="Q109" s="10" t="str">
        <f t="shared" si="19"/>
        <v>NA</v>
      </c>
      <c r="R109" s="10" t="s">
        <v>1575</v>
      </c>
      <c r="S109" s="10" t="s">
        <v>1575</v>
      </c>
      <c r="T109" s="10" t="s">
        <v>1575</v>
      </c>
      <c r="U109" s="10" t="s">
        <v>1575</v>
      </c>
      <c r="V109" s="10" t="s">
        <v>1575</v>
      </c>
      <c r="W109" s="10" t="s">
        <v>1575</v>
      </c>
      <c r="X109" s="10" t="str">
        <f t="shared" si="20"/>
        <v>NA</v>
      </c>
      <c r="Y109" s="10" t="str">
        <f t="shared" si="21"/>
        <v>NA</v>
      </c>
      <c r="Z109" s="10" t="str">
        <f t="shared" si="22"/>
        <v>NA</v>
      </c>
      <c r="AA109" s="10" t="str">
        <f t="shared" si="23"/>
        <v>NA</v>
      </c>
      <c r="AB109" s="10" t="str">
        <f t="shared" si="24"/>
        <v>NA</v>
      </c>
      <c r="AC109" s="10" t="str">
        <f t="shared" si="25"/>
        <v>NA</v>
      </c>
      <c r="AD109" s="10" t="str">
        <f t="shared" si="26"/>
        <v>NA</v>
      </c>
      <c r="AE109" s="10" t="str">
        <f t="shared" si="27"/>
        <v>NA</v>
      </c>
      <c r="AF109" s="1" t="s">
        <v>786</v>
      </c>
    </row>
    <row r="110" spans="1:32" x14ac:dyDescent="0.2">
      <c r="A110" s="1" t="s">
        <v>5370</v>
      </c>
      <c r="B110" s="1" t="s">
        <v>5</v>
      </c>
      <c r="C110" s="1" t="s">
        <v>1575</v>
      </c>
      <c r="D110" s="1" t="s">
        <v>1584</v>
      </c>
      <c r="E110" s="1" t="s">
        <v>1589</v>
      </c>
      <c r="F110" s="1" t="s">
        <v>495</v>
      </c>
      <c r="G110" s="4">
        <v>1</v>
      </c>
      <c r="H110" s="28">
        <v>42674</v>
      </c>
      <c r="I110" s="29">
        <f t="shared" si="16"/>
        <v>2016</v>
      </c>
      <c r="J110" s="1" t="s">
        <v>7</v>
      </c>
      <c r="K110" s="1" t="s">
        <v>2168</v>
      </c>
      <c r="L110" s="11" t="str">
        <f t="shared" si="17"/>
        <v>НЕТ</v>
      </c>
      <c r="M110" s="10" t="s">
        <v>1575</v>
      </c>
      <c r="N110" s="10" t="s">
        <v>1575</v>
      </c>
      <c r="O110" s="10">
        <v>1</v>
      </c>
      <c r="P110" s="10">
        <f t="shared" si="18"/>
        <v>1</v>
      </c>
      <c r="Q110" s="10" t="str">
        <f t="shared" si="19"/>
        <v>NA</v>
      </c>
      <c r="R110" s="10" t="s">
        <v>1575</v>
      </c>
      <c r="S110" s="10" t="s">
        <v>1575</v>
      </c>
      <c r="T110" s="10" t="s">
        <v>1575</v>
      </c>
      <c r="U110" s="10" t="s">
        <v>1575</v>
      </c>
      <c r="V110" s="10">
        <v>2.2999999999999998</v>
      </c>
      <c r="W110" s="10" t="s">
        <v>1575</v>
      </c>
      <c r="X110" s="10" t="str">
        <f t="shared" si="20"/>
        <v>NA</v>
      </c>
      <c r="Y110" s="10" t="str">
        <f t="shared" si="21"/>
        <v>NA</v>
      </c>
      <c r="Z110" s="10" t="str">
        <f t="shared" si="22"/>
        <v>NA</v>
      </c>
      <c r="AA110" s="10">
        <f t="shared" si="23"/>
        <v>0.43478260869565222</v>
      </c>
      <c r="AB110" s="10" t="str">
        <f t="shared" si="24"/>
        <v>NA</v>
      </c>
      <c r="AC110" s="10" t="str">
        <f t="shared" si="25"/>
        <v>NA</v>
      </c>
      <c r="AD110" s="10" t="str">
        <f t="shared" si="26"/>
        <v>NA</v>
      </c>
      <c r="AE110" s="10" t="str">
        <f t="shared" si="27"/>
        <v>NA</v>
      </c>
      <c r="AF110" s="1" t="s">
        <v>785</v>
      </c>
    </row>
    <row r="111" spans="1:32" x14ac:dyDescent="0.2">
      <c r="A111" s="1" t="s">
        <v>5362</v>
      </c>
      <c r="B111" s="1" t="s">
        <v>5</v>
      </c>
      <c r="C111" s="1" t="s">
        <v>1575</v>
      </c>
      <c r="D111" s="1" t="s">
        <v>1597</v>
      </c>
      <c r="E111" s="1" t="s">
        <v>1699</v>
      </c>
      <c r="F111" s="1" t="s">
        <v>4</v>
      </c>
      <c r="G111" s="4">
        <v>0.99329999999999996</v>
      </c>
      <c r="H111" s="28">
        <v>42551</v>
      </c>
      <c r="I111" s="29">
        <f t="shared" si="16"/>
        <v>2016</v>
      </c>
      <c r="J111" s="1" t="s">
        <v>7</v>
      </c>
      <c r="K111" s="1" t="s">
        <v>2168</v>
      </c>
      <c r="L111" s="11" t="str">
        <f t="shared" si="17"/>
        <v>НЕТ</v>
      </c>
      <c r="M111" s="10" t="s">
        <v>1575</v>
      </c>
      <c r="N111" s="10" t="s">
        <v>1575</v>
      </c>
      <c r="O111" s="10">
        <v>4.2</v>
      </c>
      <c r="P111" s="10">
        <f t="shared" si="18"/>
        <v>4.2283298097251585</v>
      </c>
      <c r="Q111" s="10" t="str">
        <f t="shared" si="19"/>
        <v>NA</v>
      </c>
      <c r="R111" s="10" t="s">
        <v>1575</v>
      </c>
      <c r="S111" s="10" t="s">
        <v>1575</v>
      </c>
      <c r="T111" s="10" t="s">
        <v>1575</v>
      </c>
      <c r="U111" s="10" t="s">
        <v>1575</v>
      </c>
      <c r="V111" s="10">
        <v>-7.7</v>
      </c>
      <c r="W111" s="10" t="s">
        <v>1575</v>
      </c>
      <c r="X111" s="10" t="str">
        <f t="shared" si="20"/>
        <v>NA</v>
      </c>
      <c r="Y111" s="10" t="str">
        <f t="shared" si="21"/>
        <v>NA</v>
      </c>
      <c r="Z111" s="10" t="str">
        <f t="shared" si="22"/>
        <v>NA</v>
      </c>
      <c r="AA111" s="10">
        <f t="shared" si="23"/>
        <v>-0.54913374152274785</v>
      </c>
      <c r="AB111" s="10" t="str">
        <f t="shared" si="24"/>
        <v>NA</v>
      </c>
      <c r="AC111" s="10" t="str">
        <f t="shared" si="25"/>
        <v>NA</v>
      </c>
      <c r="AD111" s="10" t="str">
        <f t="shared" si="26"/>
        <v>NA</v>
      </c>
      <c r="AE111" s="10" t="str">
        <f t="shared" si="27"/>
        <v>NA</v>
      </c>
      <c r="AF111" s="1" t="s">
        <v>784</v>
      </c>
    </row>
    <row r="112" spans="1:32" x14ac:dyDescent="0.2">
      <c r="A112" s="1" t="s">
        <v>5360</v>
      </c>
      <c r="B112" s="1" t="s">
        <v>2208</v>
      </c>
      <c r="C112" s="1" t="s">
        <v>1575</v>
      </c>
      <c r="D112" s="1" t="s">
        <v>1615</v>
      </c>
      <c r="E112" s="1" t="s">
        <v>5352</v>
      </c>
      <c r="F112" s="1" t="s">
        <v>126</v>
      </c>
      <c r="G112" s="4">
        <v>0.25</v>
      </c>
      <c r="H112" s="28">
        <v>43008</v>
      </c>
      <c r="I112" s="29">
        <f t="shared" si="16"/>
        <v>2017</v>
      </c>
      <c r="J112" s="1" t="s">
        <v>7</v>
      </c>
      <c r="K112" s="1" t="s">
        <v>2168</v>
      </c>
      <c r="L112" s="11" t="str">
        <f t="shared" si="17"/>
        <v>НЕТ</v>
      </c>
      <c r="M112" s="10" t="s">
        <v>1575</v>
      </c>
      <c r="N112" s="10">
        <v>236</v>
      </c>
      <c r="O112" s="10">
        <v>15.9</v>
      </c>
      <c r="P112" s="10">
        <f t="shared" si="18"/>
        <v>63.6</v>
      </c>
      <c r="Q112" s="10" t="str">
        <f t="shared" si="19"/>
        <v>NA</v>
      </c>
      <c r="R112" s="10" t="s">
        <v>1575</v>
      </c>
      <c r="S112" s="10" t="s">
        <v>1575</v>
      </c>
      <c r="T112" s="10" t="s">
        <v>1575</v>
      </c>
      <c r="U112" s="10" t="s">
        <v>1575</v>
      </c>
      <c r="V112" s="10" t="s">
        <v>1575</v>
      </c>
      <c r="W112" s="10" t="s">
        <v>1575</v>
      </c>
      <c r="X112" s="10" t="str">
        <f t="shared" si="20"/>
        <v>NA</v>
      </c>
      <c r="Y112" s="10" t="str">
        <f t="shared" si="21"/>
        <v>NA</v>
      </c>
      <c r="Z112" s="10" t="str">
        <f t="shared" si="22"/>
        <v>NA</v>
      </c>
      <c r="AA112" s="10" t="str">
        <f t="shared" si="23"/>
        <v>NA</v>
      </c>
      <c r="AB112" s="10" t="str">
        <f t="shared" si="24"/>
        <v>NA</v>
      </c>
      <c r="AC112" s="10" t="str">
        <f t="shared" si="25"/>
        <v>NA</v>
      </c>
      <c r="AD112" s="10" t="str">
        <f t="shared" si="26"/>
        <v>NA</v>
      </c>
      <c r="AE112" s="10" t="str">
        <f t="shared" si="27"/>
        <v>NA</v>
      </c>
      <c r="AF112" s="1" t="s">
        <v>782</v>
      </c>
    </row>
    <row r="113" spans="1:32" x14ac:dyDescent="0.2">
      <c r="A113" s="1" t="s">
        <v>5371</v>
      </c>
      <c r="B113" s="1" t="s">
        <v>5</v>
      </c>
      <c r="C113" s="1" t="s">
        <v>1575</v>
      </c>
      <c r="D113" s="1" t="s">
        <v>1584</v>
      </c>
      <c r="E113" s="1" t="s">
        <v>1586</v>
      </c>
      <c r="F113" s="1" t="s">
        <v>66</v>
      </c>
      <c r="G113" s="4">
        <v>1</v>
      </c>
      <c r="H113" s="28">
        <v>42825</v>
      </c>
      <c r="I113" s="29">
        <f t="shared" si="16"/>
        <v>2017</v>
      </c>
      <c r="J113" s="1" t="s">
        <v>7</v>
      </c>
      <c r="K113" s="1" t="s">
        <v>2168</v>
      </c>
      <c r="L113" s="11" t="str">
        <f t="shared" si="17"/>
        <v>НЕТ</v>
      </c>
      <c r="M113" s="10" t="s">
        <v>1575</v>
      </c>
      <c r="N113" s="10" t="s">
        <v>1575</v>
      </c>
      <c r="O113" s="10">
        <v>9.1999999999999993</v>
      </c>
      <c r="P113" s="10">
        <f t="shared" si="18"/>
        <v>9.1999999999999993</v>
      </c>
      <c r="Q113" s="10" t="str">
        <f t="shared" si="19"/>
        <v>NA</v>
      </c>
      <c r="R113" s="10" t="s">
        <v>1575</v>
      </c>
      <c r="S113" s="10" t="s">
        <v>1575</v>
      </c>
      <c r="T113" s="10" t="s">
        <v>1575</v>
      </c>
      <c r="U113" s="10" t="s">
        <v>1575</v>
      </c>
      <c r="V113" s="10">
        <v>8.6</v>
      </c>
      <c r="W113" s="10" t="s">
        <v>1575</v>
      </c>
      <c r="X113" s="10" t="str">
        <f t="shared" si="20"/>
        <v>NA</v>
      </c>
      <c r="Y113" s="10" t="str">
        <f t="shared" si="21"/>
        <v>NA</v>
      </c>
      <c r="Z113" s="10" t="str">
        <f t="shared" si="22"/>
        <v>NA</v>
      </c>
      <c r="AA113" s="10">
        <f t="shared" si="23"/>
        <v>1.069767441860465</v>
      </c>
      <c r="AB113" s="10" t="str">
        <f t="shared" si="24"/>
        <v>NA</v>
      </c>
      <c r="AC113" s="10" t="str">
        <f t="shared" si="25"/>
        <v>NA</v>
      </c>
      <c r="AD113" s="10" t="str">
        <f t="shared" si="26"/>
        <v>NA</v>
      </c>
      <c r="AE113" s="10" t="str">
        <f t="shared" si="27"/>
        <v>NA</v>
      </c>
      <c r="AF113" s="1" t="s">
        <v>783</v>
      </c>
    </row>
    <row r="114" spans="1:32" x14ac:dyDescent="0.2">
      <c r="A114" s="1" t="s">
        <v>5364</v>
      </c>
      <c r="B114" s="1" t="s">
        <v>5</v>
      </c>
      <c r="C114" s="1" t="s">
        <v>1575</v>
      </c>
      <c r="D114" s="1" t="s">
        <v>1578</v>
      </c>
      <c r="E114" s="16" t="s">
        <v>9250</v>
      </c>
      <c r="F114" s="1" t="s">
        <v>548</v>
      </c>
      <c r="G114" s="4">
        <v>1</v>
      </c>
      <c r="H114" s="28">
        <v>42794</v>
      </c>
      <c r="I114" s="29">
        <f t="shared" si="16"/>
        <v>2017</v>
      </c>
      <c r="J114" s="1" t="s">
        <v>7</v>
      </c>
      <c r="K114" s="1" t="s">
        <v>2168</v>
      </c>
      <c r="L114" s="11" t="str">
        <f t="shared" si="17"/>
        <v>НЕТ</v>
      </c>
      <c r="M114" s="10" t="s">
        <v>1575</v>
      </c>
      <c r="N114" s="10" t="s">
        <v>1575</v>
      </c>
      <c r="O114" s="10">
        <v>0.7</v>
      </c>
      <c r="P114" s="10">
        <f t="shared" si="18"/>
        <v>0.7</v>
      </c>
      <c r="Q114" s="10" t="str">
        <f t="shared" si="19"/>
        <v>NA</v>
      </c>
      <c r="R114" s="10" t="s">
        <v>1575</v>
      </c>
      <c r="S114" s="10" t="s">
        <v>1575</v>
      </c>
      <c r="T114" s="10" t="s">
        <v>1575</v>
      </c>
      <c r="U114" s="10" t="s">
        <v>1575</v>
      </c>
      <c r="V114" s="10">
        <v>0.4</v>
      </c>
      <c r="W114" s="10" t="s">
        <v>1575</v>
      </c>
      <c r="X114" s="10" t="str">
        <f t="shared" si="20"/>
        <v>NA</v>
      </c>
      <c r="Y114" s="10" t="str">
        <f t="shared" si="21"/>
        <v>NA</v>
      </c>
      <c r="Z114" s="10" t="str">
        <f t="shared" si="22"/>
        <v>NA</v>
      </c>
      <c r="AA114" s="10">
        <f t="shared" si="23"/>
        <v>1.7499999999999998</v>
      </c>
      <c r="AB114" s="10" t="str">
        <f t="shared" si="24"/>
        <v>NA</v>
      </c>
      <c r="AC114" s="10" t="str">
        <f t="shared" si="25"/>
        <v>NA</v>
      </c>
      <c r="AD114" s="10" t="str">
        <f t="shared" si="26"/>
        <v>NA</v>
      </c>
      <c r="AE114" s="10" t="str">
        <f t="shared" si="27"/>
        <v>NA</v>
      </c>
      <c r="AF114" s="1" t="s">
        <v>2171</v>
      </c>
    </row>
    <row r="115" spans="1:32" x14ac:dyDescent="0.2">
      <c r="A115" s="1" t="s">
        <v>5372</v>
      </c>
      <c r="B115" s="1" t="s">
        <v>780</v>
      </c>
      <c r="C115" s="1" t="s">
        <v>1575</v>
      </c>
      <c r="D115" s="1" t="s">
        <v>1580</v>
      </c>
      <c r="E115" s="1" t="s">
        <v>1694</v>
      </c>
      <c r="F115" s="1" t="s">
        <v>68</v>
      </c>
      <c r="G115" s="4">
        <v>0.59699999999999998</v>
      </c>
      <c r="H115" s="28">
        <v>42766</v>
      </c>
      <c r="I115" s="29">
        <f t="shared" si="16"/>
        <v>2017</v>
      </c>
      <c r="J115" s="1" t="s">
        <v>7</v>
      </c>
      <c r="K115" s="1" t="s">
        <v>2168</v>
      </c>
      <c r="L115" s="11" t="str">
        <f t="shared" si="17"/>
        <v>НЕТ</v>
      </c>
      <c r="M115" s="10" t="s">
        <v>1575</v>
      </c>
      <c r="N115" s="10" t="s">
        <v>1575</v>
      </c>
      <c r="O115" s="10">
        <v>0.8</v>
      </c>
      <c r="P115" s="10">
        <f t="shared" si="18"/>
        <v>1.340033500837521</v>
      </c>
      <c r="Q115" s="10" t="str">
        <f t="shared" si="19"/>
        <v>NA</v>
      </c>
      <c r="R115" s="10" t="s">
        <v>1575</v>
      </c>
      <c r="S115" s="10" t="s">
        <v>1575</v>
      </c>
      <c r="T115" s="10" t="s">
        <v>1575</v>
      </c>
      <c r="U115" s="10" t="s">
        <v>1575</v>
      </c>
      <c r="V115" s="10" t="s">
        <v>1575</v>
      </c>
      <c r="W115" s="10" t="s">
        <v>1575</v>
      </c>
      <c r="X115" s="10" t="str">
        <f t="shared" si="20"/>
        <v>NA</v>
      </c>
      <c r="Y115" s="10" t="str">
        <f t="shared" si="21"/>
        <v>NA</v>
      </c>
      <c r="Z115" s="10" t="str">
        <f t="shared" si="22"/>
        <v>NA</v>
      </c>
      <c r="AA115" s="10" t="str">
        <f t="shared" si="23"/>
        <v>NA</v>
      </c>
      <c r="AB115" s="10" t="str">
        <f t="shared" si="24"/>
        <v>NA</v>
      </c>
      <c r="AC115" s="10" t="str">
        <f t="shared" si="25"/>
        <v>NA</v>
      </c>
      <c r="AD115" s="10" t="str">
        <f t="shared" si="26"/>
        <v>NA</v>
      </c>
      <c r="AE115" s="10" t="str">
        <f t="shared" si="27"/>
        <v>NA</v>
      </c>
      <c r="AF115" s="1" t="s">
        <v>779</v>
      </c>
    </row>
    <row r="116" spans="1:32" x14ac:dyDescent="0.2">
      <c r="A116" s="1" t="s">
        <v>5373</v>
      </c>
      <c r="B116" s="1" t="s">
        <v>5</v>
      </c>
      <c r="C116" s="1" t="s">
        <v>1575</v>
      </c>
      <c r="D116" s="1" t="s">
        <v>1584</v>
      </c>
      <c r="E116" s="1" t="s">
        <v>3486</v>
      </c>
      <c r="F116" s="1" t="s">
        <v>46</v>
      </c>
      <c r="G116" s="4">
        <v>1</v>
      </c>
      <c r="H116" s="28">
        <v>43100</v>
      </c>
      <c r="I116" s="29">
        <f t="shared" si="16"/>
        <v>2017</v>
      </c>
      <c r="J116" s="1" t="s">
        <v>2168</v>
      </c>
      <c r="K116" s="1" t="s">
        <v>7</v>
      </c>
      <c r="L116" s="11" t="str">
        <f t="shared" si="17"/>
        <v>НЕТ</v>
      </c>
      <c r="M116" s="10" t="s">
        <v>1575</v>
      </c>
      <c r="N116" s="10" t="s">
        <v>1575</v>
      </c>
      <c r="O116" s="10">
        <v>0</v>
      </c>
      <c r="P116" s="10">
        <f t="shared" si="18"/>
        <v>0</v>
      </c>
      <c r="Q116" s="10" t="str">
        <f t="shared" si="19"/>
        <v>NA</v>
      </c>
      <c r="R116" s="10" t="s">
        <v>1575</v>
      </c>
      <c r="S116" s="10" t="s">
        <v>1575</v>
      </c>
      <c r="T116" s="10" t="s">
        <v>1575</v>
      </c>
      <c r="U116" s="10" t="s">
        <v>1575</v>
      </c>
      <c r="V116" s="10">
        <v>-2.2000000000000002</v>
      </c>
      <c r="W116" s="10" t="s">
        <v>1575</v>
      </c>
      <c r="X116" s="10" t="str">
        <f t="shared" si="20"/>
        <v>NA</v>
      </c>
      <c r="Y116" s="10" t="str">
        <f t="shared" si="21"/>
        <v>NA</v>
      </c>
      <c r="Z116" s="10" t="str">
        <f t="shared" si="22"/>
        <v>NA</v>
      </c>
      <c r="AA116" s="10">
        <f t="shared" si="23"/>
        <v>0</v>
      </c>
      <c r="AB116" s="10" t="str">
        <f t="shared" si="24"/>
        <v>NA</v>
      </c>
      <c r="AC116" s="10" t="str">
        <f t="shared" si="25"/>
        <v>NA</v>
      </c>
      <c r="AD116" s="10" t="str">
        <f t="shared" si="26"/>
        <v>NA</v>
      </c>
      <c r="AE116" s="10" t="str">
        <f t="shared" si="27"/>
        <v>NA</v>
      </c>
      <c r="AF116" s="1" t="s">
        <v>777</v>
      </c>
    </row>
    <row r="117" spans="1:32" x14ac:dyDescent="0.2">
      <c r="A117" s="1" t="s">
        <v>2205</v>
      </c>
      <c r="B117" s="1" t="s">
        <v>5</v>
      </c>
      <c r="C117" s="1" t="s">
        <v>1575</v>
      </c>
      <c r="D117" s="1" t="s">
        <v>1582</v>
      </c>
      <c r="E117" s="1" t="s">
        <v>1845</v>
      </c>
      <c r="F117" s="1" t="s">
        <v>778</v>
      </c>
      <c r="G117" s="4">
        <v>1</v>
      </c>
      <c r="H117" s="28">
        <v>43008</v>
      </c>
      <c r="I117" s="29">
        <f t="shared" si="16"/>
        <v>2017</v>
      </c>
      <c r="J117" s="1" t="s">
        <v>2168</v>
      </c>
      <c r="K117" s="1" t="s">
        <v>7</v>
      </c>
      <c r="L117" s="11" t="str">
        <f t="shared" si="17"/>
        <v>НЕТ</v>
      </c>
      <c r="M117" s="10" t="s">
        <v>1575</v>
      </c>
      <c r="N117" s="10" t="s">
        <v>1575</v>
      </c>
      <c r="O117" s="10">
        <v>1</v>
      </c>
      <c r="P117" s="10">
        <f t="shared" si="18"/>
        <v>1</v>
      </c>
      <c r="Q117" s="10" t="str">
        <f t="shared" si="19"/>
        <v>NA</v>
      </c>
      <c r="R117" s="10" t="s">
        <v>1575</v>
      </c>
      <c r="S117" s="10" t="s">
        <v>1575</v>
      </c>
      <c r="T117" s="10" t="s">
        <v>1575</v>
      </c>
      <c r="U117" s="10" t="s">
        <v>1575</v>
      </c>
      <c r="V117" s="10">
        <v>1</v>
      </c>
      <c r="W117" s="10" t="s">
        <v>1575</v>
      </c>
      <c r="X117" s="10" t="str">
        <f t="shared" si="20"/>
        <v>NA</v>
      </c>
      <c r="Y117" s="10" t="str">
        <f t="shared" si="21"/>
        <v>NA</v>
      </c>
      <c r="Z117" s="10" t="str">
        <f t="shared" si="22"/>
        <v>NA</v>
      </c>
      <c r="AA117" s="10">
        <f t="shared" si="23"/>
        <v>1</v>
      </c>
      <c r="AB117" s="10" t="str">
        <f t="shared" si="24"/>
        <v>NA</v>
      </c>
      <c r="AC117" s="10" t="str">
        <f t="shared" si="25"/>
        <v>NA</v>
      </c>
      <c r="AD117" s="10" t="str">
        <f t="shared" si="26"/>
        <v>NA</v>
      </c>
      <c r="AE117" s="10" t="str">
        <f t="shared" si="27"/>
        <v>NA</v>
      </c>
      <c r="AF117" s="1" t="s">
        <v>776</v>
      </c>
    </row>
    <row r="118" spans="1:32" x14ac:dyDescent="0.2">
      <c r="A118" s="1" t="s">
        <v>5374</v>
      </c>
      <c r="B118" s="1" t="s">
        <v>5</v>
      </c>
      <c r="C118" s="1" t="s">
        <v>1575</v>
      </c>
      <c r="D118" s="1" t="s">
        <v>1584</v>
      </c>
      <c r="E118" s="1" t="s">
        <v>3486</v>
      </c>
      <c r="F118" s="1" t="s">
        <v>46</v>
      </c>
      <c r="G118" s="4">
        <f>100%-51%</f>
        <v>0.49</v>
      </c>
      <c r="H118" s="28">
        <v>42855</v>
      </c>
      <c r="I118" s="29">
        <f t="shared" si="16"/>
        <v>2017</v>
      </c>
      <c r="J118" s="1" t="s">
        <v>2168</v>
      </c>
      <c r="K118" s="1" t="s">
        <v>7</v>
      </c>
      <c r="L118" s="11" t="str">
        <f t="shared" si="17"/>
        <v>НЕТ</v>
      </c>
      <c r="M118" s="10" t="s">
        <v>1575</v>
      </c>
      <c r="N118" s="10" t="s">
        <v>1575</v>
      </c>
      <c r="O118" s="10">
        <v>26.8</v>
      </c>
      <c r="P118" s="10">
        <f t="shared" si="18"/>
        <v>54.693877551020414</v>
      </c>
      <c r="Q118" s="10">
        <f t="shared" si="19"/>
        <v>66.193877551020421</v>
      </c>
      <c r="R118" s="10">
        <v>24.3</v>
      </c>
      <c r="S118" s="10" t="s">
        <v>1575</v>
      </c>
      <c r="T118" s="10">
        <f>24.3-23.6-2+2.9-3.3</f>
        <v>-1.7000000000000006</v>
      </c>
      <c r="U118" s="10">
        <v>-2.5</v>
      </c>
      <c r="V118" s="10">
        <v>-5</v>
      </c>
      <c r="W118" s="10">
        <f>12.8+0-1.3</f>
        <v>11.5</v>
      </c>
      <c r="X118" s="10">
        <f t="shared" si="20"/>
        <v>6.5</v>
      </c>
      <c r="Y118" s="10">
        <f t="shared" si="21"/>
        <v>2.2507768539514572</v>
      </c>
      <c r="Z118" s="10">
        <f t="shared" si="22"/>
        <v>-21.877551020408166</v>
      </c>
      <c r="AA118" s="10">
        <f t="shared" si="23"/>
        <v>-10.938775510204083</v>
      </c>
      <c r="AB118" s="10">
        <f t="shared" si="24"/>
        <v>2.7240278827580418</v>
      </c>
      <c r="AC118" s="10" t="str">
        <f t="shared" si="25"/>
        <v>NA</v>
      </c>
      <c r="AD118" s="10">
        <f t="shared" si="26"/>
        <v>-38.937575030011999</v>
      </c>
      <c r="AE118" s="10">
        <f t="shared" si="27"/>
        <v>10.183673469387758</v>
      </c>
      <c r="AF118" s="1" t="s">
        <v>775</v>
      </c>
    </row>
    <row r="119" spans="1:32" x14ac:dyDescent="0.2">
      <c r="A119" s="1" t="s">
        <v>5375</v>
      </c>
      <c r="B119" s="1" t="s">
        <v>5</v>
      </c>
      <c r="C119" s="1" t="s">
        <v>1575</v>
      </c>
      <c r="D119" s="1" t="s">
        <v>1584</v>
      </c>
      <c r="E119" s="1" t="s">
        <v>1586</v>
      </c>
      <c r="F119" s="1" t="s">
        <v>66</v>
      </c>
      <c r="G119" s="4" t="s">
        <v>1575</v>
      </c>
      <c r="H119" s="28">
        <v>42855</v>
      </c>
      <c r="I119" s="29">
        <f t="shared" si="16"/>
        <v>2017</v>
      </c>
      <c r="J119" s="1" t="s">
        <v>2168</v>
      </c>
      <c r="K119" s="1" t="s">
        <v>7</v>
      </c>
      <c r="L119" s="11" t="str">
        <f t="shared" si="17"/>
        <v>НЕТ</v>
      </c>
      <c r="M119" s="10" t="s">
        <v>1575</v>
      </c>
      <c r="N119" s="10" t="s">
        <v>1575</v>
      </c>
      <c r="O119" s="10">
        <v>10.1</v>
      </c>
      <c r="P119" s="10" t="str">
        <f t="shared" si="18"/>
        <v>NA</v>
      </c>
      <c r="Q119" s="10" t="str">
        <f t="shared" si="19"/>
        <v>NA</v>
      </c>
      <c r="R119" s="10" t="s">
        <v>1575</v>
      </c>
      <c r="S119" s="10" t="s">
        <v>1575</v>
      </c>
      <c r="T119" s="10" t="s">
        <v>1575</v>
      </c>
      <c r="U119" s="10" t="s">
        <v>1575</v>
      </c>
      <c r="V119" s="10">
        <v>10.1</v>
      </c>
      <c r="W119" s="10" t="s">
        <v>1575</v>
      </c>
      <c r="X119" s="10" t="str">
        <f t="shared" si="20"/>
        <v>NA</v>
      </c>
      <c r="Y119" s="10" t="str">
        <f t="shared" si="21"/>
        <v>NA</v>
      </c>
      <c r="Z119" s="10" t="str">
        <f t="shared" si="22"/>
        <v>NA</v>
      </c>
      <c r="AA119" s="10" t="str">
        <f t="shared" si="23"/>
        <v>NA</v>
      </c>
      <c r="AB119" s="10" t="str">
        <f t="shared" si="24"/>
        <v>NA</v>
      </c>
      <c r="AC119" s="10" t="str">
        <f t="shared" si="25"/>
        <v>NA</v>
      </c>
      <c r="AD119" s="10" t="str">
        <f t="shared" si="26"/>
        <v>NA</v>
      </c>
      <c r="AE119" s="10" t="str">
        <f t="shared" si="27"/>
        <v>NA</v>
      </c>
      <c r="AF119" s="1" t="s">
        <v>781</v>
      </c>
    </row>
    <row r="120" spans="1:32" x14ac:dyDescent="0.2">
      <c r="A120" s="1" t="s">
        <v>5376</v>
      </c>
      <c r="B120" s="1" t="s">
        <v>5</v>
      </c>
      <c r="C120" s="1" t="s">
        <v>1575</v>
      </c>
      <c r="D120" s="1" t="s">
        <v>1580</v>
      </c>
      <c r="E120" s="1" t="s">
        <v>1694</v>
      </c>
      <c r="F120" s="1" t="s">
        <v>68</v>
      </c>
      <c r="G120" s="4" t="s">
        <v>772</v>
      </c>
      <c r="H120" s="28">
        <v>43100</v>
      </c>
      <c r="I120" s="29">
        <f t="shared" si="16"/>
        <v>2017</v>
      </c>
      <c r="J120" s="1" t="s">
        <v>773</v>
      </c>
      <c r="K120" s="1" t="s">
        <v>2168</v>
      </c>
      <c r="L120" s="11" t="str">
        <f t="shared" si="17"/>
        <v>НЕТ</v>
      </c>
      <c r="M120" s="10" t="s">
        <v>1575</v>
      </c>
      <c r="N120" s="10" t="s">
        <v>1575</v>
      </c>
      <c r="O120" s="10" t="s">
        <v>1575</v>
      </c>
      <c r="P120" s="10" t="str">
        <f t="shared" si="18"/>
        <v>NA</v>
      </c>
      <c r="Q120" s="10" t="str">
        <f t="shared" si="19"/>
        <v>NA</v>
      </c>
      <c r="R120" s="10" t="s">
        <v>1575</v>
      </c>
      <c r="S120" s="10" t="s">
        <v>1575</v>
      </c>
      <c r="T120" s="10" t="s">
        <v>1575</v>
      </c>
      <c r="U120" s="10">
        <v>1</v>
      </c>
      <c r="V120" s="10">
        <v>30.6</v>
      </c>
      <c r="W120" s="10" t="s">
        <v>1575</v>
      </c>
      <c r="X120" s="10" t="str">
        <f t="shared" si="20"/>
        <v>NA</v>
      </c>
      <c r="Y120" s="10" t="str">
        <f t="shared" si="21"/>
        <v>NA</v>
      </c>
      <c r="Z120" s="10" t="str">
        <f t="shared" si="22"/>
        <v>NA</v>
      </c>
      <c r="AA120" s="10" t="str">
        <f t="shared" si="23"/>
        <v>NA</v>
      </c>
      <c r="AB120" s="10" t="str">
        <f t="shared" si="24"/>
        <v>NA</v>
      </c>
      <c r="AC120" s="10" t="str">
        <f t="shared" si="25"/>
        <v>NA</v>
      </c>
      <c r="AD120" s="10" t="str">
        <f t="shared" si="26"/>
        <v>NA</v>
      </c>
      <c r="AE120" s="10" t="str">
        <f t="shared" si="27"/>
        <v>NA</v>
      </c>
      <c r="AF120" s="1" t="s">
        <v>774</v>
      </c>
    </row>
    <row r="121" spans="1:32" x14ac:dyDescent="0.2">
      <c r="A121" s="1" t="s">
        <v>5377</v>
      </c>
      <c r="B121" s="1" t="s">
        <v>770</v>
      </c>
      <c r="C121" s="1" t="s">
        <v>1575</v>
      </c>
      <c r="D121" s="1" t="s">
        <v>1580</v>
      </c>
      <c r="E121" s="1" t="s">
        <v>1694</v>
      </c>
      <c r="F121" s="1" t="s">
        <v>68</v>
      </c>
      <c r="G121" s="4">
        <f>100%-51%</f>
        <v>0.49</v>
      </c>
      <c r="H121" s="28">
        <v>43100</v>
      </c>
      <c r="I121" s="29">
        <f t="shared" si="16"/>
        <v>2017</v>
      </c>
      <c r="J121" s="1" t="s">
        <v>2168</v>
      </c>
      <c r="K121" s="1" t="s">
        <v>7</v>
      </c>
      <c r="L121" s="11" t="str">
        <f t="shared" si="17"/>
        <v>НЕТ</v>
      </c>
      <c r="M121" s="10" t="s">
        <v>1575</v>
      </c>
      <c r="N121" s="10" t="s">
        <v>1575</v>
      </c>
      <c r="O121" s="10" t="s">
        <v>1575</v>
      </c>
      <c r="P121" s="10" t="str">
        <f t="shared" si="18"/>
        <v>NA</v>
      </c>
      <c r="Q121" s="10" t="str">
        <f t="shared" si="19"/>
        <v>NA</v>
      </c>
      <c r="R121" s="10" t="s">
        <v>1575</v>
      </c>
      <c r="S121" s="10" t="s">
        <v>1575</v>
      </c>
      <c r="T121" s="10" t="s">
        <v>1575</v>
      </c>
      <c r="U121" s="10" t="s">
        <v>1575</v>
      </c>
      <c r="V121" s="10" t="s">
        <v>1575</v>
      </c>
      <c r="W121" s="10" t="s">
        <v>1575</v>
      </c>
      <c r="X121" s="10" t="str">
        <f t="shared" si="20"/>
        <v>NA</v>
      </c>
      <c r="Y121" s="10" t="str">
        <f t="shared" si="21"/>
        <v>NA</v>
      </c>
      <c r="Z121" s="10" t="str">
        <f t="shared" si="22"/>
        <v>NA</v>
      </c>
      <c r="AA121" s="10" t="str">
        <f t="shared" si="23"/>
        <v>NA</v>
      </c>
      <c r="AB121" s="10" t="str">
        <f t="shared" si="24"/>
        <v>NA</v>
      </c>
      <c r="AC121" s="10" t="str">
        <f t="shared" si="25"/>
        <v>NA</v>
      </c>
      <c r="AD121" s="10" t="str">
        <f t="shared" si="26"/>
        <v>NA</v>
      </c>
      <c r="AE121" s="10" t="str">
        <f t="shared" si="27"/>
        <v>NA</v>
      </c>
      <c r="AF121" s="1" t="s">
        <v>771</v>
      </c>
    </row>
    <row r="122" spans="1:32" x14ac:dyDescent="0.2">
      <c r="A122" s="1" t="s">
        <v>5378</v>
      </c>
      <c r="B122" s="1" t="s">
        <v>5</v>
      </c>
      <c r="C122" s="1" t="s">
        <v>2177</v>
      </c>
      <c r="D122" s="1" t="s">
        <v>1615</v>
      </c>
      <c r="E122" s="1" t="s">
        <v>1616</v>
      </c>
      <c r="F122" s="1" t="s">
        <v>2203</v>
      </c>
      <c r="G122" s="4">
        <v>0.29899999999999999</v>
      </c>
      <c r="H122" s="28">
        <v>43343</v>
      </c>
      <c r="I122" s="29">
        <f t="shared" si="16"/>
        <v>2018</v>
      </c>
      <c r="J122" s="1" t="s">
        <v>2168</v>
      </c>
      <c r="K122" s="1" t="s">
        <v>7</v>
      </c>
      <c r="L122" s="11" t="str">
        <f t="shared" si="17"/>
        <v>НЕТ</v>
      </c>
      <c r="M122" s="10" t="s">
        <v>1575</v>
      </c>
      <c r="N122" s="10" t="s">
        <v>1575</v>
      </c>
      <c r="O122" s="10" t="s">
        <v>1575</v>
      </c>
      <c r="P122" s="10" t="str">
        <f t="shared" si="18"/>
        <v>NA</v>
      </c>
      <c r="Q122" s="10" t="str">
        <f t="shared" si="19"/>
        <v>NA</v>
      </c>
      <c r="R122" s="10">
        <v>6.3476140000000001</v>
      </c>
      <c r="S122" s="10">
        <v>3.1210309999999999</v>
      </c>
      <c r="T122" s="10">
        <v>2.941217</v>
      </c>
      <c r="U122" s="10">
        <v>2.3953410000000002</v>
      </c>
      <c r="V122" s="10">
        <v>4.4835599999999998</v>
      </c>
      <c r="W122" s="10">
        <v>1.9442200000000001</v>
      </c>
      <c r="X122" s="10">
        <f t="shared" si="20"/>
        <v>6.4277800000000003</v>
      </c>
      <c r="Y122" s="10" t="str">
        <f t="shared" si="21"/>
        <v>NA</v>
      </c>
      <c r="Z122" s="10" t="str">
        <f t="shared" si="22"/>
        <v>NA</v>
      </c>
      <c r="AA122" s="10" t="str">
        <f t="shared" si="23"/>
        <v>NA</v>
      </c>
      <c r="AB122" s="10" t="str">
        <f t="shared" si="24"/>
        <v>NA</v>
      </c>
      <c r="AC122" s="10" t="str">
        <f t="shared" si="25"/>
        <v>NA</v>
      </c>
      <c r="AD122" s="10" t="str">
        <f t="shared" si="26"/>
        <v>NA</v>
      </c>
      <c r="AE122" s="10" t="str">
        <f t="shared" si="27"/>
        <v>NA</v>
      </c>
      <c r="AF122" s="1" t="s">
        <v>767</v>
      </c>
    </row>
    <row r="123" spans="1:32" x14ac:dyDescent="0.2">
      <c r="A123" s="1" t="s">
        <v>5379</v>
      </c>
      <c r="B123" s="1" t="s">
        <v>5</v>
      </c>
      <c r="C123" s="1" t="s">
        <v>1575</v>
      </c>
      <c r="D123" s="1" t="s">
        <v>1615</v>
      </c>
      <c r="E123" s="1" t="s">
        <v>2172</v>
      </c>
      <c r="F123" s="1" t="s">
        <v>769</v>
      </c>
      <c r="G123" s="4">
        <v>0.495</v>
      </c>
      <c r="H123" s="28">
        <v>43220</v>
      </c>
      <c r="I123" s="29">
        <f t="shared" si="16"/>
        <v>2018</v>
      </c>
      <c r="J123" s="1" t="s">
        <v>2168</v>
      </c>
      <c r="K123" s="1" t="s">
        <v>7</v>
      </c>
      <c r="L123" s="11" t="str">
        <f t="shared" si="17"/>
        <v>НЕТ</v>
      </c>
      <c r="M123" s="10" t="s">
        <v>1575</v>
      </c>
      <c r="N123" s="10" t="s">
        <v>1575</v>
      </c>
      <c r="O123" s="10" t="s">
        <v>1575</v>
      </c>
      <c r="P123" s="10" t="str">
        <f t="shared" si="18"/>
        <v>NA</v>
      </c>
      <c r="Q123" s="10" t="str">
        <f t="shared" si="19"/>
        <v>NA</v>
      </c>
      <c r="R123" s="10" t="s">
        <v>1575</v>
      </c>
      <c r="S123" s="10" t="s">
        <v>1575</v>
      </c>
      <c r="T123" s="10" t="s">
        <v>1575</v>
      </c>
      <c r="U123" s="10" t="s">
        <v>1575</v>
      </c>
      <c r="V123" s="10" t="s">
        <v>1575</v>
      </c>
      <c r="W123" s="10" t="s">
        <v>1575</v>
      </c>
      <c r="X123" s="10" t="str">
        <f t="shared" si="20"/>
        <v>NA</v>
      </c>
      <c r="Y123" s="10" t="str">
        <f t="shared" si="21"/>
        <v>NA</v>
      </c>
      <c r="Z123" s="10" t="str">
        <f t="shared" si="22"/>
        <v>NA</v>
      </c>
      <c r="AA123" s="10" t="str">
        <f t="shared" si="23"/>
        <v>NA</v>
      </c>
      <c r="AB123" s="10" t="str">
        <f t="shared" si="24"/>
        <v>NA</v>
      </c>
      <c r="AC123" s="10" t="str">
        <f t="shared" si="25"/>
        <v>NA</v>
      </c>
      <c r="AD123" s="10" t="str">
        <f t="shared" si="26"/>
        <v>NA</v>
      </c>
      <c r="AE123" s="10" t="str">
        <f t="shared" si="27"/>
        <v>NA</v>
      </c>
      <c r="AF123" s="1" t="s">
        <v>768</v>
      </c>
    </row>
    <row r="124" spans="1:32" x14ac:dyDescent="0.2">
      <c r="A124" s="1" t="s">
        <v>5380</v>
      </c>
      <c r="B124" s="1" t="s">
        <v>5</v>
      </c>
      <c r="C124" s="1" t="s">
        <v>1575</v>
      </c>
      <c r="D124" s="1" t="s">
        <v>1813</v>
      </c>
      <c r="E124" s="1" t="s">
        <v>1587</v>
      </c>
      <c r="F124" s="1" t="s">
        <v>766</v>
      </c>
      <c r="G124" s="4">
        <v>0.4</v>
      </c>
      <c r="H124" s="28">
        <v>43281</v>
      </c>
      <c r="I124" s="29">
        <f t="shared" si="16"/>
        <v>2018</v>
      </c>
      <c r="J124" s="1" t="s">
        <v>2168</v>
      </c>
      <c r="K124" s="1" t="s">
        <v>7</v>
      </c>
      <c r="L124" s="11" t="str">
        <f t="shared" si="17"/>
        <v>НЕТ</v>
      </c>
      <c r="M124" s="10" t="s">
        <v>1575</v>
      </c>
      <c r="N124" s="10" t="s">
        <v>1575</v>
      </c>
      <c r="O124" s="10" t="s">
        <v>1575</v>
      </c>
      <c r="P124" s="10" t="str">
        <f t="shared" si="18"/>
        <v>NA</v>
      </c>
      <c r="Q124" s="10" t="str">
        <f t="shared" si="19"/>
        <v>NA</v>
      </c>
      <c r="R124" s="10" t="s">
        <v>1575</v>
      </c>
      <c r="S124" s="10" t="s">
        <v>1575</v>
      </c>
      <c r="T124" s="10" t="s">
        <v>1575</v>
      </c>
      <c r="U124" s="10" t="s">
        <v>1575</v>
      </c>
      <c r="V124" s="10" t="s">
        <v>1575</v>
      </c>
      <c r="W124" s="10" t="s">
        <v>1575</v>
      </c>
      <c r="X124" s="10" t="str">
        <f t="shared" si="20"/>
        <v>NA</v>
      </c>
      <c r="Y124" s="10" t="str">
        <f t="shared" si="21"/>
        <v>NA</v>
      </c>
      <c r="Z124" s="10" t="str">
        <f t="shared" si="22"/>
        <v>NA</v>
      </c>
      <c r="AA124" s="10" t="str">
        <f t="shared" si="23"/>
        <v>NA</v>
      </c>
      <c r="AB124" s="10" t="str">
        <f t="shared" si="24"/>
        <v>NA</v>
      </c>
      <c r="AC124" s="10" t="str">
        <f t="shared" si="25"/>
        <v>NA</v>
      </c>
      <c r="AD124" s="10" t="str">
        <f t="shared" si="26"/>
        <v>NA</v>
      </c>
      <c r="AE124" s="10" t="str">
        <f t="shared" si="27"/>
        <v>NA</v>
      </c>
      <c r="AF124" s="1" t="s">
        <v>765</v>
      </c>
    </row>
    <row r="125" spans="1:32" x14ac:dyDescent="0.2">
      <c r="A125" s="1" t="s">
        <v>2104</v>
      </c>
      <c r="B125" s="1" t="s">
        <v>5</v>
      </c>
      <c r="C125" s="1" t="s">
        <v>2173</v>
      </c>
      <c r="D125" s="1" t="s">
        <v>1578</v>
      </c>
      <c r="E125" s="1" t="s">
        <v>2113</v>
      </c>
      <c r="F125" s="1" t="s">
        <v>548</v>
      </c>
      <c r="G125" s="4">
        <v>0.1182</v>
      </c>
      <c r="H125" s="28">
        <v>43220</v>
      </c>
      <c r="I125" s="29">
        <f t="shared" si="16"/>
        <v>2018</v>
      </c>
      <c r="J125" s="1" t="s">
        <v>7</v>
      </c>
      <c r="K125" s="1" t="s">
        <v>2168</v>
      </c>
      <c r="L125" s="11" t="str">
        <f t="shared" si="17"/>
        <v>НЕТ</v>
      </c>
      <c r="M125" s="10" t="s">
        <v>1575</v>
      </c>
      <c r="N125" s="10" t="s">
        <v>1575</v>
      </c>
      <c r="O125" s="10" t="s">
        <v>1575</v>
      </c>
      <c r="P125" s="10" t="str">
        <f t="shared" si="18"/>
        <v>NA</v>
      </c>
      <c r="Q125" s="10" t="str">
        <f t="shared" si="19"/>
        <v>NA</v>
      </c>
      <c r="R125" s="10">
        <v>948.5</v>
      </c>
      <c r="S125" s="10">
        <v>91.643960006769788</v>
      </c>
      <c r="T125" s="10">
        <v>57.928258006769781</v>
      </c>
      <c r="U125" s="10">
        <v>21.8</v>
      </c>
      <c r="V125" s="10">
        <v>-17.7</v>
      </c>
      <c r="W125" s="10">
        <v>415.31215499999996</v>
      </c>
      <c r="X125" s="10">
        <f t="shared" si="20"/>
        <v>397.61215499999997</v>
      </c>
      <c r="Y125" s="10" t="str">
        <f t="shared" si="21"/>
        <v>NA</v>
      </c>
      <c r="Z125" s="10" t="str">
        <f t="shared" si="22"/>
        <v>NA</v>
      </c>
      <c r="AA125" s="10" t="str">
        <f t="shared" si="23"/>
        <v>NA</v>
      </c>
      <c r="AB125" s="10" t="str">
        <f t="shared" si="24"/>
        <v>NA</v>
      </c>
      <c r="AC125" s="10" t="str">
        <f t="shared" si="25"/>
        <v>NA</v>
      </c>
      <c r="AD125" s="10" t="str">
        <f t="shared" si="26"/>
        <v>NA</v>
      </c>
      <c r="AE125" s="10" t="str">
        <f t="shared" si="27"/>
        <v>NA</v>
      </c>
      <c r="AF125" s="1" t="s">
        <v>763</v>
      </c>
    </row>
    <row r="126" spans="1:32" x14ac:dyDescent="0.2">
      <c r="A126" s="1" t="s">
        <v>2104</v>
      </c>
      <c r="B126" s="1" t="s">
        <v>5</v>
      </c>
      <c r="C126" s="1" t="s">
        <v>2173</v>
      </c>
      <c r="D126" s="1" t="s">
        <v>1578</v>
      </c>
      <c r="E126" s="1" t="s">
        <v>2113</v>
      </c>
      <c r="F126" s="1" t="s">
        <v>548</v>
      </c>
      <c r="G126" s="4">
        <v>0.29099999999999998</v>
      </c>
      <c r="H126" s="28">
        <v>43159</v>
      </c>
      <c r="I126" s="29">
        <f t="shared" si="16"/>
        <v>2018</v>
      </c>
      <c r="J126" s="1" t="s">
        <v>2168</v>
      </c>
      <c r="K126" s="1" t="s">
        <v>7</v>
      </c>
      <c r="L126" s="11" t="str">
        <f t="shared" si="17"/>
        <v>НЕТ</v>
      </c>
      <c r="M126" s="10" t="s">
        <v>1575</v>
      </c>
      <c r="N126" s="10" t="s">
        <v>1575</v>
      </c>
      <c r="O126" s="10">
        <v>138.19999999999999</v>
      </c>
      <c r="P126" s="10">
        <f t="shared" si="18"/>
        <v>474.91408934707903</v>
      </c>
      <c r="Q126" s="10">
        <f t="shared" si="19"/>
        <v>890.22624434707905</v>
      </c>
      <c r="R126" s="10">
        <v>948.5</v>
      </c>
      <c r="S126" s="10">
        <v>91.643960006769788</v>
      </c>
      <c r="T126" s="10">
        <v>57.928258006769781</v>
      </c>
      <c r="U126" s="10">
        <v>21.8</v>
      </c>
      <c r="V126" s="10">
        <v>-17.7</v>
      </c>
      <c r="W126" s="10">
        <v>415.31215499999996</v>
      </c>
      <c r="X126" s="10">
        <f t="shared" si="20"/>
        <v>397.61215499999997</v>
      </c>
      <c r="Y126" s="10">
        <f t="shared" si="21"/>
        <v>0.50070014691310383</v>
      </c>
      <c r="Z126" s="10">
        <f t="shared" si="22"/>
        <v>21.785049970049496</v>
      </c>
      <c r="AA126" s="10">
        <f t="shared" si="23"/>
        <v>-26.831304482885823</v>
      </c>
      <c r="AB126" s="10">
        <f t="shared" si="24"/>
        <v>0.93856219751932424</v>
      </c>
      <c r="AC126" s="10">
        <f t="shared" si="25"/>
        <v>9.7139652660286355</v>
      </c>
      <c r="AD126" s="10">
        <f t="shared" si="26"/>
        <v>15.367737180065777</v>
      </c>
      <c r="AE126" s="10">
        <f t="shared" si="27"/>
        <v>2.2389311623209283</v>
      </c>
      <c r="AF126" s="1" t="s">
        <v>764</v>
      </c>
    </row>
    <row r="127" spans="1:32" x14ac:dyDescent="0.2">
      <c r="A127" s="1" t="s">
        <v>2213</v>
      </c>
      <c r="B127" s="1" t="s">
        <v>879</v>
      </c>
      <c r="C127" s="1" t="s">
        <v>1575</v>
      </c>
      <c r="D127" s="1" t="s">
        <v>1578</v>
      </c>
      <c r="E127" s="16" t="s">
        <v>9279</v>
      </c>
      <c r="F127" s="1" t="s">
        <v>810</v>
      </c>
      <c r="G127" s="4">
        <v>0.22500000000000001</v>
      </c>
      <c r="H127" s="28">
        <v>43434</v>
      </c>
      <c r="I127" s="29">
        <f t="shared" si="16"/>
        <v>2018</v>
      </c>
      <c r="J127" s="1" t="s">
        <v>7</v>
      </c>
      <c r="K127" s="1" t="s">
        <v>2168</v>
      </c>
      <c r="L127" s="11" t="str">
        <f t="shared" si="17"/>
        <v>НЕТ</v>
      </c>
      <c r="M127" s="10" t="s">
        <v>1575</v>
      </c>
      <c r="N127" s="10" t="s">
        <v>1575</v>
      </c>
      <c r="O127" s="10">
        <v>1.7</v>
      </c>
      <c r="P127" s="10">
        <f t="shared" si="18"/>
        <v>7.5555555555555554</v>
      </c>
      <c r="Q127" s="10" t="str">
        <f t="shared" si="19"/>
        <v>NA</v>
      </c>
      <c r="R127" s="10" t="s">
        <v>1575</v>
      </c>
      <c r="S127" s="10" t="s">
        <v>1575</v>
      </c>
      <c r="T127" s="10" t="s">
        <v>1575</v>
      </c>
      <c r="U127" s="10" t="s">
        <v>1575</v>
      </c>
      <c r="V127" s="10" t="s">
        <v>1575</v>
      </c>
      <c r="W127" s="10" t="s">
        <v>1575</v>
      </c>
      <c r="X127" s="10" t="str">
        <f t="shared" si="20"/>
        <v>NA</v>
      </c>
      <c r="Y127" s="10" t="str">
        <f t="shared" si="21"/>
        <v>NA</v>
      </c>
      <c r="Z127" s="10" t="str">
        <f t="shared" si="22"/>
        <v>NA</v>
      </c>
      <c r="AA127" s="10" t="str">
        <f t="shared" si="23"/>
        <v>NA</v>
      </c>
      <c r="AB127" s="10" t="str">
        <f t="shared" si="24"/>
        <v>NA</v>
      </c>
      <c r="AC127" s="10" t="str">
        <f t="shared" si="25"/>
        <v>NA</v>
      </c>
      <c r="AD127" s="10" t="str">
        <f t="shared" si="26"/>
        <v>NA</v>
      </c>
      <c r="AE127" s="10" t="str">
        <f t="shared" si="27"/>
        <v>NA</v>
      </c>
      <c r="AF127" s="1" t="s">
        <v>762</v>
      </c>
    </row>
    <row r="128" spans="1:32" x14ac:dyDescent="0.2">
      <c r="A128" s="1" t="s">
        <v>5381</v>
      </c>
      <c r="B128" s="1" t="s">
        <v>5</v>
      </c>
      <c r="C128" s="1" t="s">
        <v>1575</v>
      </c>
      <c r="D128" s="1" t="s">
        <v>1584</v>
      </c>
      <c r="E128" s="1" t="s">
        <v>1589</v>
      </c>
      <c r="F128" s="1" t="s">
        <v>495</v>
      </c>
      <c r="G128" s="4">
        <v>1</v>
      </c>
      <c r="H128" s="28">
        <v>43131</v>
      </c>
      <c r="I128" s="29">
        <f t="shared" ref="I128:I191" si="28">YEAR(H128)</f>
        <v>2018</v>
      </c>
      <c r="J128" s="1" t="s">
        <v>7</v>
      </c>
      <c r="K128" s="1" t="s">
        <v>2168</v>
      </c>
      <c r="L128" s="11" t="str">
        <f t="shared" si="17"/>
        <v>НЕТ</v>
      </c>
      <c r="M128" s="10" t="s">
        <v>1575</v>
      </c>
      <c r="N128" s="10" t="s">
        <v>1575</v>
      </c>
      <c r="O128" s="10">
        <v>0.9</v>
      </c>
      <c r="P128" s="10">
        <f t="shared" si="18"/>
        <v>0.9</v>
      </c>
      <c r="Q128" s="10" t="str">
        <f t="shared" si="19"/>
        <v>NA</v>
      </c>
      <c r="R128" s="10" t="s">
        <v>1575</v>
      </c>
      <c r="S128" s="10" t="s">
        <v>1575</v>
      </c>
      <c r="T128" s="10" t="s">
        <v>1575</v>
      </c>
      <c r="U128" s="10" t="s">
        <v>1575</v>
      </c>
      <c r="V128" s="10" t="s">
        <v>1575</v>
      </c>
      <c r="W128" s="10" t="s">
        <v>1575</v>
      </c>
      <c r="X128" s="10" t="str">
        <f t="shared" si="20"/>
        <v>NA</v>
      </c>
      <c r="Y128" s="10" t="str">
        <f t="shared" si="21"/>
        <v>NA</v>
      </c>
      <c r="Z128" s="10" t="str">
        <f t="shared" si="22"/>
        <v>NA</v>
      </c>
      <c r="AA128" s="10" t="str">
        <f t="shared" si="23"/>
        <v>NA</v>
      </c>
      <c r="AB128" s="10" t="str">
        <f t="shared" si="24"/>
        <v>NA</v>
      </c>
      <c r="AC128" s="10" t="str">
        <f t="shared" si="25"/>
        <v>NA</v>
      </c>
      <c r="AD128" s="10" t="str">
        <f t="shared" si="26"/>
        <v>NA</v>
      </c>
      <c r="AE128" s="10" t="str">
        <f t="shared" si="27"/>
        <v>NA</v>
      </c>
      <c r="AF128" s="1" t="s">
        <v>761</v>
      </c>
    </row>
    <row r="129" spans="1:32" x14ac:dyDescent="0.2">
      <c r="A129" s="1" t="s">
        <v>759</v>
      </c>
      <c r="B129" s="1" t="s">
        <v>179</v>
      </c>
      <c r="C129" s="1" t="s">
        <v>1575</v>
      </c>
      <c r="D129" s="1" t="s">
        <v>1578</v>
      </c>
      <c r="E129" s="1" t="s">
        <v>1599</v>
      </c>
      <c r="F129" s="1" t="s">
        <v>551</v>
      </c>
      <c r="G129" s="4">
        <v>0.16619999999999999</v>
      </c>
      <c r="H129" s="28">
        <v>43159</v>
      </c>
      <c r="I129" s="29">
        <f t="shared" si="28"/>
        <v>2018</v>
      </c>
      <c r="J129" s="1" t="s">
        <v>7</v>
      </c>
      <c r="K129" s="1" t="s">
        <v>2168</v>
      </c>
      <c r="L129" s="11" t="str">
        <f t="shared" ref="L129:L210" si="29">IF(OR(A129=J129,A129=K129),"ДА","НЕТ")</f>
        <v>НЕТ</v>
      </c>
      <c r="M129" s="10" t="s">
        <v>1575</v>
      </c>
      <c r="N129" s="10" t="s">
        <v>1575</v>
      </c>
      <c r="O129" s="10">
        <v>4.5999999999999996</v>
      </c>
      <c r="P129" s="10">
        <f t="shared" si="18"/>
        <v>27.677496991576415</v>
      </c>
      <c r="Q129" s="10">
        <f t="shared" si="19"/>
        <v>38.677496991576419</v>
      </c>
      <c r="R129" s="10">
        <v>38.799999999999997</v>
      </c>
      <c r="S129" s="10">
        <f>38.8-33.1-1.2+0.1-0.2</f>
        <v>4.399999999999995</v>
      </c>
      <c r="T129" s="10">
        <f>38.8-33.1-1.2+0.1-0.2-2.5</f>
        <v>1.899999999999995</v>
      </c>
      <c r="U129" s="10">
        <v>0.8</v>
      </c>
      <c r="V129" s="10">
        <v>1.7</v>
      </c>
      <c r="W129" s="10">
        <f>3.5+8.2-0.7</f>
        <v>11</v>
      </c>
      <c r="X129" s="10">
        <f t="shared" si="20"/>
        <v>12.7</v>
      </c>
      <c r="Y129" s="10">
        <f t="shared" si="21"/>
        <v>0.71333755132928911</v>
      </c>
      <c r="Z129" s="10">
        <f t="shared" si="22"/>
        <v>34.596871239470516</v>
      </c>
      <c r="AA129" s="10">
        <f t="shared" si="23"/>
        <v>16.280880583280243</v>
      </c>
      <c r="AB129" s="10">
        <f t="shared" si="24"/>
        <v>0.99684270596846447</v>
      </c>
      <c r="AC129" s="10">
        <f t="shared" si="25"/>
        <v>8.7903402253582872</v>
      </c>
      <c r="AD129" s="10">
        <f t="shared" si="26"/>
        <v>20.356577363987643</v>
      </c>
      <c r="AE129" s="10">
        <f t="shared" si="27"/>
        <v>3.0454722040611357</v>
      </c>
      <c r="AF129" s="1" t="s">
        <v>760</v>
      </c>
    </row>
    <row r="130" spans="1:32" x14ac:dyDescent="0.2">
      <c r="A130" s="1" t="s">
        <v>5382</v>
      </c>
      <c r="B130" s="1" t="s">
        <v>5</v>
      </c>
      <c r="C130" s="1" t="s">
        <v>1575</v>
      </c>
      <c r="D130" s="1" t="s">
        <v>1584</v>
      </c>
      <c r="E130" s="1" t="s">
        <v>1589</v>
      </c>
      <c r="F130" s="1" t="s">
        <v>495</v>
      </c>
      <c r="G130" s="4">
        <v>1</v>
      </c>
      <c r="H130" s="28">
        <v>43159</v>
      </c>
      <c r="I130" s="29">
        <f t="shared" si="28"/>
        <v>2018</v>
      </c>
      <c r="J130" s="1" t="s">
        <v>7</v>
      </c>
      <c r="K130" s="1" t="s">
        <v>2168</v>
      </c>
      <c r="L130" s="11" t="str">
        <f t="shared" si="29"/>
        <v>НЕТ</v>
      </c>
      <c r="M130" s="10" t="s">
        <v>1575</v>
      </c>
      <c r="N130" s="10" t="s">
        <v>1575</v>
      </c>
      <c r="O130" s="10">
        <v>1</v>
      </c>
      <c r="P130" s="10">
        <f t="shared" si="18"/>
        <v>1</v>
      </c>
      <c r="Q130" s="10" t="str">
        <f t="shared" si="19"/>
        <v>NA</v>
      </c>
      <c r="R130" s="10" t="s">
        <v>1575</v>
      </c>
      <c r="S130" s="10" t="s">
        <v>1575</v>
      </c>
      <c r="T130" s="10" t="s">
        <v>1575</v>
      </c>
      <c r="U130" s="10" t="s">
        <v>1575</v>
      </c>
      <c r="V130" s="10" t="s">
        <v>1575</v>
      </c>
      <c r="W130" s="10" t="s">
        <v>1575</v>
      </c>
      <c r="X130" s="10" t="str">
        <f t="shared" si="20"/>
        <v>NA</v>
      </c>
      <c r="Y130" s="10" t="str">
        <f t="shared" si="21"/>
        <v>NA</v>
      </c>
      <c r="Z130" s="10" t="str">
        <f t="shared" si="22"/>
        <v>NA</v>
      </c>
      <c r="AA130" s="10" t="str">
        <f t="shared" si="23"/>
        <v>NA</v>
      </c>
      <c r="AB130" s="10" t="str">
        <f t="shared" si="24"/>
        <v>NA</v>
      </c>
      <c r="AC130" s="10" t="str">
        <f t="shared" si="25"/>
        <v>NA</v>
      </c>
      <c r="AD130" s="10" t="str">
        <f t="shared" si="26"/>
        <v>NA</v>
      </c>
      <c r="AE130" s="10" t="str">
        <f t="shared" si="27"/>
        <v>NA</v>
      </c>
      <c r="AF130" s="1" t="s">
        <v>758</v>
      </c>
    </row>
    <row r="131" spans="1:32" x14ac:dyDescent="0.2">
      <c r="A131" s="1" t="s">
        <v>5383</v>
      </c>
      <c r="B131" s="1" t="s">
        <v>5</v>
      </c>
      <c r="C131" s="1" t="s">
        <v>1575</v>
      </c>
      <c r="D131" s="1" t="s">
        <v>1580</v>
      </c>
      <c r="E131" s="1" t="s">
        <v>5016</v>
      </c>
      <c r="F131" s="1" t="s">
        <v>756</v>
      </c>
      <c r="G131" s="4">
        <v>1</v>
      </c>
      <c r="H131" s="28">
        <v>43220</v>
      </c>
      <c r="I131" s="29">
        <f t="shared" si="28"/>
        <v>2018</v>
      </c>
      <c r="J131" s="1" t="s">
        <v>7</v>
      </c>
      <c r="K131" s="1" t="s">
        <v>2168</v>
      </c>
      <c r="L131" s="11" t="str">
        <f t="shared" si="29"/>
        <v>НЕТ</v>
      </c>
      <c r="M131" s="10" t="s">
        <v>1575</v>
      </c>
      <c r="N131" s="10" t="s">
        <v>1575</v>
      </c>
      <c r="O131" s="10">
        <v>0.1</v>
      </c>
      <c r="P131" s="10">
        <f t="shared" ref="P131:P194" si="30">IFERROR(O131/G131,"NA")</f>
        <v>0.1</v>
      </c>
      <c r="Q131" s="10" t="str">
        <f t="shared" ref="Q131:Q194" si="31">IFERROR(P131+W131,"NA")</f>
        <v>NA</v>
      </c>
      <c r="R131" s="10" t="s">
        <v>1575</v>
      </c>
      <c r="S131" s="10" t="s">
        <v>1575</v>
      </c>
      <c r="T131" s="10" t="s">
        <v>1575</v>
      </c>
      <c r="U131" s="10" t="s">
        <v>1575</v>
      </c>
      <c r="V131" s="10">
        <v>0.1</v>
      </c>
      <c r="W131" s="10" t="s">
        <v>1575</v>
      </c>
      <c r="X131" s="10" t="str">
        <f t="shared" ref="X131:X194" si="32">IFERROR(V131+W131,"NA")</f>
        <v>NA</v>
      </c>
      <c r="Y131" s="10" t="str">
        <f t="shared" ref="Y131:Y194" si="33">IFERROR(P131/R131,"NA")</f>
        <v>NA</v>
      </c>
      <c r="Z131" s="10" t="str">
        <f t="shared" ref="Z131:Z194" si="34">IFERROR(P131/U131,"NA")</f>
        <v>NA</v>
      </c>
      <c r="AA131" s="10">
        <f t="shared" ref="AA131:AA194" si="35">IFERROR(P131/V131,"NA")</f>
        <v>1</v>
      </c>
      <c r="AB131" s="10" t="str">
        <f t="shared" ref="AB131:AB194" si="36">IFERROR(Q131/R131,"NA")</f>
        <v>NA</v>
      </c>
      <c r="AC131" s="10" t="str">
        <f t="shared" ref="AC131:AC194" si="37">IFERROR(Q131/S131,"NA")</f>
        <v>NA</v>
      </c>
      <c r="AD131" s="10" t="str">
        <f t="shared" ref="AD131:AD194" si="38">IFERROR(Q131/T131,"NA")</f>
        <v>NA</v>
      </c>
      <c r="AE131" s="10" t="str">
        <f t="shared" ref="AE131:AE194" si="39">IFERROR(Q131/X131,"NA")</f>
        <v>NA</v>
      </c>
      <c r="AF131" s="1" t="s">
        <v>757</v>
      </c>
    </row>
    <row r="132" spans="1:32" x14ac:dyDescent="0.2">
      <c r="A132" s="1" t="s">
        <v>5384</v>
      </c>
      <c r="B132" s="1" t="s">
        <v>62</v>
      </c>
      <c r="C132" s="1" t="s">
        <v>1575</v>
      </c>
      <c r="D132" s="1" t="s">
        <v>1580</v>
      </c>
      <c r="E132" s="1" t="s">
        <v>1694</v>
      </c>
      <c r="F132" s="1" t="s">
        <v>68</v>
      </c>
      <c r="G132" s="4">
        <v>1</v>
      </c>
      <c r="H132" s="28">
        <v>43311</v>
      </c>
      <c r="I132" s="29">
        <f t="shared" si="28"/>
        <v>2018</v>
      </c>
      <c r="J132" s="1" t="s">
        <v>7</v>
      </c>
      <c r="K132" s="1" t="s">
        <v>2168</v>
      </c>
      <c r="L132" s="11" t="str">
        <f t="shared" si="29"/>
        <v>НЕТ</v>
      </c>
      <c r="M132" s="10" t="s">
        <v>1575</v>
      </c>
      <c r="N132" s="10" t="s">
        <v>1575</v>
      </c>
      <c r="O132" s="10">
        <v>0.9</v>
      </c>
      <c r="P132" s="10">
        <f t="shared" si="30"/>
        <v>0.9</v>
      </c>
      <c r="Q132" s="10" t="str">
        <f t="shared" si="31"/>
        <v>NA</v>
      </c>
      <c r="R132" s="10" t="s">
        <v>1575</v>
      </c>
      <c r="S132" s="10" t="s">
        <v>1575</v>
      </c>
      <c r="T132" s="10" t="s">
        <v>1575</v>
      </c>
      <c r="U132" s="10" t="s">
        <v>1575</v>
      </c>
      <c r="V132" s="10" t="s">
        <v>1575</v>
      </c>
      <c r="W132" s="10" t="s">
        <v>1575</v>
      </c>
      <c r="X132" s="10" t="str">
        <f t="shared" si="32"/>
        <v>NA</v>
      </c>
      <c r="Y132" s="10" t="str">
        <f t="shared" si="33"/>
        <v>NA</v>
      </c>
      <c r="Z132" s="10" t="str">
        <f t="shared" si="34"/>
        <v>NA</v>
      </c>
      <c r="AA132" s="10" t="str">
        <f t="shared" si="35"/>
        <v>NA</v>
      </c>
      <c r="AB132" s="10" t="str">
        <f t="shared" si="36"/>
        <v>NA</v>
      </c>
      <c r="AC132" s="10" t="str">
        <f t="shared" si="37"/>
        <v>NA</v>
      </c>
      <c r="AD132" s="10" t="str">
        <f t="shared" si="38"/>
        <v>NA</v>
      </c>
      <c r="AE132" s="10" t="str">
        <f t="shared" si="39"/>
        <v>NA</v>
      </c>
      <c r="AF132" s="1" t="s">
        <v>755</v>
      </c>
    </row>
    <row r="133" spans="1:32" x14ac:dyDescent="0.2">
      <c r="A133" s="1" t="s">
        <v>2204</v>
      </c>
      <c r="B133" s="1" t="s">
        <v>5</v>
      </c>
      <c r="C133" s="1" t="s">
        <v>1575</v>
      </c>
      <c r="D133" s="1" t="s">
        <v>1575</v>
      </c>
      <c r="E133" s="1" t="s">
        <v>1575</v>
      </c>
      <c r="F133" s="1" t="s">
        <v>1575</v>
      </c>
      <c r="G133" s="4" t="s">
        <v>11</v>
      </c>
      <c r="H133" s="28">
        <v>43343</v>
      </c>
      <c r="I133" s="29">
        <f t="shared" si="28"/>
        <v>2018</v>
      </c>
      <c r="J133" s="1" t="s">
        <v>2168</v>
      </c>
      <c r="K133" s="1" t="s">
        <v>7</v>
      </c>
      <c r="L133" s="11" t="str">
        <f t="shared" si="29"/>
        <v>НЕТ</v>
      </c>
      <c r="M133" s="10" t="s">
        <v>1575</v>
      </c>
      <c r="N133" s="10" t="s">
        <v>1575</v>
      </c>
      <c r="O133" s="10" t="s">
        <v>1575</v>
      </c>
      <c r="P133" s="10" t="str">
        <f t="shared" si="30"/>
        <v>NA</v>
      </c>
      <c r="Q133" s="10" t="str">
        <f t="shared" si="31"/>
        <v>NA</v>
      </c>
      <c r="R133" s="10" t="s">
        <v>1575</v>
      </c>
      <c r="S133" s="10" t="s">
        <v>1575</v>
      </c>
      <c r="T133" s="10" t="s">
        <v>1575</v>
      </c>
      <c r="U133" s="10" t="s">
        <v>1575</v>
      </c>
      <c r="V133" s="10" t="s">
        <v>1575</v>
      </c>
      <c r="W133" s="10" t="s">
        <v>1575</v>
      </c>
      <c r="X133" s="10" t="str">
        <f t="shared" si="32"/>
        <v>NA</v>
      </c>
      <c r="Y133" s="10" t="str">
        <f t="shared" si="33"/>
        <v>NA</v>
      </c>
      <c r="Z133" s="10" t="str">
        <f t="shared" si="34"/>
        <v>NA</v>
      </c>
      <c r="AA133" s="10" t="str">
        <f t="shared" si="35"/>
        <v>NA</v>
      </c>
      <c r="AB133" s="10" t="str">
        <f t="shared" si="36"/>
        <v>NA</v>
      </c>
      <c r="AC133" s="10" t="str">
        <f t="shared" si="37"/>
        <v>NA</v>
      </c>
      <c r="AD133" s="10" t="str">
        <f t="shared" si="38"/>
        <v>NA</v>
      </c>
      <c r="AE133" s="10" t="str">
        <f t="shared" si="39"/>
        <v>NA</v>
      </c>
      <c r="AF133" s="1" t="s">
        <v>754</v>
      </c>
    </row>
    <row r="134" spans="1:32" x14ac:dyDescent="0.2">
      <c r="A134" s="1" t="s">
        <v>5385</v>
      </c>
      <c r="B134" s="1" t="s">
        <v>5</v>
      </c>
      <c r="C134" s="1" t="s">
        <v>1575</v>
      </c>
      <c r="D134" s="1" t="s">
        <v>1580</v>
      </c>
      <c r="E134" s="1" t="s">
        <v>1581</v>
      </c>
      <c r="F134" s="1" t="s">
        <v>67</v>
      </c>
      <c r="G134" s="4">
        <v>1</v>
      </c>
      <c r="H134" s="28">
        <v>43404</v>
      </c>
      <c r="I134" s="29">
        <f t="shared" si="28"/>
        <v>2018</v>
      </c>
      <c r="J134" s="1" t="s">
        <v>5386</v>
      </c>
      <c r="K134" s="1" t="s">
        <v>2168</v>
      </c>
      <c r="L134" s="11" t="str">
        <f t="shared" si="29"/>
        <v>НЕТ</v>
      </c>
      <c r="M134" s="10" t="s">
        <v>1575</v>
      </c>
      <c r="N134" s="10" t="s">
        <v>1575</v>
      </c>
      <c r="O134" s="10">
        <f>55.8+14.6</f>
        <v>70.399999999999991</v>
      </c>
      <c r="P134" s="10">
        <f t="shared" si="30"/>
        <v>70.399999999999991</v>
      </c>
      <c r="Q134" s="10" t="str">
        <f t="shared" si="31"/>
        <v>NA</v>
      </c>
      <c r="R134" s="10" t="s">
        <v>1575</v>
      </c>
      <c r="S134" s="10" t="s">
        <v>1575</v>
      </c>
      <c r="T134" s="10" t="s">
        <v>1575</v>
      </c>
      <c r="U134" s="10" t="s">
        <v>1575</v>
      </c>
      <c r="V134" s="10">
        <f>286.5-252.2</f>
        <v>34.300000000000011</v>
      </c>
      <c r="W134" s="10" t="s">
        <v>1575</v>
      </c>
      <c r="X134" s="10" t="str">
        <f t="shared" si="32"/>
        <v>NA</v>
      </c>
      <c r="Y134" s="10" t="str">
        <f t="shared" si="33"/>
        <v>NA</v>
      </c>
      <c r="Z134" s="10" t="str">
        <f t="shared" si="34"/>
        <v>NA</v>
      </c>
      <c r="AA134" s="10">
        <f t="shared" si="35"/>
        <v>2.0524781341107863</v>
      </c>
      <c r="AB134" s="10" t="str">
        <f t="shared" si="36"/>
        <v>NA</v>
      </c>
      <c r="AC134" s="10" t="str">
        <f t="shared" si="37"/>
        <v>NA</v>
      </c>
      <c r="AD134" s="10" t="str">
        <f t="shared" si="38"/>
        <v>NA</v>
      </c>
      <c r="AE134" s="10" t="str">
        <f t="shared" si="39"/>
        <v>NA</v>
      </c>
      <c r="AF134" s="1" t="s">
        <v>753</v>
      </c>
    </row>
    <row r="135" spans="1:32" x14ac:dyDescent="0.2">
      <c r="A135" s="1" t="s">
        <v>5387</v>
      </c>
      <c r="B135" s="1" t="s">
        <v>5</v>
      </c>
      <c r="C135" s="1" t="s">
        <v>2175</v>
      </c>
      <c r="D135" s="1" t="s">
        <v>1580</v>
      </c>
      <c r="E135" s="1" t="s">
        <v>1694</v>
      </c>
      <c r="F135" s="1" t="s">
        <v>68</v>
      </c>
      <c r="G135" s="4">
        <v>0.85</v>
      </c>
      <c r="H135" s="28">
        <v>43404</v>
      </c>
      <c r="I135" s="29">
        <f t="shared" si="28"/>
        <v>2018</v>
      </c>
      <c r="J135" s="1" t="s">
        <v>2168</v>
      </c>
      <c r="K135" s="1" t="s">
        <v>7</v>
      </c>
      <c r="L135" s="11" t="str">
        <f t="shared" si="29"/>
        <v>НЕТ</v>
      </c>
      <c r="M135" s="10" t="s">
        <v>1575</v>
      </c>
      <c r="N135" s="10" t="s">
        <v>1575</v>
      </c>
      <c r="O135" s="10">
        <v>9.6999999999999993</v>
      </c>
      <c r="P135" s="10">
        <f t="shared" si="30"/>
        <v>11.411764705882353</v>
      </c>
      <c r="Q135" s="10" t="str">
        <f t="shared" si="31"/>
        <v>NA</v>
      </c>
      <c r="R135" s="10" t="s">
        <v>1575</v>
      </c>
      <c r="S135" s="10" t="s">
        <v>1575</v>
      </c>
      <c r="T135" s="10" t="s">
        <v>1575</v>
      </c>
      <c r="U135" s="10">
        <v>0.5</v>
      </c>
      <c r="V135" s="10">
        <v>7.7</v>
      </c>
      <c r="W135" s="10" t="s">
        <v>1575</v>
      </c>
      <c r="X135" s="10" t="str">
        <f t="shared" si="32"/>
        <v>NA</v>
      </c>
      <c r="Y135" s="10" t="str">
        <f t="shared" si="33"/>
        <v>NA</v>
      </c>
      <c r="Z135" s="10">
        <f t="shared" si="34"/>
        <v>22.823529411764707</v>
      </c>
      <c r="AA135" s="10">
        <f t="shared" si="35"/>
        <v>1.4820473644003056</v>
      </c>
      <c r="AB135" s="10" t="str">
        <f t="shared" si="36"/>
        <v>NA</v>
      </c>
      <c r="AC135" s="10" t="str">
        <f t="shared" si="37"/>
        <v>NA</v>
      </c>
      <c r="AD135" s="10" t="str">
        <f t="shared" si="38"/>
        <v>NA</v>
      </c>
      <c r="AE135" s="10" t="str">
        <f t="shared" si="39"/>
        <v>NA</v>
      </c>
      <c r="AF135" s="1" t="s">
        <v>752</v>
      </c>
    </row>
    <row r="136" spans="1:32" x14ac:dyDescent="0.2">
      <c r="A136" s="1" t="s">
        <v>5388</v>
      </c>
      <c r="B136" s="1" t="s">
        <v>5</v>
      </c>
      <c r="C136" s="1" t="s">
        <v>1575</v>
      </c>
      <c r="D136" s="1" t="s">
        <v>1615</v>
      </c>
      <c r="E136" s="1" t="s">
        <v>2176</v>
      </c>
      <c r="F136" s="1" t="s">
        <v>751</v>
      </c>
      <c r="G136" s="6" t="s">
        <v>187</v>
      </c>
      <c r="H136" s="28">
        <v>43708</v>
      </c>
      <c r="I136" s="29">
        <f t="shared" si="28"/>
        <v>2019</v>
      </c>
      <c r="J136" s="1" t="s">
        <v>2168</v>
      </c>
      <c r="K136" s="1" t="s">
        <v>7</v>
      </c>
      <c r="L136" s="11" t="str">
        <f t="shared" si="29"/>
        <v>НЕТ</v>
      </c>
      <c r="M136" s="10" t="s">
        <v>1575</v>
      </c>
      <c r="N136" s="10" t="s">
        <v>1575</v>
      </c>
      <c r="O136" s="10">
        <v>31</v>
      </c>
      <c r="P136" s="10" t="str">
        <f t="shared" si="30"/>
        <v>NA</v>
      </c>
      <c r="Q136" s="10" t="str">
        <f t="shared" si="31"/>
        <v>NA</v>
      </c>
      <c r="R136" s="10">
        <v>59.4</v>
      </c>
      <c r="S136" s="10" t="s">
        <v>1575</v>
      </c>
      <c r="T136" s="10" t="s">
        <v>1575</v>
      </c>
      <c r="U136" s="10">
        <v>9.5</v>
      </c>
      <c r="V136" s="10">
        <v>36.200000000000003</v>
      </c>
      <c r="W136" s="10" t="s">
        <v>1575</v>
      </c>
      <c r="X136" s="10" t="str">
        <f t="shared" si="32"/>
        <v>NA</v>
      </c>
      <c r="Y136" s="10" t="str">
        <f t="shared" si="33"/>
        <v>NA</v>
      </c>
      <c r="Z136" s="10" t="str">
        <f t="shared" si="34"/>
        <v>NA</v>
      </c>
      <c r="AA136" s="10" t="str">
        <f t="shared" si="35"/>
        <v>NA</v>
      </c>
      <c r="AB136" s="10" t="str">
        <f t="shared" si="36"/>
        <v>NA</v>
      </c>
      <c r="AC136" s="10" t="str">
        <f t="shared" si="37"/>
        <v>NA</v>
      </c>
      <c r="AD136" s="10" t="str">
        <f t="shared" si="38"/>
        <v>NA</v>
      </c>
      <c r="AE136" s="10" t="str">
        <f t="shared" si="39"/>
        <v>NA</v>
      </c>
      <c r="AF136" s="1" t="s">
        <v>750</v>
      </c>
    </row>
    <row r="137" spans="1:32" x14ac:dyDescent="0.2">
      <c r="A137" s="1" t="s">
        <v>5389</v>
      </c>
      <c r="B137" s="1" t="s">
        <v>5</v>
      </c>
      <c r="C137" s="1" t="s">
        <v>1575</v>
      </c>
      <c r="D137" s="1" t="s">
        <v>1580</v>
      </c>
      <c r="E137" s="1" t="s">
        <v>1694</v>
      </c>
      <c r="F137" s="1" t="s">
        <v>68</v>
      </c>
      <c r="G137" s="4">
        <v>7.9899999999999999E-2</v>
      </c>
      <c r="H137" s="28">
        <v>43555</v>
      </c>
      <c r="I137" s="29">
        <f t="shared" si="28"/>
        <v>2019</v>
      </c>
      <c r="J137" s="1" t="s">
        <v>749</v>
      </c>
      <c r="K137" s="1" t="s">
        <v>2168</v>
      </c>
      <c r="L137" s="11" t="str">
        <f t="shared" si="29"/>
        <v>НЕТ</v>
      </c>
      <c r="M137" s="10" t="s">
        <v>1575</v>
      </c>
      <c r="N137" s="10" t="s">
        <v>1575</v>
      </c>
      <c r="O137" s="10">
        <v>2.9</v>
      </c>
      <c r="P137" s="10">
        <f t="shared" si="30"/>
        <v>36.295369211514391</v>
      </c>
      <c r="Q137" s="10" t="str">
        <f t="shared" si="31"/>
        <v>NA</v>
      </c>
      <c r="R137" s="10" t="s">
        <v>1575</v>
      </c>
      <c r="S137" s="10" t="s">
        <v>1575</v>
      </c>
      <c r="T137" s="10" t="s">
        <v>1575</v>
      </c>
      <c r="U137" s="10" t="s">
        <v>1575</v>
      </c>
      <c r="V137" s="10" t="s">
        <v>1575</v>
      </c>
      <c r="W137" s="10" t="s">
        <v>1575</v>
      </c>
      <c r="X137" s="10" t="str">
        <f t="shared" si="32"/>
        <v>NA</v>
      </c>
      <c r="Y137" s="10" t="str">
        <f t="shared" si="33"/>
        <v>NA</v>
      </c>
      <c r="Z137" s="10" t="str">
        <f t="shared" si="34"/>
        <v>NA</v>
      </c>
      <c r="AA137" s="10" t="str">
        <f t="shared" si="35"/>
        <v>NA</v>
      </c>
      <c r="AB137" s="10" t="str">
        <f t="shared" si="36"/>
        <v>NA</v>
      </c>
      <c r="AC137" s="10" t="str">
        <f t="shared" si="37"/>
        <v>NA</v>
      </c>
      <c r="AD137" s="10" t="str">
        <f t="shared" si="38"/>
        <v>NA</v>
      </c>
      <c r="AE137" s="10" t="str">
        <f t="shared" si="39"/>
        <v>NA</v>
      </c>
      <c r="AF137" s="1" t="s">
        <v>748</v>
      </c>
    </row>
    <row r="138" spans="1:32" x14ac:dyDescent="0.2">
      <c r="A138" s="1" t="s">
        <v>5390</v>
      </c>
      <c r="B138" s="1" t="s">
        <v>5</v>
      </c>
      <c r="C138" s="1" t="s">
        <v>1575</v>
      </c>
      <c r="D138" s="1" t="s">
        <v>1584</v>
      </c>
      <c r="E138" s="1" t="s">
        <v>1586</v>
      </c>
      <c r="F138" s="1" t="s">
        <v>66</v>
      </c>
      <c r="G138" s="4">
        <v>0.7228</v>
      </c>
      <c r="H138" s="28">
        <v>43799</v>
      </c>
      <c r="I138" s="29">
        <f t="shared" si="28"/>
        <v>2019</v>
      </c>
      <c r="J138" s="1" t="s">
        <v>2168</v>
      </c>
      <c r="K138" s="1" t="s">
        <v>7</v>
      </c>
      <c r="L138" s="11" t="str">
        <f t="shared" si="29"/>
        <v>НЕТ</v>
      </c>
      <c r="M138" s="10" t="s">
        <v>1575</v>
      </c>
      <c r="N138" s="10" t="s">
        <v>1575</v>
      </c>
      <c r="O138" s="10">
        <v>0.2</v>
      </c>
      <c r="P138" s="10">
        <f t="shared" si="30"/>
        <v>0.27670171555063644</v>
      </c>
      <c r="Q138" s="10" t="str">
        <f t="shared" si="31"/>
        <v>NA</v>
      </c>
      <c r="R138" s="10" t="s">
        <v>1575</v>
      </c>
      <c r="S138" s="10" t="s">
        <v>1575</v>
      </c>
      <c r="T138" s="10" t="s">
        <v>1575</v>
      </c>
      <c r="U138" s="10" t="s">
        <v>1575</v>
      </c>
      <c r="V138" s="10" t="s">
        <v>1575</v>
      </c>
      <c r="W138" s="10" t="s">
        <v>1575</v>
      </c>
      <c r="X138" s="10" t="str">
        <f t="shared" si="32"/>
        <v>NA</v>
      </c>
      <c r="Y138" s="10" t="str">
        <f t="shared" si="33"/>
        <v>NA</v>
      </c>
      <c r="Z138" s="10" t="str">
        <f t="shared" si="34"/>
        <v>NA</v>
      </c>
      <c r="AA138" s="10" t="str">
        <f t="shared" si="35"/>
        <v>NA</v>
      </c>
      <c r="AB138" s="10" t="str">
        <f t="shared" si="36"/>
        <v>NA</v>
      </c>
      <c r="AC138" s="10" t="str">
        <f t="shared" si="37"/>
        <v>NA</v>
      </c>
      <c r="AD138" s="10" t="str">
        <f t="shared" si="38"/>
        <v>NA</v>
      </c>
      <c r="AE138" s="10" t="str">
        <f t="shared" si="39"/>
        <v>NA</v>
      </c>
      <c r="AF138" s="1" t="s">
        <v>747</v>
      </c>
    </row>
    <row r="139" spans="1:32" x14ac:dyDescent="0.2">
      <c r="A139" s="1" t="s">
        <v>5391</v>
      </c>
      <c r="B139" s="1" t="s">
        <v>5</v>
      </c>
      <c r="C139" s="1" t="s">
        <v>1575</v>
      </c>
      <c r="D139" s="1" t="s">
        <v>1584</v>
      </c>
      <c r="E139" s="1" t="s">
        <v>1586</v>
      </c>
      <c r="F139" s="1" t="s">
        <v>66</v>
      </c>
      <c r="G139" s="4">
        <v>0.27039999999999997</v>
      </c>
      <c r="H139" s="28">
        <v>43830</v>
      </c>
      <c r="I139" s="29">
        <f t="shared" si="28"/>
        <v>2019</v>
      </c>
      <c r="J139" s="1" t="s">
        <v>2168</v>
      </c>
      <c r="K139" s="1" t="s">
        <v>7</v>
      </c>
      <c r="L139" s="11" t="str">
        <f t="shared" si="29"/>
        <v>НЕТ</v>
      </c>
      <c r="M139" s="10" t="s">
        <v>1575</v>
      </c>
      <c r="N139" s="10" t="s">
        <v>1575</v>
      </c>
      <c r="O139" s="10">
        <v>0.4</v>
      </c>
      <c r="P139" s="10">
        <f t="shared" si="30"/>
        <v>1.4792899408284026</v>
      </c>
      <c r="Q139" s="10" t="str">
        <f t="shared" si="31"/>
        <v>NA</v>
      </c>
      <c r="R139" s="10" t="s">
        <v>1575</v>
      </c>
      <c r="S139" s="10" t="s">
        <v>1575</v>
      </c>
      <c r="T139" s="10" t="s">
        <v>1575</v>
      </c>
      <c r="U139" s="10" t="s">
        <v>1575</v>
      </c>
      <c r="V139" s="10" t="s">
        <v>1575</v>
      </c>
      <c r="W139" s="10" t="s">
        <v>1575</v>
      </c>
      <c r="X139" s="10" t="str">
        <f t="shared" si="32"/>
        <v>NA</v>
      </c>
      <c r="Y139" s="10" t="str">
        <f t="shared" si="33"/>
        <v>NA</v>
      </c>
      <c r="Z139" s="10" t="str">
        <f t="shared" si="34"/>
        <v>NA</v>
      </c>
      <c r="AA139" s="10" t="str">
        <f t="shared" si="35"/>
        <v>NA</v>
      </c>
      <c r="AB139" s="10" t="str">
        <f t="shared" si="36"/>
        <v>NA</v>
      </c>
      <c r="AC139" s="10" t="str">
        <f t="shared" si="37"/>
        <v>NA</v>
      </c>
      <c r="AD139" s="10" t="str">
        <f t="shared" si="38"/>
        <v>NA</v>
      </c>
      <c r="AE139" s="10" t="str">
        <f t="shared" si="39"/>
        <v>NA</v>
      </c>
      <c r="AF139" s="1" t="s">
        <v>746</v>
      </c>
    </row>
    <row r="140" spans="1:32" x14ac:dyDescent="0.2">
      <c r="A140" s="1" t="s">
        <v>5392</v>
      </c>
      <c r="B140" s="1" t="s">
        <v>5</v>
      </c>
      <c r="C140" s="1" t="s">
        <v>1575</v>
      </c>
      <c r="D140" s="1" t="s">
        <v>1578</v>
      </c>
      <c r="E140" s="1" t="s">
        <v>1579</v>
      </c>
      <c r="F140" s="1" t="s">
        <v>429</v>
      </c>
      <c r="G140" s="6" t="s">
        <v>174</v>
      </c>
      <c r="H140" s="28">
        <v>43524</v>
      </c>
      <c r="I140" s="29">
        <f t="shared" si="28"/>
        <v>2019</v>
      </c>
      <c r="J140" s="1" t="s">
        <v>2168</v>
      </c>
      <c r="K140" s="1" t="s">
        <v>7</v>
      </c>
      <c r="L140" s="11" t="str">
        <f t="shared" si="29"/>
        <v>НЕТ</v>
      </c>
      <c r="M140" s="10" t="s">
        <v>1575</v>
      </c>
      <c r="N140" s="10" t="s">
        <v>1575</v>
      </c>
      <c r="O140" s="10">
        <v>11.5</v>
      </c>
      <c r="P140" s="10" t="str">
        <f t="shared" si="30"/>
        <v>NA</v>
      </c>
      <c r="Q140" s="10" t="str">
        <f t="shared" si="31"/>
        <v>NA</v>
      </c>
      <c r="R140" s="10">
        <v>32.700000000000003</v>
      </c>
      <c r="S140" s="10" t="s">
        <v>1575</v>
      </c>
      <c r="T140" s="10" t="s">
        <v>1575</v>
      </c>
      <c r="U140" s="10">
        <v>-0.1</v>
      </c>
      <c r="V140" s="10">
        <v>25.4</v>
      </c>
      <c r="W140" s="10" t="s">
        <v>1575</v>
      </c>
      <c r="X140" s="10" t="str">
        <f t="shared" si="32"/>
        <v>NA</v>
      </c>
      <c r="Y140" s="10" t="str">
        <f t="shared" si="33"/>
        <v>NA</v>
      </c>
      <c r="Z140" s="10" t="str">
        <f t="shared" si="34"/>
        <v>NA</v>
      </c>
      <c r="AA140" s="10" t="str">
        <f t="shared" si="35"/>
        <v>NA</v>
      </c>
      <c r="AB140" s="10" t="str">
        <f t="shared" si="36"/>
        <v>NA</v>
      </c>
      <c r="AC140" s="10" t="str">
        <f t="shared" si="37"/>
        <v>NA</v>
      </c>
      <c r="AD140" s="10" t="str">
        <f t="shared" si="38"/>
        <v>NA</v>
      </c>
      <c r="AE140" s="10" t="str">
        <f t="shared" si="39"/>
        <v>NA</v>
      </c>
      <c r="AF140" s="1" t="s">
        <v>744</v>
      </c>
    </row>
    <row r="141" spans="1:32" x14ac:dyDescent="0.2">
      <c r="A141" s="1" t="s">
        <v>5393</v>
      </c>
      <c r="B141" s="1" t="s">
        <v>5</v>
      </c>
      <c r="C141" s="1" t="s">
        <v>1575</v>
      </c>
      <c r="D141" s="1" t="s">
        <v>1578</v>
      </c>
      <c r="E141" s="1" t="s">
        <v>1579</v>
      </c>
      <c r="F141" s="1" t="s">
        <v>743</v>
      </c>
      <c r="G141" s="4">
        <v>0.7</v>
      </c>
      <c r="H141" s="28">
        <v>43708</v>
      </c>
      <c r="I141" s="29">
        <f t="shared" si="28"/>
        <v>2019</v>
      </c>
      <c r="J141" s="1" t="s">
        <v>2168</v>
      </c>
      <c r="K141" s="1" t="s">
        <v>7</v>
      </c>
      <c r="L141" s="11" t="str">
        <f t="shared" si="29"/>
        <v>НЕТ</v>
      </c>
      <c r="M141" s="10" t="s">
        <v>1575</v>
      </c>
      <c r="N141" s="10" t="s">
        <v>1575</v>
      </c>
      <c r="O141" s="10">
        <v>1</v>
      </c>
      <c r="P141" s="10">
        <f t="shared" si="30"/>
        <v>1.4285714285714286</v>
      </c>
      <c r="Q141" s="10" t="str">
        <f t="shared" si="31"/>
        <v>NA</v>
      </c>
      <c r="R141" s="10" t="s">
        <v>1575</v>
      </c>
      <c r="S141" s="10" t="s">
        <v>1575</v>
      </c>
      <c r="T141" s="10" t="s">
        <v>1575</v>
      </c>
      <c r="U141" s="10" t="s">
        <v>1575</v>
      </c>
      <c r="V141" s="10">
        <f>1-1.1</f>
        <v>-0.10000000000000009</v>
      </c>
      <c r="W141" s="10" t="s">
        <v>1575</v>
      </c>
      <c r="X141" s="10" t="str">
        <f t="shared" si="32"/>
        <v>NA</v>
      </c>
      <c r="Y141" s="10" t="str">
        <f t="shared" si="33"/>
        <v>NA</v>
      </c>
      <c r="Z141" s="10" t="str">
        <f t="shared" si="34"/>
        <v>NA</v>
      </c>
      <c r="AA141" s="10">
        <f t="shared" si="35"/>
        <v>-14.285714285714274</v>
      </c>
      <c r="AB141" s="10" t="str">
        <f t="shared" si="36"/>
        <v>NA</v>
      </c>
      <c r="AC141" s="10" t="str">
        <f t="shared" si="37"/>
        <v>NA</v>
      </c>
      <c r="AD141" s="10" t="str">
        <f t="shared" si="38"/>
        <v>NA</v>
      </c>
      <c r="AE141" s="10" t="str">
        <f t="shared" si="39"/>
        <v>NA</v>
      </c>
      <c r="AF141" s="1" t="s">
        <v>742</v>
      </c>
    </row>
    <row r="142" spans="1:32" x14ac:dyDescent="0.2">
      <c r="A142" s="1" t="s">
        <v>5378</v>
      </c>
      <c r="B142" s="1" t="s">
        <v>5</v>
      </c>
      <c r="C142" s="1" t="s">
        <v>2177</v>
      </c>
      <c r="D142" s="1" t="s">
        <v>1615</v>
      </c>
      <c r="E142" s="1" t="s">
        <v>1616</v>
      </c>
      <c r="F142" s="1" t="s">
        <v>2203</v>
      </c>
      <c r="G142" s="4">
        <f>35.36%-29.9%</f>
        <v>5.4599999999999982E-2</v>
      </c>
      <c r="H142" s="28">
        <v>43646</v>
      </c>
      <c r="I142" s="29">
        <f t="shared" si="28"/>
        <v>2019</v>
      </c>
      <c r="J142" s="1" t="s">
        <v>2168</v>
      </c>
      <c r="K142" s="1" t="s">
        <v>7</v>
      </c>
      <c r="L142" s="11" t="str">
        <f t="shared" si="29"/>
        <v>НЕТ</v>
      </c>
      <c r="M142" s="10" t="s">
        <v>1575</v>
      </c>
      <c r="N142" s="10" t="s">
        <v>1575</v>
      </c>
      <c r="O142" s="10">
        <f>5.7-4.9</f>
        <v>0.79999999999999982</v>
      </c>
      <c r="P142" s="10">
        <f t="shared" si="30"/>
        <v>14.652014652014653</v>
      </c>
      <c r="Q142" s="10">
        <f t="shared" si="31"/>
        <v>17.794476652014655</v>
      </c>
      <c r="R142" s="10">
        <v>13.59686</v>
      </c>
      <c r="S142" s="10">
        <v>4.5406309999999994</v>
      </c>
      <c r="T142" s="10">
        <v>4.3246599999999997</v>
      </c>
      <c r="U142" s="10">
        <v>3.398129</v>
      </c>
      <c r="V142" s="10">
        <v>6.3024979999999999</v>
      </c>
      <c r="W142" s="10">
        <v>3.1424620000000005</v>
      </c>
      <c r="X142" s="10">
        <f t="shared" si="32"/>
        <v>9.44496</v>
      </c>
      <c r="Y142" s="10">
        <f t="shared" si="33"/>
        <v>1.0776028180046462</v>
      </c>
      <c r="Z142" s="10">
        <f t="shared" si="34"/>
        <v>4.311788826149523</v>
      </c>
      <c r="AA142" s="10">
        <f t="shared" si="35"/>
        <v>2.3247948118372515</v>
      </c>
      <c r="AB142" s="10">
        <f t="shared" si="36"/>
        <v>1.3087195611350455</v>
      </c>
      <c r="AC142" s="10">
        <f t="shared" si="37"/>
        <v>3.9189435679786921</v>
      </c>
      <c r="AD142" s="10">
        <f t="shared" si="38"/>
        <v>4.1146533258139728</v>
      </c>
      <c r="AE142" s="10">
        <f t="shared" si="39"/>
        <v>1.8840182120426825</v>
      </c>
      <c r="AF142" s="1" t="s">
        <v>745</v>
      </c>
    </row>
    <row r="143" spans="1:32" x14ac:dyDescent="0.2">
      <c r="A143" s="1" t="s">
        <v>5394</v>
      </c>
      <c r="B143" s="1" t="s">
        <v>5</v>
      </c>
      <c r="C143" s="1" t="s">
        <v>1575</v>
      </c>
      <c r="D143" s="1" t="s">
        <v>1615</v>
      </c>
      <c r="E143" s="1" t="s">
        <v>1616</v>
      </c>
      <c r="F143" s="1" t="s">
        <v>740</v>
      </c>
      <c r="G143" s="4">
        <v>0.99990000000000001</v>
      </c>
      <c r="H143" s="28">
        <v>43616</v>
      </c>
      <c r="I143" s="29">
        <f t="shared" si="28"/>
        <v>2019</v>
      </c>
      <c r="J143" s="1" t="s">
        <v>2168</v>
      </c>
      <c r="K143" s="1" t="s">
        <v>7</v>
      </c>
      <c r="L143" s="11" t="str">
        <f t="shared" si="29"/>
        <v>НЕТ</v>
      </c>
      <c r="M143" s="10" t="s">
        <v>1575</v>
      </c>
      <c r="N143" s="10" t="s">
        <v>1575</v>
      </c>
      <c r="O143" s="10">
        <v>35.799999999999997</v>
      </c>
      <c r="P143" s="10">
        <f t="shared" si="30"/>
        <v>35.803580358035802</v>
      </c>
      <c r="Q143" s="10" t="str">
        <f t="shared" si="31"/>
        <v>NA</v>
      </c>
      <c r="R143" s="10" t="s">
        <v>1575</v>
      </c>
      <c r="S143" s="10" t="s">
        <v>1575</v>
      </c>
      <c r="T143" s="10" t="s">
        <v>1575</v>
      </c>
      <c r="U143" s="10" t="s">
        <v>1575</v>
      </c>
      <c r="V143" s="10">
        <f>35.8-21.9</f>
        <v>13.899999999999999</v>
      </c>
      <c r="W143" s="10" t="s">
        <v>1575</v>
      </c>
      <c r="X143" s="10" t="str">
        <f t="shared" si="32"/>
        <v>NA</v>
      </c>
      <c r="Y143" s="10" t="str">
        <f t="shared" si="33"/>
        <v>NA</v>
      </c>
      <c r="Z143" s="10" t="str">
        <f t="shared" si="34"/>
        <v>NA</v>
      </c>
      <c r="AA143" s="10">
        <f t="shared" si="35"/>
        <v>2.57579714806013</v>
      </c>
      <c r="AB143" s="10" t="str">
        <f t="shared" si="36"/>
        <v>NA</v>
      </c>
      <c r="AC143" s="10" t="str">
        <f t="shared" si="37"/>
        <v>NA</v>
      </c>
      <c r="AD143" s="10" t="str">
        <f t="shared" si="38"/>
        <v>NA</v>
      </c>
      <c r="AE143" s="10" t="str">
        <f t="shared" si="39"/>
        <v>NA</v>
      </c>
      <c r="AF143" s="1" t="s">
        <v>741</v>
      </c>
    </row>
    <row r="144" spans="1:32" x14ac:dyDescent="0.2">
      <c r="A144" s="1" t="s">
        <v>5367</v>
      </c>
      <c r="B144" s="1" t="s">
        <v>5</v>
      </c>
      <c r="C144" s="1" t="s">
        <v>1575</v>
      </c>
      <c r="D144" s="1" t="s">
        <v>1582</v>
      </c>
      <c r="E144" s="1" t="s">
        <v>1583</v>
      </c>
      <c r="F144" s="1" t="s">
        <v>406</v>
      </c>
      <c r="G144" s="4">
        <v>0.99996099999999999</v>
      </c>
      <c r="H144" s="28">
        <v>43585</v>
      </c>
      <c r="I144" s="29">
        <f t="shared" si="28"/>
        <v>2019</v>
      </c>
      <c r="J144" s="1" t="s">
        <v>2168</v>
      </c>
      <c r="K144" s="1" t="s">
        <v>7</v>
      </c>
      <c r="L144" s="11" t="str">
        <f t="shared" si="29"/>
        <v>НЕТ</v>
      </c>
      <c r="M144" s="10" t="s">
        <v>1575</v>
      </c>
      <c r="N144" s="10" t="s">
        <v>1575</v>
      </c>
      <c r="O144" s="10">
        <v>1.0000000000000001E-9</v>
      </c>
      <c r="P144" s="10">
        <f t="shared" si="30"/>
        <v>1.0000390015210593E-9</v>
      </c>
      <c r="Q144" s="10" t="str">
        <f t="shared" si="31"/>
        <v>NA</v>
      </c>
      <c r="R144" s="10" t="s">
        <v>1575</v>
      </c>
      <c r="S144" s="10" t="s">
        <v>1575</v>
      </c>
      <c r="T144" s="10" t="s">
        <v>1575</v>
      </c>
      <c r="U144" s="10" t="s">
        <v>1575</v>
      </c>
      <c r="V144" s="10">
        <f>2.3-2.3</f>
        <v>0</v>
      </c>
      <c r="W144" s="10" t="s">
        <v>1575</v>
      </c>
      <c r="X144" s="10" t="str">
        <f t="shared" si="32"/>
        <v>NA</v>
      </c>
      <c r="Y144" s="10" t="str">
        <f t="shared" si="33"/>
        <v>NA</v>
      </c>
      <c r="Z144" s="10" t="str">
        <f t="shared" si="34"/>
        <v>NA</v>
      </c>
      <c r="AA144" s="10" t="str">
        <f t="shared" si="35"/>
        <v>NA</v>
      </c>
      <c r="AB144" s="10" t="str">
        <f t="shared" si="36"/>
        <v>NA</v>
      </c>
      <c r="AC144" s="10" t="str">
        <f t="shared" si="37"/>
        <v>NA</v>
      </c>
      <c r="AD144" s="10" t="str">
        <f t="shared" si="38"/>
        <v>NA</v>
      </c>
      <c r="AE144" s="10" t="str">
        <f t="shared" si="39"/>
        <v>NA</v>
      </c>
      <c r="AF144" s="1" t="s">
        <v>739</v>
      </c>
    </row>
    <row r="145" spans="1:32" x14ac:dyDescent="0.2">
      <c r="A145" s="1" t="s">
        <v>5387</v>
      </c>
      <c r="B145" s="1" t="s">
        <v>5</v>
      </c>
      <c r="C145" s="1" t="s">
        <v>2175</v>
      </c>
      <c r="D145" s="1" t="s">
        <v>1580</v>
      </c>
      <c r="E145" s="1" t="s">
        <v>1694</v>
      </c>
      <c r="F145" s="1" t="s">
        <v>68</v>
      </c>
      <c r="G145" s="4">
        <f>100%-85%</f>
        <v>0.15000000000000002</v>
      </c>
      <c r="H145" s="28">
        <v>43616</v>
      </c>
      <c r="I145" s="29">
        <f t="shared" si="28"/>
        <v>2019</v>
      </c>
      <c r="J145" s="1" t="s">
        <v>2168</v>
      </c>
      <c r="K145" s="1" t="s">
        <v>7</v>
      </c>
      <c r="L145" s="11" t="str">
        <f t="shared" si="29"/>
        <v>НЕТ</v>
      </c>
      <c r="M145" s="10" t="s">
        <v>1575</v>
      </c>
      <c r="N145" s="10" t="s">
        <v>1575</v>
      </c>
      <c r="O145" s="10">
        <f>1.3+0.4</f>
        <v>1.7000000000000002</v>
      </c>
      <c r="P145" s="10">
        <f t="shared" si="30"/>
        <v>11.333333333333332</v>
      </c>
      <c r="Q145" s="10" t="str">
        <f t="shared" si="31"/>
        <v>NA</v>
      </c>
      <c r="R145" s="10" t="s">
        <v>1575</v>
      </c>
      <c r="S145" s="10" t="s">
        <v>1575</v>
      </c>
      <c r="T145" s="10" t="s">
        <v>1575</v>
      </c>
      <c r="U145" s="10">
        <v>0.5</v>
      </c>
      <c r="V145" s="10">
        <v>7.7</v>
      </c>
      <c r="W145" s="10" t="s">
        <v>1575</v>
      </c>
      <c r="X145" s="10" t="str">
        <f t="shared" si="32"/>
        <v>NA</v>
      </c>
      <c r="Y145" s="10" t="str">
        <f t="shared" si="33"/>
        <v>NA</v>
      </c>
      <c r="Z145" s="10">
        <f t="shared" si="34"/>
        <v>22.666666666666664</v>
      </c>
      <c r="AA145" s="10">
        <f t="shared" si="35"/>
        <v>1.4718614718614718</v>
      </c>
      <c r="AB145" s="10" t="str">
        <f t="shared" si="36"/>
        <v>NA</v>
      </c>
      <c r="AC145" s="10" t="str">
        <f t="shared" si="37"/>
        <v>NA</v>
      </c>
      <c r="AD145" s="10" t="str">
        <f t="shared" si="38"/>
        <v>NA</v>
      </c>
      <c r="AE145" s="10" t="str">
        <f t="shared" si="39"/>
        <v>NA</v>
      </c>
      <c r="AF145" s="1" t="s">
        <v>738</v>
      </c>
    </row>
    <row r="146" spans="1:32" x14ac:dyDescent="0.2">
      <c r="A146" s="1" t="s">
        <v>5395</v>
      </c>
      <c r="B146" s="1" t="s">
        <v>5</v>
      </c>
      <c r="C146" s="1" t="s">
        <v>1575</v>
      </c>
      <c r="D146" s="1" t="s">
        <v>1580</v>
      </c>
      <c r="E146" s="1" t="s">
        <v>1590</v>
      </c>
      <c r="F146" s="1" t="s">
        <v>664</v>
      </c>
      <c r="G146" s="4" t="s">
        <v>11</v>
      </c>
      <c r="H146" s="28">
        <v>43524</v>
      </c>
      <c r="I146" s="29">
        <f t="shared" si="28"/>
        <v>2019</v>
      </c>
      <c r="J146" s="1" t="s">
        <v>2168</v>
      </c>
      <c r="K146" s="1" t="s">
        <v>7</v>
      </c>
      <c r="L146" s="11" t="str">
        <f t="shared" si="29"/>
        <v>НЕТ</v>
      </c>
      <c r="M146" s="10" t="s">
        <v>1575</v>
      </c>
      <c r="N146" s="10" t="s">
        <v>1575</v>
      </c>
      <c r="O146" s="10">
        <v>0.4</v>
      </c>
      <c r="P146" s="10" t="str">
        <f t="shared" si="30"/>
        <v>NA</v>
      </c>
      <c r="Q146" s="10" t="str">
        <f t="shared" si="31"/>
        <v>NA</v>
      </c>
      <c r="R146" s="10" t="s">
        <v>1575</v>
      </c>
      <c r="S146" s="10" t="s">
        <v>1575</v>
      </c>
      <c r="T146" s="10" t="s">
        <v>1575</v>
      </c>
      <c r="U146" s="10">
        <v>0.3</v>
      </c>
      <c r="V146" s="10">
        <v>1.2</v>
      </c>
      <c r="W146" s="10" t="s">
        <v>1575</v>
      </c>
      <c r="X146" s="10" t="str">
        <f t="shared" si="32"/>
        <v>NA</v>
      </c>
      <c r="Y146" s="10" t="str">
        <f t="shared" si="33"/>
        <v>NA</v>
      </c>
      <c r="Z146" s="10" t="str">
        <f t="shared" si="34"/>
        <v>NA</v>
      </c>
      <c r="AA146" s="10" t="str">
        <f t="shared" si="35"/>
        <v>NA</v>
      </c>
      <c r="AB146" s="10" t="str">
        <f t="shared" si="36"/>
        <v>NA</v>
      </c>
      <c r="AC146" s="10" t="str">
        <f t="shared" si="37"/>
        <v>NA</v>
      </c>
      <c r="AD146" s="10" t="str">
        <f t="shared" si="38"/>
        <v>NA</v>
      </c>
      <c r="AE146" s="10" t="str">
        <f t="shared" si="39"/>
        <v>NA</v>
      </c>
      <c r="AF146" s="1" t="s">
        <v>737</v>
      </c>
    </row>
    <row r="147" spans="1:32" x14ac:dyDescent="0.2">
      <c r="A147" s="1" t="s">
        <v>5396</v>
      </c>
      <c r="B147" s="1" t="s">
        <v>5</v>
      </c>
      <c r="C147" s="1" t="s">
        <v>1575</v>
      </c>
      <c r="D147" s="1" t="s">
        <v>1580</v>
      </c>
      <c r="E147" s="1" t="s">
        <v>1694</v>
      </c>
      <c r="F147" s="1" t="s">
        <v>68</v>
      </c>
      <c r="G147" s="4">
        <v>1</v>
      </c>
      <c r="H147" s="28">
        <v>43496</v>
      </c>
      <c r="I147" s="29">
        <f t="shared" si="28"/>
        <v>2019</v>
      </c>
      <c r="J147" s="1" t="s">
        <v>2168</v>
      </c>
      <c r="K147" s="1" t="s">
        <v>7</v>
      </c>
      <c r="L147" s="11" t="str">
        <f t="shared" si="29"/>
        <v>НЕТ</v>
      </c>
      <c r="M147" s="10" t="s">
        <v>1575</v>
      </c>
      <c r="N147" s="10" t="s">
        <v>1575</v>
      </c>
      <c r="O147" s="10">
        <v>5</v>
      </c>
      <c r="P147" s="10">
        <f t="shared" si="30"/>
        <v>5</v>
      </c>
      <c r="Q147" s="10" t="str">
        <f t="shared" si="31"/>
        <v>NA</v>
      </c>
      <c r="R147" s="10" t="s">
        <v>1575</v>
      </c>
      <c r="S147" s="10" t="s">
        <v>1575</v>
      </c>
      <c r="T147" s="10" t="s">
        <v>1575</v>
      </c>
      <c r="U147" s="10">
        <v>1.7</v>
      </c>
      <c r="V147" s="10">
        <v>13.8</v>
      </c>
      <c r="W147" s="10" t="s">
        <v>1575</v>
      </c>
      <c r="X147" s="10" t="str">
        <f t="shared" si="32"/>
        <v>NA</v>
      </c>
      <c r="Y147" s="10" t="str">
        <f t="shared" si="33"/>
        <v>NA</v>
      </c>
      <c r="Z147" s="10">
        <f t="shared" si="34"/>
        <v>2.9411764705882355</v>
      </c>
      <c r="AA147" s="10">
        <f t="shared" si="35"/>
        <v>0.36231884057971014</v>
      </c>
      <c r="AB147" s="10" t="str">
        <f t="shared" si="36"/>
        <v>NA</v>
      </c>
      <c r="AC147" s="10" t="str">
        <f t="shared" si="37"/>
        <v>NA</v>
      </c>
      <c r="AD147" s="10" t="str">
        <f t="shared" si="38"/>
        <v>NA</v>
      </c>
      <c r="AE147" s="10" t="str">
        <f t="shared" si="39"/>
        <v>NA</v>
      </c>
      <c r="AF147" s="1" t="s">
        <v>2202</v>
      </c>
    </row>
    <row r="148" spans="1:32" x14ac:dyDescent="0.2">
      <c r="A148" s="1" t="s">
        <v>5397</v>
      </c>
      <c r="B148" s="1" t="s">
        <v>5</v>
      </c>
      <c r="C148" s="1" t="s">
        <v>1575</v>
      </c>
      <c r="D148" s="1" t="s">
        <v>1580</v>
      </c>
      <c r="E148" s="1" t="s">
        <v>1694</v>
      </c>
      <c r="F148" s="1" t="s">
        <v>68</v>
      </c>
      <c r="G148" s="4">
        <f>84.4%-81.1%</f>
        <v>3.300000000000014E-2</v>
      </c>
      <c r="H148" s="28">
        <v>43616</v>
      </c>
      <c r="I148" s="29">
        <f t="shared" si="28"/>
        <v>2019</v>
      </c>
      <c r="J148" s="1" t="s">
        <v>2168</v>
      </c>
      <c r="K148" s="1" t="s">
        <v>7</v>
      </c>
      <c r="L148" s="11" t="str">
        <f t="shared" si="29"/>
        <v>НЕТ</v>
      </c>
      <c r="M148" s="10" t="s">
        <v>1575</v>
      </c>
      <c r="N148" s="10" t="s">
        <v>1575</v>
      </c>
      <c r="O148" s="10">
        <v>0.3</v>
      </c>
      <c r="P148" s="10">
        <f t="shared" si="30"/>
        <v>9.0909090909090526</v>
      </c>
      <c r="Q148" s="10" t="str">
        <f t="shared" si="31"/>
        <v>NA</v>
      </c>
      <c r="R148" s="10" t="s">
        <v>1575</v>
      </c>
      <c r="S148" s="10" t="s">
        <v>1575</v>
      </c>
      <c r="T148" s="10" t="s">
        <v>1575</v>
      </c>
      <c r="U148" s="10">
        <v>0.7</v>
      </c>
      <c r="V148" s="10">
        <v>7.3</v>
      </c>
      <c r="W148" s="10" t="s">
        <v>1575</v>
      </c>
      <c r="X148" s="10" t="str">
        <f t="shared" si="32"/>
        <v>NA</v>
      </c>
      <c r="Y148" s="10" t="str">
        <f t="shared" si="33"/>
        <v>NA</v>
      </c>
      <c r="Z148" s="10">
        <f t="shared" si="34"/>
        <v>12.987012987012934</v>
      </c>
      <c r="AA148" s="10">
        <f t="shared" si="35"/>
        <v>1.2453300124532949</v>
      </c>
      <c r="AB148" s="10" t="str">
        <f t="shared" si="36"/>
        <v>NA</v>
      </c>
      <c r="AC148" s="10" t="str">
        <f t="shared" si="37"/>
        <v>NA</v>
      </c>
      <c r="AD148" s="10" t="str">
        <f t="shared" si="38"/>
        <v>NA</v>
      </c>
      <c r="AE148" s="10" t="str">
        <f t="shared" si="39"/>
        <v>NA</v>
      </c>
      <c r="AF148" s="1" t="s">
        <v>732</v>
      </c>
    </row>
    <row r="149" spans="1:32" x14ac:dyDescent="0.2">
      <c r="A149" s="1" t="s">
        <v>5397</v>
      </c>
      <c r="B149" s="1" t="s">
        <v>5</v>
      </c>
      <c r="C149" s="1" t="s">
        <v>1575</v>
      </c>
      <c r="D149" s="1" t="s">
        <v>1580</v>
      </c>
      <c r="E149" s="1" t="s">
        <v>1694</v>
      </c>
      <c r="F149" s="1" t="s">
        <v>68</v>
      </c>
      <c r="G149" s="4">
        <v>0.81100000000000005</v>
      </c>
      <c r="H149" s="28">
        <v>43496</v>
      </c>
      <c r="I149" s="29">
        <f t="shared" si="28"/>
        <v>2019</v>
      </c>
      <c r="J149" s="1" t="s">
        <v>2168</v>
      </c>
      <c r="K149" s="1" t="s">
        <v>7</v>
      </c>
      <c r="L149" s="11" t="str">
        <f t="shared" si="29"/>
        <v>НЕТ</v>
      </c>
      <c r="M149" s="10" t="s">
        <v>1575</v>
      </c>
      <c r="N149" s="10" t="s">
        <v>1575</v>
      </c>
      <c r="O149" s="10">
        <v>7</v>
      </c>
      <c r="P149" s="10">
        <f t="shared" si="30"/>
        <v>8.6313193588162758</v>
      </c>
      <c r="Q149" s="10" t="str">
        <f t="shared" si="31"/>
        <v>NA</v>
      </c>
      <c r="R149" s="10" t="s">
        <v>1575</v>
      </c>
      <c r="S149" s="10" t="s">
        <v>1575</v>
      </c>
      <c r="T149" s="10" t="s">
        <v>1575</v>
      </c>
      <c r="U149" s="10">
        <v>0.7</v>
      </c>
      <c r="V149" s="10">
        <v>7.3</v>
      </c>
      <c r="W149" s="10" t="s">
        <v>1575</v>
      </c>
      <c r="X149" s="10" t="str">
        <f t="shared" si="32"/>
        <v>NA</v>
      </c>
      <c r="Y149" s="10" t="str">
        <f t="shared" si="33"/>
        <v>NA</v>
      </c>
      <c r="Z149" s="10">
        <f t="shared" si="34"/>
        <v>12.330456226880395</v>
      </c>
      <c r="AA149" s="10">
        <f t="shared" si="35"/>
        <v>1.1823725149063391</v>
      </c>
      <c r="AB149" s="10" t="str">
        <f t="shared" si="36"/>
        <v>NA</v>
      </c>
      <c r="AC149" s="10" t="str">
        <f t="shared" si="37"/>
        <v>NA</v>
      </c>
      <c r="AD149" s="10" t="str">
        <f t="shared" si="38"/>
        <v>NA</v>
      </c>
      <c r="AE149" s="10" t="str">
        <f t="shared" si="39"/>
        <v>NA</v>
      </c>
      <c r="AF149" s="1" t="s">
        <v>731</v>
      </c>
    </row>
    <row r="150" spans="1:32" x14ac:dyDescent="0.2">
      <c r="A150" s="1" t="s">
        <v>5376</v>
      </c>
      <c r="B150" s="1" t="s">
        <v>5</v>
      </c>
      <c r="C150" s="1" t="s">
        <v>1575</v>
      </c>
      <c r="D150" s="1" t="s">
        <v>1580</v>
      </c>
      <c r="E150" s="1" t="s">
        <v>1694</v>
      </c>
      <c r="F150" s="1" t="s">
        <v>68</v>
      </c>
      <c r="G150" s="4" t="s">
        <v>1575</v>
      </c>
      <c r="H150" s="28">
        <v>44104</v>
      </c>
      <c r="I150" s="29">
        <f t="shared" si="28"/>
        <v>2020</v>
      </c>
      <c r="J150" s="1" t="s">
        <v>2168</v>
      </c>
      <c r="K150" s="1" t="s">
        <v>7</v>
      </c>
      <c r="L150" s="11" t="str">
        <f t="shared" si="29"/>
        <v>НЕТ</v>
      </c>
      <c r="M150" s="10" t="s">
        <v>1575</v>
      </c>
      <c r="N150" s="10" t="s">
        <v>1575</v>
      </c>
      <c r="O150" s="10">
        <v>5</v>
      </c>
      <c r="P150" s="10" t="str">
        <f t="shared" si="30"/>
        <v>NA</v>
      </c>
      <c r="Q150" s="10" t="str">
        <f t="shared" si="31"/>
        <v>NA</v>
      </c>
      <c r="R150" s="10" t="s">
        <v>1575</v>
      </c>
      <c r="S150" s="10" t="s">
        <v>1575</v>
      </c>
      <c r="T150" s="10" t="s">
        <v>1575</v>
      </c>
      <c r="U150" s="10">
        <v>5.7</v>
      </c>
      <c r="V150" s="10">
        <v>49.8</v>
      </c>
      <c r="W150" s="10" t="s">
        <v>1575</v>
      </c>
      <c r="X150" s="10" t="str">
        <f t="shared" si="32"/>
        <v>NA</v>
      </c>
      <c r="Y150" s="10" t="str">
        <f t="shared" si="33"/>
        <v>NA</v>
      </c>
      <c r="Z150" s="10" t="str">
        <f t="shared" si="34"/>
        <v>NA</v>
      </c>
      <c r="AA150" s="10" t="str">
        <f t="shared" si="35"/>
        <v>NA</v>
      </c>
      <c r="AB150" s="10" t="str">
        <f t="shared" si="36"/>
        <v>NA</v>
      </c>
      <c r="AC150" s="10" t="str">
        <f t="shared" si="37"/>
        <v>NA</v>
      </c>
      <c r="AD150" s="10" t="str">
        <f t="shared" si="38"/>
        <v>NA</v>
      </c>
      <c r="AE150" s="10" t="str">
        <f t="shared" si="39"/>
        <v>NA</v>
      </c>
      <c r="AF150" s="1" t="s">
        <v>729</v>
      </c>
    </row>
    <row r="151" spans="1:32" x14ac:dyDescent="0.2">
      <c r="A151" s="1" t="s">
        <v>714</v>
      </c>
      <c r="B151" s="1" t="s">
        <v>5</v>
      </c>
      <c r="C151" s="1" t="s">
        <v>1575</v>
      </c>
      <c r="D151" s="1" t="s">
        <v>1582</v>
      </c>
      <c r="E151" s="1" t="s">
        <v>2174</v>
      </c>
      <c r="F151" s="1" t="s">
        <v>715</v>
      </c>
      <c r="G151" s="4">
        <v>0.15</v>
      </c>
      <c r="H151" s="28">
        <v>44042</v>
      </c>
      <c r="I151" s="29">
        <f t="shared" si="28"/>
        <v>2020</v>
      </c>
      <c r="J151" s="1" t="s">
        <v>2168</v>
      </c>
      <c r="K151" s="1" t="s">
        <v>7</v>
      </c>
      <c r="L151" s="11" t="str">
        <f t="shared" si="29"/>
        <v>НЕТ</v>
      </c>
      <c r="M151" s="10" t="s">
        <v>1575</v>
      </c>
      <c r="N151" s="10" t="s">
        <v>1575</v>
      </c>
      <c r="O151" s="10">
        <v>2.8</v>
      </c>
      <c r="P151" s="10">
        <f t="shared" si="30"/>
        <v>18.666666666666668</v>
      </c>
      <c r="Q151" s="10" t="str">
        <f t="shared" si="31"/>
        <v>NA</v>
      </c>
      <c r="R151" s="10" t="s">
        <v>1575</v>
      </c>
      <c r="S151" s="10" t="s">
        <v>1575</v>
      </c>
      <c r="T151" s="10" t="s">
        <v>1575</v>
      </c>
      <c r="U151" s="10" t="s">
        <v>1575</v>
      </c>
      <c r="V151" s="10" t="s">
        <v>1575</v>
      </c>
      <c r="W151" s="10" t="s">
        <v>1575</v>
      </c>
      <c r="X151" s="10" t="str">
        <f t="shared" si="32"/>
        <v>NA</v>
      </c>
      <c r="Y151" s="10" t="str">
        <f t="shared" si="33"/>
        <v>NA</v>
      </c>
      <c r="Z151" s="10" t="str">
        <f t="shared" si="34"/>
        <v>NA</v>
      </c>
      <c r="AA151" s="10" t="str">
        <f t="shared" si="35"/>
        <v>NA</v>
      </c>
      <c r="AB151" s="10" t="str">
        <f t="shared" si="36"/>
        <v>NA</v>
      </c>
      <c r="AC151" s="10" t="str">
        <f t="shared" si="37"/>
        <v>NA</v>
      </c>
      <c r="AD151" s="10" t="str">
        <f t="shared" si="38"/>
        <v>NA</v>
      </c>
      <c r="AE151" s="10" t="str">
        <f t="shared" si="39"/>
        <v>NA</v>
      </c>
      <c r="AF151" s="1" t="s">
        <v>730</v>
      </c>
    </row>
    <row r="152" spans="1:32" x14ac:dyDescent="0.2">
      <c r="A152" s="1" t="s">
        <v>733</v>
      </c>
      <c r="B152" s="1" t="s">
        <v>5</v>
      </c>
      <c r="C152" s="1" t="s">
        <v>1575</v>
      </c>
      <c r="D152" s="1" t="s">
        <v>1584</v>
      </c>
      <c r="E152" s="1" t="s">
        <v>3496</v>
      </c>
      <c r="F152" s="1" t="s">
        <v>734</v>
      </c>
      <c r="G152" s="4" t="s">
        <v>11</v>
      </c>
      <c r="H152" s="28">
        <v>44135</v>
      </c>
      <c r="I152" s="29">
        <f t="shared" si="28"/>
        <v>2020</v>
      </c>
      <c r="J152" s="1" t="s">
        <v>2168</v>
      </c>
      <c r="K152" s="1" t="s">
        <v>7</v>
      </c>
      <c r="L152" s="11" t="str">
        <f t="shared" si="29"/>
        <v>НЕТ</v>
      </c>
      <c r="M152" s="10" t="s">
        <v>1575</v>
      </c>
      <c r="N152" s="10" t="s">
        <v>1575</v>
      </c>
      <c r="O152" s="10">
        <f>4.9+0.2</f>
        <v>5.1000000000000005</v>
      </c>
      <c r="P152" s="10" t="str">
        <f t="shared" si="30"/>
        <v>NA</v>
      </c>
      <c r="Q152" s="10" t="str">
        <f t="shared" si="31"/>
        <v>NA</v>
      </c>
      <c r="R152" s="10" t="s">
        <v>1575</v>
      </c>
      <c r="S152" s="10" t="s">
        <v>1575</v>
      </c>
      <c r="T152" s="10" t="s">
        <v>1575</v>
      </c>
      <c r="U152" s="10" t="s">
        <v>1575</v>
      </c>
      <c r="V152" s="10">
        <f>5.1-0.2</f>
        <v>4.8999999999999995</v>
      </c>
      <c r="W152" s="10" t="s">
        <v>1575</v>
      </c>
      <c r="X152" s="10" t="str">
        <f t="shared" si="32"/>
        <v>NA</v>
      </c>
      <c r="Y152" s="10" t="str">
        <f t="shared" si="33"/>
        <v>NA</v>
      </c>
      <c r="Z152" s="10" t="str">
        <f t="shared" si="34"/>
        <v>NA</v>
      </c>
      <c r="AA152" s="10" t="str">
        <f t="shared" si="35"/>
        <v>NA</v>
      </c>
      <c r="AB152" s="10" t="str">
        <f t="shared" si="36"/>
        <v>NA</v>
      </c>
      <c r="AC152" s="10" t="str">
        <f t="shared" si="37"/>
        <v>NA</v>
      </c>
      <c r="AD152" s="10" t="str">
        <f t="shared" si="38"/>
        <v>NA</v>
      </c>
      <c r="AE152" s="10" t="str">
        <f t="shared" si="39"/>
        <v>NA</v>
      </c>
      <c r="AF152" s="1" t="s">
        <v>735</v>
      </c>
    </row>
    <row r="153" spans="1:32" x14ac:dyDescent="0.2">
      <c r="A153" s="1" t="s">
        <v>2201</v>
      </c>
      <c r="B153" s="1" t="s">
        <v>1575</v>
      </c>
      <c r="C153" s="1" t="s">
        <v>1575</v>
      </c>
      <c r="D153" s="1" t="s">
        <v>1615</v>
      </c>
      <c r="E153" s="1" t="s">
        <v>1616</v>
      </c>
      <c r="F153" s="1" t="s">
        <v>740</v>
      </c>
      <c r="G153" s="4">
        <v>0.5</v>
      </c>
      <c r="H153" s="28">
        <v>43921</v>
      </c>
      <c r="I153" s="29">
        <f t="shared" si="28"/>
        <v>2020</v>
      </c>
      <c r="J153" s="1" t="s">
        <v>2168</v>
      </c>
      <c r="K153" s="1" t="s">
        <v>7</v>
      </c>
      <c r="L153" s="11" t="str">
        <f t="shared" si="29"/>
        <v>НЕТ</v>
      </c>
      <c r="M153" s="10" t="s">
        <v>1575</v>
      </c>
      <c r="N153" s="10">
        <v>61</v>
      </c>
      <c r="O153" s="10">
        <v>5.3</v>
      </c>
      <c r="P153" s="10">
        <f t="shared" si="30"/>
        <v>10.6</v>
      </c>
      <c r="Q153" s="10" t="str">
        <f t="shared" si="31"/>
        <v>NA</v>
      </c>
      <c r="R153" s="10" t="s">
        <v>1575</v>
      </c>
      <c r="S153" s="10" t="s">
        <v>1575</v>
      </c>
      <c r="T153" s="10" t="s">
        <v>1575</v>
      </c>
      <c r="U153" s="10" t="s">
        <v>1575</v>
      </c>
      <c r="V153" s="10" t="s">
        <v>1575</v>
      </c>
      <c r="W153" s="10" t="s">
        <v>1575</v>
      </c>
      <c r="X153" s="10" t="str">
        <f t="shared" si="32"/>
        <v>NA</v>
      </c>
      <c r="Y153" s="10" t="str">
        <f t="shared" si="33"/>
        <v>NA</v>
      </c>
      <c r="Z153" s="10" t="str">
        <f t="shared" si="34"/>
        <v>NA</v>
      </c>
      <c r="AA153" s="10" t="str">
        <f t="shared" si="35"/>
        <v>NA</v>
      </c>
      <c r="AB153" s="10" t="str">
        <f t="shared" si="36"/>
        <v>NA</v>
      </c>
      <c r="AC153" s="10" t="str">
        <f t="shared" si="37"/>
        <v>NA</v>
      </c>
      <c r="AD153" s="10" t="str">
        <f t="shared" si="38"/>
        <v>NA</v>
      </c>
      <c r="AE153" s="10" t="str">
        <f t="shared" si="39"/>
        <v>NA</v>
      </c>
      <c r="AF153" s="1" t="s">
        <v>728</v>
      </c>
    </row>
    <row r="154" spans="1:32" x14ac:dyDescent="0.2">
      <c r="A154" s="1" t="s">
        <v>5398</v>
      </c>
      <c r="B154" s="1" t="s">
        <v>5</v>
      </c>
      <c r="C154" s="1" t="s">
        <v>1575</v>
      </c>
      <c r="D154" s="1" t="s">
        <v>1595</v>
      </c>
      <c r="E154" s="1" t="s">
        <v>1596</v>
      </c>
      <c r="F154" s="1" t="s">
        <v>244</v>
      </c>
      <c r="G154" s="4">
        <v>0.55000000000000004</v>
      </c>
      <c r="H154" s="28">
        <v>43921</v>
      </c>
      <c r="I154" s="29">
        <f t="shared" si="28"/>
        <v>2020</v>
      </c>
      <c r="J154" s="1" t="s">
        <v>1937</v>
      </c>
      <c r="K154" s="1" t="s">
        <v>2170</v>
      </c>
      <c r="L154" s="11" t="str">
        <f t="shared" si="29"/>
        <v>НЕТ</v>
      </c>
      <c r="M154" s="10" t="s">
        <v>1575</v>
      </c>
      <c r="N154" s="10" t="s">
        <v>1575</v>
      </c>
      <c r="O154" s="10" t="s">
        <v>1575</v>
      </c>
      <c r="P154" s="10" t="str">
        <f t="shared" si="30"/>
        <v>NA</v>
      </c>
      <c r="Q154" s="10" t="str">
        <f t="shared" si="31"/>
        <v>NA</v>
      </c>
      <c r="R154" s="10" t="s">
        <v>1575</v>
      </c>
      <c r="S154" s="10" t="s">
        <v>1575</v>
      </c>
      <c r="T154" s="10" t="s">
        <v>1575</v>
      </c>
      <c r="U154" s="10" t="s">
        <v>1575</v>
      </c>
      <c r="V154" s="10" t="s">
        <v>1575</v>
      </c>
      <c r="W154" s="10" t="s">
        <v>1575</v>
      </c>
      <c r="X154" s="10" t="str">
        <f t="shared" si="32"/>
        <v>NA</v>
      </c>
      <c r="Y154" s="10" t="str">
        <f t="shared" si="33"/>
        <v>NA</v>
      </c>
      <c r="Z154" s="10" t="str">
        <f t="shared" si="34"/>
        <v>NA</v>
      </c>
      <c r="AA154" s="10" t="str">
        <f t="shared" si="35"/>
        <v>NA</v>
      </c>
      <c r="AB154" s="10" t="str">
        <f t="shared" si="36"/>
        <v>NA</v>
      </c>
      <c r="AC154" s="10" t="str">
        <f t="shared" si="37"/>
        <v>NA</v>
      </c>
      <c r="AD154" s="10" t="str">
        <f t="shared" si="38"/>
        <v>NA</v>
      </c>
      <c r="AE154" s="10" t="str">
        <f t="shared" si="39"/>
        <v>NA</v>
      </c>
      <c r="AF154" s="1" t="s">
        <v>727</v>
      </c>
    </row>
    <row r="155" spans="1:32" x14ac:dyDescent="0.2">
      <c r="A155" s="1" t="s">
        <v>5399</v>
      </c>
      <c r="B155" s="1" t="s">
        <v>5</v>
      </c>
      <c r="C155" s="1" t="s">
        <v>1575</v>
      </c>
      <c r="D155" s="1" t="s">
        <v>1584</v>
      </c>
      <c r="E155" s="1" t="s">
        <v>1586</v>
      </c>
      <c r="F155" s="1" t="s">
        <v>66</v>
      </c>
      <c r="G155" s="4">
        <f>92.3%-75%</f>
        <v>0.17299999999999993</v>
      </c>
      <c r="H155" s="28">
        <v>44196</v>
      </c>
      <c r="I155" s="29">
        <f t="shared" si="28"/>
        <v>2020</v>
      </c>
      <c r="J155" s="1" t="s">
        <v>2168</v>
      </c>
      <c r="K155" s="1" t="s">
        <v>7</v>
      </c>
      <c r="L155" s="11" t="str">
        <f t="shared" si="29"/>
        <v>НЕТ</v>
      </c>
      <c r="M155" s="10" t="s">
        <v>1575</v>
      </c>
      <c r="N155" s="10" t="s">
        <v>1575</v>
      </c>
      <c r="O155" s="10">
        <v>0.7</v>
      </c>
      <c r="P155" s="10">
        <f t="shared" si="30"/>
        <v>4.0462427745664753</v>
      </c>
      <c r="Q155" s="10" t="str">
        <f t="shared" si="31"/>
        <v>NA</v>
      </c>
      <c r="R155" s="10">
        <v>14.6</v>
      </c>
      <c r="S155" s="10" t="s">
        <v>1575</v>
      </c>
      <c r="T155" s="10" t="s">
        <v>1575</v>
      </c>
      <c r="U155" s="10">
        <v>-9.8000000000000007</v>
      </c>
      <c r="V155" s="10">
        <f>5.9+78.5-18.3-122.2</f>
        <v>-56.099999999999994</v>
      </c>
      <c r="W155" s="10" t="s">
        <v>1575</v>
      </c>
      <c r="X155" s="10" t="str">
        <f t="shared" si="32"/>
        <v>NA</v>
      </c>
      <c r="Y155" s="10">
        <f t="shared" si="33"/>
        <v>0.27713991606619692</v>
      </c>
      <c r="Z155" s="10">
        <f t="shared" si="34"/>
        <v>-0.41288191577208927</v>
      </c>
      <c r="AA155" s="10">
        <f t="shared" si="35"/>
        <v>-7.2125539653591364E-2</v>
      </c>
      <c r="AB155" s="10" t="str">
        <f t="shared" si="36"/>
        <v>NA</v>
      </c>
      <c r="AC155" s="10" t="str">
        <f t="shared" si="37"/>
        <v>NA</v>
      </c>
      <c r="AD155" s="10" t="str">
        <f t="shared" si="38"/>
        <v>NA</v>
      </c>
      <c r="AE155" s="10" t="str">
        <f t="shared" si="39"/>
        <v>NA</v>
      </c>
      <c r="AF155" s="1" t="s">
        <v>726</v>
      </c>
    </row>
    <row r="156" spans="1:32" x14ac:dyDescent="0.2">
      <c r="A156" s="1" t="s">
        <v>5400</v>
      </c>
      <c r="B156" s="1" t="s">
        <v>5</v>
      </c>
      <c r="C156" s="1" t="s">
        <v>1575</v>
      </c>
      <c r="D156" s="1" t="s">
        <v>1813</v>
      </c>
      <c r="E156" s="1" t="s">
        <v>1945</v>
      </c>
      <c r="F156" s="1" t="s">
        <v>712</v>
      </c>
      <c r="G156" s="4">
        <v>0.44769999999999999</v>
      </c>
      <c r="H156" s="28">
        <v>44196</v>
      </c>
      <c r="I156" s="29">
        <f t="shared" si="28"/>
        <v>2020</v>
      </c>
      <c r="J156" s="1" t="s">
        <v>2168</v>
      </c>
      <c r="K156" s="1" t="s">
        <v>1937</v>
      </c>
      <c r="L156" s="11" t="str">
        <f t="shared" si="29"/>
        <v>НЕТ</v>
      </c>
      <c r="M156" s="10" t="s">
        <v>1575</v>
      </c>
      <c r="N156" s="10" t="s">
        <v>1575</v>
      </c>
      <c r="O156" s="10">
        <v>35</v>
      </c>
      <c r="P156" s="10">
        <f t="shared" si="30"/>
        <v>78.177350904623637</v>
      </c>
      <c r="Q156" s="10" t="str">
        <f t="shared" si="31"/>
        <v>NA</v>
      </c>
      <c r="R156" s="10" t="s">
        <v>1575</v>
      </c>
      <c r="S156" s="10" t="s">
        <v>1575</v>
      </c>
      <c r="T156" s="10" t="s">
        <v>1575</v>
      </c>
      <c r="U156" s="10" t="s">
        <v>1575</v>
      </c>
      <c r="V156" s="10" t="s">
        <v>1575</v>
      </c>
      <c r="W156" s="10" t="s">
        <v>1575</v>
      </c>
      <c r="X156" s="10" t="str">
        <f t="shared" si="32"/>
        <v>NA</v>
      </c>
      <c r="Y156" s="10" t="str">
        <f t="shared" si="33"/>
        <v>NA</v>
      </c>
      <c r="Z156" s="10" t="str">
        <f t="shared" si="34"/>
        <v>NA</v>
      </c>
      <c r="AA156" s="10" t="str">
        <f t="shared" si="35"/>
        <v>NA</v>
      </c>
      <c r="AB156" s="10" t="str">
        <f t="shared" si="36"/>
        <v>NA</v>
      </c>
      <c r="AC156" s="10" t="str">
        <f t="shared" si="37"/>
        <v>NA</v>
      </c>
      <c r="AD156" s="10" t="str">
        <f t="shared" si="38"/>
        <v>NA</v>
      </c>
      <c r="AE156" s="10" t="str">
        <f t="shared" si="39"/>
        <v>NA</v>
      </c>
      <c r="AF156" s="1" t="s">
        <v>711</v>
      </c>
    </row>
    <row r="157" spans="1:32" x14ac:dyDescent="0.2">
      <c r="A157" s="1" t="s">
        <v>725</v>
      </c>
      <c r="B157" s="1" t="s">
        <v>5</v>
      </c>
      <c r="C157" s="1" t="s">
        <v>1575</v>
      </c>
      <c r="D157" s="1" t="s">
        <v>1584</v>
      </c>
      <c r="E157" s="1" t="s">
        <v>1589</v>
      </c>
      <c r="F157" s="1" t="s">
        <v>495</v>
      </c>
      <c r="G157" s="4">
        <v>1</v>
      </c>
      <c r="H157" s="28">
        <v>44377</v>
      </c>
      <c r="I157" s="29">
        <f t="shared" si="28"/>
        <v>2021</v>
      </c>
      <c r="J157" s="1" t="s">
        <v>7</v>
      </c>
      <c r="K157" s="1" t="s">
        <v>2168</v>
      </c>
      <c r="L157" s="11" t="str">
        <f t="shared" si="29"/>
        <v>НЕТ</v>
      </c>
      <c r="M157" s="10" t="s">
        <v>1575</v>
      </c>
      <c r="N157" s="10" t="s">
        <v>1575</v>
      </c>
      <c r="O157" s="10" t="s">
        <v>1575</v>
      </c>
      <c r="P157" s="10" t="str">
        <f t="shared" si="30"/>
        <v>NA</v>
      </c>
      <c r="Q157" s="10" t="str">
        <f t="shared" si="31"/>
        <v>NA</v>
      </c>
      <c r="R157" s="10" t="s">
        <v>1575</v>
      </c>
      <c r="S157" s="10" t="s">
        <v>1575</v>
      </c>
      <c r="T157" s="10" t="s">
        <v>1575</v>
      </c>
      <c r="U157" s="10" t="s">
        <v>1575</v>
      </c>
      <c r="V157" s="10" t="s">
        <v>1575</v>
      </c>
      <c r="W157" s="10" t="s">
        <v>1575</v>
      </c>
      <c r="X157" s="10" t="str">
        <f t="shared" si="32"/>
        <v>NA</v>
      </c>
      <c r="Y157" s="10" t="str">
        <f t="shared" si="33"/>
        <v>NA</v>
      </c>
      <c r="Z157" s="10" t="str">
        <f t="shared" si="34"/>
        <v>NA</v>
      </c>
      <c r="AA157" s="10" t="str">
        <f t="shared" si="35"/>
        <v>NA</v>
      </c>
      <c r="AB157" s="10" t="str">
        <f t="shared" si="36"/>
        <v>NA</v>
      </c>
      <c r="AC157" s="10" t="str">
        <f t="shared" si="37"/>
        <v>NA</v>
      </c>
      <c r="AD157" s="10" t="str">
        <f t="shared" si="38"/>
        <v>NA</v>
      </c>
      <c r="AE157" s="10" t="str">
        <f t="shared" si="39"/>
        <v>NA</v>
      </c>
      <c r="AF157" s="1" t="s">
        <v>724</v>
      </c>
    </row>
    <row r="158" spans="1:32" x14ac:dyDescent="0.2">
      <c r="A158" s="1" t="s">
        <v>5401</v>
      </c>
      <c r="B158" s="1" t="s">
        <v>5</v>
      </c>
      <c r="C158" s="1" t="s">
        <v>1575</v>
      </c>
      <c r="D158" s="1" t="s">
        <v>1578</v>
      </c>
      <c r="E158" s="1" t="s">
        <v>2422</v>
      </c>
      <c r="F158" s="1" t="s">
        <v>363</v>
      </c>
      <c r="G158" s="4">
        <v>0.112</v>
      </c>
      <c r="H158" s="28">
        <v>44377</v>
      </c>
      <c r="I158" s="29">
        <f t="shared" si="28"/>
        <v>2021</v>
      </c>
      <c r="J158" s="1" t="s">
        <v>2168</v>
      </c>
      <c r="K158" s="1" t="s">
        <v>7</v>
      </c>
      <c r="L158" s="11" t="str">
        <f t="shared" si="29"/>
        <v>НЕТ</v>
      </c>
      <c r="M158" s="10" t="s">
        <v>1575</v>
      </c>
      <c r="N158" s="10" t="s">
        <v>1575</v>
      </c>
      <c r="O158" s="10" t="s">
        <v>1575</v>
      </c>
      <c r="P158" s="10" t="str">
        <f t="shared" si="30"/>
        <v>NA</v>
      </c>
      <c r="Q158" s="10" t="str">
        <f t="shared" si="31"/>
        <v>NA</v>
      </c>
      <c r="R158" s="10" t="s">
        <v>1575</v>
      </c>
      <c r="S158" s="10" t="s">
        <v>1575</v>
      </c>
      <c r="T158" s="10" t="s">
        <v>1575</v>
      </c>
      <c r="U158" s="10" t="s">
        <v>1575</v>
      </c>
      <c r="V158" s="10" t="s">
        <v>1575</v>
      </c>
      <c r="W158" s="10" t="s">
        <v>1575</v>
      </c>
      <c r="X158" s="10" t="str">
        <f t="shared" si="32"/>
        <v>NA</v>
      </c>
      <c r="Y158" s="10" t="str">
        <f t="shared" si="33"/>
        <v>NA</v>
      </c>
      <c r="Z158" s="10" t="str">
        <f t="shared" si="34"/>
        <v>NA</v>
      </c>
      <c r="AA158" s="10" t="str">
        <f t="shared" si="35"/>
        <v>NA</v>
      </c>
      <c r="AB158" s="10" t="str">
        <f t="shared" si="36"/>
        <v>NA</v>
      </c>
      <c r="AC158" s="10" t="str">
        <f t="shared" si="37"/>
        <v>NA</v>
      </c>
      <c r="AD158" s="10" t="str">
        <f t="shared" si="38"/>
        <v>NA</v>
      </c>
      <c r="AE158" s="10" t="str">
        <f t="shared" si="39"/>
        <v>NA</v>
      </c>
      <c r="AF158" s="1" t="s">
        <v>723</v>
      </c>
    </row>
    <row r="159" spans="1:32" x14ac:dyDescent="0.2">
      <c r="A159" s="1" t="s">
        <v>721</v>
      </c>
      <c r="B159" s="1" t="s">
        <v>5</v>
      </c>
      <c r="C159" s="1" t="s">
        <v>2178</v>
      </c>
      <c r="D159" s="1" t="s">
        <v>1813</v>
      </c>
      <c r="E159" s="1" t="s">
        <v>1587</v>
      </c>
      <c r="F159" s="1" t="s">
        <v>722</v>
      </c>
      <c r="G159" s="6" t="s">
        <v>718</v>
      </c>
      <c r="H159" s="28">
        <v>44377</v>
      </c>
      <c r="I159" s="29">
        <f t="shared" si="28"/>
        <v>2021</v>
      </c>
      <c r="J159" s="1" t="s">
        <v>2168</v>
      </c>
      <c r="K159" s="1" t="s">
        <v>7</v>
      </c>
      <c r="L159" s="11" t="str">
        <f t="shared" si="29"/>
        <v>НЕТ</v>
      </c>
      <c r="M159" s="10" t="s">
        <v>1575</v>
      </c>
      <c r="N159" s="10" t="s">
        <v>1575</v>
      </c>
      <c r="O159" s="10" t="s">
        <v>1575</v>
      </c>
      <c r="P159" s="10" t="str">
        <f t="shared" si="30"/>
        <v>NA</v>
      </c>
      <c r="Q159" s="10" t="str">
        <f t="shared" si="31"/>
        <v>NA</v>
      </c>
      <c r="R159" s="10" t="s">
        <v>1575</v>
      </c>
      <c r="S159" s="10" t="s">
        <v>1575</v>
      </c>
      <c r="T159" s="10" t="s">
        <v>1575</v>
      </c>
      <c r="U159" s="10" t="s">
        <v>1575</v>
      </c>
      <c r="V159" s="10" t="s">
        <v>1575</v>
      </c>
      <c r="W159" s="10" t="s">
        <v>1575</v>
      </c>
      <c r="X159" s="10" t="str">
        <f t="shared" si="32"/>
        <v>NA</v>
      </c>
      <c r="Y159" s="10" t="str">
        <f t="shared" si="33"/>
        <v>NA</v>
      </c>
      <c r="Z159" s="10" t="str">
        <f t="shared" si="34"/>
        <v>NA</v>
      </c>
      <c r="AA159" s="10" t="str">
        <f t="shared" si="35"/>
        <v>NA</v>
      </c>
      <c r="AB159" s="10" t="str">
        <f t="shared" si="36"/>
        <v>NA</v>
      </c>
      <c r="AC159" s="10" t="str">
        <f t="shared" si="37"/>
        <v>NA</v>
      </c>
      <c r="AD159" s="10" t="str">
        <f t="shared" si="38"/>
        <v>NA</v>
      </c>
      <c r="AE159" s="10" t="str">
        <f t="shared" si="39"/>
        <v>NA</v>
      </c>
      <c r="AF159" s="1" t="s">
        <v>719</v>
      </c>
    </row>
    <row r="160" spans="1:32" x14ac:dyDescent="0.2">
      <c r="A160" s="1" t="s">
        <v>716</v>
      </c>
      <c r="B160" s="1" t="s">
        <v>5</v>
      </c>
      <c r="C160" s="1" t="s">
        <v>1575</v>
      </c>
      <c r="D160" s="1" t="s">
        <v>1813</v>
      </c>
      <c r="E160" s="1" t="s">
        <v>1587</v>
      </c>
      <c r="F160" s="1" t="s">
        <v>717</v>
      </c>
      <c r="G160" s="6" t="s">
        <v>718</v>
      </c>
      <c r="H160" s="28">
        <v>44377</v>
      </c>
      <c r="I160" s="29">
        <f t="shared" si="28"/>
        <v>2021</v>
      </c>
      <c r="J160" s="1" t="s">
        <v>2168</v>
      </c>
      <c r="K160" s="1" t="s">
        <v>7</v>
      </c>
      <c r="L160" s="11" t="str">
        <f t="shared" si="29"/>
        <v>НЕТ</v>
      </c>
      <c r="M160" s="10" t="s">
        <v>1575</v>
      </c>
      <c r="N160" s="10" t="s">
        <v>1575</v>
      </c>
      <c r="O160" s="10" t="s">
        <v>1575</v>
      </c>
      <c r="P160" s="10" t="str">
        <f t="shared" si="30"/>
        <v>NA</v>
      </c>
      <c r="Q160" s="10" t="str">
        <f t="shared" si="31"/>
        <v>NA</v>
      </c>
      <c r="R160" s="10" t="s">
        <v>1575</v>
      </c>
      <c r="S160" s="10" t="s">
        <v>1575</v>
      </c>
      <c r="T160" s="10" t="s">
        <v>1575</v>
      </c>
      <c r="U160" s="10" t="s">
        <v>1575</v>
      </c>
      <c r="V160" s="10" t="s">
        <v>1575</v>
      </c>
      <c r="W160" s="10" t="s">
        <v>1575</v>
      </c>
      <c r="X160" s="10" t="str">
        <f t="shared" si="32"/>
        <v>NA</v>
      </c>
      <c r="Y160" s="10" t="str">
        <f t="shared" si="33"/>
        <v>NA</v>
      </c>
      <c r="Z160" s="10" t="str">
        <f t="shared" si="34"/>
        <v>NA</v>
      </c>
      <c r="AA160" s="10" t="str">
        <f t="shared" si="35"/>
        <v>NA</v>
      </c>
      <c r="AB160" s="10" t="str">
        <f t="shared" si="36"/>
        <v>NA</v>
      </c>
      <c r="AC160" s="10" t="str">
        <f t="shared" si="37"/>
        <v>NA</v>
      </c>
      <c r="AD160" s="10" t="str">
        <f t="shared" si="38"/>
        <v>NA</v>
      </c>
      <c r="AE160" s="10" t="str">
        <f t="shared" si="39"/>
        <v>NA</v>
      </c>
      <c r="AF160" s="1" t="s">
        <v>720</v>
      </c>
    </row>
    <row r="161" spans="1:32" x14ac:dyDescent="0.2">
      <c r="A161" s="1" t="s">
        <v>714</v>
      </c>
      <c r="B161" s="1" t="s">
        <v>5</v>
      </c>
      <c r="C161" s="1" t="s">
        <v>1575</v>
      </c>
      <c r="D161" s="1" t="s">
        <v>1582</v>
      </c>
      <c r="E161" s="1" t="s">
        <v>2174</v>
      </c>
      <c r="F161" s="1" t="s">
        <v>2200</v>
      </c>
      <c r="G161" s="4">
        <v>0.3</v>
      </c>
      <c r="H161" s="28">
        <v>44316</v>
      </c>
      <c r="I161" s="29">
        <f t="shared" si="28"/>
        <v>2021</v>
      </c>
      <c r="J161" s="1" t="s">
        <v>2168</v>
      </c>
      <c r="K161" s="1" t="s">
        <v>7</v>
      </c>
      <c r="L161" s="11" t="str">
        <f t="shared" si="29"/>
        <v>НЕТ</v>
      </c>
      <c r="M161" s="10" t="s">
        <v>1575</v>
      </c>
      <c r="N161" s="10" t="s">
        <v>1575</v>
      </c>
      <c r="O161" s="10" t="s">
        <v>1575</v>
      </c>
      <c r="P161" s="10" t="str">
        <f t="shared" si="30"/>
        <v>NA</v>
      </c>
      <c r="Q161" s="10" t="str">
        <f t="shared" si="31"/>
        <v>NA</v>
      </c>
      <c r="R161" s="10" t="s">
        <v>1575</v>
      </c>
      <c r="S161" s="10" t="s">
        <v>1575</v>
      </c>
      <c r="T161" s="10" t="s">
        <v>1575</v>
      </c>
      <c r="U161" s="10" t="s">
        <v>1575</v>
      </c>
      <c r="V161" s="10" t="s">
        <v>1575</v>
      </c>
      <c r="W161" s="10" t="s">
        <v>1575</v>
      </c>
      <c r="X161" s="10" t="str">
        <f t="shared" si="32"/>
        <v>NA</v>
      </c>
      <c r="Y161" s="10" t="str">
        <f t="shared" si="33"/>
        <v>NA</v>
      </c>
      <c r="Z161" s="10" t="str">
        <f t="shared" si="34"/>
        <v>NA</v>
      </c>
      <c r="AA161" s="10" t="str">
        <f t="shared" si="35"/>
        <v>NA</v>
      </c>
      <c r="AB161" s="10" t="str">
        <f t="shared" si="36"/>
        <v>NA</v>
      </c>
      <c r="AC161" s="10" t="str">
        <f t="shared" si="37"/>
        <v>NA</v>
      </c>
      <c r="AD161" s="10" t="str">
        <f t="shared" si="38"/>
        <v>NA</v>
      </c>
      <c r="AE161" s="10" t="str">
        <f t="shared" si="39"/>
        <v>NA</v>
      </c>
      <c r="AF161" s="1" t="s">
        <v>713</v>
      </c>
    </row>
    <row r="162" spans="1:32" x14ac:dyDescent="0.2">
      <c r="A162" s="1" t="s">
        <v>5402</v>
      </c>
      <c r="B162" s="1" t="s">
        <v>5</v>
      </c>
      <c r="C162" s="1" t="s">
        <v>1575</v>
      </c>
      <c r="D162" s="1" t="s">
        <v>1813</v>
      </c>
      <c r="E162" s="1" t="s">
        <v>1971</v>
      </c>
      <c r="F162" s="1" t="s">
        <v>1021</v>
      </c>
      <c r="G162" s="4">
        <v>1</v>
      </c>
      <c r="H162" s="28">
        <v>44347</v>
      </c>
      <c r="I162" s="29">
        <f t="shared" si="28"/>
        <v>2021</v>
      </c>
      <c r="J162" s="1" t="s">
        <v>2168</v>
      </c>
      <c r="K162" s="1" t="s">
        <v>7</v>
      </c>
      <c r="L162" s="11" t="str">
        <f t="shared" si="29"/>
        <v>НЕТ</v>
      </c>
      <c r="M162" s="10" t="s">
        <v>1575</v>
      </c>
      <c r="N162" s="10" t="s">
        <v>1575</v>
      </c>
      <c r="O162" s="10">
        <v>2.2999999999999998</v>
      </c>
      <c r="P162" s="10">
        <f t="shared" si="30"/>
        <v>2.2999999999999998</v>
      </c>
      <c r="Q162" s="10" t="str">
        <f t="shared" si="31"/>
        <v>NA</v>
      </c>
      <c r="R162" s="10" t="s">
        <v>1575</v>
      </c>
      <c r="S162" s="10" t="s">
        <v>1575</v>
      </c>
      <c r="T162" s="10" t="s">
        <v>1575</v>
      </c>
      <c r="U162" s="10" t="s">
        <v>1575</v>
      </c>
      <c r="V162" s="10">
        <v>0.7</v>
      </c>
      <c r="W162" s="10" t="s">
        <v>1575</v>
      </c>
      <c r="X162" s="10" t="str">
        <f t="shared" si="32"/>
        <v>NA</v>
      </c>
      <c r="Y162" s="10" t="str">
        <f t="shared" si="33"/>
        <v>NA</v>
      </c>
      <c r="Z162" s="10" t="str">
        <f t="shared" si="34"/>
        <v>NA</v>
      </c>
      <c r="AA162" s="10">
        <f t="shared" si="35"/>
        <v>3.2857142857142856</v>
      </c>
      <c r="AB162" s="10" t="str">
        <f t="shared" si="36"/>
        <v>NA</v>
      </c>
      <c r="AC162" s="10" t="str">
        <f t="shared" si="37"/>
        <v>NA</v>
      </c>
      <c r="AD162" s="10" t="str">
        <f t="shared" si="38"/>
        <v>NA</v>
      </c>
      <c r="AE162" s="10" t="str">
        <f t="shared" si="39"/>
        <v>NA</v>
      </c>
      <c r="AF162" s="1" t="s">
        <v>1020</v>
      </c>
    </row>
    <row r="163" spans="1:32" x14ac:dyDescent="0.2">
      <c r="A163" s="1" t="s">
        <v>5403</v>
      </c>
      <c r="B163" s="1" t="s">
        <v>5</v>
      </c>
      <c r="C163" s="1" t="s">
        <v>1575</v>
      </c>
      <c r="D163" s="1" t="s">
        <v>1580</v>
      </c>
      <c r="E163" s="1" t="s">
        <v>1587</v>
      </c>
      <c r="F163" s="1" t="s">
        <v>2163</v>
      </c>
      <c r="G163" s="4">
        <v>0.48</v>
      </c>
      <c r="H163" s="28">
        <v>44439</v>
      </c>
      <c r="I163" s="29">
        <f t="shared" si="28"/>
        <v>2021</v>
      </c>
      <c r="J163" s="1" t="s">
        <v>2168</v>
      </c>
      <c r="K163" s="1" t="s">
        <v>7</v>
      </c>
      <c r="L163" s="11" t="str">
        <f t="shared" si="29"/>
        <v>НЕТ</v>
      </c>
      <c r="M163" s="10" t="s">
        <v>1575</v>
      </c>
      <c r="N163" s="10" t="s">
        <v>1575</v>
      </c>
      <c r="O163" s="10" t="s">
        <v>1575</v>
      </c>
      <c r="P163" s="10" t="str">
        <f t="shared" si="30"/>
        <v>NA</v>
      </c>
      <c r="Q163" s="10" t="str">
        <f t="shared" si="31"/>
        <v>NA</v>
      </c>
      <c r="R163" s="10" t="s">
        <v>1575</v>
      </c>
      <c r="S163" s="10" t="s">
        <v>1575</v>
      </c>
      <c r="T163" s="10" t="s">
        <v>1575</v>
      </c>
      <c r="U163" s="10" t="s">
        <v>1575</v>
      </c>
      <c r="V163" s="10" t="s">
        <v>1575</v>
      </c>
      <c r="W163" s="10" t="s">
        <v>1575</v>
      </c>
      <c r="X163" s="10" t="str">
        <f t="shared" si="32"/>
        <v>NA</v>
      </c>
      <c r="Y163" s="10" t="str">
        <f t="shared" si="33"/>
        <v>NA</v>
      </c>
      <c r="Z163" s="10" t="str">
        <f t="shared" si="34"/>
        <v>NA</v>
      </c>
      <c r="AA163" s="10" t="str">
        <f t="shared" si="35"/>
        <v>NA</v>
      </c>
      <c r="AB163" s="10" t="str">
        <f t="shared" si="36"/>
        <v>NA</v>
      </c>
      <c r="AC163" s="10" t="str">
        <f t="shared" si="37"/>
        <v>NA</v>
      </c>
      <c r="AD163" s="10" t="str">
        <f t="shared" si="38"/>
        <v>NA</v>
      </c>
      <c r="AE163" s="10" t="str">
        <f t="shared" si="39"/>
        <v>NA</v>
      </c>
      <c r="AF163" s="1" t="s">
        <v>1018</v>
      </c>
    </row>
    <row r="164" spans="1:32" x14ac:dyDescent="0.2">
      <c r="A164" s="1" t="s">
        <v>5404</v>
      </c>
      <c r="B164" s="1" t="s">
        <v>5</v>
      </c>
      <c r="C164" s="1" t="s">
        <v>1575</v>
      </c>
      <c r="D164" s="1" t="s">
        <v>1582</v>
      </c>
      <c r="E164" s="1" t="s">
        <v>2019</v>
      </c>
      <c r="F164" s="1" t="s">
        <v>9200</v>
      </c>
      <c r="G164" s="4">
        <v>0.32890000000000003</v>
      </c>
      <c r="H164" s="28">
        <v>44469</v>
      </c>
      <c r="I164" s="29">
        <f t="shared" si="28"/>
        <v>2021</v>
      </c>
      <c r="J164" s="1" t="s">
        <v>2168</v>
      </c>
      <c r="K164" s="1" t="s">
        <v>7</v>
      </c>
      <c r="L164" s="11" t="str">
        <f t="shared" si="29"/>
        <v>НЕТ</v>
      </c>
      <c r="M164" s="10" t="s">
        <v>1575</v>
      </c>
      <c r="N164" s="10" t="s">
        <v>1575</v>
      </c>
      <c r="O164" s="10" t="s">
        <v>1575</v>
      </c>
      <c r="P164" s="10" t="str">
        <f t="shared" si="30"/>
        <v>NA</v>
      </c>
      <c r="Q164" s="10" t="str">
        <f t="shared" si="31"/>
        <v>NA</v>
      </c>
      <c r="R164" s="10" t="s">
        <v>1575</v>
      </c>
      <c r="S164" s="10" t="s">
        <v>1575</v>
      </c>
      <c r="T164" s="10" t="s">
        <v>1575</v>
      </c>
      <c r="U164" s="10" t="s">
        <v>1575</v>
      </c>
      <c r="V164" s="10" t="s">
        <v>1575</v>
      </c>
      <c r="W164" s="10" t="s">
        <v>1575</v>
      </c>
      <c r="X164" s="10" t="str">
        <f t="shared" si="32"/>
        <v>NA</v>
      </c>
      <c r="Y164" s="10" t="str">
        <f t="shared" si="33"/>
        <v>NA</v>
      </c>
      <c r="Z164" s="10" t="str">
        <f t="shared" si="34"/>
        <v>NA</v>
      </c>
      <c r="AA164" s="10" t="str">
        <f t="shared" si="35"/>
        <v>NA</v>
      </c>
      <c r="AB164" s="10" t="str">
        <f t="shared" si="36"/>
        <v>NA</v>
      </c>
      <c r="AC164" s="10" t="str">
        <f t="shared" si="37"/>
        <v>NA</v>
      </c>
      <c r="AD164" s="10" t="str">
        <f t="shared" si="38"/>
        <v>NA</v>
      </c>
      <c r="AE164" s="10" t="str">
        <f t="shared" si="39"/>
        <v>NA</v>
      </c>
      <c r="AF164" s="1" t="s">
        <v>1019</v>
      </c>
    </row>
    <row r="165" spans="1:32" x14ac:dyDescent="0.2">
      <c r="A165" s="1" t="s">
        <v>5399</v>
      </c>
      <c r="B165" s="1" t="s">
        <v>5</v>
      </c>
      <c r="C165" s="1" t="s">
        <v>1575</v>
      </c>
      <c r="D165" s="1" t="s">
        <v>1584</v>
      </c>
      <c r="E165" s="1" t="s">
        <v>1586</v>
      </c>
      <c r="F165" s="1" t="s">
        <v>66</v>
      </c>
      <c r="G165" s="4">
        <f>100%-92.3%</f>
        <v>7.7000000000000068E-2</v>
      </c>
      <c r="H165" s="28">
        <v>44469</v>
      </c>
      <c r="I165" s="29">
        <f t="shared" si="28"/>
        <v>2021</v>
      </c>
      <c r="J165" s="1" t="s">
        <v>2168</v>
      </c>
      <c r="K165" s="1" t="s">
        <v>7</v>
      </c>
      <c r="L165" s="11" t="str">
        <f t="shared" si="29"/>
        <v>НЕТ</v>
      </c>
      <c r="M165" s="10" t="s">
        <v>1575</v>
      </c>
      <c r="N165" s="10" t="s">
        <v>1575</v>
      </c>
      <c r="O165" s="10">
        <v>0.3</v>
      </c>
      <c r="P165" s="10">
        <f t="shared" si="30"/>
        <v>3.8961038961038925</v>
      </c>
      <c r="Q165" s="10" t="str">
        <f t="shared" si="31"/>
        <v>NA</v>
      </c>
      <c r="R165" s="10">
        <v>14.6</v>
      </c>
      <c r="S165" s="10" t="s">
        <v>1575</v>
      </c>
      <c r="T165" s="10" t="s">
        <v>1575</v>
      </c>
      <c r="U165" s="10">
        <v>-9.8000000000000007</v>
      </c>
      <c r="V165" s="10">
        <f>5.9+78.5-18.3-122.2</f>
        <v>-56.099999999999994</v>
      </c>
      <c r="W165" s="10" t="s">
        <v>1575</v>
      </c>
      <c r="X165" s="10" t="str">
        <f t="shared" si="32"/>
        <v>NA</v>
      </c>
      <c r="Y165" s="10">
        <f t="shared" si="33"/>
        <v>0.26685643123999264</v>
      </c>
      <c r="Z165" s="10">
        <f t="shared" si="34"/>
        <v>-0.3975616220514176</v>
      </c>
      <c r="AA165" s="10">
        <f t="shared" si="35"/>
        <v>-6.9449267310229823E-2</v>
      </c>
      <c r="AB165" s="10" t="str">
        <f t="shared" si="36"/>
        <v>NA</v>
      </c>
      <c r="AC165" s="10" t="str">
        <f t="shared" si="37"/>
        <v>NA</v>
      </c>
      <c r="AD165" s="10" t="str">
        <f t="shared" si="38"/>
        <v>NA</v>
      </c>
      <c r="AE165" s="10" t="str">
        <f t="shared" si="39"/>
        <v>NA</v>
      </c>
      <c r="AF165" s="1" t="s">
        <v>1022</v>
      </c>
    </row>
    <row r="166" spans="1:32" x14ac:dyDescent="0.2">
      <c r="A166" s="1" t="s">
        <v>5405</v>
      </c>
      <c r="B166" s="1" t="s">
        <v>32</v>
      </c>
      <c r="C166" s="1" t="s">
        <v>1575</v>
      </c>
      <c r="D166" s="1" t="s">
        <v>1580</v>
      </c>
      <c r="E166" s="1" t="s">
        <v>1694</v>
      </c>
      <c r="F166" s="1" t="s">
        <v>68</v>
      </c>
      <c r="G166" s="4">
        <v>4.6100000000000002E-2</v>
      </c>
      <c r="H166" s="28">
        <v>40178</v>
      </c>
      <c r="I166" s="29">
        <f t="shared" si="28"/>
        <v>2009</v>
      </c>
      <c r="J166" s="1" t="s">
        <v>2275</v>
      </c>
      <c r="K166" s="1" t="s">
        <v>702</v>
      </c>
      <c r="L166" s="11" t="str">
        <f t="shared" ref="L166:L167" si="40">IF(OR(A166=J166,A166=K166),"ДА","НЕТ")</f>
        <v>НЕТ</v>
      </c>
      <c r="M166" s="10" t="s">
        <v>1575</v>
      </c>
      <c r="N166" s="10" t="s">
        <v>1575</v>
      </c>
      <c r="O166" s="10">
        <v>367</v>
      </c>
      <c r="P166" s="10">
        <f t="shared" si="30"/>
        <v>7960.9544468546637</v>
      </c>
      <c r="Q166" s="10" t="str">
        <f t="shared" si="31"/>
        <v>NA</v>
      </c>
      <c r="R166" s="10" t="s">
        <v>1575</v>
      </c>
      <c r="S166" s="10" t="s">
        <v>1575</v>
      </c>
      <c r="T166" s="10" t="s">
        <v>1575</v>
      </c>
      <c r="U166" s="10" t="s">
        <v>1575</v>
      </c>
      <c r="V166" s="10" t="s">
        <v>1575</v>
      </c>
      <c r="W166" s="10" t="s">
        <v>1575</v>
      </c>
      <c r="X166" s="10" t="str">
        <f t="shared" si="32"/>
        <v>NA</v>
      </c>
      <c r="Y166" s="10" t="str">
        <f t="shared" si="33"/>
        <v>NA</v>
      </c>
      <c r="Z166" s="10" t="str">
        <f t="shared" si="34"/>
        <v>NA</v>
      </c>
      <c r="AA166" s="10" t="str">
        <f t="shared" si="35"/>
        <v>NA</v>
      </c>
      <c r="AB166" s="10" t="str">
        <f t="shared" si="36"/>
        <v>NA</v>
      </c>
      <c r="AC166" s="10" t="str">
        <f t="shared" si="37"/>
        <v>NA</v>
      </c>
      <c r="AD166" s="10" t="str">
        <f t="shared" si="38"/>
        <v>NA</v>
      </c>
      <c r="AE166" s="10" t="str">
        <f t="shared" si="39"/>
        <v>NA</v>
      </c>
      <c r="AF166" s="1" t="s">
        <v>703</v>
      </c>
    </row>
    <row r="167" spans="1:32" x14ac:dyDescent="0.2">
      <c r="A167" s="1" t="s">
        <v>5405</v>
      </c>
      <c r="B167" s="1" t="s">
        <v>32</v>
      </c>
      <c r="C167" s="1" t="s">
        <v>1575</v>
      </c>
      <c r="D167" s="1" t="s">
        <v>1580</v>
      </c>
      <c r="E167" s="1" t="s">
        <v>1694</v>
      </c>
      <c r="F167" s="1" t="s">
        <v>68</v>
      </c>
      <c r="G167" s="4">
        <v>0.93300000000000005</v>
      </c>
      <c r="H167" s="28">
        <v>40178</v>
      </c>
      <c r="I167" s="29">
        <f t="shared" si="28"/>
        <v>2009</v>
      </c>
      <c r="J167" s="1" t="s">
        <v>2275</v>
      </c>
      <c r="K167" s="1" t="s">
        <v>702</v>
      </c>
      <c r="L167" s="11" t="str">
        <f t="shared" si="40"/>
        <v>НЕТ</v>
      </c>
      <c r="M167" s="10" t="s">
        <v>1575</v>
      </c>
      <c r="N167" s="10" t="s">
        <v>1575</v>
      </c>
      <c r="O167" s="10" t="s">
        <v>1575</v>
      </c>
      <c r="P167" s="10" t="str">
        <f t="shared" si="30"/>
        <v>NA</v>
      </c>
      <c r="Q167" s="10" t="str">
        <f t="shared" si="31"/>
        <v>NA</v>
      </c>
      <c r="R167" s="10" t="s">
        <v>1575</v>
      </c>
      <c r="S167" s="10" t="s">
        <v>1575</v>
      </c>
      <c r="T167" s="10" t="s">
        <v>1575</v>
      </c>
      <c r="U167" s="10" t="s">
        <v>1575</v>
      </c>
      <c r="V167" s="10" t="s">
        <v>1575</v>
      </c>
      <c r="W167" s="10" t="s">
        <v>1575</v>
      </c>
      <c r="X167" s="10" t="str">
        <f t="shared" si="32"/>
        <v>NA</v>
      </c>
      <c r="Y167" s="10" t="str">
        <f t="shared" si="33"/>
        <v>NA</v>
      </c>
      <c r="Z167" s="10" t="str">
        <f t="shared" si="34"/>
        <v>NA</v>
      </c>
      <c r="AA167" s="10" t="str">
        <f t="shared" si="35"/>
        <v>NA</v>
      </c>
      <c r="AB167" s="10" t="str">
        <f t="shared" si="36"/>
        <v>NA</v>
      </c>
      <c r="AC167" s="10" t="str">
        <f t="shared" si="37"/>
        <v>NA</v>
      </c>
      <c r="AD167" s="10" t="str">
        <f t="shared" si="38"/>
        <v>NA</v>
      </c>
      <c r="AE167" s="10" t="str">
        <f t="shared" si="39"/>
        <v>NA</v>
      </c>
      <c r="AF167" s="1" t="s">
        <v>704</v>
      </c>
    </row>
    <row r="168" spans="1:32" x14ac:dyDescent="0.2">
      <c r="A168" s="1" t="s">
        <v>5406</v>
      </c>
      <c r="B168" s="1" t="s">
        <v>5</v>
      </c>
      <c r="C168" s="1" t="s">
        <v>1575</v>
      </c>
      <c r="D168" s="1" t="s">
        <v>1578</v>
      </c>
      <c r="E168" s="1" t="s">
        <v>9262</v>
      </c>
      <c r="F168" s="1" t="s">
        <v>707</v>
      </c>
      <c r="G168" s="4">
        <v>0.6</v>
      </c>
      <c r="H168" s="28">
        <v>40298</v>
      </c>
      <c r="I168" s="29">
        <f t="shared" si="28"/>
        <v>2010</v>
      </c>
      <c r="J168" s="1" t="s">
        <v>2275</v>
      </c>
      <c r="K168" s="1" t="s">
        <v>7</v>
      </c>
      <c r="L168" s="11" t="str">
        <f t="shared" si="29"/>
        <v>НЕТ</v>
      </c>
      <c r="M168" s="10" t="s">
        <v>1575</v>
      </c>
      <c r="N168" s="10" t="s">
        <v>1575</v>
      </c>
      <c r="O168" s="10" t="s">
        <v>1575</v>
      </c>
      <c r="P168" s="10" t="str">
        <f t="shared" si="30"/>
        <v>NA</v>
      </c>
      <c r="Q168" s="10" t="str">
        <f t="shared" si="31"/>
        <v>NA</v>
      </c>
      <c r="R168" s="10" t="s">
        <v>1575</v>
      </c>
      <c r="S168" s="10" t="s">
        <v>1575</v>
      </c>
      <c r="T168" s="10" t="s">
        <v>1575</v>
      </c>
      <c r="U168" s="10" t="s">
        <v>1575</v>
      </c>
      <c r="V168" s="10" t="s">
        <v>1575</v>
      </c>
      <c r="W168" s="10" t="s">
        <v>1575</v>
      </c>
      <c r="X168" s="10" t="str">
        <f t="shared" si="32"/>
        <v>NA</v>
      </c>
      <c r="Y168" s="10" t="str">
        <f t="shared" si="33"/>
        <v>NA</v>
      </c>
      <c r="Z168" s="10" t="str">
        <f t="shared" si="34"/>
        <v>NA</v>
      </c>
      <c r="AA168" s="10" t="str">
        <f t="shared" si="35"/>
        <v>NA</v>
      </c>
      <c r="AB168" s="10" t="str">
        <f t="shared" si="36"/>
        <v>NA</v>
      </c>
      <c r="AC168" s="10" t="str">
        <f t="shared" si="37"/>
        <v>NA</v>
      </c>
      <c r="AD168" s="10" t="str">
        <f t="shared" si="38"/>
        <v>NA</v>
      </c>
      <c r="AE168" s="10" t="str">
        <f t="shared" si="39"/>
        <v>NA</v>
      </c>
      <c r="AF168" s="1" t="s">
        <v>708</v>
      </c>
    </row>
    <row r="169" spans="1:32" x14ac:dyDescent="0.2">
      <c r="A169" s="1" t="s">
        <v>2302</v>
      </c>
      <c r="B169" s="1" t="s">
        <v>5</v>
      </c>
      <c r="C169" s="1" t="s">
        <v>1575</v>
      </c>
      <c r="D169" s="1" t="s">
        <v>1578</v>
      </c>
      <c r="E169" s="16" t="s">
        <v>9250</v>
      </c>
      <c r="F169" s="1" t="s">
        <v>548</v>
      </c>
      <c r="G169" s="4">
        <v>0.51</v>
      </c>
      <c r="H169" s="28">
        <v>40543</v>
      </c>
      <c r="I169" s="29">
        <f t="shared" si="28"/>
        <v>2010</v>
      </c>
      <c r="J169" s="1" t="s">
        <v>2275</v>
      </c>
      <c r="K169" s="1" t="s">
        <v>7</v>
      </c>
      <c r="L169" s="11" t="str">
        <f t="shared" si="29"/>
        <v>НЕТ</v>
      </c>
      <c r="M169" s="10" t="s">
        <v>1575</v>
      </c>
      <c r="N169" s="10" t="s">
        <v>1575</v>
      </c>
      <c r="O169" s="10" t="s">
        <v>1575</v>
      </c>
      <c r="P169" s="10" t="str">
        <f t="shared" si="30"/>
        <v>NA</v>
      </c>
      <c r="Q169" s="10" t="str">
        <f t="shared" si="31"/>
        <v>NA</v>
      </c>
      <c r="R169" s="10" t="s">
        <v>1575</v>
      </c>
      <c r="S169" s="10" t="s">
        <v>1575</v>
      </c>
      <c r="T169" s="10" t="s">
        <v>1575</v>
      </c>
      <c r="U169" s="10" t="s">
        <v>1575</v>
      </c>
      <c r="V169" s="10" t="s">
        <v>1575</v>
      </c>
      <c r="W169" s="10" t="s">
        <v>1575</v>
      </c>
      <c r="X169" s="10" t="str">
        <f t="shared" si="32"/>
        <v>NA</v>
      </c>
      <c r="Y169" s="10" t="str">
        <f t="shared" si="33"/>
        <v>NA</v>
      </c>
      <c r="Z169" s="10" t="str">
        <f t="shared" si="34"/>
        <v>NA</v>
      </c>
      <c r="AA169" s="10" t="str">
        <f t="shared" si="35"/>
        <v>NA</v>
      </c>
      <c r="AB169" s="10" t="str">
        <f t="shared" si="36"/>
        <v>NA</v>
      </c>
      <c r="AC169" s="10" t="str">
        <f t="shared" si="37"/>
        <v>NA</v>
      </c>
      <c r="AD169" s="10" t="str">
        <f t="shared" si="38"/>
        <v>NA</v>
      </c>
      <c r="AE169" s="10" t="str">
        <f t="shared" si="39"/>
        <v>NA</v>
      </c>
      <c r="AF169" s="1" t="s">
        <v>706</v>
      </c>
    </row>
    <row r="170" spans="1:32" x14ac:dyDescent="0.2">
      <c r="A170" s="1" t="s">
        <v>5407</v>
      </c>
      <c r="B170" s="1" t="s">
        <v>5</v>
      </c>
      <c r="C170" s="1" t="s">
        <v>1575</v>
      </c>
      <c r="D170" s="1" t="s">
        <v>1584</v>
      </c>
      <c r="E170" s="1" t="s">
        <v>3496</v>
      </c>
      <c r="F170" s="1" t="s">
        <v>660</v>
      </c>
      <c r="G170" s="4">
        <v>0.93440000000000001</v>
      </c>
      <c r="H170" s="28">
        <v>40298</v>
      </c>
      <c r="I170" s="29">
        <f t="shared" si="28"/>
        <v>2010</v>
      </c>
      <c r="J170" s="1" t="s">
        <v>2275</v>
      </c>
      <c r="K170" s="1" t="s">
        <v>7</v>
      </c>
      <c r="L170" s="11" t="str">
        <f t="shared" si="29"/>
        <v>НЕТ</v>
      </c>
      <c r="M170" s="10" t="s">
        <v>1575</v>
      </c>
      <c r="N170" s="10" t="s">
        <v>1575</v>
      </c>
      <c r="O170" s="10" t="s">
        <v>1575</v>
      </c>
      <c r="P170" s="10" t="str">
        <f t="shared" si="30"/>
        <v>NA</v>
      </c>
      <c r="Q170" s="10" t="str">
        <f t="shared" si="31"/>
        <v>NA</v>
      </c>
      <c r="R170" s="10" t="s">
        <v>1575</v>
      </c>
      <c r="S170" s="10" t="s">
        <v>1575</v>
      </c>
      <c r="T170" s="10" t="s">
        <v>1575</v>
      </c>
      <c r="U170" s="10" t="s">
        <v>1575</v>
      </c>
      <c r="V170" s="10" t="s">
        <v>1575</v>
      </c>
      <c r="W170" s="10" t="s">
        <v>1575</v>
      </c>
      <c r="X170" s="10" t="str">
        <f t="shared" si="32"/>
        <v>NA</v>
      </c>
      <c r="Y170" s="10" t="str">
        <f t="shared" si="33"/>
        <v>NA</v>
      </c>
      <c r="Z170" s="10" t="str">
        <f t="shared" si="34"/>
        <v>NA</v>
      </c>
      <c r="AA170" s="10" t="str">
        <f t="shared" si="35"/>
        <v>NA</v>
      </c>
      <c r="AB170" s="10" t="str">
        <f t="shared" si="36"/>
        <v>NA</v>
      </c>
      <c r="AC170" s="10" t="str">
        <f t="shared" si="37"/>
        <v>NA</v>
      </c>
      <c r="AD170" s="10" t="str">
        <f t="shared" si="38"/>
        <v>NA</v>
      </c>
      <c r="AE170" s="10" t="str">
        <f t="shared" si="39"/>
        <v>NA</v>
      </c>
      <c r="AF170" s="1" t="s">
        <v>710</v>
      </c>
    </row>
    <row r="171" spans="1:32" x14ac:dyDescent="0.2">
      <c r="A171" s="1" t="s">
        <v>5408</v>
      </c>
      <c r="B171" s="1" t="s">
        <v>5</v>
      </c>
      <c r="C171" s="1" t="s">
        <v>1575</v>
      </c>
      <c r="D171" s="1" t="s">
        <v>1584</v>
      </c>
      <c r="E171" s="1" t="s">
        <v>3496</v>
      </c>
      <c r="F171" s="1" t="s">
        <v>660</v>
      </c>
      <c r="G171" s="4">
        <v>0.93440000000000001</v>
      </c>
      <c r="H171" s="28">
        <v>40298</v>
      </c>
      <c r="I171" s="29">
        <f t="shared" si="28"/>
        <v>2010</v>
      </c>
      <c r="J171" s="1" t="s">
        <v>2275</v>
      </c>
      <c r="K171" s="1" t="s">
        <v>7</v>
      </c>
      <c r="L171" s="11" t="str">
        <f t="shared" si="29"/>
        <v>НЕТ</v>
      </c>
      <c r="M171" s="10" t="s">
        <v>1575</v>
      </c>
      <c r="N171" s="10" t="s">
        <v>1575</v>
      </c>
      <c r="O171" s="10" t="s">
        <v>1575</v>
      </c>
      <c r="P171" s="10" t="str">
        <f t="shared" si="30"/>
        <v>NA</v>
      </c>
      <c r="Q171" s="10" t="str">
        <f t="shared" si="31"/>
        <v>NA</v>
      </c>
      <c r="R171" s="10" t="s">
        <v>1575</v>
      </c>
      <c r="S171" s="10" t="s">
        <v>1575</v>
      </c>
      <c r="T171" s="10" t="s">
        <v>1575</v>
      </c>
      <c r="U171" s="10" t="s">
        <v>1575</v>
      </c>
      <c r="V171" s="10" t="s">
        <v>1575</v>
      </c>
      <c r="W171" s="10" t="s">
        <v>1575</v>
      </c>
      <c r="X171" s="10" t="str">
        <f t="shared" si="32"/>
        <v>NA</v>
      </c>
      <c r="Y171" s="10" t="str">
        <f t="shared" si="33"/>
        <v>NA</v>
      </c>
      <c r="Z171" s="10" t="str">
        <f t="shared" si="34"/>
        <v>NA</v>
      </c>
      <c r="AA171" s="10" t="str">
        <f t="shared" si="35"/>
        <v>NA</v>
      </c>
      <c r="AB171" s="10" t="str">
        <f t="shared" si="36"/>
        <v>NA</v>
      </c>
      <c r="AC171" s="10" t="str">
        <f t="shared" si="37"/>
        <v>NA</v>
      </c>
      <c r="AD171" s="10" t="str">
        <f t="shared" si="38"/>
        <v>NA</v>
      </c>
      <c r="AE171" s="10" t="str">
        <f t="shared" si="39"/>
        <v>NA</v>
      </c>
      <c r="AF171" s="1" t="s">
        <v>709</v>
      </c>
    </row>
    <row r="172" spans="1:32" x14ac:dyDescent="0.2">
      <c r="A172" s="1" t="s">
        <v>5409</v>
      </c>
      <c r="B172" s="1" t="s">
        <v>5</v>
      </c>
      <c r="C172" s="1" t="s">
        <v>1575</v>
      </c>
      <c r="D172" s="1" t="s">
        <v>1584</v>
      </c>
      <c r="E172" s="1" t="s">
        <v>1586</v>
      </c>
      <c r="F172" s="1" t="s">
        <v>66</v>
      </c>
      <c r="G172" s="4">
        <v>0.50009999999999999</v>
      </c>
      <c r="H172" s="28">
        <v>40209</v>
      </c>
      <c r="I172" s="29">
        <f t="shared" si="28"/>
        <v>2010</v>
      </c>
      <c r="J172" s="1" t="s">
        <v>2275</v>
      </c>
      <c r="K172" s="1" t="s">
        <v>7</v>
      </c>
      <c r="L172" s="11" t="str">
        <f t="shared" si="29"/>
        <v>НЕТ</v>
      </c>
      <c r="M172" s="10" t="s">
        <v>1575</v>
      </c>
      <c r="N172" s="10" t="s">
        <v>1575</v>
      </c>
      <c r="O172" s="10" t="s">
        <v>1575</v>
      </c>
      <c r="P172" s="10" t="str">
        <f t="shared" si="30"/>
        <v>NA</v>
      </c>
      <c r="Q172" s="10" t="str">
        <f t="shared" si="31"/>
        <v>NA</v>
      </c>
      <c r="R172" s="10" t="s">
        <v>1575</v>
      </c>
      <c r="S172" s="10" t="s">
        <v>1575</v>
      </c>
      <c r="T172" s="10" t="s">
        <v>1575</v>
      </c>
      <c r="U172" s="10" t="s">
        <v>1575</v>
      </c>
      <c r="V172" s="10" t="s">
        <v>1575</v>
      </c>
      <c r="W172" s="10" t="s">
        <v>1575</v>
      </c>
      <c r="X172" s="10" t="str">
        <f t="shared" si="32"/>
        <v>NA</v>
      </c>
      <c r="Y172" s="10" t="str">
        <f t="shared" si="33"/>
        <v>NA</v>
      </c>
      <c r="Z172" s="10" t="str">
        <f t="shared" si="34"/>
        <v>NA</v>
      </c>
      <c r="AA172" s="10" t="str">
        <f t="shared" si="35"/>
        <v>NA</v>
      </c>
      <c r="AB172" s="10" t="str">
        <f t="shared" si="36"/>
        <v>NA</v>
      </c>
      <c r="AC172" s="10" t="str">
        <f t="shared" si="37"/>
        <v>NA</v>
      </c>
      <c r="AD172" s="10" t="str">
        <f t="shared" si="38"/>
        <v>NA</v>
      </c>
      <c r="AE172" s="10" t="str">
        <f t="shared" si="39"/>
        <v>NA</v>
      </c>
      <c r="AF172" s="1" t="s">
        <v>705</v>
      </c>
    </row>
    <row r="173" spans="1:32" x14ac:dyDescent="0.2">
      <c r="A173" s="1" t="s">
        <v>5408</v>
      </c>
      <c r="B173" s="1" t="s">
        <v>5</v>
      </c>
      <c r="C173" s="1" t="s">
        <v>1575</v>
      </c>
      <c r="D173" s="1" t="s">
        <v>1584</v>
      </c>
      <c r="E173" s="1" t="s">
        <v>3496</v>
      </c>
      <c r="F173" s="1" t="s">
        <v>660</v>
      </c>
      <c r="G173" s="4">
        <v>0.93440000000000001</v>
      </c>
      <c r="H173" s="28">
        <v>40724</v>
      </c>
      <c r="I173" s="29">
        <f t="shared" si="28"/>
        <v>2011</v>
      </c>
      <c r="J173" s="1" t="s">
        <v>5410</v>
      </c>
      <c r="K173" s="1" t="s">
        <v>2275</v>
      </c>
      <c r="L173" s="11" t="str">
        <f t="shared" si="29"/>
        <v>НЕТ</v>
      </c>
      <c r="M173" s="10" t="s">
        <v>1575</v>
      </c>
      <c r="N173" s="10" t="s">
        <v>1575</v>
      </c>
      <c r="O173" s="10">
        <v>0.19700000000000001</v>
      </c>
      <c r="P173" s="10">
        <f t="shared" si="30"/>
        <v>0.2108304794520548</v>
      </c>
      <c r="Q173" s="10" t="str">
        <f t="shared" si="31"/>
        <v>NA</v>
      </c>
      <c r="R173" s="10" t="s">
        <v>1575</v>
      </c>
      <c r="S173" s="10" t="s">
        <v>1575</v>
      </c>
      <c r="T173" s="10" t="s">
        <v>1575</v>
      </c>
      <c r="U173" s="10" t="s">
        <v>1575</v>
      </c>
      <c r="V173" s="10" t="s">
        <v>1575</v>
      </c>
      <c r="W173" s="10" t="s">
        <v>1575</v>
      </c>
      <c r="X173" s="10" t="str">
        <f t="shared" si="32"/>
        <v>NA</v>
      </c>
      <c r="Y173" s="10" t="str">
        <f t="shared" si="33"/>
        <v>NA</v>
      </c>
      <c r="Z173" s="10" t="str">
        <f t="shared" si="34"/>
        <v>NA</v>
      </c>
      <c r="AA173" s="10" t="str">
        <f t="shared" si="35"/>
        <v>NA</v>
      </c>
      <c r="AB173" s="10" t="str">
        <f t="shared" si="36"/>
        <v>NA</v>
      </c>
      <c r="AC173" s="10" t="str">
        <f t="shared" si="37"/>
        <v>NA</v>
      </c>
      <c r="AD173" s="10" t="str">
        <f t="shared" si="38"/>
        <v>NA</v>
      </c>
      <c r="AE173" s="10" t="str">
        <f t="shared" si="39"/>
        <v>NA</v>
      </c>
      <c r="AF173" s="1" t="s">
        <v>701</v>
      </c>
    </row>
    <row r="174" spans="1:32" x14ac:dyDescent="0.2">
      <c r="A174" s="1" t="s">
        <v>699</v>
      </c>
      <c r="B174" s="1" t="s">
        <v>698</v>
      </c>
      <c r="C174" s="1" t="s">
        <v>1575</v>
      </c>
      <c r="D174" s="1" t="s">
        <v>1580</v>
      </c>
      <c r="E174" s="1" t="s">
        <v>1593</v>
      </c>
      <c r="F174" s="1" t="s">
        <v>184</v>
      </c>
      <c r="G174" s="4">
        <v>1</v>
      </c>
      <c r="H174" s="28">
        <v>40908</v>
      </c>
      <c r="I174" s="29">
        <f t="shared" si="28"/>
        <v>2011</v>
      </c>
      <c r="J174" s="1" t="s">
        <v>2275</v>
      </c>
      <c r="K174" s="1" t="s">
        <v>7</v>
      </c>
      <c r="L174" s="11" t="str">
        <f t="shared" si="29"/>
        <v>НЕТ</v>
      </c>
      <c r="M174" s="10">
        <f>(32196+3937)/(32196/1000)</f>
        <v>1122.2822710895764</v>
      </c>
      <c r="N174" s="10" t="s">
        <v>1575</v>
      </c>
      <c r="O174" s="10">
        <v>36.133000000000003</v>
      </c>
      <c r="P174" s="10">
        <f t="shared" si="30"/>
        <v>36.133000000000003</v>
      </c>
      <c r="Q174" s="10" t="str">
        <f t="shared" si="31"/>
        <v>NA</v>
      </c>
      <c r="R174" s="10" t="s">
        <v>1575</v>
      </c>
      <c r="S174" s="10" t="s">
        <v>1575</v>
      </c>
      <c r="T174" s="10" t="s">
        <v>1575</v>
      </c>
      <c r="U174" s="10" t="s">
        <v>1575</v>
      </c>
      <c r="V174" s="10">
        <v>29.004999999999999</v>
      </c>
      <c r="W174" s="10" t="s">
        <v>1575</v>
      </c>
      <c r="X174" s="10" t="str">
        <f t="shared" si="32"/>
        <v>NA</v>
      </c>
      <c r="Y174" s="10" t="str">
        <f t="shared" si="33"/>
        <v>NA</v>
      </c>
      <c r="Z174" s="10" t="str">
        <f t="shared" si="34"/>
        <v>NA</v>
      </c>
      <c r="AA174" s="10">
        <f t="shared" si="35"/>
        <v>1.245750732632305</v>
      </c>
      <c r="AB174" s="10" t="str">
        <f t="shared" si="36"/>
        <v>NA</v>
      </c>
      <c r="AC174" s="10" t="str">
        <f t="shared" si="37"/>
        <v>NA</v>
      </c>
      <c r="AD174" s="10" t="str">
        <f t="shared" si="38"/>
        <v>NA</v>
      </c>
      <c r="AE174" s="10" t="str">
        <f t="shared" si="39"/>
        <v>NA</v>
      </c>
      <c r="AF174" s="1" t="s">
        <v>700</v>
      </c>
    </row>
    <row r="175" spans="1:32" x14ac:dyDescent="0.2">
      <c r="A175" s="1" t="s">
        <v>2275</v>
      </c>
      <c r="B175" s="1" t="s">
        <v>5</v>
      </c>
      <c r="C175" s="1" t="s">
        <v>3201</v>
      </c>
      <c r="D175" s="1" t="s">
        <v>1580</v>
      </c>
      <c r="E175" s="1" t="s">
        <v>1694</v>
      </c>
      <c r="F175" s="1" t="s">
        <v>68</v>
      </c>
      <c r="G175" s="4">
        <f>(32.199-0.0005)/21587</f>
        <v>1.4915689998610273E-3</v>
      </c>
      <c r="H175" s="28">
        <v>40908</v>
      </c>
      <c r="I175" s="29">
        <f t="shared" si="28"/>
        <v>2011</v>
      </c>
      <c r="J175" s="1" t="s">
        <v>7</v>
      </c>
      <c r="K175" s="1" t="s">
        <v>2275</v>
      </c>
      <c r="L175" s="11" t="str">
        <f t="shared" si="29"/>
        <v>ДА</v>
      </c>
      <c r="M175" s="10" t="s">
        <v>1575</v>
      </c>
      <c r="N175" s="10" t="s">
        <v>1575</v>
      </c>
      <c r="O175" s="10">
        <v>4.3129999999999997</v>
      </c>
      <c r="P175" s="10">
        <f t="shared" si="30"/>
        <v>2891.5859745019179</v>
      </c>
      <c r="Q175" s="10" t="str">
        <f t="shared" si="31"/>
        <v>NA</v>
      </c>
      <c r="R175" s="10" t="s">
        <v>1575</v>
      </c>
      <c r="S175" s="10" t="s">
        <v>1575</v>
      </c>
      <c r="T175" s="10" t="s">
        <v>1575</v>
      </c>
      <c r="U175" s="10">
        <v>315.89999999999998</v>
      </c>
      <c r="V175" s="10">
        <v>1268</v>
      </c>
      <c r="W175" s="10" t="s">
        <v>1575</v>
      </c>
      <c r="X175" s="10" t="str">
        <f t="shared" si="32"/>
        <v>NA</v>
      </c>
      <c r="Y175" s="10" t="str">
        <f t="shared" si="33"/>
        <v>NA</v>
      </c>
      <c r="Z175" s="10">
        <f t="shared" si="34"/>
        <v>9.1534851994362718</v>
      </c>
      <c r="AA175" s="10">
        <f t="shared" si="35"/>
        <v>2.2804305792601878</v>
      </c>
      <c r="AB175" s="10" t="str">
        <f t="shared" si="36"/>
        <v>NA</v>
      </c>
      <c r="AC175" s="10" t="str">
        <f t="shared" si="37"/>
        <v>NA</v>
      </c>
      <c r="AD175" s="10" t="str">
        <f t="shared" si="38"/>
        <v>NA</v>
      </c>
      <c r="AE175" s="10" t="str">
        <f t="shared" si="39"/>
        <v>NA</v>
      </c>
    </row>
    <row r="176" spans="1:32" x14ac:dyDescent="0.2">
      <c r="A176" s="1" t="s">
        <v>2275</v>
      </c>
      <c r="B176" s="1" t="s">
        <v>5</v>
      </c>
      <c r="C176" s="1" t="s">
        <v>3201</v>
      </c>
      <c r="D176" s="1" t="s">
        <v>1580</v>
      </c>
      <c r="E176" s="1" t="s">
        <v>1694</v>
      </c>
      <c r="F176" s="1" t="s">
        <v>68</v>
      </c>
      <c r="G176" s="4">
        <f>(44.783)/1000</f>
        <v>4.4783000000000003E-2</v>
      </c>
      <c r="H176" s="28">
        <v>40908</v>
      </c>
      <c r="I176" s="29">
        <f t="shared" si="28"/>
        <v>2011</v>
      </c>
      <c r="J176" s="1" t="s">
        <v>7</v>
      </c>
      <c r="K176" s="1" t="s">
        <v>2275</v>
      </c>
      <c r="L176" s="11" t="str">
        <f t="shared" si="29"/>
        <v>ДА</v>
      </c>
      <c r="M176" s="10" t="s">
        <v>1575</v>
      </c>
      <c r="N176" s="10" t="s">
        <v>1575</v>
      </c>
      <c r="O176" s="10">
        <v>2.649</v>
      </c>
      <c r="P176" s="10">
        <f t="shared" si="30"/>
        <v>59.151910323113675</v>
      </c>
      <c r="Q176" s="10" t="str">
        <f t="shared" si="31"/>
        <v>NA</v>
      </c>
      <c r="R176" s="10" t="s">
        <v>1575</v>
      </c>
      <c r="S176" s="10" t="s">
        <v>1575</v>
      </c>
      <c r="T176" s="10" t="s">
        <v>1575</v>
      </c>
      <c r="U176" s="10">
        <v>315.89999999999998</v>
      </c>
      <c r="V176" s="10">
        <v>1268</v>
      </c>
      <c r="W176" s="10" t="s">
        <v>1575</v>
      </c>
      <c r="X176" s="10" t="str">
        <f t="shared" si="32"/>
        <v>NA</v>
      </c>
      <c r="Y176" s="10" t="str">
        <f t="shared" si="33"/>
        <v>NA</v>
      </c>
      <c r="Z176" s="10">
        <f t="shared" si="34"/>
        <v>0.18724884559390212</v>
      </c>
      <c r="AA176" s="10">
        <f t="shared" si="35"/>
        <v>4.6649771548196904E-2</v>
      </c>
      <c r="AB176" s="10" t="str">
        <f t="shared" si="36"/>
        <v>NA</v>
      </c>
      <c r="AC176" s="10" t="str">
        <f t="shared" si="37"/>
        <v>NA</v>
      </c>
      <c r="AD176" s="10" t="str">
        <f t="shared" si="38"/>
        <v>NA</v>
      </c>
      <c r="AE176" s="10" t="str">
        <f t="shared" si="39"/>
        <v>NA</v>
      </c>
    </row>
    <row r="177" spans="1:32" x14ac:dyDescent="0.2">
      <c r="A177" s="1" t="s">
        <v>5411</v>
      </c>
      <c r="B177" s="1" t="s">
        <v>5</v>
      </c>
      <c r="C177" s="1" t="s">
        <v>1575</v>
      </c>
      <c r="D177" s="1" t="s">
        <v>1584</v>
      </c>
      <c r="E177" s="1" t="s">
        <v>3496</v>
      </c>
      <c r="F177" s="1" t="s">
        <v>660</v>
      </c>
      <c r="G177" s="4">
        <v>1</v>
      </c>
      <c r="H177" s="28">
        <v>41090</v>
      </c>
      <c r="I177" s="29">
        <f t="shared" si="28"/>
        <v>2012</v>
      </c>
      <c r="J177" s="1" t="s">
        <v>7</v>
      </c>
      <c r="K177" s="1" t="s">
        <v>2275</v>
      </c>
      <c r="L177" s="11" t="str">
        <f t="shared" si="29"/>
        <v>НЕТ</v>
      </c>
      <c r="M177" s="10" t="s">
        <v>1575</v>
      </c>
      <c r="N177" s="10" t="s">
        <v>1575</v>
      </c>
      <c r="O177" s="10">
        <v>37</v>
      </c>
      <c r="P177" s="10">
        <f t="shared" si="30"/>
        <v>37</v>
      </c>
      <c r="Q177" s="10" t="str">
        <f t="shared" si="31"/>
        <v>NA</v>
      </c>
      <c r="R177" s="10" t="s">
        <v>1575</v>
      </c>
      <c r="S177" s="10" t="s">
        <v>1575</v>
      </c>
      <c r="T177" s="10" t="s">
        <v>1575</v>
      </c>
      <c r="U177" s="10" t="s">
        <v>1575</v>
      </c>
      <c r="V177" s="10">
        <v>37</v>
      </c>
      <c r="W177" s="10" t="s">
        <v>1575</v>
      </c>
      <c r="X177" s="10" t="str">
        <f t="shared" si="32"/>
        <v>NA</v>
      </c>
      <c r="Y177" s="10" t="str">
        <f t="shared" si="33"/>
        <v>NA</v>
      </c>
      <c r="Z177" s="10" t="str">
        <f t="shared" si="34"/>
        <v>NA</v>
      </c>
      <c r="AA177" s="10">
        <f t="shared" si="35"/>
        <v>1</v>
      </c>
      <c r="AB177" s="10" t="str">
        <f t="shared" si="36"/>
        <v>NA</v>
      </c>
      <c r="AC177" s="10" t="str">
        <f t="shared" si="37"/>
        <v>NA</v>
      </c>
      <c r="AD177" s="10" t="str">
        <f t="shared" si="38"/>
        <v>NA</v>
      </c>
      <c r="AE177" s="10" t="str">
        <f t="shared" si="39"/>
        <v>NA</v>
      </c>
      <c r="AF177" s="1" t="s">
        <v>2306</v>
      </c>
    </row>
    <row r="178" spans="1:32" x14ac:dyDescent="0.2">
      <c r="A178" s="1" t="s">
        <v>5412</v>
      </c>
      <c r="B178" s="1" t="s">
        <v>5</v>
      </c>
      <c r="C178" s="1" t="s">
        <v>1575</v>
      </c>
      <c r="D178" s="1" t="s">
        <v>1584</v>
      </c>
      <c r="E178" s="1" t="s">
        <v>3486</v>
      </c>
      <c r="F178" s="1" t="s">
        <v>46</v>
      </c>
      <c r="G178" s="4">
        <v>1</v>
      </c>
      <c r="H178" s="28">
        <v>41274</v>
      </c>
      <c r="I178" s="29">
        <f t="shared" si="28"/>
        <v>2012</v>
      </c>
      <c r="J178" s="1" t="s">
        <v>7</v>
      </c>
      <c r="K178" s="1" t="s">
        <v>2275</v>
      </c>
      <c r="L178" s="11" t="str">
        <f t="shared" si="29"/>
        <v>НЕТ</v>
      </c>
      <c r="M178" s="10" t="s">
        <v>1575</v>
      </c>
      <c r="N178" s="10" t="s">
        <v>1575</v>
      </c>
      <c r="O178" s="10">
        <v>5.4</v>
      </c>
      <c r="P178" s="10">
        <f t="shared" si="30"/>
        <v>5.4</v>
      </c>
      <c r="Q178" s="10" t="str">
        <f t="shared" si="31"/>
        <v>NA</v>
      </c>
      <c r="R178" s="10" t="s">
        <v>1575</v>
      </c>
      <c r="S178" s="10" t="s">
        <v>1575</v>
      </c>
      <c r="T178" s="10" t="s">
        <v>1575</v>
      </c>
      <c r="U178" s="10" t="s">
        <v>1575</v>
      </c>
      <c r="V178" s="10" t="s">
        <v>1575</v>
      </c>
      <c r="W178" s="10" t="s">
        <v>1575</v>
      </c>
      <c r="X178" s="10" t="str">
        <f t="shared" si="32"/>
        <v>NA</v>
      </c>
      <c r="Y178" s="10" t="str">
        <f t="shared" si="33"/>
        <v>NA</v>
      </c>
      <c r="Z178" s="10" t="str">
        <f t="shared" si="34"/>
        <v>NA</v>
      </c>
      <c r="AA178" s="10" t="str">
        <f t="shared" si="35"/>
        <v>NA</v>
      </c>
      <c r="AB178" s="10" t="str">
        <f t="shared" si="36"/>
        <v>NA</v>
      </c>
      <c r="AC178" s="10" t="str">
        <f t="shared" si="37"/>
        <v>NA</v>
      </c>
      <c r="AD178" s="10" t="str">
        <f t="shared" si="38"/>
        <v>NA</v>
      </c>
      <c r="AE178" s="10" t="str">
        <f t="shared" si="39"/>
        <v>NA</v>
      </c>
      <c r="AF178" s="1" t="s">
        <v>2307</v>
      </c>
    </row>
    <row r="179" spans="1:32" x14ac:dyDescent="0.2">
      <c r="A179" s="1" t="s">
        <v>5413</v>
      </c>
      <c r="B179" s="1" t="s">
        <v>5</v>
      </c>
      <c r="C179" s="1" t="s">
        <v>1575</v>
      </c>
      <c r="D179" s="1" t="s">
        <v>1597</v>
      </c>
      <c r="E179" s="1" t="s">
        <v>1660</v>
      </c>
      <c r="F179" s="1" t="s">
        <v>16</v>
      </c>
      <c r="G179" s="4">
        <v>1</v>
      </c>
      <c r="H179" s="28">
        <v>41274</v>
      </c>
      <c r="I179" s="29">
        <f t="shared" si="28"/>
        <v>2012</v>
      </c>
      <c r="J179" s="1" t="s">
        <v>7</v>
      </c>
      <c r="K179" s="1" t="s">
        <v>2275</v>
      </c>
      <c r="L179" s="11" t="str">
        <f t="shared" si="29"/>
        <v>НЕТ</v>
      </c>
      <c r="M179" s="10" t="s">
        <v>1575</v>
      </c>
      <c r="N179" s="10" t="s">
        <v>1575</v>
      </c>
      <c r="O179" s="10">
        <f>2+27*30/1000</f>
        <v>2.81</v>
      </c>
      <c r="P179" s="10">
        <f t="shared" si="30"/>
        <v>2.81</v>
      </c>
      <c r="Q179" s="10" t="str">
        <f t="shared" si="31"/>
        <v>NA</v>
      </c>
      <c r="R179" s="10" t="s">
        <v>1575</v>
      </c>
      <c r="S179" s="10" t="s">
        <v>1575</v>
      </c>
      <c r="T179" s="10" t="s">
        <v>1575</v>
      </c>
      <c r="U179" s="10" t="s">
        <v>1575</v>
      </c>
      <c r="V179" s="10" t="s">
        <v>1575</v>
      </c>
      <c r="W179" s="10" t="s">
        <v>1575</v>
      </c>
      <c r="X179" s="10" t="str">
        <f t="shared" si="32"/>
        <v>NA</v>
      </c>
      <c r="Y179" s="10" t="str">
        <f t="shared" si="33"/>
        <v>NA</v>
      </c>
      <c r="Z179" s="10" t="str">
        <f t="shared" si="34"/>
        <v>NA</v>
      </c>
      <c r="AA179" s="10" t="str">
        <f t="shared" si="35"/>
        <v>NA</v>
      </c>
      <c r="AB179" s="10" t="str">
        <f t="shared" si="36"/>
        <v>NA</v>
      </c>
      <c r="AC179" s="10" t="str">
        <f t="shared" si="37"/>
        <v>NA</v>
      </c>
      <c r="AD179" s="10" t="str">
        <f t="shared" si="38"/>
        <v>NA</v>
      </c>
      <c r="AE179" s="10" t="str">
        <f t="shared" si="39"/>
        <v>NA</v>
      </c>
      <c r="AF179" s="1" t="s">
        <v>2308</v>
      </c>
    </row>
    <row r="180" spans="1:32" x14ac:dyDescent="0.2">
      <c r="A180" s="1" t="s">
        <v>2302</v>
      </c>
      <c r="B180" s="1" t="s">
        <v>5</v>
      </c>
      <c r="C180" s="1" t="s">
        <v>1575</v>
      </c>
      <c r="D180" s="1" t="s">
        <v>1578</v>
      </c>
      <c r="E180" s="16" t="s">
        <v>9250</v>
      </c>
      <c r="F180" s="1" t="s">
        <v>548</v>
      </c>
      <c r="G180" s="4">
        <v>0.38</v>
      </c>
      <c r="H180" s="28">
        <v>41274</v>
      </c>
      <c r="I180" s="29">
        <f t="shared" si="28"/>
        <v>2012</v>
      </c>
      <c r="J180" s="1" t="s">
        <v>7</v>
      </c>
      <c r="K180" s="1" t="s">
        <v>2275</v>
      </c>
      <c r="L180" s="11" t="str">
        <f t="shared" si="29"/>
        <v>НЕТ</v>
      </c>
      <c r="M180" s="10" t="s">
        <v>1575</v>
      </c>
      <c r="N180" s="10" t="s">
        <v>1575</v>
      </c>
      <c r="O180" s="10">
        <v>1.6</v>
      </c>
      <c r="P180" s="10">
        <f t="shared" si="30"/>
        <v>4.2105263157894735</v>
      </c>
      <c r="Q180" s="10" t="str">
        <f t="shared" si="31"/>
        <v>NA</v>
      </c>
      <c r="R180" s="10" t="s">
        <v>1575</v>
      </c>
      <c r="S180" s="10" t="s">
        <v>1575</v>
      </c>
      <c r="T180" s="10" t="s">
        <v>1575</v>
      </c>
      <c r="U180" s="10" t="s">
        <v>1575</v>
      </c>
      <c r="V180" s="10" t="s">
        <v>1575</v>
      </c>
      <c r="W180" s="10" t="s">
        <v>1575</v>
      </c>
      <c r="X180" s="10" t="str">
        <f t="shared" si="32"/>
        <v>NA</v>
      </c>
      <c r="Y180" s="10" t="str">
        <f t="shared" si="33"/>
        <v>NA</v>
      </c>
      <c r="Z180" s="10" t="str">
        <f t="shared" si="34"/>
        <v>NA</v>
      </c>
      <c r="AA180" s="10" t="str">
        <f t="shared" si="35"/>
        <v>NA</v>
      </c>
      <c r="AB180" s="10" t="str">
        <f t="shared" si="36"/>
        <v>NA</v>
      </c>
      <c r="AC180" s="10" t="str">
        <f t="shared" si="37"/>
        <v>NA</v>
      </c>
      <c r="AD180" s="10" t="str">
        <f t="shared" si="38"/>
        <v>NA</v>
      </c>
      <c r="AE180" s="10" t="str">
        <f t="shared" si="39"/>
        <v>NA</v>
      </c>
      <c r="AF180" s="1" t="s">
        <v>2309</v>
      </c>
    </row>
    <row r="181" spans="1:32" x14ac:dyDescent="0.2">
      <c r="A181" s="1" t="s">
        <v>5414</v>
      </c>
      <c r="B181" s="1" t="s">
        <v>5</v>
      </c>
      <c r="C181" s="1" t="s">
        <v>1575</v>
      </c>
      <c r="D181" s="1" t="s">
        <v>1578</v>
      </c>
      <c r="E181" s="1" t="s">
        <v>2007</v>
      </c>
      <c r="F181" s="1" t="s">
        <v>688</v>
      </c>
      <c r="G181" s="4">
        <v>0.96914</v>
      </c>
      <c r="H181" s="28">
        <v>41274</v>
      </c>
      <c r="I181" s="29">
        <f t="shared" si="28"/>
        <v>2012</v>
      </c>
      <c r="J181" s="1" t="s">
        <v>7</v>
      </c>
      <c r="K181" s="1" t="s">
        <v>2275</v>
      </c>
      <c r="L181" s="11" t="str">
        <f t="shared" si="29"/>
        <v>НЕТ</v>
      </c>
      <c r="M181" s="10" t="s">
        <v>1575</v>
      </c>
      <c r="N181" s="10" t="s">
        <v>1575</v>
      </c>
      <c r="O181" s="10">
        <v>13.3</v>
      </c>
      <c r="P181" s="10">
        <f t="shared" si="30"/>
        <v>13.723507439585612</v>
      </c>
      <c r="Q181" s="10" t="str">
        <f t="shared" si="31"/>
        <v>NA</v>
      </c>
      <c r="R181" s="10" t="s">
        <v>1575</v>
      </c>
      <c r="S181" s="10" t="s">
        <v>1575</v>
      </c>
      <c r="T181" s="10" t="s">
        <v>1575</v>
      </c>
      <c r="U181" s="10" t="s">
        <v>1575</v>
      </c>
      <c r="V181" s="10">
        <v>7.2</v>
      </c>
      <c r="W181" s="10" t="s">
        <v>1575</v>
      </c>
      <c r="X181" s="10" t="str">
        <f t="shared" si="32"/>
        <v>NA</v>
      </c>
      <c r="Y181" s="10" t="str">
        <f t="shared" si="33"/>
        <v>NA</v>
      </c>
      <c r="Z181" s="10" t="str">
        <f t="shared" si="34"/>
        <v>NA</v>
      </c>
      <c r="AA181" s="10">
        <f t="shared" si="35"/>
        <v>1.906042699942446</v>
      </c>
      <c r="AB181" s="10" t="str">
        <f t="shared" si="36"/>
        <v>NA</v>
      </c>
      <c r="AC181" s="10" t="str">
        <f t="shared" si="37"/>
        <v>NA</v>
      </c>
      <c r="AD181" s="10" t="str">
        <f t="shared" si="38"/>
        <v>NA</v>
      </c>
      <c r="AE181" s="10" t="str">
        <f t="shared" si="39"/>
        <v>NA</v>
      </c>
      <c r="AF181" s="1" t="s">
        <v>2300</v>
      </c>
    </row>
    <row r="182" spans="1:32" x14ac:dyDescent="0.2">
      <c r="A182" s="1" t="s">
        <v>2304</v>
      </c>
      <c r="B182" s="1" t="s">
        <v>107</v>
      </c>
      <c r="C182" s="1" t="s">
        <v>1575</v>
      </c>
      <c r="D182" s="1" t="s">
        <v>1580</v>
      </c>
      <c r="E182" s="1" t="s">
        <v>1694</v>
      </c>
      <c r="F182" s="1" t="s">
        <v>68</v>
      </c>
      <c r="G182" s="4">
        <v>1</v>
      </c>
      <c r="H182" s="28">
        <v>40967</v>
      </c>
      <c r="I182" s="29">
        <f t="shared" si="28"/>
        <v>2012</v>
      </c>
      <c r="J182" s="1" t="s">
        <v>2275</v>
      </c>
      <c r="K182" s="1" t="s">
        <v>7</v>
      </c>
      <c r="L182" s="11" t="str">
        <f t="shared" si="29"/>
        <v>НЕТ</v>
      </c>
      <c r="M182" s="10" t="s">
        <v>1575</v>
      </c>
      <c r="N182" s="10">
        <v>500</v>
      </c>
      <c r="O182" s="10">
        <v>20</v>
      </c>
      <c r="P182" s="10">
        <f t="shared" si="30"/>
        <v>20</v>
      </c>
      <c r="Q182" s="10" t="str">
        <f t="shared" si="31"/>
        <v>NA</v>
      </c>
      <c r="R182" s="10" t="s">
        <v>1575</v>
      </c>
      <c r="S182" s="10" t="s">
        <v>1575</v>
      </c>
      <c r="T182" s="10" t="s">
        <v>1575</v>
      </c>
      <c r="U182" s="10" t="s">
        <v>1575</v>
      </c>
      <c r="V182" s="10">
        <v>14.8</v>
      </c>
      <c r="W182" s="10" t="s">
        <v>1575</v>
      </c>
      <c r="X182" s="10" t="str">
        <f t="shared" si="32"/>
        <v>NA</v>
      </c>
      <c r="Y182" s="10" t="str">
        <f t="shared" si="33"/>
        <v>NA</v>
      </c>
      <c r="Z182" s="10" t="str">
        <f t="shared" si="34"/>
        <v>NA</v>
      </c>
      <c r="AA182" s="10">
        <f t="shared" si="35"/>
        <v>1.3513513513513513</v>
      </c>
      <c r="AB182" s="10" t="str">
        <f t="shared" si="36"/>
        <v>NA</v>
      </c>
      <c r="AC182" s="10" t="str">
        <f t="shared" si="37"/>
        <v>NA</v>
      </c>
      <c r="AD182" s="10" t="str">
        <f t="shared" si="38"/>
        <v>NA</v>
      </c>
      <c r="AE182" s="10" t="str">
        <f t="shared" si="39"/>
        <v>NA</v>
      </c>
      <c r="AF182" s="1" t="s">
        <v>2305</v>
      </c>
    </row>
    <row r="183" spans="1:32" x14ac:dyDescent="0.2">
      <c r="A183" s="1" t="s">
        <v>5415</v>
      </c>
      <c r="B183" s="1" t="s">
        <v>5</v>
      </c>
      <c r="C183" s="1" t="s">
        <v>1575</v>
      </c>
      <c r="D183" s="1" t="s">
        <v>1580</v>
      </c>
      <c r="E183" s="1" t="s">
        <v>1694</v>
      </c>
      <c r="F183" s="1" t="s">
        <v>68</v>
      </c>
      <c r="G183" s="4">
        <v>0.7</v>
      </c>
      <c r="H183" s="28">
        <v>41152</v>
      </c>
      <c r="I183" s="29">
        <f t="shared" si="28"/>
        <v>2012</v>
      </c>
      <c r="J183" s="1" t="s">
        <v>2275</v>
      </c>
      <c r="K183" s="1" t="s">
        <v>7</v>
      </c>
      <c r="L183" s="11" t="str">
        <f t="shared" si="29"/>
        <v>НЕТ</v>
      </c>
      <c r="M183" s="10" t="s">
        <v>1575</v>
      </c>
      <c r="N183" s="10" t="s">
        <v>1575</v>
      </c>
      <c r="O183" s="10">
        <v>5.2</v>
      </c>
      <c r="P183" s="10">
        <f t="shared" si="30"/>
        <v>7.4285714285714297</v>
      </c>
      <c r="Q183" s="10" t="str">
        <f t="shared" si="31"/>
        <v>NA</v>
      </c>
      <c r="R183" s="10" t="s">
        <v>1575</v>
      </c>
      <c r="S183" s="10" t="s">
        <v>1575</v>
      </c>
      <c r="T183" s="10" t="s">
        <v>1575</v>
      </c>
      <c r="U183" s="10" t="s">
        <v>1575</v>
      </c>
      <c r="V183" s="10">
        <v>7</v>
      </c>
      <c r="W183" s="10" t="s">
        <v>1575</v>
      </c>
      <c r="X183" s="10" t="str">
        <f t="shared" si="32"/>
        <v>NA</v>
      </c>
      <c r="Y183" s="10" t="str">
        <f t="shared" si="33"/>
        <v>NA</v>
      </c>
      <c r="Z183" s="10" t="str">
        <f t="shared" si="34"/>
        <v>NA</v>
      </c>
      <c r="AA183" s="10">
        <f t="shared" si="35"/>
        <v>1.0612244897959184</v>
      </c>
      <c r="AB183" s="10" t="str">
        <f t="shared" si="36"/>
        <v>NA</v>
      </c>
      <c r="AC183" s="10" t="str">
        <f t="shared" si="37"/>
        <v>NA</v>
      </c>
      <c r="AD183" s="10" t="str">
        <f t="shared" si="38"/>
        <v>NA</v>
      </c>
      <c r="AE183" s="10" t="str">
        <f t="shared" si="39"/>
        <v>NA</v>
      </c>
      <c r="AF183" s="1" t="s">
        <v>2303</v>
      </c>
    </row>
    <row r="184" spans="1:32" x14ac:dyDescent="0.2">
      <c r="A184" s="1" t="s">
        <v>682</v>
      </c>
      <c r="B184" s="1" t="s">
        <v>133</v>
      </c>
      <c r="C184" s="1" t="s">
        <v>1575</v>
      </c>
      <c r="D184" s="1" t="s">
        <v>1580</v>
      </c>
      <c r="E184" s="1" t="s">
        <v>1694</v>
      </c>
      <c r="F184" s="1" t="s">
        <v>68</v>
      </c>
      <c r="G184" s="4">
        <v>0.99850000000000005</v>
      </c>
      <c r="H184" s="28">
        <v>41274</v>
      </c>
      <c r="I184" s="29">
        <f t="shared" si="28"/>
        <v>2012</v>
      </c>
      <c r="J184" s="1" t="s">
        <v>2275</v>
      </c>
      <c r="K184" s="1" t="s">
        <v>696</v>
      </c>
      <c r="L184" s="11" t="str">
        <f t="shared" si="29"/>
        <v>НЕТ</v>
      </c>
      <c r="M184" s="10" t="s">
        <v>1575</v>
      </c>
      <c r="N184" s="10">
        <f>(6.5+0.4)*1000*0.43233</f>
        <v>2983.0769999999998</v>
      </c>
      <c r="O184" s="10">
        <v>118.7</v>
      </c>
      <c r="P184" s="10">
        <f t="shared" si="30"/>
        <v>118.87831747621432</v>
      </c>
      <c r="Q184" s="10" t="str">
        <f t="shared" si="31"/>
        <v>NA</v>
      </c>
      <c r="R184" s="10" t="s">
        <v>1575</v>
      </c>
      <c r="S184" s="10" t="s">
        <v>1575</v>
      </c>
      <c r="T184" s="10" t="s">
        <v>1575</v>
      </c>
      <c r="U184" s="10" t="s">
        <v>1575</v>
      </c>
      <c r="V184" s="10">
        <v>114.6</v>
      </c>
      <c r="W184" s="10" t="s">
        <v>1575</v>
      </c>
      <c r="X184" s="10" t="str">
        <f t="shared" si="32"/>
        <v>NA</v>
      </c>
      <c r="Y184" s="10" t="str">
        <f t="shared" si="33"/>
        <v>NA</v>
      </c>
      <c r="Z184" s="10" t="str">
        <f t="shared" si="34"/>
        <v>NA</v>
      </c>
      <c r="AA184" s="10">
        <f t="shared" si="35"/>
        <v>1.0373326132304914</v>
      </c>
      <c r="AB184" s="10" t="str">
        <f t="shared" si="36"/>
        <v>NA</v>
      </c>
      <c r="AC184" s="10" t="str">
        <f t="shared" si="37"/>
        <v>NA</v>
      </c>
      <c r="AD184" s="10" t="str">
        <f t="shared" si="38"/>
        <v>NA</v>
      </c>
      <c r="AE184" s="10" t="str">
        <f t="shared" si="39"/>
        <v>NA</v>
      </c>
      <c r="AF184" s="1" t="s">
        <v>697</v>
      </c>
    </row>
    <row r="185" spans="1:32" x14ac:dyDescent="0.2">
      <c r="A185" s="1" t="s">
        <v>2275</v>
      </c>
      <c r="B185" s="1" t="s">
        <v>5</v>
      </c>
      <c r="C185" s="1" t="s">
        <v>3201</v>
      </c>
      <c r="D185" s="1" t="s">
        <v>1580</v>
      </c>
      <c r="E185" s="1" t="s">
        <v>1694</v>
      </c>
      <c r="F185" s="1" t="s">
        <v>68</v>
      </c>
      <c r="G185" s="4">
        <f>(56.4-32.2)/21587</f>
        <v>1.1210450734238197E-3</v>
      </c>
      <c r="H185" s="28">
        <v>41274</v>
      </c>
      <c r="I185" s="29">
        <f t="shared" si="28"/>
        <v>2012</v>
      </c>
      <c r="J185" s="1" t="s">
        <v>2275</v>
      </c>
      <c r="K185" s="1" t="s">
        <v>7</v>
      </c>
      <c r="L185" s="11" t="str">
        <f t="shared" si="29"/>
        <v>ДА</v>
      </c>
      <c r="M185" s="10" t="s">
        <v>1575</v>
      </c>
      <c r="N185" s="10" t="s">
        <v>1575</v>
      </c>
      <c r="O185" s="10">
        <f>5.4-4.3</f>
        <v>1.1000000000000005</v>
      </c>
      <c r="P185" s="10">
        <f t="shared" si="30"/>
        <v>981.22727272727332</v>
      </c>
      <c r="Q185" s="10" t="str">
        <f t="shared" si="31"/>
        <v>NA</v>
      </c>
      <c r="R185" s="10" t="s">
        <v>1575</v>
      </c>
      <c r="S185" s="10" t="s">
        <v>1575</v>
      </c>
      <c r="T185" s="10" t="s">
        <v>1575</v>
      </c>
      <c r="U185" s="10">
        <v>347.9</v>
      </c>
      <c r="V185" s="10">
        <v>1623.8</v>
      </c>
      <c r="W185" s="10" t="s">
        <v>1575</v>
      </c>
      <c r="X185" s="10" t="str">
        <f t="shared" si="32"/>
        <v>NA</v>
      </c>
      <c r="Y185" s="10" t="str">
        <f t="shared" si="33"/>
        <v>NA</v>
      </c>
      <c r="Z185" s="10">
        <f t="shared" si="34"/>
        <v>2.8204290679139792</v>
      </c>
      <c r="AA185" s="10">
        <f t="shared" si="35"/>
        <v>0.60427840419218704</v>
      </c>
      <c r="AB185" s="10" t="str">
        <f t="shared" si="36"/>
        <v>NA</v>
      </c>
      <c r="AC185" s="10" t="str">
        <f t="shared" si="37"/>
        <v>NA</v>
      </c>
      <c r="AD185" s="10" t="str">
        <f t="shared" si="38"/>
        <v>NA</v>
      </c>
      <c r="AE185" s="10" t="str">
        <f t="shared" si="39"/>
        <v>NA</v>
      </c>
    </row>
    <row r="186" spans="1:32" x14ac:dyDescent="0.2">
      <c r="A186" s="1" t="s">
        <v>2275</v>
      </c>
      <c r="B186" s="1" t="s">
        <v>5</v>
      </c>
      <c r="C186" s="1" t="s">
        <v>3201</v>
      </c>
      <c r="D186" s="1" t="s">
        <v>1580</v>
      </c>
      <c r="E186" s="1" t="s">
        <v>1694</v>
      </c>
      <c r="F186" s="1" t="s">
        <v>68</v>
      </c>
      <c r="G186" s="4">
        <f>(44.8-32.1)/1000</f>
        <v>1.2699999999999996E-2</v>
      </c>
      <c r="H186" s="28">
        <v>41274</v>
      </c>
      <c r="I186" s="29">
        <f t="shared" si="28"/>
        <v>2012</v>
      </c>
      <c r="J186" s="1" t="s">
        <v>7</v>
      </c>
      <c r="K186" s="1" t="s">
        <v>2275</v>
      </c>
      <c r="L186" s="11" t="str">
        <f t="shared" si="29"/>
        <v>ДА</v>
      </c>
      <c r="M186" s="10" t="s">
        <v>1575</v>
      </c>
      <c r="N186" s="10" t="s">
        <v>1575</v>
      </c>
      <c r="O186" s="10">
        <f>2.7-2.2</f>
        <v>0.5</v>
      </c>
      <c r="P186" s="10">
        <f t="shared" si="30"/>
        <v>39.370078740157496</v>
      </c>
      <c r="Q186" s="10" t="str">
        <f t="shared" si="31"/>
        <v>NA</v>
      </c>
      <c r="R186" s="10" t="s">
        <v>1575</v>
      </c>
      <c r="S186" s="10" t="s">
        <v>1575</v>
      </c>
      <c r="T186" s="10" t="s">
        <v>1575</v>
      </c>
      <c r="U186" s="10">
        <v>347.9</v>
      </c>
      <c r="V186" s="10">
        <v>1623.8</v>
      </c>
      <c r="W186" s="10" t="s">
        <v>1575</v>
      </c>
      <c r="X186" s="10" t="str">
        <f t="shared" si="32"/>
        <v>NA</v>
      </c>
      <c r="Y186" s="10" t="str">
        <f t="shared" si="33"/>
        <v>NA</v>
      </c>
      <c r="Z186" s="10">
        <f t="shared" si="34"/>
        <v>0.11316492883057631</v>
      </c>
      <c r="AA186" s="10">
        <f t="shared" si="35"/>
        <v>2.4245645239658515E-2</v>
      </c>
      <c r="AB186" s="10" t="str">
        <f t="shared" si="36"/>
        <v>NA</v>
      </c>
      <c r="AC186" s="10" t="str">
        <f t="shared" si="37"/>
        <v>NA</v>
      </c>
      <c r="AD186" s="10" t="str">
        <f t="shared" si="38"/>
        <v>NA</v>
      </c>
      <c r="AE186" s="10" t="str">
        <f t="shared" si="39"/>
        <v>NA</v>
      </c>
    </row>
    <row r="187" spans="1:32" x14ac:dyDescent="0.2">
      <c r="A187" s="1" t="s">
        <v>5416</v>
      </c>
      <c r="B187" s="1" t="s">
        <v>5</v>
      </c>
      <c r="C187" s="1" t="s">
        <v>1575</v>
      </c>
      <c r="D187" s="1" t="s">
        <v>1813</v>
      </c>
      <c r="E187" s="1" t="s">
        <v>1587</v>
      </c>
      <c r="F187" s="1" t="s">
        <v>2301</v>
      </c>
      <c r="G187" s="6" t="s">
        <v>691</v>
      </c>
      <c r="H187" s="28">
        <v>41486</v>
      </c>
      <c r="I187" s="29">
        <f t="shared" si="28"/>
        <v>2013</v>
      </c>
      <c r="J187" s="1" t="s">
        <v>2275</v>
      </c>
      <c r="K187" s="1" t="s">
        <v>3054</v>
      </c>
      <c r="L187" s="11" t="str">
        <f t="shared" si="29"/>
        <v>НЕТ</v>
      </c>
      <c r="M187" s="10">
        <v>59.1</v>
      </c>
      <c r="N187" s="10" t="s">
        <v>1575</v>
      </c>
      <c r="O187" s="10">
        <v>1.964</v>
      </c>
      <c r="P187" s="10" t="str">
        <f t="shared" si="30"/>
        <v>NA</v>
      </c>
      <c r="Q187" s="10" t="str">
        <f t="shared" si="31"/>
        <v>NA</v>
      </c>
      <c r="R187" s="10" t="s">
        <v>1575</v>
      </c>
      <c r="S187" s="10" t="s">
        <v>1575</v>
      </c>
      <c r="T187" s="10" t="s">
        <v>1575</v>
      </c>
      <c r="U187" s="10" t="s">
        <v>1575</v>
      </c>
      <c r="V187" s="10">
        <f>2.165-1.705-0.378</f>
        <v>8.1999999999999962E-2</v>
      </c>
      <c r="W187" s="10">
        <f>-1.195-0.28</f>
        <v>-1.4750000000000001</v>
      </c>
      <c r="X187" s="10">
        <f t="shared" si="32"/>
        <v>-1.3930000000000002</v>
      </c>
      <c r="Y187" s="10" t="str">
        <f t="shared" si="33"/>
        <v>NA</v>
      </c>
      <c r="Z187" s="10" t="str">
        <f t="shared" si="34"/>
        <v>NA</v>
      </c>
      <c r="AA187" s="10" t="str">
        <f t="shared" si="35"/>
        <v>NA</v>
      </c>
      <c r="AB187" s="10" t="str">
        <f t="shared" si="36"/>
        <v>NA</v>
      </c>
      <c r="AC187" s="10" t="str">
        <f t="shared" si="37"/>
        <v>NA</v>
      </c>
      <c r="AD187" s="10" t="str">
        <f t="shared" si="38"/>
        <v>NA</v>
      </c>
      <c r="AE187" s="10" t="str">
        <f t="shared" si="39"/>
        <v>NA</v>
      </c>
      <c r="AF187" s="1" t="s">
        <v>3100</v>
      </c>
    </row>
    <row r="188" spans="1:32" x14ac:dyDescent="0.2">
      <c r="A188" s="1" t="s">
        <v>5415</v>
      </c>
      <c r="B188" s="1" t="s">
        <v>5</v>
      </c>
      <c r="C188" s="1" t="s">
        <v>1575</v>
      </c>
      <c r="D188" s="1" t="s">
        <v>1580</v>
      </c>
      <c r="E188" s="1" t="s">
        <v>1694</v>
      </c>
      <c r="F188" s="1" t="s">
        <v>68</v>
      </c>
      <c r="G188" s="4">
        <f>74%-70%</f>
        <v>4.0000000000000036E-2</v>
      </c>
      <c r="H188" s="28">
        <v>41547</v>
      </c>
      <c r="I188" s="29">
        <f t="shared" si="28"/>
        <v>2013</v>
      </c>
      <c r="J188" s="1" t="s">
        <v>2275</v>
      </c>
      <c r="K188" s="1" t="s">
        <v>692</v>
      </c>
      <c r="L188" s="11" t="str">
        <f t="shared" si="29"/>
        <v>НЕТ</v>
      </c>
      <c r="M188" s="10" t="s">
        <v>1575</v>
      </c>
      <c r="N188" s="10" t="s">
        <v>1575</v>
      </c>
      <c r="O188" s="10">
        <v>0.4</v>
      </c>
      <c r="P188" s="10">
        <f t="shared" si="30"/>
        <v>9.9999999999999911</v>
      </c>
      <c r="Q188" s="10" t="str">
        <f t="shared" si="31"/>
        <v>NA</v>
      </c>
      <c r="R188" s="10" t="s">
        <v>1575</v>
      </c>
      <c r="S188" s="10" t="s">
        <v>1575</v>
      </c>
      <c r="T188" s="10" t="s">
        <v>1575</v>
      </c>
      <c r="U188" s="10" t="s">
        <v>1575</v>
      </c>
      <c r="V188" s="10" t="s">
        <v>1575</v>
      </c>
      <c r="W188" s="10" t="s">
        <v>1575</v>
      </c>
      <c r="X188" s="10" t="str">
        <f t="shared" si="32"/>
        <v>NA</v>
      </c>
      <c r="Y188" s="10" t="str">
        <f t="shared" si="33"/>
        <v>NA</v>
      </c>
      <c r="Z188" s="10" t="str">
        <f t="shared" si="34"/>
        <v>NA</v>
      </c>
      <c r="AA188" s="10" t="str">
        <f t="shared" si="35"/>
        <v>NA</v>
      </c>
      <c r="AB188" s="10" t="str">
        <f t="shared" si="36"/>
        <v>NA</v>
      </c>
      <c r="AC188" s="10" t="str">
        <f t="shared" si="37"/>
        <v>NA</v>
      </c>
      <c r="AD188" s="10" t="str">
        <f t="shared" si="38"/>
        <v>NA</v>
      </c>
      <c r="AE188" s="10" t="str">
        <f t="shared" si="39"/>
        <v>NA</v>
      </c>
      <c r="AF188" s="1" t="s">
        <v>693</v>
      </c>
    </row>
    <row r="189" spans="1:32" x14ac:dyDescent="0.2">
      <c r="A189" s="1" t="s">
        <v>695</v>
      </c>
      <c r="B189" s="1" t="s">
        <v>133</v>
      </c>
      <c r="C189" s="1" t="s">
        <v>1575</v>
      </c>
      <c r="D189" s="1" t="s">
        <v>1580</v>
      </c>
      <c r="E189" s="1" t="s">
        <v>1694</v>
      </c>
      <c r="F189" s="1" t="s">
        <v>68</v>
      </c>
      <c r="G189" s="6" t="s">
        <v>11</v>
      </c>
      <c r="H189" s="28">
        <v>41394</v>
      </c>
      <c r="I189" s="29">
        <f t="shared" si="28"/>
        <v>2013</v>
      </c>
      <c r="J189" s="1" t="s">
        <v>2275</v>
      </c>
      <c r="K189" s="1" t="s">
        <v>7</v>
      </c>
      <c r="L189" s="11" t="str">
        <f t="shared" si="29"/>
        <v>НЕТ</v>
      </c>
      <c r="M189" s="10" t="s">
        <v>1575</v>
      </c>
      <c r="N189" s="10" t="s">
        <v>1575</v>
      </c>
      <c r="O189" s="10">
        <v>6.9</v>
      </c>
      <c r="P189" s="10" t="str">
        <f t="shared" si="30"/>
        <v>NA</v>
      </c>
      <c r="Q189" s="10" t="str">
        <f t="shared" si="31"/>
        <v>NA</v>
      </c>
      <c r="R189" s="10" t="s">
        <v>1575</v>
      </c>
      <c r="S189" s="10" t="s">
        <v>1575</v>
      </c>
      <c r="T189" s="10" t="s">
        <v>1575</v>
      </c>
      <c r="U189" s="10" t="s">
        <v>1575</v>
      </c>
      <c r="V189" s="10">
        <v>6.9</v>
      </c>
      <c r="W189" s="10" t="s">
        <v>1575</v>
      </c>
      <c r="X189" s="10" t="str">
        <f t="shared" si="32"/>
        <v>NA</v>
      </c>
      <c r="Y189" s="10" t="str">
        <f t="shared" si="33"/>
        <v>NA</v>
      </c>
      <c r="Z189" s="10" t="str">
        <f t="shared" si="34"/>
        <v>NA</v>
      </c>
      <c r="AA189" s="10" t="str">
        <f t="shared" si="35"/>
        <v>NA</v>
      </c>
      <c r="AB189" s="10" t="str">
        <f t="shared" si="36"/>
        <v>NA</v>
      </c>
      <c r="AC189" s="10" t="str">
        <f t="shared" si="37"/>
        <v>NA</v>
      </c>
      <c r="AD189" s="10" t="str">
        <f t="shared" si="38"/>
        <v>NA</v>
      </c>
      <c r="AE189" s="10" t="str">
        <f t="shared" si="39"/>
        <v>NA</v>
      </c>
      <c r="AF189" s="1" t="s">
        <v>694</v>
      </c>
    </row>
    <row r="190" spans="1:32" x14ac:dyDescent="0.2">
      <c r="A190" s="1" t="s">
        <v>2275</v>
      </c>
      <c r="B190" s="1" t="s">
        <v>5</v>
      </c>
      <c r="C190" s="1" t="s">
        <v>3201</v>
      </c>
      <c r="D190" s="1" t="s">
        <v>1580</v>
      </c>
      <c r="E190" s="1" t="s">
        <v>1694</v>
      </c>
      <c r="F190" s="1" t="s">
        <v>68</v>
      </c>
      <c r="G190" s="4">
        <f>(56.4-51.4)/21587</f>
        <v>2.3162088293880576E-4</v>
      </c>
      <c r="H190" s="28">
        <v>41639</v>
      </c>
      <c r="I190" s="29">
        <f t="shared" si="28"/>
        <v>2013</v>
      </c>
      <c r="J190" s="1" t="s">
        <v>7</v>
      </c>
      <c r="K190" s="1" t="s">
        <v>2275</v>
      </c>
      <c r="L190" s="11" t="str">
        <f t="shared" ref="L190:L191" si="41">IF(OR(A190=J190,A190=K190),"ДА","НЕТ")</f>
        <v>ДА</v>
      </c>
      <c r="M190" s="10" t="s">
        <v>1575</v>
      </c>
      <c r="N190" s="10" t="s">
        <v>1575</v>
      </c>
      <c r="O190" s="10">
        <f>5.4-4.7</f>
        <v>0.70000000000000018</v>
      </c>
      <c r="P190" s="10">
        <f t="shared" si="30"/>
        <v>3022.1800000000007</v>
      </c>
      <c r="Q190" s="10" t="str">
        <f t="shared" si="31"/>
        <v>NA</v>
      </c>
      <c r="R190" s="10" t="s">
        <v>1575</v>
      </c>
      <c r="S190" s="10" t="s">
        <v>1575</v>
      </c>
      <c r="T190" s="10" t="s">
        <v>1575</v>
      </c>
      <c r="U190" s="10">
        <v>362</v>
      </c>
      <c r="V190" s="10">
        <v>1881.4</v>
      </c>
      <c r="W190" s="10" t="s">
        <v>1575</v>
      </c>
      <c r="X190" s="10" t="str">
        <f t="shared" si="32"/>
        <v>NA</v>
      </c>
      <c r="Y190" s="10" t="str">
        <f t="shared" si="33"/>
        <v>NA</v>
      </c>
      <c r="Z190" s="10">
        <f t="shared" si="34"/>
        <v>8.3485635359116035</v>
      </c>
      <c r="AA190" s="10">
        <f t="shared" si="35"/>
        <v>1.6063463378335285</v>
      </c>
      <c r="AB190" s="10" t="str">
        <f t="shared" si="36"/>
        <v>NA</v>
      </c>
      <c r="AC190" s="10" t="str">
        <f t="shared" si="37"/>
        <v>NA</v>
      </c>
      <c r="AD190" s="10" t="str">
        <f t="shared" si="38"/>
        <v>NA</v>
      </c>
      <c r="AE190" s="10" t="str">
        <f t="shared" si="39"/>
        <v>NA</v>
      </c>
    </row>
    <row r="191" spans="1:32" x14ac:dyDescent="0.2">
      <c r="A191" s="1" t="s">
        <v>2275</v>
      </c>
      <c r="B191" s="1" t="s">
        <v>5</v>
      </c>
      <c r="C191" s="1" t="s">
        <v>3201</v>
      </c>
      <c r="D191" s="1" t="s">
        <v>1580</v>
      </c>
      <c r="E191" s="1" t="s">
        <v>1694</v>
      </c>
      <c r="F191" s="1" t="s">
        <v>68</v>
      </c>
      <c r="G191" s="4">
        <f>(32.1-30)/1000</f>
        <v>2.1000000000000016E-3</v>
      </c>
      <c r="H191" s="28">
        <v>41639</v>
      </c>
      <c r="I191" s="29">
        <f t="shared" si="28"/>
        <v>2013</v>
      </c>
      <c r="J191" s="1" t="s">
        <v>7</v>
      </c>
      <c r="K191" s="1" t="s">
        <v>2275</v>
      </c>
      <c r="L191" s="11" t="str">
        <f t="shared" si="41"/>
        <v>ДА</v>
      </c>
      <c r="M191" s="10" t="s">
        <v>1575</v>
      </c>
      <c r="N191" s="10" t="s">
        <v>1575</v>
      </c>
      <c r="O191" s="10">
        <f>2.5-2.2</f>
        <v>0.29999999999999982</v>
      </c>
      <c r="P191" s="10">
        <f t="shared" si="30"/>
        <v>142.85714285714266</v>
      </c>
      <c r="Q191" s="10" t="str">
        <f t="shared" si="31"/>
        <v>NA</v>
      </c>
      <c r="R191" s="10" t="s">
        <v>1575</v>
      </c>
      <c r="S191" s="10" t="s">
        <v>1575</v>
      </c>
      <c r="T191" s="10" t="s">
        <v>1575</v>
      </c>
      <c r="U191" s="10">
        <v>362</v>
      </c>
      <c r="V191" s="10">
        <v>1881.4</v>
      </c>
      <c r="W191" s="10" t="s">
        <v>1575</v>
      </c>
      <c r="X191" s="10" t="str">
        <f t="shared" si="32"/>
        <v>NA</v>
      </c>
      <c r="Y191" s="10" t="str">
        <f t="shared" si="33"/>
        <v>NA</v>
      </c>
      <c r="Z191" s="10">
        <f t="shared" si="34"/>
        <v>0.39463299131807367</v>
      </c>
      <c r="AA191" s="10">
        <f t="shared" si="35"/>
        <v>7.5931297362146627E-2</v>
      </c>
      <c r="AB191" s="10" t="str">
        <f t="shared" si="36"/>
        <v>NA</v>
      </c>
      <c r="AC191" s="10" t="str">
        <f t="shared" si="37"/>
        <v>NA</v>
      </c>
      <c r="AD191" s="10" t="str">
        <f t="shared" si="38"/>
        <v>NA</v>
      </c>
      <c r="AE191" s="10" t="str">
        <f t="shared" si="39"/>
        <v>NA</v>
      </c>
    </row>
    <row r="192" spans="1:32" x14ac:dyDescent="0.2">
      <c r="A192" s="1" t="s">
        <v>2275</v>
      </c>
      <c r="B192" s="1" t="s">
        <v>5</v>
      </c>
      <c r="C192" s="1" t="s">
        <v>3201</v>
      </c>
      <c r="D192" s="1" t="s">
        <v>1580</v>
      </c>
      <c r="E192" s="1" t="s">
        <v>1694</v>
      </c>
      <c r="F192" s="1" t="s">
        <v>68</v>
      </c>
      <c r="G192" s="4">
        <f>(57-51.4)/21587</f>
        <v>2.5941538889146253E-4</v>
      </c>
      <c r="H192" s="28">
        <v>42004</v>
      </c>
      <c r="I192" s="29">
        <f t="shared" ref="I192:I825" si="42">YEAR(H192)</f>
        <v>2014</v>
      </c>
      <c r="J192" s="1" t="s">
        <v>2275</v>
      </c>
      <c r="K192" s="1" t="s">
        <v>7</v>
      </c>
      <c r="L192" s="11" t="str">
        <f t="shared" ref="L192:L193" si="43">IF(OR(A192=J192,A192=K192),"ДА","НЕТ")</f>
        <v>ДА</v>
      </c>
      <c r="M192" s="10" t="s">
        <v>1575</v>
      </c>
      <c r="N192" s="10" t="s">
        <v>1575</v>
      </c>
      <c r="O192" s="10">
        <f>4.8-4.7</f>
        <v>9.9999999999999645E-2</v>
      </c>
      <c r="P192" s="10">
        <f t="shared" si="30"/>
        <v>385.48214285714135</v>
      </c>
      <c r="Q192" s="10" t="str">
        <f t="shared" si="31"/>
        <v>NA</v>
      </c>
      <c r="R192" s="10" t="s">
        <v>1575</v>
      </c>
      <c r="S192" s="10" t="s">
        <v>1575</v>
      </c>
      <c r="T192" s="10" t="s">
        <v>1575</v>
      </c>
      <c r="U192" s="10">
        <v>290.3</v>
      </c>
      <c r="V192" s="10">
        <v>2020.1</v>
      </c>
      <c r="W192" s="10" t="s">
        <v>1575</v>
      </c>
      <c r="X192" s="10" t="str">
        <f t="shared" si="32"/>
        <v>NA</v>
      </c>
      <c r="Y192" s="10" t="str">
        <f t="shared" si="33"/>
        <v>NA</v>
      </c>
      <c r="Z192" s="10">
        <f t="shared" si="34"/>
        <v>1.3278751045716202</v>
      </c>
      <c r="AA192" s="10">
        <f t="shared" si="35"/>
        <v>0.19082329729079817</v>
      </c>
      <c r="AB192" s="10" t="str">
        <f t="shared" si="36"/>
        <v>NA</v>
      </c>
      <c r="AC192" s="10" t="str">
        <f t="shared" si="37"/>
        <v>NA</v>
      </c>
      <c r="AD192" s="10" t="str">
        <f t="shared" si="38"/>
        <v>NA</v>
      </c>
      <c r="AE192" s="10" t="str">
        <f t="shared" si="39"/>
        <v>NA</v>
      </c>
    </row>
    <row r="193" spans="1:32" x14ac:dyDescent="0.2">
      <c r="A193" s="1" t="s">
        <v>2275</v>
      </c>
      <c r="B193" s="1" t="s">
        <v>5</v>
      </c>
      <c r="C193" s="1" t="s">
        <v>3201</v>
      </c>
      <c r="D193" s="1" t="s">
        <v>1580</v>
      </c>
      <c r="E193" s="1" t="s">
        <v>1694</v>
      </c>
      <c r="F193" s="1" t="s">
        <v>68</v>
      </c>
      <c r="G193" s="4">
        <f>(36.9-30)/1000</f>
        <v>6.8999999999999981E-3</v>
      </c>
      <c r="H193" s="28">
        <v>42004</v>
      </c>
      <c r="I193" s="29">
        <f t="shared" si="42"/>
        <v>2014</v>
      </c>
      <c r="J193" s="1" t="s">
        <v>2275</v>
      </c>
      <c r="K193" s="1" t="s">
        <v>7</v>
      </c>
      <c r="L193" s="11" t="str">
        <f t="shared" si="43"/>
        <v>ДА</v>
      </c>
      <c r="M193" s="10" t="s">
        <v>1575</v>
      </c>
      <c r="N193" s="10" t="s">
        <v>1575</v>
      </c>
      <c r="O193" s="10">
        <f>2.8-2.5</f>
        <v>0.29999999999999982</v>
      </c>
      <c r="P193" s="10">
        <f t="shared" si="30"/>
        <v>43.478260869565204</v>
      </c>
      <c r="Q193" s="10" t="str">
        <f t="shared" si="31"/>
        <v>NA</v>
      </c>
      <c r="R193" s="10" t="s">
        <v>1575</v>
      </c>
      <c r="S193" s="10" t="s">
        <v>1575</v>
      </c>
      <c r="T193" s="10" t="s">
        <v>1575</v>
      </c>
      <c r="U193" s="10">
        <v>290.3</v>
      </c>
      <c r="V193" s="10">
        <v>2020.1</v>
      </c>
      <c r="W193" s="10" t="s">
        <v>1575</v>
      </c>
      <c r="X193" s="10" t="str">
        <f t="shared" si="32"/>
        <v>NA</v>
      </c>
      <c r="Y193" s="10" t="str">
        <f t="shared" si="33"/>
        <v>NA</v>
      </c>
      <c r="Z193" s="10">
        <f t="shared" si="34"/>
        <v>0.14977010289206064</v>
      </c>
      <c r="AA193" s="10">
        <f t="shared" si="35"/>
        <v>2.152282603314945E-2</v>
      </c>
      <c r="AB193" s="10" t="str">
        <f t="shared" si="36"/>
        <v>NA</v>
      </c>
      <c r="AC193" s="10" t="str">
        <f t="shared" si="37"/>
        <v>NA</v>
      </c>
      <c r="AD193" s="10" t="str">
        <f t="shared" si="38"/>
        <v>NA</v>
      </c>
      <c r="AE193" s="10" t="str">
        <f t="shared" si="39"/>
        <v>NA</v>
      </c>
    </row>
    <row r="194" spans="1:32" x14ac:dyDescent="0.2">
      <c r="A194" s="1" t="s">
        <v>686</v>
      </c>
      <c r="B194" s="1" t="s">
        <v>687</v>
      </c>
      <c r="C194" s="1" t="s">
        <v>1575</v>
      </c>
      <c r="D194" s="1" t="s">
        <v>1580</v>
      </c>
      <c r="E194" s="1" t="s">
        <v>1694</v>
      </c>
      <c r="F194" s="1" t="s">
        <v>68</v>
      </c>
      <c r="G194" s="4">
        <v>0.995</v>
      </c>
      <c r="H194" s="28">
        <v>42355</v>
      </c>
      <c r="I194" s="29">
        <f t="shared" si="42"/>
        <v>2015</v>
      </c>
      <c r="J194" s="1" t="s">
        <v>690</v>
      </c>
      <c r="K194" s="1" t="s">
        <v>2275</v>
      </c>
      <c r="L194" s="11" t="str">
        <f t="shared" si="29"/>
        <v>НЕТ</v>
      </c>
      <c r="M194" s="10" t="s">
        <v>1575</v>
      </c>
      <c r="N194" s="10" t="s">
        <v>1575</v>
      </c>
      <c r="O194" s="10" t="s">
        <v>1575</v>
      </c>
      <c r="P194" s="10" t="str">
        <f t="shared" si="30"/>
        <v>NA</v>
      </c>
      <c r="Q194" s="10" t="str">
        <f t="shared" si="31"/>
        <v>NA</v>
      </c>
      <c r="R194" s="10" t="s">
        <v>1575</v>
      </c>
      <c r="S194" s="10" t="s">
        <v>1575</v>
      </c>
      <c r="T194" s="10" t="s">
        <v>1575</v>
      </c>
      <c r="U194" s="10" t="s">
        <v>1575</v>
      </c>
      <c r="V194" s="10" t="s">
        <v>1575</v>
      </c>
      <c r="W194" s="10" t="s">
        <v>1575</v>
      </c>
      <c r="X194" s="10" t="str">
        <f t="shared" si="32"/>
        <v>NA</v>
      </c>
      <c r="Y194" s="10" t="str">
        <f t="shared" si="33"/>
        <v>NA</v>
      </c>
      <c r="Z194" s="10" t="str">
        <f t="shared" si="34"/>
        <v>NA</v>
      </c>
      <c r="AA194" s="10" t="str">
        <f t="shared" si="35"/>
        <v>NA</v>
      </c>
      <c r="AB194" s="10" t="str">
        <f t="shared" si="36"/>
        <v>NA</v>
      </c>
      <c r="AC194" s="10" t="str">
        <f t="shared" si="37"/>
        <v>NA</v>
      </c>
      <c r="AD194" s="10" t="str">
        <f t="shared" si="38"/>
        <v>NA</v>
      </c>
      <c r="AE194" s="10" t="str">
        <f t="shared" si="39"/>
        <v>NA</v>
      </c>
      <c r="AF194" s="1" t="s">
        <v>689</v>
      </c>
    </row>
    <row r="195" spans="1:32" x14ac:dyDescent="0.2">
      <c r="A195" s="1" t="s">
        <v>5414</v>
      </c>
      <c r="B195" s="1" t="s">
        <v>5</v>
      </c>
      <c r="C195" s="1" t="s">
        <v>1575</v>
      </c>
      <c r="D195" s="1" t="s">
        <v>1578</v>
      </c>
      <c r="E195" s="1" t="s">
        <v>2007</v>
      </c>
      <c r="F195" s="1" t="s">
        <v>688</v>
      </c>
      <c r="G195" s="4">
        <v>0.96914</v>
      </c>
      <c r="H195" s="28">
        <v>42289</v>
      </c>
      <c r="I195" s="29">
        <f t="shared" si="42"/>
        <v>2015</v>
      </c>
      <c r="J195" s="1" t="s">
        <v>7</v>
      </c>
      <c r="K195" s="1" t="s">
        <v>2275</v>
      </c>
      <c r="L195" s="11" t="str">
        <f t="shared" si="29"/>
        <v>НЕТ</v>
      </c>
      <c r="M195" s="10" t="s">
        <v>1575</v>
      </c>
      <c r="N195" s="10" t="s">
        <v>1575</v>
      </c>
      <c r="O195" s="10">
        <v>35</v>
      </c>
      <c r="P195" s="10">
        <f t="shared" ref="P195:P258" si="44">IFERROR(O195/G195,"NA")</f>
        <v>36.114493262067398</v>
      </c>
      <c r="Q195" s="10" t="str">
        <f t="shared" ref="Q195:Q258" si="45">IFERROR(P195+W195,"NA")</f>
        <v>NA</v>
      </c>
      <c r="R195" s="10" t="s">
        <v>1575</v>
      </c>
      <c r="S195" s="10" t="s">
        <v>1575</v>
      </c>
      <c r="T195" s="10" t="s">
        <v>1575</v>
      </c>
      <c r="U195" s="10" t="s">
        <v>1575</v>
      </c>
      <c r="V195" s="10">
        <f>66.8-58</f>
        <v>8.7999999999999972</v>
      </c>
      <c r="W195" s="10" t="s">
        <v>1575</v>
      </c>
      <c r="X195" s="10" t="str">
        <f t="shared" ref="X195:X258" si="46">IFERROR(V195+W195,"NA")</f>
        <v>NA</v>
      </c>
      <c r="Y195" s="10" t="str">
        <f t="shared" ref="Y195:Y258" si="47">IFERROR(P195/R195,"NA")</f>
        <v>NA</v>
      </c>
      <c r="Z195" s="10" t="str">
        <f t="shared" ref="Z195:Z258" si="48">IFERROR(P195/U195,"NA")</f>
        <v>NA</v>
      </c>
      <c r="AA195" s="10">
        <f t="shared" ref="AA195:AA258" si="49">IFERROR(P195/V195,"NA")</f>
        <v>4.1039196888712963</v>
      </c>
      <c r="AB195" s="10" t="str">
        <f t="shared" ref="AB195:AB258" si="50">IFERROR(Q195/R195,"NA")</f>
        <v>NA</v>
      </c>
      <c r="AC195" s="10" t="str">
        <f t="shared" ref="AC195:AC258" si="51">IFERROR(Q195/S195,"NA")</f>
        <v>NA</v>
      </c>
      <c r="AD195" s="10" t="str">
        <f t="shared" ref="AD195:AD258" si="52">IFERROR(Q195/T195,"NA")</f>
        <v>NA</v>
      </c>
      <c r="AE195" s="10" t="str">
        <f t="shared" ref="AE195:AE258" si="53">IFERROR(Q195/X195,"NA")</f>
        <v>NA</v>
      </c>
      <c r="AF195" s="1" t="s">
        <v>2299</v>
      </c>
    </row>
    <row r="196" spans="1:32" x14ac:dyDescent="0.2">
      <c r="A196" s="1" t="s">
        <v>2275</v>
      </c>
      <c r="B196" s="1" t="s">
        <v>5</v>
      </c>
      <c r="C196" s="1" t="s">
        <v>3201</v>
      </c>
      <c r="D196" s="1" t="s">
        <v>1580</v>
      </c>
      <c r="E196" s="1" t="s">
        <v>1694</v>
      </c>
      <c r="F196" s="1" t="s">
        <v>68</v>
      </c>
      <c r="G196" s="4">
        <f>(57-44.1)/21587</f>
        <v>5.9758187798211878E-4</v>
      </c>
      <c r="H196" s="28">
        <v>42369</v>
      </c>
      <c r="I196" s="29">
        <f t="shared" si="42"/>
        <v>2015</v>
      </c>
      <c r="J196" s="1" t="s">
        <v>7</v>
      </c>
      <c r="K196" s="1" t="s">
        <v>2275</v>
      </c>
      <c r="L196" s="11" t="str">
        <f t="shared" si="29"/>
        <v>ДА</v>
      </c>
      <c r="M196" s="10" t="s">
        <v>1575</v>
      </c>
      <c r="N196" s="10" t="s">
        <v>1575</v>
      </c>
      <c r="O196" s="10">
        <f>4.8-4.2</f>
        <v>0.59999999999999964</v>
      </c>
      <c r="P196" s="10">
        <f t="shared" si="44"/>
        <v>1004.0465116279065</v>
      </c>
      <c r="Q196" s="10" t="str">
        <f t="shared" si="45"/>
        <v>NA</v>
      </c>
      <c r="R196" s="10" t="s">
        <v>1575</v>
      </c>
      <c r="S196" s="10" t="s">
        <v>1575</v>
      </c>
      <c r="T196" s="10" t="s">
        <v>1575</v>
      </c>
      <c r="U196" s="10">
        <v>222.9</v>
      </c>
      <c r="V196" s="10">
        <v>2375</v>
      </c>
      <c r="W196" s="10" t="s">
        <v>1575</v>
      </c>
      <c r="X196" s="10" t="str">
        <f t="shared" si="46"/>
        <v>NA</v>
      </c>
      <c r="Y196" s="10" t="str">
        <f t="shared" si="47"/>
        <v>NA</v>
      </c>
      <c r="Z196" s="10">
        <f t="shared" si="48"/>
        <v>4.5044706667918639</v>
      </c>
      <c r="AA196" s="10">
        <f t="shared" si="49"/>
        <v>0.4227564259485922</v>
      </c>
      <c r="AB196" s="10" t="str">
        <f t="shared" si="50"/>
        <v>NA</v>
      </c>
      <c r="AC196" s="10" t="str">
        <f t="shared" si="51"/>
        <v>NA</v>
      </c>
      <c r="AD196" s="10" t="str">
        <f t="shared" si="52"/>
        <v>NA</v>
      </c>
      <c r="AE196" s="10" t="str">
        <f t="shared" si="53"/>
        <v>NA</v>
      </c>
    </row>
    <row r="197" spans="1:32" x14ac:dyDescent="0.2">
      <c r="A197" s="1" t="s">
        <v>2275</v>
      </c>
      <c r="B197" s="1" t="s">
        <v>5</v>
      </c>
      <c r="C197" s="1" t="s">
        <v>3201</v>
      </c>
      <c r="D197" s="1" t="s">
        <v>1580</v>
      </c>
      <c r="E197" s="1" t="s">
        <v>1694</v>
      </c>
      <c r="F197" s="1" t="s">
        <v>68</v>
      </c>
      <c r="G197" s="4">
        <f>(36.9-30.5)/1000</f>
        <v>6.3999999999999986E-3</v>
      </c>
      <c r="H197" s="28">
        <v>42369</v>
      </c>
      <c r="I197" s="29">
        <f t="shared" si="42"/>
        <v>2015</v>
      </c>
      <c r="J197" s="1" t="s">
        <v>7</v>
      </c>
      <c r="K197" s="1" t="s">
        <v>2275</v>
      </c>
      <c r="L197" s="11" t="str">
        <f t="shared" si="29"/>
        <v>ДА</v>
      </c>
      <c r="M197" s="10" t="s">
        <v>1575</v>
      </c>
      <c r="N197" s="10" t="s">
        <v>1575</v>
      </c>
      <c r="O197" s="10">
        <f>2.8-2.5</f>
        <v>0.29999999999999982</v>
      </c>
      <c r="P197" s="10">
        <f t="shared" si="44"/>
        <v>46.874999999999986</v>
      </c>
      <c r="Q197" s="10" t="str">
        <f t="shared" si="45"/>
        <v>NA</v>
      </c>
      <c r="R197" s="10" t="s">
        <v>1575</v>
      </c>
      <c r="S197" s="10" t="s">
        <v>1575</v>
      </c>
      <c r="T197" s="10" t="s">
        <v>1575</v>
      </c>
      <c r="U197" s="10">
        <v>222.9</v>
      </c>
      <c r="V197" s="10">
        <v>2375</v>
      </c>
      <c r="W197" s="10" t="s">
        <v>1575</v>
      </c>
      <c r="X197" s="10" t="str">
        <f t="shared" si="46"/>
        <v>NA</v>
      </c>
      <c r="Y197" s="10" t="str">
        <f t="shared" si="47"/>
        <v>NA</v>
      </c>
      <c r="Z197" s="10">
        <f t="shared" si="48"/>
        <v>0.21029609690444137</v>
      </c>
      <c r="AA197" s="10">
        <f t="shared" si="49"/>
        <v>1.9736842105263153E-2</v>
      </c>
      <c r="AB197" s="10" t="str">
        <f t="shared" si="50"/>
        <v>NA</v>
      </c>
      <c r="AC197" s="10" t="str">
        <f t="shared" si="51"/>
        <v>NA</v>
      </c>
      <c r="AD197" s="10" t="str">
        <f t="shared" si="52"/>
        <v>NA</v>
      </c>
      <c r="AE197" s="10" t="str">
        <f t="shared" si="53"/>
        <v>NA</v>
      </c>
    </row>
    <row r="198" spans="1:32" x14ac:dyDescent="0.2">
      <c r="A198" s="1" t="s">
        <v>2275</v>
      </c>
      <c r="B198" s="1" t="s">
        <v>5</v>
      </c>
      <c r="C198" s="1" t="s">
        <v>3201</v>
      </c>
      <c r="D198" s="1" t="s">
        <v>1580</v>
      </c>
      <c r="E198" s="1" t="s">
        <v>1694</v>
      </c>
      <c r="F198" s="1" t="s">
        <v>68</v>
      </c>
      <c r="G198" s="4">
        <f>(45.9-44.1)/21587</f>
        <v>8.3383517857969937E-5</v>
      </c>
      <c r="H198" s="28">
        <v>42735</v>
      </c>
      <c r="I198" s="29">
        <f t="shared" si="42"/>
        <v>2016</v>
      </c>
      <c r="J198" s="1" t="s">
        <v>2275</v>
      </c>
      <c r="K198" s="1" t="s">
        <v>7</v>
      </c>
      <c r="L198" s="11" t="str">
        <f t="shared" ref="L198" si="54">IF(OR(A198=J198,A198=K198),"ДА","НЕТ")</f>
        <v>ДА</v>
      </c>
      <c r="M198" s="10" t="s">
        <v>1575</v>
      </c>
      <c r="N198" s="10" t="s">
        <v>1575</v>
      </c>
      <c r="O198" s="10">
        <f>5.4-4.2</f>
        <v>1.2000000000000002</v>
      </c>
      <c r="P198" s="10">
        <f t="shared" si="44"/>
        <v>14391.333333333359</v>
      </c>
      <c r="Q198" s="10" t="str">
        <f t="shared" si="45"/>
        <v>NA</v>
      </c>
      <c r="R198" s="10" t="s">
        <v>1575</v>
      </c>
      <c r="S198" s="10" t="s">
        <v>1575</v>
      </c>
      <c r="T198" s="10" t="s">
        <v>1575</v>
      </c>
      <c r="U198" s="10">
        <v>541.9</v>
      </c>
      <c r="V198" s="10">
        <v>2821.6</v>
      </c>
      <c r="W198" s="10" t="s">
        <v>1575</v>
      </c>
      <c r="X198" s="10" t="str">
        <f t="shared" si="46"/>
        <v>NA</v>
      </c>
      <c r="Y198" s="10" t="str">
        <f t="shared" si="47"/>
        <v>NA</v>
      </c>
      <c r="Z198" s="10">
        <f t="shared" si="48"/>
        <v>26.557175370609635</v>
      </c>
      <c r="AA198" s="10">
        <f t="shared" si="49"/>
        <v>5.100415839712702</v>
      </c>
      <c r="AB198" s="10" t="str">
        <f t="shared" si="50"/>
        <v>NA</v>
      </c>
      <c r="AC198" s="10" t="str">
        <f t="shared" si="51"/>
        <v>NA</v>
      </c>
      <c r="AD198" s="10" t="str">
        <f t="shared" si="52"/>
        <v>NA</v>
      </c>
      <c r="AE198" s="10" t="str">
        <f t="shared" si="53"/>
        <v>NA</v>
      </c>
    </row>
    <row r="199" spans="1:32" x14ac:dyDescent="0.2">
      <c r="A199" s="1" t="s">
        <v>2275</v>
      </c>
      <c r="B199" s="1" t="s">
        <v>5</v>
      </c>
      <c r="C199" s="1" t="s">
        <v>3201</v>
      </c>
      <c r="D199" s="1" t="s">
        <v>1580</v>
      </c>
      <c r="E199" s="1" t="s">
        <v>1694</v>
      </c>
      <c r="F199" s="1" t="s">
        <v>68</v>
      </c>
      <c r="G199" s="4">
        <f>(66.3-45.9)/21587</f>
        <v>9.4501320239032745E-4</v>
      </c>
      <c r="H199" s="28">
        <v>43100</v>
      </c>
      <c r="I199" s="29">
        <f t="shared" si="42"/>
        <v>2017</v>
      </c>
      <c r="J199" s="1" t="s">
        <v>2275</v>
      </c>
      <c r="K199" s="1" t="s">
        <v>7</v>
      </c>
      <c r="L199" s="11" t="str">
        <f t="shared" si="29"/>
        <v>ДА</v>
      </c>
      <c r="M199" s="10" t="s">
        <v>1575</v>
      </c>
      <c r="N199" s="10" t="s">
        <v>1575</v>
      </c>
      <c r="O199" s="10">
        <f>10.7-5.4</f>
        <v>5.2999999999999989</v>
      </c>
      <c r="P199" s="10">
        <f t="shared" si="44"/>
        <v>5608.3872549019597</v>
      </c>
      <c r="Q199" s="10" t="str">
        <f t="shared" si="45"/>
        <v>NA</v>
      </c>
      <c r="R199" s="10" t="s">
        <v>1575</v>
      </c>
      <c r="S199" s="10" t="s">
        <v>1575</v>
      </c>
      <c r="T199" s="10" t="s">
        <v>1575</v>
      </c>
      <c r="U199" s="10">
        <v>748.7</v>
      </c>
      <c r="V199" s="10">
        <v>3436</v>
      </c>
      <c r="W199" s="10" t="s">
        <v>1575</v>
      </c>
      <c r="X199" s="10" t="str">
        <f t="shared" si="46"/>
        <v>NA</v>
      </c>
      <c r="Y199" s="10" t="str">
        <f t="shared" si="47"/>
        <v>NA</v>
      </c>
      <c r="Z199" s="10">
        <f t="shared" si="48"/>
        <v>7.4908337850967799</v>
      </c>
      <c r="AA199" s="10">
        <f t="shared" si="49"/>
        <v>1.6322430893195459</v>
      </c>
      <c r="AB199" s="10" t="str">
        <f t="shared" si="50"/>
        <v>NA</v>
      </c>
      <c r="AC199" s="10" t="str">
        <f t="shared" si="51"/>
        <v>NA</v>
      </c>
      <c r="AD199" s="10" t="str">
        <f t="shared" si="52"/>
        <v>NA</v>
      </c>
      <c r="AE199" s="10" t="str">
        <f t="shared" si="53"/>
        <v>NA</v>
      </c>
    </row>
    <row r="200" spans="1:32" x14ac:dyDescent="0.2">
      <c r="A200" s="1" t="s">
        <v>5417</v>
      </c>
      <c r="B200" s="1" t="s">
        <v>91</v>
      </c>
      <c r="C200" s="1" t="s">
        <v>1575</v>
      </c>
      <c r="D200" s="1" t="s">
        <v>1580</v>
      </c>
      <c r="E200" s="1" t="s">
        <v>1694</v>
      </c>
      <c r="F200" s="1" t="s">
        <v>68</v>
      </c>
      <c r="G200" s="4">
        <v>0.99922999999999995</v>
      </c>
      <c r="H200" s="28">
        <v>43100</v>
      </c>
      <c r="I200" s="29">
        <f t="shared" si="42"/>
        <v>2017</v>
      </c>
      <c r="J200" s="1" t="s">
        <v>7</v>
      </c>
      <c r="K200" s="1" t="s">
        <v>2275</v>
      </c>
      <c r="L200" s="11" t="str">
        <f t="shared" si="29"/>
        <v>НЕТ</v>
      </c>
      <c r="M200" s="10" t="s">
        <v>1575</v>
      </c>
      <c r="N200" s="10" t="s">
        <v>1575</v>
      </c>
      <c r="O200" s="10">
        <v>0</v>
      </c>
      <c r="P200" s="10">
        <f t="shared" si="44"/>
        <v>0</v>
      </c>
      <c r="Q200" s="10" t="str">
        <f t="shared" si="45"/>
        <v>NA</v>
      </c>
      <c r="R200" s="10" t="s">
        <v>1575</v>
      </c>
      <c r="S200" s="10" t="s">
        <v>1575</v>
      </c>
      <c r="T200" s="10" t="s">
        <v>1575</v>
      </c>
      <c r="U200" s="10" t="s">
        <v>1575</v>
      </c>
      <c r="V200" s="10" t="s">
        <v>1575</v>
      </c>
      <c r="W200" s="10" t="s">
        <v>1575</v>
      </c>
      <c r="X200" s="10" t="str">
        <f t="shared" si="46"/>
        <v>NA</v>
      </c>
      <c r="Y200" s="10" t="str">
        <f t="shared" si="47"/>
        <v>NA</v>
      </c>
      <c r="Z200" s="10" t="str">
        <f t="shared" si="48"/>
        <v>NA</v>
      </c>
      <c r="AA200" s="10" t="str">
        <f t="shared" si="49"/>
        <v>NA</v>
      </c>
      <c r="AB200" s="10" t="str">
        <f t="shared" si="50"/>
        <v>NA</v>
      </c>
      <c r="AC200" s="10" t="str">
        <f t="shared" si="51"/>
        <v>NA</v>
      </c>
      <c r="AD200" s="10" t="str">
        <f t="shared" si="52"/>
        <v>NA</v>
      </c>
      <c r="AE200" s="10" t="str">
        <f t="shared" si="53"/>
        <v>NA</v>
      </c>
      <c r="AF200" s="1" t="s">
        <v>685</v>
      </c>
    </row>
    <row r="201" spans="1:32" x14ac:dyDescent="0.2">
      <c r="A201" s="1" t="s">
        <v>682</v>
      </c>
      <c r="B201" s="1" t="s">
        <v>133</v>
      </c>
      <c r="C201" s="1" t="s">
        <v>1575</v>
      </c>
      <c r="D201" s="1" t="s">
        <v>1580</v>
      </c>
      <c r="E201" s="1" t="s">
        <v>1694</v>
      </c>
      <c r="F201" s="1" t="s">
        <v>68</v>
      </c>
      <c r="G201" s="4">
        <v>0.99850000000000005</v>
      </c>
      <c r="H201" s="28">
        <v>43251</v>
      </c>
      <c r="I201" s="29">
        <f t="shared" si="42"/>
        <v>2018</v>
      </c>
      <c r="J201" s="1" t="s">
        <v>684</v>
      </c>
      <c r="K201" s="1" t="s">
        <v>2275</v>
      </c>
      <c r="L201" s="11" t="str">
        <f t="shared" si="29"/>
        <v>НЕТ</v>
      </c>
      <c r="M201" s="10">
        <f>15.48*1000*0.2208</f>
        <v>3417.9839999999999</v>
      </c>
      <c r="N201" s="10" t="s">
        <v>1575</v>
      </c>
      <c r="O201" s="10">
        <f>M201*57.2649/1000</f>
        <v>195.73051196159997</v>
      </c>
      <c r="P201" s="10">
        <f t="shared" si="44"/>
        <v>196.02454878477712</v>
      </c>
      <c r="Q201" s="10" t="str">
        <f t="shared" si="45"/>
        <v>NA</v>
      </c>
      <c r="R201" s="10" t="s">
        <v>1575</v>
      </c>
      <c r="S201" s="10" t="s">
        <v>1575</v>
      </c>
      <c r="T201" s="10" t="s">
        <v>1575</v>
      </c>
      <c r="U201" s="10">
        <v>0.5</v>
      </c>
      <c r="V201" s="10">
        <f>2562.4-2234.8</f>
        <v>327.59999999999991</v>
      </c>
      <c r="W201" s="10" t="s">
        <v>1575</v>
      </c>
      <c r="X201" s="10" t="str">
        <f t="shared" si="46"/>
        <v>NA</v>
      </c>
      <c r="Y201" s="10" t="str">
        <f t="shared" si="47"/>
        <v>NA</v>
      </c>
      <c r="Z201" s="10">
        <f t="shared" si="48"/>
        <v>392.04909756955425</v>
      </c>
      <c r="AA201" s="10">
        <f t="shared" si="49"/>
        <v>0.59836553353106592</v>
      </c>
      <c r="AB201" s="10" t="str">
        <f t="shared" si="50"/>
        <v>NA</v>
      </c>
      <c r="AC201" s="10" t="str">
        <f t="shared" si="51"/>
        <v>NA</v>
      </c>
      <c r="AD201" s="10" t="str">
        <f t="shared" si="52"/>
        <v>NA</v>
      </c>
      <c r="AE201" s="10" t="str">
        <f t="shared" si="53"/>
        <v>NA</v>
      </c>
      <c r="AF201" s="1" t="s">
        <v>683</v>
      </c>
    </row>
    <row r="202" spans="1:32" x14ac:dyDescent="0.2">
      <c r="A202" s="1" t="s">
        <v>666</v>
      </c>
      <c r="B202" s="1" t="s">
        <v>30</v>
      </c>
      <c r="C202" s="1" t="s">
        <v>1575</v>
      </c>
      <c r="D202" s="1" t="s">
        <v>1813</v>
      </c>
      <c r="E202" s="1" t="s">
        <v>1819</v>
      </c>
      <c r="F202" s="1" t="s">
        <v>3068</v>
      </c>
      <c r="G202" s="4">
        <v>0.45</v>
      </c>
      <c r="H202" s="28">
        <v>43217</v>
      </c>
      <c r="I202" s="29">
        <f t="shared" si="42"/>
        <v>2018</v>
      </c>
      <c r="J202" s="1" t="s">
        <v>2275</v>
      </c>
      <c r="K202" s="1" t="s">
        <v>3054</v>
      </c>
      <c r="L202" s="11" t="str">
        <f t="shared" si="29"/>
        <v>НЕТ</v>
      </c>
      <c r="M202" s="10" t="s">
        <v>1575</v>
      </c>
      <c r="N202" s="10" t="s">
        <v>1575</v>
      </c>
      <c r="O202" s="10">
        <v>30</v>
      </c>
      <c r="P202" s="10">
        <f t="shared" si="44"/>
        <v>66.666666666666671</v>
      </c>
      <c r="Q202" s="10" t="str">
        <f t="shared" si="45"/>
        <v>NA</v>
      </c>
      <c r="R202" s="10" t="s">
        <v>1575</v>
      </c>
      <c r="S202" s="10" t="s">
        <v>1575</v>
      </c>
      <c r="T202" s="10" t="s">
        <v>1575</v>
      </c>
      <c r="U202" s="10" t="s">
        <v>1575</v>
      </c>
      <c r="V202" s="10" t="s">
        <v>1575</v>
      </c>
      <c r="W202" s="10" t="s">
        <v>1575</v>
      </c>
      <c r="X202" s="10" t="str">
        <f t="shared" si="46"/>
        <v>NA</v>
      </c>
      <c r="Y202" s="10" t="str">
        <f t="shared" si="47"/>
        <v>NA</v>
      </c>
      <c r="Z202" s="10" t="str">
        <f t="shared" si="48"/>
        <v>NA</v>
      </c>
      <c r="AA202" s="10" t="str">
        <f t="shared" si="49"/>
        <v>NA</v>
      </c>
      <c r="AB202" s="10" t="str">
        <f t="shared" si="50"/>
        <v>NA</v>
      </c>
      <c r="AC202" s="10" t="str">
        <f t="shared" si="51"/>
        <v>NA</v>
      </c>
      <c r="AD202" s="10" t="str">
        <f t="shared" si="52"/>
        <v>NA</v>
      </c>
      <c r="AE202" s="10" t="str">
        <f t="shared" si="53"/>
        <v>NA</v>
      </c>
      <c r="AF202" s="1" t="s">
        <v>3076</v>
      </c>
    </row>
    <row r="203" spans="1:32" x14ac:dyDescent="0.2">
      <c r="A203" s="1" t="s">
        <v>2275</v>
      </c>
      <c r="B203" s="1" t="s">
        <v>5</v>
      </c>
      <c r="C203" s="1" t="s">
        <v>3201</v>
      </c>
      <c r="D203" s="1" t="s">
        <v>1580</v>
      </c>
      <c r="E203" s="1" t="s">
        <v>1694</v>
      </c>
      <c r="F203" s="1" t="s">
        <v>68</v>
      </c>
      <c r="G203" s="4">
        <f>(88.8-66.3)/21587</f>
        <v>1.042293973224626E-3</v>
      </c>
      <c r="H203" s="28">
        <v>43465</v>
      </c>
      <c r="I203" s="29">
        <f t="shared" si="42"/>
        <v>2018</v>
      </c>
      <c r="J203" s="1" t="s">
        <v>2275</v>
      </c>
      <c r="K203" s="1" t="s">
        <v>7</v>
      </c>
      <c r="L203" s="11" t="str">
        <f t="shared" ref="L203:L204" si="55">IF(OR(A203=J203,A203=K203),"ДА","НЕТ")</f>
        <v>ДА</v>
      </c>
      <c r="M203" s="10" t="s">
        <v>1575</v>
      </c>
      <c r="N203" s="10" t="s">
        <v>1575</v>
      </c>
      <c r="O203" s="10">
        <f>15.1-10.7</f>
        <v>4.4000000000000004</v>
      </c>
      <c r="P203" s="10">
        <f t="shared" si="44"/>
        <v>4221.4577777777777</v>
      </c>
      <c r="Q203" s="10" t="str">
        <f t="shared" si="45"/>
        <v>NA</v>
      </c>
      <c r="R203" s="10" t="s">
        <v>1575</v>
      </c>
      <c r="S203" s="10" t="s">
        <v>1575</v>
      </c>
      <c r="T203" s="10" t="s">
        <v>1575</v>
      </c>
      <c r="U203" s="10">
        <v>831.7</v>
      </c>
      <c r="V203" s="10">
        <v>3855.7999999999997</v>
      </c>
      <c r="W203" s="10" t="s">
        <v>1575</v>
      </c>
      <c r="X203" s="10" t="str">
        <f t="shared" si="46"/>
        <v>NA</v>
      </c>
      <c r="Y203" s="10" t="str">
        <f t="shared" si="47"/>
        <v>NA</v>
      </c>
      <c r="Z203" s="10">
        <f t="shared" si="48"/>
        <v>5.0756977008269537</v>
      </c>
      <c r="AA203" s="10">
        <f t="shared" si="49"/>
        <v>1.0948331806052642</v>
      </c>
      <c r="AB203" s="10" t="str">
        <f t="shared" si="50"/>
        <v>NA</v>
      </c>
      <c r="AC203" s="10" t="str">
        <f t="shared" si="51"/>
        <v>NA</v>
      </c>
      <c r="AD203" s="10" t="str">
        <f t="shared" si="52"/>
        <v>NA</v>
      </c>
      <c r="AE203" s="10" t="str">
        <f t="shared" si="53"/>
        <v>NA</v>
      </c>
    </row>
    <row r="204" spans="1:32" x14ac:dyDescent="0.2">
      <c r="A204" s="1" t="s">
        <v>2275</v>
      </c>
      <c r="B204" s="1" t="s">
        <v>5</v>
      </c>
      <c r="C204" s="1" t="s">
        <v>3201</v>
      </c>
      <c r="D204" s="1" t="s">
        <v>1580</v>
      </c>
      <c r="E204" s="1" t="s">
        <v>1694</v>
      </c>
      <c r="F204" s="1" t="s">
        <v>68</v>
      </c>
      <c r="G204" s="4">
        <f>(32.6-30.4)/1000</f>
        <v>2.2000000000000027E-3</v>
      </c>
      <c r="H204" s="28">
        <v>43465</v>
      </c>
      <c r="I204" s="29">
        <f t="shared" si="42"/>
        <v>2018</v>
      </c>
      <c r="J204" s="1" t="s">
        <v>2275</v>
      </c>
      <c r="K204" s="1" t="s">
        <v>7</v>
      </c>
      <c r="L204" s="11" t="str">
        <f t="shared" si="55"/>
        <v>ДА</v>
      </c>
      <c r="M204" s="10" t="s">
        <v>1575</v>
      </c>
      <c r="N204" s="10" t="s">
        <v>1575</v>
      </c>
      <c r="O204" s="10">
        <f>4.6-3</f>
        <v>1.5999999999999996</v>
      </c>
      <c r="P204" s="10">
        <f t="shared" si="44"/>
        <v>727.27272727272623</v>
      </c>
      <c r="Q204" s="10" t="str">
        <f t="shared" si="45"/>
        <v>NA</v>
      </c>
      <c r="R204" s="10" t="s">
        <v>1575</v>
      </c>
      <c r="S204" s="10" t="s">
        <v>1575</v>
      </c>
      <c r="T204" s="10" t="s">
        <v>1575</v>
      </c>
      <c r="U204" s="10">
        <v>831.7</v>
      </c>
      <c r="V204" s="10">
        <v>3855.7999999999997</v>
      </c>
      <c r="W204" s="10" t="s">
        <v>1575</v>
      </c>
      <c r="X204" s="10" t="str">
        <f t="shared" si="46"/>
        <v>NA</v>
      </c>
      <c r="Y204" s="10" t="str">
        <f t="shared" si="47"/>
        <v>NA</v>
      </c>
      <c r="Z204" s="10">
        <f t="shared" si="48"/>
        <v>0.87444117743504413</v>
      </c>
      <c r="AA204" s="10">
        <f t="shared" si="49"/>
        <v>0.18861785550929153</v>
      </c>
      <c r="AB204" s="10" t="str">
        <f t="shared" si="50"/>
        <v>NA</v>
      </c>
      <c r="AC204" s="10" t="str">
        <f t="shared" si="51"/>
        <v>NA</v>
      </c>
      <c r="AD204" s="10" t="str">
        <f t="shared" si="52"/>
        <v>NA</v>
      </c>
      <c r="AE204" s="10" t="str">
        <f t="shared" si="53"/>
        <v>NA</v>
      </c>
    </row>
    <row r="205" spans="1:32" x14ac:dyDescent="0.2">
      <c r="A205" s="1" t="s">
        <v>3275</v>
      </c>
      <c r="B205" s="1" t="s">
        <v>5</v>
      </c>
      <c r="C205" s="1" t="s">
        <v>1575</v>
      </c>
      <c r="D205" s="1" t="s">
        <v>1813</v>
      </c>
      <c r="E205" s="1" t="s">
        <v>1587</v>
      </c>
      <c r="F205" s="1" t="s">
        <v>662</v>
      </c>
      <c r="G205" s="4">
        <v>0.45</v>
      </c>
      <c r="H205" s="28">
        <v>43830</v>
      </c>
      <c r="I205" s="29">
        <f t="shared" si="42"/>
        <v>2019</v>
      </c>
      <c r="J205" s="1" t="s">
        <v>2275</v>
      </c>
      <c r="K205" s="1" t="s">
        <v>7</v>
      </c>
      <c r="L205" s="11" t="str">
        <f t="shared" si="29"/>
        <v>НЕТ</v>
      </c>
      <c r="M205" s="10" t="s">
        <v>1575</v>
      </c>
      <c r="N205" s="10" t="s">
        <v>1575</v>
      </c>
      <c r="O205" s="10">
        <v>39.700000000000003</v>
      </c>
      <c r="P205" s="10">
        <f t="shared" si="44"/>
        <v>88.222222222222229</v>
      </c>
      <c r="Q205" s="10" t="str">
        <f t="shared" si="45"/>
        <v>NA</v>
      </c>
      <c r="R205" s="10">
        <v>0.5</v>
      </c>
      <c r="S205" s="10" t="s">
        <v>1575</v>
      </c>
      <c r="T205" s="10" t="s">
        <v>1575</v>
      </c>
      <c r="U205" s="10">
        <v>-1</v>
      </c>
      <c r="V205" s="10">
        <v>58.9</v>
      </c>
      <c r="W205" s="10" t="s">
        <v>1575</v>
      </c>
      <c r="X205" s="10" t="str">
        <f t="shared" si="46"/>
        <v>NA</v>
      </c>
      <c r="Y205" s="10">
        <f t="shared" si="47"/>
        <v>176.44444444444446</v>
      </c>
      <c r="Z205" s="10">
        <f t="shared" si="48"/>
        <v>-88.222222222222229</v>
      </c>
      <c r="AA205" s="10">
        <f t="shared" si="49"/>
        <v>1.4978305980003774</v>
      </c>
      <c r="AB205" s="10" t="str">
        <f t="shared" si="50"/>
        <v>NA</v>
      </c>
      <c r="AC205" s="10" t="str">
        <f t="shared" si="51"/>
        <v>NA</v>
      </c>
      <c r="AD205" s="10" t="str">
        <f t="shared" si="52"/>
        <v>NA</v>
      </c>
      <c r="AE205" s="10" t="str">
        <f t="shared" si="53"/>
        <v>NA</v>
      </c>
      <c r="AF205" s="1" t="s">
        <v>672</v>
      </c>
    </row>
    <row r="206" spans="1:32" x14ac:dyDescent="0.2">
      <c r="A206" s="1" t="s">
        <v>5418</v>
      </c>
      <c r="B206" s="1" t="s">
        <v>5</v>
      </c>
      <c r="C206" s="1" t="s">
        <v>1575</v>
      </c>
      <c r="D206" s="1" t="s">
        <v>1813</v>
      </c>
      <c r="E206" s="1" t="s">
        <v>1587</v>
      </c>
      <c r="F206" s="1" t="s">
        <v>2298</v>
      </c>
      <c r="G206" s="4">
        <v>0.495</v>
      </c>
      <c r="H206" s="28">
        <v>43708</v>
      </c>
      <c r="I206" s="29">
        <f t="shared" si="42"/>
        <v>2019</v>
      </c>
      <c r="J206" s="1" t="s">
        <v>2275</v>
      </c>
      <c r="K206" s="1" t="s">
        <v>7</v>
      </c>
      <c r="L206" s="11" t="str">
        <f t="shared" si="29"/>
        <v>НЕТ</v>
      </c>
      <c r="M206" s="10" t="s">
        <v>1575</v>
      </c>
      <c r="N206" s="10" t="s">
        <v>1575</v>
      </c>
      <c r="O206" s="10" t="s">
        <v>1575</v>
      </c>
      <c r="P206" s="10" t="str">
        <f t="shared" si="44"/>
        <v>NA</v>
      </c>
      <c r="Q206" s="10" t="str">
        <f t="shared" si="45"/>
        <v>NA</v>
      </c>
      <c r="R206" s="10" t="s">
        <v>1575</v>
      </c>
      <c r="S206" s="10" t="s">
        <v>1575</v>
      </c>
      <c r="T206" s="10" t="s">
        <v>1575</v>
      </c>
      <c r="U206" s="10" t="s">
        <v>1575</v>
      </c>
      <c r="V206" s="10" t="s">
        <v>1575</v>
      </c>
      <c r="W206" s="10" t="s">
        <v>1575</v>
      </c>
      <c r="X206" s="10" t="str">
        <f t="shared" si="46"/>
        <v>NA</v>
      </c>
      <c r="Y206" s="10" t="str">
        <f t="shared" si="47"/>
        <v>NA</v>
      </c>
      <c r="Z206" s="10" t="str">
        <f t="shared" si="48"/>
        <v>NA</v>
      </c>
      <c r="AA206" s="10" t="str">
        <f t="shared" si="49"/>
        <v>NA</v>
      </c>
      <c r="AB206" s="10" t="str">
        <f t="shared" si="50"/>
        <v>NA</v>
      </c>
      <c r="AC206" s="10" t="str">
        <f t="shared" si="51"/>
        <v>NA</v>
      </c>
      <c r="AD206" s="10" t="str">
        <f t="shared" si="52"/>
        <v>NA</v>
      </c>
      <c r="AE206" s="10" t="str">
        <f t="shared" si="53"/>
        <v>NA</v>
      </c>
      <c r="AF206" s="1" t="s">
        <v>667</v>
      </c>
    </row>
    <row r="207" spans="1:32" x14ac:dyDescent="0.2">
      <c r="A207" s="1" t="s">
        <v>2275</v>
      </c>
      <c r="B207" s="1" t="s">
        <v>5</v>
      </c>
      <c r="C207" s="1" t="s">
        <v>3201</v>
      </c>
      <c r="D207" s="1" t="s">
        <v>1580</v>
      </c>
      <c r="E207" s="1" t="s">
        <v>1694</v>
      </c>
      <c r="F207" s="1" t="s">
        <v>68</v>
      </c>
      <c r="G207" s="4">
        <f>(98.2-88.8)/21587</f>
        <v>4.3544725992495509E-4</v>
      </c>
      <c r="H207" s="28">
        <v>43830</v>
      </c>
      <c r="I207" s="29">
        <f t="shared" si="42"/>
        <v>2019</v>
      </c>
      <c r="J207" s="1" t="s">
        <v>2275</v>
      </c>
      <c r="K207" s="1" t="s">
        <v>7</v>
      </c>
      <c r="L207" s="11" t="str">
        <f t="shared" si="29"/>
        <v>ДА</v>
      </c>
      <c r="M207" s="10" t="s">
        <v>1575</v>
      </c>
      <c r="N207" s="10" t="s">
        <v>1575</v>
      </c>
      <c r="O207" s="10">
        <f>18.5-15.1</f>
        <v>3.4000000000000004</v>
      </c>
      <c r="P207" s="10">
        <f t="shared" si="44"/>
        <v>7808.0638297872301</v>
      </c>
      <c r="Q207" s="10" t="str">
        <f t="shared" si="45"/>
        <v>NA</v>
      </c>
      <c r="R207" s="10" t="s">
        <v>1575</v>
      </c>
      <c r="S207" s="10" t="s">
        <v>1575</v>
      </c>
      <c r="T207" s="10" t="s">
        <v>1575</v>
      </c>
      <c r="U207" s="10">
        <v>845</v>
      </c>
      <c r="V207" s="10">
        <v>4486.7</v>
      </c>
      <c r="W207" s="10" t="s">
        <v>1575</v>
      </c>
      <c r="X207" s="10" t="str">
        <f t="shared" si="46"/>
        <v>NA</v>
      </c>
      <c r="Y207" s="10" t="str">
        <f t="shared" si="47"/>
        <v>NA</v>
      </c>
      <c r="Z207" s="10">
        <f t="shared" si="48"/>
        <v>9.240312224600272</v>
      </c>
      <c r="AA207" s="10">
        <f t="shared" si="49"/>
        <v>1.7402687564997059</v>
      </c>
      <c r="AB207" s="10" t="str">
        <f t="shared" si="50"/>
        <v>NA</v>
      </c>
      <c r="AC207" s="10" t="str">
        <f t="shared" si="51"/>
        <v>NA</v>
      </c>
      <c r="AD207" s="10" t="str">
        <f t="shared" si="52"/>
        <v>NA</v>
      </c>
      <c r="AE207" s="10" t="str">
        <f t="shared" si="53"/>
        <v>NA</v>
      </c>
    </row>
    <row r="208" spans="1:32" x14ac:dyDescent="0.2">
      <c r="A208" s="1" t="s">
        <v>679</v>
      </c>
      <c r="B208" s="1" t="s">
        <v>5</v>
      </c>
      <c r="C208" s="1" t="s">
        <v>1575</v>
      </c>
      <c r="D208" s="1" t="s">
        <v>1813</v>
      </c>
      <c r="E208" s="1" t="s">
        <v>1587</v>
      </c>
      <c r="F208" s="1" t="s">
        <v>680</v>
      </c>
      <c r="G208" s="4" t="s">
        <v>11</v>
      </c>
      <c r="H208" s="28">
        <v>44196</v>
      </c>
      <c r="I208" s="29">
        <f t="shared" si="42"/>
        <v>2020</v>
      </c>
      <c r="J208" s="1" t="s">
        <v>2275</v>
      </c>
      <c r="K208" s="1" t="s">
        <v>7</v>
      </c>
      <c r="L208" s="11" t="str">
        <f t="shared" si="29"/>
        <v>НЕТ</v>
      </c>
      <c r="M208" s="10" t="s">
        <v>1575</v>
      </c>
      <c r="N208" s="10" t="s">
        <v>1575</v>
      </c>
      <c r="O208" s="10" t="s">
        <v>1575</v>
      </c>
      <c r="P208" s="10" t="str">
        <f t="shared" si="44"/>
        <v>NA</v>
      </c>
      <c r="Q208" s="10" t="str">
        <f t="shared" si="45"/>
        <v>NA</v>
      </c>
      <c r="R208" s="10" t="s">
        <v>1575</v>
      </c>
      <c r="S208" s="10" t="s">
        <v>1575</v>
      </c>
      <c r="T208" s="10" t="s">
        <v>1575</v>
      </c>
      <c r="U208" s="10" t="s">
        <v>1575</v>
      </c>
      <c r="V208" s="10" t="s">
        <v>1575</v>
      </c>
      <c r="W208" s="10" t="s">
        <v>1575</v>
      </c>
      <c r="X208" s="10" t="str">
        <f t="shared" si="46"/>
        <v>NA</v>
      </c>
      <c r="Y208" s="10" t="str">
        <f t="shared" si="47"/>
        <v>NA</v>
      </c>
      <c r="Z208" s="10" t="str">
        <f t="shared" si="48"/>
        <v>NA</v>
      </c>
      <c r="AA208" s="10" t="str">
        <f t="shared" si="49"/>
        <v>NA</v>
      </c>
      <c r="AB208" s="10" t="str">
        <f t="shared" si="50"/>
        <v>NA</v>
      </c>
      <c r="AC208" s="10" t="str">
        <f t="shared" si="51"/>
        <v>NA</v>
      </c>
      <c r="AD208" s="10" t="str">
        <f t="shared" si="52"/>
        <v>NA</v>
      </c>
      <c r="AE208" s="10" t="str">
        <f t="shared" si="53"/>
        <v>NA</v>
      </c>
      <c r="AF208" s="1" t="s">
        <v>681</v>
      </c>
    </row>
    <row r="209" spans="1:32" x14ac:dyDescent="0.2">
      <c r="A209" s="1" t="s">
        <v>5415</v>
      </c>
      <c r="B209" s="1" t="s">
        <v>5</v>
      </c>
      <c r="C209" s="1" t="s">
        <v>1575</v>
      </c>
      <c r="D209" s="1" t="s">
        <v>1580</v>
      </c>
      <c r="E209" s="1" t="s">
        <v>1694</v>
      </c>
      <c r="F209" s="1" t="s">
        <v>68</v>
      </c>
      <c r="G209" s="4">
        <v>0.20799999999999999</v>
      </c>
      <c r="H209" s="28">
        <v>44196</v>
      </c>
      <c r="I209" s="29">
        <f t="shared" si="42"/>
        <v>2020</v>
      </c>
      <c r="J209" s="1" t="s">
        <v>2275</v>
      </c>
      <c r="K209" s="1" t="s">
        <v>677</v>
      </c>
      <c r="L209" s="11" t="str">
        <f t="shared" si="29"/>
        <v>НЕТ</v>
      </c>
      <c r="M209" s="10" t="s">
        <v>1575</v>
      </c>
      <c r="N209" s="10" t="s">
        <v>1575</v>
      </c>
      <c r="O209" s="10" t="s">
        <v>1575</v>
      </c>
      <c r="P209" s="10" t="str">
        <f t="shared" si="44"/>
        <v>NA</v>
      </c>
      <c r="Q209" s="10" t="str">
        <f t="shared" si="45"/>
        <v>NA</v>
      </c>
      <c r="R209" s="10" t="s">
        <v>1575</v>
      </c>
      <c r="S209" s="10" t="s">
        <v>1575</v>
      </c>
      <c r="T209" s="10" t="s">
        <v>1575</v>
      </c>
      <c r="U209" s="10" t="s">
        <v>1575</v>
      </c>
      <c r="V209" s="10" t="s">
        <v>1575</v>
      </c>
      <c r="W209" s="10" t="s">
        <v>1575</v>
      </c>
      <c r="X209" s="10" t="str">
        <f t="shared" si="46"/>
        <v>NA</v>
      </c>
      <c r="Y209" s="10" t="str">
        <f t="shared" si="47"/>
        <v>NA</v>
      </c>
      <c r="Z209" s="10" t="str">
        <f t="shared" si="48"/>
        <v>NA</v>
      </c>
      <c r="AA209" s="10" t="str">
        <f t="shared" si="49"/>
        <v>NA</v>
      </c>
      <c r="AB209" s="10" t="str">
        <f t="shared" si="50"/>
        <v>NA</v>
      </c>
      <c r="AC209" s="10" t="str">
        <f t="shared" si="51"/>
        <v>NA</v>
      </c>
      <c r="AD209" s="10" t="str">
        <f t="shared" si="52"/>
        <v>NA</v>
      </c>
      <c r="AE209" s="10" t="str">
        <f t="shared" si="53"/>
        <v>NA</v>
      </c>
      <c r="AF209" s="1" t="s">
        <v>678</v>
      </c>
    </row>
    <row r="210" spans="1:32" x14ac:dyDescent="0.2">
      <c r="A210" s="1" t="s">
        <v>674</v>
      </c>
      <c r="B210" s="1" t="s">
        <v>5</v>
      </c>
      <c r="C210" s="1" t="s">
        <v>1575</v>
      </c>
      <c r="D210" s="1" t="s">
        <v>1813</v>
      </c>
      <c r="E210" s="1" t="s">
        <v>1587</v>
      </c>
      <c r="F210" s="1" t="s">
        <v>676</v>
      </c>
      <c r="G210" s="4">
        <v>0.72</v>
      </c>
      <c r="H210" s="28">
        <v>44043</v>
      </c>
      <c r="I210" s="29">
        <f t="shared" si="42"/>
        <v>2020</v>
      </c>
      <c r="J210" s="1" t="s">
        <v>2275</v>
      </c>
      <c r="K210" s="1" t="s">
        <v>3054</v>
      </c>
      <c r="L210" s="11" t="str">
        <f t="shared" si="29"/>
        <v>НЕТ</v>
      </c>
      <c r="M210" s="10" t="s">
        <v>1575</v>
      </c>
      <c r="N210" s="10" t="s">
        <v>1575</v>
      </c>
      <c r="O210" s="10">
        <f>14.3*0.72</f>
        <v>10.295999999999999</v>
      </c>
      <c r="P210" s="10">
        <f t="shared" si="44"/>
        <v>14.299999999999999</v>
      </c>
      <c r="Q210" s="10" t="str">
        <f t="shared" si="45"/>
        <v>NA</v>
      </c>
      <c r="R210" s="10" t="s">
        <v>1575</v>
      </c>
      <c r="S210" s="10" t="s">
        <v>1575</v>
      </c>
      <c r="T210" s="10" t="s">
        <v>1575</v>
      </c>
      <c r="U210" s="10" t="s">
        <v>1575</v>
      </c>
      <c r="V210" s="10" t="s">
        <v>1575</v>
      </c>
      <c r="W210" s="10" t="s">
        <v>1575</v>
      </c>
      <c r="X210" s="10" t="str">
        <f t="shared" si="46"/>
        <v>NA</v>
      </c>
      <c r="Y210" s="10" t="str">
        <f t="shared" si="47"/>
        <v>NA</v>
      </c>
      <c r="Z210" s="10" t="str">
        <f t="shared" si="48"/>
        <v>NA</v>
      </c>
      <c r="AA210" s="10" t="str">
        <f t="shared" si="49"/>
        <v>NA</v>
      </c>
      <c r="AB210" s="10" t="str">
        <f t="shared" si="50"/>
        <v>NA</v>
      </c>
      <c r="AC210" s="10" t="str">
        <f t="shared" si="51"/>
        <v>NA</v>
      </c>
      <c r="AD210" s="10" t="str">
        <f t="shared" si="52"/>
        <v>NA</v>
      </c>
      <c r="AE210" s="10" t="str">
        <f t="shared" si="53"/>
        <v>NA</v>
      </c>
      <c r="AF210" s="1" t="s">
        <v>675</v>
      </c>
    </row>
    <row r="211" spans="1:32" x14ac:dyDescent="0.2">
      <c r="A211" s="1" t="s">
        <v>5416</v>
      </c>
      <c r="B211" s="1" t="s">
        <v>5</v>
      </c>
      <c r="C211" s="1" t="s">
        <v>1575</v>
      </c>
      <c r="D211" s="1" t="s">
        <v>1813</v>
      </c>
      <c r="E211" s="1" t="s">
        <v>1587</v>
      </c>
      <c r="F211" s="1" t="s">
        <v>2301</v>
      </c>
      <c r="G211" s="6" t="s">
        <v>673</v>
      </c>
      <c r="H211" s="28">
        <v>44005</v>
      </c>
      <c r="I211" s="29">
        <f t="shared" si="42"/>
        <v>2020</v>
      </c>
      <c r="J211" s="1" t="s">
        <v>2275</v>
      </c>
      <c r="K211" s="1" t="s">
        <v>3054</v>
      </c>
      <c r="L211" s="11" t="str">
        <f t="shared" ref="L211:L852" si="56">IF(OR(A211=J211,A211=K211),"ДА","НЕТ")</f>
        <v>НЕТ</v>
      </c>
      <c r="M211" s="10" t="s">
        <v>1575</v>
      </c>
      <c r="N211" s="10" t="s">
        <v>1575</v>
      </c>
      <c r="O211" s="10">
        <v>2.4</v>
      </c>
      <c r="P211" s="10" t="str">
        <f t="shared" si="44"/>
        <v>NA</v>
      </c>
      <c r="Q211" s="10" t="str">
        <f t="shared" si="45"/>
        <v>NA</v>
      </c>
      <c r="R211" s="10" t="s">
        <v>1575</v>
      </c>
      <c r="S211" s="10" t="s">
        <v>1575</v>
      </c>
      <c r="T211" s="10" t="s">
        <v>1575</v>
      </c>
      <c r="U211" s="10" t="s">
        <v>1575</v>
      </c>
      <c r="V211" s="10" t="s">
        <v>1575</v>
      </c>
      <c r="W211" s="10" t="s">
        <v>1575</v>
      </c>
      <c r="X211" s="10" t="str">
        <f t="shared" si="46"/>
        <v>NA</v>
      </c>
      <c r="Y211" s="10" t="str">
        <f t="shared" si="47"/>
        <v>NA</v>
      </c>
      <c r="Z211" s="10" t="str">
        <f t="shared" si="48"/>
        <v>NA</v>
      </c>
      <c r="AA211" s="10" t="str">
        <f t="shared" si="49"/>
        <v>NA</v>
      </c>
      <c r="AB211" s="10" t="str">
        <f t="shared" si="50"/>
        <v>NA</v>
      </c>
      <c r="AC211" s="10" t="str">
        <f t="shared" si="51"/>
        <v>NA</v>
      </c>
      <c r="AD211" s="10" t="str">
        <f t="shared" si="52"/>
        <v>NA</v>
      </c>
      <c r="AE211" s="10" t="str">
        <f t="shared" si="53"/>
        <v>NA</v>
      </c>
      <c r="AF211" s="1" t="s">
        <v>3099</v>
      </c>
    </row>
    <row r="212" spans="1:32" x14ac:dyDescent="0.2">
      <c r="A212" s="1" t="s">
        <v>670</v>
      </c>
      <c r="B212" s="1" t="s">
        <v>5</v>
      </c>
      <c r="C212" s="1" t="s">
        <v>1575</v>
      </c>
      <c r="D212" s="1" t="s">
        <v>1813</v>
      </c>
      <c r="E212" s="1" t="s">
        <v>1587</v>
      </c>
      <c r="F212" s="1" t="s">
        <v>662</v>
      </c>
      <c r="G212" s="4">
        <f>6.95%+1.5%</f>
        <v>8.4500000000000006E-2</v>
      </c>
      <c r="H212" s="28">
        <v>44104</v>
      </c>
      <c r="I212" s="29">
        <f t="shared" si="42"/>
        <v>2020</v>
      </c>
      <c r="J212" s="1" t="s">
        <v>2275</v>
      </c>
      <c r="K212" s="1" t="s">
        <v>671</v>
      </c>
      <c r="L212" s="11" t="str">
        <f t="shared" si="56"/>
        <v>НЕТ</v>
      </c>
      <c r="M212" s="10" t="s">
        <v>1575</v>
      </c>
      <c r="N212" s="10" t="s">
        <v>1575</v>
      </c>
      <c r="O212" s="10" t="s">
        <v>1575</v>
      </c>
      <c r="P212" s="10" t="str">
        <f t="shared" si="44"/>
        <v>NA</v>
      </c>
      <c r="Q212" s="10" t="str">
        <f t="shared" si="45"/>
        <v>NA</v>
      </c>
      <c r="R212" s="10" t="s">
        <v>1575</v>
      </c>
      <c r="S212" s="10" t="s">
        <v>1575</v>
      </c>
      <c r="T212" s="10" t="s">
        <v>1575</v>
      </c>
      <c r="U212" s="10" t="s">
        <v>1575</v>
      </c>
      <c r="V212" s="10" t="s">
        <v>1575</v>
      </c>
      <c r="W212" s="10" t="s">
        <v>1575</v>
      </c>
      <c r="X212" s="10" t="str">
        <f t="shared" si="46"/>
        <v>NA</v>
      </c>
      <c r="Y212" s="10" t="str">
        <f t="shared" si="47"/>
        <v>NA</v>
      </c>
      <c r="Z212" s="10" t="str">
        <f t="shared" si="48"/>
        <v>NA</v>
      </c>
      <c r="AA212" s="10" t="str">
        <f t="shared" si="49"/>
        <v>NA</v>
      </c>
      <c r="AB212" s="10" t="str">
        <f t="shared" si="50"/>
        <v>NA</v>
      </c>
      <c r="AC212" s="10" t="str">
        <f t="shared" si="51"/>
        <v>NA</v>
      </c>
      <c r="AD212" s="10" t="str">
        <f t="shared" si="52"/>
        <v>NA</v>
      </c>
      <c r="AE212" s="10" t="str">
        <f t="shared" si="53"/>
        <v>NA</v>
      </c>
      <c r="AF212" s="1" t="s">
        <v>669</v>
      </c>
    </row>
    <row r="213" spans="1:32" x14ac:dyDescent="0.2">
      <c r="A213" s="1" t="s">
        <v>2275</v>
      </c>
      <c r="B213" s="1" t="s">
        <v>5</v>
      </c>
      <c r="C213" s="1" t="s">
        <v>3201</v>
      </c>
      <c r="D213" s="1" t="s">
        <v>1580</v>
      </c>
      <c r="E213" s="1" t="s">
        <v>1694</v>
      </c>
      <c r="F213" s="1" t="s">
        <v>68</v>
      </c>
      <c r="G213" s="4">
        <f>(98.2-69.6)/21587</f>
        <v>1.3248714504099693E-3</v>
      </c>
      <c r="H213" s="28">
        <v>44196</v>
      </c>
      <c r="I213" s="29">
        <f t="shared" si="42"/>
        <v>2020</v>
      </c>
      <c r="J213" s="1" t="s">
        <v>7</v>
      </c>
      <c r="K213" s="1" t="s">
        <v>2275</v>
      </c>
      <c r="L213" s="11" t="str">
        <f t="shared" ref="L213" si="57">IF(OR(A213=J213,A213=K213),"ДА","НЕТ")</f>
        <v>ДА</v>
      </c>
      <c r="M213" s="10" t="s">
        <v>1575</v>
      </c>
      <c r="N213" s="10" t="s">
        <v>1575</v>
      </c>
      <c r="O213" s="10">
        <f>18.5-9.9</f>
        <v>8.6</v>
      </c>
      <c r="P213" s="10">
        <f t="shared" si="44"/>
        <v>6491.1958041958023</v>
      </c>
      <c r="Q213" s="10" t="str">
        <f t="shared" si="45"/>
        <v>NA</v>
      </c>
      <c r="R213" s="10" t="s">
        <v>1575</v>
      </c>
      <c r="S213" s="10" t="s">
        <v>1575</v>
      </c>
      <c r="T213" s="10" t="s">
        <v>1575</v>
      </c>
      <c r="U213" s="10">
        <v>760.3</v>
      </c>
      <c r="V213" s="10">
        <v>5046.5</v>
      </c>
      <c r="W213" s="10" t="s">
        <v>1575</v>
      </c>
      <c r="X213" s="10" t="str">
        <f t="shared" si="46"/>
        <v>NA</v>
      </c>
      <c r="Y213" s="10" t="str">
        <f t="shared" si="47"/>
        <v>NA</v>
      </c>
      <c r="Z213" s="10">
        <f t="shared" si="48"/>
        <v>8.5376769751358719</v>
      </c>
      <c r="AA213" s="10">
        <f t="shared" si="49"/>
        <v>1.2862767867226399</v>
      </c>
      <c r="AB213" s="10" t="str">
        <f t="shared" si="50"/>
        <v>NA</v>
      </c>
      <c r="AC213" s="10" t="str">
        <f t="shared" si="51"/>
        <v>NA</v>
      </c>
      <c r="AD213" s="10" t="str">
        <f t="shared" si="52"/>
        <v>NA</v>
      </c>
      <c r="AE213" s="10" t="str">
        <f t="shared" si="53"/>
        <v>NA</v>
      </c>
    </row>
    <row r="214" spans="1:32" x14ac:dyDescent="0.2">
      <c r="A214" s="1" t="s">
        <v>2275</v>
      </c>
      <c r="B214" s="1" t="s">
        <v>5</v>
      </c>
      <c r="C214" s="1" t="s">
        <v>3201</v>
      </c>
      <c r="D214" s="1" t="s">
        <v>1580</v>
      </c>
      <c r="E214" s="1" t="s">
        <v>1694</v>
      </c>
      <c r="F214" s="1" t="s">
        <v>68</v>
      </c>
      <c r="G214" s="4">
        <f>(39.2-32.9)/1000</f>
        <v>6.3000000000000044E-3</v>
      </c>
      <c r="H214" s="28">
        <v>44196</v>
      </c>
      <c r="I214" s="29">
        <f t="shared" si="42"/>
        <v>2020</v>
      </c>
      <c r="J214" s="1" t="s">
        <v>2275</v>
      </c>
      <c r="K214" s="1" t="s">
        <v>7</v>
      </c>
      <c r="L214" s="11" t="str">
        <f t="shared" ref="L214" si="58">IF(OR(A214=J214,A214=K214),"ДА","НЕТ")</f>
        <v>ДА</v>
      </c>
      <c r="M214" s="10" t="s">
        <v>1575</v>
      </c>
      <c r="N214" s="10" t="s">
        <v>1575</v>
      </c>
      <c r="O214" s="10">
        <f>4.5-3</f>
        <v>1.5</v>
      </c>
      <c r="P214" s="10">
        <f t="shared" si="44"/>
        <v>238.09523809523793</v>
      </c>
      <c r="Q214" s="10" t="str">
        <f t="shared" si="45"/>
        <v>NA</v>
      </c>
      <c r="R214" s="10" t="s">
        <v>1575</v>
      </c>
      <c r="S214" s="10" t="s">
        <v>1575</v>
      </c>
      <c r="T214" s="10" t="s">
        <v>1575</v>
      </c>
      <c r="U214" s="10">
        <v>760.3</v>
      </c>
      <c r="V214" s="10">
        <v>5046.5</v>
      </c>
      <c r="W214" s="10" t="s">
        <v>1575</v>
      </c>
      <c r="X214" s="10" t="str">
        <f t="shared" si="46"/>
        <v>NA</v>
      </c>
      <c r="Y214" s="10" t="str">
        <f t="shared" si="47"/>
        <v>NA</v>
      </c>
      <c r="Z214" s="10">
        <f t="shared" si="48"/>
        <v>0.31315959239147434</v>
      </c>
      <c r="AA214" s="10">
        <f t="shared" si="49"/>
        <v>4.7180271097837699E-2</v>
      </c>
      <c r="AB214" s="10" t="str">
        <f t="shared" si="50"/>
        <v>NA</v>
      </c>
      <c r="AC214" s="10" t="str">
        <f t="shared" si="51"/>
        <v>NA</v>
      </c>
      <c r="AD214" s="10" t="str">
        <f t="shared" si="52"/>
        <v>NA</v>
      </c>
      <c r="AE214" s="10" t="str">
        <f t="shared" si="53"/>
        <v>NA</v>
      </c>
    </row>
    <row r="215" spans="1:32" x14ac:dyDescent="0.2">
      <c r="A215" s="1" t="s">
        <v>666</v>
      </c>
      <c r="B215" s="1" t="s">
        <v>30</v>
      </c>
      <c r="C215" s="1" t="s">
        <v>1575</v>
      </c>
      <c r="D215" s="1" t="s">
        <v>1813</v>
      </c>
      <c r="E215" s="1" t="s">
        <v>1819</v>
      </c>
      <c r="F215" s="1" t="s">
        <v>3068</v>
      </c>
      <c r="G215" s="4">
        <v>0.45</v>
      </c>
      <c r="H215" s="28">
        <v>44005</v>
      </c>
      <c r="I215" s="29">
        <f t="shared" si="42"/>
        <v>2020</v>
      </c>
      <c r="J215" s="1" t="s">
        <v>3054</v>
      </c>
      <c r="K215" s="1" t="s">
        <v>2275</v>
      </c>
      <c r="L215" s="11" t="str">
        <f t="shared" si="56"/>
        <v>НЕТ</v>
      </c>
      <c r="M215" s="10" t="s">
        <v>1575</v>
      </c>
      <c r="N215" s="10" t="s">
        <v>1575</v>
      </c>
      <c r="O215" s="10">
        <v>42</v>
      </c>
      <c r="P215" s="10">
        <f t="shared" si="44"/>
        <v>93.333333333333329</v>
      </c>
      <c r="Q215" s="10">
        <f t="shared" si="45"/>
        <v>82.111333333333334</v>
      </c>
      <c r="R215" s="10">
        <v>231.869</v>
      </c>
      <c r="S215" s="10" t="s">
        <v>1575</v>
      </c>
      <c r="T215" s="10" t="s">
        <v>1575</v>
      </c>
      <c r="U215" s="10">
        <v>23.373999999999999</v>
      </c>
      <c r="V215" s="10">
        <f>97.07-12.692-51.836</f>
        <v>32.541999999999987</v>
      </c>
      <c r="W215" s="10">
        <f>4.213+1.971-6.206-11.2</f>
        <v>-11.222</v>
      </c>
      <c r="X215" s="10">
        <f t="shared" si="46"/>
        <v>21.319999999999986</v>
      </c>
      <c r="Y215" s="10">
        <f t="shared" si="47"/>
        <v>0.40252613904115397</v>
      </c>
      <c r="Z215" s="10">
        <f t="shared" si="48"/>
        <v>3.9930407004934256</v>
      </c>
      <c r="AA215" s="10">
        <f t="shared" si="49"/>
        <v>2.8680884190686915</v>
      </c>
      <c r="AB215" s="10">
        <f t="shared" si="50"/>
        <v>0.35412812119487008</v>
      </c>
      <c r="AC215" s="10" t="str">
        <f t="shared" si="51"/>
        <v>NA</v>
      </c>
      <c r="AD215" s="10" t="str">
        <f t="shared" si="52"/>
        <v>NA</v>
      </c>
      <c r="AE215" s="10">
        <f t="shared" si="53"/>
        <v>3.8513758599124479</v>
      </c>
      <c r="AF215" s="1" t="s">
        <v>3069</v>
      </c>
    </row>
    <row r="216" spans="1:32" x14ac:dyDescent="0.2">
      <c r="A216" s="1" t="s">
        <v>5419</v>
      </c>
      <c r="B216" s="1" t="s">
        <v>5</v>
      </c>
      <c r="C216" s="1" t="s">
        <v>1575</v>
      </c>
      <c r="D216" s="1" t="s">
        <v>1580</v>
      </c>
      <c r="E216" s="1" t="s">
        <v>1590</v>
      </c>
      <c r="F216" s="1" t="s">
        <v>664</v>
      </c>
      <c r="G216" s="4">
        <v>1</v>
      </c>
      <c r="H216" s="28">
        <v>44377</v>
      </c>
      <c r="I216" s="29">
        <f t="shared" si="42"/>
        <v>2021</v>
      </c>
      <c r="J216" s="1" t="s">
        <v>5420</v>
      </c>
      <c r="K216" s="1" t="s">
        <v>7</v>
      </c>
      <c r="L216" s="11" t="str">
        <f t="shared" si="56"/>
        <v>НЕТ</v>
      </c>
      <c r="M216" s="10" t="s">
        <v>1575</v>
      </c>
      <c r="N216" s="10" t="s">
        <v>1575</v>
      </c>
      <c r="O216" s="10" t="s">
        <v>1575</v>
      </c>
      <c r="P216" s="10" t="str">
        <f t="shared" si="44"/>
        <v>NA</v>
      </c>
      <c r="Q216" s="10" t="str">
        <f t="shared" si="45"/>
        <v>NA</v>
      </c>
      <c r="R216" s="10" t="s">
        <v>1575</v>
      </c>
      <c r="S216" s="10" t="s">
        <v>1575</v>
      </c>
      <c r="T216" s="10" t="s">
        <v>1575</v>
      </c>
      <c r="U216" s="10" t="s">
        <v>1575</v>
      </c>
      <c r="V216" s="10" t="s">
        <v>1575</v>
      </c>
      <c r="W216" s="10" t="s">
        <v>1575</v>
      </c>
      <c r="X216" s="10" t="str">
        <f t="shared" si="46"/>
        <v>NA</v>
      </c>
      <c r="Y216" s="10" t="str">
        <f t="shared" si="47"/>
        <v>NA</v>
      </c>
      <c r="Z216" s="10" t="str">
        <f t="shared" si="48"/>
        <v>NA</v>
      </c>
      <c r="AA216" s="10" t="str">
        <f t="shared" si="49"/>
        <v>NA</v>
      </c>
      <c r="AB216" s="10" t="str">
        <f t="shared" si="50"/>
        <v>NA</v>
      </c>
      <c r="AC216" s="10" t="str">
        <f t="shared" si="51"/>
        <v>NA</v>
      </c>
      <c r="AD216" s="10" t="str">
        <f t="shared" si="52"/>
        <v>NA</v>
      </c>
      <c r="AE216" s="10" t="str">
        <f t="shared" si="53"/>
        <v>NA</v>
      </c>
      <c r="AF216" s="1" t="s">
        <v>665</v>
      </c>
    </row>
    <row r="217" spans="1:32" x14ac:dyDescent="0.2">
      <c r="A217" s="1" t="s">
        <v>663</v>
      </c>
      <c r="B217" s="1" t="s">
        <v>5</v>
      </c>
      <c r="C217" s="1" t="s">
        <v>1575</v>
      </c>
      <c r="D217" s="1" t="s">
        <v>1813</v>
      </c>
      <c r="E217" s="1" t="s">
        <v>1819</v>
      </c>
      <c r="F217" s="1" t="s">
        <v>662</v>
      </c>
      <c r="G217" s="4">
        <v>0.85</v>
      </c>
      <c r="H217" s="28">
        <v>44286</v>
      </c>
      <c r="I217" s="29">
        <f t="shared" si="42"/>
        <v>2021</v>
      </c>
      <c r="J217" s="1" t="s">
        <v>2275</v>
      </c>
      <c r="K217" s="1" t="s">
        <v>7</v>
      </c>
      <c r="L217" s="11" t="str">
        <f t="shared" si="56"/>
        <v>НЕТ</v>
      </c>
      <c r="M217" s="10" t="s">
        <v>1575</v>
      </c>
      <c r="N217" s="10" t="s">
        <v>1575</v>
      </c>
      <c r="O217" s="10" t="s">
        <v>1575</v>
      </c>
      <c r="P217" s="10" t="str">
        <f t="shared" si="44"/>
        <v>NA</v>
      </c>
      <c r="Q217" s="10" t="str">
        <f t="shared" si="45"/>
        <v>NA</v>
      </c>
      <c r="R217" s="10" t="s">
        <v>1575</v>
      </c>
      <c r="S217" s="10" t="s">
        <v>1575</v>
      </c>
      <c r="T217" s="10" t="s">
        <v>1575</v>
      </c>
      <c r="U217" s="10" t="s">
        <v>1575</v>
      </c>
      <c r="V217" s="10" t="s">
        <v>1575</v>
      </c>
      <c r="W217" s="10" t="s">
        <v>1575</v>
      </c>
      <c r="X217" s="10" t="str">
        <f t="shared" si="46"/>
        <v>NA</v>
      </c>
      <c r="Y217" s="10" t="str">
        <f t="shared" si="47"/>
        <v>NA</v>
      </c>
      <c r="Z217" s="10" t="str">
        <f t="shared" si="48"/>
        <v>NA</v>
      </c>
      <c r="AA217" s="10" t="str">
        <f t="shared" si="49"/>
        <v>NA</v>
      </c>
      <c r="AB217" s="10" t="str">
        <f t="shared" si="50"/>
        <v>NA</v>
      </c>
      <c r="AC217" s="10" t="str">
        <f t="shared" si="51"/>
        <v>NA</v>
      </c>
      <c r="AD217" s="10" t="str">
        <f t="shared" si="52"/>
        <v>NA</v>
      </c>
      <c r="AE217" s="10" t="str">
        <f t="shared" si="53"/>
        <v>NA</v>
      </c>
      <c r="AF217" s="1" t="s">
        <v>661</v>
      </c>
    </row>
    <row r="218" spans="1:32" x14ac:dyDescent="0.2">
      <c r="A218" s="1" t="s">
        <v>5421</v>
      </c>
      <c r="B218" s="1" t="s">
        <v>5</v>
      </c>
      <c r="C218" s="1" t="s">
        <v>1575</v>
      </c>
      <c r="D218" s="1" t="s">
        <v>1582</v>
      </c>
      <c r="E218" s="1" t="s">
        <v>2166</v>
      </c>
      <c r="F218" s="1" t="s">
        <v>2297</v>
      </c>
      <c r="G218" s="4">
        <v>0.25</v>
      </c>
      <c r="H218" s="28">
        <v>44347</v>
      </c>
      <c r="I218" s="29">
        <f t="shared" si="42"/>
        <v>2021</v>
      </c>
      <c r="J218" s="1" t="s">
        <v>2275</v>
      </c>
      <c r="K218" s="1" t="s">
        <v>7</v>
      </c>
      <c r="L218" s="11" t="str">
        <f t="shared" si="56"/>
        <v>НЕТ</v>
      </c>
      <c r="M218" s="10" t="s">
        <v>1575</v>
      </c>
      <c r="N218" s="10" t="s">
        <v>1575</v>
      </c>
      <c r="O218" s="10">
        <f>108*0.25/1</f>
        <v>27</v>
      </c>
      <c r="P218" s="10">
        <f t="shared" si="44"/>
        <v>108</v>
      </c>
      <c r="Q218" s="10" t="str">
        <f t="shared" si="45"/>
        <v>NA</v>
      </c>
      <c r="R218" s="10" t="s">
        <v>1575</v>
      </c>
      <c r="S218" s="10" t="s">
        <v>1575</v>
      </c>
      <c r="T218" s="10" t="s">
        <v>1575</v>
      </c>
      <c r="U218" s="10" t="s">
        <v>1575</v>
      </c>
      <c r="V218" s="10" t="s">
        <v>1575</v>
      </c>
      <c r="W218" s="10" t="s">
        <v>1575</v>
      </c>
      <c r="X218" s="10" t="str">
        <f t="shared" si="46"/>
        <v>NA</v>
      </c>
      <c r="Y218" s="10" t="str">
        <f t="shared" si="47"/>
        <v>NA</v>
      </c>
      <c r="Z218" s="10" t="str">
        <f t="shared" si="48"/>
        <v>NA</v>
      </c>
      <c r="AA218" s="10" t="str">
        <f t="shared" si="49"/>
        <v>NA</v>
      </c>
      <c r="AB218" s="10" t="str">
        <f t="shared" si="50"/>
        <v>NA</v>
      </c>
      <c r="AC218" s="10" t="str">
        <f t="shared" si="51"/>
        <v>NA</v>
      </c>
      <c r="AD218" s="10" t="str">
        <f t="shared" si="52"/>
        <v>NA</v>
      </c>
      <c r="AE218" s="10" t="str">
        <f t="shared" si="53"/>
        <v>NA</v>
      </c>
      <c r="AF218" s="1" t="s">
        <v>1017</v>
      </c>
    </row>
    <row r="219" spans="1:32" x14ac:dyDescent="0.2">
      <c r="A219" s="1" t="s">
        <v>5422</v>
      </c>
      <c r="B219" s="1" t="s">
        <v>5</v>
      </c>
      <c r="C219" s="1" t="s">
        <v>1575</v>
      </c>
      <c r="D219" s="1" t="s">
        <v>1584</v>
      </c>
      <c r="E219" s="1" t="s">
        <v>3496</v>
      </c>
      <c r="F219" s="1" t="s">
        <v>660</v>
      </c>
      <c r="G219" s="4">
        <v>1</v>
      </c>
      <c r="H219" s="28">
        <v>44408</v>
      </c>
      <c r="I219" s="29">
        <f t="shared" si="42"/>
        <v>2021</v>
      </c>
      <c r="J219" s="1" t="s">
        <v>5423</v>
      </c>
      <c r="K219" s="1" t="s">
        <v>2275</v>
      </c>
      <c r="L219" s="11" t="str">
        <f t="shared" si="56"/>
        <v>НЕТ</v>
      </c>
      <c r="M219" s="10" t="s">
        <v>1575</v>
      </c>
      <c r="N219" s="10" t="s">
        <v>1575</v>
      </c>
      <c r="O219" s="10">
        <v>161</v>
      </c>
      <c r="P219" s="10">
        <f t="shared" si="44"/>
        <v>161</v>
      </c>
      <c r="Q219" s="10" t="str">
        <f t="shared" si="45"/>
        <v>NA</v>
      </c>
      <c r="R219" s="10" t="s">
        <v>1575</v>
      </c>
      <c r="S219" s="10" t="s">
        <v>1575</v>
      </c>
      <c r="T219" s="10" t="s">
        <v>1575</v>
      </c>
      <c r="U219" s="10" t="s">
        <v>1575</v>
      </c>
      <c r="V219" s="10" t="s">
        <v>1575</v>
      </c>
      <c r="W219" s="10" t="s">
        <v>1575</v>
      </c>
      <c r="X219" s="10" t="str">
        <f t="shared" si="46"/>
        <v>NA</v>
      </c>
      <c r="Y219" s="10" t="str">
        <f t="shared" si="47"/>
        <v>NA</v>
      </c>
      <c r="Z219" s="10" t="str">
        <f t="shared" si="48"/>
        <v>NA</v>
      </c>
      <c r="AA219" s="10" t="str">
        <f t="shared" si="49"/>
        <v>NA</v>
      </c>
      <c r="AB219" s="10" t="str">
        <f t="shared" si="50"/>
        <v>NA</v>
      </c>
      <c r="AC219" s="10" t="str">
        <f t="shared" si="51"/>
        <v>NA</v>
      </c>
      <c r="AD219" s="10" t="str">
        <f t="shared" si="52"/>
        <v>NA</v>
      </c>
      <c r="AE219" s="10" t="str">
        <f t="shared" si="53"/>
        <v>NA</v>
      </c>
      <c r="AF219" s="1" t="s">
        <v>659</v>
      </c>
    </row>
    <row r="220" spans="1:32" x14ac:dyDescent="0.2">
      <c r="A220" s="1" t="s">
        <v>4040</v>
      </c>
      <c r="B220" s="1" t="s">
        <v>5</v>
      </c>
      <c r="C220" s="1" t="s">
        <v>4044</v>
      </c>
      <c r="D220" s="1" t="s">
        <v>1580</v>
      </c>
      <c r="E220" s="1" t="s">
        <v>1694</v>
      </c>
      <c r="F220" s="1" t="s">
        <v>68</v>
      </c>
      <c r="G220" s="4">
        <f>12/499.554</f>
        <v>2.4021427112984783E-2</v>
      </c>
      <c r="H220" s="28">
        <v>43761</v>
      </c>
      <c r="I220" s="29">
        <f t="shared" si="42"/>
        <v>2019</v>
      </c>
      <c r="J220" s="1" t="s">
        <v>4040</v>
      </c>
      <c r="K220" s="1" t="s">
        <v>7</v>
      </c>
      <c r="L220" s="11" t="str">
        <f t="shared" ref="L220" si="59">IF(OR(A220=J220,A220=K220),"ДА","НЕТ")</f>
        <v>ДА</v>
      </c>
      <c r="M220" s="10" t="s">
        <v>1575</v>
      </c>
      <c r="N220" s="10" t="s">
        <v>1575</v>
      </c>
      <c r="O220" s="10">
        <f>12*53.5/1000</f>
        <v>0.64200000000000002</v>
      </c>
      <c r="P220" s="10">
        <f t="shared" si="44"/>
        <v>26.726139</v>
      </c>
      <c r="Q220" s="10" t="str">
        <f t="shared" si="45"/>
        <v>NA</v>
      </c>
      <c r="R220" s="10" t="s">
        <v>1575</v>
      </c>
      <c r="S220" s="10" t="s">
        <v>1575</v>
      </c>
      <c r="T220" s="10" t="s">
        <v>1575</v>
      </c>
      <c r="U220" s="10">
        <v>9.0469279999999923</v>
      </c>
      <c r="V220" s="10">
        <v>75.653655000000001</v>
      </c>
      <c r="W220" s="10" t="s">
        <v>1575</v>
      </c>
      <c r="X220" s="10" t="str">
        <f t="shared" si="46"/>
        <v>NA</v>
      </c>
      <c r="Y220" s="10" t="str">
        <f t="shared" si="47"/>
        <v>NA</v>
      </c>
      <c r="Z220" s="10">
        <f t="shared" si="48"/>
        <v>2.9541673151372514</v>
      </c>
      <c r="AA220" s="10">
        <f t="shared" si="49"/>
        <v>0.35326963383328935</v>
      </c>
      <c r="AB220" s="10" t="str">
        <f t="shared" si="50"/>
        <v>NA</v>
      </c>
      <c r="AC220" s="10" t="str">
        <f t="shared" si="51"/>
        <v>NA</v>
      </c>
      <c r="AD220" s="10" t="str">
        <f t="shared" si="52"/>
        <v>NA</v>
      </c>
      <c r="AE220" s="10" t="str">
        <f t="shared" si="53"/>
        <v>NA</v>
      </c>
      <c r="AF220" s="1" t="s">
        <v>4042</v>
      </c>
    </row>
    <row r="221" spans="1:32" x14ac:dyDescent="0.2">
      <c r="A221" s="1" t="s">
        <v>4040</v>
      </c>
      <c r="B221" s="1" t="s">
        <v>5</v>
      </c>
      <c r="C221" s="1" t="s">
        <v>4044</v>
      </c>
      <c r="D221" s="1" t="s">
        <v>1580</v>
      </c>
      <c r="E221" s="1" t="s">
        <v>1694</v>
      </c>
      <c r="F221" s="1" t="s">
        <v>68</v>
      </c>
      <c r="G221" s="4">
        <f>12/499.554</f>
        <v>2.4021427112984783E-2</v>
      </c>
      <c r="H221" s="28">
        <v>43404</v>
      </c>
      <c r="I221" s="29">
        <f t="shared" si="42"/>
        <v>2018</v>
      </c>
      <c r="J221" s="1" t="s">
        <v>4040</v>
      </c>
      <c r="K221" s="1" t="s">
        <v>7</v>
      </c>
      <c r="L221" s="11" t="str">
        <f t="shared" ref="L221" si="60">IF(OR(A221=J221,A221=K221),"ДА","НЕТ")</f>
        <v>ДА</v>
      </c>
      <c r="M221" s="10" t="s">
        <v>1575</v>
      </c>
      <c r="N221" s="10" t="s">
        <v>1575</v>
      </c>
      <c r="O221" s="10">
        <f>12*55/1000</f>
        <v>0.66</v>
      </c>
      <c r="P221" s="10">
        <f t="shared" si="44"/>
        <v>27.475470000000001</v>
      </c>
      <c r="Q221" s="10" t="str">
        <f t="shared" si="45"/>
        <v>NA</v>
      </c>
      <c r="R221" s="10" t="s">
        <v>1575</v>
      </c>
      <c r="S221" s="10" t="s">
        <v>1575</v>
      </c>
      <c r="T221" s="10" t="s">
        <v>1575</v>
      </c>
      <c r="U221" s="10">
        <v>7.4910559999999942</v>
      </c>
      <c r="V221" s="10">
        <v>70.910128999999998</v>
      </c>
      <c r="W221" s="10" t="s">
        <v>1575</v>
      </c>
      <c r="X221" s="10" t="str">
        <f t="shared" si="46"/>
        <v>NA</v>
      </c>
      <c r="Y221" s="10" t="str">
        <f t="shared" si="47"/>
        <v>NA</v>
      </c>
      <c r="Z221" s="10">
        <f t="shared" si="48"/>
        <v>3.6677699379099584</v>
      </c>
      <c r="AA221" s="10">
        <f t="shared" si="49"/>
        <v>0.38746890447766641</v>
      </c>
      <c r="AB221" s="10" t="str">
        <f t="shared" si="50"/>
        <v>NA</v>
      </c>
      <c r="AC221" s="10" t="str">
        <f t="shared" si="51"/>
        <v>NA</v>
      </c>
      <c r="AD221" s="10" t="str">
        <f t="shared" si="52"/>
        <v>NA</v>
      </c>
      <c r="AE221" s="10" t="str">
        <f t="shared" si="53"/>
        <v>NA</v>
      </c>
      <c r="AF221" s="1" t="s">
        <v>4043</v>
      </c>
    </row>
    <row r="222" spans="1:32" x14ac:dyDescent="0.2">
      <c r="A222" s="1" t="s">
        <v>5424</v>
      </c>
      <c r="B222" s="1" t="s">
        <v>5</v>
      </c>
      <c r="C222" s="1" t="s">
        <v>1575</v>
      </c>
      <c r="D222" s="1" t="s">
        <v>1615</v>
      </c>
      <c r="E222" s="1" t="s">
        <v>2172</v>
      </c>
      <c r="F222" s="1" t="s">
        <v>4041</v>
      </c>
      <c r="G222" s="4">
        <v>0.51</v>
      </c>
      <c r="H222" s="28">
        <v>43100</v>
      </c>
      <c r="I222" s="29">
        <f t="shared" si="42"/>
        <v>2017</v>
      </c>
      <c r="J222" s="1" t="s">
        <v>5425</v>
      </c>
      <c r="K222" s="1" t="s">
        <v>7</v>
      </c>
      <c r="L222" s="11" t="str">
        <f t="shared" ref="L222" si="61">IF(OR(A222=J222,A222=K222),"ДА","НЕТ")</f>
        <v>НЕТ</v>
      </c>
      <c r="M222" s="10" t="s">
        <v>1575</v>
      </c>
      <c r="N222" s="10" t="s">
        <v>1575</v>
      </c>
      <c r="O222" s="10">
        <v>0.59550000000000003</v>
      </c>
      <c r="P222" s="10">
        <f t="shared" si="44"/>
        <v>1.1676470588235295</v>
      </c>
      <c r="Q222" s="10" t="str">
        <f t="shared" si="45"/>
        <v>NA</v>
      </c>
      <c r="R222" s="10" t="s">
        <v>1575</v>
      </c>
      <c r="S222" s="10" t="s">
        <v>1575</v>
      </c>
      <c r="T222" s="10" t="s">
        <v>1575</v>
      </c>
      <c r="U222" s="10" t="s">
        <v>1575</v>
      </c>
      <c r="V222" s="10">
        <f>0.480627/G222</f>
        <v>0.9424058823529412</v>
      </c>
      <c r="W222" s="10" t="s">
        <v>1575</v>
      </c>
      <c r="X222" s="10" t="str">
        <f t="shared" si="46"/>
        <v>NA</v>
      </c>
      <c r="Y222" s="10" t="str">
        <f t="shared" si="47"/>
        <v>NA</v>
      </c>
      <c r="Z222" s="10" t="str">
        <f t="shared" si="48"/>
        <v>NA</v>
      </c>
      <c r="AA222" s="10">
        <f t="shared" si="49"/>
        <v>1.2390065476970706</v>
      </c>
      <c r="AB222" s="10" t="str">
        <f t="shared" si="50"/>
        <v>NA</v>
      </c>
      <c r="AC222" s="10" t="str">
        <f t="shared" si="51"/>
        <v>NA</v>
      </c>
      <c r="AD222" s="10" t="str">
        <f t="shared" si="52"/>
        <v>NA</v>
      </c>
      <c r="AE222" s="10" t="str">
        <f t="shared" si="53"/>
        <v>NA</v>
      </c>
      <c r="AF222" s="1" t="s">
        <v>4039</v>
      </c>
    </row>
    <row r="223" spans="1:32" x14ac:dyDescent="0.2">
      <c r="A223" s="1" t="s">
        <v>4040</v>
      </c>
      <c r="B223" s="1" t="s">
        <v>5</v>
      </c>
      <c r="C223" s="1" t="s">
        <v>4044</v>
      </c>
      <c r="D223" s="1" t="s">
        <v>1580</v>
      </c>
      <c r="E223" s="1" t="s">
        <v>1694</v>
      </c>
      <c r="F223" s="1" t="s">
        <v>68</v>
      </c>
      <c r="G223" s="4">
        <f>12.613082/439.554</f>
        <v>2.869518193441534E-2</v>
      </c>
      <c r="H223" s="28">
        <v>42735</v>
      </c>
      <c r="I223" s="29">
        <f t="shared" si="42"/>
        <v>2016</v>
      </c>
      <c r="J223" s="1" t="s">
        <v>4040</v>
      </c>
      <c r="K223" s="1" t="s">
        <v>7</v>
      </c>
      <c r="L223" s="11" t="str">
        <f t="shared" ref="L223" si="62">IF(OR(A223=J223,A223=K223),"ДА","НЕТ")</f>
        <v>ДА</v>
      </c>
      <c r="M223" s="10" t="s">
        <v>1575</v>
      </c>
      <c r="N223" s="10" t="s">
        <v>1575</v>
      </c>
      <c r="O223" s="10" t="s">
        <v>1575</v>
      </c>
      <c r="P223" s="10" t="str">
        <f t="shared" si="44"/>
        <v>NA</v>
      </c>
      <c r="Q223" s="10" t="str">
        <f t="shared" si="45"/>
        <v>NA</v>
      </c>
      <c r="R223" s="10" t="s">
        <v>1575</v>
      </c>
      <c r="S223" s="10" t="s">
        <v>1575</v>
      </c>
      <c r="T223" s="10" t="s">
        <v>1575</v>
      </c>
      <c r="U223" s="10">
        <v>4.2778100000000006</v>
      </c>
      <c r="V223" s="10">
        <v>60.868966</v>
      </c>
      <c r="W223" s="10" t="s">
        <v>1575</v>
      </c>
      <c r="X223" s="10" t="str">
        <f t="shared" si="46"/>
        <v>NA</v>
      </c>
      <c r="Y223" s="10" t="str">
        <f t="shared" si="47"/>
        <v>NA</v>
      </c>
      <c r="Z223" s="10" t="str">
        <f t="shared" si="48"/>
        <v>NA</v>
      </c>
      <c r="AA223" s="10" t="str">
        <f t="shared" si="49"/>
        <v>NA</v>
      </c>
      <c r="AB223" s="10" t="str">
        <f t="shared" si="50"/>
        <v>NA</v>
      </c>
      <c r="AC223" s="10" t="str">
        <f t="shared" si="51"/>
        <v>NA</v>
      </c>
      <c r="AD223" s="10" t="str">
        <f t="shared" si="52"/>
        <v>NA</v>
      </c>
      <c r="AE223" s="10" t="str">
        <f t="shared" si="53"/>
        <v>NA</v>
      </c>
      <c r="AF223" s="1" t="s">
        <v>4048</v>
      </c>
    </row>
    <row r="224" spans="1:32" x14ac:dyDescent="0.2">
      <c r="A224" s="1" t="s">
        <v>5426</v>
      </c>
      <c r="B224" s="1" t="s">
        <v>5</v>
      </c>
      <c r="C224" s="1" t="s">
        <v>1575</v>
      </c>
      <c r="D224" s="1" t="s">
        <v>1580</v>
      </c>
      <c r="E224" s="1" t="s">
        <v>1593</v>
      </c>
      <c r="F224" s="1" t="s">
        <v>4050</v>
      </c>
      <c r="G224" s="4">
        <v>1</v>
      </c>
      <c r="H224" s="28">
        <v>42735</v>
      </c>
      <c r="I224" s="29">
        <f t="shared" si="42"/>
        <v>2016</v>
      </c>
      <c r="J224" s="1" t="s">
        <v>4040</v>
      </c>
      <c r="K224" s="1" t="s">
        <v>7</v>
      </c>
      <c r="L224" s="11" t="str">
        <f t="shared" ref="L224" si="63">IF(OR(A224=J224,A224=K224),"ДА","НЕТ")</f>
        <v>НЕТ</v>
      </c>
      <c r="M224" s="10" t="s">
        <v>1575</v>
      </c>
      <c r="N224" s="10" t="s">
        <v>1575</v>
      </c>
      <c r="O224" s="10">
        <v>0.156</v>
      </c>
      <c r="P224" s="10">
        <f t="shared" si="44"/>
        <v>0.156</v>
      </c>
      <c r="Q224" s="10" t="str">
        <f t="shared" si="45"/>
        <v>NA</v>
      </c>
      <c r="R224" s="10" t="s">
        <v>1575</v>
      </c>
      <c r="S224" s="10" t="s">
        <v>1575</v>
      </c>
      <c r="T224" s="10" t="s">
        <v>1575</v>
      </c>
      <c r="U224" s="10" t="s">
        <v>1575</v>
      </c>
      <c r="V224" s="10">
        <v>0.156</v>
      </c>
      <c r="W224" s="10" t="s">
        <v>1575</v>
      </c>
      <c r="X224" s="10" t="str">
        <f t="shared" si="46"/>
        <v>NA</v>
      </c>
      <c r="Y224" s="10" t="str">
        <f t="shared" si="47"/>
        <v>NA</v>
      </c>
      <c r="Z224" s="10" t="str">
        <f t="shared" si="48"/>
        <v>NA</v>
      </c>
      <c r="AA224" s="10">
        <f t="shared" si="49"/>
        <v>1</v>
      </c>
      <c r="AB224" s="10" t="str">
        <f t="shared" si="50"/>
        <v>NA</v>
      </c>
      <c r="AC224" s="10" t="str">
        <f t="shared" si="51"/>
        <v>NA</v>
      </c>
      <c r="AD224" s="10" t="str">
        <f t="shared" si="52"/>
        <v>NA</v>
      </c>
      <c r="AE224" s="10" t="str">
        <f t="shared" si="53"/>
        <v>NA</v>
      </c>
      <c r="AF224" s="1" t="s">
        <v>4049</v>
      </c>
    </row>
    <row r="225" spans="1:32" x14ac:dyDescent="0.2">
      <c r="A225" s="1" t="s">
        <v>4040</v>
      </c>
      <c r="B225" s="1" t="s">
        <v>5</v>
      </c>
      <c r="C225" s="1" t="s">
        <v>4044</v>
      </c>
      <c r="D225" s="1" t="s">
        <v>1580</v>
      </c>
      <c r="E225" s="1" t="s">
        <v>1694</v>
      </c>
      <c r="F225" s="1" t="s">
        <v>68</v>
      </c>
      <c r="G225" s="4">
        <f>11.332/439.554</f>
        <v>2.5780677686928117E-2</v>
      </c>
      <c r="H225" s="28">
        <v>42035</v>
      </c>
      <c r="I225" s="29">
        <f t="shared" si="42"/>
        <v>2015</v>
      </c>
      <c r="J225" s="1" t="s">
        <v>7</v>
      </c>
      <c r="K225" s="1" t="s">
        <v>4040</v>
      </c>
      <c r="L225" s="11" t="str">
        <f t="shared" ref="L225:L226" si="64">IF(OR(A225=J225,A225=K225),"ДА","НЕТ")</f>
        <v>ДА</v>
      </c>
      <c r="M225" s="10" t="s">
        <v>1575</v>
      </c>
      <c r="N225" s="10" t="s">
        <v>1575</v>
      </c>
      <c r="O225" s="10">
        <v>0.28556599999999999</v>
      </c>
      <c r="P225" s="10">
        <f t="shared" si="44"/>
        <v>11.076745284504057</v>
      </c>
      <c r="Q225" s="10" t="str">
        <f t="shared" si="45"/>
        <v>NA</v>
      </c>
      <c r="R225" s="10" t="s">
        <v>1575</v>
      </c>
      <c r="S225" s="10" t="s">
        <v>1575</v>
      </c>
      <c r="T225" s="10" t="s">
        <v>1575</v>
      </c>
      <c r="U225" s="10">
        <v>4.7956740000000053</v>
      </c>
      <c r="V225" s="10">
        <v>51.294341000000003</v>
      </c>
      <c r="W225" s="10" t="s">
        <v>1575</v>
      </c>
      <c r="X225" s="10" t="str">
        <f t="shared" si="46"/>
        <v>NA</v>
      </c>
      <c r="Y225" s="10" t="str">
        <f t="shared" si="47"/>
        <v>NA</v>
      </c>
      <c r="Z225" s="10">
        <f t="shared" si="48"/>
        <v>2.309736918002359</v>
      </c>
      <c r="AA225" s="10">
        <f t="shared" si="49"/>
        <v>0.21594478198879788</v>
      </c>
      <c r="AB225" s="10" t="str">
        <f t="shared" si="50"/>
        <v>NA</v>
      </c>
      <c r="AC225" s="10" t="str">
        <f t="shared" si="51"/>
        <v>NA</v>
      </c>
      <c r="AD225" s="10" t="str">
        <f t="shared" si="52"/>
        <v>NA</v>
      </c>
      <c r="AE225" s="10" t="str">
        <f t="shared" si="53"/>
        <v>NA</v>
      </c>
      <c r="AF225" s="1" t="s">
        <v>4046</v>
      </c>
    </row>
    <row r="226" spans="1:32" x14ac:dyDescent="0.2">
      <c r="A226" s="1" t="s">
        <v>4040</v>
      </c>
      <c r="B226" s="1" t="s">
        <v>5</v>
      </c>
      <c r="C226" s="1" t="s">
        <v>4044</v>
      </c>
      <c r="D226" s="1" t="s">
        <v>1580</v>
      </c>
      <c r="E226" s="1" t="s">
        <v>1694</v>
      </c>
      <c r="F226" s="1" t="s">
        <v>68</v>
      </c>
      <c r="G226" s="4">
        <f>8.791/439.554</f>
        <v>1.9999817997333663E-2</v>
      </c>
      <c r="H226" s="28">
        <v>42004</v>
      </c>
      <c r="I226" s="29">
        <f t="shared" si="42"/>
        <v>2014</v>
      </c>
      <c r="J226" s="1" t="s">
        <v>7</v>
      </c>
      <c r="K226" s="1" t="s">
        <v>4040</v>
      </c>
      <c r="L226" s="11" t="str">
        <f t="shared" si="64"/>
        <v>ДА</v>
      </c>
      <c r="M226" s="10" t="s">
        <v>1575</v>
      </c>
      <c r="N226" s="10" t="s">
        <v>1575</v>
      </c>
      <c r="O226" s="10">
        <v>0.219777</v>
      </c>
      <c r="P226" s="10">
        <f t="shared" si="44"/>
        <v>10.98895000091002</v>
      </c>
      <c r="Q226" s="10" t="str">
        <f t="shared" si="45"/>
        <v>NA</v>
      </c>
      <c r="R226" s="10" t="s">
        <v>1575</v>
      </c>
      <c r="S226" s="10" t="s">
        <v>1575</v>
      </c>
      <c r="T226" s="10" t="s">
        <v>1575</v>
      </c>
      <c r="U226" s="10">
        <v>4.7956740000000053</v>
      </c>
      <c r="V226" s="10">
        <v>51.294341000000003</v>
      </c>
      <c r="W226" s="10" t="s">
        <v>1575</v>
      </c>
      <c r="X226" s="10" t="str">
        <f t="shared" si="46"/>
        <v>NA</v>
      </c>
      <c r="Y226" s="10" t="str">
        <f t="shared" si="47"/>
        <v>NA</v>
      </c>
      <c r="Z226" s="10">
        <f t="shared" si="48"/>
        <v>2.2914297345712007</v>
      </c>
      <c r="AA226" s="10">
        <f t="shared" si="49"/>
        <v>0.21423318414228226</v>
      </c>
      <c r="AB226" s="10" t="str">
        <f t="shared" si="50"/>
        <v>NA</v>
      </c>
      <c r="AC226" s="10" t="str">
        <f t="shared" si="51"/>
        <v>NA</v>
      </c>
      <c r="AD226" s="10" t="str">
        <f t="shared" si="52"/>
        <v>NA</v>
      </c>
      <c r="AE226" s="10" t="str">
        <f t="shared" si="53"/>
        <v>NA</v>
      </c>
      <c r="AF226" s="1" t="s">
        <v>4045</v>
      </c>
    </row>
    <row r="227" spans="1:32" x14ac:dyDescent="0.2">
      <c r="A227" s="1" t="s">
        <v>4040</v>
      </c>
      <c r="B227" s="1" t="s">
        <v>5</v>
      </c>
      <c r="C227" s="1" t="s">
        <v>4044</v>
      </c>
      <c r="D227" s="1" t="s">
        <v>1580</v>
      </c>
      <c r="E227" s="1" t="s">
        <v>1694</v>
      </c>
      <c r="F227" s="1" t="s">
        <v>68</v>
      </c>
      <c r="G227" s="4">
        <f>33.340117/439.554+0.51055/20.1</f>
        <v>0.10125037488814137</v>
      </c>
      <c r="H227" s="28">
        <v>42004</v>
      </c>
      <c r="I227" s="29">
        <f t="shared" ref="I227" si="65">YEAR(H227)</f>
        <v>2014</v>
      </c>
      <c r="J227" s="1" t="s">
        <v>4040</v>
      </c>
      <c r="K227" s="1" t="s">
        <v>7</v>
      </c>
      <c r="L227" s="11" t="str">
        <f t="shared" ref="L227" si="66">IF(OR(A227=J227,A227=K227),"ДА","НЕТ")</f>
        <v>ДА</v>
      </c>
      <c r="M227" s="10" t="s">
        <v>1575</v>
      </c>
      <c r="N227" s="10" t="s">
        <v>1575</v>
      </c>
      <c r="O227" s="10">
        <f>1.118561+0.000613</f>
        <v>1.1191739999999999</v>
      </c>
      <c r="P227" s="10">
        <f t="shared" si="44"/>
        <v>11.053529443584111</v>
      </c>
      <c r="Q227" s="10" t="str">
        <f t="shared" si="45"/>
        <v>NA</v>
      </c>
      <c r="R227" s="10" t="s">
        <v>1575</v>
      </c>
      <c r="S227" s="10" t="s">
        <v>1575</v>
      </c>
      <c r="T227" s="10" t="s">
        <v>1575</v>
      </c>
      <c r="U227" s="10">
        <v>4.7956740000000053</v>
      </c>
      <c r="V227" s="10">
        <v>51.294341000000003</v>
      </c>
      <c r="W227" s="10" t="s">
        <v>1575</v>
      </c>
      <c r="X227" s="10" t="str">
        <f t="shared" si="46"/>
        <v>NA</v>
      </c>
      <c r="Y227" s="10" t="str">
        <f t="shared" si="47"/>
        <v>NA</v>
      </c>
      <c r="Z227" s="10">
        <f t="shared" si="48"/>
        <v>2.3048959215292988</v>
      </c>
      <c r="AA227" s="10">
        <f t="shared" si="49"/>
        <v>0.21549218155632627</v>
      </c>
      <c r="AB227" s="10" t="str">
        <f t="shared" si="50"/>
        <v>NA</v>
      </c>
      <c r="AC227" s="10" t="str">
        <f t="shared" si="51"/>
        <v>NA</v>
      </c>
      <c r="AD227" s="10" t="str">
        <f t="shared" si="52"/>
        <v>NA</v>
      </c>
      <c r="AE227" s="10" t="str">
        <f t="shared" si="53"/>
        <v>NA</v>
      </c>
      <c r="AF227" s="1" t="s">
        <v>4045</v>
      </c>
    </row>
    <row r="228" spans="1:32" x14ac:dyDescent="0.2">
      <c r="A228" s="1" t="s">
        <v>5427</v>
      </c>
      <c r="B228" s="1" t="s">
        <v>5</v>
      </c>
      <c r="C228" s="1" t="s">
        <v>1575</v>
      </c>
      <c r="D228" s="1" t="s">
        <v>1580</v>
      </c>
      <c r="E228" s="1" t="s">
        <v>1694</v>
      </c>
      <c r="F228" s="1" t="s">
        <v>68</v>
      </c>
      <c r="G228" s="4">
        <v>1</v>
      </c>
      <c r="H228" s="28">
        <v>41680</v>
      </c>
      <c r="I228" s="29">
        <f t="shared" si="42"/>
        <v>2014</v>
      </c>
      <c r="J228" s="1" t="s">
        <v>4040</v>
      </c>
      <c r="K228" s="1" t="s">
        <v>7</v>
      </c>
      <c r="L228" s="11" t="str">
        <f t="shared" ref="L228:L229" si="67">IF(OR(A228=J228,A228=K228),"ДА","НЕТ")</f>
        <v>НЕТ</v>
      </c>
      <c r="M228" s="10" t="s">
        <v>1575</v>
      </c>
      <c r="N228" s="10" t="s">
        <v>1575</v>
      </c>
      <c r="O228" s="10">
        <v>0.610151</v>
      </c>
      <c r="P228" s="10">
        <f t="shared" si="44"/>
        <v>0.610151</v>
      </c>
      <c r="Q228" s="10" t="str">
        <f t="shared" si="45"/>
        <v>NA</v>
      </c>
      <c r="R228" s="10" t="s">
        <v>1575</v>
      </c>
      <c r="S228" s="10" t="s">
        <v>1575</v>
      </c>
      <c r="T228" s="10" t="s">
        <v>1575</v>
      </c>
      <c r="U228" s="10" t="s">
        <v>1575</v>
      </c>
      <c r="V228" s="10">
        <v>1.098738</v>
      </c>
      <c r="W228" s="10" t="s">
        <v>1575</v>
      </c>
      <c r="X228" s="10" t="str">
        <f t="shared" si="46"/>
        <v>NA</v>
      </c>
      <c r="Y228" s="10" t="str">
        <f t="shared" si="47"/>
        <v>NA</v>
      </c>
      <c r="Z228" s="10" t="str">
        <f t="shared" si="48"/>
        <v>NA</v>
      </c>
      <c r="AA228" s="10">
        <f t="shared" si="49"/>
        <v>0.55531983056925305</v>
      </c>
      <c r="AB228" s="10" t="str">
        <f t="shared" si="50"/>
        <v>NA</v>
      </c>
      <c r="AC228" s="10" t="str">
        <f t="shared" si="51"/>
        <v>NA</v>
      </c>
      <c r="AD228" s="10" t="str">
        <f t="shared" si="52"/>
        <v>NA</v>
      </c>
      <c r="AE228" s="10" t="str">
        <f t="shared" si="53"/>
        <v>NA</v>
      </c>
      <c r="AF228" s="1" t="s">
        <v>4047</v>
      </c>
    </row>
    <row r="229" spans="1:32" x14ac:dyDescent="0.2">
      <c r="A229" s="1" t="s">
        <v>4040</v>
      </c>
      <c r="B229" s="1" t="s">
        <v>5</v>
      </c>
      <c r="C229" s="1" t="s">
        <v>4044</v>
      </c>
      <c r="D229" s="1" t="s">
        <v>1580</v>
      </c>
      <c r="E229" s="1" t="s">
        <v>1694</v>
      </c>
      <c r="F229" s="1" t="s">
        <v>68</v>
      </c>
      <c r="G229" s="4">
        <f>73.624065/439.554</f>
        <v>0.16749720170900506</v>
      </c>
      <c r="H229" s="28">
        <v>41526</v>
      </c>
      <c r="I229" s="29">
        <f t="shared" si="42"/>
        <v>2013</v>
      </c>
      <c r="J229" s="1" t="s">
        <v>7</v>
      </c>
      <c r="K229" s="1" t="s">
        <v>4040</v>
      </c>
      <c r="L229" s="11" t="str">
        <f t="shared" si="67"/>
        <v>ДА</v>
      </c>
      <c r="M229" s="10" t="s">
        <v>1575</v>
      </c>
      <c r="N229" s="10" t="s">
        <v>1575</v>
      </c>
      <c r="O229" s="10">
        <v>3.0185870000000001</v>
      </c>
      <c r="P229" s="10">
        <f t="shared" si="44"/>
        <v>18.021716000033411</v>
      </c>
      <c r="Q229" s="10" t="str">
        <f t="shared" si="45"/>
        <v>NA</v>
      </c>
      <c r="R229" s="10" t="s">
        <v>1575</v>
      </c>
      <c r="S229" s="10" t="s">
        <v>1575</v>
      </c>
      <c r="T229" s="10" t="s">
        <v>1575</v>
      </c>
      <c r="U229" s="10">
        <v>1.303499999999999</v>
      </c>
      <c r="V229" s="10">
        <v>40.318499000000003</v>
      </c>
      <c r="W229" s="10" t="s">
        <v>1575</v>
      </c>
      <c r="X229" s="10" t="str">
        <f t="shared" si="46"/>
        <v>NA</v>
      </c>
      <c r="Y229" s="10" t="str">
        <f t="shared" si="47"/>
        <v>NA</v>
      </c>
      <c r="Z229" s="10">
        <f t="shared" si="48"/>
        <v>13.825635596496682</v>
      </c>
      <c r="AA229" s="10">
        <f t="shared" si="49"/>
        <v>0.44698380264685472</v>
      </c>
      <c r="AB229" s="10" t="str">
        <f t="shared" si="50"/>
        <v>NA</v>
      </c>
      <c r="AC229" s="10" t="str">
        <f t="shared" si="51"/>
        <v>NA</v>
      </c>
      <c r="AD229" s="10" t="str">
        <f t="shared" si="52"/>
        <v>NA</v>
      </c>
      <c r="AE229" s="10" t="str">
        <f t="shared" si="53"/>
        <v>NA</v>
      </c>
      <c r="AF229" s="1" t="s">
        <v>4051</v>
      </c>
    </row>
    <row r="230" spans="1:32" x14ac:dyDescent="0.2">
      <c r="A230" s="1" t="s">
        <v>5428</v>
      </c>
      <c r="B230" s="1" t="s">
        <v>5</v>
      </c>
      <c r="C230" s="1" t="s">
        <v>1575</v>
      </c>
      <c r="D230" s="1" t="s">
        <v>1580</v>
      </c>
      <c r="E230" s="1" t="s">
        <v>2057</v>
      </c>
      <c r="F230" s="1" t="s">
        <v>434</v>
      </c>
      <c r="G230" s="4">
        <v>0.52</v>
      </c>
      <c r="H230" s="28">
        <v>39447</v>
      </c>
      <c r="I230" s="29">
        <f t="shared" si="42"/>
        <v>2007</v>
      </c>
      <c r="J230" s="1" t="s">
        <v>7</v>
      </c>
      <c r="K230" s="1" t="s">
        <v>4040</v>
      </c>
      <c r="L230" s="11" t="str">
        <f t="shared" ref="L230" si="68">IF(OR(A230=J230,A230=K230),"ДА","НЕТ")</f>
        <v>НЕТ</v>
      </c>
      <c r="M230" s="10" t="s">
        <v>1575</v>
      </c>
      <c r="N230" s="10" t="s">
        <v>1575</v>
      </c>
      <c r="O230" s="10">
        <v>1.2999999999999999E-2</v>
      </c>
      <c r="P230" s="10">
        <f t="shared" si="44"/>
        <v>2.4999999999999998E-2</v>
      </c>
      <c r="Q230" s="10" t="str">
        <f t="shared" si="45"/>
        <v>NA</v>
      </c>
      <c r="R230" s="10" t="s">
        <v>1575</v>
      </c>
      <c r="S230" s="10" t="s">
        <v>1575</v>
      </c>
      <c r="T230" s="10" t="s">
        <v>1575</v>
      </c>
      <c r="U230" s="10" t="s">
        <v>1575</v>
      </c>
      <c r="V230" s="10">
        <f>0.012129/G230</f>
        <v>2.3324999999999999E-2</v>
      </c>
      <c r="W230" s="10" t="s">
        <v>1575</v>
      </c>
      <c r="X230" s="10" t="str">
        <f t="shared" si="46"/>
        <v>NA</v>
      </c>
      <c r="Y230" s="10" t="str">
        <f t="shared" si="47"/>
        <v>NA</v>
      </c>
      <c r="Z230" s="10" t="str">
        <f t="shared" si="48"/>
        <v>NA</v>
      </c>
      <c r="AA230" s="10">
        <f t="shared" si="49"/>
        <v>1.0718113612004287</v>
      </c>
      <c r="AB230" s="10" t="str">
        <f t="shared" si="50"/>
        <v>NA</v>
      </c>
      <c r="AC230" s="10" t="str">
        <f t="shared" si="51"/>
        <v>NA</v>
      </c>
      <c r="AD230" s="10" t="str">
        <f t="shared" si="52"/>
        <v>NA</v>
      </c>
      <c r="AE230" s="10" t="str">
        <f t="shared" si="53"/>
        <v>NA</v>
      </c>
      <c r="AF230" s="1" t="s">
        <v>4052</v>
      </c>
    </row>
    <row r="231" spans="1:32" x14ac:dyDescent="0.2">
      <c r="A231" s="1" t="s">
        <v>5428</v>
      </c>
      <c r="B231" s="1" t="s">
        <v>5</v>
      </c>
      <c r="C231" s="1" t="s">
        <v>1575</v>
      </c>
      <c r="D231" s="1" t="s">
        <v>1580</v>
      </c>
      <c r="E231" s="1" t="s">
        <v>2057</v>
      </c>
      <c r="F231" s="1" t="s">
        <v>434</v>
      </c>
      <c r="G231" s="4">
        <v>0.48</v>
      </c>
      <c r="H231" s="28">
        <v>38352</v>
      </c>
      <c r="I231" s="29">
        <f t="shared" si="42"/>
        <v>2004</v>
      </c>
      <c r="J231" s="1" t="s">
        <v>7</v>
      </c>
      <c r="K231" s="1" t="s">
        <v>4040</v>
      </c>
      <c r="L231" s="11" t="str">
        <f t="shared" ref="L231" si="69">IF(OR(A231=J231,A231=K231),"ДА","НЕТ")</f>
        <v>НЕТ</v>
      </c>
      <c r="M231" s="10" t="s">
        <v>1575</v>
      </c>
      <c r="N231" s="10" t="s">
        <v>1575</v>
      </c>
      <c r="O231" s="10">
        <v>9.9999999999999995E-7</v>
      </c>
      <c r="P231" s="10">
        <f t="shared" si="44"/>
        <v>2.0833333333333334E-6</v>
      </c>
      <c r="Q231" s="10" t="str">
        <f t="shared" si="45"/>
        <v>NA</v>
      </c>
      <c r="R231" s="10" t="s">
        <v>1575</v>
      </c>
      <c r="S231" s="10" t="s">
        <v>1575</v>
      </c>
      <c r="T231" s="10" t="s">
        <v>1575</v>
      </c>
      <c r="U231" s="10" t="s">
        <v>1575</v>
      </c>
      <c r="V231" s="10">
        <v>-5.457E-3</v>
      </c>
      <c r="W231" s="10" t="s">
        <v>1575</v>
      </c>
      <c r="X231" s="10" t="str">
        <f t="shared" si="46"/>
        <v>NA</v>
      </c>
      <c r="Y231" s="10" t="str">
        <f t="shared" si="47"/>
        <v>NA</v>
      </c>
      <c r="Z231" s="10" t="str">
        <f t="shared" si="48"/>
        <v>NA</v>
      </c>
      <c r="AA231" s="10">
        <f t="shared" si="49"/>
        <v>-3.8177264675340545E-4</v>
      </c>
      <c r="AB231" s="10" t="str">
        <f t="shared" si="50"/>
        <v>NA</v>
      </c>
      <c r="AC231" s="10" t="str">
        <f t="shared" si="51"/>
        <v>NA</v>
      </c>
      <c r="AD231" s="10" t="str">
        <f t="shared" si="52"/>
        <v>NA</v>
      </c>
      <c r="AE231" s="10" t="str">
        <f t="shared" si="53"/>
        <v>NA</v>
      </c>
      <c r="AF231" s="1" t="s">
        <v>4053</v>
      </c>
    </row>
    <row r="232" spans="1:32" x14ac:dyDescent="0.2">
      <c r="A232" s="1" t="s">
        <v>5429</v>
      </c>
      <c r="B232" s="1" t="s">
        <v>5</v>
      </c>
      <c r="C232" s="1" t="s">
        <v>1575</v>
      </c>
      <c r="D232" s="1" t="s">
        <v>1580</v>
      </c>
      <c r="E232" s="1" t="s">
        <v>1581</v>
      </c>
      <c r="F232" s="1" t="s">
        <v>67</v>
      </c>
      <c r="G232" s="4">
        <v>0.62660000000000005</v>
      </c>
      <c r="H232" s="28">
        <v>38352</v>
      </c>
      <c r="I232" s="29">
        <f t="shared" ref="I232" si="70">YEAR(H232)</f>
        <v>2004</v>
      </c>
      <c r="J232" s="1" t="s">
        <v>7</v>
      </c>
      <c r="K232" s="1" t="s">
        <v>4040</v>
      </c>
      <c r="L232" s="11" t="str">
        <f t="shared" ref="L232" si="71">IF(OR(A232=J232,A232=K232),"ДА","НЕТ")</f>
        <v>НЕТ</v>
      </c>
      <c r="M232" s="10" t="s">
        <v>1575</v>
      </c>
      <c r="N232" s="10" t="s">
        <v>1575</v>
      </c>
      <c r="O232" s="10">
        <v>5.4530000000000004E-3</v>
      </c>
      <c r="P232" s="10">
        <f t="shared" si="44"/>
        <v>8.7025215448451963E-3</v>
      </c>
      <c r="Q232" s="10" t="str">
        <f t="shared" si="45"/>
        <v>NA</v>
      </c>
      <c r="R232" s="10" t="s">
        <v>1575</v>
      </c>
      <c r="S232" s="10" t="s">
        <v>1575</v>
      </c>
      <c r="T232" s="10" t="s">
        <v>1575</v>
      </c>
      <c r="U232" s="10" t="s">
        <v>1575</v>
      </c>
      <c r="V232" s="10">
        <v>1.9740000000000001E-3</v>
      </c>
      <c r="W232" s="10" t="s">
        <v>1575</v>
      </c>
      <c r="X232" s="10" t="str">
        <f t="shared" si="46"/>
        <v>NA</v>
      </c>
      <c r="Y232" s="10" t="str">
        <f t="shared" si="47"/>
        <v>NA</v>
      </c>
      <c r="Z232" s="10" t="str">
        <f t="shared" si="48"/>
        <v>NA</v>
      </c>
      <c r="AA232" s="10">
        <f t="shared" si="49"/>
        <v>4.4085722111677788</v>
      </c>
      <c r="AB232" s="10" t="str">
        <f t="shared" si="50"/>
        <v>NA</v>
      </c>
      <c r="AC232" s="10" t="str">
        <f t="shared" si="51"/>
        <v>NA</v>
      </c>
      <c r="AD232" s="10" t="str">
        <f t="shared" si="52"/>
        <v>NA</v>
      </c>
      <c r="AE232" s="10" t="str">
        <f t="shared" si="53"/>
        <v>NA</v>
      </c>
      <c r="AF232" s="1" t="s">
        <v>4053</v>
      </c>
    </row>
    <row r="233" spans="1:32" x14ac:dyDescent="0.2">
      <c r="A233" s="1" t="s">
        <v>5430</v>
      </c>
      <c r="B233" s="1" t="s">
        <v>5</v>
      </c>
      <c r="C233" s="1" t="s">
        <v>1575</v>
      </c>
      <c r="D233" s="1" t="s">
        <v>1580</v>
      </c>
      <c r="E233" s="1" t="s">
        <v>1581</v>
      </c>
      <c r="F233" s="1" t="s">
        <v>67</v>
      </c>
      <c r="G233" s="4">
        <v>1</v>
      </c>
      <c r="H233" s="28">
        <v>38352</v>
      </c>
      <c r="I233" s="29">
        <f t="shared" ref="I233:I234" si="72">YEAR(H233)</f>
        <v>2004</v>
      </c>
      <c r="J233" s="1" t="s">
        <v>7</v>
      </c>
      <c r="K233" s="1" t="s">
        <v>4040</v>
      </c>
      <c r="L233" s="11" t="str">
        <f t="shared" ref="L233:L236" si="73">IF(OR(A233=J233,A233=K233),"ДА","НЕТ")</f>
        <v>НЕТ</v>
      </c>
      <c r="M233" s="10" t="s">
        <v>1575</v>
      </c>
      <c r="N233" s="10" t="s">
        <v>1575</v>
      </c>
      <c r="O233" s="10">
        <v>6.8400000000000004E-4</v>
      </c>
      <c r="P233" s="10">
        <f t="shared" si="44"/>
        <v>6.8400000000000004E-4</v>
      </c>
      <c r="Q233" s="10" t="str">
        <f t="shared" si="45"/>
        <v>NA</v>
      </c>
      <c r="R233" s="10" t="s">
        <v>1575</v>
      </c>
      <c r="S233" s="10" t="s">
        <v>1575</v>
      </c>
      <c r="T233" s="10" t="s">
        <v>1575</v>
      </c>
      <c r="U233" s="10" t="s">
        <v>1575</v>
      </c>
      <c r="V233" s="10">
        <v>-8.7467000000000003E-2</v>
      </c>
      <c r="W233" s="10" t="s">
        <v>1575</v>
      </c>
      <c r="X233" s="10" t="str">
        <f t="shared" si="46"/>
        <v>NA</v>
      </c>
      <c r="Y233" s="10" t="str">
        <f t="shared" si="47"/>
        <v>NA</v>
      </c>
      <c r="Z233" s="10" t="str">
        <f t="shared" si="48"/>
        <v>NA</v>
      </c>
      <c r="AA233" s="10">
        <f t="shared" si="49"/>
        <v>-7.8200921490390665E-3</v>
      </c>
      <c r="AB233" s="10" t="str">
        <f t="shared" si="50"/>
        <v>NA</v>
      </c>
      <c r="AC233" s="10" t="str">
        <f t="shared" si="51"/>
        <v>NA</v>
      </c>
      <c r="AD233" s="10" t="str">
        <f t="shared" si="52"/>
        <v>NA</v>
      </c>
      <c r="AE233" s="10" t="str">
        <f t="shared" si="53"/>
        <v>NA</v>
      </c>
      <c r="AF233" s="1" t="s">
        <v>4053</v>
      </c>
    </row>
    <row r="234" spans="1:32" x14ac:dyDescent="0.2">
      <c r="A234" s="1" t="s">
        <v>5428</v>
      </c>
      <c r="B234" s="1" t="s">
        <v>5</v>
      </c>
      <c r="C234" s="1" t="s">
        <v>1575</v>
      </c>
      <c r="D234" s="1" t="s">
        <v>1580</v>
      </c>
      <c r="E234" s="1" t="s">
        <v>2057</v>
      </c>
      <c r="F234" s="1" t="s">
        <v>434</v>
      </c>
      <c r="G234" s="4">
        <v>1</v>
      </c>
      <c r="H234" s="28">
        <v>37622</v>
      </c>
      <c r="I234" s="29">
        <f t="shared" si="72"/>
        <v>2003</v>
      </c>
      <c r="J234" s="1" t="s">
        <v>4040</v>
      </c>
      <c r="K234" s="1" t="s">
        <v>7</v>
      </c>
      <c r="L234" s="11" t="str">
        <f t="shared" si="73"/>
        <v>НЕТ</v>
      </c>
      <c r="M234" s="10" t="s">
        <v>1575</v>
      </c>
      <c r="N234" s="10" t="s">
        <v>1575</v>
      </c>
      <c r="O234" s="10">
        <v>1.9999999999999999E-6</v>
      </c>
      <c r="P234" s="10">
        <f t="shared" si="44"/>
        <v>1.9999999999999999E-6</v>
      </c>
      <c r="Q234" s="10" t="str">
        <f t="shared" si="45"/>
        <v>NA</v>
      </c>
      <c r="R234" s="10" t="s">
        <v>1575</v>
      </c>
      <c r="S234" s="10" t="s">
        <v>1575</v>
      </c>
      <c r="T234" s="10" t="s">
        <v>1575</v>
      </c>
      <c r="U234" s="10" t="s">
        <v>1575</v>
      </c>
      <c r="V234" s="10">
        <v>1.6429999999999999E-3</v>
      </c>
      <c r="W234" s="10" t="s">
        <v>1575</v>
      </c>
      <c r="X234" s="10" t="str">
        <f t="shared" si="46"/>
        <v>NA</v>
      </c>
      <c r="Y234" s="10" t="str">
        <f t="shared" si="47"/>
        <v>NA</v>
      </c>
      <c r="Z234" s="10" t="str">
        <f t="shared" si="48"/>
        <v>NA</v>
      </c>
      <c r="AA234" s="10">
        <f t="shared" si="49"/>
        <v>1.2172854534388314E-3</v>
      </c>
      <c r="AB234" s="10" t="str">
        <f t="shared" si="50"/>
        <v>NA</v>
      </c>
      <c r="AC234" s="10" t="str">
        <f t="shared" si="51"/>
        <v>NA</v>
      </c>
      <c r="AD234" s="10" t="str">
        <f t="shared" si="52"/>
        <v>NA</v>
      </c>
      <c r="AE234" s="10" t="str">
        <f t="shared" si="53"/>
        <v>NA</v>
      </c>
      <c r="AF234" s="1" t="s">
        <v>4054</v>
      </c>
    </row>
    <row r="235" spans="1:32" x14ac:dyDescent="0.2">
      <c r="A235" s="1" t="s">
        <v>5429</v>
      </c>
      <c r="B235" s="1" t="s">
        <v>5</v>
      </c>
      <c r="C235" s="1" t="s">
        <v>1575</v>
      </c>
      <c r="D235" s="1" t="s">
        <v>1580</v>
      </c>
      <c r="E235" s="1" t="s">
        <v>1581</v>
      </c>
      <c r="F235" s="1" t="s">
        <v>67</v>
      </c>
      <c r="G235" s="4">
        <v>0.62660000000000005</v>
      </c>
      <c r="H235" s="28">
        <v>37622</v>
      </c>
      <c r="I235" s="29">
        <f t="shared" ref="I235:I236" si="74">YEAR(H235)</f>
        <v>2003</v>
      </c>
      <c r="J235" s="1" t="s">
        <v>4040</v>
      </c>
      <c r="K235" s="1" t="s">
        <v>7</v>
      </c>
      <c r="L235" s="11" t="str">
        <f t="shared" si="73"/>
        <v>НЕТ</v>
      </c>
      <c r="M235" s="10" t="s">
        <v>1575</v>
      </c>
      <c r="N235" s="10" t="s">
        <v>1575</v>
      </c>
      <c r="O235" s="10">
        <v>1.3167999999999999E-2</v>
      </c>
      <c r="P235" s="10">
        <f t="shared" si="44"/>
        <v>2.1015001595914455E-2</v>
      </c>
      <c r="Q235" s="10" t="str">
        <f t="shared" si="45"/>
        <v>NA</v>
      </c>
      <c r="R235" s="10" t="s">
        <v>1575</v>
      </c>
      <c r="S235" s="10" t="s">
        <v>1575</v>
      </c>
      <c r="T235" s="10" t="s">
        <v>1575</v>
      </c>
      <c r="U235" s="10" t="s">
        <v>1575</v>
      </c>
      <c r="V235" s="10">
        <v>2.4494999999999999E-2</v>
      </c>
      <c r="W235" s="10" t="s">
        <v>1575</v>
      </c>
      <c r="X235" s="10" t="str">
        <f t="shared" si="46"/>
        <v>NA</v>
      </c>
      <c r="Y235" s="10" t="str">
        <f t="shared" si="47"/>
        <v>NA</v>
      </c>
      <c r="Z235" s="10" t="str">
        <f t="shared" si="48"/>
        <v>NA</v>
      </c>
      <c r="AA235" s="10">
        <f t="shared" si="49"/>
        <v>0.85793025498732212</v>
      </c>
      <c r="AB235" s="10" t="str">
        <f t="shared" si="50"/>
        <v>NA</v>
      </c>
      <c r="AC235" s="10" t="str">
        <f t="shared" si="51"/>
        <v>NA</v>
      </c>
      <c r="AD235" s="10" t="str">
        <f t="shared" si="52"/>
        <v>NA</v>
      </c>
      <c r="AE235" s="10" t="str">
        <f t="shared" si="53"/>
        <v>NA</v>
      </c>
      <c r="AF235" s="1" t="s">
        <v>4054</v>
      </c>
    </row>
    <row r="236" spans="1:32" x14ac:dyDescent="0.2">
      <c r="A236" s="1" t="s">
        <v>5430</v>
      </c>
      <c r="B236" s="1" t="s">
        <v>5</v>
      </c>
      <c r="C236" s="1" t="s">
        <v>1575</v>
      </c>
      <c r="D236" s="1" t="s">
        <v>1580</v>
      </c>
      <c r="E236" s="1" t="s">
        <v>1581</v>
      </c>
      <c r="F236" s="1" t="s">
        <v>67</v>
      </c>
      <c r="G236" s="4">
        <v>1</v>
      </c>
      <c r="H236" s="28">
        <v>37622</v>
      </c>
      <c r="I236" s="29">
        <f t="shared" si="74"/>
        <v>2003</v>
      </c>
      <c r="J236" s="1" t="s">
        <v>4040</v>
      </c>
      <c r="K236" s="1" t="s">
        <v>7</v>
      </c>
      <c r="L236" s="11" t="str">
        <f t="shared" si="73"/>
        <v>НЕТ</v>
      </c>
      <c r="M236" s="10" t="s">
        <v>1575</v>
      </c>
      <c r="N236" s="10" t="s">
        <v>1575</v>
      </c>
      <c r="O236" s="10">
        <v>1.4954E-2</v>
      </c>
      <c r="P236" s="10">
        <f t="shared" si="44"/>
        <v>1.4954E-2</v>
      </c>
      <c r="Q236" s="10" t="str">
        <f t="shared" si="45"/>
        <v>NA</v>
      </c>
      <c r="R236" s="10" t="s">
        <v>1575</v>
      </c>
      <c r="S236" s="10" t="s">
        <v>1575</v>
      </c>
      <c r="T236" s="10" t="s">
        <v>1575</v>
      </c>
      <c r="U236" s="10" t="s">
        <v>1575</v>
      </c>
      <c r="V236" s="10">
        <v>1.8959E-2</v>
      </c>
      <c r="W236" s="10" t="s">
        <v>1575</v>
      </c>
      <c r="X236" s="10" t="str">
        <f t="shared" si="46"/>
        <v>NA</v>
      </c>
      <c r="Y236" s="10" t="str">
        <f t="shared" si="47"/>
        <v>NA</v>
      </c>
      <c r="Z236" s="10" t="str">
        <f t="shared" si="48"/>
        <v>NA</v>
      </c>
      <c r="AA236" s="10">
        <f t="shared" si="49"/>
        <v>0.78875468115406933</v>
      </c>
      <c r="AB236" s="10" t="str">
        <f t="shared" si="50"/>
        <v>NA</v>
      </c>
      <c r="AC236" s="10" t="str">
        <f t="shared" si="51"/>
        <v>NA</v>
      </c>
      <c r="AD236" s="10" t="str">
        <f t="shared" si="52"/>
        <v>NA</v>
      </c>
      <c r="AE236" s="10" t="str">
        <f t="shared" si="53"/>
        <v>NA</v>
      </c>
      <c r="AF236" s="1" t="s">
        <v>4054</v>
      </c>
    </row>
    <row r="237" spans="1:32" x14ac:dyDescent="0.2">
      <c r="A237" s="1" t="s">
        <v>5431</v>
      </c>
      <c r="B237" s="1" t="s">
        <v>5</v>
      </c>
      <c r="C237" s="1" t="s">
        <v>1575</v>
      </c>
      <c r="D237" s="1" t="s">
        <v>1597</v>
      </c>
      <c r="E237" s="1" t="s">
        <v>1660</v>
      </c>
      <c r="F237" s="1" t="s">
        <v>16</v>
      </c>
      <c r="G237" s="4">
        <v>0.05</v>
      </c>
      <c r="H237" s="28">
        <v>44469</v>
      </c>
      <c r="I237" s="29">
        <f t="shared" si="42"/>
        <v>2021</v>
      </c>
      <c r="J237" s="1" t="s">
        <v>7</v>
      </c>
      <c r="K237" s="1" t="s">
        <v>2219</v>
      </c>
      <c r="L237" s="11" t="str">
        <f t="shared" si="56"/>
        <v>НЕТ</v>
      </c>
      <c r="M237" s="10" t="s">
        <v>1575</v>
      </c>
      <c r="N237" s="10">
        <v>3500</v>
      </c>
      <c r="O237" s="10">
        <v>299</v>
      </c>
      <c r="P237" s="10">
        <f t="shared" si="44"/>
        <v>5980</v>
      </c>
      <c r="Q237" s="10" t="str">
        <f t="shared" si="45"/>
        <v>NA</v>
      </c>
      <c r="R237" s="10" t="s">
        <v>1575</v>
      </c>
      <c r="S237" s="10" t="s">
        <v>1575</v>
      </c>
      <c r="T237" s="10" t="s">
        <v>1575</v>
      </c>
      <c r="U237" s="10" t="s">
        <v>1575</v>
      </c>
      <c r="V237" s="10" t="s">
        <v>1575</v>
      </c>
      <c r="W237" s="10" t="s">
        <v>1575</v>
      </c>
      <c r="X237" s="10" t="str">
        <f t="shared" si="46"/>
        <v>NA</v>
      </c>
      <c r="Y237" s="10" t="str">
        <f t="shared" si="47"/>
        <v>NA</v>
      </c>
      <c r="Z237" s="10" t="str">
        <f t="shared" si="48"/>
        <v>NA</v>
      </c>
      <c r="AA237" s="10" t="str">
        <f t="shared" si="49"/>
        <v>NA</v>
      </c>
      <c r="AB237" s="10" t="str">
        <f t="shared" si="50"/>
        <v>NA</v>
      </c>
      <c r="AC237" s="10" t="str">
        <f t="shared" si="51"/>
        <v>NA</v>
      </c>
      <c r="AD237" s="10" t="str">
        <f t="shared" si="52"/>
        <v>NA</v>
      </c>
      <c r="AE237" s="10" t="str">
        <f t="shared" si="53"/>
        <v>NA</v>
      </c>
      <c r="AF237" s="1" t="s">
        <v>1246</v>
      </c>
    </row>
    <row r="238" spans="1:32" x14ac:dyDescent="0.2">
      <c r="A238" s="1" t="s">
        <v>5432</v>
      </c>
      <c r="B238" s="1" t="s">
        <v>5</v>
      </c>
      <c r="C238" s="1" t="s">
        <v>1575</v>
      </c>
      <c r="D238" s="1" t="s">
        <v>1597</v>
      </c>
      <c r="E238" s="1" t="s">
        <v>1660</v>
      </c>
      <c r="F238" s="1" t="s">
        <v>16</v>
      </c>
      <c r="G238" s="4">
        <v>0.5</v>
      </c>
      <c r="H238" s="28">
        <v>44469</v>
      </c>
      <c r="I238" s="29">
        <f t="shared" si="42"/>
        <v>2021</v>
      </c>
      <c r="J238" s="1" t="s">
        <v>7</v>
      </c>
      <c r="K238" s="1" t="s">
        <v>2219</v>
      </c>
      <c r="L238" s="11" t="str">
        <f t="shared" si="56"/>
        <v>НЕТ</v>
      </c>
      <c r="M238" s="10" t="s">
        <v>1575</v>
      </c>
      <c r="N238" s="10" t="s">
        <v>1575</v>
      </c>
      <c r="O238" s="10" t="s">
        <v>1575</v>
      </c>
      <c r="P238" s="10" t="str">
        <f t="shared" si="44"/>
        <v>NA</v>
      </c>
      <c r="Q238" s="10" t="str">
        <f t="shared" si="45"/>
        <v>NA</v>
      </c>
      <c r="R238" s="10" t="s">
        <v>1575</v>
      </c>
      <c r="S238" s="10" t="s">
        <v>1575</v>
      </c>
      <c r="T238" s="10" t="s">
        <v>1575</v>
      </c>
      <c r="U238" s="10" t="s">
        <v>1575</v>
      </c>
      <c r="V238" s="10" t="s">
        <v>1575</v>
      </c>
      <c r="W238" s="10" t="s">
        <v>1575</v>
      </c>
      <c r="X238" s="10" t="str">
        <f t="shared" si="46"/>
        <v>NA</v>
      </c>
      <c r="Y238" s="10" t="str">
        <f t="shared" si="47"/>
        <v>NA</v>
      </c>
      <c r="Z238" s="10" t="str">
        <f t="shared" si="48"/>
        <v>NA</v>
      </c>
      <c r="AA238" s="10" t="str">
        <f t="shared" si="49"/>
        <v>NA</v>
      </c>
      <c r="AB238" s="10" t="str">
        <f t="shared" si="50"/>
        <v>NA</v>
      </c>
      <c r="AC238" s="10" t="str">
        <f t="shared" si="51"/>
        <v>NA</v>
      </c>
      <c r="AD238" s="10" t="str">
        <f t="shared" si="52"/>
        <v>NA</v>
      </c>
      <c r="AE238" s="10" t="str">
        <f t="shared" si="53"/>
        <v>NA</v>
      </c>
      <c r="AF238" s="1" t="s">
        <v>1016</v>
      </c>
    </row>
    <row r="239" spans="1:32" x14ac:dyDescent="0.2">
      <c r="A239" s="1" t="s">
        <v>3126</v>
      </c>
      <c r="B239" s="1" t="s">
        <v>619</v>
      </c>
      <c r="C239" s="1" t="s">
        <v>1575</v>
      </c>
      <c r="D239" s="1" t="s">
        <v>1597</v>
      </c>
      <c r="E239" s="1" t="s">
        <v>1660</v>
      </c>
      <c r="F239" s="1" t="s">
        <v>16</v>
      </c>
      <c r="G239" s="4">
        <f>1017425000/10598177817</f>
        <v>9.599999335432928E-2</v>
      </c>
      <c r="H239" s="28">
        <v>43951</v>
      </c>
      <c r="I239" s="29">
        <f t="shared" si="42"/>
        <v>2020</v>
      </c>
      <c r="J239" s="1" t="s">
        <v>3127</v>
      </c>
      <c r="K239" s="1" t="s">
        <v>2219</v>
      </c>
      <c r="L239" s="11" t="str">
        <f t="shared" si="56"/>
        <v>НЕТ</v>
      </c>
      <c r="M239" s="10" t="s">
        <v>1575</v>
      </c>
      <c r="N239" s="10" t="s">
        <v>1575</v>
      </c>
      <c r="O239" s="10">
        <v>341.5</v>
      </c>
      <c r="P239" s="10">
        <f t="shared" si="44"/>
        <v>3557.2919129228198</v>
      </c>
      <c r="Q239" s="10" t="str">
        <f t="shared" si="45"/>
        <v>NA</v>
      </c>
      <c r="R239" s="10" t="s">
        <v>1575</v>
      </c>
      <c r="S239" s="10" t="s">
        <v>1575</v>
      </c>
      <c r="T239" s="10" t="s">
        <v>1575</v>
      </c>
      <c r="U239" s="10" t="s">
        <v>1575</v>
      </c>
      <c r="V239" s="10" t="s">
        <v>1575</v>
      </c>
      <c r="W239" s="10" t="s">
        <v>1575</v>
      </c>
      <c r="X239" s="10" t="str">
        <f t="shared" si="46"/>
        <v>NA</v>
      </c>
      <c r="Y239" s="10" t="str">
        <f t="shared" si="47"/>
        <v>NA</v>
      </c>
      <c r="Z239" s="10" t="str">
        <f t="shared" si="48"/>
        <v>NA</v>
      </c>
      <c r="AA239" s="10" t="str">
        <f t="shared" si="49"/>
        <v>NA</v>
      </c>
      <c r="AB239" s="10" t="str">
        <f t="shared" si="50"/>
        <v>NA</v>
      </c>
      <c r="AC239" s="10" t="str">
        <f t="shared" si="51"/>
        <v>NA</v>
      </c>
      <c r="AD239" s="10" t="str">
        <f t="shared" si="52"/>
        <v>NA</v>
      </c>
      <c r="AE239" s="10" t="str">
        <f t="shared" si="53"/>
        <v>NA</v>
      </c>
      <c r="AF239" s="1" t="s">
        <v>3128</v>
      </c>
    </row>
    <row r="240" spans="1:32" x14ac:dyDescent="0.2">
      <c r="A240" s="1" t="s">
        <v>4058</v>
      </c>
      <c r="B240" s="1" t="s">
        <v>5</v>
      </c>
      <c r="C240" s="1" t="s">
        <v>1575</v>
      </c>
      <c r="D240" s="1" t="s">
        <v>1580</v>
      </c>
      <c r="E240" s="1" t="s">
        <v>1827</v>
      </c>
      <c r="F240" s="1" t="s">
        <v>4060</v>
      </c>
      <c r="G240" s="4" t="s">
        <v>11</v>
      </c>
      <c r="H240" s="28">
        <v>45492</v>
      </c>
      <c r="I240" s="29">
        <f t="shared" si="42"/>
        <v>2024</v>
      </c>
      <c r="J240" s="1" t="s">
        <v>5433</v>
      </c>
      <c r="K240" s="1" t="s">
        <v>4059</v>
      </c>
      <c r="L240" s="11" t="str">
        <f t="shared" ref="L240" si="75">IF(OR(A240=J240,A240=K240),"ДА","НЕТ")</f>
        <v>НЕТ</v>
      </c>
      <c r="M240" s="10" t="s">
        <v>1575</v>
      </c>
      <c r="N240" s="10" t="s">
        <v>1575</v>
      </c>
      <c r="O240" s="10" t="s">
        <v>1575</v>
      </c>
      <c r="P240" s="10" t="str">
        <f t="shared" si="44"/>
        <v>NA</v>
      </c>
      <c r="Q240" s="10" t="str">
        <f t="shared" si="45"/>
        <v>NA</v>
      </c>
      <c r="R240" s="10" t="s">
        <v>1575</v>
      </c>
      <c r="S240" s="10" t="s">
        <v>1575</v>
      </c>
      <c r="T240" s="10" t="s">
        <v>1575</v>
      </c>
      <c r="U240" s="10" t="s">
        <v>1575</v>
      </c>
      <c r="V240" s="10" t="s">
        <v>1575</v>
      </c>
      <c r="W240" s="10" t="s">
        <v>1575</v>
      </c>
      <c r="X240" s="10" t="str">
        <f t="shared" si="46"/>
        <v>NA</v>
      </c>
      <c r="Y240" s="10" t="str">
        <f t="shared" si="47"/>
        <v>NA</v>
      </c>
      <c r="Z240" s="10" t="str">
        <f t="shared" si="48"/>
        <v>NA</v>
      </c>
      <c r="AA240" s="10" t="str">
        <f t="shared" si="49"/>
        <v>NA</v>
      </c>
      <c r="AB240" s="10" t="str">
        <f t="shared" si="50"/>
        <v>NA</v>
      </c>
      <c r="AC240" s="10" t="str">
        <f t="shared" si="51"/>
        <v>NA</v>
      </c>
      <c r="AD240" s="10" t="str">
        <f t="shared" si="52"/>
        <v>NA</v>
      </c>
      <c r="AE240" s="10" t="str">
        <f t="shared" si="53"/>
        <v>NA</v>
      </c>
      <c r="AF240" s="1" t="s">
        <v>4057</v>
      </c>
    </row>
    <row r="241" spans="1:32" x14ac:dyDescent="0.2">
      <c r="A241" s="1" t="s">
        <v>4197</v>
      </c>
      <c r="B241" s="1" t="s">
        <v>5</v>
      </c>
      <c r="C241" s="1" t="s">
        <v>4055</v>
      </c>
      <c r="D241" s="1" t="s">
        <v>1580</v>
      </c>
      <c r="E241" s="1" t="s">
        <v>1694</v>
      </c>
      <c r="F241" s="1" t="s">
        <v>68</v>
      </c>
      <c r="G241" s="4">
        <v>1</v>
      </c>
      <c r="H241" s="28">
        <v>45519</v>
      </c>
      <c r="I241" s="29">
        <f t="shared" si="42"/>
        <v>2024</v>
      </c>
      <c r="J241" s="1" t="s">
        <v>5433</v>
      </c>
      <c r="K241" s="1" t="s">
        <v>7</v>
      </c>
      <c r="L241" s="11" t="str">
        <f t="shared" ref="L241" si="76">IF(OR(A241=J241,A241=K241),"ДА","НЕТ")</f>
        <v>НЕТ</v>
      </c>
      <c r="M241" s="10" t="s">
        <v>1575</v>
      </c>
      <c r="N241" s="10" t="s">
        <v>1575</v>
      </c>
      <c r="O241" s="10">
        <f>130*3423.62/1000</f>
        <v>445.07059999999996</v>
      </c>
      <c r="P241" s="10">
        <f t="shared" si="44"/>
        <v>445.07059999999996</v>
      </c>
      <c r="Q241" s="10" t="str">
        <f t="shared" si="45"/>
        <v>NA</v>
      </c>
      <c r="R241" s="10" t="s">
        <v>1575</v>
      </c>
      <c r="S241" s="10" t="s">
        <v>1575</v>
      </c>
      <c r="T241" s="10" t="s">
        <v>1575</v>
      </c>
      <c r="U241" s="10" t="e">
        <v>#N/A</v>
      </c>
      <c r="V241" s="10" t="e">
        <v>#N/A</v>
      </c>
      <c r="W241" s="10" t="s">
        <v>1575</v>
      </c>
      <c r="X241" s="10" t="str">
        <f t="shared" si="46"/>
        <v>NA</v>
      </c>
      <c r="Y241" s="10" t="str">
        <f t="shared" si="47"/>
        <v>NA</v>
      </c>
      <c r="Z241" s="10" t="str">
        <f t="shared" si="48"/>
        <v>NA</v>
      </c>
      <c r="AA241" s="10" t="str">
        <f t="shared" si="49"/>
        <v>NA</v>
      </c>
      <c r="AB241" s="10" t="str">
        <f t="shared" si="50"/>
        <v>NA</v>
      </c>
      <c r="AC241" s="10" t="str">
        <f t="shared" si="51"/>
        <v>NA</v>
      </c>
      <c r="AD241" s="10" t="str">
        <f t="shared" si="52"/>
        <v>NA</v>
      </c>
      <c r="AE241" s="10" t="str">
        <f t="shared" si="53"/>
        <v>NA</v>
      </c>
      <c r="AF241" s="1" t="s">
        <v>4056</v>
      </c>
    </row>
    <row r="242" spans="1:32" x14ac:dyDescent="0.2">
      <c r="A242" s="1" t="s">
        <v>5433</v>
      </c>
      <c r="B242" s="1" t="s">
        <v>5</v>
      </c>
      <c r="C242" s="1" t="s">
        <v>4062</v>
      </c>
      <c r="D242" s="1" t="s">
        <v>1580</v>
      </c>
      <c r="E242" s="1" t="s">
        <v>1694</v>
      </c>
      <c r="F242" s="1" t="s">
        <v>68</v>
      </c>
      <c r="G242" s="4">
        <f>425017/199305492</f>
        <v>2.1324901573710774E-3</v>
      </c>
      <c r="H242" s="28">
        <v>44561</v>
      </c>
      <c r="I242" s="29">
        <f t="shared" si="42"/>
        <v>2021</v>
      </c>
      <c r="J242" s="1" t="s">
        <v>5433</v>
      </c>
      <c r="K242" s="1" t="s">
        <v>7</v>
      </c>
      <c r="L242" s="11" t="str">
        <f t="shared" ref="L242:L244" si="77">IF(OR(A242=J242,A242=K242),"ДА","НЕТ")</f>
        <v>ДА</v>
      </c>
      <c r="M242" s="10" t="s">
        <v>1575</v>
      </c>
      <c r="N242" s="10" t="s">
        <v>1575</v>
      </c>
      <c r="O242" s="10">
        <v>1.877</v>
      </c>
      <c r="P242" s="10">
        <f t="shared" si="44"/>
        <v>880.19163582633166</v>
      </c>
      <c r="Q242" s="10" t="str">
        <f t="shared" si="45"/>
        <v>NA</v>
      </c>
      <c r="R242" s="10" t="s">
        <v>1575</v>
      </c>
      <c r="S242" s="10" t="s">
        <v>1575</v>
      </c>
      <c r="T242" s="10" t="s">
        <v>1575</v>
      </c>
      <c r="U242" s="10">
        <v>63.368000000000002</v>
      </c>
      <c r="V242" s="10">
        <v>176.28100000000001</v>
      </c>
      <c r="W242" s="10" t="s">
        <v>1575</v>
      </c>
      <c r="X242" s="10" t="str">
        <f t="shared" si="46"/>
        <v>NA</v>
      </c>
      <c r="Y242" s="10" t="str">
        <f t="shared" si="47"/>
        <v>NA</v>
      </c>
      <c r="Z242" s="10">
        <f t="shared" si="48"/>
        <v>13.890159636193847</v>
      </c>
      <c r="AA242" s="10">
        <f t="shared" si="49"/>
        <v>4.9931168749118262</v>
      </c>
      <c r="AB242" s="10" t="str">
        <f t="shared" si="50"/>
        <v>NA</v>
      </c>
      <c r="AC242" s="10" t="str">
        <f t="shared" si="51"/>
        <v>NA</v>
      </c>
      <c r="AD242" s="10" t="str">
        <f t="shared" si="52"/>
        <v>NA</v>
      </c>
      <c r="AE242" s="10" t="str">
        <f t="shared" si="53"/>
        <v>NA</v>
      </c>
      <c r="AF242" s="1" t="s">
        <v>4061</v>
      </c>
    </row>
    <row r="243" spans="1:32" x14ac:dyDescent="0.2">
      <c r="A243" s="1" t="s">
        <v>5433</v>
      </c>
      <c r="B243" s="1" t="s">
        <v>5</v>
      </c>
      <c r="C243" s="1" t="s">
        <v>4062</v>
      </c>
      <c r="D243" s="1" t="s">
        <v>1580</v>
      </c>
      <c r="E243" s="1" t="s">
        <v>1694</v>
      </c>
      <c r="F243" s="1" t="s">
        <v>68</v>
      </c>
      <c r="G243" s="4">
        <f>650000/119291268</f>
        <v>5.4488481084801615E-3</v>
      </c>
      <c r="H243" s="28">
        <v>44196</v>
      </c>
      <c r="I243" s="29">
        <f t="shared" si="42"/>
        <v>2020</v>
      </c>
      <c r="J243" s="1" t="s">
        <v>5433</v>
      </c>
      <c r="K243" s="1" t="s">
        <v>7</v>
      </c>
      <c r="L243" s="11" t="str">
        <f t="shared" si="77"/>
        <v>ДА</v>
      </c>
      <c r="M243" s="10" t="s">
        <v>1575</v>
      </c>
      <c r="N243" s="10" t="s">
        <v>1575</v>
      </c>
      <c r="O243" s="10">
        <v>0.66100000000000003</v>
      </c>
      <c r="P243" s="10">
        <f t="shared" si="44"/>
        <v>121.31004330461539</v>
      </c>
      <c r="Q243" s="10" t="str">
        <f t="shared" si="45"/>
        <v>NA</v>
      </c>
      <c r="R243" s="10" t="s">
        <v>1575</v>
      </c>
      <c r="S243" s="10" t="s">
        <v>1575</v>
      </c>
      <c r="T243" s="10" t="s">
        <v>1575</v>
      </c>
      <c r="U243" s="10">
        <v>44.213000000000001</v>
      </c>
      <c r="V243" s="10">
        <v>127.01600000000001</v>
      </c>
      <c r="W243" s="10" t="s">
        <v>1575</v>
      </c>
      <c r="X243" s="10" t="str">
        <f t="shared" si="46"/>
        <v>NA</v>
      </c>
      <c r="Y243" s="10" t="str">
        <f t="shared" si="47"/>
        <v>NA</v>
      </c>
      <c r="Z243" s="10">
        <f t="shared" si="48"/>
        <v>2.7437641260402006</v>
      </c>
      <c r="AA243" s="10">
        <f t="shared" si="49"/>
        <v>0.9550768667302969</v>
      </c>
      <c r="AB243" s="10" t="str">
        <f t="shared" si="50"/>
        <v>NA</v>
      </c>
      <c r="AC243" s="10" t="str">
        <f t="shared" si="51"/>
        <v>NA</v>
      </c>
      <c r="AD243" s="10" t="str">
        <f t="shared" si="52"/>
        <v>NA</v>
      </c>
      <c r="AE243" s="10" t="str">
        <f t="shared" si="53"/>
        <v>NA</v>
      </c>
      <c r="AF243" s="1" t="s">
        <v>4063</v>
      </c>
    </row>
    <row r="244" spans="1:32" x14ac:dyDescent="0.2">
      <c r="A244" s="1" t="s">
        <v>5433</v>
      </c>
      <c r="B244" s="1" t="s">
        <v>5</v>
      </c>
      <c r="C244" s="1" t="s">
        <v>4062</v>
      </c>
      <c r="D244" s="1" t="s">
        <v>1580</v>
      </c>
      <c r="E244" s="1" t="s">
        <v>1694</v>
      </c>
      <c r="F244" s="1" t="s">
        <v>68</v>
      </c>
      <c r="G244" s="4">
        <f>2094126/182638825</f>
        <v>1.1465941045120061E-2</v>
      </c>
      <c r="H244" s="28">
        <v>43465</v>
      </c>
      <c r="I244" s="29">
        <f t="shared" si="42"/>
        <v>2018</v>
      </c>
      <c r="J244" s="1" t="s">
        <v>5433</v>
      </c>
      <c r="K244" s="1" t="s">
        <v>7</v>
      </c>
      <c r="L244" s="11" t="str">
        <f t="shared" si="77"/>
        <v>ДА</v>
      </c>
      <c r="M244" s="10" t="s">
        <v>1575</v>
      </c>
      <c r="N244" s="10" t="s">
        <v>1575</v>
      </c>
      <c r="O244" s="10">
        <v>2.4550000000000001</v>
      </c>
      <c r="P244" s="10">
        <f t="shared" si="44"/>
        <v>214.1123864442732</v>
      </c>
      <c r="Q244" s="10" t="str">
        <f t="shared" si="45"/>
        <v>NA</v>
      </c>
      <c r="R244" s="10" t="s">
        <v>1575</v>
      </c>
      <c r="S244" s="10" t="s">
        <v>1575</v>
      </c>
      <c r="T244" s="10" t="s">
        <v>1575</v>
      </c>
      <c r="U244" s="10">
        <v>27.122</v>
      </c>
      <c r="V244" s="10">
        <v>42.25</v>
      </c>
      <c r="W244" s="10" t="s">
        <v>1575</v>
      </c>
      <c r="X244" s="10" t="str">
        <f t="shared" si="46"/>
        <v>NA</v>
      </c>
      <c r="Y244" s="10" t="str">
        <f t="shared" si="47"/>
        <v>NA</v>
      </c>
      <c r="Z244" s="10">
        <f t="shared" si="48"/>
        <v>7.8944173159897204</v>
      </c>
      <c r="AA244" s="10">
        <f t="shared" si="49"/>
        <v>5.0677487915804305</v>
      </c>
      <c r="AB244" s="10" t="str">
        <f t="shared" si="50"/>
        <v>NA</v>
      </c>
      <c r="AC244" s="10" t="str">
        <f t="shared" si="51"/>
        <v>NA</v>
      </c>
      <c r="AD244" s="10" t="str">
        <f t="shared" si="52"/>
        <v>NA</v>
      </c>
      <c r="AE244" s="10" t="str">
        <f t="shared" si="53"/>
        <v>NA</v>
      </c>
      <c r="AF244" s="1" t="s">
        <v>4064</v>
      </c>
    </row>
    <row r="245" spans="1:32" x14ac:dyDescent="0.2">
      <c r="A245" s="1" t="s">
        <v>5434</v>
      </c>
      <c r="B245" s="1" t="s">
        <v>5</v>
      </c>
      <c r="C245" s="1" t="s">
        <v>1575</v>
      </c>
      <c r="D245" s="1" t="s">
        <v>1580</v>
      </c>
      <c r="E245" s="1" t="s">
        <v>1590</v>
      </c>
      <c r="F245" s="1" t="s">
        <v>545</v>
      </c>
      <c r="G245" s="4">
        <v>1</v>
      </c>
      <c r="H245" s="28">
        <v>43738</v>
      </c>
      <c r="I245" s="29">
        <f t="shared" si="42"/>
        <v>2019</v>
      </c>
      <c r="J245" s="1" t="s">
        <v>7</v>
      </c>
      <c r="K245" s="1" t="s">
        <v>5435</v>
      </c>
      <c r="L245" s="11" t="str">
        <f t="shared" ref="L245" si="78">IF(OR(A245=J245,A245=K245),"ДА","НЕТ")</f>
        <v>НЕТ</v>
      </c>
      <c r="M245" s="10" t="s">
        <v>1575</v>
      </c>
      <c r="N245" s="10" t="s">
        <v>1575</v>
      </c>
      <c r="O245" s="10">
        <v>1.8</v>
      </c>
      <c r="P245" s="10">
        <f t="shared" si="44"/>
        <v>1.8</v>
      </c>
      <c r="Q245" s="10" t="str">
        <f t="shared" si="45"/>
        <v>NA</v>
      </c>
      <c r="R245" s="10" t="s">
        <v>1575</v>
      </c>
      <c r="S245" s="10" t="s">
        <v>1575</v>
      </c>
      <c r="T245" s="10" t="s">
        <v>1575</v>
      </c>
      <c r="U245" s="10" t="s">
        <v>1575</v>
      </c>
      <c r="V245" s="10">
        <v>1.8</v>
      </c>
      <c r="W245" s="10" t="s">
        <v>1575</v>
      </c>
      <c r="X245" s="10" t="str">
        <f t="shared" si="46"/>
        <v>NA</v>
      </c>
      <c r="Y245" s="10" t="str">
        <f t="shared" si="47"/>
        <v>NA</v>
      </c>
      <c r="Z245" s="10" t="str">
        <f t="shared" si="48"/>
        <v>NA</v>
      </c>
      <c r="AA245" s="10">
        <f t="shared" si="49"/>
        <v>1</v>
      </c>
      <c r="AB245" s="10" t="str">
        <f t="shared" si="50"/>
        <v>NA</v>
      </c>
      <c r="AC245" s="10" t="str">
        <f t="shared" si="51"/>
        <v>NA</v>
      </c>
      <c r="AD245" s="10" t="str">
        <f t="shared" si="52"/>
        <v>NA</v>
      </c>
      <c r="AE245" s="10" t="str">
        <f t="shared" si="53"/>
        <v>NA</v>
      </c>
      <c r="AF245" s="1" t="s">
        <v>4065</v>
      </c>
    </row>
    <row r="246" spans="1:32" x14ac:dyDescent="0.2">
      <c r="A246" s="1" t="s">
        <v>5436</v>
      </c>
      <c r="B246" s="1" t="s">
        <v>5</v>
      </c>
      <c r="C246" s="1" t="s">
        <v>1575</v>
      </c>
      <c r="D246" s="1" t="s">
        <v>1584</v>
      </c>
      <c r="E246" s="1" t="s">
        <v>3486</v>
      </c>
      <c r="F246" s="1" t="s">
        <v>4066</v>
      </c>
      <c r="G246" s="4">
        <v>1</v>
      </c>
      <c r="H246" s="28">
        <v>43465</v>
      </c>
      <c r="I246" s="29">
        <f t="shared" si="42"/>
        <v>2018</v>
      </c>
      <c r="J246" s="1" t="s">
        <v>7</v>
      </c>
      <c r="K246" s="1" t="s">
        <v>5435</v>
      </c>
      <c r="L246" s="11" t="str">
        <f t="shared" ref="L246" si="79">IF(OR(A246=J246,A246=K246),"ДА","НЕТ")</f>
        <v>НЕТ</v>
      </c>
      <c r="M246" s="10" t="s">
        <v>1575</v>
      </c>
      <c r="N246" s="10" t="s">
        <v>1575</v>
      </c>
      <c r="O246" s="10" t="s">
        <v>1575</v>
      </c>
      <c r="P246" s="10" t="str">
        <f t="shared" si="44"/>
        <v>NA</v>
      </c>
      <c r="Q246" s="10" t="str">
        <f t="shared" si="45"/>
        <v>NA</v>
      </c>
      <c r="R246" s="10" t="s">
        <v>1575</v>
      </c>
      <c r="S246" s="10" t="s">
        <v>1575</v>
      </c>
      <c r="T246" s="10" t="s">
        <v>1575</v>
      </c>
      <c r="U246" s="10" t="s">
        <v>1575</v>
      </c>
      <c r="V246" s="10" t="s">
        <v>1575</v>
      </c>
      <c r="W246" s="10" t="s">
        <v>1575</v>
      </c>
      <c r="X246" s="10" t="str">
        <f t="shared" si="46"/>
        <v>NA</v>
      </c>
      <c r="Y246" s="10" t="str">
        <f t="shared" si="47"/>
        <v>NA</v>
      </c>
      <c r="Z246" s="10" t="str">
        <f t="shared" si="48"/>
        <v>NA</v>
      </c>
      <c r="AA246" s="10" t="str">
        <f t="shared" si="49"/>
        <v>NA</v>
      </c>
      <c r="AB246" s="10" t="str">
        <f t="shared" si="50"/>
        <v>NA</v>
      </c>
      <c r="AC246" s="10" t="str">
        <f t="shared" si="51"/>
        <v>NA</v>
      </c>
      <c r="AD246" s="10" t="str">
        <f t="shared" si="52"/>
        <v>NA</v>
      </c>
      <c r="AE246" s="10" t="str">
        <f t="shared" si="53"/>
        <v>NA</v>
      </c>
      <c r="AF246" s="1" t="s">
        <v>4067</v>
      </c>
    </row>
    <row r="247" spans="1:32" x14ac:dyDescent="0.2">
      <c r="A247" s="1" t="s">
        <v>5436</v>
      </c>
      <c r="B247" s="1" t="s">
        <v>5</v>
      </c>
      <c r="C247" s="1" t="s">
        <v>1575</v>
      </c>
      <c r="D247" s="1" t="s">
        <v>1584</v>
      </c>
      <c r="E247" s="1" t="s">
        <v>3486</v>
      </c>
      <c r="F247" s="1" t="s">
        <v>4066</v>
      </c>
      <c r="G247" s="4">
        <v>1</v>
      </c>
      <c r="H247" s="28">
        <v>43465</v>
      </c>
      <c r="I247" s="29">
        <f t="shared" ref="I247:I285" si="80">YEAR(H247)</f>
        <v>2018</v>
      </c>
      <c r="J247" s="1" t="s">
        <v>5435</v>
      </c>
      <c r="K247" s="1" t="s">
        <v>7</v>
      </c>
      <c r="L247" s="11" t="str">
        <f t="shared" ref="L247" si="81">IF(OR(A247=J247,A247=K247),"ДА","НЕТ")</f>
        <v>НЕТ</v>
      </c>
      <c r="M247" s="10" t="s">
        <v>1575</v>
      </c>
      <c r="N247" s="10" t="s">
        <v>1575</v>
      </c>
      <c r="O247" s="10">
        <v>10.1</v>
      </c>
      <c r="P247" s="10">
        <f t="shared" si="44"/>
        <v>10.1</v>
      </c>
      <c r="Q247" s="10" t="str">
        <f t="shared" si="45"/>
        <v>NA</v>
      </c>
      <c r="R247" s="10" t="s">
        <v>1575</v>
      </c>
      <c r="S247" s="10" t="s">
        <v>1575</v>
      </c>
      <c r="T247" s="10" t="s">
        <v>1575</v>
      </c>
      <c r="U247" s="10" t="s">
        <v>1575</v>
      </c>
      <c r="V247" s="10">
        <v>10.1</v>
      </c>
      <c r="W247" s="10" t="s">
        <v>1575</v>
      </c>
      <c r="X247" s="10" t="str">
        <f t="shared" si="46"/>
        <v>NA</v>
      </c>
      <c r="Y247" s="10" t="str">
        <f t="shared" si="47"/>
        <v>NA</v>
      </c>
      <c r="Z247" s="10" t="str">
        <f t="shared" si="48"/>
        <v>NA</v>
      </c>
      <c r="AA247" s="10">
        <f t="shared" si="49"/>
        <v>1</v>
      </c>
      <c r="AB247" s="10" t="str">
        <f t="shared" si="50"/>
        <v>NA</v>
      </c>
      <c r="AC247" s="10" t="str">
        <f t="shared" si="51"/>
        <v>NA</v>
      </c>
      <c r="AD247" s="10" t="str">
        <f t="shared" si="52"/>
        <v>NA</v>
      </c>
      <c r="AE247" s="10" t="str">
        <f t="shared" si="53"/>
        <v>NA</v>
      </c>
      <c r="AF247" s="1" t="s">
        <v>4068</v>
      </c>
    </row>
    <row r="248" spans="1:32" x14ac:dyDescent="0.2">
      <c r="A248" s="1" t="s">
        <v>5437</v>
      </c>
      <c r="B248" s="1" t="s">
        <v>5</v>
      </c>
      <c r="C248" s="1" t="s">
        <v>1575</v>
      </c>
      <c r="D248" s="1" t="s">
        <v>1584</v>
      </c>
      <c r="E248" s="1" t="s">
        <v>3486</v>
      </c>
      <c r="F248" s="1" t="s">
        <v>46</v>
      </c>
      <c r="G248" s="4">
        <v>1</v>
      </c>
      <c r="H248" s="28">
        <v>42886</v>
      </c>
      <c r="I248" s="29">
        <f t="shared" si="80"/>
        <v>2017</v>
      </c>
      <c r="J248" s="1" t="s">
        <v>5435</v>
      </c>
      <c r="K248" s="1" t="s">
        <v>7</v>
      </c>
      <c r="L248" s="11" t="str">
        <f t="shared" ref="L248:L249" si="82">IF(OR(A248=J248,A248=K248),"ДА","НЕТ")</f>
        <v>НЕТ</v>
      </c>
      <c r="M248" s="10" t="s">
        <v>1575</v>
      </c>
      <c r="N248" s="10" t="s">
        <v>1575</v>
      </c>
      <c r="O248" s="10">
        <v>6.0000000000000002E-5</v>
      </c>
      <c r="P248" s="10">
        <f t="shared" si="44"/>
        <v>6.0000000000000002E-5</v>
      </c>
      <c r="Q248" s="10" t="str">
        <f t="shared" si="45"/>
        <v>NA</v>
      </c>
      <c r="R248" s="10" t="s">
        <v>1575</v>
      </c>
      <c r="S248" s="10" t="s">
        <v>1575</v>
      </c>
      <c r="T248" s="10" t="s">
        <v>1575</v>
      </c>
      <c r="U248" s="10" t="s">
        <v>1575</v>
      </c>
      <c r="V248" s="10">
        <v>0.2</v>
      </c>
      <c r="W248" s="10" t="s">
        <v>1575</v>
      </c>
      <c r="X248" s="10" t="str">
        <f t="shared" si="46"/>
        <v>NA</v>
      </c>
      <c r="Y248" s="10" t="str">
        <f t="shared" si="47"/>
        <v>NA</v>
      </c>
      <c r="Z248" s="10" t="str">
        <f t="shared" si="48"/>
        <v>NA</v>
      </c>
      <c r="AA248" s="10">
        <f t="shared" si="49"/>
        <v>2.9999999999999997E-4</v>
      </c>
      <c r="AB248" s="10" t="str">
        <f t="shared" si="50"/>
        <v>NA</v>
      </c>
      <c r="AC248" s="10" t="str">
        <f t="shared" si="51"/>
        <v>NA</v>
      </c>
      <c r="AD248" s="10" t="str">
        <f t="shared" si="52"/>
        <v>NA</v>
      </c>
      <c r="AE248" s="10" t="str">
        <f t="shared" si="53"/>
        <v>NA</v>
      </c>
      <c r="AF248" s="1" t="s">
        <v>4069</v>
      </c>
    </row>
    <row r="249" spans="1:32" x14ac:dyDescent="0.2">
      <c r="A249" s="1" t="s">
        <v>5372</v>
      </c>
      <c r="B249" s="1" t="s">
        <v>780</v>
      </c>
      <c r="C249" s="1" t="s">
        <v>1575</v>
      </c>
      <c r="D249" s="1" t="s">
        <v>1580</v>
      </c>
      <c r="E249" s="1" t="s">
        <v>1694</v>
      </c>
      <c r="F249" s="1" t="s">
        <v>68</v>
      </c>
      <c r="G249" s="4">
        <v>0.59699999999999998</v>
      </c>
      <c r="H249" s="28">
        <v>42766</v>
      </c>
      <c r="I249" s="29">
        <f t="shared" si="80"/>
        <v>2017</v>
      </c>
      <c r="J249" s="1" t="s">
        <v>7</v>
      </c>
      <c r="K249" s="1" t="s">
        <v>5435</v>
      </c>
      <c r="L249" s="11" t="str">
        <f t="shared" si="82"/>
        <v>НЕТ</v>
      </c>
      <c r="M249" s="10" t="s">
        <v>1575</v>
      </c>
      <c r="N249" s="10" t="s">
        <v>1575</v>
      </c>
      <c r="O249" s="10">
        <v>0.8</v>
      </c>
      <c r="P249" s="10">
        <f t="shared" si="44"/>
        <v>1.340033500837521</v>
      </c>
      <c r="Q249" s="10" t="str">
        <f t="shared" si="45"/>
        <v>NA</v>
      </c>
      <c r="R249" s="10" t="s">
        <v>1575</v>
      </c>
      <c r="S249" s="10" t="s">
        <v>1575</v>
      </c>
      <c r="T249" s="10" t="s">
        <v>1575</v>
      </c>
      <c r="U249" s="10" t="s">
        <v>1575</v>
      </c>
      <c r="V249" s="10" t="s">
        <v>1575</v>
      </c>
      <c r="W249" s="10" t="s">
        <v>1575</v>
      </c>
      <c r="X249" s="10" t="str">
        <f t="shared" si="46"/>
        <v>NA</v>
      </c>
      <c r="Y249" s="10" t="str">
        <f t="shared" si="47"/>
        <v>NA</v>
      </c>
      <c r="Z249" s="10" t="str">
        <f t="shared" si="48"/>
        <v>NA</v>
      </c>
      <c r="AA249" s="10" t="str">
        <f t="shared" si="49"/>
        <v>NA</v>
      </c>
      <c r="AB249" s="10" t="str">
        <f t="shared" si="50"/>
        <v>NA</v>
      </c>
      <c r="AC249" s="10" t="str">
        <f t="shared" si="51"/>
        <v>NA</v>
      </c>
      <c r="AD249" s="10" t="str">
        <f t="shared" si="52"/>
        <v>NA</v>
      </c>
      <c r="AE249" s="10" t="str">
        <f t="shared" si="53"/>
        <v>NA</v>
      </c>
      <c r="AF249" s="1" t="s">
        <v>4075</v>
      </c>
    </row>
    <row r="250" spans="1:32" x14ac:dyDescent="0.2">
      <c r="A250" s="1" t="s">
        <v>5438</v>
      </c>
      <c r="B250" s="1" t="s">
        <v>5</v>
      </c>
      <c r="C250" s="1" t="s">
        <v>1575</v>
      </c>
      <c r="D250" s="1" t="s">
        <v>1584</v>
      </c>
      <c r="E250" s="1" t="s">
        <v>1586</v>
      </c>
      <c r="F250" s="1" t="s">
        <v>66</v>
      </c>
      <c r="G250" s="4">
        <v>1</v>
      </c>
      <c r="H250" s="28">
        <v>42674</v>
      </c>
      <c r="I250" s="29">
        <f t="shared" si="80"/>
        <v>2016</v>
      </c>
      <c r="J250" s="1" t="s">
        <v>5435</v>
      </c>
      <c r="K250" s="1" t="s">
        <v>7</v>
      </c>
      <c r="L250" s="11" t="str">
        <f t="shared" ref="L250:L251" si="83">IF(OR(A250=J250,A250=K250),"ДА","НЕТ")</f>
        <v>НЕТ</v>
      </c>
      <c r="M250" s="10" t="s">
        <v>1575</v>
      </c>
      <c r="N250" s="10" t="s">
        <v>1575</v>
      </c>
      <c r="O250" s="10">
        <v>17.399999999999999</v>
      </c>
      <c r="P250" s="10">
        <f t="shared" si="44"/>
        <v>17.399999999999999</v>
      </c>
      <c r="Q250" s="10" t="str">
        <f t="shared" si="45"/>
        <v>NA</v>
      </c>
      <c r="R250" s="10" t="s">
        <v>1575</v>
      </c>
      <c r="S250" s="10" t="s">
        <v>1575</v>
      </c>
      <c r="T250" s="10" t="s">
        <v>1575</v>
      </c>
      <c r="U250" s="10" t="s">
        <v>1575</v>
      </c>
      <c r="V250" s="10">
        <v>20.399999999999999</v>
      </c>
      <c r="W250" s="10" t="s">
        <v>1575</v>
      </c>
      <c r="X250" s="10" t="str">
        <f t="shared" si="46"/>
        <v>NA</v>
      </c>
      <c r="Y250" s="10" t="str">
        <f t="shared" si="47"/>
        <v>NA</v>
      </c>
      <c r="Z250" s="10" t="str">
        <f t="shared" si="48"/>
        <v>NA</v>
      </c>
      <c r="AA250" s="10">
        <f t="shared" si="49"/>
        <v>0.8529411764705882</v>
      </c>
      <c r="AB250" s="10" t="str">
        <f t="shared" si="50"/>
        <v>NA</v>
      </c>
      <c r="AC250" s="10" t="str">
        <f t="shared" si="51"/>
        <v>NA</v>
      </c>
      <c r="AD250" s="10" t="str">
        <f t="shared" si="52"/>
        <v>NA</v>
      </c>
      <c r="AE250" s="10" t="str">
        <f t="shared" si="53"/>
        <v>NA</v>
      </c>
      <c r="AF250" s="1" t="s">
        <v>4070</v>
      </c>
    </row>
    <row r="251" spans="1:32" x14ac:dyDescent="0.2">
      <c r="A251" s="1" t="s">
        <v>5369</v>
      </c>
      <c r="B251" s="1" t="s">
        <v>5</v>
      </c>
      <c r="C251" s="1" t="s">
        <v>1575</v>
      </c>
      <c r="D251" s="1" t="s">
        <v>1582</v>
      </c>
      <c r="E251" s="1" t="s">
        <v>5352</v>
      </c>
      <c r="F251" s="1" t="s">
        <v>1745</v>
      </c>
      <c r="G251" s="4">
        <v>1</v>
      </c>
      <c r="H251" s="28">
        <v>42551</v>
      </c>
      <c r="I251" s="29">
        <f t="shared" si="80"/>
        <v>2016</v>
      </c>
      <c r="J251" s="1" t="s">
        <v>7</v>
      </c>
      <c r="K251" s="1" t="s">
        <v>5435</v>
      </c>
      <c r="L251" s="11" t="str">
        <f t="shared" si="83"/>
        <v>НЕТ</v>
      </c>
      <c r="M251" s="10" t="s">
        <v>1575</v>
      </c>
      <c r="N251" s="10" t="s">
        <v>1575</v>
      </c>
      <c r="O251" s="10">
        <v>2</v>
      </c>
      <c r="P251" s="10">
        <f t="shared" si="44"/>
        <v>2</v>
      </c>
      <c r="Q251" s="10" t="str">
        <f t="shared" si="45"/>
        <v>NA</v>
      </c>
      <c r="R251" s="10" t="s">
        <v>1575</v>
      </c>
      <c r="S251" s="10" t="s">
        <v>1575</v>
      </c>
      <c r="T251" s="10" t="s">
        <v>1575</v>
      </c>
      <c r="U251" s="10" t="s">
        <v>1575</v>
      </c>
      <c r="V251" s="10" t="s">
        <v>1575</v>
      </c>
      <c r="W251" s="10" t="s">
        <v>1575</v>
      </c>
      <c r="X251" s="10" t="str">
        <f t="shared" si="46"/>
        <v>NA</v>
      </c>
      <c r="Y251" s="10" t="str">
        <f t="shared" si="47"/>
        <v>NA</v>
      </c>
      <c r="Z251" s="10" t="str">
        <f t="shared" si="48"/>
        <v>NA</v>
      </c>
      <c r="AA251" s="10" t="str">
        <f t="shared" si="49"/>
        <v>NA</v>
      </c>
      <c r="AB251" s="10" t="str">
        <f t="shared" si="50"/>
        <v>NA</v>
      </c>
      <c r="AC251" s="10" t="str">
        <f t="shared" si="51"/>
        <v>NA</v>
      </c>
      <c r="AD251" s="10" t="str">
        <f t="shared" si="52"/>
        <v>NA</v>
      </c>
      <c r="AE251" s="10" t="str">
        <f t="shared" si="53"/>
        <v>NA</v>
      </c>
      <c r="AF251" s="1" t="s">
        <v>4071</v>
      </c>
    </row>
    <row r="252" spans="1:32" x14ac:dyDescent="0.2">
      <c r="A252" s="1" t="s">
        <v>5435</v>
      </c>
      <c r="B252" s="1" t="s">
        <v>5</v>
      </c>
      <c r="C252" s="1" t="s">
        <v>3198</v>
      </c>
      <c r="D252" s="1" t="s">
        <v>1580</v>
      </c>
      <c r="E252" s="1" t="s">
        <v>1694</v>
      </c>
      <c r="F252" s="1" t="s">
        <v>68</v>
      </c>
      <c r="G252" s="4">
        <f>73253833/271745594</f>
        <v>0.26956769352440724</v>
      </c>
      <c r="H252" s="28">
        <v>42400</v>
      </c>
      <c r="I252" s="29">
        <f t="shared" si="80"/>
        <v>2016</v>
      </c>
      <c r="J252" s="1" t="s">
        <v>2168</v>
      </c>
      <c r="K252" s="1" t="s">
        <v>5435</v>
      </c>
      <c r="L252" s="11" t="str">
        <f t="shared" ref="L252" si="84">IF(OR(A252=J252,A252=K252),"ДА","НЕТ")</f>
        <v>ДА</v>
      </c>
      <c r="M252" s="10" t="s">
        <v>1575</v>
      </c>
      <c r="N252" s="10" t="s">
        <v>1575</v>
      </c>
      <c r="O252" s="10">
        <v>43</v>
      </c>
      <c r="P252" s="10">
        <f t="shared" si="44"/>
        <v>159.51466378557967</v>
      </c>
      <c r="Q252" s="10" t="str">
        <f t="shared" si="45"/>
        <v>NA</v>
      </c>
      <c r="R252" s="10" t="s">
        <v>1575</v>
      </c>
      <c r="S252" s="10" t="s">
        <v>1575</v>
      </c>
      <c r="T252" s="10" t="s">
        <v>1575</v>
      </c>
      <c r="U252" s="10">
        <v>1.2</v>
      </c>
      <c r="V252" s="10">
        <v>193.8</v>
      </c>
      <c r="W252" s="10" t="s">
        <v>1575</v>
      </c>
      <c r="X252" s="10" t="str">
        <f t="shared" si="46"/>
        <v>NA</v>
      </c>
      <c r="Y252" s="10" t="str">
        <f t="shared" si="47"/>
        <v>NA</v>
      </c>
      <c r="Z252" s="10">
        <f t="shared" si="48"/>
        <v>132.92888648798308</v>
      </c>
      <c r="AA252" s="10">
        <f t="shared" si="49"/>
        <v>0.82308908042094764</v>
      </c>
      <c r="AB252" s="10" t="str">
        <f t="shared" si="50"/>
        <v>NA</v>
      </c>
      <c r="AC252" s="10" t="str">
        <f t="shared" si="51"/>
        <v>NA</v>
      </c>
      <c r="AD252" s="10" t="str">
        <f t="shared" si="52"/>
        <v>NA</v>
      </c>
      <c r="AE252" s="10" t="str">
        <f t="shared" si="53"/>
        <v>NA</v>
      </c>
      <c r="AF252" s="1" t="s">
        <v>4105</v>
      </c>
    </row>
    <row r="253" spans="1:32" x14ac:dyDescent="0.2">
      <c r="A253" s="1" t="s">
        <v>830</v>
      </c>
      <c r="B253" s="1" t="s">
        <v>5</v>
      </c>
      <c r="C253" s="1" t="s">
        <v>1575</v>
      </c>
      <c r="D253" s="1" t="s">
        <v>1575</v>
      </c>
      <c r="E253" s="1" t="s">
        <v>1575</v>
      </c>
      <c r="F253" s="1" t="s">
        <v>1575</v>
      </c>
      <c r="G253" s="4">
        <v>0.49</v>
      </c>
      <c r="H253" s="28">
        <v>42428</v>
      </c>
      <c r="I253" s="29">
        <f t="shared" si="80"/>
        <v>2016</v>
      </c>
      <c r="J253" s="1" t="s">
        <v>7</v>
      </c>
      <c r="K253" s="1" t="s">
        <v>5435</v>
      </c>
      <c r="L253" s="11" t="str">
        <f t="shared" ref="L253" si="85">IF(OR(A253=J253,A253=K253),"ДА","НЕТ")</f>
        <v>НЕТ</v>
      </c>
      <c r="M253" s="10" t="s">
        <v>1575</v>
      </c>
      <c r="N253" s="10" t="s">
        <v>1575</v>
      </c>
      <c r="O253" s="10">
        <v>0.7</v>
      </c>
      <c r="P253" s="10">
        <f t="shared" si="44"/>
        <v>1.4285714285714286</v>
      </c>
      <c r="Q253" s="10" t="str">
        <f t="shared" si="45"/>
        <v>NA</v>
      </c>
      <c r="R253" s="10" t="s">
        <v>1575</v>
      </c>
      <c r="S253" s="10" t="s">
        <v>1575</v>
      </c>
      <c r="T253" s="10" t="s">
        <v>1575</v>
      </c>
      <c r="U253" s="10" t="s">
        <v>1575</v>
      </c>
      <c r="V253" s="10" t="s">
        <v>1575</v>
      </c>
      <c r="W253" s="10" t="s">
        <v>1575</v>
      </c>
      <c r="X253" s="10" t="str">
        <f t="shared" si="46"/>
        <v>NA</v>
      </c>
      <c r="Y253" s="10" t="str">
        <f t="shared" si="47"/>
        <v>NA</v>
      </c>
      <c r="Z253" s="10" t="str">
        <f t="shared" si="48"/>
        <v>NA</v>
      </c>
      <c r="AA253" s="10" t="str">
        <f t="shared" si="49"/>
        <v>NA</v>
      </c>
      <c r="AB253" s="10" t="str">
        <f t="shared" si="50"/>
        <v>NA</v>
      </c>
      <c r="AC253" s="10" t="str">
        <f t="shared" si="51"/>
        <v>NA</v>
      </c>
      <c r="AD253" s="10" t="str">
        <f t="shared" si="52"/>
        <v>NA</v>
      </c>
      <c r="AE253" s="10" t="str">
        <f t="shared" si="53"/>
        <v>NA</v>
      </c>
      <c r="AF253" s="1" t="s">
        <v>4103</v>
      </c>
    </row>
    <row r="254" spans="1:32" x14ac:dyDescent="0.2">
      <c r="A254" s="1" t="s">
        <v>5439</v>
      </c>
      <c r="B254" s="1" t="s">
        <v>5</v>
      </c>
      <c r="C254" s="1" t="s">
        <v>1575</v>
      </c>
      <c r="D254" s="1" t="s">
        <v>1580</v>
      </c>
      <c r="E254" s="1" t="s">
        <v>1581</v>
      </c>
      <c r="F254" s="1" t="s">
        <v>67</v>
      </c>
      <c r="G254" s="4">
        <v>0.82</v>
      </c>
      <c r="H254" s="28">
        <v>42460</v>
      </c>
      <c r="I254" s="29">
        <f t="shared" ref="I254" si="86">YEAR(H254)</f>
        <v>2016</v>
      </c>
      <c r="J254" s="1" t="s">
        <v>7</v>
      </c>
      <c r="K254" s="1" t="s">
        <v>5435</v>
      </c>
      <c r="L254" s="11" t="str">
        <f t="shared" ref="L254" si="87">IF(OR(A254=J254,A254=K254),"ДА","НЕТ")</f>
        <v>НЕТ</v>
      </c>
      <c r="M254" s="10" t="s">
        <v>1575</v>
      </c>
      <c r="N254" s="10" t="s">
        <v>1575</v>
      </c>
      <c r="O254" s="10">
        <v>4.8000000000000001E-2</v>
      </c>
      <c r="P254" s="10">
        <f t="shared" si="44"/>
        <v>5.8536585365853662E-2</v>
      </c>
      <c r="Q254" s="10" t="str">
        <f t="shared" si="45"/>
        <v>NA</v>
      </c>
      <c r="R254" s="10" t="s">
        <v>1575</v>
      </c>
      <c r="S254" s="10" t="s">
        <v>1575</v>
      </c>
      <c r="T254" s="10" t="s">
        <v>1575</v>
      </c>
      <c r="U254" s="10" t="s">
        <v>1575</v>
      </c>
      <c r="V254" s="10" t="s">
        <v>1575</v>
      </c>
      <c r="W254" s="10" t="s">
        <v>1575</v>
      </c>
      <c r="X254" s="10" t="str">
        <f t="shared" si="46"/>
        <v>NA</v>
      </c>
      <c r="Y254" s="10" t="str">
        <f t="shared" si="47"/>
        <v>NA</v>
      </c>
      <c r="Z254" s="10" t="str">
        <f t="shared" si="48"/>
        <v>NA</v>
      </c>
      <c r="AA254" s="10" t="str">
        <f t="shared" si="49"/>
        <v>NA</v>
      </c>
      <c r="AB254" s="10" t="str">
        <f t="shared" si="50"/>
        <v>NA</v>
      </c>
      <c r="AC254" s="10" t="str">
        <f t="shared" si="51"/>
        <v>NA</v>
      </c>
      <c r="AD254" s="10" t="str">
        <f t="shared" si="52"/>
        <v>NA</v>
      </c>
      <c r="AE254" s="10" t="str">
        <f t="shared" si="53"/>
        <v>NA</v>
      </c>
      <c r="AF254" s="1" t="s">
        <v>4104</v>
      </c>
    </row>
    <row r="255" spans="1:32" x14ac:dyDescent="0.2">
      <c r="A255" s="1" t="s">
        <v>5440</v>
      </c>
      <c r="B255" s="1" t="s">
        <v>5</v>
      </c>
      <c r="C255" s="1" t="s">
        <v>1575</v>
      </c>
      <c r="D255" s="1" t="s">
        <v>1584</v>
      </c>
      <c r="E255" s="1" t="s">
        <v>1586</v>
      </c>
      <c r="F255" s="1" t="s">
        <v>4094</v>
      </c>
      <c r="G255" s="4">
        <v>1</v>
      </c>
      <c r="H255" s="28">
        <v>42277</v>
      </c>
      <c r="I255" s="29">
        <f t="shared" si="80"/>
        <v>2015</v>
      </c>
      <c r="J255" s="1" t="s">
        <v>7</v>
      </c>
      <c r="K255" s="1" t="s">
        <v>5435</v>
      </c>
      <c r="L255" s="11" t="str">
        <f t="shared" ref="L255" si="88">IF(OR(A255=J255,A255=K255),"ДА","НЕТ")</f>
        <v>НЕТ</v>
      </c>
      <c r="M255" s="10" t="s">
        <v>1575</v>
      </c>
      <c r="N255" s="10" t="s">
        <v>1575</v>
      </c>
      <c r="O255" s="10">
        <v>1.0000000000000001E-5</v>
      </c>
      <c r="P255" s="10">
        <f t="shared" si="44"/>
        <v>1.0000000000000001E-5</v>
      </c>
      <c r="Q255" s="10" t="str">
        <f t="shared" si="45"/>
        <v>NA</v>
      </c>
      <c r="R255" s="10" t="s">
        <v>1575</v>
      </c>
      <c r="S255" s="10" t="s">
        <v>1575</v>
      </c>
      <c r="T255" s="10" t="s">
        <v>1575</v>
      </c>
      <c r="U255" s="10" t="s">
        <v>1575</v>
      </c>
      <c r="V255" s="10" t="s">
        <v>1575</v>
      </c>
      <c r="W255" s="10" t="s">
        <v>1575</v>
      </c>
      <c r="X255" s="10" t="str">
        <f t="shared" si="46"/>
        <v>NA</v>
      </c>
      <c r="Y255" s="10" t="str">
        <f t="shared" si="47"/>
        <v>NA</v>
      </c>
      <c r="Z255" s="10" t="str">
        <f t="shared" si="48"/>
        <v>NA</v>
      </c>
      <c r="AA255" s="10" t="str">
        <f t="shared" si="49"/>
        <v>NA</v>
      </c>
      <c r="AB255" s="10" t="str">
        <f t="shared" si="50"/>
        <v>NA</v>
      </c>
      <c r="AC255" s="10" t="str">
        <f t="shared" si="51"/>
        <v>NA</v>
      </c>
      <c r="AD255" s="10" t="str">
        <f t="shared" si="52"/>
        <v>NA</v>
      </c>
      <c r="AE255" s="10" t="str">
        <f t="shared" si="53"/>
        <v>NA</v>
      </c>
      <c r="AF255" s="1" t="s">
        <v>4072</v>
      </c>
    </row>
    <row r="256" spans="1:32" x14ac:dyDescent="0.2">
      <c r="A256" s="1" t="s">
        <v>5441</v>
      </c>
      <c r="B256" s="1" t="s">
        <v>5</v>
      </c>
      <c r="C256" s="1" t="s">
        <v>1575</v>
      </c>
      <c r="D256" s="1" t="s">
        <v>1578</v>
      </c>
      <c r="E256" s="1" t="s">
        <v>1579</v>
      </c>
      <c r="F256" s="1" t="s">
        <v>429</v>
      </c>
      <c r="G256" s="4">
        <v>1</v>
      </c>
      <c r="H256" s="28">
        <v>42277</v>
      </c>
      <c r="I256" s="29">
        <f t="shared" si="80"/>
        <v>2015</v>
      </c>
      <c r="J256" s="1" t="s">
        <v>7</v>
      </c>
      <c r="K256" s="1" t="s">
        <v>5435</v>
      </c>
      <c r="L256" s="11" t="str">
        <f t="shared" ref="L256" si="89">IF(OR(A256=J256,A256=K256),"ДА","НЕТ")</f>
        <v>НЕТ</v>
      </c>
      <c r="M256" s="10" t="s">
        <v>1575</v>
      </c>
      <c r="N256" s="10" t="s">
        <v>1575</v>
      </c>
      <c r="O256" s="10">
        <v>1.7</v>
      </c>
      <c r="P256" s="10">
        <f t="shared" si="44"/>
        <v>1.7</v>
      </c>
      <c r="Q256" s="10" t="str">
        <f t="shared" si="45"/>
        <v>NA</v>
      </c>
      <c r="R256" s="10" t="s">
        <v>1575</v>
      </c>
      <c r="S256" s="10" t="s">
        <v>1575</v>
      </c>
      <c r="T256" s="10" t="s">
        <v>1575</v>
      </c>
      <c r="U256" s="10" t="s">
        <v>1575</v>
      </c>
      <c r="V256" s="10" t="s">
        <v>1575</v>
      </c>
      <c r="W256" s="10" t="s">
        <v>1575</v>
      </c>
      <c r="X256" s="10" t="str">
        <f t="shared" si="46"/>
        <v>NA</v>
      </c>
      <c r="Y256" s="10" t="str">
        <f t="shared" si="47"/>
        <v>NA</v>
      </c>
      <c r="Z256" s="10" t="str">
        <f t="shared" si="48"/>
        <v>NA</v>
      </c>
      <c r="AA256" s="10" t="str">
        <f t="shared" si="49"/>
        <v>NA</v>
      </c>
      <c r="AB256" s="10" t="str">
        <f t="shared" si="50"/>
        <v>NA</v>
      </c>
      <c r="AC256" s="10" t="str">
        <f t="shared" si="51"/>
        <v>NA</v>
      </c>
      <c r="AD256" s="10" t="str">
        <f t="shared" si="52"/>
        <v>NA</v>
      </c>
      <c r="AE256" s="10" t="str">
        <f t="shared" si="53"/>
        <v>NA</v>
      </c>
      <c r="AF256" s="1" t="s">
        <v>4073</v>
      </c>
    </row>
    <row r="257" spans="1:32" x14ac:dyDescent="0.2">
      <c r="A257" s="1" t="s">
        <v>5442</v>
      </c>
      <c r="B257" s="1" t="s">
        <v>5</v>
      </c>
      <c r="C257" s="1" t="s">
        <v>1575</v>
      </c>
      <c r="D257" s="1" t="s">
        <v>1578</v>
      </c>
      <c r="E257" s="1" t="s">
        <v>1579</v>
      </c>
      <c r="F257" s="1" t="s">
        <v>429</v>
      </c>
      <c r="G257" s="4">
        <v>1</v>
      </c>
      <c r="H257" s="28">
        <v>42369</v>
      </c>
      <c r="I257" s="29">
        <f t="shared" si="80"/>
        <v>2015</v>
      </c>
      <c r="J257" s="1" t="s">
        <v>7</v>
      </c>
      <c r="K257" s="1" t="s">
        <v>5435</v>
      </c>
      <c r="L257" s="11" t="str">
        <f t="shared" ref="L257:L261" si="90">IF(OR(A257=J257,A257=K257),"ДА","НЕТ")</f>
        <v>НЕТ</v>
      </c>
      <c r="M257" s="10" t="s">
        <v>1575</v>
      </c>
      <c r="N257" s="10" t="s">
        <v>1575</v>
      </c>
      <c r="O257" s="10">
        <v>3.5</v>
      </c>
      <c r="P257" s="10">
        <f t="shared" si="44"/>
        <v>3.5</v>
      </c>
      <c r="Q257" s="10" t="str">
        <f t="shared" si="45"/>
        <v>NA</v>
      </c>
      <c r="R257" s="10" t="s">
        <v>1575</v>
      </c>
      <c r="S257" s="10" t="s">
        <v>1575</v>
      </c>
      <c r="T257" s="10" t="s">
        <v>1575</v>
      </c>
      <c r="U257" s="10" t="s">
        <v>1575</v>
      </c>
      <c r="V257" s="10" t="s">
        <v>1575</v>
      </c>
      <c r="W257" s="10" t="s">
        <v>1575</v>
      </c>
      <c r="X257" s="10" t="str">
        <f t="shared" si="46"/>
        <v>NA</v>
      </c>
      <c r="Y257" s="10" t="str">
        <f t="shared" si="47"/>
        <v>NA</v>
      </c>
      <c r="Z257" s="10" t="str">
        <f t="shared" si="48"/>
        <v>NA</v>
      </c>
      <c r="AA257" s="10" t="str">
        <f t="shared" si="49"/>
        <v>NA</v>
      </c>
      <c r="AB257" s="10" t="str">
        <f t="shared" si="50"/>
        <v>NA</v>
      </c>
      <c r="AC257" s="10" t="str">
        <f t="shared" si="51"/>
        <v>NA</v>
      </c>
      <c r="AD257" s="10" t="str">
        <f t="shared" si="52"/>
        <v>NA</v>
      </c>
      <c r="AE257" s="10" t="str">
        <f t="shared" si="53"/>
        <v>NA</v>
      </c>
      <c r="AF257" s="1" t="s">
        <v>4074</v>
      </c>
    </row>
    <row r="258" spans="1:32" x14ac:dyDescent="0.2">
      <c r="A258" s="1" t="s">
        <v>5443</v>
      </c>
      <c r="B258" s="1" t="s">
        <v>5</v>
      </c>
      <c r="C258" s="1" t="s">
        <v>1575</v>
      </c>
      <c r="D258" s="1" t="s">
        <v>1582</v>
      </c>
      <c r="E258" s="1" t="s">
        <v>5352</v>
      </c>
      <c r="F258" s="1" t="s">
        <v>1745</v>
      </c>
      <c r="G258" s="4">
        <v>1</v>
      </c>
      <c r="H258" s="28">
        <v>42124</v>
      </c>
      <c r="I258" s="29">
        <f t="shared" si="80"/>
        <v>2015</v>
      </c>
      <c r="J258" s="1" t="s">
        <v>5435</v>
      </c>
      <c r="K258" s="1" t="s">
        <v>7</v>
      </c>
      <c r="L258" s="11" t="str">
        <f t="shared" ref="L258" si="91">IF(OR(A258=J258,A258=K258),"ДА","НЕТ")</f>
        <v>НЕТ</v>
      </c>
      <c r="M258" s="10" t="s">
        <v>1575</v>
      </c>
      <c r="N258" s="10" t="s">
        <v>1575</v>
      </c>
      <c r="O258" s="10" t="s">
        <v>1575</v>
      </c>
      <c r="P258" s="10" t="str">
        <f t="shared" si="44"/>
        <v>NA</v>
      </c>
      <c r="Q258" s="10" t="str">
        <f t="shared" si="45"/>
        <v>NA</v>
      </c>
      <c r="R258" s="10" t="s">
        <v>1575</v>
      </c>
      <c r="S258" s="10" t="s">
        <v>1575</v>
      </c>
      <c r="T258" s="10" t="s">
        <v>1575</v>
      </c>
      <c r="U258" s="10" t="s">
        <v>1575</v>
      </c>
      <c r="V258" s="10" t="s">
        <v>1575</v>
      </c>
      <c r="W258" s="10" t="s">
        <v>1575</v>
      </c>
      <c r="X258" s="10" t="str">
        <f t="shared" si="46"/>
        <v>NA</v>
      </c>
      <c r="Y258" s="10" t="str">
        <f t="shared" si="47"/>
        <v>NA</v>
      </c>
      <c r="Z258" s="10" t="str">
        <f t="shared" si="48"/>
        <v>NA</v>
      </c>
      <c r="AA258" s="10" t="str">
        <f t="shared" si="49"/>
        <v>NA</v>
      </c>
      <c r="AB258" s="10" t="str">
        <f t="shared" si="50"/>
        <v>NA</v>
      </c>
      <c r="AC258" s="10" t="str">
        <f t="shared" si="51"/>
        <v>NA</v>
      </c>
      <c r="AD258" s="10" t="str">
        <f t="shared" si="52"/>
        <v>NA</v>
      </c>
      <c r="AE258" s="10" t="str">
        <f t="shared" si="53"/>
        <v>NA</v>
      </c>
      <c r="AF258" s="1" t="s">
        <v>4108</v>
      </c>
    </row>
    <row r="259" spans="1:32" x14ac:dyDescent="0.2">
      <c r="A259" s="1" t="s">
        <v>5444</v>
      </c>
      <c r="B259" s="1" t="s">
        <v>5</v>
      </c>
      <c r="C259" s="1" t="s">
        <v>1575</v>
      </c>
      <c r="D259" s="1" t="s">
        <v>1813</v>
      </c>
      <c r="E259" s="1" t="s">
        <v>1587</v>
      </c>
      <c r="F259" s="1" t="s">
        <v>1745</v>
      </c>
      <c r="G259" s="4">
        <f>89.27%-71.74%</f>
        <v>0.17530000000000001</v>
      </c>
      <c r="H259" s="28">
        <v>42035</v>
      </c>
      <c r="I259" s="29">
        <f t="shared" si="80"/>
        <v>2015</v>
      </c>
      <c r="J259" s="1" t="s">
        <v>5435</v>
      </c>
      <c r="K259" s="1" t="s">
        <v>7</v>
      </c>
      <c r="L259" s="11" t="str">
        <f t="shared" si="90"/>
        <v>НЕТ</v>
      </c>
      <c r="M259" s="10" t="s">
        <v>1575</v>
      </c>
      <c r="N259" s="10" t="s">
        <v>1575</v>
      </c>
      <c r="O259" s="10" t="s">
        <v>1575</v>
      </c>
      <c r="P259" s="10" t="str">
        <f t="shared" ref="P259:P322" si="92">IFERROR(O259/G259,"NA")</f>
        <v>NA</v>
      </c>
      <c r="Q259" s="10" t="str">
        <f t="shared" ref="Q259:Q322" si="93">IFERROR(P259+W259,"NA")</f>
        <v>NA</v>
      </c>
      <c r="R259" s="10" t="s">
        <v>1575</v>
      </c>
      <c r="S259" s="10" t="s">
        <v>1575</v>
      </c>
      <c r="T259" s="10" t="s">
        <v>1575</v>
      </c>
      <c r="U259" s="10" t="s">
        <v>1575</v>
      </c>
      <c r="V259" s="10" t="s">
        <v>1575</v>
      </c>
      <c r="W259" s="10" t="s">
        <v>1575</v>
      </c>
      <c r="X259" s="10" t="str">
        <f t="shared" ref="X259:X322" si="94">IFERROR(V259+W259,"NA")</f>
        <v>NA</v>
      </c>
      <c r="Y259" s="10" t="str">
        <f t="shared" ref="Y259:Y322" si="95">IFERROR(P259/R259,"NA")</f>
        <v>NA</v>
      </c>
      <c r="Z259" s="10" t="str">
        <f t="shared" ref="Z259:Z322" si="96">IFERROR(P259/U259,"NA")</f>
        <v>NA</v>
      </c>
      <c r="AA259" s="10" t="str">
        <f t="shared" ref="AA259:AA322" si="97">IFERROR(P259/V259,"NA")</f>
        <v>NA</v>
      </c>
      <c r="AB259" s="10" t="str">
        <f t="shared" ref="AB259:AB322" si="98">IFERROR(Q259/R259,"NA")</f>
        <v>NA</v>
      </c>
      <c r="AC259" s="10" t="str">
        <f t="shared" ref="AC259:AC322" si="99">IFERROR(Q259/S259,"NA")</f>
        <v>NA</v>
      </c>
      <c r="AD259" s="10" t="str">
        <f t="shared" ref="AD259:AD322" si="100">IFERROR(Q259/T259,"NA")</f>
        <v>NA</v>
      </c>
      <c r="AE259" s="10" t="str">
        <f t="shared" ref="AE259:AE322" si="101">IFERROR(Q259/X259,"NA")</f>
        <v>NA</v>
      </c>
      <c r="AF259" s="1" t="s">
        <v>4076</v>
      </c>
    </row>
    <row r="260" spans="1:32" x14ac:dyDescent="0.2">
      <c r="A260" s="1" t="s">
        <v>5445</v>
      </c>
      <c r="B260" s="1" t="s">
        <v>5</v>
      </c>
      <c r="C260" s="1" t="s">
        <v>1575</v>
      </c>
      <c r="D260" s="1" t="s">
        <v>1580</v>
      </c>
      <c r="E260" s="1" t="s">
        <v>1590</v>
      </c>
      <c r="F260" s="1" t="s">
        <v>545</v>
      </c>
      <c r="G260" s="4">
        <f>91.8%-79%</f>
        <v>0.12799999999999989</v>
      </c>
      <c r="H260" s="28">
        <v>41729</v>
      </c>
      <c r="I260" s="29">
        <f t="shared" si="80"/>
        <v>2014</v>
      </c>
      <c r="J260" s="1" t="s">
        <v>5435</v>
      </c>
      <c r="K260" s="1" t="s">
        <v>7</v>
      </c>
      <c r="L260" s="11" t="str">
        <f t="shared" si="90"/>
        <v>НЕТ</v>
      </c>
      <c r="M260" s="10" t="s">
        <v>1575</v>
      </c>
      <c r="N260" s="10" t="s">
        <v>1575</v>
      </c>
      <c r="O260" s="10" t="s">
        <v>1575</v>
      </c>
      <c r="P260" s="10" t="str">
        <f t="shared" si="92"/>
        <v>NA</v>
      </c>
      <c r="Q260" s="10" t="str">
        <f t="shared" si="93"/>
        <v>NA</v>
      </c>
      <c r="R260" s="10" t="s">
        <v>1575</v>
      </c>
      <c r="S260" s="10" t="s">
        <v>1575</v>
      </c>
      <c r="T260" s="10" t="s">
        <v>1575</v>
      </c>
      <c r="U260" s="10" t="s">
        <v>1575</v>
      </c>
      <c r="V260" s="10" t="s">
        <v>1575</v>
      </c>
      <c r="W260" s="10" t="s">
        <v>1575</v>
      </c>
      <c r="X260" s="10" t="str">
        <f t="shared" si="94"/>
        <v>NA</v>
      </c>
      <c r="Y260" s="10" t="str">
        <f t="shared" si="95"/>
        <v>NA</v>
      </c>
      <c r="Z260" s="10" t="str">
        <f t="shared" si="96"/>
        <v>NA</v>
      </c>
      <c r="AA260" s="10" t="str">
        <f t="shared" si="97"/>
        <v>NA</v>
      </c>
      <c r="AB260" s="10" t="str">
        <f t="shared" si="98"/>
        <v>NA</v>
      </c>
      <c r="AC260" s="10" t="str">
        <f t="shared" si="99"/>
        <v>NA</v>
      </c>
      <c r="AD260" s="10" t="str">
        <f t="shared" si="100"/>
        <v>NA</v>
      </c>
      <c r="AE260" s="10" t="str">
        <f t="shared" si="101"/>
        <v>NA</v>
      </c>
      <c r="AF260" s="1" t="s">
        <v>4081</v>
      </c>
    </row>
    <row r="261" spans="1:32" x14ac:dyDescent="0.2">
      <c r="A261" s="1" t="s">
        <v>5446</v>
      </c>
      <c r="B261" s="1" t="s">
        <v>5</v>
      </c>
      <c r="C261" s="1" t="s">
        <v>1575</v>
      </c>
      <c r="D261" s="1" t="s">
        <v>1578</v>
      </c>
      <c r="E261" s="1" t="s">
        <v>1579</v>
      </c>
      <c r="F261" s="1" t="s">
        <v>429</v>
      </c>
      <c r="G261" s="4">
        <v>0.24</v>
      </c>
      <c r="H261" s="28">
        <v>41759</v>
      </c>
      <c r="I261" s="29">
        <f t="shared" si="80"/>
        <v>2014</v>
      </c>
      <c r="J261" s="1" t="s">
        <v>5435</v>
      </c>
      <c r="K261" s="1" t="s">
        <v>7</v>
      </c>
      <c r="L261" s="11" t="str">
        <f t="shared" si="90"/>
        <v>НЕТ</v>
      </c>
      <c r="M261" s="10" t="s">
        <v>1575</v>
      </c>
      <c r="N261" s="10" t="s">
        <v>1575</v>
      </c>
      <c r="O261" s="10" t="s">
        <v>1575</v>
      </c>
      <c r="P261" s="10" t="str">
        <f t="shared" si="92"/>
        <v>NA</v>
      </c>
      <c r="Q261" s="10" t="str">
        <f t="shared" si="93"/>
        <v>NA</v>
      </c>
      <c r="R261" s="10" t="s">
        <v>1575</v>
      </c>
      <c r="S261" s="10" t="s">
        <v>1575</v>
      </c>
      <c r="T261" s="10" t="s">
        <v>1575</v>
      </c>
      <c r="U261" s="10" t="s">
        <v>1575</v>
      </c>
      <c r="V261" s="10" t="s">
        <v>1575</v>
      </c>
      <c r="W261" s="10" t="s">
        <v>1575</v>
      </c>
      <c r="X261" s="10" t="str">
        <f t="shared" si="94"/>
        <v>NA</v>
      </c>
      <c r="Y261" s="10" t="str">
        <f t="shared" si="95"/>
        <v>NA</v>
      </c>
      <c r="Z261" s="10" t="str">
        <f t="shared" si="96"/>
        <v>NA</v>
      </c>
      <c r="AA261" s="10" t="str">
        <f t="shared" si="97"/>
        <v>NA</v>
      </c>
      <c r="AB261" s="10" t="str">
        <f t="shared" si="98"/>
        <v>NA</v>
      </c>
      <c r="AC261" s="10" t="str">
        <f t="shared" si="99"/>
        <v>NA</v>
      </c>
      <c r="AD261" s="10" t="str">
        <f t="shared" si="100"/>
        <v>NA</v>
      </c>
      <c r="AE261" s="10" t="str">
        <f t="shared" si="101"/>
        <v>NA</v>
      </c>
      <c r="AF261" s="1" t="s">
        <v>4084</v>
      </c>
    </row>
    <row r="262" spans="1:32" x14ac:dyDescent="0.2">
      <c r="A262" s="1" t="s">
        <v>5447</v>
      </c>
      <c r="B262" s="1" t="s">
        <v>5</v>
      </c>
      <c r="C262" s="1" t="s">
        <v>1575</v>
      </c>
      <c r="D262" s="1" t="s">
        <v>1580</v>
      </c>
      <c r="E262" s="1" t="s">
        <v>1590</v>
      </c>
      <c r="F262" s="1" t="s">
        <v>545</v>
      </c>
      <c r="G262" s="4">
        <v>0.51800000000000002</v>
      </c>
      <c r="H262" s="28">
        <v>41820</v>
      </c>
      <c r="I262" s="29">
        <f t="shared" si="80"/>
        <v>2014</v>
      </c>
      <c r="J262" s="1" t="s">
        <v>5435</v>
      </c>
      <c r="K262" s="1" t="s">
        <v>7</v>
      </c>
      <c r="L262" s="11" t="str">
        <f t="shared" ref="L262" si="102">IF(OR(A262=J262,A262=K262),"ДА","НЕТ")</f>
        <v>НЕТ</v>
      </c>
      <c r="M262" s="10" t="s">
        <v>1575</v>
      </c>
      <c r="N262" s="10" t="s">
        <v>1575</v>
      </c>
      <c r="O262" s="10">
        <v>8.3000000000000007</v>
      </c>
      <c r="P262" s="10">
        <f t="shared" si="92"/>
        <v>16.023166023166024</v>
      </c>
      <c r="Q262" s="10" t="str">
        <f t="shared" si="93"/>
        <v>NA</v>
      </c>
      <c r="R262" s="10" t="s">
        <v>1575</v>
      </c>
      <c r="S262" s="10" t="s">
        <v>1575</v>
      </c>
      <c r="T262" s="10" t="s">
        <v>1575</v>
      </c>
      <c r="U262" s="10" t="s">
        <v>1575</v>
      </c>
      <c r="V262" s="10" t="s">
        <v>1575</v>
      </c>
      <c r="W262" s="10" t="s">
        <v>1575</v>
      </c>
      <c r="X262" s="10" t="str">
        <f t="shared" si="94"/>
        <v>NA</v>
      </c>
      <c r="Y262" s="10" t="str">
        <f t="shared" si="95"/>
        <v>NA</v>
      </c>
      <c r="Z262" s="10" t="str">
        <f t="shared" si="96"/>
        <v>NA</v>
      </c>
      <c r="AA262" s="10" t="str">
        <f t="shared" si="97"/>
        <v>NA</v>
      </c>
      <c r="AB262" s="10" t="str">
        <f t="shared" si="98"/>
        <v>NA</v>
      </c>
      <c r="AC262" s="10" t="str">
        <f t="shared" si="99"/>
        <v>NA</v>
      </c>
      <c r="AD262" s="10" t="str">
        <f t="shared" si="100"/>
        <v>NA</v>
      </c>
      <c r="AE262" s="10" t="str">
        <f t="shared" si="101"/>
        <v>NA</v>
      </c>
      <c r="AF262" s="1" t="s">
        <v>4083</v>
      </c>
    </row>
    <row r="263" spans="1:32" x14ac:dyDescent="0.2">
      <c r="A263" s="1" t="s">
        <v>5447</v>
      </c>
      <c r="B263" s="1" t="s">
        <v>5</v>
      </c>
      <c r="C263" s="1" t="s">
        <v>1575</v>
      </c>
      <c r="D263" s="1" t="s">
        <v>1580</v>
      </c>
      <c r="E263" s="1" t="s">
        <v>1590</v>
      </c>
      <c r="F263" s="1" t="s">
        <v>545</v>
      </c>
      <c r="G263" s="4">
        <v>0.14499999999999999</v>
      </c>
      <c r="H263" s="28">
        <v>41882</v>
      </c>
      <c r="I263" s="29">
        <f t="shared" si="80"/>
        <v>2014</v>
      </c>
      <c r="J263" s="1" t="s">
        <v>5435</v>
      </c>
      <c r="K263" s="1" t="s">
        <v>7</v>
      </c>
      <c r="L263" s="11" t="str">
        <f t="shared" ref="L263" si="103">IF(OR(A263=J263,A263=K263),"ДА","НЕТ")</f>
        <v>НЕТ</v>
      </c>
      <c r="M263" s="10" t="s">
        <v>1575</v>
      </c>
      <c r="N263" s="10" t="s">
        <v>1575</v>
      </c>
      <c r="O263" s="10">
        <v>4.4000000000000004</v>
      </c>
      <c r="P263" s="10">
        <f t="shared" si="92"/>
        <v>30.3448275862069</v>
      </c>
      <c r="Q263" s="10" t="str">
        <f t="shared" si="93"/>
        <v>NA</v>
      </c>
      <c r="R263" s="10" t="s">
        <v>1575</v>
      </c>
      <c r="S263" s="10" t="s">
        <v>1575</v>
      </c>
      <c r="T263" s="10" t="s">
        <v>1575</v>
      </c>
      <c r="U263" s="10" t="s">
        <v>1575</v>
      </c>
      <c r="V263" s="10" t="s">
        <v>1575</v>
      </c>
      <c r="W263" s="10" t="s">
        <v>1575</v>
      </c>
      <c r="X263" s="10" t="str">
        <f t="shared" si="94"/>
        <v>NA</v>
      </c>
      <c r="Y263" s="10" t="str">
        <f t="shared" si="95"/>
        <v>NA</v>
      </c>
      <c r="Z263" s="10" t="str">
        <f t="shared" si="96"/>
        <v>NA</v>
      </c>
      <c r="AA263" s="10" t="str">
        <f t="shared" si="97"/>
        <v>NA</v>
      </c>
      <c r="AB263" s="10" t="str">
        <f t="shared" si="98"/>
        <v>NA</v>
      </c>
      <c r="AC263" s="10" t="str">
        <f t="shared" si="99"/>
        <v>NA</v>
      </c>
      <c r="AD263" s="10" t="str">
        <f t="shared" si="100"/>
        <v>NA</v>
      </c>
      <c r="AE263" s="10" t="str">
        <f t="shared" si="101"/>
        <v>NA</v>
      </c>
      <c r="AF263" s="1" t="s">
        <v>4082</v>
      </c>
    </row>
    <row r="264" spans="1:32" x14ac:dyDescent="0.2">
      <c r="A264" s="1" t="s">
        <v>5448</v>
      </c>
      <c r="B264" s="1" t="s">
        <v>32</v>
      </c>
      <c r="C264" s="1" t="s">
        <v>1575</v>
      </c>
      <c r="D264" s="1" t="s">
        <v>1584</v>
      </c>
      <c r="E264" s="1" t="s">
        <v>3486</v>
      </c>
      <c r="F264" s="1" t="s">
        <v>46</v>
      </c>
      <c r="G264" s="4">
        <v>0.95</v>
      </c>
      <c r="H264" s="28">
        <v>41698</v>
      </c>
      <c r="I264" s="29">
        <f t="shared" si="80"/>
        <v>2014</v>
      </c>
      <c r="J264" s="1" t="s">
        <v>5435</v>
      </c>
      <c r="K264" s="1" t="s">
        <v>7</v>
      </c>
      <c r="L264" s="11" t="str">
        <f t="shared" ref="L264:L265" si="104">IF(OR(A264=J264,A264=K264),"ДА","НЕТ")</f>
        <v>НЕТ</v>
      </c>
      <c r="M264" s="10" t="s">
        <v>1575</v>
      </c>
      <c r="N264" s="10" t="s">
        <v>1575</v>
      </c>
      <c r="O264" s="10">
        <v>3.8E-3</v>
      </c>
      <c r="P264" s="10">
        <f t="shared" si="92"/>
        <v>4.0000000000000001E-3</v>
      </c>
      <c r="Q264" s="10" t="str">
        <f t="shared" si="93"/>
        <v>NA</v>
      </c>
      <c r="R264" s="10" t="s">
        <v>1575</v>
      </c>
      <c r="S264" s="10" t="s">
        <v>1575</v>
      </c>
      <c r="T264" s="10" t="s">
        <v>1575</v>
      </c>
      <c r="U264" s="10" t="s">
        <v>1575</v>
      </c>
      <c r="V264" s="10">
        <v>0.7</v>
      </c>
      <c r="W264" s="10" t="s">
        <v>1575</v>
      </c>
      <c r="X264" s="10" t="str">
        <f t="shared" si="94"/>
        <v>NA</v>
      </c>
      <c r="Y264" s="10" t="str">
        <f t="shared" si="95"/>
        <v>NA</v>
      </c>
      <c r="Z264" s="10" t="str">
        <f t="shared" si="96"/>
        <v>NA</v>
      </c>
      <c r="AA264" s="10">
        <f t="shared" si="97"/>
        <v>5.7142857142857151E-3</v>
      </c>
      <c r="AB264" s="10" t="str">
        <f t="shared" si="98"/>
        <v>NA</v>
      </c>
      <c r="AC264" s="10" t="str">
        <f t="shared" si="99"/>
        <v>NA</v>
      </c>
      <c r="AD264" s="10" t="str">
        <f t="shared" si="100"/>
        <v>NA</v>
      </c>
      <c r="AE264" s="10" t="str">
        <f t="shared" si="101"/>
        <v>NA</v>
      </c>
      <c r="AF264" s="1" t="s">
        <v>4085</v>
      </c>
    </row>
    <row r="265" spans="1:32" x14ac:dyDescent="0.2">
      <c r="A265" s="1" t="s">
        <v>5449</v>
      </c>
      <c r="B265" s="1" t="s">
        <v>5</v>
      </c>
      <c r="C265" s="1" t="s">
        <v>1575</v>
      </c>
      <c r="D265" s="1" t="s">
        <v>1584</v>
      </c>
      <c r="E265" s="1" t="s">
        <v>3486</v>
      </c>
      <c r="F265" s="1" t="s">
        <v>46</v>
      </c>
      <c r="G265" s="4">
        <v>1</v>
      </c>
      <c r="H265" s="28">
        <v>41912</v>
      </c>
      <c r="I265" s="29">
        <f t="shared" ref="I265" si="105">YEAR(H265)</f>
        <v>2014</v>
      </c>
      <c r="J265" s="1" t="s">
        <v>5435</v>
      </c>
      <c r="K265" s="1" t="s">
        <v>7</v>
      </c>
      <c r="L265" s="11" t="str">
        <f t="shared" si="104"/>
        <v>НЕТ</v>
      </c>
      <c r="M265" s="10" t="s">
        <v>1575</v>
      </c>
      <c r="N265" s="10" t="s">
        <v>1575</v>
      </c>
      <c r="O265" s="10">
        <v>1.0000000000000001E-5</v>
      </c>
      <c r="P265" s="10">
        <f t="shared" si="92"/>
        <v>1.0000000000000001E-5</v>
      </c>
      <c r="Q265" s="10" t="str">
        <f t="shared" si="93"/>
        <v>NA</v>
      </c>
      <c r="R265" s="10" t="s">
        <v>1575</v>
      </c>
      <c r="S265" s="10" t="s">
        <v>1575</v>
      </c>
      <c r="T265" s="10" t="s">
        <v>1575</v>
      </c>
      <c r="U265" s="10" t="s">
        <v>1575</v>
      </c>
      <c r="V265" s="10">
        <v>-0.5</v>
      </c>
      <c r="W265" s="10" t="s">
        <v>1575</v>
      </c>
      <c r="X265" s="10" t="str">
        <f t="shared" si="94"/>
        <v>NA</v>
      </c>
      <c r="Y265" s="10" t="str">
        <f t="shared" si="95"/>
        <v>NA</v>
      </c>
      <c r="Z265" s="10" t="str">
        <f t="shared" si="96"/>
        <v>NA</v>
      </c>
      <c r="AA265" s="10">
        <f t="shared" si="97"/>
        <v>-2.0000000000000002E-5</v>
      </c>
      <c r="AB265" s="10" t="str">
        <f t="shared" si="98"/>
        <v>NA</v>
      </c>
      <c r="AC265" s="10" t="str">
        <f t="shared" si="99"/>
        <v>NA</v>
      </c>
      <c r="AD265" s="10" t="str">
        <f t="shared" si="100"/>
        <v>NA</v>
      </c>
      <c r="AE265" s="10" t="str">
        <f t="shared" si="101"/>
        <v>NA</v>
      </c>
      <c r="AF265" s="1" t="s">
        <v>4095</v>
      </c>
    </row>
    <row r="266" spans="1:32" x14ac:dyDescent="0.2">
      <c r="A266" s="1" t="s">
        <v>5449</v>
      </c>
      <c r="B266" s="1" t="s">
        <v>5</v>
      </c>
      <c r="C266" s="1" t="s">
        <v>1575</v>
      </c>
      <c r="D266" s="1" t="s">
        <v>1584</v>
      </c>
      <c r="E266" s="1" t="s">
        <v>3486</v>
      </c>
      <c r="F266" s="1" t="s">
        <v>46</v>
      </c>
      <c r="G266" s="4">
        <v>1</v>
      </c>
      <c r="H266" s="28">
        <v>41729</v>
      </c>
      <c r="I266" s="29">
        <f t="shared" si="80"/>
        <v>2014</v>
      </c>
      <c r="J266" s="1" t="s">
        <v>5435</v>
      </c>
      <c r="K266" s="1" t="s">
        <v>7</v>
      </c>
      <c r="L266" s="11" t="str">
        <f t="shared" ref="L266" si="106">IF(OR(A266=J266,A266=K266),"ДА","НЕТ")</f>
        <v>НЕТ</v>
      </c>
      <c r="M266" s="10" t="s">
        <v>1575</v>
      </c>
      <c r="N266" s="10" t="s">
        <v>1575</v>
      </c>
      <c r="O266" s="10">
        <v>1.0000000000000001E-5</v>
      </c>
      <c r="P266" s="10">
        <f t="shared" si="92"/>
        <v>1.0000000000000001E-5</v>
      </c>
      <c r="Q266" s="10" t="str">
        <f t="shared" si="93"/>
        <v>NA</v>
      </c>
      <c r="R266" s="10" t="s">
        <v>1575</v>
      </c>
      <c r="S266" s="10" t="s">
        <v>1575</v>
      </c>
      <c r="T266" s="10" t="s">
        <v>1575</v>
      </c>
      <c r="U266" s="10" t="s">
        <v>1575</v>
      </c>
      <c r="V266" s="10">
        <v>-0.5</v>
      </c>
      <c r="W266" s="10" t="s">
        <v>1575</v>
      </c>
      <c r="X266" s="10" t="str">
        <f t="shared" si="94"/>
        <v>NA</v>
      </c>
      <c r="Y266" s="10" t="str">
        <f t="shared" si="95"/>
        <v>NA</v>
      </c>
      <c r="Z266" s="10" t="str">
        <f t="shared" si="96"/>
        <v>NA</v>
      </c>
      <c r="AA266" s="10">
        <f t="shared" si="97"/>
        <v>-2.0000000000000002E-5</v>
      </c>
      <c r="AB266" s="10" t="str">
        <f t="shared" si="98"/>
        <v>NA</v>
      </c>
      <c r="AC266" s="10" t="str">
        <f t="shared" si="99"/>
        <v>NA</v>
      </c>
      <c r="AD266" s="10" t="str">
        <f t="shared" si="100"/>
        <v>NA</v>
      </c>
      <c r="AE266" s="10" t="str">
        <f t="shared" si="101"/>
        <v>NA</v>
      </c>
      <c r="AF266" s="1" t="s">
        <v>4089</v>
      </c>
    </row>
    <row r="267" spans="1:32" x14ac:dyDescent="0.2">
      <c r="A267" s="1" t="s">
        <v>5439</v>
      </c>
      <c r="B267" s="1" t="s">
        <v>5</v>
      </c>
      <c r="C267" s="1" t="s">
        <v>1575</v>
      </c>
      <c r="D267" s="1" t="s">
        <v>1580</v>
      </c>
      <c r="E267" s="1" t="s">
        <v>1581</v>
      </c>
      <c r="F267" s="1" t="s">
        <v>67</v>
      </c>
      <c r="G267" s="4">
        <v>0.82</v>
      </c>
      <c r="H267" s="28">
        <v>41729</v>
      </c>
      <c r="I267" s="29">
        <f t="shared" si="80"/>
        <v>2014</v>
      </c>
      <c r="J267" s="1" t="s">
        <v>5435</v>
      </c>
      <c r="K267" s="1" t="s">
        <v>7</v>
      </c>
      <c r="L267" s="11" t="str">
        <f t="shared" ref="L267" si="107">IF(OR(A267=J267,A267=K267),"ДА","НЕТ")</f>
        <v>НЕТ</v>
      </c>
      <c r="M267" s="10" t="s">
        <v>1575</v>
      </c>
      <c r="N267" s="10" t="s">
        <v>1575</v>
      </c>
      <c r="O267" s="10">
        <v>7.9299999999999995E-2</v>
      </c>
      <c r="P267" s="10">
        <f t="shared" si="92"/>
        <v>9.6707317073170734E-2</v>
      </c>
      <c r="Q267" s="10" t="str">
        <f t="shared" si="93"/>
        <v>NA</v>
      </c>
      <c r="R267" s="10" t="s">
        <v>1575</v>
      </c>
      <c r="S267" s="10" t="s">
        <v>1575</v>
      </c>
      <c r="T267" s="10" t="s">
        <v>1575</v>
      </c>
      <c r="U267" s="10" t="s">
        <v>1575</v>
      </c>
      <c r="V267" s="10">
        <v>-1.9</v>
      </c>
      <c r="W267" s="10" t="s">
        <v>1575</v>
      </c>
      <c r="X267" s="10" t="str">
        <f t="shared" si="94"/>
        <v>NA</v>
      </c>
      <c r="Y267" s="10" t="str">
        <f t="shared" si="95"/>
        <v>NA</v>
      </c>
      <c r="Z267" s="10" t="str">
        <f t="shared" si="96"/>
        <v>NA</v>
      </c>
      <c r="AA267" s="10">
        <f t="shared" si="97"/>
        <v>-5.0898587933247759E-2</v>
      </c>
      <c r="AB267" s="10" t="str">
        <f t="shared" si="98"/>
        <v>NA</v>
      </c>
      <c r="AC267" s="10" t="str">
        <f t="shared" si="99"/>
        <v>NA</v>
      </c>
      <c r="AD267" s="10" t="str">
        <f t="shared" si="100"/>
        <v>NA</v>
      </c>
      <c r="AE267" s="10" t="str">
        <f t="shared" si="101"/>
        <v>NA</v>
      </c>
      <c r="AF267" s="1" t="s">
        <v>4086</v>
      </c>
    </row>
    <row r="268" spans="1:32" x14ac:dyDescent="0.2">
      <c r="A268" s="1" t="s">
        <v>5450</v>
      </c>
      <c r="B268" s="1" t="s">
        <v>5</v>
      </c>
      <c r="C268" s="1" t="s">
        <v>1575</v>
      </c>
      <c r="D268" s="1" t="s">
        <v>1575</v>
      </c>
      <c r="E268" s="1" t="s">
        <v>1575</v>
      </c>
      <c r="F268" s="1" t="s">
        <v>1575</v>
      </c>
      <c r="G268" s="4" t="s">
        <v>11</v>
      </c>
      <c r="H268" s="28">
        <v>41759</v>
      </c>
      <c r="I268" s="29">
        <f t="shared" si="80"/>
        <v>2014</v>
      </c>
      <c r="J268" s="1" t="s">
        <v>5435</v>
      </c>
      <c r="K268" s="1" t="s">
        <v>7</v>
      </c>
      <c r="L268" s="11" t="str">
        <f t="shared" ref="L268" si="108">IF(OR(A268=J268,A268=K268),"ДА","НЕТ")</f>
        <v>НЕТ</v>
      </c>
      <c r="M268" s="10" t="s">
        <v>1575</v>
      </c>
      <c r="N268" s="10" t="s">
        <v>1575</v>
      </c>
      <c r="O268" s="10">
        <v>29</v>
      </c>
      <c r="P268" s="10" t="str">
        <f t="shared" si="92"/>
        <v>NA</v>
      </c>
      <c r="Q268" s="10" t="str">
        <f t="shared" si="93"/>
        <v>NA</v>
      </c>
      <c r="R268" s="10" t="s">
        <v>1575</v>
      </c>
      <c r="S268" s="10" t="s">
        <v>1575</v>
      </c>
      <c r="T268" s="10" t="s">
        <v>1575</v>
      </c>
      <c r="U268" s="10" t="s">
        <v>1575</v>
      </c>
      <c r="V268" s="10">
        <v>29</v>
      </c>
      <c r="W268" s="10" t="s">
        <v>1575</v>
      </c>
      <c r="X268" s="10" t="str">
        <f t="shared" si="94"/>
        <v>NA</v>
      </c>
      <c r="Y268" s="10" t="str">
        <f t="shared" si="95"/>
        <v>NA</v>
      </c>
      <c r="Z268" s="10" t="str">
        <f t="shared" si="96"/>
        <v>NA</v>
      </c>
      <c r="AA268" s="10" t="str">
        <f t="shared" si="97"/>
        <v>NA</v>
      </c>
      <c r="AB268" s="10" t="str">
        <f t="shared" si="98"/>
        <v>NA</v>
      </c>
      <c r="AC268" s="10" t="str">
        <f t="shared" si="99"/>
        <v>NA</v>
      </c>
      <c r="AD268" s="10" t="str">
        <f t="shared" si="100"/>
        <v>NA</v>
      </c>
      <c r="AE268" s="10" t="str">
        <f t="shared" si="101"/>
        <v>NA</v>
      </c>
      <c r="AF268" s="1" t="s">
        <v>4087</v>
      </c>
    </row>
    <row r="269" spans="1:32" x14ac:dyDescent="0.2">
      <c r="A269" s="1" t="s">
        <v>5451</v>
      </c>
      <c r="B269" s="1" t="s">
        <v>5</v>
      </c>
      <c r="C269" s="1" t="s">
        <v>1575</v>
      </c>
      <c r="D269" s="1" t="s">
        <v>1582</v>
      </c>
      <c r="E269" s="1" t="s">
        <v>2166</v>
      </c>
      <c r="F269" s="1" t="s">
        <v>4092</v>
      </c>
      <c r="G269" s="4">
        <v>0.69399999999999995</v>
      </c>
      <c r="H269" s="28">
        <v>41820</v>
      </c>
      <c r="I269" s="29">
        <f t="shared" si="80"/>
        <v>2014</v>
      </c>
      <c r="J269" s="1" t="s">
        <v>5435</v>
      </c>
      <c r="K269" s="1" t="s">
        <v>7</v>
      </c>
      <c r="L269" s="11" t="str">
        <f t="shared" ref="L269" si="109">IF(OR(A269=J269,A269=K269),"ДА","НЕТ")</f>
        <v>НЕТ</v>
      </c>
      <c r="M269" s="10" t="s">
        <v>1575</v>
      </c>
      <c r="N269" s="10" t="s">
        <v>1575</v>
      </c>
      <c r="O269" s="10">
        <f>0.1+1.6+0.9</f>
        <v>2.6</v>
      </c>
      <c r="P269" s="10">
        <f t="shared" si="92"/>
        <v>3.7463976945244961</v>
      </c>
      <c r="Q269" s="10" t="str">
        <f t="shared" si="93"/>
        <v>NA</v>
      </c>
      <c r="R269" s="10" t="s">
        <v>1575</v>
      </c>
      <c r="S269" s="10" t="s">
        <v>1575</v>
      </c>
      <c r="T269" s="10" t="s">
        <v>1575</v>
      </c>
      <c r="U269" s="10" t="s">
        <v>1575</v>
      </c>
      <c r="V269" s="10">
        <v>3.1</v>
      </c>
      <c r="W269" s="10" t="s">
        <v>1575</v>
      </c>
      <c r="X269" s="10" t="str">
        <f t="shared" si="94"/>
        <v>NA</v>
      </c>
      <c r="Y269" s="10" t="str">
        <f t="shared" si="95"/>
        <v>NA</v>
      </c>
      <c r="Z269" s="10" t="str">
        <f t="shared" si="96"/>
        <v>NA</v>
      </c>
      <c r="AA269" s="10">
        <f t="shared" si="97"/>
        <v>1.2085153853304826</v>
      </c>
      <c r="AB269" s="10" t="str">
        <f t="shared" si="98"/>
        <v>NA</v>
      </c>
      <c r="AC269" s="10" t="str">
        <f t="shared" si="99"/>
        <v>NA</v>
      </c>
      <c r="AD269" s="10" t="str">
        <f t="shared" si="100"/>
        <v>NA</v>
      </c>
      <c r="AE269" s="10" t="str">
        <f t="shared" si="101"/>
        <v>NA</v>
      </c>
      <c r="AF269" s="1" t="s">
        <v>4088</v>
      </c>
    </row>
    <row r="270" spans="1:32" x14ac:dyDescent="0.2">
      <c r="A270" s="1" t="s">
        <v>5452</v>
      </c>
      <c r="B270" s="1" t="s">
        <v>5</v>
      </c>
      <c r="C270" s="1" t="s">
        <v>1575</v>
      </c>
      <c r="D270" s="1" t="s">
        <v>1582</v>
      </c>
      <c r="E270" s="1" t="s">
        <v>5352</v>
      </c>
      <c r="F270" s="1" t="s">
        <v>1745</v>
      </c>
      <c r="G270" s="4" t="s">
        <v>11</v>
      </c>
      <c r="H270" s="28">
        <v>41943</v>
      </c>
      <c r="I270" s="29">
        <f t="shared" si="80"/>
        <v>2014</v>
      </c>
      <c r="J270" s="1" t="s">
        <v>5435</v>
      </c>
      <c r="K270" s="1" t="s">
        <v>7</v>
      </c>
      <c r="L270" s="11" t="str">
        <f t="shared" ref="L270:L271" si="110">IF(OR(A270=J270,A270=K270),"ДА","НЕТ")</f>
        <v>НЕТ</v>
      </c>
      <c r="M270" s="10" t="s">
        <v>1575</v>
      </c>
      <c r="N270" s="10" t="s">
        <v>1575</v>
      </c>
      <c r="O270" s="10">
        <v>0</v>
      </c>
      <c r="P270" s="10" t="str">
        <f t="shared" si="92"/>
        <v>NA</v>
      </c>
      <c r="Q270" s="10" t="str">
        <f t="shared" si="93"/>
        <v>NA</v>
      </c>
      <c r="R270" s="10" t="s">
        <v>1575</v>
      </c>
      <c r="S270" s="10" t="s">
        <v>1575</v>
      </c>
      <c r="T270" s="10" t="s">
        <v>1575</v>
      </c>
      <c r="U270" s="10" t="s">
        <v>1575</v>
      </c>
      <c r="V270" s="10">
        <v>0.2</v>
      </c>
      <c r="W270" s="10" t="s">
        <v>1575</v>
      </c>
      <c r="X270" s="10" t="str">
        <f t="shared" si="94"/>
        <v>NA</v>
      </c>
      <c r="Y270" s="10" t="str">
        <f t="shared" si="95"/>
        <v>NA</v>
      </c>
      <c r="Z270" s="10" t="str">
        <f t="shared" si="96"/>
        <v>NA</v>
      </c>
      <c r="AA270" s="10" t="str">
        <f t="shared" si="97"/>
        <v>NA</v>
      </c>
      <c r="AB270" s="10" t="str">
        <f t="shared" si="98"/>
        <v>NA</v>
      </c>
      <c r="AC270" s="10" t="str">
        <f t="shared" si="99"/>
        <v>NA</v>
      </c>
      <c r="AD270" s="10" t="str">
        <f t="shared" si="100"/>
        <v>NA</v>
      </c>
      <c r="AE270" s="10" t="str">
        <f t="shared" si="101"/>
        <v>NA</v>
      </c>
      <c r="AF270" s="1" t="s">
        <v>4090</v>
      </c>
    </row>
    <row r="271" spans="1:32" x14ac:dyDescent="0.2">
      <c r="A271" s="1" t="s">
        <v>5453</v>
      </c>
      <c r="B271" s="1" t="s">
        <v>5</v>
      </c>
      <c r="C271" s="1" t="s">
        <v>1575</v>
      </c>
      <c r="D271" s="1" t="s">
        <v>1580</v>
      </c>
      <c r="E271" s="1" t="s">
        <v>1694</v>
      </c>
      <c r="F271" s="1" t="s">
        <v>68</v>
      </c>
      <c r="G271" s="4">
        <v>1</v>
      </c>
      <c r="H271" s="28">
        <v>41729</v>
      </c>
      <c r="I271" s="29">
        <f t="shared" si="80"/>
        <v>2014</v>
      </c>
      <c r="J271" s="1" t="s">
        <v>7</v>
      </c>
      <c r="K271" s="1" t="s">
        <v>5435</v>
      </c>
      <c r="L271" s="11" t="str">
        <f t="shared" si="110"/>
        <v>НЕТ</v>
      </c>
      <c r="M271" s="10" t="s">
        <v>1575</v>
      </c>
      <c r="N271" s="10" t="s">
        <v>1575</v>
      </c>
      <c r="O271" s="10">
        <v>1.2</v>
      </c>
      <c r="P271" s="10">
        <f t="shared" si="92"/>
        <v>1.2</v>
      </c>
      <c r="Q271" s="10" t="str">
        <f t="shared" si="93"/>
        <v>NA</v>
      </c>
      <c r="R271" s="10" t="s">
        <v>1575</v>
      </c>
      <c r="S271" s="10" t="s">
        <v>1575</v>
      </c>
      <c r="T271" s="10" t="s">
        <v>1575</v>
      </c>
      <c r="U271" s="10" t="s">
        <v>1575</v>
      </c>
      <c r="V271" s="10" t="s">
        <v>1575</v>
      </c>
      <c r="W271" s="10" t="s">
        <v>1575</v>
      </c>
      <c r="X271" s="10" t="str">
        <f t="shared" si="94"/>
        <v>NA</v>
      </c>
      <c r="Y271" s="10" t="str">
        <f t="shared" si="95"/>
        <v>NA</v>
      </c>
      <c r="Z271" s="10" t="str">
        <f t="shared" si="96"/>
        <v>NA</v>
      </c>
      <c r="AA271" s="10" t="str">
        <f t="shared" si="97"/>
        <v>NA</v>
      </c>
      <c r="AB271" s="10" t="str">
        <f t="shared" si="98"/>
        <v>NA</v>
      </c>
      <c r="AC271" s="10" t="str">
        <f t="shared" si="99"/>
        <v>NA</v>
      </c>
      <c r="AD271" s="10" t="str">
        <f t="shared" si="100"/>
        <v>NA</v>
      </c>
      <c r="AE271" s="10" t="str">
        <f t="shared" si="101"/>
        <v>NA</v>
      </c>
      <c r="AF271" s="1" t="s">
        <v>4093</v>
      </c>
    </row>
    <row r="272" spans="1:32" x14ac:dyDescent="0.2">
      <c r="A272" s="1" t="s">
        <v>5454</v>
      </c>
      <c r="B272" s="1" t="s">
        <v>5</v>
      </c>
      <c r="C272" s="1" t="s">
        <v>1575</v>
      </c>
      <c r="D272" s="1" t="s">
        <v>1584</v>
      </c>
      <c r="E272" s="1" t="s">
        <v>1586</v>
      </c>
      <c r="F272" s="1" t="s">
        <v>66</v>
      </c>
      <c r="G272" s="4">
        <v>1</v>
      </c>
      <c r="H272" s="28">
        <v>41820</v>
      </c>
      <c r="I272" s="29">
        <f t="shared" si="80"/>
        <v>2014</v>
      </c>
      <c r="J272" s="1" t="s">
        <v>7</v>
      </c>
      <c r="K272" s="1" t="s">
        <v>5435</v>
      </c>
      <c r="L272" s="11" t="str">
        <f t="shared" ref="L272:L273" si="111">IF(OR(A272=J272,A272=K272),"ДА","НЕТ")</f>
        <v>НЕТ</v>
      </c>
      <c r="M272" s="10" t="s">
        <v>1575</v>
      </c>
      <c r="N272" s="10" t="s">
        <v>1575</v>
      </c>
      <c r="O272" s="10">
        <v>1E-3</v>
      </c>
      <c r="P272" s="10">
        <f t="shared" si="92"/>
        <v>1E-3</v>
      </c>
      <c r="Q272" s="10" t="str">
        <f t="shared" si="93"/>
        <v>NA</v>
      </c>
      <c r="R272" s="10" t="s">
        <v>1575</v>
      </c>
      <c r="S272" s="10" t="s">
        <v>1575</v>
      </c>
      <c r="T272" s="10" t="s">
        <v>1575</v>
      </c>
      <c r="U272" s="10" t="s">
        <v>1575</v>
      </c>
      <c r="V272" s="10" t="s">
        <v>1575</v>
      </c>
      <c r="W272" s="10" t="s">
        <v>1575</v>
      </c>
      <c r="X272" s="10" t="str">
        <f t="shared" si="94"/>
        <v>NA</v>
      </c>
      <c r="Y272" s="10" t="str">
        <f t="shared" si="95"/>
        <v>NA</v>
      </c>
      <c r="Z272" s="10" t="str">
        <f t="shared" si="96"/>
        <v>NA</v>
      </c>
      <c r="AA272" s="10" t="str">
        <f t="shared" si="97"/>
        <v>NA</v>
      </c>
      <c r="AB272" s="10" t="str">
        <f t="shared" si="98"/>
        <v>NA</v>
      </c>
      <c r="AC272" s="10" t="str">
        <f t="shared" si="99"/>
        <v>NA</v>
      </c>
      <c r="AD272" s="10" t="str">
        <f t="shared" si="100"/>
        <v>NA</v>
      </c>
      <c r="AE272" s="10" t="str">
        <f t="shared" si="101"/>
        <v>NA</v>
      </c>
      <c r="AF272" s="1" t="s">
        <v>4099</v>
      </c>
    </row>
    <row r="273" spans="1:32" x14ac:dyDescent="0.2">
      <c r="A273" s="1" t="s">
        <v>5455</v>
      </c>
      <c r="B273" s="1" t="s">
        <v>5</v>
      </c>
      <c r="C273" s="1" t="s">
        <v>1575</v>
      </c>
      <c r="D273" s="1" t="s">
        <v>1584</v>
      </c>
      <c r="E273" s="1" t="s">
        <v>1586</v>
      </c>
      <c r="F273" s="1" t="s">
        <v>66</v>
      </c>
      <c r="G273" s="4">
        <v>1</v>
      </c>
      <c r="H273" s="28">
        <v>41820</v>
      </c>
      <c r="I273" s="29">
        <f t="shared" si="80"/>
        <v>2014</v>
      </c>
      <c r="J273" s="1" t="s">
        <v>7</v>
      </c>
      <c r="K273" s="1" t="s">
        <v>5435</v>
      </c>
      <c r="L273" s="11" t="str">
        <f t="shared" si="111"/>
        <v>НЕТ</v>
      </c>
      <c r="M273" s="10" t="s">
        <v>1575</v>
      </c>
      <c r="N273" s="10" t="s">
        <v>1575</v>
      </c>
      <c r="O273" s="10">
        <v>5.0999999999999996</v>
      </c>
      <c r="P273" s="10">
        <f t="shared" si="92"/>
        <v>5.0999999999999996</v>
      </c>
      <c r="Q273" s="10" t="str">
        <f t="shared" si="93"/>
        <v>NA</v>
      </c>
      <c r="R273" s="10" t="s">
        <v>1575</v>
      </c>
      <c r="S273" s="10" t="s">
        <v>1575</v>
      </c>
      <c r="T273" s="10" t="s">
        <v>1575</v>
      </c>
      <c r="U273" s="10" t="s">
        <v>1575</v>
      </c>
      <c r="V273" s="10" t="s">
        <v>1575</v>
      </c>
      <c r="W273" s="10" t="s">
        <v>1575</v>
      </c>
      <c r="X273" s="10" t="str">
        <f t="shared" si="94"/>
        <v>NA</v>
      </c>
      <c r="Y273" s="10" t="str">
        <f t="shared" si="95"/>
        <v>NA</v>
      </c>
      <c r="Z273" s="10" t="str">
        <f t="shared" si="96"/>
        <v>NA</v>
      </c>
      <c r="AA273" s="10" t="str">
        <f t="shared" si="97"/>
        <v>NA</v>
      </c>
      <c r="AB273" s="10" t="str">
        <f t="shared" si="98"/>
        <v>NA</v>
      </c>
      <c r="AC273" s="10" t="str">
        <f t="shared" si="99"/>
        <v>NA</v>
      </c>
      <c r="AD273" s="10" t="str">
        <f t="shared" si="100"/>
        <v>NA</v>
      </c>
      <c r="AE273" s="10" t="str">
        <f t="shared" si="101"/>
        <v>NA</v>
      </c>
      <c r="AF273" s="1" t="s">
        <v>4100</v>
      </c>
    </row>
    <row r="274" spans="1:32" x14ac:dyDescent="0.2">
      <c r="A274" s="1" t="s">
        <v>5456</v>
      </c>
      <c r="B274" s="1" t="s">
        <v>1575</v>
      </c>
      <c r="C274" s="1" t="s">
        <v>1575</v>
      </c>
      <c r="D274" s="1" t="s">
        <v>1578</v>
      </c>
      <c r="E274" s="1" t="s">
        <v>1579</v>
      </c>
      <c r="F274" s="1" t="s">
        <v>429</v>
      </c>
      <c r="G274" s="4">
        <v>1</v>
      </c>
      <c r="H274" s="28">
        <v>41851</v>
      </c>
      <c r="I274" s="29">
        <f t="shared" si="80"/>
        <v>2014</v>
      </c>
      <c r="J274" s="1" t="s">
        <v>7</v>
      </c>
      <c r="K274" s="1" t="s">
        <v>5435</v>
      </c>
      <c r="L274" s="11" t="str">
        <f t="shared" ref="L274" si="112">IF(OR(A274=J274,A274=K274),"ДА","НЕТ")</f>
        <v>НЕТ</v>
      </c>
      <c r="M274" s="10" t="s">
        <v>1575</v>
      </c>
      <c r="N274" s="10" t="s">
        <v>1575</v>
      </c>
      <c r="O274" s="10">
        <v>0.1</v>
      </c>
      <c r="P274" s="10">
        <f t="shared" si="92"/>
        <v>0.1</v>
      </c>
      <c r="Q274" s="10" t="str">
        <f t="shared" si="93"/>
        <v>NA</v>
      </c>
      <c r="R274" s="10" t="s">
        <v>1575</v>
      </c>
      <c r="S274" s="10" t="s">
        <v>1575</v>
      </c>
      <c r="T274" s="10" t="s">
        <v>1575</v>
      </c>
      <c r="U274" s="10" t="s">
        <v>1575</v>
      </c>
      <c r="V274" s="10" t="s">
        <v>1575</v>
      </c>
      <c r="W274" s="10" t="s">
        <v>1575</v>
      </c>
      <c r="X274" s="10" t="str">
        <f t="shared" si="94"/>
        <v>NA</v>
      </c>
      <c r="Y274" s="10" t="str">
        <f t="shared" si="95"/>
        <v>NA</v>
      </c>
      <c r="Z274" s="10" t="str">
        <f t="shared" si="96"/>
        <v>NA</v>
      </c>
      <c r="AA274" s="10" t="str">
        <f t="shared" si="97"/>
        <v>NA</v>
      </c>
      <c r="AB274" s="10" t="str">
        <f t="shared" si="98"/>
        <v>NA</v>
      </c>
      <c r="AC274" s="10" t="str">
        <f t="shared" si="99"/>
        <v>NA</v>
      </c>
      <c r="AD274" s="10" t="str">
        <f t="shared" si="100"/>
        <v>NA</v>
      </c>
      <c r="AE274" s="10" t="str">
        <f t="shared" si="101"/>
        <v>NA</v>
      </c>
      <c r="AF274" s="1" t="s">
        <v>4101</v>
      </c>
    </row>
    <row r="275" spans="1:32" x14ac:dyDescent="0.2">
      <c r="A275" s="1" t="s">
        <v>5457</v>
      </c>
      <c r="B275" s="1" t="s">
        <v>5</v>
      </c>
      <c r="C275" s="1" t="s">
        <v>1575</v>
      </c>
      <c r="D275" s="1" t="s">
        <v>1813</v>
      </c>
      <c r="E275" s="1" t="s">
        <v>1587</v>
      </c>
      <c r="F275" s="1" t="s">
        <v>1745</v>
      </c>
      <c r="G275" s="4">
        <v>1</v>
      </c>
      <c r="H275" s="28">
        <v>41851</v>
      </c>
      <c r="I275" s="29">
        <f t="shared" si="80"/>
        <v>2014</v>
      </c>
      <c r="J275" s="1" t="s">
        <v>7</v>
      </c>
      <c r="K275" s="1" t="s">
        <v>5435</v>
      </c>
      <c r="L275" s="11" t="str">
        <f t="shared" ref="L275:L276" si="113">IF(OR(A275=J275,A275=K275),"ДА","НЕТ")</f>
        <v>НЕТ</v>
      </c>
      <c r="M275" s="10" t="s">
        <v>1575</v>
      </c>
      <c r="N275" s="10" t="s">
        <v>1575</v>
      </c>
      <c r="O275" s="10">
        <v>1.15E-4</v>
      </c>
      <c r="P275" s="10">
        <f t="shared" si="92"/>
        <v>1.15E-4</v>
      </c>
      <c r="Q275" s="10" t="str">
        <f t="shared" si="93"/>
        <v>NA</v>
      </c>
      <c r="R275" s="10" t="s">
        <v>1575</v>
      </c>
      <c r="S275" s="10" t="s">
        <v>1575</v>
      </c>
      <c r="T275" s="10" t="s">
        <v>1575</v>
      </c>
      <c r="U275" s="10" t="s">
        <v>1575</v>
      </c>
      <c r="V275" s="10" t="s">
        <v>1575</v>
      </c>
      <c r="W275" s="10" t="s">
        <v>1575</v>
      </c>
      <c r="X275" s="10" t="str">
        <f t="shared" si="94"/>
        <v>NA</v>
      </c>
      <c r="Y275" s="10" t="str">
        <f t="shared" si="95"/>
        <v>NA</v>
      </c>
      <c r="Z275" s="10" t="str">
        <f t="shared" si="96"/>
        <v>NA</v>
      </c>
      <c r="AA275" s="10" t="str">
        <f t="shared" si="97"/>
        <v>NA</v>
      </c>
      <c r="AB275" s="10" t="str">
        <f t="shared" si="98"/>
        <v>NA</v>
      </c>
      <c r="AC275" s="10" t="str">
        <f t="shared" si="99"/>
        <v>NA</v>
      </c>
      <c r="AD275" s="10" t="str">
        <f t="shared" si="100"/>
        <v>NA</v>
      </c>
      <c r="AE275" s="10" t="str">
        <f t="shared" si="101"/>
        <v>NA</v>
      </c>
      <c r="AF275" s="1" t="s">
        <v>4102</v>
      </c>
    </row>
    <row r="276" spans="1:32" x14ac:dyDescent="0.2">
      <c r="A276" s="1" t="s">
        <v>5458</v>
      </c>
      <c r="B276" s="1" t="s">
        <v>5</v>
      </c>
      <c r="C276" s="1" t="s">
        <v>1575</v>
      </c>
      <c r="D276" s="1" t="s">
        <v>1584</v>
      </c>
      <c r="E276" s="1" t="s">
        <v>1586</v>
      </c>
      <c r="F276" s="1" t="s">
        <v>66</v>
      </c>
      <c r="G276" s="4">
        <v>1</v>
      </c>
      <c r="H276" s="28">
        <v>41912</v>
      </c>
      <c r="I276" s="29">
        <f t="shared" si="80"/>
        <v>2014</v>
      </c>
      <c r="J276" s="1" t="s">
        <v>7</v>
      </c>
      <c r="K276" s="1" t="s">
        <v>5435</v>
      </c>
      <c r="L276" s="11" t="str">
        <f t="shared" si="113"/>
        <v>НЕТ</v>
      </c>
      <c r="M276" s="10" t="s">
        <v>1575</v>
      </c>
      <c r="N276" s="10" t="s">
        <v>1575</v>
      </c>
      <c r="O276" s="10">
        <v>4.4000000000000004</v>
      </c>
      <c r="P276" s="10">
        <f t="shared" si="92"/>
        <v>4.4000000000000004</v>
      </c>
      <c r="Q276" s="10" t="str">
        <f t="shared" si="93"/>
        <v>NA</v>
      </c>
      <c r="R276" s="10" t="s">
        <v>1575</v>
      </c>
      <c r="S276" s="10" t="s">
        <v>1575</v>
      </c>
      <c r="T276" s="10" t="s">
        <v>1575</v>
      </c>
      <c r="U276" s="10" t="s">
        <v>1575</v>
      </c>
      <c r="V276" s="10" t="s">
        <v>1575</v>
      </c>
      <c r="W276" s="10" t="s">
        <v>1575</v>
      </c>
      <c r="X276" s="10" t="str">
        <f t="shared" si="94"/>
        <v>NA</v>
      </c>
      <c r="Y276" s="10" t="str">
        <f t="shared" si="95"/>
        <v>NA</v>
      </c>
      <c r="Z276" s="10" t="str">
        <f t="shared" si="96"/>
        <v>NA</v>
      </c>
      <c r="AA276" s="10" t="str">
        <f t="shared" si="97"/>
        <v>NA</v>
      </c>
      <c r="AB276" s="10" t="str">
        <f t="shared" si="98"/>
        <v>NA</v>
      </c>
      <c r="AC276" s="10" t="str">
        <f t="shared" si="99"/>
        <v>NA</v>
      </c>
      <c r="AD276" s="10" t="str">
        <f t="shared" si="100"/>
        <v>NA</v>
      </c>
      <c r="AE276" s="10" t="str">
        <f t="shared" si="101"/>
        <v>NA</v>
      </c>
      <c r="AF276" s="1" t="s">
        <v>4091</v>
      </c>
    </row>
    <row r="277" spans="1:32" x14ac:dyDescent="0.2">
      <c r="A277" s="1" t="s">
        <v>849</v>
      </c>
      <c r="B277" s="1" t="s">
        <v>5</v>
      </c>
      <c r="C277" s="1" t="s">
        <v>1575</v>
      </c>
      <c r="D277" s="1" t="s">
        <v>1580</v>
      </c>
      <c r="E277" s="1" t="s">
        <v>1694</v>
      </c>
      <c r="F277" s="1" t="s">
        <v>68</v>
      </c>
      <c r="G277" s="4">
        <v>1</v>
      </c>
      <c r="H277" s="28">
        <v>41943</v>
      </c>
      <c r="I277" s="29">
        <f t="shared" si="80"/>
        <v>2014</v>
      </c>
      <c r="J277" s="1" t="s">
        <v>7</v>
      </c>
      <c r="K277" s="1" t="s">
        <v>5435</v>
      </c>
      <c r="L277" s="11" t="str">
        <f t="shared" ref="L277:L280" si="114">IF(OR(A277=J277,A277=K277),"ДА","НЕТ")</f>
        <v>НЕТ</v>
      </c>
      <c r="M277" s="10" t="s">
        <v>1575</v>
      </c>
      <c r="N277" s="10" t="s">
        <v>1575</v>
      </c>
      <c r="O277" s="10">
        <v>2.4</v>
      </c>
      <c r="P277" s="10">
        <f t="shared" si="92"/>
        <v>2.4</v>
      </c>
      <c r="Q277" s="10" t="str">
        <f t="shared" si="93"/>
        <v>NA</v>
      </c>
      <c r="R277" s="10" t="s">
        <v>1575</v>
      </c>
      <c r="S277" s="10" t="s">
        <v>1575</v>
      </c>
      <c r="T277" s="10" t="s">
        <v>1575</v>
      </c>
      <c r="U277" s="10" t="s">
        <v>1575</v>
      </c>
      <c r="V277" s="10" t="s">
        <v>1575</v>
      </c>
      <c r="W277" s="10" t="s">
        <v>1575</v>
      </c>
      <c r="X277" s="10" t="str">
        <f t="shared" si="94"/>
        <v>NA</v>
      </c>
      <c r="Y277" s="10" t="str">
        <f t="shared" si="95"/>
        <v>NA</v>
      </c>
      <c r="Z277" s="10" t="str">
        <f t="shared" si="96"/>
        <v>NA</v>
      </c>
      <c r="AA277" s="10" t="str">
        <f t="shared" si="97"/>
        <v>NA</v>
      </c>
      <c r="AB277" s="10" t="str">
        <f t="shared" si="98"/>
        <v>NA</v>
      </c>
      <c r="AC277" s="10" t="str">
        <f t="shared" si="99"/>
        <v>NA</v>
      </c>
      <c r="AD277" s="10" t="str">
        <f t="shared" si="100"/>
        <v>NA</v>
      </c>
      <c r="AE277" s="10" t="str">
        <f t="shared" si="101"/>
        <v>NA</v>
      </c>
      <c r="AF277" s="1" t="s">
        <v>4098</v>
      </c>
    </row>
    <row r="278" spans="1:32" x14ac:dyDescent="0.2">
      <c r="A278" s="1" t="s">
        <v>5357</v>
      </c>
      <c r="B278" s="1" t="s">
        <v>5</v>
      </c>
      <c r="C278" s="1" t="s">
        <v>1575</v>
      </c>
      <c r="D278" s="1" t="s">
        <v>1578</v>
      </c>
      <c r="E278" s="1" t="s">
        <v>1579</v>
      </c>
      <c r="F278" s="1" t="s">
        <v>429</v>
      </c>
      <c r="G278" s="4">
        <v>1</v>
      </c>
      <c r="H278" s="28">
        <v>41973</v>
      </c>
      <c r="I278" s="29">
        <f t="shared" si="80"/>
        <v>2014</v>
      </c>
      <c r="J278" s="1" t="s">
        <v>7</v>
      </c>
      <c r="K278" s="1" t="s">
        <v>5435</v>
      </c>
      <c r="L278" s="11" t="str">
        <f t="shared" si="114"/>
        <v>НЕТ</v>
      </c>
      <c r="M278" s="10" t="s">
        <v>1575</v>
      </c>
      <c r="N278" s="10" t="s">
        <v>1575</v>
      </c>
      <c r="O278" s="10">
        <v>0.3</v>
      </c>
      <c r="P278" s="10">
        <f t="shared" si="92"/>
        <v>0.3</v>
      </c>
      <c r="Q278" s="10" t="str">
        <f t="shared" si="93"/>
        <v>NA</v>
      </c>
      <c r="R278" s="10" t="s">
        <v>1575</v>
      </c>
      <c r="S278" s="10" t="s">
        <v>1575</v>
      </c>
      <c r="T278" s="10" t="s">
        <v>1575</v>
      </c>
      <c r="U278" s="10" t="s">
        <v>1575</v>
      </c>
      <c r="V278" s="10" t="s">
        <v>1575</v>
      </c>
      <c r="W278" s="10" t="s">
        <v>1575</v>
      </c>
      <c r="X278" s="10" t="str">
        <f t="shared" si="94"/>
        <v>NA</v>
      </c>
      <c r="Y278" s="10" t="str">
        <f t="shared" si="95"/>
        <v>NA</v>
      </c>
      <c r="Z278" s="10" t="str">
        <f t="shared" si="96"/>
        <v>NA</v>
      </c>
      <c r="AA278" s="10" t="str">
        <f t="shared" si="97"/>
        <v>NA</v>
      </c>
      <c r="AB278" s="10" t="str">
        <f t="shared" si="98"/>
        <v>NA</v>
      </c>
      <c r="AC278" s="10" t="str">
        <f t="shared" si="99"/>
        <v>NA</v>
      </c>
      <c r="AD278" s="10" t="str">
        <f t="shared" si="100"/>
        <v>NA</v>
      </c>
      <c r="AE278" s="10" t="str">
        <f t="shared" si="101"/>
        <v>NA</v>
      </c>
      <c r="AF278" s="1" t="s">
        <v>4096</v>
      </c>
    </row>
    <row r="279" spans="1:32" x14ac:dyDescent="0.2">
      <c r="A279" s="1" t="s">
        <v>5459</v>
      </c>
      <c r="B279" s="1" t="s">
        <v>5</v>
      </c>
      <c r="C279" s="1" t="s">
        <v>1575</v>
      </c>
      <c r="D279" s="1" t="s">
        <v>1575</v>
      </c>
      <c r="E279" s="1" t="s">
        <v>1575</v>
      </c>
      <c r="F279" s="1" t="s">
        <v>1575</v>
      </c>
      <c r="G279" s="4">
        <v>1</v>
      </c>
      <c r="H279" s="28">
        <v>42004</v>
      </c>
      <c r="I279" s="29">
        <f t="shared" si="80"/>
        <v>2014</v>
      </c>
      <c r="J279" s="1" t="s">
        <v>7</v>
      </c>
      <c r="K279" s="1" t="s">
        <v>5435</v>
      </c>
      <c r="L279" s="11" t="str">
        <f t="shared" si="114"/>
        <v>НЕТ</v>
      </c>
      <c r="M279" s="10" t="s">
        <v>1575</v>
      </c>
      <c r="N279" s="10" t="s">
        <v>1575</v>
      </c>
      <c r="O279" s="10" t="s">
        <v>1575</v>
      </c>
      <c r="P279" s="10" t="str">
        <f t="shared" si="92"/>
        <v>NA</v>
      </c>
      <c r="Q279" s="10" t="str">
        <f t="shared" si="93"/>
        <v>NA</v>
      </c>
      <c r="R279" s="10" t="s">
        <v>1575</v>
      </c>
      <c r="S279" s="10" t="s">
        <v>1575</v>
      </c>
      <c r="T279" s="10" t="s">
        <v>1575</v>
      </c>
      <c r="U279" s="10" t="s">
        <v>1575</v>
      </c>
      <c r="V279" s="10" t="s">
        <v>1575</v>
      </c>
      <c r="W279" s="10" t="s">
        <v>1575</v>
      </c>
      <c r="X279" s="10" t="str">
        <f t="shared" si="94"/>
        <v>NA</v>
      </c>
      <c r="Y279" s="10" t="str">
        <f t="shared" si="95"/>
        <v>NA</v>
      </c>
      <c r="Z279" s="10" t="str">
        <f t="shared" si="96"/>
        <v>NA</v>
      </c>
      <c r="AA279" s="10" t="str">
        <f t="shared" si="97"/>
        <v>NA</v>
      </c>
      <c r="AB279" s="10" t="str">
        <f t="shared" si="98"/>
        <v>NA</v>
      </c>
      <c r="AC279" s="10" t="str">
        <f t="shared" si="99"/>
        <v>NA</v>
      </c>
      <c r="AD279" s="10" t="str">
        <f t="shared" si="100"/>
        <v>NA</v>
      </c>
      <c r="AE279" s="10" t="str">
        <f t="shared" si="101"/>
        <v>NA</v>
      </c>
      <c r="AF279" s="1" t="s">
        <v>4097</v>
      </c>
    </row>
    <row r="280" spans="1:32" x14ac:dyDescent="0.2">
      <c r="A280" s="1" t="s">
        <v>5460</v>
      </c>
      <c r="B280" s="1" t="s">
        <v>5</v>
      </c>
      <c r="C280" s="1" t="s">
        <v>1575</v>
      </c>
      <c r="D280" s="1" t="s">
        <v>2160</v>
      </c>
      <c r="E280" s="1" t="s">
        <v>2167</v>
      </c>
      <c r="F280" s="1" t="s">
        <v>813</v>
      </c>
      <c r="G280" s="4">
        <v>1</v>
      </c>
      <c r="H280" s="28">
        <v>41698</v>
      </c>
      <c r="I280" s="29">
        <f t="shared" si="80"/>
        <v>2014</v>
      </c>
      <c r="J280" s="1" t="s">
        <v>5435</v>
      </c>
      <c r="K280" s="1" t="s">
        <v>7</v>
      </c>
      <c r="L280" s="11" t="str">
        <f t="shared" si="114"/>
        <v>НЕТ</v>
      </c>
      <c r="M280" s="10" t="s">
        <v>1575</v>
      </c>
      <c r="N280" s="10" t="s">
        <v>1575</v>
      </c>
      <c r="O280" s="10">
        <v>0.04</v>
      </c>
      <c r="P280" s="10">
        <f t="shared" si="92"/>
        <v>0.04</v>
      </c>
      <c r="Q280" s="10" t="str">
        <f t="shared" si="93"/>
        <v>NA</v>
      </c>
      <c r="R280" s="10" t="s">
        <v>1575</v>
      </c>
      <c r="S280" s="10" t="s">
        <v>1575</v>
      </c>
      <c r="T280" s="10" t="s">
        <v>1575</v>
      </c>
      <c r="U280" s="10" t="s">
        <v>1575</v>
      </c>
      <c r="V280" s="10">
        <v>4</v>
      </c>
      <c r="W280" s="10" t="s">
        <v>1575</v>
      </c>
      <c r="X280" s="10" t="str">
        <f t="shared" si="94"/>
        <v>NA</v>
      </c>
      <c r="Y280" s="10" t="str">
        <f t="shared" si="95"/>
        <v>NA</v>
      </c>
      <c r="Z280" s="10" t="str">
        <f t="shared" si="96"/>
        <v>NA</v>
      </c>
      <c r="AA280" s="10">
        <f t="shared" si="97"/>
        <v>0.01</v>
      </c>
      <c r="AB280" s="10" t="str">
        <f t="shared" si="98"/>
        <v>NA</v>
      </c>
      <c r="AC280" s="10" t="str">
        <f t="shared" si="99"/>
        <v>NA</v>
      </c>
      <c r="AD280" s="10" t="str">
        <f t="shared" si="100"/>
        <v>NA</v>
      </c>
      <c r="AE280" s="10" t="str">
        <f t="shared" si="101"/>
        <v>NA</v>
      </c>
      <c r="AF280" s="1" t="s">
        <v>4106</v>
      </c>
    </row>
    <row r="281" spans="1:32" x14ac:dyDescent="0.2">
      <c r="A281" s="1" t="s">
        <v>5461</v>
      </c>
      <c r="B281" s="1" t="s">
        <v>5</v>
      </c>
      <c r="C281" s="1" t="s">
        <v>1575</v>
      </c>
      <c r="D281" s="1" t="s">
        <v>1582</v>
      </c>
      <c r="E281" s="1" t="s">
        <v>5352</v>
      </c>
      <c r="F281" s="1" t="s">
        <v>1745</v>
      </c>
      <c r="G281" s="4">
        <v>1</v>
      </c>
      <c r="H281" s="28">
        <v>41759</v>
      </c>
      <c r="I281" s="29">
        <f t="shared" si="80"/>
        <v>2014</v>
      </c>
      <c r="J281" s="1" t="s">
        <v>7</v>
      </c>
      <c r="K281" s="1" t="s">
        <v>5435</v>
      </c>
      <c r="L281" s="11" t="str">
        <f t="shared" ref="L281" si="115">IF(OR(A281=J281,A281=K281),"ДА","НЕТ")</f>
        <v>НЕТ</v>
      </c>
      <c r="M281" s="10" t="s">
        <v>1575</v>
      </c>
      <c r="N281" s="10" t="s">
        <v>1575</v>
      </c>
      <c r="O281" s="10">
        <v>0.1</v>
      </c>
      <c r="P281" s="10">
        <f t="shared" si="92"/>
        <v>0.1</v>
      </c>
      <c r="Q281" s="10" t="str">
        <f t="shared" si="93"/>
        <v>NA</v>
      </c>
      <c r="R281" s="10" t="s">
        <v>1575</v>
      </c>
      <c r="S281" s="10" t="s">
        <v>1575</v>
      </c>
      <c r="T281" s="10" t="s">
        <v>1575</v>
      </c>
      <c r="U281" s="10" t="s">
        <v>1575</v>
      </c>
      <c r="V281" s="10" t="s">
        <v>1575</v>
      </c>
      <c r="W281" s="10" t="s">
        <v>1575</v>
      </c>
      <c r="X281" s="10" t="str">
        <f t="shared" si="94"/>
        <v>NA</v>
      </c>
      <c r="Y281" s="10" t="str">
        <f t="shared" si="95"/>
        <v>NA</v>
      </c>
      <c r="Z281" s="10" t="str">
        <f t="shared" si="96"/>
        <v>NA</v>
      </c>
      <c r="AA281" s="10" t="str">
        <f t="shared" si="97"/>
        <v>NA</v>
      </c>
      <c r="AB281" s="10" t="str">
        <f t="shared" si="98"/>
        <v>NA</v>
      </c>
      <c r="AC281" s="10" t="str">
        <f t="shared" si="99"/>
        <v>NA</v>
      </c>
      <c r="AD281" s="10" t="str">
        <f t="shared" si="100"/>
        <v>NA</v>
      </c>
      <c r="AE281" s="10" t="str">
        <f t="shared" si="101"/>
        <v>NA</v>
      </c>
      <c r="AF281" s="1" t="s">
        <v>4107</v>
      </c>
    </row>
    <row r="282" spans="1:32" x14ac:dyDescent="0.2">
      <c r="A282" s="1" t="s">
        <v>5435</v>
      </c>
      <c r="B282" s="1" t="s">
        <v>5</v>
      </c>
      <c r="C282" s="1" t="s">
        <v>3198</v>
      </c>
      <c r="D282" s="1" t="s">
        <v>1580</v>
      </c>
      <c r="E282" s="1" t="s">
        <v>1694</v>
      </c>
      <c r="F282" s="1" t="s">
        <v>68</v>
      </c>
      <c r="G282" s="4">
        <f>2265971/271745594</f>
        <v>8.3385749393235786E-3</v>
      </c>
      <c r="H282" s="28">
        <v>41729</v>
      </c>
      <c r="I282" s="29">
        <f t="shared" si="80"/>
        <v>2014</v>
      </c>
      <c r="J282" s="1" t="s">
        <v>5435</v>
      </c>
      <c r="K282" s="1" t="s">
        <v>7</v>
      </c>
      <c r="L282" s="11" t="str">
        <f t="shared" ref="L282:L284" si="116">IF(OR(A282=J282,A282=K282),"ДА","НЕТ")</f>
        <v>ДА</v>
      </c>
      <c r="M282" s="10" t="s">
        <v>1575</v>
      </c>
      <c r="N282" s="10" t="s">
        <v>1575</v>
      </c>
      <c r="O282" s="10">
        <v>1.9</v>
      </c>
      <c r="P282" s="10">
        <f t="shared" si="92"/>
        <v>227.85667980746445</v>
      </c>
      <c r="Q282" s="10" t="str">
        <f t="shared" si="93"/>
        <v>NA</v>
      </c>
      <c r="R282" s="10" t="s">
        <v>1575</v>
      </c>
      <c r="S282" s="10" t="s">
        <v>1575</v>
      </c>
      <c r="T282" s="10" t="s">
        <v>1575</v>
      </c>
      <c r="U282" s="10">
        <v>37.700000000000003</v>
      </c>
      <c r="V282" s="10">
        <v>216.09999999999997</v>
      </c>
      <c r="W282" s="10" t="s">
        <v>1575</v>
      </c>
      <c r="X282" s="10" t="str">
        <f t="shared" si="94"/>
        <v>NA</v>
      </c>
      <c r="Y282" s="10" t="str">
        <f t="shared" si="95"/>
        <v>NA</v>
      </c>
      <c r="Z282" s="10">
        <f t="shared" si="96"/>
        <v>6.0439437614712048</v>
      </c>
      <c r="AA282" s="10">
        <f t="shared" si="97"/>
        <v>1.0544038861983549</v>
      </c>
      <c r="AB282" s="10" t="str">
        <f t="shared" si="98"/>
        <v>NA</v>
      </c>
      <c r="AC282" s="10" t="str">
        <f t="shared" si="99"/>
        <v>NA</v>
      </c>
      <c r="AD282" s="10" t="str">
        <f t="shared" si="100"/>
        <v>NA</v>
      </c>
      <c r="AE282" s="10" t="str">
        <f t="shared" si="101"/>
        <v>NA</v>
      </c>
      <c r="AF282" s="1" t="s">
        <v>4080</v>
      </c>
    </row>
    <row r="283" spans="1:32" x14ac:dyDescent="0.2">
      <c r="A283" s="1" t="s">
        <v>5435</v>
      </c>
      <c r="B283" s="1" t="s">
        <v>5</v>
      </c>
      <c r="C283" s="1" t="s">
        <v>3198</v>
      </c>
      <c r="D283" s="1" t="s">
        <v>1580</v>
      </c>
      <c r="E283" s="1" t="s">
        <v>1694</v>
      </c>
      <c r="F283" s="1" t="s">
        <v>68</v>
      </c>
      <c r="G283" s="4">
        <f>6447/271745594</f>
        <v>2.3724395693421986E-5</v>
      </c>
      <c r="H283" s="28">
        <v>41790</v>
      </c>
      <c r="I283" s="29">
        <f t="shared" si="80"/>
        <v>2014</v>
      </c>
      <c r="J283" s="1" t="s">
        <v>2168</v>
      </c>
      <c r="K283" s="1" t="s">
        <v>5435</v>
      </c>
      <c r="L283" s="11" t="str">
        <f t="shared" si="116"/>
        <v>ДА</v>
      </c>
      <c r="M283" s="10" t="s">
        <v>1575</v>
      </c>
      <c r="N283" s="10" t="s">
        <v>1575</v>
      </c>
      <c r="O283" s="10">
        <v>6.4999999999999997E-3</v>
      </c>
      <c r="P283" s="10">
        <f t="shared" si="92"/>
        <v>273.97958135566932</v>
      </c>
      <c r="Q283" s="10" t="str">
        <f t="shared" si="93"/>
        <v>NA</v>
      </c>
      <c r="R283" s="10" t="s">
        <v>1575</v>
      </c>
      <c r="S283" s="10" t="s">
        <v>1575</v>
      </c>
      <c r="T283" s="10" t="s">
        <v>1575</v>
      </c>
      <c r="U283" s="10">
        <v>37.700000000000003</v>
      </c>
      <c r="V283" s="10">
        <v>216.09999999999997</v>
      </c>
      <c r="W283" s="10" t="s">
        <v>1575</v>
      </c>
      <c r="X283" s="10" t="str">
        <f t="shared" si="94"/>
        <v>NA</v>
      </c>
      <c r="Y283" s="10" t="str">
        <f t="shared" si="95"/>
        <v>NA</v>
      </c>
      <c r="Z283" s="10">
        <f t="shared" si="96"/>
        <v>7.2673629006808831</v>
      </c>
      <c r="AA283" s="10">
        <f t="shared" si="97"/>
        <v>1.2678370261715379</v>
      </c>
      <c r="AB283" s="10" t="str">
        <f t="shared" si="98"/>
        <v>NA</v>
      </c>
      <c r="AC283" s="10" t="str">
        <f t="shared" si="99"/>
        <v>NA</v>
      </c>
      <c r="AD283" s="10" t="str">
        <f t="shared" si="100"/>
        <v>NA</v>
      </c>
      <c r="AE283" s="10" t="str">
        <f t="shared" si="101"/>
        <v>NA</v>
      </c>
      <c r="AF283" s="1" t="s">
        <v>4079</v>
      </c>
    </row>
    <row r="284" spans="1:32" x14ac:dyDescent="0.2">
      <c r="A284" s="1" t="s">
        <v>5435</v>
      </c>
      <c r="B284" s="1" t="s">
        <v>5</v>
      </c>
      <c r="C284" s="1" t="s">
        <v>3198</v>
      </c>
      <c r="D284" s="1" t="s">
        <v>1580</v>
      </c>
      <c r="E284" s="1" t="s">
        <v>1694</v>
      </c>
      <c r="F284" s="1" t="s">
        <v>68</v>
      </c>
      <c r="G284" s="4">
        <f>2259524/271745594</f>
        <v>8.3148505436301569E-3</v>
      </c>
      <c r="H284" s="28">
        <v>41882</v>
      </c>
      <c r="I284" s="29">
        <f t="shared" si="80"/>
        <v>2014</v>
      </c>
      <c r="J284" s="1" t="s">
        <v>5462</v>
      </c>
      <c r="K284" s="1" t="s">
        <v>5435</v>
      </c>
      <c r="L284" s="11" t="str">
        <f t="shared" si="116"/>
        <v>ДА</v>
      </c>
      <c r="M284" s="10" t="s">
        <v>1575</v>
      </c>
      <c r="N284" s="10" t="s">
        <v>1575</v>
      </c>
      <c r="O284" s="10">
        <v>2.2999999999999998</v>
      </c>
      <c r="P284" s="10">
        <f t="shared" si="92"/>
        <v>276.61351072172721</v>
      </c>
      <c r="Q284" s="10" t="str">
        <f t="shared" si="93"/>
        <v>NA</v>
      </c>
      <c r="R284" s="10" t="s">
        <v>1575</v>
      </c>
      <c r="S284" s="10" t="s">
        <v>1575</v>
      </c>
      <c r="T284" s="10" t="s">
        <v>1575</v>
      </c>
      <c r="U284" s="10">
        <v>37.700000000000003</v>
      </c>
      <c r="V284" s="10">
        <v>216.09999999999997</v>
      </c>
      <c r="W284" s="10" t="s">
        <v>1575</v>
      </c>
      <c r="X284" s="10" t="str">
        <f t="shared" si="94"/>
        <v>NA</v>
      </c>
      <c r="Y284" s="10" t="str">
        <f t="shared" si="95"/>
        <v>NA</v>
      </c>
      <c r="Z284" s="10">
        <f t="shared" si="96"/>
        <v>7.3372284011068221</v>
      </c>
      <c r="AA284" s="10">
        <f t="shared" si="97"/>
        <v>1.2800255007946657</v>
      </c>
      <c r="AB284" s="10" t="str">
        <f t="shared" si="98"/>
        <v>NA</v>
      </c>
      <c r="AC284" s="10" t="str">
        <f t="shared" si="99"/>
        <v>NA</v>
      </c>
      <c r="AD284" s="10" t="str">
        <f t="shared" si="100"/>
        <v>NA</v>
      </c>
      <c r="AE284" s="10" t="str">
        <f t="shared" si="101"/>
        <v>NA</v>
      </c>
      <c r="AF284" s="1" t="s">
        <v>4078</v>
      </c>
    </row>
    <row r="285" spans="1:32" x14ac:dyDescent="0.2">
      <c r="A285" s="1" t="s">
        <v>5435</v>
      </c>
      <c r="B285" s="1" t="s">
        <v>5</v>
      </c>
      <c r="C285" s="1" t="s">
        <v>3198</v>
      </c>
      <c r="D285" s="1" t="s">
        <v>1580</v>
      </c>
      <c r="E285" s="1" t="s">
        <v>1694</v>
      </c>
      <c r="F285" s="1" t="s">
        <v>68</v>
      </c>
      <c r="G285" s="4">
        <f>4040/271745594</f>
        <v>1.4866846378381392E-5</v>
      </c>
      <c r="H285" s="28">
        <v>41364</v>
      </c>
      <c r="I285" s="29">
        <f t="shared" si="80"/>
        <v>2013</v>
      </c>
      <c r="J285" s="1" t="s">
        <v>5435</v>
      </c>
      <c r="K285" s="1" t="s">
        <v>7</v>
      </c>
      <c r="L285" s="11" t="str">
        <f t="shared" ref="L285:L286" si="117">IF(OR(A285=J285,A285=K285),"ДА","НЕТ")</f>
        <v>ДА</v>
      </c>
      <c r="M285" s="10" t="s">
        <v>1575</v>
      </c>
      <c r="N285" s="10" t="s">
        <v>1575</v>
      </c>
      <c r="O285" s="10" t="s">
        <v>1575</v>
      </c>
      <c r="P285" s="10" t="str">
        <f t="shared" si="92"/>
        <v>NA</v>
      </c>
      <c r="Q285" s="10" t="str">
        <f t="shared" si="93"/>
        <v>NA</v>
      </c>
      <c r="R285" s="10" t="s">
        <v>1575</v>
      </c>
      <c r="S285" s="10" t="s">
        <v>1575</v>
      </c>
      <c r="T285" s="10" t="s">
        <v>1575</v>
      </c>
      <c r="U285" s="10">
        <v>28.3185</v>
      </c>
      <c r="V285" s="10">
        <v>188.97970000000001</v>
      </c>
      <c r="W285" s="10" t="s">
        <v>1575</v>
      </c>
      <c r="X285" s="10" t="str">
        <f t="shared" si="94"/>
        <v>NA</v>
      </c>
      <c r="Y285" s="10" t="str">
        <f t="shared" si="95"/>
        <v>NA</v>
      </c>
      <c r="Z285" s="10" t="str">
        <f t="shared" si="96"/>
        <v>NA</v>
      </c>
      <c r="AA285" s="10" t="str">
        <f t="shared" si="97"/>
        <v>NA</v>
      </c>
      <c r="AB285" s="10" t="str">
        <f t="shared" si="98"/>
        <v>NA</v>
      </c>
      <c r="AC285" s="10" t="str">
        <f t="shared" si="99"/>
        <v>NA</v>
      </c>
      <c r="AD285" s="10" t="str">
        <f t="shared" si="100"/>
        <v>NA</v>
      </c>
      <c r="AE285" s="10" t="str">
        <f t="shared" si="101"/>
        <v>NA</v>
      </c>
      <c r="AF285" s="1" t="s">
        <v>4077</v>
      </c>
    </row>
    <row r="286" spans="1:32" x14ac:dyDescent="0.2">
      <c r="A286" s="1" t="s">
        <v>5444</v>
      </c>
      <c r="B286" s="1" t="s">
        <v>5</v>
      </c>
      <c r="C286" s="1" t="s">
        <v>1575</v>
      </c>
      <c r="D286" s="1" t="s">
        <v>1813</v>
      </c>
      <c r="E286" s="1" t="s">
        <v>1587</v>
      </c>
      <c r="F286" s="1" t="s">
        <v>1745</v>
      </c>
      <c r="G286" s="4">
        <f>72.63%-54.9%</f>
        <v>0.17730000000000001</v>
      </c>
      <c r="H286" s="28">
        <v>42035</v>
      </c>
      <c r="I286" s="29">
        <f t="shared" ref="I286:I364" si="118">YEAR(H286)</f>
        <v>2015</v>
      </c>
      <c r="J286" s="1" t="s">
        <v>5435</v>
      </c>
      <c r="K286" s="1" t="s">
        <v>7</v>
      </c>
      <c r="L286" s="11" t="str">
        <f t="shared" si="117"/>
        <v>НЕТ</v>
      </c>
      <c r="M286" s="10" t="s">
        <v>1575</v>
      </c>
      <c r="N286" s="10" t="s">
        <v>1575</v>
      </c>
      <c r="O286" s="10">
        <v>4.2000000000000003E-2</v>
      </c>
      <c r="P286" s="10">
        <f t="shared" si="92"/>
        <v>0.23688663282571912</v>
      </c>
      <c r="Q286" s="10" t="str">
        <f t="shared" si="93"/>
        <v>NA</v>
      </c>
      <c r="R286" s="10" t="s">
        <v>1575</v>
      </c>
      <c r="S286" s="10" t="s">
        <v>1575</v>
      </c>
      <c r="T286" s="10" t="s">
        <v>1575</v>
      </c>
      <c r="U286" s="10" t="s">
        <v>1575</v>
      </c>
      <c r="V286" s="10">
        <v>0.48899999999999999</v>
      </c>
      <c r="W286" s="10" t="s">
        <v>1575</v>
      </c>
      <c r="X286" s="10" t="str">
        <f t="shared" si="94"/>
        <v>NA</v>
      </c>
      <c r="Y286" s="10" t="str">
        <f t="shared" si="95"/>
        <v>NA</v>
      </c>
      <c r="Z286" s="10" t="str">
        <f t="shared" si="96"/>
        <v>NA</v>
      </c>
      <c r="AA286" s="10">
        <f t="shared" si="97"/>
        <v>0.48443074197488573</v>
      </c>
      <c r="AB286" s="10" t="str">
        <f t="shared" si="98"/>
        <v>NA</v>
      </c>
      <c r="AC286" s="10" t="str">
        <f t="shared" si="99"/>
        <v>NA</v>
      </c>
      <c r="AD286" s="10" t="str">
        <f t="shared" si="100"/>
        <v>NA</v>
      </c>
      <c r="AE286" s="10" t="str">
        <f t="shared" si="101"/>
        <v>NA</v>
      </c>
      <c r="AF286" s="1" t="s">
        <v>4109</v>
      </c>
    </row>
    <row r="287" spans="1:32" x14ac:dyDescent="0.2">
      <c r="A287" s="1" t="s">
        <v>5369</v>
      </c>
      <c r="B287" s="1" t="s">
        <v>5</v>
      </c>
      <c r="C287" s="1" t="s">
        <v>1575</v>
      </c>
      <c r="D287" s="1" t="s">
        <v>1582</v>
      </c>
      <c r="E287" s="1" t="s">
        <v>5352</v>
      </c>
      <c r="F287" s="1" t="s">
        <v>1745</v>
      </c>
      <c r="G287" s="4">
        <f>100%-98.76%</f>
        <v>1.2399999999999967E-2</v>
      </c>
      <c r="H287" s="28">
        <v>41333</v>
      </c>
      <c r="I287" s="29">
        <f t="shared" si="118"/>
        <v>2013</v>
      </c>
      <c r="J287" s="1" t="s">
        <v>5435</v>
      </c>
      <c r="K287" s="1" t="s">
        <v>7</v>
      </c>
      <c r="L287" s="11" t="str">
        <f t="shared" ref="L287" si="119">IF(OR(A287=J287,A287=K287),"ДА","НЕТ")</f>
        <v>НЕТ</v>
      </c>
      <c r="M287" s="10" t="s">
        <v>1575</v>
      </c>
      <c r="N287" s="10" t="s">
        <v>1575</v>
      </c>
      <c r="O287" s="10">
        <v>6.7000000000000002E-3</v>
      </c>
      <c r="P287" s="10">
        <f t="shared" si="92"/>
        <v>0.54032258064516281</v>
      </c>
      <c r="Q287" s="10" t="str">
        <f t="shared" si="93"/>
        <v>NA</v>
      </c>
      <c r="R287" s="10" t="s">
        <v>1575</v>
      </c>
      <c r="S287" s="10" t="s">
        <v>1575</v>
      </c>
      <c r="T287" s="10" t="s">
        <v>1575</v>
      </c>
      <c r="U287" s="10" t="s">
        <v>1575</v>
      </c>
      <c r="V287" s="10" t="s">
        <v>1575</v>
      </c>
      <c r="W287" s="10" t="s">
        <v>1575</v>
      </c>
      <c r="X287" s="10" t="str">
        <f t="shared" si="94"/>
        <v>NA</v>
      </c>
      <c r="Y287" s="10" t="str">
        <f t="shared" si="95"/>
        <v>NA</v>
      </c>
      <c r="Z287" s="10" t="str">
        <f t="shared" si="96"/>
        <v>NA</v>
      </c>
      <c r="AA287" s="10" t="str">
        <f t="shared" si="97"/>
        <v>NA</v>
      </c>
      <c r="AB287" s="10" t="str">
        <f t="shared" si="98"/>
        <v>NA</v>
      </c>
      <c r="AC287" s="10" t="str">
        <f t="shared" si="99"/>
        <v>NA</v>
      </c>
      <c r="AD287" s="10" t="str">
        <f t="shared" si="100"/>
        <v>NA</v>
      </c>
      <c r="AE287" s="10" t="str">
        <f t="shared" si="101"/>
        <v>NA</v>
      </c>
      <c r="AF287" s="1" t="s">
        <v>4111</v>
      </c>
    </row>
    <row r="288" spans="1:32" x14ac:dyDescent="0.2">
      <c r="A288" s="1" t="s">
        <v>5453</v>
      </c>
      <c r="B288" s="1" t="s">
        <v>5</v>
      </c>
      <c r="C288" s="1" t="s">
        <v>1575</v>
      </c>
      <c r="D288" s="1" t="s">
        <v>1580</v>
      </c>
      <c r="E288" s="1" t="s">
        <v>1694</v>
      </c>
      <c r="F288" s="1" t="s">
        <v>68</v>
      </c>
      <c r="G288" s="4">
        <f>100%-98.8%</f>
        <v>1.2000000000000011E-2</v>
      </c>
      <c r="H288" s="28">
        <v>41639</v>
      </c>
      <c r="I288" s="29">
        <f t="shared" si="118"/>
        <v>2013</v>
      </c>
      <c r="J288" s="1" t="s">
        <v>5435</v>
      </c>
      <c r="K288" s="1" t="s">
        <v>7</v>
      </c>
      <c r="L288" s="11" t="str">
        <f t="shared" ref="L288" si="120">IF(OR(A288=J288,A288=K288),"ДА","НЕТ")</f>
        <v>НЕТ</v>
      </c>
      <c r="M288" s="10" t="s">
        <v>1575</v>
      </c>
      <c r="N288" s="10" t="s">
        <v>1575</v>
      </c>
      <c r="O288" s="10" t="s">
        <v>1575</v>
      </c>
      <c r="P288" s="10" t="str">
        <f t="shared" si="92"/>
        <v>NA</v>
      </c>
      <c r="Q288" s="10" t="str">
        <f t="shared" si="93"/>
        <v>NA</v>
      </c>
      <c r="R288" s="10" t="s">
        <v>1575</v>
      </c>
      <c r="S288" s="10" t="s">
        <v>1575</v>
      </c>
      <c r="T288" s="10" t="s">
        <v>1575</v>
      </c>
      <c r="U288" s="10" t="s">
        <v>1575</v>
      </c>
      <c r="V288" s="10" t="s">
        <v>1575</v>
      </c>
      <c r="W288" s="10" t="s">
        <v>1575</v>
      </c>
      <c r="X288" s="10" t="str">
        <f t="shared" si="94"/>
        <v>NA</v>
      </c>
      <c r="Y288" s="10" t="str">
        <f t="shared" si="95"/>
        <v>NA</v>
      </c>
      <c r="Z288" s="10" t="str">
        <f t="shared" si="96"/>
        <v>NA</v>
      </c>
      <c r="AA288" s="10" t="str">
        <f t="shared" si="97"/>
        <v>NA</v>
      </c>
      <c r="AB288" s="10" t="str">
        <f t="shared" si="98"/>
        <v>NA</v>
      </c>
      <c r="AC288" s="10" t="str">
        <f t="shared" si="99"/>
        <v>NA</v>
      </c>
      <c r="AD288" s="10" t="str">
        <f t="shared" si="100"/>
        <v>NA</v>
      </c>
      <c r="AE288" s="10" t="str">
        <f t="shared" si="101"/>
        <v>NA</v>
      </c>
      <c r="AF288" s="1" t="s">
        <v>4112</v>
      </c>
    </row>
    <row r="289" spans="1:32" x14ac:dyDescent="0.2">
      <c r="A289" s="1" t="s">
        <v>4114</v>
      </c>
      <c r="B289" s="1" t="s">
        <v>5</v>
      </c>
      <c r="C289" s="1" t="s">
        <v>1575</v>
      </c>
      <c r="D289" s="1" t="s">
        <v>1578</v>
      </c>
      <c r="E289" s="1" t="s">
        <v>1591</v>
      </c>
      <c r="F289" s="1" t="s">
        <v>2198</v>
      </c>
      <c r="G289" s="4">
        <f>94.2026%-94.1372%</f>
        <v>6.5399999999993241E-4</v>
      </c>
      <c r="H289" s="28">
        <v>41639</v>
      </c>
      <c r="I289" s="29">
        <f t="shared" si="118"/>
        <v>2013</v>
      </c>
      <c r="J289" s="1" t="s">
        <v>5435</v>
      </c>
      <c r="K289" s="1" t="s">
        <v>7</v>
      </c>
      <c r="L289" s="11" t="str">
        <f t="shared" ref="L289" si="121">IF(OR(A289=J289,A289=K289),"ДА","НЕТ")</f>
        <v>НЕТ</v>
      </c>
      <c r="M289" s="10" t="s">
        <v>1575</v>
      </c>
      <c r="N289" s="10" t="s">
        <v>1575</v>
      </c>
      <c r="O289" s="10">
        <v>2.0000000000000001E-4</v>
      </c>
      <c r="P289" s="10">
        <f t="shared" si="92"/>
        <v>0.30581039755354844</v>
      </c>
      <c r="Q289" s="10" t="str">
        <f t="shared" si="93"/>
        <v>NA</v>
      </c>
      <c r="R289" s="10" t="s">
        <v>1575</v>
      </c>
      <c r="S289" s="10" t="s">
        <v>1575</v>
      </c>
      <c r="T289" s="10" t="s">
        <v>1575</v>
      </c>
      <c r="U289" s="10" t="s">
        <v>1575</v>
      </c>
      <c r="V289" s="10" t="s">
        <v>1575</v>
      </c>
      <c r="W289" s="10" t="s">
        <v>1575</v>
      </c>
      <c r="X289" s="10" t="str">
        <f t="shared" si="94"/>
        <v>NA</v>
      </c>
      <c r="Y289" s="10" t="str">
        <f t="shared" si="95"/>
        <v>NA</v>
      </c>
      <c r="Z289" s="10" t="str">
        <f t="shared" si="96"/>
        <v>NA</v>
      </c>
      <c r="AA289" s="10" t="str">
        <f t="shared" si="97"/>
        <v>NA</v>
      </c>
      <c r="AB289" s="10" t="str">
        <f t="shared" si="98"/>
        <v>NA</v>
      </c>
      <c r="AC289" s="10" t="str">
        <f t="shared" si="99"/>
        <v>NA</v>
      </c>
      <c r="AD289" s="10" t="str">
        <f t="shared" si="100"/>
        <v>NA</v>
      </c>
      <c r="AE289" s="10" t="str">
        <f t="shared" si="101"/>
        <v>NA</v>
      </c>
      <c r="AF289" s="1" t="s">
        <v>4113</v>
      </c>
    </row>
    <row r="290" spans="1:32" x14ac:dyDescent="0.2">
      <c r="A290" s="1" t="s">
        <v>862</v>
      </c>
      <c r="B290" s="1" t="s">
        <v>5</v>
      </c>
      <c r="C290" s="1" t="s">
        <v>1575</v>
      </c>
      <c r="D290" s="1" t="s">
        <v>2160</v>
      </c>
      <c r="E290" s="1" t="s">
        <v>2167</v>
      </c>
      <c r="F290" s="1" t="s">
        <v>813</v>
      </c>
      <c r="G290" s="12" t="s">
        <v>4115</v>
      </c>
      <c r="H290" s="28">
        <v>41517</v>
      </c>
      <c r="I290" s="29">
        <f t="shared" si="118"/>
        <v>2013</v>
      </c>
      <c r="J290" s="1" t="s">
        <v>5435</v>
      </c>
      <c r="K290" s="1" t="s">
        <v>7</v>
      </c>
      <c r="L290" s="11" t="str">
        <f t="shared" ref="L290" si="122">IF(OR(A290=J290,A290=K290),"ДА","НЕТ")</f>
        <v>НЕТ</v>
      </c>
      <c r="M290" s="10" t="s">
        <v>1575</v>
      </c>
      <c r="N290" s="10" t="s">
        <v>1575</v>
      </c>
      <c r="O290" s="10">
        <v>0.54200000000000004</v>
      </c>
      <c r="P290" s="10" t="str">
        <f t="shared" si="92"/>
        <v>NA</v>
      </c>
      <c r="Q290" s="10" t="str">
        <f t="shared" si="93"/>
        <v>NA</v>
      </c>
      <c r="R290" s="10" t="s">
        <v>1575</v>
      </c>
      <c r="S290" s="10" t="s">
        <v>1575</v>
      </c>
      <c r="T290" s="10" t="s">
        <v>1575</v>
      </c>
      <c r="U290" s="10" t="s">
        <v>1575</v>
      </c>
      <c r="V290" s="10">
        <v>3.1728000000000001</v>
      </c>
      <c r="W290" s="10" t="s">
        <v>1575</v>
      </c>
      <c r="X290" s="10" t="str">
        <f t="shared" si="94"/>
        <v>NA</v>
      </c>
      <c r="Y290" s="10" t="str">
        <f t="shared" si="95"/>
        <v>NA</v>
      </c>
      <c r="Z290" s="10" t="str">
        <f t="shared" si="96"/>
        <v>NA</v>
      </c>
      <c r="AA290" s="10" t="str">
        <f t="shared" si="97"/>
        <v>NA</v>
      </c>
      <c r="AB290" s="10" t="str">
        <f t="shared" si="98"/>
        <v>NA</v>
      </c>
      <c r="AC290" s="10" t="str">
        <f t="shared" si="99"/>
        <v>NA</v>
      </c>
      <c r="AD290" s="10" t="str">
        <f t="shared" si="100"/>
        <v>NA</v>
      </c>
      <c r="AE290" s="10" t="str">
        <f t="shared" si="101"/>
        <v>NA</v>
      </c>
      <c r="AF290" s="1" t="s">
        <v>4116</v>
      </c>
    </row>
    <row r="291" spans="1:32" x14ac:dyDescent="0.2">
      <c r="A291" s="1" t="s">
        <v>862</v>
      </c>
      <c r="B291" s="1" t="s">
        <v>5</v>
      </c>
      <c r="C291" s="1" t="s">
        <v>1575</v>
      </c>
      <c r="D291" s="1" t="s">
        <v>2160</v>
      </c>
      <c r="E291" s="1" t="s">
        <v>2167</v>
      </c>
      <c r="F291" s="1" t="s">
        <v>813</v>
      </c>
      <c r="G291" s="12" t="s">
        <v>3725</v>
      </c>
      <c r="H291" s="28">
        <v>41425</v>
      </c>
      <c r="I291" s="29">
        <f t="shared" ref="I291" si="123">YEAR(H291)</f>
        <v>2013</v>
      </c>
      <c r="J291" s="1" t="s">
        <v>5435</v>
      </c>
      <c r="K291" s="1" t="s">
        <v>7</v>
      </c>
      <c r="L291" s="11" t="str">
        <f t="shared" ref="L291" si="124">IF(OR(A291=J291,A291=K291),"ДА","НЕТ")</f>
        <v>НЕТ</v>
      </c>
      <c r="M291" s="10" t="s">
        <v>1575</v>
      </c>
      <c r="N291" s="10" t="s">
        <v>1575</v>
      </c>
      <c r="O291" s="10">
        <v>0.54200000000000004</v>
      </c>
      <c r="P291" s="10" t="str">
        <f t="shared" si="92"/>
        <v>NA</v>
      </c>
      <c r="Q291" s="10" t="str">
        <f t="shared" si="93"/>
        <v>NA</v>
      </c>
      <c r="R291" s="10" t="s">
        <v>1575</v>
      </c>
      <c r="S291" s="10" t="s">
        <v>1575</v>
      </c>
      <c r="T291" s="10" t="s">
        <v>1575</v>
      </c>
      <c r="U291" s="10" t="s">
        <v>1575</v>
      </c>
      <c r="V291" s="10">
        <v>3.1728000000000001</v>
      </c>
      <c r="W291" s="10" t="s">
        <v>1575</v>
      </c>
      <c r="X291" s="10" t="str">
        <f t="shared" si="94"/>
        <v>NA</v>
      </c>
      <c r="Y291" s="10" t="str">
        <f t="shared" si="95"/>
        <v>NA</v>
      </c>
      <c r="Z291" s="10" t="str">
        <f t="shared" si="96"/>
        <v>NA</v>
      </c>
      <c r="AA291" s="10" t="str">
        <f t="shared" si="97"/>
        <v>NA</v>
      </c>
      <c r="AB291" s="10" t="str">
        <f t="shared" si="98"/>
        <v>NA</v>
      </c>
      <c r="AC291" s="10" t="str">
        <f t="shared" si="99"/>
        <v>NA</v>
      </c>
      <c r="AD291" s="10" t="str">
        <f t="shared" si="100"/>
        <v>NA</v>
      </c>
      <c r="AE291" s="10" t="str">
        <f t="shared" si="101"/>
        <v>NA</v>
      </c>
      <c r="AF291" s="1" t="s">
        <v>4119</v>
      </c>
    </row>
    <row r="292" spans="1:32" x14ac:dyDescent="0.2">
      <c r="A292" s="1" t="s">
        <v>5444</v>
      </c>
      <c r="B292" s="1" t="s">
        <v>5</v>
      </c>
      <c r="C292" s="1" t="s">
        <v>1575</v>
      </c>
      <c r="D292" s="1" t="s">
        <v>1813</v>
      </c>
      <c r="E292" s="1" t="s">
        <v>1587</v>
      </c>
      <c r="F292" s="1" t="s">
        <v>1745</v>
      </c>
      <c r="G292" s="4">
        <v>0.14299999999999999</v>
      </c>
      <c r="H292" s="28">
        <v>41364</v>
      </c>
      <c r="I292" s="29">
        <f t="shared" si="118"/>
        <v>2013</v>
      </c>
      <c r="J292" s="1" t="s">
        <v>5435</v>
      </c>
      <c r="K292" s="1" t="s">
        <v>7</v>
      </c>
      <c r="L292" s="11" t="str">
        <f t="shared" ref="L292:L293" si="125">IF(OR(A292=J292,A292=K292),"ДА","НЕТ")</f>
        <v>НЕТ</v>
      </c>
      <c r="M292" s="10" t="s">
        <v>1575</v>
      </c>
      <c r="N292" s="10" t="s">
        <v>1575</v>
      </c>
      <c r="O292" s="10">
        <v>4.5999999999999999E-2</v>
      </c>
      <c r="P292" s="10">
        <f t="shared" si="92"/>
        <v>0.32167832167832172</v>
      </c>
      <c r="Q292" s="10" t="str">
        <f t="shared" si="93"/>
        <v>NA</v>
      </c>
      <c r="R292" s="10" t="s">
        <v>1575</v>
      </c>
      <c r="S292" s="10" t="s">
        <v>1575</v>
      </c>
      <c r="T292" s="10" t="s">
        <v>1575</v>
      </c>
      <c r="U292" s="10" t="s">
        <v>1575</v>
      </c>
      <c r="V292" s="10">
        <v>0.48899999999999999</v>
      </c>
      <c r="W292" s="10" t="s">
        <v>1575</v>
      </c>
      <c r="X292" s="10" t="str">
        <f t="shared" si="94"/>
        <v>NA</v>
      </c>
      <c r="Y292" s="10" t="str">
        <f t="shared" si="95"/>
        <v>NA</v>
      </c>
      <c r="Z292" s="10" t="str">
        <f t="shared" si="96"/>
        <v>NA</v>
      </c>
      <c r="AA292" s="10">
        <f t="shared" si="97"/>
        <v>0.65782887868777451</v>
      </c>
      <c r="AB292" s="10" t="str">
        <f t="shared" si="98"/>
        <v>NA</v>
      </c>
      <c r="AC292" s="10" t="str">
        <f t="shared" si="99"/>
        <v>NA</v>
      </c>
      <c r="AD292" s="10" t="str">
        <f t="shared" si="100"/>
        <v>NA</v>
      </c>
      <c r="AE292" s="10" t="str">
        <f t="shared" si="101"/>
        <v>NA</v>
      </c>
      <c r="AF292" s="1" t="s">
        <v>4110</v>
      </c>
    </row>
    <row r="293" spans="1:32" x14ac:dyDescent="0.2">
      <c r="A293" s="1" t="s">
        <v>5444</v>
      </c>
      <c r="B293" s="1" t="s">
        <v>5</v>
      </c>
      <c r="C293" s="1" t="s">
        <v>1575</v>
      </c>
      <c r="D293" s="1" t="s">
        <v>1813</v>
      </c>
      <c r="E293" s="1" t="s">
        <v>1587</v>
      </c>
      <c r="F293" s="1" t="s">
        <v>1745</v>
      </c>
      <c r="G293" s="4">
        <v>6.5000000000000002E-2</v>
      </c>
      <c r="H293" s="28">
        <v>41305</v>
      </c>
      <c r="I293" s="29">
        <f t="shared" si="118"/>
        <v>2013</v>
      </c>
      <c r="J293" s="1" t="s">
        <v>5435</v>
      </c>
      <c r="K293" s="1" t="s">
        <v>7</v>
      </c>
      <c r="L293" s="11" t="str">
        <f t="shared" si="125"/>
        <v>НЕТ</v>
      </c>
      <c r="M293" s="10" t="s">
        <v>1575</v>
      </c>
      <c r="N293" s="10" t="s">
        <v>1575</v>
      </c>
      <c r="O293" s="10">
        <v>9.5999999999999992E-3</v>
      </c>
      <c r="P293" s="10">
        <f t="shared" si="92"/>
        <v>0.14769230769230768</v>
      </c>
      <c r="Q293" s="10" t="str">
        <f t="shared" si="93"/>
        <v>NA</v>
      </c>
      <c r="R293" s="10" t="s">
        <v>1575</v>
      </c>
      <c r="S293" s="10" t="s">
        <v>1575</v>
      </c>
      <c r="T293" s="10" t="s">
        <v>1575</v>
      </c>
      <c r="U293" s="10" t="s">
        <v>1575</v>
      </c>
      <c r="V293" s="10">
        <v>0.48899999999999999</v>
      </c>
      <c r="W293" s="10" t="s">
        <v>1575</v>
      </c>
      <c r="X293" s="10" t="str">
        <f t="shared" si="94"/>
        <v>NA</v>
      </c>
      <c r="Y293" s="10" t="str">
        <f t="shared" si="95"/>
        <v>NA</v>
      </c>
      <c r="Z293" s="10" t="str">
        <f t="shared" si="96"/>
        <v>NA</v>
      </c>
      <c r="AA293" s="10">
        <f t="shared" si="97"/>
        <v>0.30202925908447381</v>
      </c>
      <c r="AB293" s="10" t="str">
        <f t="shared" si="98"/>
        <v>NA</v>
      </c>
      <c r="AC293" s="10" t="str">
        <f t="shared" si="99"/>
        <v>NA</v>
      </c>
      <c r="AD293" s="10" t="str">
        <f t="shared" si="100"/>
        <v>NA</v>
      </c>
      <c r="AE293" s="10" t="str">
        <f t="shared" si="101"/>
        <v>NA</v>
      </c>
      <c r="AF293" s="1" t="s">
        <v>4110</v>
      </c>
    </row>
    <row r="294" spans="1:32" x14ac:dyDescent="0.2">
      <c r="A294" s="1" t="s">
        <v>5463</v>
      </c>
      <c r="B294" s="1" t="s">
        <v>5</v>
      </c>
      <c r="C294" s="1" t="s">
        <v>1575</v>
      </c>
      <c r="D294" s="1" t="s">
        <v>1580</v>
      </c>
      <c r="E294" s="1" t="s">
        <v>1590</v>
      </c>
      <c r="F294" s="1" t="s">
        <v>545</v>
      </c>
      <c r="G294" s="4">
        <v>1</v>
      </c>
      <c r="H294" s="28">
        <v>41425</v>
      </c>
      <c r="I294" s="29">
        <f t="shared" si="118"/>
        <v>2013</v>
      </c>
      <c r="J294" s="1" t="s">
        <v>5435</v>
      </c>
      <c r="K294" s="1" t="s">
        <v>7</v>
      </c>
      <c r="L294" s="11" t="str">
        <f t="shared" ref="L294" si="126">IF(OR(A294=J294,A294=K294),"ДА","НЕТ")</f>
        <v>НЕТ</v>
      </c>
      <c r="M294" s="10" t="s">
        <v>1575</v>
      </c>
      <c r="N294" s="10" t="s">
        <v>1575</v>
      </c>
      <c r="O294" s="10">
        <v>1.3198000000000001</v>
      </c>
      <c r="P294" s="10">
        <f t="shared" si="92"/>
        <v>1.3198000000000001</v>
      </c>
      <c r="Q294" s="10" t="str">
        <f t="shared" si="93"/>
        <v>NA</v>
      </c>
      <c r="R294" s="10" t="s">
        <v>1575</v>
      </c>
      <c r="S294" s="10" t="s">
        <v>1575</v>
      </c>
      <c r="T294" s="10" t="s">
        <v>1575</v>
      </c>
      <c r="U294" s="10" t="s">
        <v>1575</v>
      </c>
      <c r="V294" s="10">
        <v>7.4596</v>
      </c>
      <c r="W294" s="10" t="s">
        <v>1575</v>
      </c>
      <c r="X294" s="10" t="str">
        <f t="shared" si="94"/>
        <v>NA</v>
      </c>
      <c r="Y294" s="10" t="str">
        <f t="shared" si="95"/>
        <v>NA</v>
      </c>
      <c r="Z294" s="10" t="str">
        <f t="shared" si="96"/>
        <v>NA</v>
      </c>
      <c r="AA294" s="10">
        <f t="shared" si="97"/>
        <v>0.17692637674942358</v>
      </c>
      <c r="AB294" s="10" t="str">
        <f t="shared" si="98"/>
        <v>NA</v>
      </c>
      <c r="AC294" s="10" t="str">
        <f t="shared" si="99"/>
        <v>NA</v>
      </c>
      <c r="AD294" s="10" t="str">
        <f t="shared" si="100"/>
        <v>NA</v>
      </c>
      <c r="AE294" s="10" t="str">
        <f t="shared" si="101"/>
        <v>NA</v>
      </c>
      <c r="AF294" s="1" t="s">
        <v>4117</v>
      </c>
    </row>
    <row r="295" spans="1:32" x14ac:dyDescent="0.2">
      <c r="A295" s="1" t="s">
        <v>5464</v>
      </c>
      <c r="B295" s="1" t="s">
        <v>5</v>
      </c>
      <c r="C295" s="1" t="s">
        <v>1575</v>
      </c>
      <c r="D295" s="1" t="s">
        <v>1580</v>
      </c>
      <c r="E295" s="1" t="s">
        <v>1590</v>
      </c>
      <c r="F295" s="1" t="s">
        <v>545</v>
      </c>
      <c r="G295" s="4">
        <v>0.59099999999999997</v>
      </c>
      <c r="H295" s="28">
        <v>41425</v>
      </c>
      <c r="I295" s="29">
        <f t="shared" si="118"/>
        <v>2013</v>
      </c>
      <c r="J295" s="1" t="s">
        <v>5435</v>
      </c>
      <c r="K295" s="1" t="s">
        <v>7</v>
      </c>
      <c r="L295" s="11" t="str">
        <f t="shared" ref="L295" si="127">IF(OR(A295=J295,A295=K295),"ДА","НЕТ")</f>
        <v>НЕТ</v>
      </c>
      <c r="M295" s="10" t="s">
        <v>1575</v>
      </c>
      <c r="N295" s="10" t="s">
        <v>1575</v>
      </c>
      <c r="O295" s="10">
        <v>0.4753</v>
      </c>
      <c r="P295" s="10">
        <f t="shared" si="92"/>
        <v>0.80423011844331649</v>
      </c>
      <c r="Q295" s="10" t="str">
        <f t="shared" si="93"/>
        <v>NA</v>
      </c>
      <c r="R295" s="10" t="s">
        <v>1575</v>
      </c>
      <c r="S295" s="10" t="s">
        <v>1575</v>
      </c>
      <c r="T295" s="10" t="s">
        <v>1575</v>
      </c>
      <c r="U295" s="10" t="s">
        <v>1575</v>
      </c>
      <c r="V295" s="10">
        <v>3.5129999999999999</v>
      </c>
      <c r="W295" s="10" t="s">
        <v>1575</v>
      </c>
      <c r="X295" s="10" t="str">
        <f t="shared" si="94"/>
        <v>NA</v>
      </c>
      <c r="Y295" s="10" t="str">
        <f t="shared" si="95"/>
        <v>NA</v>
      </c>
      <c r="Z295" s="10" t="str">
        <f t="shared" si="96"/>
        <v>NA</v>
      </c>
      <c r="AA295" s="10">
        <f t="shared" si="97"/>
        <v>0.2289297234396005</v>
      </c>
      <c r="AB295" s="10" t="str">
        <f t="shared" si="98"/>
        <v>NA</v>
      </c>
      <c r="AC295" s="10" t="str">
        <f t="shared" si="99"/>
        <v>NA</v>
      </c>
      <c r="AD295" s="10" t="str">
        <f t="shared" si="100"/>
        <v>NA</v>
      </c>
      <c r="AE295" s="10" t="str">
        <f t="shared" si="101"/>
        <v>NA</v>
      </c>
      <c r="AF295" s="1" t="s">
        <v>4118</v>
      </c>
    </row>
    <row r="296" spans="1:32" x14ac:dyDescent="0.2">
      <c r="A296" s="1" t="s">
        <v>5465</v>
      </c>
      <c r="B296" s="1" t="s">
        <v>5</v>
      </c>
      <c r="C296" s="1" t="s">
        <v>1575</v>
      </c>
      <c r="D296" s="1" t="s">
        <v>1584</v>
      </c>
      <c r="E296" s="1" t="s">
        <v>1586</v>
      </c>
      <c r="F296" s="1" t="s">
        <v>66</v>
      </c>
      <c r="G296" s="4">
        <v>0.997</v>
      </c>
      <c r="H296" s="28">
        <v>41455</v>
      </c>
      <c r="I296" s="29">
        <f t="shared" si="118"/>
        <v>2013</v>
      </c>
      <c r="J296" s="1" t="s">
        <v>5435</v>
      </c>
      <c r="K296" s="1" t="s">
        <v>7</v>
      </c>
      <c r="L296" s="11" t="str">
        <f t="shared" ref="L296:L302" si="128">IF(OR(A296=J296,A296=K296),"ДА","НЕТ")</f>
        <v>НЕТ</v>
      </c>
      <c r="M296" s="10" t="s">
        <v>1575</v>
      </c>
      <c r="N296" s="10" t="s">
        <v>1575</v>
      </c>
      <c r="O296" s="10">
        <v>0.17960000000000001</v>
      </c>
      <c r="P296" s="10">
        <f t="shared" si="92"/>
        <v>0.18014042126379137</v>
      </c>
      <c r="Q296" s="10" t="str">
        <f t="shared" si="93"/>
        <v>NA</v>
      </c>
      <c r="R296" s="10" t="s">
        <v>1575</v>
      </c>
      <c r="S296" s="10" t="s">
        <v>1575</v>
      </c>
      <c r="T296" s="10" t="s">
        <v>1575</v>
      </c>
      <c r="U296" s="10" t="s">
        <v>1575</v>
      </c>
      <c r="V296" s="10">
        <v>0.184</v>
      </c>
      <c r="W296" s="10" t="s">
        <v>1575</v>
      </c>
      <c r="X296" s="10" t="str">
        <f t="shared" si="94"/>
        <v>NA</v>
      </c>
      <c r="Y296" s="10" t="str">
        <f t="shared" si="95"/>
        <v>NA</v>
      </c>
      <c r="Z296" s="10" t="str">
        <f t="shared" si="96"/>
        <v>NA</v>
      </c>
      <c r="AA296" s="10">
        <f t="shared" si="97"/>
        <v>0.97902402860756177</v>
      </c>
      <c r="AB296" s="10" t="str">
        <f t="shared" si="98"/>
        <v>NA</v>
      </c>
      <c r="AC296" s="10" t="str">
        <f t="shared" si="99"/>
        <v>NA</v>
      </c>
      <c r="AD296" s="10" t="str">
        <f t="shared" si="100"/>
        <v>NA</v>
      </c>
      <c r="AE296" s="10" t="str">
        <f t="shared" si="101"/>
        <v>NA</v>
      </c>
      <c r="AF296" s="1" t="s">
        <v>4120</v>
      </c>
    </row>
    <row r="297" spans="1:32" x14ac:dyDescent="0.2">
      <c r="A297" s="1" t="s">
        <v>5466</v>
      </c>
      <c r="B297" s="1" t="s">
        <v>5</v>
      </c>
      <c r="C297" s="1" t="s">
        <v>1575</v>
      </c>
      <c r="D297" s="1" t="s">
        <v>1582</v>
      </c>
      <c r="E297" s="1" t="s">
        <v>5352</v>
      </c>
      <c r="F297" s="1" t="s">
        <v>4129</v>
      </c>
      <c r="G297" s="4">
        <v>0.69</v>
      </c>
      <c r="H297" s="28">
        <v>41333</v>
      </c>
      <c r="I297" s="29">
        <f t="shared" si="118"/>
        <v>2013</v>
      </c>
      <c r="J297" s="1" t="s">
        <v>7</v>
      </c>
      <c r="K297" s="1" t="s">
        <v>5435</v>
      </c>
      <c r="L297" s="11" t="str">
        <f t="shared" si="128"/>
        <v>НЕТ</v>
      </c>
      <c r="M297" s="10" t="s">
        <v>1575</v>
      </c>
      <c r="N297" s="10" t="s">
        <v>1575</v>
      </c>
      <c r="O297" s="10">
        <v>9.9999999999999995E-7</v>
      </c>
      <c r="P297" s="10">
        <f t="shared" si="92"/>
        <v>1.4492753623188406E-6</v>
      </c>
      <c r="Q297" s="10" t="str">
        <f t="shared" si="93"/>
        <v>NA</v>
      </c>
      <c r="R297" s="10" t="s">
        <v>1575</v>
      </c>
      <c r="S297" s="10" t="s">
        <v>1575</v>
      </c>
      <c r="T297" s="10" t="s">
        <v>1575</v>
      </c>
      <c r="U297" s="10" t="s">
        <v>1575</v>
      </c>
      <c r="V297" s="10" t="s">
        <v>1575</v>
      </c>
      <c r="W297" s="10" t="s">
        <v>1575</v>
      </c>
      <c r="X297" s="10" t="str">
        <f t="shared" si="94"/>
        <v>NA</v>
      </c>
      <c r="Y297" s="10" t="str">
        <f t="shared" si="95"/>
        <v>NA</v>
      </c>
      <c r="Z297" s="10" t="str">
        <f t="shared" si="96"/>
        <v>NA</v>
      </c>
      <c r="AA297" s="10" t="str">
        <f t="shared" si="97"/>
        <v>NA</v>
      </c>
      <c r="AB297" s="10" t="str">
        <f t="shared" si="98"/>
        <v>NA</v>
      </c>
      <c r="AC297" s="10" t="str">
        <f t="shared" si="99"/>
        <v>NA</v>
      </c>
      <c r="AD297" s="10" t="str">
        <f t="shared" si="100"/>
        <v>NA</v>
      </c>
      <c r="AE297" s="10" t="str">
        <f t="shared" si="101"/>
        <v>NA</v>
      </c>
      <c r="AF297" s="1" t="s">
        <v>4121</v>
      </c>
    </row>
    <row r="298" spans="1:32" x14ac:dyDescent="0.2">
      <c r="A298" s="1" t="s">
        <v>5467</v>
      </c>
      <c r="B298" s="1" t="s">
        <v>5</v>
      </c>
      <c r="C298" s="1" t="s">
        <v>1575</v>
      </c>
      <c r="D298" s="1" t="s">
        <v>1582</v>
      </c>
      <c r="E298" s="1" t="s">
        <v>5352</v>
      </c>
      <c r="F298" s="1" t="s">
        <v>1745</v>
      </c>
      <c r="G298" s="4">
        <v>0.99990000000000001</v>
      </c>
      <c r="H298" s="28">
        <v>41364</v>
      </c>
      <c r="I298" s="29">
        <f t="shared" si="118"/>
        <v>2013</v>
      </c>
      <c r="J298" s="1" t="s">
        <v>7</v>
      </c>
      <c r="K298" s="1" t="s">
        <v>5435</v>
      </c>
      <c r="L298" s="11" t="str">
        <f t="shared" si="128"/>
        <v>НЕТ</v>
      </c>
      <c r="M298" s="10" t="s">
        <v>1575</v>
      </c>
      <c r="N298" s="10" t="s">
        <v>1575</v>
      </c>
      <c r="O298" s="10">
        <v>2E-8</v>
      </c>
      <c r="P298" s="10">
        <f t="shared" si="92"/>
        <v>2.0002000200020001E-8</v>
      </c>
      <c r="Q298" s="10" t="str">
        <f t="shared" si="93"/>
        <v>NA</v>
      </c>
      <c r="R298" s="10" t="s">
        <v>1575</v>
      </c>
      <c r="S298" s="10" t="s">
        <v>1575</v>
      </c>
      <c r="T298" s="10" t="s">
        <v>1575</v>
      </c>
      <c r="U298" s="10" t="s">
        <v>1575</v>
      </c>
      <c r="V298" s="10" t="s">
        <v>1575</v>
      </c>
      <c r="W298" s="10" t="s">
        <v>1575</v>
      </c>
      <c r="X298" s="10" t="str">
        <f t="shared" si="94"/>
        <v>NA</v>
      </c>
      <c r="Y298" s="10" t="str">
        <f t="shared" si="95"/>
        <v>NA</v>
      </c>
      <c r="Z298" s="10" t="str">
        <f t="shared" si="96"/>
        <v>NA</v>
      </c>
      <c r="AA298" s="10" t="str">
        <f t="shared" si="97"/>
        <v>NA</v>
      </c>
      <c r="AB298" s="10" t="str">
        <f t="shared" si="98"/>
        <v>NA</v>
      </c>
      <c r="AC298" s="10" t="str">
        <f t="shared" si="99"/>
        <v>NA</v>
      </c>
      <c r="AD298" s="10" t="str">
        <f t="shared" si="100"/>
        <v>NA</v>
      </c>
      <c r="AE298" s="10" t="str">
        <f t="shared" si="101"/>
        <v>NA</v>
      </c>
      <c r="AF298" s="1" t="s">
        <v>4122</v>
      </c>
    </row>
    <row r="299" spans="1:32" x14ac:dyDescent="0.2">
      <c r="A299" s="1" t="s">
        <v>5468</v>
      </c>
      <c r="B299" s="1" t="s">
        <v>5</v>
      </c>
      <c r="C299" s="1" t="s">
        <v>1575</v>
      </c>
      <c r="D299" s="1" t="s">
        <v>1582</v>
      </c>
      <c r="E299" s="1" t="s">
        <v>5352</v>
      </c>
      <c r="F299" s="1" t="s">
        <v>1745</v>
      </c>
      <c r="G299" s="4">
        <v>1</v>
      </c>
      <c r="H299" s="28">
        <v>41394</v>
      </c>
      <c r="I299" s="29">
        <f t="shared" si="118"/>
        <v>2013</v>
      </c>
      <c r="J299" s="1" t="s">
        <v>7</v>
      </c>
      <c r="K299" s="1" t="s">
        <v>5435</v>
      </c>
      <c r="L299" s="11" t="str">
        <f t="shared" si="128"/>
        <v>НЕТ</v>
      </c>
      <c r="M299" s="10" t="s">
        <v>1575</v>
      </c>
      <c r="N299" s="10" t="s">
        <v>1575</v>
      </c>
      <c r="O299" s="10">
        <v>0.18</v>
      </c>
      <c r="P299" s="10">
        <f t="shared" si="92"/>
        <v>0.18</v>
      </c>
      <c r="Q299" s="10" t="str">
        <f t="shared" si="93"/>
        <v>NA</v>
      </c>
      <c r="R299" s="10" t="s">
        <v>1575</v>
      </c>
      <c r="S299" s="10" t="s">
        <v>1575</v>
      </c>
      <c r="T299" s="10" t="s">
        <v>1575</v>
      </c>
      <c r="U299" s="10" t="s">
        <v>1575</v>
      </c>
      <c r="V299" s="10" t="s">
        <v>1575</v>
      </c>
      <c r="W299" s="10" t="s">
        <v>1575</v>
      </c>
      <c r="X299" s="10" t="str">
        <f t="shared" si="94"/>
        <v>NA</v>
      </c>
      <c r="Y299" s="10" t="str">
        <f t="shared" si="95"/>
        <v>NA</v>
      </c>
      <c r="Z299" s="10" t="str">
        <f t="shared" si="96"/>
        <v>NA</v>
      </c>
      <c r="AA299" s="10" t="str">
        <f t="shared" si="97"/>
        <v>NA</v>
      </c>
      <c r="AB299" s="10" t="str">
        <f t="shared" si="98"/>
        <v>NA</v>
      </c>
      <c r="AC299" s="10" t="str">
        <f t="shared" si="99"/>
        <v>NA</v>
      </c>
      <c r="AD299" s="10" t="str">
        <f t="shared" si="100"/>
        <v>NA</v>
      </c>
      <c r="AE299" s="10" t="str">
        <f t="shared" si="101"/>
        <v>NA</v>
      </c>
      <c r="AF299" s="1" t="s">
        <v>4123</v>
      </c>
    </row>
    <row r="300" spans="1:32" x14ac:dyDescent="0.2">
      <c r="A300" s="1" t="s">
        <v>5469</v>
      </c>
      <c r="B300" s="1" t="s">
        <v>62</v>
      </c>
      <c r="C300" s="1" t="s">
        <v>1575</v>
      </c>
      <c r="D300" s="1" t="s">
        <v>1580</v>
      </c>
      <c r="E300" s="1" t="s">
        <v>1694</v>
      </c>
      <c r="F300" s="1" t="s">
        <v>68</v>
      </c>
      <c r="G300" s="4">
        <v>1</v>
      </c>
      <c r="H300" s="28">
        <v>41425</v>
      </c>
      <c r="I300" s="29">
        <f t="shared" si="118"/>
        <v>2013</v>
      </c>
      <c r="J300" s="1" t="s">
        <v>7</v>
      </c>
      <c r="K300" s="1" t="s">
        <v>5435</v>
      </c>
      <c r="L300" s="11" t="str">
        <f t="shared" si="128"/>
        <v>НЕТ</v>
      </c>
      <c r="M300" s="10" t="s">
        <v>1575</v>
      </c>
      <c r="N300" s="10" t="s">
        <v>1575</v>
      </c>
      <c r="O300" s="10">
        <v>0.4173</v>
      </c>
      <c r="P300" s="10">
        <f t="shared" si="92"/>
        <v>0.4173</v>
      </c>
      <c r="Q300" s="10" t="str">
        <f t="shared" si="93"/>
        <v>NA</v>
      </c>
      <c r="R300" s="10" t="s">
        <v>1575</v>
      </c>
      <c r="S300" s="10" t="s">
        <v>1575</v>
      </c>
      <c r="T300" s="10" t="s">
        <v>1575</v>
      </c>
      <c r="U300" s="10" t="s">
        <v>1575</v>
      </c>
      <c r="V300" s="10" t="s">
        <v>1575</v>
      </c>
      <c r="W300" s="10" t="s">
        <v>1575</v>
      </c>
      <c r="X300" s="10" t="str">
        <f t="shared" si="94"/>
        <v>NA</v>
      </c>
      <c r="Y300" s="10" t="str">
        <f t="shared" si="95"/>
        <v>NA</v>
      </c>
      <c r="Z300" s="10" t="str">
        <f t="shared" si="96"/>
        <v>NA</v>
      </c>
      <c r="AA300" s="10" t="str">
        <f t="shared" si="97"/>
        <v>NA</v>
      </c>
      <c r="AB300" s="10" t="str">
        <f t="shared" si="98"/>
        <v>NA</v>
      </c>
      <c r="AC300" s="10" t="str">
        <f t="shared" si="99"/>
        <v>NA</v>
      </c>
      <c r="AD300" s="10" t="str">
        <f t="shared" si="100"/>
        <v>NA</v>
      </c>
      <c r="AE300" s="10" t="str">
        <f t="shared" si="101"/>
        <v>NA</v>
      </c>
      <c r="AF300" s="1" t="s">
        <v>4124</v>
      </c>
    </row>
    <row r="301" spans="1:32" x14ac:dyDescent="0.2">
      <c r="A301" s="1" t="s">
        <v>4127</v>
      </c>
      <c r="B301" s="1" t="s">
        <v>5</v>
      </c>
      <c r="C301" s="1" t="s">
        <v>1575</v>
      </c>
      <c r="D301" s="1" t="s">
        <v>1582</v>
      </c>
      <c r="E301" s="1" t="s">
        <v>5352</v>
      </c>
      <c r="F301" s="1" t="s">
        <v>1745</v>
      </c>
      <c r="G301" s="4">
        <v>0.99980000000000002</v>
      </c>
      <c r="H301" s="28">
        <v>41517</v>
      </c>
      <c r="I301" s="29">
        <f t="shared" si="118"/>
        <v>2013</v>
      </c>
      <c r="J301" s="1" t="s">
        <v>7</v>
      </c>
      <c r="K301" s="1" t="s">
        <v>5435</v>
      </c>
      <c r="L301" s="11" t="str">
        <f t="shared" si="128"/>
        <v>НЕТ</v>
      </c>
      <c r="M301" s="10" t="s">
        <v>1575</v>
      </c>
      <c r="N301" s="10" t="s">
        <v>1575</v>
      </c>
      <c r="O301" s="10">
        <v>0.18</v>
      </c>
      <c r="P301" s="10">
        <f t="shared" si="92"/>
        <v>0.18003600720144028</v>
      </c>
      <c r="Q301" s="10" t="str">
        <f t="shared" si="93"/>
        <v>NA</v>
      </c>
      <c r="R301" s="10" t="s">
        <v>1575</v>
      </c>
      <c r="S301" s="10" t="s">
        <v>1575</v>
      </c>
      <c r="T301" s="10" t="s">
        <v>1575</v>
      </c>
      <c r="U301" s="10" t="s">
        <v>1575</v>
      </c>
      <c r="V301" s="10" t="s">
        <v>1575</v>
      </c>
      <c r="W301" s="10" t="s">
        <v>1575</v>
      </c>
      <c r="X301" s="10" t="str">
        <f t="shared" si="94"/>
        <v>NA</v>
      </c>
      <c r="Y301" s="10" t="str">
        <f t="shared" si="95"/>
        <v>NA</v>
      </c>
      <c r="Z301" s="10" t="str">
        <f t="shared" si="96"/>
        <v>NA</v>
      </c>
      <c r="AA301" s="10" t="str">
        <f t="shared" si="97"/>
        <v>NA</v>
      </c>
      <c r="AB301" s="10" t="str">
        <f t="shared" si="98"/>
        <v>NA</v>
      </c>
      <c r="AC301" s="10" t="str">
        <f t="shared" si="99"/>
        <v>NA</v>
      </c>
      <c r="AD301" s="10" t="str">
        <f t="shared" si="100"/>
        <v>NA</v>
      </c>
      <c r="AE301" s="10" t="str">
        <f t="shared" si="101"/>
        <v>NA</v>
      </c>
      <c r="AF301" s="1" t="s">
        <v>4125</v>
      </c>
    </row>
    <row r="302" spans="1:32" x14ac:dyDescent="0.2">
      <c r="A302" s="1" t="s">
        <v>4128</v>
      </c>
      <c r="B302" s="1" t="s">
        <v>5</v>
      </c>
      <c r="C302" s="1" t="s">
        <v>1575</v>
      </c>
      <c r="D302" s="1" t="s">
        <v>1578</v>
      </c>
      <c r="E302" s="1" t="s">
        <v>1579</v>
      </c>
      <c r="F302" s="1" t="s">
        <v>429</v>
      </c>
      <c r="G302" s="4">
        <v>0.98870000000000002</v>
      </c>
      <c r="H302" s="28">
        <v>41578</v>
      </c>
      <c r="I302" s="29">
        <f t="shared" si="118"/>
        <v>2013</v>
      </c>
      <c r="J302" s="1" t="s">
        <v>7</v>
      </c>
      <c r="K302" s="1" t="s">
        <v>5435</v>
      </c>
      <c r="L302" s="11" t="str">
        <f t="shared" si="128"/>
        <v>НЕТ</v>
      </c>
      <c r="M302" s="10" t="s">
        <v>1575</v>
      </c>
      <c r="N302" s="10" t="s">
        <v>1575</v>
      </c>
      <c r="O302" s="10">
        <v>0.5</v>
      </c>
      <c r="P302" s="10">
        <f t="shared" si="92"/>
        <v>0.50571457469404268</v>
      </c>
      <c r="Q302" s="10" t="str">
        <f t="shared" si="93"/>
        <v>NA</v>
      </c>
      <c r="R302" s="10" t="s">
        <v>1575</v>
      </c>
      <c r="S302" s="10" t="s">
        <v>1575</v>
      </c>
      <c r="T302" s="10" t="s">
        <v>1575</v>
      </c>
      <c r="U302" s="10" t="s">
        <v>1575</v>
      </c>
      <c r="V302" s="10" t="s">
        <v>1575</v>
      </c>
      <c r="W302" s="10" t="s">
        <v>1575</v>
      </c>
      <c r="X302" s="10" t="str">
        <f t="shared" si="94"/>
        <v>NA</v>
      </c>
      <c r="Y302" s="10" t="str">
        <f t="shared" si="95"/>
        <v>NA</v>
      </c>
      <c r="Z302" s="10" t="str">
        <f t="shared" si="96"/>
        <v>NA</v>
      </c>
      <c r="AA302" s="10" t="str">
        <f t="shared" si="97"/>
        <v>NA</v>
      </c>
      <c r="AB302" s="10" t="str">
        <f t="shared" si="98"/>
        <v>NA</v>
      </c>
      <c r="AC302" s="10" t="str">
        <f t="shared" si="99"/>
        <v>NA</v>
      </c>
      <c r="AD302" s="10" t="str">
        <f t="shared" si="100"/>
        <v>NA</v>
      </c>
      <c r="AE302" s="10" t="str">
        <f t="shared" si="101"/>
        <v>NA</v>
      </c>
      <c r="AF302" s="1" t="s">
        <v>4126</v>
      </c>
    </row>
    <row r="303" spans="1:32" x14ac:dyDescent="0.2">
      <c r="A303" s="1" t="s">
        <v>4128</v>
      </c>
      <c r="B303" s="1" t="s">
        <v>5</v>
      </c>
      <c r="C303" s="1" t="s">
        <v>1575</v>
      </c>
      <c r="D303" s="1" t="s">
        <v>1578</v>
      </c>
      <c r="E303" s="1" t="s">
        <v>1579</v>
      </c>
      <c r="F303" s="1" t="s">
        <v>429</v>
      </c>
      <c r="G303" s="4">
        <v>1</v>
      </c>
      <c r="H303" s="28">
        <v>41090</v>
      </c>
      <c r="I303" s="29">
        <f t="shared" si="118"/>
        <v>2012</v>
      </c>
      <c r="J303" s="1" t="s">
        <v>5435</v>
      </c>
      <c r="K303" s="1" t="s">
        <v>7</v>
      </c>
      <c r="L303" s="11" t="str">
        <f t="shared" ref="L303" si="129">IF(OR(A303=J303,A303=K303),"ДА","НЕТ")</f>
        <v>НЕТ</v>
      </c>
      <c r="M303" s="10" t="s">
        <v>1575</v>
      </c>
      <c r="N303" s="10" t="s">
        <v>1575</v>
      </c>
      <c r="O303" s="10">
        <v>1.5E-5</v>
      </c>
      <c r="P303" s="10">
        <f t="shared" si="92"/>
        <v>1.5E-5</v>
      </c>
      <c r="Q303" s="10" t="str">
        <f t="shared" si="93"/>
        <v>NA</v>
      </c>
      <c r="R303" s="10" t="s">
        <v>1575</v>
      </c>
      <c r="S303" s="10" t="s">
        <v>1575</v>
      </c>
      <c r="T303" s="10" t="s">
        <v>1575</v>
      </c>
      <c r="U303" s="10" t="s">
        <v>1575</v>
      </c>
      <c r="V303" s="10">
        <v>0.33450000000000002</v>
      </c>
      <c r="W303" s="10" t="s">
        <v>1575</v>
      </c>
      <c r="X303" s="10" t="str">
        <f t="shared" si="94"/>
        <v>NA</v>
      </c>
      <c r="Y303" s="10" t="str">
        <f t="shared" si="95"/>
        <v>NA</v>
      </c>
      <c r="Z303" s="10" t="str">
        <f t="shared" si="96"/>
        <v>NA</v>
      </c>
      <c r="AA303" s="10">
        <f t="shared" si="97"/>
        <v>4.4843049327354258E-5</v>
      </c>
      <c r="AB303" s="10" t="str">
        <f t="shared" si="98"/>
        <v>NA</v>
      </c>
      <c r="AC303" s="10" t="str">
        <f t="shared" si="99"/>
        <v>NA</v>
      </c>
      <c r="AD303" s="10" t="str">
        <f t="shared" si="100"/>
        <v>NA</v>
      </c>
      <c r="AE303" s="10" t="str">
        <f t="shared" si="101"/>
        <v>NA</v>
      </c>
      <c r="AF303" s="1" t="s">
        <v>4130</v>
      </c>
    </row>
    <row r="304" spans="1:32" x14ac:dyDescent="0.2">
      <c r="A304" s="1" t="s">
        <v>4145</v>
      </c>
      <c r="B304" s="1" t="s">
        <v>879</v>
      </c>
      <c r="C304" s="1" t="s">
        <v>1575</v>
      </c>
      <c r="D304" s="1" t="s">
        <v>1582</v>
      </c>
      <c r="E304" s="1" t="s">
        <v>5352</v>
      </c>
      <c r="F304" s="1" t="s">
        <v>1745</v>
      </c>
      <c r="G304" s="4">
        <v>1</v>
      </c>
      <c r="H304" s="28">
        <v>41060</v>
      </c>
      <c r="I304" s="29">
        <f t="shared" si="118"/>
        <v>2012</v>
      </c>
      <c r="J304" s="1" t="s">
        <v>5470</v>
      </c>
      <c r="K304" s="1" t="s">
        <v>7</v>
      </c>
      <c r="L304" s="11" t="str">
        <f t="shared" ref="L304:L314" si="130">IF(OR(A304=J304,A304=K304),"ДА","НЕТ")</f>
        <v>НЕТ</v>
      </c>
      <c r="M304" s="10" t="s">
        <v>1575</v>
      </c>
      <c r="N304" s="10" t="s">
        <v>1575</v>
      </c>
      <c r="O304" s="10" t="s">
        <v>1575</v>
      </c>
      <c r="P304" s="10" t="str">
        <f t="shared" si="92"/>
        <v>NA</v>
      </c>
      <c r="Q304" s="10" t="str">
        <f t="shared" si="93"/>
        <v>NA</v>
      </c>
      <c r="R304" s="10" t="s">
        <v>1575</v>
      </c>
      <c r="S304" s="10" t="s">
        <v>1575</v>
      </c>
      <c r="T304" s="10" t="s">
        <v>1575</v>
      </c>
      <c r="U304" s="10" t="s">
        <v>1575</v>
      </c>
      <c r="V304" s="10">
        <v>0</v>
      </c>
      <c r="W304" s="10" t="s">
        <v>1575</v>
      </c>
      <c r="X304" s="10" t="str">
        <f t="shared" si="94"/>
        <v>NA</v>
      </c>
      <c r="Y304" s="10" t="str">
        <f t="shared" si="95"/>
        <v>NA</v>
      </c>
      <c r="Z304" s="10" t="str">
        <f t="shared" si="96"/>
        <v>NA</v>
      </c>
      <c r="AA304" s="10" t="str">
        <f t="shared" si="97"/>
        <v>NA</v>
      </c>
      <c r="AB304" s="10" t="str">
        <f t="shared" si="98"/>
        <v>NA</v>
      </c>
      <c r="AC304" s="10" t="str">
        <f t="shared" si="99"/>
        <v>NA</v>
      </c>
      <c r="AD304" s="10" t="str">
        <f t="shared" si="100"/>
        <v>NA</v>
      </c>
      <c r="AE304" s="10" t="str">
        <f t="shared" si="101"/>
        <v>NA</v>
      </c>
      <c r="AF304" s="1" t="s">
        <v>4146</v>
      </c>
    </row>
    <row r="305" spans="1:32" x14ac:dyDescent="0.2">
      <c r="A305" s="1" t="s">
        <v>5471</v>
      </c>
      <c r="B305" s="1" t="s">
        <v>5</v>
      </c>
      <c r="C305" s="1" t="s">
        <v>1575</v>
      </c>
      <c r="D305" s="1" t="s">
        <v>1575</v>
      </c>
      <c r="E305" s="1" t="s">
        <v>1575</v>
      </c>
      <c r="F305" s="1" t="s">
        <v>1575</v>
      </c>
      <c r="G305" s="4" t="s">
        <v>11</v>
      </c>
      <c r="H305" s="28">
        <v>41090</v>
      </c>
      <c r="I305" s="29">
        <f t="shared" si="118"/>
        <v>2012</v>
      </c>
      <c r="J305" s="1" t="s">
        <v>5472</v>
      </c>
      <c r="K305" s="1" t="s">
        <v>7</v>
      </c>
      <c r="L305" s="11" t="str">
        <f t="shared" si="130"/>
        <v>НЕТ</v>
      </c>
      <c r="M305" s="10" t="s">
        <v>1575</v>
      </c>
      <c r="N305" s="10" t="s">
        <v>1575</v>
      </c>
      <c r="O305" s="10">
        <v>2E-3</v>
      </c>
      <c r="P305" s="10" t="str">
        <f t="shared" si="92"/>
        <v>NA</v>
      </c>
      <c r="Q305" s="10" t="str">
        <f t="shared" si="93"/>
        <v>NA</v>
      </c>
      <c r="R305" s="10" t="s">
        <v>1575</v>
      </c>
      <c r="S305" s="10" t="s">
        <v>1575</v>
      </c>
      <c r="T305" s="10" t="s">
        <v>1575</v>
      </c>
      <c r="U305" s="10" t="s">
        <v>1575</v>
      </c>
      <c r="V305" s="10">
        <v>2.5000000000000001E-3</v>
      </c>
      <c r="W305" s="10" t="s">
        <v>1575</v>
      </c>
      <c r="X305" s="10" t="str">
        <f t="shared" si="94"/>
        <v>NA</v>
      </c>
      <c r="Y305" s="10" t="str">
        <f t="shared" si="95"/>
        <v>NA</v>
      </c>
      <c r="Z305" s="10" t="str">
        <f t="shared" si="96"/>
        <v>NA</v>
      </c>
      <c r="AA305" s="10" t="str">
        <f t="shared" si="97"/>
        <v>NA</v>
      </c>
      <c r="AB305" s="10" t="str">
        <f t="shared" si="98"/>
        <v>NA</v>
      </c>
      <c r="AC305" s="10" t="str">
        <f t="shared" si="99"/>
        <v>NA</v>
      </c>
      <c r="AD305" s="10" t="str">
        <f t="shared" si="100"/>
        <v>NA</v>
      </c>
      <c r="AE305" s="10" t="str">
        <f t="shared" si="101"/>
        <v>NA</v>
      </c>
      <c r="AF305" s="1" t="s">
        <v>4131</v>
      </c>
    </row>
    <row r="306" spans="1:32" x14ac:dyDescent="0.2">
      <c r="A306" s="1" t="s">
        <v>5473</v>
      </c>
      <c r="B306" s="1" t="s">
        <v>5</v>
      </c>
      <c r="C306" s="1" t="s">
        <v>1575</v>
      </c>
      <c r="D306" s="1" t="s">
        <v>1582</v>
      </c>
      <c r="E306" s="1" t="s">
        <v>1845</v>
      </c>
      <c r="F306" s="1" t="s">
        <v>4129</v>
      </c>
      <c r="G306" s="4">
        <v>1</v>
      </c>
      <c r="H306" s="28">
        <v>41090</v>
      </c>
      <c r="I306" s="29">
        <f t="shared" si="118"/>
        <v>2012</v>
      </c>
      <c r="J306" s="1" t="s">
        <v>5472</v>
      </c>
      <c r="K306" s="1" t="s">
        <v>7</v>
      </c>
      <c r="L306" s="11" t="str">
        <f t="shared" si="130"/>
        <v>НЕТ</v>
      </c>
      <c r="M306" s="10" t="s">
        <v>1575</v>
      </c>
      <c r="N306" s="10" t="s">
        <v>1575</v>
      </c>
      <c r="O306" s="10">
        <v>0</v>
      </c>
      <c r="P306" s="10">
        <f t="shared" si="92"/>
        <v>0</v>
      </c>
      <c r="Q306" s="10" t="str">
        <f t="shared" si="93"/>
        <v>NA</v>
      </c>
      <c r="R306" s="10" t="s">
        <v>1575</v>
      </c>
      <c r="S306" s="10" t="s">
        <v>1575</v>
      </c>
      <c r="T306" s="10" t="s">
        <v>1575</v>
      </c>
      <c r="U306" s="10" t="s">
        <v>1575</v>
      </c>
      <c r="V306" s="10">
        <v>0</v>
      </c>
      <c r="W306" s="10" t="s">
        <v>1575</v>
      </c>
      <c r="X306" s="10" t="str">
        <f t="shared" si="94"/>
        <v>NA</v>
      </c>
      <c r="Y306" s="10" t="str">
        <f t="shared" si="95"/>
        <v>NA</v>
      </c>
      <c r="Z306" s="10" t="str">
        <f t="shared" si="96"/>
        <v>NA</v>
      </c>
      <c r="AA306" s="10" t="str">
        <f t="shared" si="97"/>
        <v>NA</v>
      </c>
      <c r="AB306" s="10" t="str">
        <f t="shared" si="98"/>
        <v>NA</v>
      </c>
      <c r="AC306" s="10" t="str">
        <f t="shared" si="99"/>
        <v>NA</v>
      </c>
      <c r="AD306" s="10" t="str">
        <f t="shared" si="100"/>
        <v>NA</v>
      </c>
      <c r="AE306" s="10" t="str">
        <f t="shared" si="101"/>
        <v>NA</v>
      </c>
      <c r="AF306" s="1" t="s">
        <v>4132</v>
      </c>
    </row>
    <row r="307" spans="1:32" x14ac:dyDescent="0.2">
      <c r="A307" s="1" t="s">
        <v>5474</v>
      </c>
      <c r="B307" s="1" t="s">
        <v>5</v>
      </c>
      <c r="C307" s="1" t="s">
        <v>1575</v>
      </c>
      <c r="D307" s="1" t="s">
        <v>1582</v>
      </c>
      <c r="E307" s="1" t="s">
        <v>5352</v>
      </c>
      <c r="F307" s="1" t="s">
        <v>1745</v>
      </c>
      <c r="G307" s="4">
        <v>0.83099999999999996</v>
      </c>
      <c r="H307" s="28">
        <v>41090</v>
      </c>
      <c r="I307" s="29">
        <f t="shared" si="118"/>
        <v>2012</v>
      </c>
      <c r="J307" s="1" t="s">
        <v>5435</v>
      </c>
      <c r="K307" s="1" t="s">
        <v>7</v>
      </c>
      <c r="L307" s="11" t="str">
        <f t="shared" si="130"/>
        <v>НЕТ</v>
      </c>
      <c r="M307" s="10" t="s">
        <v>1575</v>
      </c>
      <c r="N307" s="10" t="s">
        <v>1575</v>
      </c>
      <c r="O307" s="10">
        <v>2.0000000000000001E-4</v>
      </c>
      <c r="P307" s="10">
        <f t="shared" si="92"/>
        <v>2.4067388688327318E-4</v>
      </c>
      <c r="Q307" s="10" t="str">
        <f t="shared" si="93"/>
        <v>NA</v>
      </c>
      <c r="R307" s="10" t="s">
        <v>1575</v>
      </c>
      <c r="S307" s="10" t="s">
        <v>1575</v>
      </c>
      <c r="T307" s="10" t="s">
        <v>1575</v>
      </c>
      <c r="U307" s="10" t="s">
        <v>1575</v>
      </c>
      <c r="V307" s="10">
        <v>2.0000000000000001E-4</v>
      </c>
      <c r="W307" s="10" t="s">
        <v>1575</v>
      </c>
      <c r="X307" s="10" t="str">
        <f t="shared" si="94"/>
        <v>NA</v>
      </c>
      <c r="Y307" s="10" t="str">
        <f t="shared" si="95"/>
        <v>NA</v>
      </c>
      <c r="Z307" s="10" t="str">
        <f t="shared" si="96"/>
        <v>NA</v>
      </c>
      <c r="AA307" s="10">
        <f t="shared" si="97"/>
        <v>1.2033694344163659</v>
      </c>
      <c r="AB307" s="10" t="str">
        <f t="shared" si="98"/>
        <v>NA</v>
      </c>
      <c r="AC307" s="10" t="str">
        <f t="shared" si="99"/>
        <v>NA</v>
      </c>
      <c r="AD307" s="10" t="str">
        <f t="shared" si="100"/>
        <v>NA</v>
      </c>
      <c r="AE307" s="10" t="str">
        <f t="shared" si="101"/>
        <v>NA</v>
      </c>
      <c r="AF307" s="1" t="s">
        <v>4133</v>
      </c>
    </row>
    <row r="308" spans="1:32" x14ac:dyDescent="0.2">
      <c r="A308" s="1" t="s">
        <v>5475</v>
      </c>
      <c r="B308" s="1" t="s">
        <v>5</v>
      </c>
      <c r="C308" s="1" t="s">
        <v>1575</v>
      </c>
      <c r="D308" s="1" t="s">
        <v>1578</v>
      </c>
      <c r="E308" s="1" t="s">
        <v>1579</v>
      </c>
      <c r="F308" s="1" t="s">
        <v>429</v>
      </c>
      <c r="G308" s="4">
        <v>0.75</v>
      </c>
      <c r="H308" s="28">
        <v>41121</v>
      </c>
      <c r="I308" s="29">
        <f t="shared" si="118"/>
        <v>2012</v>
      </c>
      <c r="J308" s="1" t="s">
        <v>5435</v>
      </c>
      <c r="K308" s="1" t="s">
        <v>7</v>
      </c>
      <c r="L308" s="11" t="str">
        <f t="shared" si="130"/>
        <v>НЕТ</v>
      </c>
      <c r="M308" s="10" t="s">
        <v>1575</v>
      </c>
      <c r="N308" s="10" t="s">
        <v>1575</v>
      </c>
      <c r="O308" s="10">
        <v>1.0000000000000001E-5</v>
      </c>
      <c r="P308" s="10">
        <f t="shared" si="92"/>
        <v>1.3333333333333335E-5</v>
      </c>
      <c r="Q308" s="10" t="str">
        <f t="shared" si="93"/>
        <v>NA</v>
      </c>
      <c r="R308" s="10" t="s">
        <v>1575</v>
      </c>
      <c r="S308" s="10" t="s">
        <v>1575</v>
      </c>
      <c r="T308" s="10" t="s">
        <v>1575</v>
      </c>
      <c r="U308" s="10" t="s">
        <v>1575</v>
      </c>
      <c r="V308" s="10">
        <v>-0.43880000000000002</v>
      </c>
      <c r="W308" s="10" t="s">
        <v>1575</v>
      </c>
      <c r="X308" s="10" t="str">
        <f t="shared" si="94"/>
        <v>NA</v>
      </c>
      <c r="Y308" s="10" t="str">
        <f t="shared" si="95"/>
        <v>NA</v>
      </c>
      <c r="Z308" s="10" t="str">
        <f t="shared" si="96"/>
        <v>NA</v>
      </c>
      <c r="AA308" s="10">
        <f t="shared" si="97"/>
        <v>-3.0385900941962931E-5</v>
      </c>
      <c r="AB308" s="10" t="str">
        <f t="shared" si="98"/>
        <v>NA</v>
      </c>
      <c r="AC308" s="10" t="str">
        <f t="shared" si="99"/>
        <v>NA</v>
      </c>
      <c r="AD308" s="10" t="str">
        <f t="shared" si="100"/>
        <v>NA</v>
      </c>
      <c r="AE308" s="10" t="str">
        <f t="shared" si="101"/>
        <v>NA</v>
      </c>
      <c r="AF308" s="1" t="s">
        <v>4134</v>
      </c>
    </row>
    <row r="309" spans="1:32" x14ac:dyDescent="0.2">
      <c r="A309" s="1" t="s">
        <v>5476</v>
      </c>
      <c r="B309" s="1" t="s">
        <v>5</v>
      </c>
      <c r="C309" s="1" t="s">
        <v>1575</v>
      </c>
      <c r="D309" s="1" t="s">
        <v>1582</v>
      </c>
      <c r="E309" s="1" t="s">
        <v>5352</v>
      </c>
      <c r="F309" s="1" t="s">
        <v>4129</v>
      </c>
      <c r="G309" s="4">
        <v>0.69</v>
      </c>
      <c r="H309" s="28">
        <v>41152</v>
      </c>
      <c r="I309" s="29">
        <f t="shared" si="118"/>
        <v>2012</v>
      </c>
      <c r="J309" s="1" t="s">
        <v>5435</v>
      </c>
      <c r="K309" s="1" t="s">
        <v>7</v>
      </c>
      <c r="L309" s="11" t="str">
        <f t="shared" si="130"/>
        <v>НЕТ</v>
      </c>
      <c r="M309" s="10" t="s">
        <v>1575</v>
      </c>
      <c r="N309" s="10" t="s">
        <v>1575</v>
      </c>
      <c r="O309" s="10">
        <v>3E-9</v>
      </c>
      <c r="P309" s="10">
        <f t="shared" si="92"/>
        <v>4.3478260869565217E-9</v>
      </c>
      <c r="Q309" s="10" t="str">
        <f t="shared" si="93"/>
        <v>NA</v>
      </c>
      <c r="R309" s="10" t="s">
        <v>1575</v>
      </c>
      <c r="S309" s="10" t="s">
        <v>1575</v>
      </c>
      <c r="T309" s="10" t="s">
        <v>1575</v>
      </c>
      <c r="U309" s="10" t="s">
        <v>1575</v>
      </c>
      <c r="V309" s="10">
        <v>0.33639999999999998</v>
      </c>
      <c r="W309" s="10" t="s">
        <v>1575</v>
      </c>
      <c r="X309" s="10" t="str">
        <f t="shared" si="94"/>
        <v>NA</v>
      </c>
      <c r="Y309" s="10" t="str">
        <f t="shared" si="95"/>
        <v>NA</v>
      </c>
      <c r="Z309" s="10" t="str">
        <f t="shared" si="96"/>
        <v>NA</v>
      </c>
      <c r="AA309" s="10">
        <f t="shared" si="97"/>
        <v>1.2924572196660291E-8</v>
      </c>
      <c r="AB309" s="10" t="str">
        <f t="shared" si="98"/>
        <v>NA</v>
      </c>
      <c r="AC309" s="10" t="str">
        <f t="shared" si="99"/>
        <v>NA</v>
      </c>
      <c r="AD309" s="10" t="str">
        <f t="shared" si="100"/>
        <v>NA</v>
      </c>
      <c r="AE309" s="10" t="str">
        <f t="shared" si="101"/>
        <v>NA</v>
      </c>
      <c r="AF309" s="1" t="s">
        <v>4135</v>
      </c>
    </row>
    <row r="310" spans="1:32" x14ac:dyDescent="0.2">
      <c r="A310" s="1" t="s">
        <v>5477</v>
      </c>
      <c r="B310" s="1" t="s">
        <v>5</v>
      </c>
      <c r="C310" s="1" t="s">
        <v>1575</v>
      </c>
      <c r="D310" s="1" t="s">
        <v>1580</v>
      </c>
      <c r="E310" s="1" t="s">
        <v>1590</v>
      </c>
      <c r="F310" s="1" t="s">
        <v>545</v>
      </c>
      <c r="G310" s="4">
        <v>0.99650000000000005</v>
      </c>
      <c r="H310" s="28">
        <v>41152</v>
      </c>
      <c r="I310" s="29">
        <f t="shared" si="118"/>
        <v>2012</v>
      </c>
      <c r="J310" s="1" t="s">
        <v>5435</v>
      </c>
      <c r="K310" s="1" t="s">
        <v>7</v>
      </c>
      <c r="L310" s="11" t="str">
        <f t="shared" si="130"/>
        <v>НЕТ</v>
      </c>
      <c r="M310" s="10" t="s">
        <v>1575</v>
      </c>
      <c r="N310" s="10" t="s">
        <v>1575</v>
      </c>
      <c r="O310" s="10">
        <v>10</v>
      </c>
      <c r="P310" s="10">
        <f t="shared" si="92"/>
        <v>10.035122930255895</v>
      </c>
      <c r="Q310" s="10" t="str">
        <f t="shared" si="93"/>
        <v>NA</v>
      </c>
      <c r="R310" s="10" t="s">
        <v>1575</v>
      </c>
      <c r="S310" s="10" t="s">
        <v>1575</v>
      </c>
      <c r="T310" s="10" t="s">
        <v>1575</v>
      </c>
      <c r="U310" s="10" t="s">
        <v>1575</v>
      </c>
      <c r="V310" s="10">
        <v>9.9852000000000007</v>
      </c>
      <c r="W310" s="10" t="s">
        <v>1575</v>
      </c>
      <c r="X310" s="10" t="str">
        <f t="shared" si="94"/>
        <v>NA</v>
      </c>
      <c r="Y310" s="10" t="str">
        <f t="shared" si="95"/>
        <v>NA</v>
      </c>
      <c r="Z310" s="10" t="str">
        <f t="shared" si="96"/>
        <v>NA</v>
      </c>
      <c r="AA310" s="10">
        <f t="shared" si="97"/>
        <v>1.004999692570594</v>
      </c>
      <c r="AB310" s="10" t="str">
        <f t="shared" si="98"/>
        <v>NA</v>
      </c>
      <c r="AC310" s="10" t="str">
        <f t="shared" si="99"/>
        <v>NA</v>
      </c>
      <c r="AD310" s="10" t="str">
        <f t="shared" si="100"/>
        <v>NA</v>
      </c>
      <c r="AE310" s="10" t="str">
        <f t="shared" si="101"/>
        <v>NA</v>
      </c>
      <c r="AF310" s="1" t="s">
        <v>4147</v>
      </c>
    </row>
    <row r="311" spans="1:32" x14ac:dyDescent="0.2">
      <c r="A311" s="1" t="s">
        <v>5478</v>
      </c>
      <c r="B311" s="1" t="s">
        <v>5</v>
      </c>
      <c r="C311" s="1" t="s">
        <v>1575</v>
      </c>
      <c r="D311" s="1" t="s">
        <v>1582</v>
      </c>
      <c r="E311" s="1" t="s">
        <v>5352</v>
      </c>
      <c r="F311" s="1" t="s">
        <v>1745</v>
      </c>
      <c r="G311" s="4">
        <v>0.90669999999999995</v>
      </c>
      <c r="H311" s="28">
        <v>41121</v>
      </c>
      <c r="I311" s="29">
        <f t="shared" si="118"/>
        <v>2012</v>
      </c>
      <c r="J311" s="1" t="s">
        <v>5472</v>
      </c>
      <c r="K311" s="1" t="s">
        <v>7</v>
      </c>
      <c r="L311" s="11" t="str">
        <f t="shared" si="130"/>
        <v>НЕТ</v>
      </c>
      <c r="M311" s="10" t="s">
        <v>1575</v>
      </c>
      <c r="N311" s="10" t="s">
        <v>1575</v>
      </c>
      <c r="O311" s="10">
        <v>8.8000000000000004E-6</v>
      </c>
      <c r="P311" s="10">
        <f t="shared" si="92"/>
        <v>9.7055255321495542E-6</v>
      </c>
      <c r="Q311" s="10" t="str">
        <f t="shared" si="93"/>
        <v>NA</v>
      </c>
      <c r="R311" s="10" t="s">
        <v>1575</v>
      </c>
      <c r="S311" s="10" t="s">
        <v>1575</v>
      </c>
      <c r="T311" s="10" t="s">
        <v>1575</v>
      </c>
      <c r="U311" s="10" t="s">
        <v>1575</v>
      </c>
      <c r="V311" s="10">
        <v>-1.5299999999999999E-2</v>
      </c>
      <c r="W311" s="10" t="s">
        <v>1575</v>
      </c>
      <c r="X311" s="10" t="str">
        <f t="shared" si="94"/>
        <v>NA</v>
      </c>
      <c r="Y311" s="10" t="str">
        <f t="shared" si="95"/>
        <v>NA</v>
      </c>
      <c r="Z311" s="10" t="str">
        <f t="shared" si="96"/>
        <v>NA</v>
      </c>
      <c r="AA311" s="10">
        <f t="shared" si="97"/>
        <v>-6.3434807399670294E-4</v>
      </c>
      <c r="AB311" s="10" t="str">
        <f t="shared" si="98"/>
        <v>NA</v>
      </c>
      <c r="AC311" s="10" t="str">
        <f t="shared" si="99"/>
        <v>NA</v>
      </c>
      <c r="AD311" s="10" t="str">
        <f t="shared" si="100"/>
        <v>NA</v>
      </c>
      <c r="AE311" s="10" t="str">
        <f t="shared" si="101"/>
        <v>NA</v>
      </c>
      <c r="AF311" s="1" t="s">
        <v>4136</v>
      </c>
    </row>
    <row r="312" spans="1:32" x14ac:dyDescent="0.2">
      <c r="A312" s="1" t="s">
        <v>5479</v>
      </c>
      <c r="B312" s="1" t="s">
        <v>5</v>
      </c>
      <c r="C312" s="1" t="s">
        <v>1575</v>
      </c>
      <c r="D312" s="1" t="s">
        <v>1582</v>
      </c>
      <c r="E312" s="1" t="s">
        <v>5352</v>
      </c>
      <c r="F312" s="1" t="s">
        <v>1745</v>
      </c>
      <c r="G312" s="4">
        <v>0.99</v>
      </c>
      <c r="H312" s="28">
        <v>41152</v>
      </c>
      <c r="I312" s="29">
        <f t="shared" si="118"/>
        <v>2012</v>
      </c>
      <c r="J312" s="1" t="s">
        <v>5472</v>
      </c>
      <c r="K312" s="1" t="s">
        <v>7</v>
      </c>
      <c r="L312" s="11" t="str">
        <f t="shared" si="130"/>
        <v>НЕТ</v>
      </c>
      <c r="M312" s="10" t="s">
        <v>1575</v>
      </c>
      <c r="N312" s="10" t="s">
        <v>1575</v>
      </c>
      <c r="O312" s="10">
        <v>1.0000000000000001E-5</v>
      </c>
      <c r="P312" s="10">
        <f t="shared" si="92"/>
        <v>1.0101010101010101E-5</v>
      </c>
      <c r="Q312" s="10" t="str">
        <f t="shared" si="93"/>
        <v>NA</v>
      </c>
      <c r="R312" s="10" t="s">
        <v>1575</v>
      </c>
      <c r="S312" s="10" t="s">
        <v>1575</v>
      </c>
      <c r="T312" s="10" t="s">
        <v>1575</v>
      </c>
      <c r="U312" s="10" t="s">
        <v>1575</v>
      </c>
      <c r="V312" s="10">
        <v>-7.4000000000000003E-3</v>
      </c>
      <c r="W312" s="10" t="s">
        <v>1575</v>
      </c>
      <c r="X312" s="10" t="str">
        <f t="shared" si="94"/>
        <v>NA</v>
      </c>
      <c r="Y312" s="10" t="str">
        <f t="shared" si="95"/>
        <v>NA</v>
      </c>
      <c r="Z312" s="10" t="str">
        <f t="shared" si="96"/>
        <v>NA</v>
      </c>
      <c r="AA312" s="10">
        <f t="shared" si="97"/>
        <v>-1.3650013650013651E-3</v>
      </c>
      <c r="AB312" s="10" t="str">
        <f t="shared" si="98"/>
        <v>NA</v>
      </c>
      <c r="AC312" s="10" t="str">
        <f t="shared" si="99"/>
        <v>NA</v>
      </c>
      <c r="AD312" s="10" t="str">
        <f t="shared" si="100"/>
        <v>NA</v>
      </c>
      <c r="AE312" s="10" t="str">
        <f t="shared" si="101"/>
        <v>NA</v>
      </c>
      <c r="AF312" s="1" t="s">
        <v>4137</v>
      </c>
    </row>
    <row r="313" spans="1:32" x14ac:dyDescent="0.2">
      <c r="A313" s="1" t="s">
        <v>5453</v>
      </c>
      <c r="B313" s="1" t="s">
        <v>5</v>
      </c>
      <c r="C313" s="1" t="s">
        <v>1575</v>
      </c>
      <c r="D313" s="1" t="s">
        <v>1580</v>
      </c>
      <c r="E313" s="1" t="s">
        <v>1694</v>
      </c>
      <c r="F313" s="1" t="s">
        <v>68</v>
      </c>
      <c r="G313" s="4">
        <f>84.91%-39.8%</f>
        <v>0.4511</v>
      </c>
      <c r="H313" s="28">
        <v>40999</v>
      </c>
      <c r="I313" s="29">
        <f t="shared" si="118"/>
        <v>2012</v>
      </c>
      <c r="J313" s="1" t="s">
        <v>5435</v>
      </c>
      <c r="K313" s="1" t="s">
        <v>7</v>
      </c>
      <c r="L313" s="11" t="str">
        <f t="shared" si="130"/>
        <v>НЕТ</v>
      </c>
      <c r="M313" s="10" t="s">
        <v>1575</v>
      </c>
      <c r="N313" s="10" t="s">
        <v>1575</v>
      </c>
      <c r="O313" s="10">
        <v>0.4425</v>
      </c>
      <c r="P313" s="10">
        <f t="shared" si="92"/>
        <v>0.98093549102194633</v>
      </c>
      <c r="Q313" s="10" t="str">
        <f t="shared" si="93"/>
        <v>NA</v>
      </c>
      <c r="R313" s="10" t="s">
        <v>1575</v>
      </c>
      <c r="S313" s="10" t="s">
        <v>1575</v>
      </c>
      <c r="T313" s="10" t="s">
        <v>1575</v>
      </c>
      <c r="U313" s="10" t="s">
        <v>1575</v>
      </c>
      <c r="V313" s="10">
        <v>1.1114999999999999</v>
      </c>
      <c r="W313" s="10" t="s">
        <v>1575</v>
      </c>
      <c r="X313" s="10" t="str">
        <f t="shared" si="94"/>
        <v>NA</v>
      </c>
      <c r="Y313" s="10" t="str">
        <f t="shared" si="95"/>
        <v>NA</v>
      </c>
      <c r="Z313" s="10" t="str">
        <f t="shared" si="96"/>
        <v>NA</v>
      </c>
      <c r="AA313" s="10">
        <f t="shared" si="97"/>
        <v>0.88253305535037907</v>
      </c>
      <c r="AB313" s="10" t="str">
        <f t="shared" si="98"/>
        <v>NA</v>
      </c>
      <c r="AC313" s="10" t="str">
        <f t="shared" si="99"/>
        <v>NA</v>
      </c>
      <c r="AD313" s="10" t="str">
        <f t="shared" si="100"/>
        <v>NA</v>
      </c>
      <c r="AE313" s="10" t="str">
        <f t="shared" si="101"/>
        <v>NA</v>
      </c>
      <c r="AF313" s="1" t="s">
        <v>4138</v>
      </c>
    </row>
    <row r="314" spans="1:32" x14ac:dyDescent="0.2">
      <c r="A314" s="1" t="s">
        <v>5453</v>
      </c>
      <c r="B314" s="1" t="s">
        <v>5</v>
      </c>
      <c r="C314" s="1" t="s">
        <v>1575</v>
      </c>
      <c r="D314" s="1" t="s">
        <v>1580</v>
      </c>
      <c r="E314" s="1" t="s">
        <v>1694</v>
      </c>
      <c r="F314" s="1" t="s">
        <v>68</v>
      </c>
      <c r="G314" s="4">
        <f>98.8%-84.91%</f>
        <v>0.13890000000000002</v>
      </c>
      <c r="H314" s="28">
        <v>41152</v>
      </c>
      <c r="I314" s="29">
        <f t="shared" si="118"/>
        <v>2012</v>
      </c>
      <c r="J314" s="1" t="s">
        <v>5435</v>
      </c>
      <c r="K314" s="1" t="s">
        <v>7</v>
      </c>
      <c r="L314" s="11" t="str">
        <f t="shared" si="130"/>
        <v>НЕТ</v>
      </c>
      <c r="M314" s="10" t="s">
        <v>1575</v>
      </c>
      <c r="N314" s="10" t="s">
        <v>1575</v>
      </c>
      <c r="O314" s="10">
        <v>1.5299999999999999E-2</v>
      </c>
      <c r="P314" s="10">
        <f t="shared" si="92"/>
        <v>0.11015118790496758</v>
      </c>
      <c r="Q314" s="10" t="str">
        <f t="shared" si="93"/>
        <v>NA</v>
      </c>
      <c r="R314" s="10" t="s">
        <v>1575</v>
      </c>
      <c r="S314" s="10" t="s">
        <v>1575</v>
      </c>
      <c r="T314" s="10" t="s">
        <v>1575</v>
      </c>
      <c r="U314" s="10" t="s">
        <v>1575</v>
      </c>
      <c r="V314" s="10">
        <v>2.1114999999999999</v>
      </c>
      <c r="W314" s="10" t="s">
        <v>1575</v>
      </c>
      <c r="X314" s="10" t="str">
        <f t="shared" si="94"/>
        <v>NA</v>
      </c>
      <c r="Y314" s="10" t="str">
        <f t="shared" si="95"/>
        <v>NA</v>
      </c>
      <c r="Z314" s="10" t="str">
        <f t="shared" si="96"/>
        <v>NA</v>
      </c>
      <c r="AA314" s="10">
        <f t="shared" si="97"/>
        <v>5.2167268721272836E-2</v>
      </c>
      <c r="AB314" s="10" t="str">
        <f t="shared" si="98"/>
        <v>NA</v>
      </c>
      <c r="AC314" s="10" t="str">
        <f t="shared" si="99"/>
        <v>NA</v>
      </c>
      <c r="AD314" s="10" t="str">
        <f t="shared" si="100"/>
        <v>NA</v>
      </c>
      <c r="AE314" s="10" t="str">
        <f t="shared" si="101"/>
        <v>NA</v>
      </c>
      <c r="AF314" s="1" t="s">
        <v>4139</v>
      </c>
    </row>
    <row r="315" spans="1:32" x14ac:dyDescent="0.2">
      <c r="A315" s="1" t="s">
        <v>5480</v>
      </c>
      <c r="B315" s="1" t="s">
        <v>5</v>
      </c>
      <c r="C315" s="1" t="s">
        <v>1575</v>
      </c>
      <c r="D315" s="1" t="s">
        <v>1580</v>
      </c>
      <c r="E315" s="1" t="s">
        <v>1587</v>
      </c>
      <c r="F315" s="1" t="s">
        <v>907</v>
      </c>
      <c r="G315" s="4" t="s">
        <v>1575</v>
      </c>
      <c r="H315" s="28">
        <v>41152</v>
      </c>
      <c r="I315" s="29">
        <f t="shared" si="118"/>
        <v>2012</v>
      </c>
      <c r="J315" s="1" t="s">
        <v>5481</v>
      </c>
      <c r="K315" s="1" t="s">
        <v>7</v>
      </c>
      <c r="L315" s="11" t="str">
        <f t="shared" ref="L315" si="131">IF(OR(A315=J315,A315=K315),"ДА","НЕТ")</f>
        <v>НЕТ</v>
      </c>
      <c r="M315" s="10" t="s">
        <v>1575</v>
      </c>
      <c r="N315" s="10" t="s">
        <v>1575</v>
      </c>
      <c r="O315" s="10">
        <v>4.5000000000000003E-5</v>
      </c>
      <c r="P315" s="10" t="str">
        <f t="shared" si="92"/>
        <v>NA</v>
      </c>
      <c r="Q315" s="10" t="str">
        <f t="shared" si="93"/>
        <v>NA</v>
      </c>
      <c r="R315" s="10" t="s">
        <v>1575</v>
      </c>
      <c r="S315" s="10" t="s">
        <v>1575</v>
      </c>
      <c r="T315" s="10" t="s">
        <v>1575</v>
      </c>
      <c r="U315" s="10" t="s">
        <v>1575</v>
      </c>
      <c r="V315" s="10" t="s">
        <v>1575</v>
      </c>
      <c r="W315" s="10" t="s">
        <v>1575</v>
      </c>
      <c r="X315" s="10" t="str">
        <f t="shared" si="94"/>
        <v>NA</v>
      </c>
      <c r="Y315" s="10" t="str">
        <f t="shared" si="95"/>
        <v>NA</v>
      </c>
      <c r="Z315" s="10" t="str">
        <f t="shared" si="96"/>
        <v>NA</v>
      </c>
      <c r="AA315" s="10" t="str">
        <f t="shared" si="97"/>
        <v>NA</v>
      </c>
      <c r="AB315" s="10" t="str">
        <f t="shared" si="98"/>
        <v>NA</v>
      </c>
      <c r="AC315" s="10" t="str">
        <f t="shared" si="99"/>
        <v>NA</v>
      </c>
      <c r="AD315" s="10" t="str">
        <f t="shared" si="100"/>
        <v>NA</v>
      </c>
      <c r="AE315" s="10" t="str">
        <f t="shared" si="101"/>
        <v>NA</v>
      </c>
      <c r="AF315" s="1" t="s">
        <v>4140</v>
      </c>
    </row>
    <row r="316" spans="1:32" x14ac:dyDescent="0.2">
      <c r="A316" s="1" t="s">
        <v>926</v>
      </c>
      <c r="B316" s="1" t="s">
        <v>5</v>
      </c>
      <c r="C316" s="1" t="s">
        <v>1575</v>
      </c>
      <c r="D316" s="1" t="s">
        <v>1580</v>
      </c>
      <c r="E316" s="1" t="s">
        <v>1694</v>
      </c>
      <c r="F316" s="1" t="s">
        <v>68</v>
      </c>
      <c r="G316" s="4">
        <v>0.9274</v>
      </c>
      <c r="H316" s="28">
        <v>41121</v>
      </c>
      <c r="I316" s="29">
        <f t="shared" ref="I316" si="132">YEAR(H316)</f>
        <v>2012</v>
      </c>
      <c r="J316" s="1" t="s">
        <v>7</v>
      </c>
      <c r="K316" s="1" t="s">
        <v>5435</v>
      </c>
      <c r="L316" s="11" t="str">
        <f t="shared" ref="L316:L317" si="133">IF(OR(A316=J316,A316=K316),"ДА","НЕТ")</f>
        <v>НЕТ</v>
      </c>
      <c r="M316" s="10" t="s">
        <v>1575</v>
      </c>
      <c r="N316" s="10" t="s">
        <v>1575</v>
      </c>
      <c r="O316" s="10">
        <v>0.31869999999999998</v>
      </c>
      <c r="P316" s="10">
        <f t="shared" si="92"/>
        <v>0.34364891093379341</v>
      </c>
      <c r="Q316" s="10" t="str">
        <f t="shared" si="93"/>
        <v>NA</v>
      </c>
      <c r="R316" s="10" t="s">
        <v>1575</v>
      </c>
      <c r="S316" s="10" t="s">
        <v>1575</v>
      </c>
      <c r="T316" s="10" t="s">
        <v>1575</v>
      </c>
      <c r="U316" s="10" t="s">
        <v>1575</v>
      </c>
      <c r="V316" s="10" t="s">
        <v>1575</v>
      </c>
      <c r="W316" s="10" t="s">
        <v>1575</v>
      </c>
      <c r="X316" s="10" t="str">
        <f t="shared" si="94"/>
        <v>NA</v>
      </c>
      <c r="Y316" s="10" t="str">
        <f t="shared" si="95"/>
        <v>NA</v>
      </c>
      <c r="Z316" s="10" t="str">
        <f t="shared" si="96"/>
        <v>NA</v>
      </c>
      <c r="AA316" s="10" t="str">
        <f t="shared" si="97"/>
        <v>NA</v>
      </c>
      <c r="AB316" s="10" t="str">
        <f t="shared" si="98"/>
        <v>NA</v>
      </c>
      <c r="AC316" s="10" t="str">
        <f t="shared" si="99"/>
        <v>NA</v>
      </c>
      <c r="AD316" s="10" t="str">
        <f t="shared" si="100"/>
        <v>NA</v>
      </c>
      <c r="AE316" s="10" t="str">
        <f t="shared" si="101"/>
        <v>NA</v>
      </c>
      <c r="AF316" s="1" t="s">
        <v>4141</v>
      </c>
    </row>
    <row r="317" spans="1:32" x14ac:dyDescent="0.2">
      <c r="A317" s="1" t="s">
        <v>926</v>
      </c>
      <c r="B317" s="1" t="s">
        <v>5</v>
      </c>
      <c r="C317" s="1" t="s">
        <v>1575</v>
      </c>
      <c r="D317" s="1" t="s">
        <v>1580</v>
      </c>
      <c r="E317" s="1" t="s">
        <v>1694</v>
      </c>
      <c r="F317" s="1" t="s">
        <v>68</v>
      </c>
      <c r="G317" s="4">
        <f>92.74%-65.9%</f>
        <v>0.26839999999999997</v>
      </c>
      <c r="H317" s="28">
        <v>41089</v>
      </c>
      <c r="I317" s="29">
        <f t="shared" si="118"/>
        <v>2012</v>
      </c>
      <c r="J317" s="1" t="s">
        <v>5435</v>
      </c>
      <c r="K317" s="1" t="s">
        <v>7</v>
      </c>
      <c r="L317" s="11" t="str">
        <f t="shared" si="133"/>
        <v>НЕТ</v>
      </c>
      <c r="M317" s="10" t="s">
        <v>1575</v>
      </c>
      <c r="N317" s="10" t="s">
        <v>1575</v>
      </c>
      <c r="O317" s="10" t="s">
        <v>1575</v>
      </c>
      <c r="P317" s="10" t="str">
        <f t="shared" si="92"/>
        <v>NA</v>
      </c>
      <c r="Q317" s="10" t="str">
        <f t="shared" si="93"/>
        <v>NA</v>
      </c>
      <c r="R317" s="10" t="s">
        <v>1575</v>
      </c>
      <c r="S317" s="10" t="s">
        <v>1575</v>
      </c>
      <c r="T317" s="10" t="s">
        <v>1575</v>
      </c>
      <c r="U317" s="10" t="s">
        <v>1575</v>
      </c>
      <c r="V317" s="10" t="s">
        <v>1575</v>
      </c>
      <c r="W317" s="10" t="s">
        <v>1575</v>
      </c>
      <c r="X317" s="10" t="str">
        <f t="shared" si="94"/>
        <v>NA</v>
      </c>
      <c r="Y317" s="10" t="str">
        <f t="shared" si="95"/>
        <v>NA</v>
      </c>
      <c r="Z317" s="10" t="str">
        <f t="shared" si="96"/>
        <v>NA</v>
      </c>
      <c r="AA317" s="10" t="str">
        <f t="shared" si="97"/>
        <v>NA</v>
      </c>
      <c r="AB317" s="10" t="str">
        <f t="shared" si="98"/>
        <v>NA</v>
      </c>
      <c r="AC317" s="10" t="str">
        <f t="shared" si="99"/>
        <v>NA</v>
      </c>
      <c r="AD317" s="10" t="str">
        <f t="shared" si="100"/>
        <v>NA</v>
      </c>
      <c r="AE317" s="10" t="str">
        <f t="shared" si="101"/>
        <v>NA</v>
      </c>
      <c r="AF317" s="1" t="s">
        <v>4141</v>
      </c>
    </row>
    <row r="318" spans="1:32" x14ac:dyDescent="0.2">
      <c r="A318" s="1" t="s">
        <v>5482</v>
      </c>
      <c r="B318" s="1" t="s">
        <v>5</v>
      </c>
      <c r="C318" s="1" t="s">
        <v>1575</v>
      </c>
      <c r="D318" s="1" t="s">
        <v>1580</v>
      </c>
      <c r="E318" s="1" t="s">
        <v>1694</v>
      </c>
      <c r="F318" s="1" t="s">
        <v>68</v>
      </c>
      <c r="G318" s="4">
        <v>1</v>
      </c>
      <c r="H318" s="28">
        <v>41029</v>
      </c>
      <c r="I318" s="29">
        <f t="shared" si="118"/>
        <v>2012</v>
      </c>
      <c r="J318" s="1" t="s">
        <v>7</v>
      </c>
      <c r="K318" s="1" t="s">
        <v>5435</v>
      </c>
      <c r="L318" s="11" t="str">
        <f t="shared" ref="L318" si="134">IF(OR(A318=J318,A318=K318),"ДА","НЕТ")</f>
        <v>НЕТ</v>
      </c>
      <c r="M318" s="10" t="s">
        <v>1575</v>
      </c>
      <c r="N318" s="10" t="s">
        <v>1575</v>
      </c>
      <c r="O318" s="10">
        <v>0.73</v>
      </c>
      <c r="P318" s="10">
        <f t="shared" si="92"/>
        <v>0.73</v>
      </c>
      <c r="Q318" s="10" t="str">
        <f t="shared" si="93"/>
        <v>NA</v>
      </c>
      <c r="R318" s="10" t="s">
        <v>1575</v>
      </c>
      <c r="S318" s="10" t="s">
        <v>1575</v>
      </c>
      <c r="T318" s="10" t="s">
        <v>1575</v>
      </c>
      <c r="U318" s="10" t="s">
        <v>1575</v>
      </c>
      <c r="V318" s="10" t="s">
        <v>1575</v>
      </c>
      <c r="W318" s="10" t="s">
        <v>1575</v>
      </c>
      <c r="X318" s="10" t="str">
        <f t="shared" si="94"/>
        <v>NA</v>
      </c>
      <c r="Y318" s="10" t="str">
        <f t="shared" si="95"/>
        <v>NA</v>
      </c>
      <c r="Z318" s="10" t="str">
        <f t="shared" si="96"/>
        <v>NA</v>
      </c>
      <c r="AA318" s="10" t="str">
        <f t="shared" si="97"/>
        <v>NA</v>
      </c>
      <c r="AB318" s="10" t="str">
        <f t="shared" si="98"/>
        <v>NA</v>
      </c>
      <c r="AC318" s="10" t="str">
        <f t="shared" si="99"/>
        <v>NA</v>
      </c>
      <c r="AD318" s="10" t="str">
        <f t="shared" si="100"/>
        <v>NA</v>
      </c>
      <c r="AE318" s="10" t="str">
        <f t="shared" si="101"/>
        <v>NA</v>
      </c>
      <c r="AF318" s="1" t="s">
        <v>4142</v>
      </c>
    </row>
    <row r="319" spans="1:32" x14ac:dyDescent="0.2">
      <c r="A319" s="1" t="s">
        <v>5483</v>
      </c>
      <c r="B319" s="1" t="s">
        <v>5</v>
      </c>
      <c r="C319" s="1" t="s">
        <v>1575</v>
      </c>
      <c r="D319" s="1" t="s">
        <v>1580</v>
      </c>
      <c r="E319" s="1" t="s">
        <v>1593</v>
      </c>
      <c r="F319" s="1" t="s">
        <v>4144</v>
      </c>
      <c r="G319" s="4">
        <v>1</v>
      </c>
      <c r="H319" s="28">
        <v>41213</v>
      </c>
      <c r="I319" s="29">
        <f t="shared" si="118"/>
        <v>2012</v>
      </c>
      <c r="J319" s="1" t="s">
        <v>7</v>
      </c>
      <c r="K319" s="1" t="s">
        <v>5435</v>
      </c>
      <c r="L319" s="11" t="str">
        <f t="shared" ref="L319:L320" si="135">IF(OR(A319=J319,A319=K319),"ДА","НЕТ")</f>
        <v>НЕТ</v>
      </c>
      <c r="M319" s="10" t="s">
        <v>1575</v>
      </c>
      <c r="N319" s="10" t="s">
        <v>1575</v>
      </c>
      <c r="O319" s="10">
        <v>0.34799999999999998</v>
      </c>
      <c r="P319" s="10">
        <f t="shared" si="92"/>
        <v>0.34799999999999998</v>
      </c>
      <c r="Q319" s="10" t="str">
        <f t="shared" si="93"/>
        <v>NA</v>
      </c>
      <c r="R319" s="10" t="s">
        <v>1575</v>
      </c>
      <c r="S319" s="10" t="s">
        <v>1575</v>
      </c>
      <c r="T319" s="10" t="s">
        <v>1575</v>
      </c>
      <c r="U319" s="10" t="s">
        <v>1575</v>
      </c>
      <c r="V319" s="10" t="s">
        <v>1575</v>
      </c>
      <c r="W319" s="10" t="s">
        <v>1575</v>
      </c>
      <c r="X319" s="10" t="str">
        <f t="shared" si="94"/>
        <v>NA</v>
      </c>
      <c r="Y319" s="10" t="str">
        <f t="shared" si="95"/>
        <v>NA</v>
      </c>
      <c r="Z319" s="10" t="str">
        <f t="shared" si="96"/>
        <v>NA</v>
      </c>
      <c r="AA319" s="10" t="str">
        <f t="shared" si="97"/>
        <v>NA</v>
      </c>
      <c r="AB319" s="10" t="str">
        <f t="shared" si="98"/>
        <v>NA</v>
      </c>
      <c r="AC319" s="10" t="str">
        <f t="shared" si="99"/>
        <v>NA</v>
      </c>
      <c r="AD319" s="10" t="str">
        <f t="shared" si="100"/>
        <v>NA</v>
      </c>
      <c r="AE319" s="10" t="str">
        <f t="shared" si="101"/>
        <v>NA</v>
      </c>
      <c r="AF319" s="1" t="s">
        <v>4143</v>
      </c>
    </row>
    <row r="320" spans="1:32" x14ac:dyDescent="0.2">
      <c r="A320" s="1" t="s">
        <v>5484</v>
      </c>
      <c r="B320" s="1" t="s">
        <v>5</v>
      </c>
      <c r="C320" s="1" t="s">
        <v>1575</v>
      </c>
      <c r="D320" s="1" t="s">
        <v>2160</v>
      </c>
      <c r="E320" s="1" t="s">
        <v>2167</v>
      </c>
      <c r="F320" s="1" t="s">
        <v>813</v>
      </c>
      <c r="G320" s="4">
        <f>23.4%-19.9%</f>
        <v>3.5000000000000003E-2</v>
      </c>
      <c r="H320" s="28">
        <v>40973</v>
      </c>
      <c r="I320" s="29">
        <f t="shared" si="118"/>
        <v>2012</v>
      </c>
      <c r="J320" s="1" t="s">
        <v>5435</v>
      </c>
      <c r="K320" s="1" t="s">
        <v>7</v>
      </c>
      <c r="L320" s="11" t="str">
        <f t="shared" si="135"/>
        <v>НЕТ</v>
      </c>
      <c r="M320" s="10" t="s">
        <v>1575</v>
      </c>
      <c r="N320" s="10" t="s">
        <v>1575</v>
      </c>
      <c r="O320" s="10" t="s">
        <v>1575</v>
      </c>
      <c r="P320" s="10" t="str">
        <f t="shared" si="92"/>
        <v>NA</v>
      </c>
      <c r="Q320" s="10" t="str">
        <f t="shared" si="93"/>
        <v>NA</v>
      </c>
      <c r="R320" s="10" t="s">
        <v>1575</v>
      </c>
      <c r="S320" s="10" t="s">
        <v>1575</v>
      </c>
      <c r="T320" s="10" t="s">
        <v>1575</v>
      </c>
      <c r="U320" s="10" t="s">
        <v>1575</v>
      </c>
      <c r="V320" s="10" t="s">
        <v>1575</v>
      </c>
      <c r="W320" s="10" t="s">
        <v>1575</v>
      </c>
      <c r="X320" s="10" t="str">
        <f t="shared" si="94"/>
        <v>NA</v>
      </c>
      <c r="Y320" s="10" t="str">
        <f t="shared" si="95"/>
        <v>NA</v>
      </c>
      <c r="Z320" s="10" t="str">
        <f t="shared" si="96"/>
        <v>NA</v>
      </c>
      <c r="AA320" s="10" t="str">
        <f t="shared" si="97"/>
        <v>NA</v>
      </c>
      <c r="AB320" s="10" t="str">
        <f t="shared" si="98"/>
        <v>NA</v>
      </c>
      <c r="AC320" s="10" t="str">
        <f t="shared" si="99"/>
        <v>NA</v>
      </c>
      <c r="AD320" s="10" t="str">
        <f t="shared" si="100"/>
        <v>NA</v>
      </c>
      <c r="AE320" s="10" t="str">
        <f t="shared" si="101"/>
        <v>NA</v>
      </c>
      <c r="AF320" s="1" t="s">
        <v>4152</v>
      </c>
    </row>
    <row r="321" spans="1:32" x14ac:dyDescent="0.2">
      <c r="A321" s="1" t="s">
        <v>5485</v>
      </c>
      <c r="B321" s="1" t="s">
        <v>5</v>
      </c>
      <c r="C321" s="1" t="s">
        <v>1575</v>
      </c>
      <c r="D321" s="1" t="s">
        <v>1578</v>
      </c>
      <c r="E321" s="1" t="s">
        <v>1591</v>
      </c>
      <c r="F321" s="1" t="s">
        <v>2198</v>
      </c>
      <c r="G321" s="4">
        <v>1</v>
      </c>
      <c r="H321" s="28">
        <v>40908</v>
      </c>
      <c r="I321" s="29">
        <f t="shared" si="118"/>
        <v>2011</v>
      </c>
      <c r="J321" s="1" t="s">
        <v>5472</v>
      </c>
      <c r="K321" s="1" t="s">
        <v>7</v>
      </c>
      <c r="L321" s="11" t="str">
        <f t="shared" ref="L321" si="136">IF(OR(A321=J321,A321=K321),"ДА","НЕТ")</f>
        <v>НЕТ</v>
      </c>
      <c r="M321" s="10" t="s">
        <v>1575</v>
      </c>
      <c r="N321" s="10" t="s">
        <v>1575</v>
      </c>
      <c r="O321" s="10">
        <v>5.0000000000000001E-4</v>
      </c>
      <c r="P321" s="10">
        <f t="shared" si="92"/>
        <v>5.0000000000000001E-4</v>
      </c>
      <c r="Q321" s="10" t="str">
        <f t="shared" si="93"/>
        <v>NA</v>
      </c>
      <c r="R321" s="10" t="s">
        <v>1575</v>
      </c>
      <c r="S321" s="10" t="s">
        <v>1575</v>
      </c>
      <c r="T321" s="10" t="s">
        <v>1575</v>
      </c>
      <c r="U321" s="10" t="s">
        <v>1575</v>
      </c>
      <c r="V321" s="10">
        <v>0.1053</v>
      </c>
      <c r="W321" s="10" t="s">
        <v>1575</v>
      </c>
      <c r="X321" s="10" t="str">
        <f t="shared" si="94"/>
        <v>NA</v>
      </c>
      <c r="Y321" s="10" t="str">
        <f t="shared" si="95"/>
        <v>NA</v>
      </c>
      <c r="Z321" s="10" t="str">
        <f t="shared" si="96"/>
        <v>NA</v>
      </c>
      <c r="AA321" s="10">
        <f t="shared" si="97"/>
        <v>4.7483380816714148E-3</v>
      </c>
      <c r="AB321" s="10" t="str">
        <f t="shared" si="98"/>
        <v>NA</v>
      </c>
      <c r="AC321" s="10" t="str">
        <f t="shared" si="99"/>
        <v>NA</v>
      </c>
      <c r="AD321" s="10" t="str">
        <f t="shared" si="100"/>
        <v>NA</v>
      </c>
      <c r="AE321" s="10" t="str">
        <f t="shared" si="101"/>
        <v>NA</v>
      </c>
      <c r="AF321" s="1" t="s">
        <v>4148</v>
      </c>
    </row>
    <row r="322" spans="1:32" x14ac:dyDescent="0.2">
      <c r="A322" s="1" t="s">
        <v>5486</v>
      </c>
      <c r="B322" s="1" t="s">
        <v>5</v>
      </c>
      <c r="C322" s="1" t="s">
        <v>1575</v>
      </c>
      <c r="D322" s="1" t="s">
        <v>1813</v>
      </c>
      <c r="E322" s="1" t="s">
        <v>1587</v>
      </c>
      <c r="F322" s="1" t="s">
        <v>1745</v>
      </c>
      <c r="G322" s="4">
        <v>1</v>
      </c>
      <c r="H322" s="28">
        <v>40908</v>
      </c>
      <c r="I322" s="29">
        <f t="shared" si="118"/>
        <v>2011</v>
      </c>
      <c r="J322" s="1" t="s">
        <v>5487</v>
      </c>
      <c r="K322" s="1" t="s">
        <v>7</v>
      </c>
      <c r="L322" s="11" t="str">
        <f t="shared" ref="L322" si="137">IF(OR(A322=J322,A322=K322),"ДА","НЕТ")</f>
        <v>НЕТ</v>
      </c>
      <c r="M322" s="10" t="s">
        <v>1575</v>
      </c>
      <c r="N322" s="10" t="s">
        <v>1575</v>
      </c>
      <c r="O322" s="10">
        <v>0.111</v>
      </c>
      <c r="P322" s="10">
        <f t="shared" si="92"/>
        <v>0.111</v>
      </c>
      <c r="Q322" s="10" t="str">
        <f t="shared" si="93"/>
        <v>NA</v>
      </c>
      <c r="R322" s="10" t="s">
        <v>1575</v>
      </c>
      <c r="S322" s="10" t="s">
        <v>1575</v>
      </c>
      <c r="T322" s="10" t="s">
        <v>1575</v>
      </c>
      <c r="U322" s="10" t="s">
        <v>1575</v>
      </c>
      <c r="V322" s="10">
        <v>0.17630000000000001</v>
      </c>
      <c r="W322" s="10" t="s">
        <v>1575</v>
      </c>
      <c r="X322" s="10" t="str">
        <f t="shared" si="94"/>
        <v>NA</v>
      </c>
      <c r="Y322" s="10" t="str">
        <f t="shared" si="95"/>
        <v>NA</v>
      </c>
      <c r="Z322" s="10" t="str">
        <f t="shared" si="96"/>
        <v>NA</v>
      </c>
      <c r="AA322" s="10">
        <f t="shared" si="97"/>
        <v>0.629608621667612</v>
      </c>
      <c r="AB322" s="10" t="str">
        <f t="shared" si="98"/>
        <v>NA</v>
      </c>
      <c r="AC322" s="10" t="str">
        <f t="shared" si="99"/>
        <v>NA</v>
      </c>
      <c r="AD322" s="10" t="str">
        <f t="shared" si="100"/>
        <v>NA</v>
      </c>
      <c r="AE322" s="10" t="str">
        <f t="shared" si="101"/>
        <v>NA</v>
      </c>
      <c r="AF322" s="1" t="s">
        <v>4149</v>
      </c>
    </row>
    <row r="323" spans="1:32" x14ac:dyDescent="0.2">
      <c r="A323" s="1" t="s">
        <v>4151</v>
      </c>
      <c r="B323" s="1" t="s">
        <v>82</v>
      </c>
      <c r="C323" s="1" t="s">
        <v>1575</v>
      </c>
      <c r="D323" s="1" t="s">
        <v>1580</v>
      </c>
      <c r="E323" s="1" t="s">
        <v>1587</v>
      </c>
      <c r="F323" s="1" t="s">
        <v>907</v>
      </c>
      <c r="G323" s="4">
        <v>1</v>
      </c>
      <c r="H323" s="28">
        <v>40908</v>
      </c>
      <c r="I323" s="29">
        <f t="shared" si="118"/>
        <v>2011</v>
      </c>
      <c r="J323" s="1" t="s">
        <v>5488</v>
      </c>
      <c r="K323" s="1" t="s">
        <v>7</v>
      </c>
      <c r="L323" s="11" t="str">
        <f t="shared" ref="L323:L325" si="138">IF(OR(A323=J323,A323=K323),"ДА","НЕТ")</f>
        <v>НЕТ</v>
      </c>
      <c r="M323" s="10" t="s">
        <v>1575</v>
      </c>
      <c r="N323" s="10" t="s">
        <v>1575</v>
      </c>
      <c r="O323" s="10">
        <v>1E-4</v>
      </c>
      <c r="P323" s="10">
        <f t="shared" ref="P323:P386" si="139">IFERROR(O323/G323,"NA")</f>
        <v>1E-4</v>
      </c>
      <c r="Q323" s="10" t="str">
        <f t="shared" ref="Q323:Q386" si="140">IFERROR(P323+W323,"NA")</f>
        <v>NA</v>
      </c>
      <c r="R323" s="10" t="s">
        <v>1575</v>
      </c>
      <c r="S323" s="10" t="s">
        <v>1575</v>
      </c>
      <c r="T323" s="10" t="s">
        <v>1575</v>
      </c>
      <c r="U323" s="10" t="s">
        <v>1575</v>
      </c>
      <c r="V323" s="10">
        <v>3.9199999999999999E-2</v>
      </c>
      <c r="W323" s="10" t="s">
        <v>1575</v>
      </c>
      <c r="X323" s="10" t="str">
        <f t="shared" ref="X323:X386" si="141">IFERROR(V323+W323,"NA")</f>
        <v>NA</v>
      </c>
      <c r="Y323" s="10" t="str">
        <f t="shared" ref="Y323:Y386" si="142">IFERROR(P323/R323,"NA")</f>
        <v>NA</v>
      </c>
      <c r="Z323" s="10" t="str">
        <f t="shared" ref="Z323:Z386" si="143">IFERROR(P323/U323,"NA")</f>
        <v>NA</v>
      </c>
      <c r="AA323" s="10">
        <f t="shared" ref="AA323:AA386" si="144">IFERROR(P323/V323,"NA")</f>
        <v>2.5510204081632655E-3</v>
      </c>
      <c r="AB323" s="10" t="str">
        <f t="shared" ref="AB323:AB386" si="145">IFERROR(Q323/R323,"NA")</f>
        <v>NA</v>
      </c>
      <c r="AC323" s="10" t="str">
        <f t="shared" ref="AC323:AC386" si="146">IFERROR(Q323/S323,"NA")</f>
        <v>NA</v>
      </c>
      <c r="AD323" s="10" t="str">
        <f t="shared" ref="AD323:AD386" si="147">IFERROR(Q323/T323,"NA")</f>
        <v>NA</v>
      </c>
      <c r="AE323" s="10" t="str">
        <f t="shared" ref="AE323:AE386" si="148">IFERROR(Q323/X323,"NA")</f>
        <v>NA</v>
      </c>
      <c r="AF323" s="1" t="s">
        <v>4150</v>
      </c>
    </row>
    <row r="324" spans="1:32" x14ac:dyDescent="0.2">
      <c r="A324" s="1" t="s">
        <v>5372</v>
      </c>
      <c r="B324" s="1" t="s">
        <v>780</v>
      </c>
      <c r="C324" s="1" t="s">
        <v>1575</v>
      </c>
      <c r="D324" s="1" t="s">
        <v>1580</v>
      </c>
      <c r="E324" s="1" t="s">
        <v>1694</v>
      </c>
      <c r="F324" s="1" t="s">
        <v>68</v>
      </c>
      <c r="G324" s="4">
        <v>8.2100000000000006E-2</v>
      </c>
      <c r="H324" s="28">
        <v>40891</v>
      </c>
      <c r="I324" s="29">
        <f t="shared" ref="I324" si="149">YEAR(H324)</f>
        <v>2011</v>
      </c>
      <c r="J324" s="1" t="s">
        <v>7</v>
      </c>
      <c r="K324" s="1" t="s">
        <v>5435</v>
      </c>
      <c r="L324" s="11" t="str">
        <f t="shared" si="138"/>
        <v>НЕТ</v>
      </c>
      <c r="M324" s="10" t="s">
        <v>1575</v>
      </c>
      <c r="N324" s="10" t="s">
        <v>1575</v>
      </c>
      <c r="O324" s="10">
        <v>5.7126999999999997E-2</v>
      </c>
      <c r="P324" s="10">
        <f t="shared" si="139"/>
        <v>0.69582216808769781</v>
      </c>
      <c r="Q324" s="10" t="str">
        <f t="shared" si="140"/>
        <v>NA</v>
      </c>
      <c r="R324" s="10" t="s">
        <v>1575</v>
      </c>
      <c r="S324" s="10" t="s">
        <v>1575</v>
      </c>
      <c r="T324" s="10" t="s">
        <v>1575</v>
      </c>
      <c r="U324" s="10" t="s">
        <v>1575</v>
      </c>
      <c r="V324" s="10">
        <v>1.047121</v>
      </c>
      <c r="W324" s="10" t="s">
        <v>1575</v>
      </c>
      <c r="X324" s="10" t="str">
        <f t="shared" si="141"/>
        <v>NA</v>
      </c>
      <c r="Y324" s="10" t="str">
        <f t="shared" si="142"/>
        <v>NA</v>
      </c>
      <c r="Z324" s="10" t="str">
        <f t="shared" si="143"/>
        <v>NA</v>
      </c>
      <c r="AA324" s="10">
        <f t="shared" si="144"/>
        <v>0.66450980172081142</v>
      </c>
      <c r="AB324" s="10" t="str">
        <f t="shared" si="145"/>
        <v>NA</v>
      </c>
      <c r="AC324" s="10" t="str">
        <f t="shared" si="146"/>
        <v>NA</v>
      </c>
      <c r="AD324" s="10" t="str">
        <f t="shared" si="147"/>
        <v>NA</v>
      </c>
      <c r="AE324" s="10" t="str">
        <f t="shared" si="148"/>
        <v>NA</v>
      </c>
      <c r="AF324" s="1" t="s">
        <v>4159</v>
      </c>
    </row>
    <row r="325" spans="1:32" x14ac:dyDescent="0.2">
      <c r="A325" s="1" t="s">
        <v>5372</v>
      </c>
      <c r="B325" s="1" t="s">
        <v>780</v>
      </c>
      <c r="C325" s="1" t="s">
        <v>1575</v>
      </c>
      <c r="D325" s="1" t="s">
        <v>1580</v>
      </c>
      <c r="E325" s="1" t="s">
        <v>1694</v>
      </c>
      <c r="F325" s="1" t="s">
        <v>68</v>
      </c>
      <c r="G325" s="4">
        <v>0.32800000000000001</v>
      </c>
      <c r="H325" s="28">
        <v>40602</v>
      </c>
      <c r="I325" s="29">
        <f t="shared" si="118"/>
        <v>2011</v>
      </c>
      <c r="J325" s="1" t="s">
        <v>7</v>
      </c>
      <c r="K325" s="1" t="s">
        <v>5435</v>
      </c>
      <c r="L325" s="11" t="str">
        <f t="shared" si="138"/>
        <v>НЕТ</v>
      </c>
      <c r="M325" s="10" t="s">
        <v>1575</v>
      </c>
      <c r="N325" s="10" t="s">
        <v>1575</v>
      </c>
      <c r="O325" s="10">
        <v>0.33310000000000001</v>
      </c>
      <c r="P325" s="10">
        <f t="shared" si="139"/>
        <v>1.0155487804878049</v>
      </c>
      <c r="Q325" s="10" t="str">
        <f t="shared" si="140"/>
        <v>NA</v>
      </c>
      <c r="R325" s="10" t="s">
        <v>1575</v>
      </c>
      <c r="S325" s="10" t="s">
        <v>1575</v>
      </c>
      <c r="T325" s="10" t="s">
        <v>1575</v>
      </c>
      <c r="U325" s="10" t="s">
        <v>1575</v>
      </c>
      <c r="V325" s="10" t="s">
        <v>1575</v>
      </c>
      <c r="W325" s="10" t="s">
        <v>1575</v>
      </c>
      <c r="X325" s="10" t="str">
        <f t="shared" si="141"/>
        <v>NA</v>
      </c>
      <c r="Y325" s="10" t="str">
        <f t="shared" si="142"/>
        <v>NA</v>
      </c>
      <c r="Z325" s="10" t="str">
        <f t="shared" si="143"/>
        <v>NA</v>
      </c>
      <c r="AA325" s="10" t="str">
        <f t="shared" si="144"/>
        <v>NA</v>
      </c>
      <c r="AB325" s="10" t="str">
        <f t="shared" si="145"/>
        <v>NA</v>
      </c>
      <c r="AC325" s="10" t="str">
        <f t="shared" si="146"/>
        <v>NA</v>
      </c>
      <c r="AD325" s="10" t="str">
        <f t="shared" si="147"/>
        <v>NA</v>
      </c>
      <c r="AE325" s="10" t="str">
        <f t="shared" si="148"/>
        <v>NA</v>
      </c>
      <c r="AF325" s="1" t="s">
        <v>4153</v>
      </c>
    </row>
    <row r="326" spans="1:32" x14ac:dyDescent="0.2">
      <c r="A326" s="1" t="s">
        <v>5489</v>
      </c>
      <c r="B326" s="1" t="s">
        <v>82</v>
      </c>
      <c r="C326" s="1" t="s">
        <v>1575</v>
      </c>
      <c r="D326" s="1" t="s">
        <v>1580</v>
      </c>
      <c r="E326" s="1" t="s">
        <v>1694</v>
      </c>
      <c r="F326" s="1" t="s">
        <v>68</v>
      </c>
      <c r="G326" s="4">
        <v>0.99970000000000003</v>
      </c>
      <c r="H326" s="28">
        <v>40663</v>
      </c>
      <c r="I326" s="29">
        <f t="shared" si="118"/>
        <v>2011</v>
      </c>
      <c r="J326" s="1" t="s">
        <v>7</v>
      </c>
      <c r="K326" s="1" t="s">
        <v>5435</v>
      </c>
      <c r="L326" s="11" t="str">
        <f t="shared" ref="L326" si="150">IF(OR(A326=J326,A326=K326),"ДА","НЕТ")</f>
        <v>НЕТ</v>
      </c>
      <c r="M326" s="10" t="s">
        <v>1575</v>
      </c>
      <c r="N326" s="10" t="s">
        <v>1575</v>
      </c>
      <c r="O326" s="10">
        <v>0.42020000000000002</v>
      </c>
      <c r="P326" s="10">
        <f t="shared" si="139"/>
        <v>0.42032609782934882</v>
      </c>
      <c r="Q326" s="10" t="str">
        <f t="shared" si="140"/>
        <v>NA</v>
      </c>
      <c r="R326" s="10" t="s">
        <v>1575</v>
      </c>
      <c r="S326" s="10" t="s">
        <v>1575</v>
      </c>
      <c r="T326" s="10" t="s">
        <v>1575</v>
      </c>
      <c r="U326" s="10" t="s">
        <v>1575</v>
      </c>
      <c r="V326" s="10" t="s">
        <v>1575</v>
      </c>
      <c r="W326" s="10" t="s">
        <v>1575</v>
      </c>
      <c r="X326" s="10" t="str">
        <f t="shared" si="141"/>
        <v>NA</v>
      </c>
      <c r="Y326" s="10" t="str">
        <f t="shared" si="142"/>
        <v>NA</v>
      </c>
      <c r="Z326" s="10" t="str">
        <f t="shared" si="143"/>
        <v>NA</v>
      </c>
      <c r="AA326" s="10" t="str">
        <f t="shared" si="144"/>
        <v>NA</v>
      </c>
      <c r="AB326" s="10" t="str">
        <f t="shared" si="145"/>
        <v>NA</v>
      </c>
      <c r="AC326" s="10" t="str">
        <f t="shared" si="146"/>
        <v>NA</v>
      </c>
      <c r="AD326" s="10" t="str">
        <f t="shared" si="147"/>
        <v>NA</v>
      </c>
      <c r="AE326" s="10" t="str">
        <f t="shared" si="148"/>
        <v>NA</v>
      </c>
      <c r="AF326" s="1" t="s">
        <v>4154</v>
      </c>
    </row>
    <row r="327" spans="1:32" x14ac:dyDescent="0.2">
      <c r="A327" s="1" t="s">
        <v>5490</v>
      </c>
      <c r="B327" s="1" t="s">
        <v>5</v>
      </c>
      <c r="C327" s="1" t="s">
        <v>1575</v>
      </c>
      <c r="D327" s="1" t="s">
        <v>1580</v>
      </c>
      <c r="E327" s="1" t="s">
        <v>1587</v>
      </c>
      <c r="F327" s="1" t="s">
        <v>2163</v>
      </c>
      <c r="G327" s="4">
        <v>1</v>
      </c>
      <c r="H327" s="28">
        <v>40847</v>
      </c>
      <c r="I327" s="29">
        <f t="shared" si="118"/>
        <v>2011</v>
      </c>
      <c r="J327" s="1" t="s">
        <v>7</v>
      </c>
      <c r="K327" s="1" t="s">
        <v>5435</v>
      </c>
      <c r="L327" s="11" t="str">
        <f t="shared" ref="L327:L331" si="151">IF(OR(A327=J327,A327=K327),"ДА","НЕТ")</f>
        <v>НЕТ</v>
      </c>
      <c r="M327" s="10" t="s">
        <v>1575</v>
      </c>
      <c r="N327" s="10" t="s">
        <v>1575</v>
      </c>
      <c r="O327" s="10">
        <v>0.85</v>
      </c>
      <c r="P327" s="10">
        <f t="shared" si="139"/>
        <v>0.85</v>
      </c>
      <c r="Q327" s="10" t="str">
        <f t="shared" si="140"/>
        <v>NA</v>
      </c>
      <c r="R327" s="10" t="s">
        <v>1575</v>
      </c>
      <c r="S327" s="10" t="s">
        <v>1575</v>
      </c>
      <c r="T327" s="10" t="s">
        <v>1575</v>
      </c>
      <c r="U327" s="10" t="s">
        <v>1575</v>
      </c>
      <c r="V327" s="10" t="s">
        <v>1575</v>
      </c>
      <c r="W327" s="10" t="s">
        <v>1575</v>
      </c>
      <c r="X327" s="10" t="str">
        <f t="shared" si="141"/>
        <v>NA</v>
      </c>
      <c r="Y327" s="10" t="str">
        <f t="shared" si="142"/>
        <v>NA</v>
      </c>
      <c r="Z327" s="10" t="str">
        <f t="shared" si="143"/>
        <v>NA</v>
      </c>
      <c r="AA327" s="10" t="str">
        <f t="shared" si="144"/>
        <v>NA</v>
      </c>
      <c r="AB327" s="10" t="str">
        <f t="shared" si="145"/>
        <v>NA</v>
      </c>
      <c r="AC327" s="10" t="str">
        <f t="shared" si="146"/>
        <v>NA</v>
      </c>
      <c r="AD327" s="10" t="str">
        <f t="shared" si="147"/>
        <v>NA</v>
      </c>
      <c r="AE327" s="10" t="str">
        <f t="shared" si="148"/>
        <v>NA</v>
      </c>
      <c r="AF327" s="1" t="s">
        <v>4155</v>
      </c>
    </row>
    <row r="328" spans="1:32" x14ac:dyDescent="0.2">
      <c r="A328" s="1" t="s">
        <v>5491</v>
      </c>
      <c r="B328" s="1" t="s">
        <v>5</v>
      </c>
      <c r="C328" s="1" t="s">
        <v>1575</v>
      </c>
      <c r="D328" s="1" t="s">
        <v>1582</v>
      </c>
      <c r="E328" s="1" t="s">
        <v>5352</v>
      </c>
      <c r="F328" s="1" t="s">
        <v>1745</v>
      </c>
      <c r="G328" s="4">
        <f>100%-58.78%</f>
        <v>0.41220000000000001</v>
      </c>
      <c r="H328" s="28">
        <v>40574</v>
      </c>
      <c r="I328" s="29">
        <f t="shared" ref="I328:I330" si="152">YEAR(H328)</f>
        <v>2011</v>
      </c>
      <c r="J328" s="1" t="s">
        <v>5435</v>
      </c>
      <c r="K328" s="1" t="s">
        <v>7</v>
      </c>
      <c r="L328" s="11" t="str">
        <f t="shared" si="151"/>
        <v>НЕТ</v>
      </c>
      <c r="M328" s="10" t="s">
        <v>1575</v>
      </c>
      <c r="N328" s="10" t="s">
        <v>1575</v>
      </c>
      <c r="O328" s="10" t="s">
        <v>1575</v>
      </c>
      <c r="P328" s="10" t="str">
        <f t="shared" si="139"/>
        <v>NA</v>
      </c>
      <c r="Q328" s="10" t="str">
        <f t="shared" si="140"/>
        <v>NA</v>
      </c>
      <c r="R328" s="10" t="s">
        <v>1575</v>
      </c>
      <c r="S328" s="10" t="s">
        <v>1575</v>
      </c>
      <c r="T328" s="10" t="s">
        <v>1575</v>
      </c>
      <c r="U328" s="10" t="s">
        <v>1575</v>
      </c>
      <c r="V328" s="10">
        <v>0.12606600000000001</v>
      </c>
      <c r="W328" s="10" t="s">
        <v>1575</v>
      </c>
      <c r="X328" s="10" t="str">
        <f t="shared" si="141"/>
        <v>NA</v>
      </c>
      <c r="Y328" s="10" t="str">
        <f t="shared" si="142"/>
        <v>NA</v>
      </c>
      <c r="Z328" s="10" t="str">
        <f t="shared" si="143"/>
        <v>NA</v>
      </c>
      <c r="AA328" s="10" t="str">
        <f t="shared" si="144"/>
        <v>NA</v>
      </c>
      <c r="AB328" s="10" t="str">
        <f t="shared" si="145"/>
        <v>NA</v>
      </c>
      <c r="AC328" s="10" t="str">
        <f t="shared" si="146"/>
        <v>NA</v>
      </c>
      <c r="AD328" s="10" t="str">
        <f t="shared" si="147"/>
        <v>NA</v>
      </c>
      <c r="AE328" s="10" t="str">
        <f t="shared" si="148"/>
        <v>NA</v>
      </c>
      <c r="AF328" s="1" t="s">
        <v>4168</v>
      </c>
    </row>
    <row r="329" spans="1:32" x14ac:dyDescent="0.2">
      <c r="A329" s="1" t="s">
        <v>4173</v>
      </c>
      <c r="B329" s="1" t="s">
        <v>82</v>
      </c>
      <c r="C329" s="1" t="s">
        <v>1575</v>
      </c>
      <c r="D329" s="1" t="s">
        <v>1580</v>
      </c>
      <c r="E329" s="1" t="s">
        <v>1587</v>
      </c>
      <c r="F329" s="1" t="s">
        <v>907</v>
      </c>
      <c r="G329" s="4" t="s">
        <v>1575</v>
      </c>
      <c r="H329" s="28">
        <v>40603</v>
      </c>
      <c r="I329" s="29">
        <f t="shared" si="152"/>
        <v>2011</v>
      </c>
      <c r="J329" s="1" t="s">
        <v>7</v>
      </c>
      <c r="K329" s="1" t="s">
        <v>5435</v>
      </c>
      <c r="L329" s="11" t="str">
        <f t="shared" si="151"/>
        <v>НЕТ</v>
      </c>
      <c r="M329" s="10" t="s">
        <v>1575</v>
      </c>
      <c r="N329" s="10" t="s">
        <v>1575</v>
      </c>
      <c r="O329" s="10" t="s">
        <v>1575</v>
      </c>
      <c r="P329" s="10" t="str">
        <f t="shared" si="139"/>
        <v>NA</v>
      </c>
      <c r="Q329" s="10" t="str">
        <f t="shared" si="140"/>
        <v>NA</v>
      </c>
      <c r="R329" s="10" t="s">
        <v>1575</v>
      </c>
      <c r="S329" s="10" t="s">
        <v>1575</v>
      </c>
      <c r="T329" s="10" t="s">
        <v>1575</v>
      </c>
      <c r="U329" s="10" t="s">
        <v>1575</v>
      </c>
      <c r="V329" s="10" t="s">
        <v>1575</v>
      </c>
      <c r="W329" s="10" t="s">
        <v>1575</v>
      </c>
      <c r="X329" s="10" t="str">
        <f t="shared" si="141"/>
        <v>NA</v>
      </c>
      <c r="Y329" s="10" t="str">
        <f t="shared" si="142"/>
        <v>NA</v>
      </c>
      <c r="Z329" s="10" t="str">
        <f t="shared" si="143"/>
        <v>NA</v>
      </c>
      <c r="AA329" s="10" t="str">
        <f t="shared" si="144"/>
        <v>NA</v>
      </c>
      <c r="AB329" s="10" t="str">
        <f t="shared" si="145"/>
        <v>NA</v>
      </c>
      <c r="AC329" s="10" t="str">
        <f t="shared" si="146"/>
        <v>NA</v>
      </c>
      <c r="AD329" s="10" t="str">
        <f t="shared" si="147"/>
        <v>NA</v>
      </c>
      <c r="AE329" s="10" t="str">
        <f t="shared" si="148"/>
        <v>NA</v>
      </c>
      <c r="AF329" s="1" t="s">
        <v>4174</v>
      </c>
    </row>
    <row r="330" spans="1:32" x14ac:dyDescent="0.2">
      <c r="A330" s="1" t="s">
        <v>5372</v>
      </c>
      <c r="B330" s="1" t="s">
        <v>780</v>
      </c>
      <c r="C330" s="1" t="s">
        <v>1575</v>
      </c>
      <c r="D330" s="1" t="s">
        <v>1580</v>
      </c>
      <c r="E330" s="1" t="s">
        <v>1694</v>
      </c>
      <c r="F330" s="1" t="s">
        <v>68</v>
      </c>
      <c r="G330" s="4">
        <v>0.2757</v>
      </c>
      <c r="H330" s="28">
        <v>40654</v>
      </c>
      <c r="I330" s="29">
        <f t="shared" si="152"/>
        <v>2011</v>
      </c>
      <c r="J330" s="1" t="s">
        <v>7</v>
      </c>
      <c r="K330" s="1" t="s">
        <v>5435</v>
      </c>
      <c r="L330" s="11" t="str">
        <f t="shared" si="151"/>
        <v>НЕТ</v>
      </c>
      <c r="M330" s="10" t="s">
        <v>1575</v>
      </c>
      <c r="N330" s="10" t="s">
        <v>1575</v>
      </c>
      <c r="O330" s="10" t="s">
        <v>1575</v>
      </c>
      <c r="P330" s="10" t="str">
        <f t="shared" si="139"/>
        <v>NA</v>
      </c>
      <c r="Q330" s="10" t="str">
        <f t="shared" si="140"/>
        <v>NA</v>
      </c>
      <c r="R330" s="10" t="s">
        <v>1575</v>
      </c>
      <c r="S330" s="10" t="s">
        <v>1575</v>
      </c>
      <c r="T330" s="10" t="s">
        <v>1575</v>
      </c>
      <c r="U330" s="10" t="s">
        <v>1575</v>
      </c>
      <c r="V330" s="10">
        <v>1.047121</v>
      </c>
      <c r="W330" s="10" t="s">
        <v>1575</v>
      </c>
      <c r="X330" s="10" t="str">
        <f t="shared" si="141"/>
        <v>NA</v>
      </c>
      <c r="Y330" s="10" t="str">
        <f t="shared" si="142"/>
        <v>NA</v>
      </c>
      <c r="Z330" s="10" t="str">
        <f t="shared" si="143"/>
        <v>NA</v>
      </c>
      <c r="AA330" s="10" t="str">
        <f t="shared" si="144"/>
        <v>NA</v>
      </c>
      <c r="AB330" s="10" t="str">
        <f t="shared" si="145"/>
        <v>NA</v>
      </c>
      <c r="AC330" s="10" t="str">
        <f t="shared" si="146"/>
        <v>NA</v>
      </c>
      <c r="AD330" s="10" t="str">
        <f t="shared" si="147"/>
        <v>NA</v>
      </c>
      <c r="AE330" s="10" t="str">
        <f t="shared" si="148"/>
        <v>NA</v>
      </c>
      <c r="AF330" s="1" t="s">
        <v>4169</v>
      </c>
    </row>
    <row r="331" spans="1:32" x14ac:dyDescent="0.2">
      <c r="A331" s="1" t="s">
        <v>5489</v>
      </c>
      <c r="B331" s="1" t="s">
        <v>82</v>
      </c>
      <c r="C331" s="1" t="s">
        <v>1575</v>
      </c>
      <c r="D331" s="1" t="s">
        <v>1580</v>
      </c>
      <c r="E331" s="1" t="s">
        <v>1694</v>
      </c>
      <c r="F331" s="1" t="s">
        <v>68</v>
      </c>
      <c r="G331" s="4">
        <v>1E-3</v>
      </c>
      <c r="H331" s="28">
        <v>40357</v>
      </c>
      <c r="I331" s="29">
        <f t="shared" si="118"/>
        <v>2010</v>
      </c>
      <c r="J331" s="1" t="s">
        <v>5435</v>
      </c>
      <c r="K331" s="1" t="s">
        <v>7</v>
      </c>
      <c r="L331" s="11" t="str">
        <f t="shared" si="151"/>
        <v>НЕТ</v>
      </c>
      <c r="M331" s="10" t="s">
        <v>1575</v>
      </c>
      <c r="N331" s="10" t="s">
        <v>1575</v>
      </c>
      <c r="O331" s="10">
        <v>5.5699999999999999E-4</v>
      </c>
      <c r="P331" s="10">
        <f t="shared" si="139"/>
        <v>0.55699999999999994</v>
      </c>
      <c r="Q331" s="10" t="str">
        <f t="shared" si="140"/>
        <v>NA</v>
      </c>
      <c r="R331" s="10" t="s">
        <v>1575</v>
      </c>
      <c r="S331" s="10" t="s">
        <v>1575</v>
      </c>
      <c r="T331" s="10" t="s">
        <v>1575</v>
      </c>
      <c r="U331" s="10" t="s">
        <v>1575</v>
      </c>
      <c r="V331" s="10">
        <v>0.50795599999999996</v>
      </c>
      <c r="W331" s="10" t="s">
        <v>1575</v>
      </c>
      <c r="X331" s="10" t="str">
        <f t="shared" si="141"/>
        <v>NA</v>
      </c>
      <c r="Y331" s="10" t="str">
        <f t="shared" si="142"/>
        <v>NA</v>
      </c>
      <c r="Z331" s="10" t="str">
        <f t="shared" si="143"/>
        <v>NA</v>
      </c>
      <c r="AA331" s="10">
        <f t="shared" si="144"/>
        <v>1.0965516698296702</v>
      </c>
      <c r="AB331" s="10" t="str">
        <f t="shared" si="145"/>
        <v>NA</v>
      </c>
      <c r="AC331" s="10" t="str">
        <f t="shared" si="146"/>
        <v>NA</v>
      </c>
      <c r="AD331" s="10" t="str">
        <f t="shared" si="147"/>
        <v>NA</v>
      </c>
      <c r="AE331" s="10" t="str">
        <f t="shared" si="148"/>
        <v>NA</v>
      </c>
      <c r="AF331" s="1" t="s">
        <v>4156</v>
      </c>
    </row>
    <row r="332" spans="1:32" x14ac:dyDescent="0.2">
      <c r="A332" s="1" t="s">
        <v>4158</v>
      </c>
      <c r="B332" s="1" t="s">
        <v>5</v>
      </c>
      <c r="C332" s="1" t="s">
        <v>1575</v>
      </c>
      <c r="D332" s="1" t="s">
        <v>1580</v>
      </c>
      <c r="E332" s="1" t="s">
        <v>1694</v>
      </c>
      <c r="F332" s="1" t="s">
        <v>68</v>
      </c>
      <c r="G332" s="4">
        <v>4.8500000000000001E-2</v>
      </c>
      <c r="H332" s="28">
        <v>40212</v>
      </c>
      <c r="I332" s="29">
        <f t="shared" si="118"/>
        <v>2010</v>
      </c>
      <c r="J332" s="1" t="s">
        <v>5435</v>
      </c>
      <c r="K332" s="1" t="s">
        <v>7</v>
      </c>
      <c r="L332" s="11" t="str">
        <f t="shared" ref="L332:L334" si="153">IF(OR(A332=J332,A332=K332),"ДА","НЕТ")</f>
        <v>НЕТ</v>
      </c>
      <c r="M332" s="10" t="s">
        <v>1575</v>
      </c>
      <c r="N332" s="10" t="s">
        <v>1575</v>
      </c>
      <c r="O332" s="10">
        <v>2.9371000000000001E-2</v>
      </c>
      <c r="P332" s="10">
        <f t="shared" si="139"/>
        <v>0.60558762886597939</v>
      </c>
      <c r="Q332" s="10" t="str">
        <f t="shared" si="140"/>
        <v>NA</v>
      </c>
      <c r="R332" s="10" t="s">
        <v>1575</v>
      </c>
      <c r="S332" s="10" t="s">
        <v>1575</v>
      </c>
      <c r="T332" s="10" t="s">
        <v>1575</v>
      </c>
      <c r="U332" s="10" t="s">
        <v>1575</v>
      </c>
      <c r="V332" s="10">
        <v>0.59820200000000001</v>
      </c>
      <c r="W332" s="10" t="s">
        <v>1575</v>
      </c>
      <c r="X332" s="10" t="str">
        <f t="shared" si="141"/>
        <v>NA</v>
      </c>
      <c r="Y332" s="10" t="str">
        <f t="shared" si="142"/>
        <v>NA</v>
      </c>
      <c r="Z332" s="10" t="str">
        <f t="shared" si="143"/>
        <v>NA</v>
      </c>
      <c r="AA332" s="10">
        <f t="shared" si="144"/>
        <v>1.0123463794269818</v>
      </c>
      <c r="AB332" s="10" t="str">
        <f t="shared" si="145"/>
        <v>NA</v>
      </c>
      <c r="AC332" s="10" t="str">
        <f t="shared" si="146"/>
        <v>NA</v>
      </c>
      <c r="AD332" s="10" t="str">
        <f t="shared" si="147"/>
        <v>NA</v>
      </c>
      <c r="AE332" s="10" t="str">
        <f t="shared" si="148"/>
        <v>NA</v>
      </c>
      <c r="AF332" s="1" t="s">
        <v>4157</v>
      </c>
    </row>
    <row r="333" spans="1:32" x14ac:dyDescent="0.2">
      <c r="A333" s="1" t="s">
        <v>5372</v>
      </c>
      <c r="B333" s="1" t="s">
        <v>780</v>
      </c>
      <c r="C333" s="1" t="s">
        <v>1575</v>
      </c>
      <c r="D333" s="1" t="s">
        <v>1580</v>
      </c>
      <c r="E333" s="1" t="s">
        <v>1694</v>
      </c>
      <c r="F333" s="1" t="s">
        <v>68</v>
      </c>
      <c r="G333" s="4">
        <v>8.2100000000000006E-2</v>
      </c>
      <c r="H333" s="28">
        <v>40891</v>
      </c>
      <c r="I333" s="29">
        <f t="shared" si="118"/>
        <v>2011</v>
      </c>
      <c r="J333" s="1" t="s">
        <v>7</v>
      </c>
      <c r="K333" s="1" t="s">
        <v>5435</v>
      </c>
      <c r="L333" s="11" t="str">
        <f t="shared" si="153"/>
        <v>НЕТ</v>
      </c>
      <c r="M333" s="10" t="s">
        <v>1575</v>
      </c>
      <c r="N333" s="10" t="s">
        <v>1575</v>
      </c>
      <c r="O333" s="10">
        <v>5.7126999999999997E-2</v>
      </c>
      <c r="P333" s="10">
        <f t="shared" si="139"/>
        <v>0.69582216808769781</v>
      </c>
      <c r="Q333" s="10" t="str">
        <f t="shared" si="140"/>
        <v>NA</v>
      </c>
      <c r="R333" s="10" t="s">
        <v>1575</v>
      </c>
      <c r="S333" s="10" t="s">
        <v>1575</v>
      </c>
      <c r="T333" s="10" t="s">
        <v>1575</v>
      </c>
      <c r="U333" s="10" t="s">
        <v>1575</v>
      </c>
      <c r="V333" s="10">
        <v>1.047121</v>
      </c>
      <c r="W333" s="10" t="s">
        <v>1575</v>
      </c>
      <c r="X333" s="10" t="str">
        <f t="shared" si="141"/>
        <v>NA</v>
      </c>
      <c r="Y333" s="10" t="str">
        <f t="shared" si="142"/>
        <v>NA</v>
      </c>
      <c r="Z333" s="10" t="str">
        <f t="shared" si="143"/>
        <v>NA</v>
      </c>
      <c r="AA333" s="10">
        <f t="shared" si="144"/>
        <v>0.66450980172081142</v>
      </c>
      <c r="AB333" s="10" t="str">
        <f t="shared" si="145"/>
        <v>NA</v>
      </c>
      <c r="AC333" s="10" t="str">
        <f t="shared" si="146"/>
        <v>NA</v>
      </c>
      <c r="AD333" s="10" t="str">
        <f t="shared" si="147"/>
        <v>NA</v>
      </c>
      <c r="AE333" s="10" t="str">
        <f t="shared" si="148"/>
        <v>NA</v>
      </c>
      <c r="AF333" s="1" t="s">
        <v>4159</v>
      </c>
    </row>
    <row r="334" spans="1:32" x14ac:dyDescent="0.2">
      <c r="A334" s="1" t="s">
        <v>5372</v>
      </c>
      <c r="B334" s="1" t="s">
        <v>780</v>
      </c>
      <c r="C334" s="1" t="s">
        <v>1575</v>
      </c>
      <c r="D334" s="1" t="s">
        <v>1580</v>
      </c>
      <c r="E334" s="1" t="s">
        <v>1694</v>
      </c>
      <c r="F334" s="1" t="s">
        <v>68</v>
      </c>
      <c r="G334" s="4">
        <v>1E-4</v>
      </c>
      <c r="H334" s="28">
        <v>40455</v>
      </c>
      <c r="I334" s="29">
        <f t="shared" ref="I334" si="154">YEAR(H334)</f>
        <v>2010</v>
      </c>
      <c r="J334" s="1" t="s">
        <v>5435</v>
      </c>
      <c r="K334" s="1" t="s">
        <v>7</v>
      </c>
      <c r="L334" s="11" t="str">
        <f t="shared" si="153"/>
        <v>НЕТ</v>
      </c>
      <c r="M334" s="10" t="s">
        <v>1575</v>
      </c>
      <c r="N334" s="10" t="s">
        <v>1575</v>
      </c>
      <c r="O334" s="10">
        <v>8.3999999999999995E-5</v>
      </c>
      <c r="P334" s="10">
        <f t="shared" si="139"/>
        <v>0.83999999999999986</v>
      </c>
      <c r="Q334" s="10" t="str">
        <f t="shared" si="140"/>
        <v>NA</v>
      </c>
      <c r="R334" s="10" t="s">
        <v>1575</v>
      </c>
      <c r="S334" s="10" t="s">
        <v>1575</v>
      </c>
      <c r="T334" s="10" t="s">
        <v>1575</v>
      </c>
      <c r="U334" s="10" t="s">
        <v>1575</v>
      </c>
      <c r="V334" s="10">
        <v>0.66619399999999995</v>
      </c>
      <c r="W334" s="10" t="s">
        <v>1575</v>
      </c>
      <c r="X334" s="10" t="str">
        <f t="shared" si="141"/>
        <v>NA</v>
      </c>
      <c r="Y334" s="10" t="str">
        <f t="shared" si="142"/>
        <v>NA</v>
      </c>
      <c r="Z334" s="10" t="str">
        <f t="shared" si="143"/>
        <v>NA</v>
      </c>
      <c r="AA334" s="10">
        <f t="shared" si="144"/>
        <v>1.2608939738274436</v>
      </c>
      <c r="AB334" s="10" t="str">
        <f t="shared" si="145"/>
        <v>NA</v>
      </c>
      <c r="AC334" s="10" t="str">
        <f t="shared" si="146"/>
        <v>NA</v>
      </c>
      <c r="AD334" s="10" t="str">
        <f t="shared" si="147"/>
        <v>NA</v>
      </c>
      <c r="AE334" s="10" t="str">
        <f t="shared" si="148"/>
        <v>NA</v>
      </c>
      <c r="AF334" s="1" t="s">
        <v>4159</v>
      </c>
    </row>
    <row r="335" spans="1:32" x14ac:dyDescent="0.2">
      <c r="A335" s="1" t="s">
        <v>5372</v>
      </c>
      <c r="B335" s="1" t="s">
        <v>780</v>
      </c>
      <c r="C335" s="1" t="s">
        <v>1575</v>
      </c>
      <c r="D335" s="1" t="s">
        <v>1580</v>
      </c>
      <c r="E335" s="1" t="s">
        <v>1694</v>
      </c>
      <c r="F335" s="1" t="s">
        <v>68</v>
      </c>
      <c r="G335" s="4">
        <v>2.75E-2</v>
      </c>
      <c r="H335" s="28">
        <v>40361</v>
      </c>
      <c r="I335" s="29">
        <f t="shared" si="118"/>
        <v>2010</v>
      </c>
      <c r="J335" s="1" t="s">
        <v>5435</v>
      </c>
      <c r="K335" s="1" t="s">
        <v>7</v>
      </c>
      <c r="L335" s="11" t="str">
        <f t="shared" ref="L335:L337" si="155">IF(OR(A335=J335,A335=K335),"ДА","НЕТ")</f>
        <v>НЕТ</v>
      </c>
      <c r="M335" s="10" t="s">
        <v>1575</v>
      </c>
      <c r="N335" s="10" t="s">
        <v>1575</v>
      </c>
      <c r="O335" s="10">
        <v>1.7569999999999999E-2</v>
      </c>
      <c r="P335" s="10">
        <f t="shared" si="139"/>
        <v>0.63890909090909087</v>
      </c>
      <c r="Q335" s="10" t="str">
        <f t="shared" si="140"/>
        <v>NA</v>
      </c>
      <c r="R335" s="10" t="s">
        <v>1575</v>
      </c>
      <c r="S335" s="10" t="s">
        <v>1575</v>
      </c>
      <c r="T335" s="10" t="s">
        <v>1575</v>
      </c>
      <c r="U335" s="10" t="s">
        <v>1575</v>
      </c>
      <c r="V335" s="10">
        <v>0.58560100000000004</v>
      </c>
      <c r="W335" s="10" t="s">
        <v>1575</v>
      </c>
      <c r="X335" s="10" t="str">
        <f t="shared" si="141"/>
        <v>NA</v>
      </c>
      <c r="Y335" s="10" t="str">
        <f t="shared" si="142"/>
        <v>NA</v>
      </c>
      <c r="Z335" s="10" t="str">
        <f t="shared" si="143"/>
        <v>NA</v>
      </c>
      <c r="AA335" s="10">
        <f t="shared" si="144"/>
        <v>1.0910314205561309</v>
      </c>
      <c r="AB335" s="10" t="str">
        <f t="shared" si="145"/>
        <v>NA</v>
      </c>
      <c r="AC335" s="10" t="str">
        <f t="shared" si="146"/>
        <v>NA</v>
      </c>
      <c r="AD335" s="10" t="str">
        <f t="shared" si="147"/>
        <v>NA</v>
      </c>
      <c r="AE335" s="10" t="str">
        <f t="shared" si="148"/>
        <v>NA</v>
      </c>
      <c r="AF335" s="1" t="s">
        <v>4159</v>
      </c>
    </row>
    <row r="336" spans="1:32" x14ac:dyDescent="0.2">
      <c r="A336" s="1" t="s">
        <v>5453</v>
      </c>
      <c r="B336" s="1" t="s">
        <v>5</v>
      </c>
      <c r="C336" s="1" t="s">
        <v>1575</v>
      </c>
      <c r="D336" s="1" t="s">
        <v>1580</v>
      </c>
      <c r="E336" s="1" t="s">
        <v>1694</v>
      </c>
      <c r="F336" s="1" t="s">
        <v>68</v>
      </c>
      <c r="G336" s="4">
        <v>0.2</v>
      </c>
      <c r="H336" s="28">
        <v>40476</v>
      </c>
      <c r="I336" s="29">
        <f t="shared" si="118"/>
        <v>2010</v>
      </c>
      <c r="J336" s="1" t="s">
        <v>7</v>
      </c>
      <c r="K336" s="1" t="s">
        <v>5435</v>
      </c>
      <c r="L336" s="11" t="str">
        <f t="shared" si="155"/>
        <v>НЕТ</v>
      </c>
      <c r="M336" s="10" t="s">
        <v>1575</v>
      </c>
      <c r="N336" s="10" t="s">
        <v>1575</v>
      </c>
      <c r="O336" s="10">
        <v>0.19444500000000001</v>
      </c>
      <c r="P336" s="10">
        <f t="shared" si="139"/>
        <v>0.97222500000000001</v>
      </c>
      <c r="Q336" s="10" t="str">
        <f t="shared" si="140"/>
        <v>NA</v>
      </c>
      <c r="R336" s="10" t="s">
        <v>1575</v>
      </c>
      <c r="S336" s="10" t="s">
        <v>1575</v>
      </c>
      <c r="T336" s="10" t="s">
        <v>1575</v>
      </c>
      <c r="U336" s="10" t="s">
        <v>1575</v>
      </c>
      <c r="V336" s="10">
        <v>0.992645</v>
      </c>
      <c r="W336" s="10" t="s">
        <v>1575</v>
      </c>
      <c r="X336" s="10" t="str">
        <f t="shared" si="141"/>
        <v>NA</v>
      </c>
      <c r="Y336" s="10" t="str">
        <f t="shared" si="142"/>
        <v>NA</v>
      </c>
      <c r="Z336" s="10" t="str">
        <f t="shared" si="143"/>
        <v>NA</v>
      </c>
      <c r="AA336" s="10">
        <f t="shared" si="144"/>
        <v>0.97942869807433675</v>
      </c>
      <c r="AB336" s="10" t="str">
        <f t="shared" si="145"/>
        <v>NA</v>
      </c>
      <c r="AC336" s="10" t="str">
        <f t="shared" si="146"/>
        <v>NA</v>
      </c>
      <c r="AD336" s="10" t="str">
        <f t="shared" si="147"/>
        <v>NA</v>
      </c>
      <c r="AE336" s="10" t="str">
        <f t="shared" si="148"/>
        <v>NA</v>
      </c>
      <c r="AF336" s="1" t="s">
        <v>4160</v>
      </c>
    </row>
    <row r="337" spans="1:32" x14ac:dyDescent="0.2">
      <c r="A337" s="1" t="s">
        <v>5491</v>
      </c>
      <c r="B337" s="1" t="s">
        <v>5</v>
      </c>
      <c r="C337" s="1" t="s">
        <v>1575</v>
      </c>
      <c r="D337" s="1" t="s">
        <v>1582</v>
      </c>
      <c r="E337" s="1" t="s">
        <v>5352</v>
      </c>
      <c r="F337" s="1" t="s">
        <v>1745</v>
      </c>
      <c r="G337" s="4">
        <v>0.38850000000000001</v>
      </c>
      <c r="H337" s="28">
        <v>40359</v>
      </c>
      <c r="I337" s="29">
        <f t="shared" si="118"/>
        <v>2010</v>
      </c>
      <c r="J337" s="1" t="s">
        <v>5435</v>
      </c>
      <c r="K337" s="1" t="s">
        <v>7</v>
      </c>
      <c r="L337" s="11" t="str">
        <f t="shared" si="155"/>
        <v>НЕТ</v>
      </c>
      <c r="M337" s="10" t="s">
        <v>1575</v>
      </c>
      <c r="N337" s="10" t="s">
        <v>1575</v>
      </c>
      <c r="O337" s="10">
        <v>4.9959999999999997E-2</v>
      </c>
      <c r="P337" s="10">
        <f t="shared" si="139"/>
        <v>0.12859716859716858</v>
      </c>
      <c r="Q337" s="10" t="str">
        <f t="shared" si="140"/>
        <v>NA</v>
      </c>
      <c r="R337" s="10" t="s">
        <v>1575</v>
      </c>
      <c r="S337" s="10" t="s">
        <v>1575</v>
      </c>
      <c r="T337" s="10" t="s">
        <v>1575</v>
      </c>
      <c r="U337" s="10" t="s">
        <v>1575</v>
      </c>
      <c r="V337" s="10">
        <v>0.12606600000000001</v>
      </c>
      <c r="W337" s="10" t="s">
        <v>1575</v>
      </c>
      <c r="X337" s="10" t="str">
        <f t="shared" si="141"/>
        <v>NA</v>
      </c>
      <c r="Y337" s="10" t="str">
        <f t="shared" si="142"/>
        <v>NA</v>
      </c>
      <c r="Z337" s="10" t="str">
        <f t="shared" si="143"/>
        <v>NA</v>
      </c>
      <c r="AA337" s="10">
        <f t="shared" si="144"/>
        <v>1.0200781225482569</v>
      </c>
      <c r="AB337" s="10" t="str">
        <f t="shared" si="145"/>
        <v>NA</v>
      </c>
      <c r="AC337" s="10" t="str">
        <f t="shared" si="146"/>
        <v>NA</v>
      </c>
      <c r="AD337" s="10" t="str">
        <f t="shared" si="147"/>
        <v>NA</v>
      </c>
      <c r="AE337" s="10" t="str">
        <f t="shared" si="148"/>
        <v>NA</v>
      </c>
      <c r="AF337" s="1" t="s">
        <v>4161</v>
      </c>
    </row>
    <row r="338" spans="1:32" x14ac:dyDescent="0.2">
      <c r="A338" s="1" t="s">
        <v>5492</v>
      </c>
      <c r="B338" s="1" t="s">
        <v>5</v>
      </c>
      <c r="C338" s="1" t="s">
        <v>1575</v>
      </c>
      <c r="D338" s="1" t="s">
        <v>1580</v>
      </c>
      <c r="E338" s="1" t="s">
        <v>1587</v>
      </c>
      <c r="F338" s="1" t="s">
        <v>907</v>
      </c>
      <c r="G338" s="4">
        <v>0.5</v>
      </c>
      <c r="H338" s="28">
        <v>40275</v>
      </c>
      <c r="I338" s="29">
        <f t="shared" si="118"/>
        <v>2010</v>
      </c>
      <c r="J338" s="1" t="s">
        <v>5435</v>
      </c>
      <c r="K338" s="1" t="s">
        <v>7</v>
      </c>
      <c r="L338" s="11" t="str">
        <f t="shared" ref="L338" si="156">IF(OR(A338=J338,A338=K338),"ДА","НЕТ")</f>
        <v>НЕТ</v>
      </c>
      <c r="M338" s="10" t="s">
        <v>1575</v>
      </c>
      <c r="N338" s="10" t="s">
        <v>1575</v>
      </c>
      <c r="O338" s="10">
        <v>1.1599999999999999E-2</v>
      </c>
      <c r="P338" s="10">
        <f t="shared" si="139"/>
        <v>2.3199999999999998E-2</v>
      </c>
      <c r="Q338" s="10" t="str">
        <f t="shared" si="140"/>
        <v>NA</v>
      </c>
      <c r="R338" s="10" t="s">
        <v>1575</v>
      </c>
      <c r="S338" s="10" t="s">
        <v>1575</v>
      </c>
      <c r="T338" s="10" t="s">
        <v>1575</v>
      </c>
      <c r="U338" s="10" t="s">
        <v>1575</v>
      </c>
      <c r="V338" s="10">
        <v>1.0000999999999999E-2</v>
      </c>
      <c r="W338" s="10" t="s">
        <v>1575</v>
      </c>
      <c r="X338" s="10" t="str">
        <f t="shared" si="141"/>
        <v>NA</v>
      </c>
      <c r="Y338" s="10" t="str">
        <f t="shared" si="142"/>
        <v>NA</v>
      </c>
      <c r="Z338" s="10" t="str">
        <f t="shared" si="143"/>
        <v>NA</v>
      </c>
      <c r="AA338" s="10">
        <f t="shared" si="144"/>
        <v>2.3197680231976801</v>
      </c>
      <c r="AB338" s="10" t="str">
        <f t="shared" si="145"/>
        <v>NA</v>
      </c>
      <c r="AC338" s="10" t="str">
        <f t="shared" si="146"/>
        <v>NA</v>
      </c>
      <c r="AD338" s="10" t="str">
        <f t="shared" si="147"/>
        <v>NA</v>
      </c>
      <c r="AE338" s="10" t="str">
        <f t="shared" si="148"/>
        <v>NA</v>
      </c>
      <c r="AF338" s="1" t="s">
        <v>4162</v>
      </c>
    </row>
    <row r="339" spans="1:32" x14ac:dyDescent="0.2">
      <c r="A339" s="1" t="s">
        <v>4165</v>
      </c>
      <c r="B339" s="1" t="s">
        <v>82</v>
      </c>
      <c r="C339" s="1" t="s">
        <v>1575</v>
      </c>
      <c r="D339" s="1" t="s">
        <v>1584</v>
      </c>
      <c r="E339" s="1" t="s">
        <v>1587</v>
      </c>
      <c r="F339" s="1" t="s">
        <v>4166</v>
      </c>
      <c r="G339" s="4">
        <v>1</v>
      </c>
      <c r="H339" s="28">
        <v>40449</v>
      </c>
      <c r="I339" s="29">
        <f t="shared" si="118"/>
        <v>2010</v>
      </c>
      <c r="J339" s="1" t="s">
        <v>5435</v>
      </c>
      <c r="K339" s="1" t="s">
        <v>7</v>
      </c>
      <c r="L339" s="11" t="str">
        <f t="shared" ref="L339" si="157">IF(OR(A339=J339,A339=K339),"ДА","НЕТ")</f>
        <v>НЕТ</v>
      </c>
      <c r="M339" s="10" t="s">
        <v>1575</v>
      </c>
      <c r="N339" s="10" t="s">
        <v>1575</v>
      </c>
      <c r="O339" s="10">
        <v>9.1100000000000003E-4</v>
      </c>
      <c r="P339" s="10">
        <f t="shared" si="139"/>
        <v>9.1100000000000003E-4</v>
      </c>
      <c r="Q339" s="10" t="str">
        <f t="shared" si="140"/>
        <v>NA</v>
      </c>
      <c r="R339" s="10" t="s">
        <v>1575</v>
      </c>
      <c r="S339" s="10" t="s">
        <v>1575</v>
      </c>
      <c r="T339" s="10" t="s">
        <v>1575</v>
      </c>
      <c r="U339" s="10" t="s">
        <v>1575</v>
      </c>
      <c r="V339" s="10">
        <v>1.17E-4</v>
      </c>
      <c r="W339" s="10" t="s">
        <v>1575</v>
      </c>
      <c r="X339" s="10" t="str">
        <f t="shared" si="141"/>
        <v>NA</v>
      </c>
      <c r="Y339" s="10" t="str">
        <f t="shared" si="142"/>
        <v>NA</v>
      </c>
      <c r="Z339" s="10" t="str">
        <f t="shared" si="143"/>
        <v>NA</v>
      </c>
      <c r="AA339" s="10">
        <f t="shared" si="144"/>
        <v>7.7863247863247871</v>
      </c>
      <c r="AB339" s="10" t="str">
        <f t="shared" si="145"/>
        <v>NA</v>
      </c>
      <c r="AC339" s="10" t="str">
        <f t="shared" si="146"/>
        <v>NA</v>
      </c>
      <c r="AD339" s="10" t="str">
        <f t="shared" si="147"/>
        <v>NA</v>
      </c>
      <c r="AE339" s="10" t="str">
        <f t="shared" si="148"/>
        <v>NA</v>
      </c>
      <c r="AF339" s="1" t="s">
        <v>4163</v>
      </c>
    </row>
    <row r="340" spans="1:32" x14ac:dyDescent="0.2">
      <c r="A340" s="1" t="s">
        <v>4167</v>
      </c>
      <c r="B340" s="1" t="s">
        <v>5</v>
      </c>
      <c r="C340" s="1" t="s">
        <v>1575</v>
      </c>
      <c r="D340" s="1" t="s">
        <v>1580</v>
      </c>
      <c r="E340" s="1" t="s">
        <v>1590</v>
      </c>
      <c r="F340" s="1" t="s">
        <v>545</v>
      </c>
      <c r="G340" s="4">
        <v>1</v>
      </c>
      <c r="H340" s="28">
        <v>40529</v>
      </c>
      <c r="I340" s="29">
        <f t="shared" si="118"/>
        <v>2010</v>
      </c>
      <c r="J340" s="1" t="s">
        <v>5435</v>
      </c>
      <c r="K340" s="1" t="s">
        <v>7</v>
      </c>
      <c r="L340" s="11" t="str">
        <f t="shared" ref="L340" si="158">IF(OR(A340=J340,A340=K340),"ДА","НЕТ")</f>
        <v>НЕТ</v>
      </c>
      <c r="M340" s="10" t="s">
        <v>1575</v>
      </c>
      <c r="N340" s="10" t="s">
        <v>1575</v>
      </c>
      <c r="O340" s="10">
        <v>6.1173679999999999</v>
      </c>
      <c r="P340" s="10">
        <f t="shared" si="139"/>
        <v>6.1173679999999999</v>
      </c>
      <c r="Q340" s="10" t="str">
        <f t="shared" si="140"/>
        <v>NA</v>
      </c>
      <c r="R340" s="10" t="s">
        <v>1575</v>
      </c>
      <c r="S340" s="10" t="s">
        <v>1575</v>
      </c>
      <c r="T340" s="10" t="s">
        <v>1575</v>
      </c>
      <c r="U340" s="10" t="s">
        <v>1575</v>
      </c>
      <c r="V340" s="10">
        <v>3.3714309999999998</v>
      </c>
      <c r="W340" s="10" t="s">
        <v>1575</v>
      </c>
      <c r="X340" s="10" t="str">
        <f t="shared" si="141"/>
        <v>NA</v>
      </c>
      <c r="Y340" s="10" t="str">
        <f t="shared" si="142"/>
        <v>NA</v>
      </c>
      <c r="Z340" s="10" t="str">
        <f t="shared" si="143"/>
        <v>NA</v>
      </c>
      <c r="AA340" s="10">
        <f t="shared" si="144"/>
        <v>1.814472252286937</v>
      </c>
      <c r="AB340" s="10" t="str">
        <f t="shared" si="145"/>
        <v>NA</v>
      </c>
      <c r="AC340" s="10" t="str">
        <f t="shared" si="146"/>
        <v>NA</v>
      </c>
      <c r="AD340" s="10" t="str">
        <f t="shared" si="147"/>
        <v>NA</v>
      </c>
      <c r="AE340" s="10" t="str">
        <f t="shared" si="148"/>
        <v>NA</v>
      </c>
      <c r="AF340" s="1" t="s">
        <v>4164</v>
      </c>
    </row>
    <row r="341" spans="1:32" x14ac:dyDescent="0.2">
      <c r="A341" s="1" t="s">
        <v>5372</v>
      </c>
      <c r="B341" s="1" t="s">
        <v>780</v>
      </c>
      <c r="C341" s="1" t="s">
        <v>1575</v>
      </c>
      <c r="D341" s="1" t="s">
        <v>1580</v>
      </c>
      <c r="E341" s="1" t="s">
        <v>1694</v>
      </c>
      <c r="F341" s="1" t="s">
        <v>68</v>
      </c>
      <c r="G341" s="4">
        <v>1.1999999999999999E-3</v>
      </c>
      <c r="H341" s="28">
        <v>39872</v>
      </c>
      <c r="I341" s="29">
        <f t="shared" si="118"/>
        <v>2009</v>
      </c>
      <c r="J341" s="1" t="s">
        <v>5435</v>
      </c>
      <c r="K341" s="1" t="s">
        <v>7</v>
      </c>
      <c r="L341" s="11" t="str">
        <f t="shared" ref="L341:L342" si="159">IF(OR(A341=J341,A341=K341),"ДА","НЕТ")</f>
        <v>НЕТ</v>
      </c>
      <c r="M341" s="10" t="s">
        <v>1575</v>
      </c>
      <c r="N341" s="10" t="s">
        <v>1575</v>
      </c>
      <c r="O341" s="10">
        <v>8.9999999999999998E-4</v>
      </c>
      <c r="P341" s="10">
        <f t="shared" si="139"/>
        <v>0.75</v>
      </c>
      <c r="Q341" s="10" t="str">
        <f t="shared" si="140"/>
        <v>NA</v>
      </c>
      <c r="R341" s="10" t="s">
        <v>1575</v>
      </c>
      <c r="S341" s="10" t="s">
        <v>1575</v>
      </c>
      <c r="T341" s="10" t="s">
        <v>1575</v>
      </c>
      <c r="U341" s="10" t="s">
        <v>1575</v>
      </c>
      <c r="V341" s="10">
        <v>1.0720499999999999</v>
      </c>
      <c r="W341" s="10" t="s">
        <v>1575</v>
      </c>
      <c r="X341" s="10" t="str">
        <f t="shared" si="141"/>
        <v>NA</v>
      </c>
      <c r="Y341" s="10" t="str">
        <f t="shared" si="142"/>
        <v>NA</v>
      </c>
      <c r="Z341" s="10" t="str">
        <f t="shared" si="143"/>
        <v>NA</v>
      </c>
      <c r="AA341" s="10">
        <f t="shared" si="144"/>
        <v>0.69959423534350085</v>
      </c>
      <c r="AB341" s="10" t="str">
        <f t="shared" si="145"/>
        <v>NA</v>
      </c>
      <c r="AC341" s="10" t="str">
        <f t="shared" si="146"/>
        <v>NA</v>
      </c>
      <c r="AD341" s="10" t="str">
        <f t="shared" si="147"/>
        <v>NA</v>
      </c>
      <c r="AE341" s="10" t="str">
        <f t="shared" si="148"/>
        <v>NA</v>
      </c>
      <c r="AF341" s="1" t="s">
        <v>4170</v>
      </c>
    </row>
    <row r="342" spans="1:32" x14ac:dyDescent="0.2">
      <c r="A342" s="1" t="s">
        <v>4158</v>
      </c>
      <c r="B342" s="1" t="s">
        <v>5</v>
      </c>
      <c r="C342" s="1" t="s">
        <v>1575</v>
      </c>
      <c r="D342" s="1" t="s">
        <v>1580</v>
      </c>
      <c r="E342" s="1" t="s">
        <v>1694</v>
      </c>
      <c r="F342" s="1" t="s">
        <v>68</v>
      </c>
      <c r="G342" s="4">
        <v>0.18379999999999999</v>
      </c>
      <c r="H342" s="28">
        <v>40095</v>
      </c>
      <c r="I342" s="29">
        <f t="shared" ref="I342" si="160">YEAR(H342)</f>
        <v>2009</v>
      </c>
      <c r="J342" s="1" t="s">
        <v>5435</v>
      </c>
      <c r="K342" s="1" t="s">
        <v>7</v>
      </c>
      <c r="L342" s="11" t="str">
        <f t="shared" si="159"/>
        <v>НЕТ</v>
      </c>
      <c r="M342" s="10" t="s">
        <v>1575</v>
      </c>
      <c r="N342" s="10" t="s">
        <v>1575</v>
      </c>
      <c r="O342" s="10">
        <v>0.25662000000000001</v>
      </c>
      <c r="P342" s="10">
        <f t="shared" si="139"/>
        <v>1.396191512513602</v>
      </c>
      <c r="Q342" s="10" t="str">
        <f t="shared" si="140"/>
        <v>NA</v>
      </c>
      <c r="R342" s="10" t="s">
        <v>1575</v>
      </c>
      <c r="S342" s="10" t="s">
        <v>1575</v>
      </c>
      <c r="T342" s="10" t="s">
        <v>1575</v>
      </c>
      <c r="U342" s="10" t="s">
        <v>1575</v>
      </c>
      <c r="V342" s="10">
        <v>0.57402299999999995</v>
      </c>
      <c r="W342" s="10" t="s">
        <v>1575</v>
      </c>
      <c r="X342" s="10" t="str">
        <f t="shared" si="141"/>
        <v>NA</v>
      </c>
      <c r="Y342" s="10" t="str">
        <f t="shared" si="142"/>
        <v>NA</v>
      </c>
      <c r="Z342" s="10" t="str">
        <f t="shared" si="143"/>
        <v>NA</v>
      </c>
      <c r="AA342" s="10">
        <f t="shared" si="144"/>
        <v>2.4322919334479667</v>
      </c>
      <c r="AB342" s="10" t="str">
        <f t="shared" si="145"/>
        <v>NA</v>
      </c>
      <c r="AC342" s="10" t="str">
        <f t="shared" si="146"/>
        <v>NA</v>
      </c>
      <c r="AD342" s="10" t="str">
        <f t="shared" si="147"/>
        <v>NA</v>
      </c>
      <c r="AE342" s="10" t="str">
        <f t="shared" si="148"/>
        <v>NA</v>
      </c>
      <c r="AF342" s="1" t="s">
        <v>4171</v>
      </c>
    </row>
    <row r="343" spans="1:32" x14ac:dyDescent="0.2">
      <c r="A343" s="1" t="s">
        <v>4158</v>
      </c>
      <c r="B343" s="1" t="s">
        <v>5</v>
      </c>
      <c r="C343" s="1" t="s">
        <v>1575</v>
      </c>
      <c r="D343" s="1" t="s">
        <v>1580</v>
      </c>
      <c r="E343" s="1" t="s">
        <v>1694</v>
      </c>
      <c r="F343" s="1" t="s">
        <v>68</v>
      </c>
      <c r="G343" s="4">
        <v>0.16969999999999999</v>
      </c>
      <c r="H343" s="28">
        <v>39988</v>
      </c>
      <c r="I343" s="29">
        <f t="shared" si="118"/>
        <v>2009</v>
      </c>
      <c r="J343" s="1" t="s">
        <v>5435</v>
      </c>
      <c r="K343" s="1" t="s">
        <v>7</v>
      </c>
      <c r="L343" s="11" t="str">
        <f t="shared" ref="L343" si="161">IF(OR(A343=J343,A343=K343),"ДА","НЕТ")</f>
        <v>НЕТ</v>
      </c>
      <c r="M343" s="10" t="s">
        <v>1575</v>
      </c>
      <c r="N343" s="10" t="s">
        <v>1575</v>
      </c>
      <c r="O343" s="10">
        <v>0.11140899999999999</v>
      </c>
      <c r="P343" s="10">
        <f t="shared" si="139"/>
        <v>0.65650559811431941</v>
      </c>
      <c r="Q343" s="10" t="str">
        <f t="shared" si="140"/>
        <v>NA</v>
      </c>
      <c r="R343" s="10" t="s">
        <v>1575</v>
      </c>
      <c r="S343" s="10" t="s">
        <v>1575</v>
      </c>
      <c r="T343" s="10" t="s">
        <v>1575</v>
      </c>
      <c r="U343" s="10" t="s">
        <v>1575</v>
      </c>
      <c r="V343" s="10">
        <v>0.56390499999999999</v>
      </c>
      <c r="W343" s="10" t="s">
        <v>1575</v>
      </c>
      <c r="X343" s="10" t="str">
        <f t="shared" si="141"/>
        <v>NA</v>
      </c>
      <c r="Y343" s="10" t="str">
        <f t="shared" si="142"/>
        <v>NA</v>
      </c>
      <c r="Z343" s="10" t="str">
        <f t="shared" si="143"/>
        <v>NA</v>
      </c>
      <c r="AA343" s="10">
        <f t="shared" si="144"/>
        <v>1.164213117660456</v>
      </c>
      <c r="AB343" s="10" t="str">
        <f t="shared" si="145"/>
        <v>NA</v>
      </c>
      <c r="AC343" s="10" t="str">
        <f t="shared" si="146"/>
        <v>NA</v>
      </c>
      <c r="AD343" s="10" t="str">
        <f t="shared" si="147"/>
        <v>NA</v>
      </c>
      <c r="AE343" s="10" t="str">
        <f t="shared" si="148"/>
        <v>NA</v>
      </c>
      <c r="AF343" s="1" t="s">
        <v>4171</v>
      </c>
    </row>
    <row r="344" spans="1:32" x14ac:dyDescent="0.2">
      <c r="A344" s="1" t="s">
        <v>5493</v>
      </c>
      <c r="B344" s="1" t="s">
        <v>5</v>
      </c>
      <c r="C344" s="1" t="s">
        <v>1575</v>
      </c>
      <c r="D344" s="1" t="s">
        <v>1582</v>
      </c>
      <c r="E344" s="1" t="s">
        <v>2166</v>
      </c>
      <c r="F344" s="1" t="s">
        <v>4092</v>
      </c>
      <c r="G344" s="4">
        <v>3.5000000000000001E-3</v>
      </c>
      <c r="H344" s="28">
        <v>40177</v>
      </c>
      <c r="I344" s="29">
        <f t="shared" si="118"/>
        <v>2009</v>
      </c>
      <c r="J344" s="1" t="s">
        <v>5435</v>
      </c>
      <c r="K344" s="1" t="s">
        <v>7</v>
      </c>
      <c r="L344" s="11" t="str">
        <f t="shared" ref="L344" si="162">IF(OR(A344=J344,A344=K344),"ДА","НЕТ")</f>
        <v>НЕТ</v>
      </c>
      <c r="M344" s="10" t="s">
        <v>1575</v>
      </c>
      <c r="N344" s="10" t="s">
        <v>1575</v>
      </c>
      <c r="O344" s="10">
        <v>3.0000000000000001E-6</v>
      </c>
      <c r="P344" s="10">
        <f t="shared" si="139"/>
        <v>8.571428571428571E-4</v>
      </c>
      <c r="Q344" s="10" t="str">
        <f t="shared" si="140"/>
        <v>NA</v>
      </c>
      <c r="R344" s="10" t="s">
        <v>1575</v>
      </c>
      <c r="S344" s="10" t="s">
        <v>1575</v>
      </c>
      <c r="T344" s="10" t="s">
        <v>1575</v>
      </c>
      <c r="U344" s="10" t="s">
        <v>1575</v>
      </c>
      <c r="V344" s="10">
        <v>-0.33972799999999997</v>
      </c>
      <c r="W344" s="10" t="s">
        <v>1575</v>
      </c>
      <c r="X344" s="10" t="str">
        <f t="shared" si="141"/>
        <v>NA</v>
      </c>
      <c r="Y344" s="10" t="str">
        <f t="shared" si="142"/>
        <v>NA</v>
      </c>
      <c r="Z344" s="10" t="str">
        <f t="shared" si="143"/>
        <v>NA</v>
      </c>
      <c r="AA344" s="10">
        <f t="shared" si="144"/>
        <v>-2.5230268248212016E-3</v>
      </c>
      <c r="AB344" s="10" t="str">
        <f t="shared" si="145"/>
        <v>NA</v>
      </c>
      <c r="AC344" s="10" t="str">
        <f t="shared" si="146"/>
        <v>NA</v>
      </c>
      <c r="AD344" s="10" t="str">
        <f t="shared" si="147"/>
        <v>NA</v>
      </c>
      <c r="AE344" s="10" t="str">
        <f t="shared" si="148"/>
        <v>NA</v>
      </c>
      <c r="AF344" s="1" t="s">
        <v>4172</v>
      </c>
    </row>
    <row r="345" spans="1:32" x14ac:dyDescent="0.2">
      <c r="A345" s="1" t="s">
        <v>4176</v>
      </c>
      <c r="B345" s="1" t="s">
        <v>82</v>
      </c>
      <c r="C345" s="1" t="s">
        <v>1575</v>
      </c>
      <c r="D345" s="1" t="s">
        <v>1580</v>
      </c>
      <c r="E345" s="1" t="s">
        <v>1587</v>
      </c>
      <c r="F345" s="1" t="s">
        <v>907</v>
      </c>
      <c r="G345" s="4">
        <v>0.43690000000000001</v>
      </c>
      <c r="H345" s="28">
        <v>40164</v>
      </c>
      <c r="I345" s="29">
        <f t="shared" si="118"/>
        <v>2009</v>
      </c>
      <c r="J345" s="1" t="s">
        <v>5435</v>
      </c>
      <c r="K345" s="1" t="s">
        <v>7</v>
      </c>
      <c r="L345" s="11" t="str">
        <f t="shared" ref="L345:L347" si="163">IF(OR(A345=J345,A345=K345),"ДА","НЕТ")</f>
        <v>НЕТ</v>
      </c>
      <c r="M345" s="10" t="s">
        <v>1575</v>
      </c>
      <c r="N345" s="10" t="s">
        <v>1575</v>
      </c>
      <c r="O345" s="10">
        <v>5.8999999999999998E-5</v>
      </c>
      <c r="P345" s="10">
        <f t="shared" si="139"/>
        <v>1.3504234378576332E-4</v>
      </c>
      <c r="Q345" s="10" t="str">
        <f t="shared" si="140"/>
        <v>NA</v>
      </c>
      <c r="R345" s="10" t="s">
        <v>1575</v>
      </c>
      <c r="S345" s="10" t="s">
        <v>1575</v>
      </c>
      <c r="T345" s="10" t="s">
        <v>1575</v>
      </c>
      <c r="U345" s="10" t="s">
        <v>1575</v>
      </c>
      <c r="V345" s="10">
        <v>-4.4999999999999999E-4</v>
      </c>
      <c r="W345" s="10" t="s">
        <v>1575</v>
      </c>
      <c r="X345" s="10" t="str">
        <f t="shared" si="141"/>
        <v>NA</v>
      </c>
      <c r="Y345" s="10" t="str">
        <f t="shared" si="142"/>
        <v>NA</v>
      </c>
      <c r="Z345" s="10" t="str">
        <f t="shared" si="143"/>
        <v>NA</v>
      </c>
      <c r="AA345" s="10">
        <f t="shared" si="144"/>
        <v>-0.30009409730169628</v>
      </c>
      <c r="AB345" s="10" t="str">
        <f t="shared" si="145"/>
        <v>NA</v>
      </c>
      <c r="AC345" s="10" t="str">
        <f t="shared" si="146"/>
        <v>NA</v>
      </c>
      <c r="AD345" s="10" t="str">
        <f t="shared" si="147"/>
        <v>NA</v>
      </c>
      <c r="AE345" s="10" t="str">
        <f t="shared" si="148"/>
        <v>NA</v>
      </c>
      <c r="AF345" s="1" t="s">
        <v>4175</v>
      </c>
    </row>
    <row r="346" spans="1:32" x14ac:dyDescent="0.2">
      <c r="A346" s="1" t="s">
        <v>4178</v>
      </c>
      <c r="B346" s="1" t="s">
        <v>5</v>
      </c>
      <c r="C346" s="1" t="s">
        <v>1575</v>
      </c>
      <c r="D346" s="1" t="s">
        <v>1582</v>
      </c>
      <c r="E346" s="1" t="s">
        <v>5352</v>
      </c>
      <c r="F346" s="1" t="s">
        <v>1745</v>
      </c>
      <c r="G346" s="4">
        <v>0.495</v>
      </c>
      <c r="H346" s="28">
        <v>39953</v>
      </c>
      <c r="I346" s="29">
        <f t="shared" si="118"/>
        <v>2009</v>
      </c>
      <c r="J346" s="1" t="s">
        <v>7</v>
      </c>
      <c r="K346" s="1" t="s">
        <v>5435</v>
      </c>
      <c r="L346" s="11" t="str">
        <f t="shared" si="163"/>
        <v>НЕТ</v>
      </c>
      <c r="M346" s="10" t="s">
        <v>1575</v>
      </c>
      <c r="N346" s="10" t="s">
        <v>1575</v>
      </c>
      <c r="O346" s="10">
        <v>5.0000000000000004E-6</v>
      </c>
      <c r="P346" s="10">
        <f t="shared" si="139"/>
        <v>1.0101010101010101E-5</v>
      </c>
      <c r="Q346" s="10" t="str">
        <f t="shared" si="140"/>
        <v>NA</v>
      </c>
      <c r="R346" s="10" t="s">
        <v>1575</v>
      </c>
      <c r="S346" s="10" t="s">
        <v>1575</v>
      </c>
      <c r="T346" s="10" t="s">
        <v>1575</v>
      </c>
      <c r="U346" s="10" t="s">
        <v>1575</v>
      </c>
      <c r="V346" s="10">
        <v>-3.0000000000000001E-6</v>
      </c>
      <c r="W346" s="10" t="s">
        <v>1575</v>
      </c>
      <c r="X346" s="10" t="str">
        <f t="shared" si="141"/>
        <v>NA</v>
      </c>
      <c r="Y346" s="10" t="str">
        <f t="shared" si="142"/>
        <v>NA</v>
      </c>
      <c r="Z346" s="10" t="str">
        <f t="shared" si="143"/>
        <v>NA</v>
      </c>
      <c r="AA346" s="10">
        <f t="shared" si="144"/>
        <v>-3.3670033670033672</v>
      </c>
      <c r="AB346" s="10" t="str">
        <f t="shared" si="145"/>
        <v>NA</v>
      </c>
      <c r="AC346" s="10" t="str">
        <f t="shared" si="146"/>
        <v>NA</v>
      </c>
      <c r="AD346" s="10" t="str">
        <f t="shared" si="147"/>
        <v>NA</v>
      </c>
      <c r="AE346" s="10" t="str">
        <f t="shared" si="148"/>
        <v>NA</v>
      </c>
      <c r="AF346" s="1" t="s">
        <v>4177</v>
      </c>
    </row>
    <row r="347" spans="1:32" x14ac:dyDescent="0.2">
      <c r="A347" s="1" t="s">
        <v>4180</v>
      </c>
      <c r="B347" s="1" t="s">
        <v>5</v>
      </c>
      <c r="C347" s="1" t="s">
        <v>1575</v>
      </c>
      <c r="D347" s="1" t="s">
        <v>1582</v>
      </c>
      <c r="E347" s="1" t="s">
        <v>5352</v>
      </c>
      <c r="F347" s="1" t="s">
        <v>1745</v>
      </c>
      <c r="G347" s="4">
        <v>0.99829999999999997</v>
      </c>
      <c r="H347" s="28">
        <v>40176</v>
      </c>
      <c r="I347" s="29">
        <f t="shared" si="118"/>
        <v>2009</v>
      </c>
      <c r="J347" s="1" t="s">
        <v>7</v>
      </c>
      <c r="K347" s="1" t="s">
        <v>5435</v>
      </c>
      <c r="L347" s="11" t="str">
        <f t="shared" si="163"/>
        <v>НЕТ</v>
      </c>
      <c r="M347" s="10" t="s">
        <v>1575</v>
      </c>
      <c r="N347" s="10" t="s">
        <v>1575</v>
      </c>
      <c r="O347" s="10">
        <v>4.0999999999999999E-4</v>
      </c>
      <c r="P347" s="10">
        <f t="shared" si="139"/>
        <v>4.1069818691776022E-4</v>
      </c>
      <c r="Q347" s="10" t="str">
        <f t="shared" si="140"/>
        <v>NA</v>
      </c>
      <c r="R347" s="10" t="s">
        <v>1575</v>
      </c>
      <c r="S347" s="10" t="s">
        <v>1575</v>
      </c>
      <c r="T347" s="10" t="s">
        <v>1575</v>
      </c>
      <c r="U347" s="10" t="s">
        <v>1575</v>
      </c>
      <c r="V347" s="10">
        <v>1.4120000000000001E-2</v>
      </c>
      <c r="W347" s="10" t="s">
        <v>1575</v>
      </c>
      <c r="X347" s="10" t="str">
        <f t="shared" si="141"/>
        <v>NA</v>
      </c>
      <c r="Y347" s="10" t="str">
        <f t="shared" si="142"/>
        <v>NA</v>
      </c>
      <c r="Z347" s="10" t="str">
        <f t="shared" si="143"/>
        <v>NA</v>
      </c>
      <c r="AA347" s="10">
        <f t="shared" si="144"/>
        <v>2.9086273861031176E-2</v>
      </c>
      <c r="AB347" s="10" t="str">
        <f t="shared" si="145"/>
        <v>NA</v>
      </c>
      <c r="AC347" s="10" t="str">
        <f t="shared" si="146"/>
        <v>NA</v>
      </c>
      <c r="AD347" s="10" t="str">
        <f t="shared" si="147"/>
        <v>NA</v>
      </c>
      <c r="AE347" s="10" t="str">
        <f t="shared" si="148"/>
        <v>NA</v>
      </c>
      <c r="AF347" s="1" t="s">
        <v>4179</v>
      </c>
    </row>
    <row r="348" spans="1:32" x14ac:dyDescent="0.2">
      <c r="A348" s="1" t="s">
        <v>5435</v>
      </c>
      <c r="B348" s="1" t="s">
        <v>5</v>
      </c>
      <c r="C348" s="1" t="s">
        <v>3198</v>
      </c>
      <c r="D348" s="1" t="s">
        <v>1580</v>
      </c>
      <c r="E348" s="1" t="s">
        <v>1694</v>
      </c>
      <c r="F348" s="1" t="s">
        <v>68</v>
      </c>
      <c r="G348" s="4" t="s">
        <v>1575</v>
      </c>
      <c r="H348" s="28">
        <v>39813</v>
      </c>
      <c r="I348" s="29">
        <f t="shared" si="118"/>
        <v>2008</v>
      </c>
      <c r="J348" s="1" t="s">
        <v>7</v>
      </c>
      <c r="K348" s="1" t="s">
        <v>5435</v>
      </c>
      <c r="L348" s="11" t="str">
        <f t="shared" ref="L348:L351" si="164">IF(OR(A348=J348,A348=K348),"ДА","НЕТ")</f>
        <v>ДА</v>
      </c>
      <c r="M348" s="10" t="s">
        <v>1575</v>
      </c>
      <c r="N348" s="10" t="s">
        <v>1575</v>
      </c>
      <c r="O348" s="10">
        <v>2.5166999999999998E-2</v>
      </c>
      <c r="P348" s="10" t="str">
        <f t="shared" si="139"/>
        <v>NA</v>
      </c>
      <c r="Q348" s="10" t="str">
        <f t="shared" si="140"/>
        <v>NA</v>
      </c>
      <c r="R348" s="10" t="s">
        <v>1575</v>
      </c>
      <c r="S348" s="10" t="s">
        <v>1575</v>
      </c>
      <c r="T348" s="10" t="s">
        <v>1575</v>
      </c>
      <c r="U348" s="10" t="e">
        <v>#N/A</v>
      </c>
      <c r="V348" s="10" t="e">
        <v>#N/A</v>
      </c>
      <c r="W348" s="10" t="s">
        <v>1575</v>
      </c>
      <c r="X348" s="10" t="str">
        <f t="shared" si="141"/>
        <v>NA</v>
      </c>
      <c r="Y348" s="10" t="str">
        <f t="shared" si="142"/>
        <v>NA</v>
      </c>
      <c r="Z348" s="10" t="str">
        <f t="shared" si="143"/>
        <v>NA</v>
      </c>
      <c r="AA348" s="10" t="str">
        <f t="shared" si="144"/>
        <v>NA</v>
      </c>
      <c r="AB348" s="10" t="str">
        <f t="shared" si="145"/>
        <v>NA</v>
      </c>
      <c r="AC348" s="10" t="str">
        <f t="shared" si="146"/>
        <v>NA</v>
      </c>
      <c r="AD348" s="10" t="str">
        <f t="shared" si="147"/>
        <v>NA</v>
      </c>
      <c r="AE348" s="10" t="str">
        <f t="shared" si="148"/>
        <v>NA</v>
      </c>
      <c r="AF348" s="1" t="s">
        <v>4181</v>
      </c>
    </row>
    <row r="349" spans="1:32" x14ac:dyDescent="0.2">
      <c r="A349" s="1" t="s">
        <v>4158</v>
      </c>
      <c r="B349" s="1" t="s">
        <v>5</v>
      </c>
      <c r="C349" s="1" t="s">
        <v>1575</v>
      </c>
      <c r="D349" s="1" t="s">
        <v>1580</v>
      </c>
      <c r="E349" s="1" t="s">
        <v>1694</v>
      </c>
      <c r="F349" s="1" t="s">
        <v>68</v>
      </c>
      <c r="G349" s="4">
        <v>1.573E-3</v>
      </c>
      <c r="H349" s="28">
        <v>39796</v>
      </c>
      <c r="I349" s="29">
        <f t="shared" si="118"/>
        <v>2008</v>
      </c>
      <c r="J349" s="1" t="s">
        <v>5435</v>
      </c>
      <c r="K349" s="1" t="s">
        <v>7</v>
      </c>
      <c r="L349" s="11" t="str">
        <f t="shared" si="164"/>
        <v>НЕТ</v>
      </c>
      <c r="M349" s="10" t="s">
        <v>1575</v>
      </c>
      <c r="N349" s="10" t="s">
        <v>1575</v>
      </c>
      <c r="O349" s="10">
        <v>1.95E-4</v>
      </c>
      <c r="P349" s="10">
        <f t="shared" si="139"/>
        <v>0.12396694214876033</v>
      </c>
      <c r="Q349" s="10" t="str">
        <f t="shared" si="140"/>
        <v>NA</v>
      </c>
      <c r="R349" s="10" t="s">
        <v>1575</v>
      </c>
      <c r="S349" s="10" t="s">
        <v>1575</v>
      </c>
      <c r="T349" s="10" t="s">
        <v>1575</v>
      </c>
      <c r="U349" s="10" t="s">
        <v>1575</v>
      </c>
      <c r="V349" s="10">
        <v>0.29785499999999998</v>
      </c>
      <c r="W349" s="10" t="s">
        <v>1575</v>
      </c>
      <c r="X349" s="10" t="str">
        <f t="shared" si="141"/>
        <v>NA</v>
      </c>
      <c r="Y349" s="10" t="str">
        <f t="shared" si="142"/>
        <v>NA</v>
      </c>
      <c r="Z349" s="10" t="str">
        <f t="shared" si="143"/>
        <v>NA</v>
      </c>
      <c r="AA349" s="10">
        <f t="shared" si="144"/>
        <v>0.41619896308190341</v>
      </c>
      <c r="AB349" s="10" t="str">
        <f t="shared" si="145"/>
        <v>NA</v>
      </c>
      <c r="AC349" s="10" t="str">
        <f t="shared" si="146"/>
        <v>NA</v>
      </c>
      <c r="AD349" s="10" t="str">
        <f t="shared" si="147"/>
        <v>NA</v>
      </c>
      <c r="AE349" s="10" t="str">
        <f t="shared" si="148"/>
        <v>NA</v>
      </c>
      <c r="AF349" s="1" t="s">
        <v>4184</v>
      </c>
    </row>
    <row r="350" spans="1:32" x14ac:dyDescent="0.2">
      <c r="A350" s="1" t="s">
        <v>4158</v>
      </c>
      <c r="B350" s="1" t="s">
        <v>5</v>
      </c>
      <c r="C350" s="1" t="s">
        <v>1575</v>
      </c>
      <c r="D350" s="1" t="s">
        <v>1580</v>
      </c>
      <c r="E350" s="1" t="s">
        <v>1694</v>
      </c>
      <c r="F350" s="1" t="s">
        <v>68</v>
      </c>
      <c r="G350" s="4">
        <v>9.6799999999999997E-2</v>
      </c>
      <c r="H350" s="28">
        <v>39721</v>
      </c>
      <c r="I350" s="29">
        <f t="shared" ref="I350" si="165">YEAR(H350)</f>
        <v>2008</v>
      </c>
      <c r="J350" s="1" t="s">
        <v>5435</v>
      </c>
      <c r="K350" s="1" t="s">
        <v>7</v>
      </c>
      <c r="L350" s="11" t="str">
        <f t="shared" ref="L350" si="166">IF(OR(A350=J350,A350=K350),"ДА","НЕТ")</f>
        <v>НЕТ</v>
      </c>
      <c r="M350" s="10" t="s">
        <v>1575</v>
      </c>
      <c r="N350" s="10" t="s">
        <v>1575</v>
      </c>
      <c r="O350" s="10">
        <v>6.7680000000000004E-2</v>
      </c>
      <c r="P350" s="10">
        <f t="shared" si="139"/>
        <v>0.69917355371900836</v>
      </c>
      <c r="Q350" s="10" t="str">
        <f t="shared" si="140"/>
        <v>NA</v>
      </c>
      <c r="R350" s="10" t="s">
        <v>1575</v>
      </c>
      <c r="S350" s="10" t="s">
        <v>1575</v>
      </c>
      <c r="T350" s="10" t="s">
        <v>1575</v>
      </c>
      <c r="U350" s="10" t="s">
        <v>1575</v>
      </c>
      <c r="V350" s="10">
        <v>0.26815600000000001</v>
      </c>
      <c r="W350" s="10" t="s">
        <v>1575</v>
      </c>
      <c r="X350" s="10" t="str">
        <f t="shared" si="141"/>
        <v>NA</v>
      </c>
      <c r="Y350" s="10" t="str">
        <f t="shared" si="142"/>
        <v>NA</v>
      </c>
      <c r="Z350" s="10" t="str">
        <f t="shared" si="143"/>
        <v>NA</v>
      </c>
      <c r="AA350" s="10">
        <f t="shared" si="144"/>
        <v>2.6073388390302972</v>
      </c>
      <c r="AB350" s="10" t="str">
        <f t="shared" si="145"/>
        <v>NA</v>
      </c>
      <c r="AC350" s="10" t="str">
        <f t="shared" si="146"/>
        <v>NA</v>
      </c>
      <c r="AD350" s="10" t="str">
        <f t="shared" si="147"/>
        <v>NA</v>
      </c>
      <c r="AE350" s="10" t="str">
        <f t="shared" si="148"/>
        <v>NA</v>
      </c>
      <c r="AF350" s="1" t="s">
        <v>4183</v>
      </c>
    </row>
    <row r="351" spans="1:32" x14ac:dyDescent="0.2">
      <c r="A351" s="1" t="s">
        <v>4158</v>
      </c>
      <c r="B351" s="1" t="s">
        <v>5</v>
      </c>
      <c r="C351" s="1" t="s">
        <v>1575</v>
      </c>
      <c r="D351" s="1" t="s">
        <v>1580</v>
      </c>
      <c r="E351" s="1" t="s">
        <v>1694</v>
      </c>
      <c r="F351" s="1" t="s">
        <v>68</v>
      </c>
      <c r="G351" s="4">
        <v>0.5</v>
      </c>
      <c r="H351" s="28">
        <v>39492</v>
      </c>
      <c r="I351" s="29">
        <f t="shared" si="118"/>
        <v>2008</v>
      </c>
      <c r="J351" s="1" t="s">
        <v>5435</v>
      </c>
      <c r="K351" s="1" t="s">
        <v>7</v>
      </c>
      <c r="L351" s="11" t="str">
        <f t="shared" si="164"/>
        <v>НЕТ</v>
      </c>
      <c r="M351" s="10" t="s">
        <v>1575</v>
      </c>
      <c r="N351" s="10" t="s">
        <v>1575</v>
      </c>
      <c r="O351" s="10">
        <v>5.2089000000000003E-2</v>
      </c>
      <c r="P351" s="10">
        <f t="shared" si="139"/>
        <v>0.10417800000000001</v>
      </c>
      <c r="Q351" s="10" t="str">
        <f t="shared" si="140"/>
        <v>NA</v>
      </c>
      <c r="R351" s="10" t="s">
        <v>1575</v>
      </c>
      <c r="S351" s="10" t="s">
        <v>1575</v>
      </c>
      <c r="T351" s="10" t="s">
        <v>1575</v>
      </c>
      <c r="U351" s="10" t="s">
        <v>1575</v>
      </c>
      <c r="V351" s="10">
        <v>0.18842300000000001</v>
      </c>
      <c r="W351" s="10" t="s">
        <v>1575</v>
      </c>
      <c r="X351" s="10" t="str">
        <f t="shared" si="141"/>
        <v>NA</v>
      </c>
      <c r="Y351" s="10" t="str">
        <f t="shared" si="142"/>
        <v>NA</v>
      </c>
      <c r="Z351" s="10" t="str">
        <f t="shared" si="143"/>
        <v>NA</v>
      </c>
      <c r="AA351" s="10">
        <f t="shared" si="144"/>
        <v>0.55289428572944921</v>
      </c>
      <c r="AB351" s="10" t="str">
        <f t="shared" si="145"/>
        <v>NA</v>
      </c>
      <c r="AC351" s="10" t="str">
        <f t="shared" si="146"/>
        <v>NA</v>
      </c>
      <c r="AD351" s="10" t="str">
        <f t="shared" si="147"/>
        <v>NA</v>
      </c>
      <c r="AE351" s="10" t="str">
        <f t="shared" si="148"/>
        <v>NA</v>
      </c>
      <c r="AF351" s="1" t="s">
        <v>4182</v>
      </c>
    </row>
    <row r="352" spans="1:32" x14ac:dyDescent="0.2">
      <c r="A352" s="1" t="s">
        <v>5494</v>
      </c>
      <c r="B352" s="1" t="s">
        <v>5</v>
      </c>
      <c r="C352" s="1" t="s">
        <v>1575</v>
      </c>
      <c r="D352" s="1" t="s">
        <v>1580</v>
      </c>
      <c r="E352" s="1" t="s">
        <v>1694</v>
      </c>
      <c r="F352" s="1" t="s">
        <v>68</v>
      </c>
      <c r="G352" s="4">
        <v>0.15770000000000001</v>
      </c>
      <c r="H352" s="28">
        <v>39661</v>
      </c>
      <c r="I352" s="29">
        <f t="shared" si="118"/>
        <v>2008</v>
      </c>
      <c r="J352" s="1" t="s">
        <v>5435</v>
      </c>
      <c r="K352" s="1" t="s">
        <v>7</v>
      </c>
      <c r="L352" s="11" t="str">
        <f t="shared" ref="L352" si="167">IF(OR(A352=J352,A352=K352),"ДА","НЕТ")</f>
        <v>НЕТ</v>
      </c>
      <c r="M352" s="10" t="s">
        <v>1575</v>
      </c>
      <c r="N352" s="10" t="s">
        <v>1575</v>
      </c>
      <c r="O352" s="10">
        <v>7.9238000000000003E-2</v>
      </c>
      <c r="P352" s="10">
        <f t="shared" si="139"/>
        <v>0.50246036778693726</v>
      </c>
      <c r="Q352" s="10" t="str">
        <f t="shared" si="140"/>
        <v>NA</v>
      </c>
      <c r="R352" s="10" t="s">
        <v>1575</v>
      </c>
      <c r="S352" s="10" t="s">
        <v>1575</v>
      </c>
      <c r="T352" s="10" t="s">
        <v>1575</v>
      </c>
      <c r="U352" s="10" t="s">
        <v>1575</v>
      </c>
      <c r="V352" s="10">
        <v>0.25780999999999998</v>
      </c>
      <c r="W352" s="10" t="s">
        <v>1575</v>
      </c>
      <c r="X352" s="10" t="str">
        <f t="shared" si="141"/>
        <v>NA</v>
      </c>
      <c r="Y352" s="10" t="str">
        <f t="shared" si="142"/>
        <v>NA</v>
      </c>
      <c r="Z352" s="10" t="str">
        <f t="shared" si="143"/>
        <v>NA</v>
      </c>
      <c r="AA352" s="10">
        <f t="shared" si="144"/>
        <v>1.9489560831113506</v>
      </c>
      <c r="AB352" s="10" t="str">
        <f t="shared" si="145"/>
        <v>NA</v>
      </c>
      <c r="AC352" s="10" t="str">
        <f t="shared" si="146"/>
        <v>NA</v>
      </c>
      <c r="AD352" s="10" t="str">
        <f t="shared" si="147"/>
        <v>NA</v>
      </c>
      <c r="AE352" s="10" t="str">
        <f t="shared" si="148"/>
        <v>NA</v>
      </c>
      <c r="AF352" s="1" t="s">
        <v>4185</v>
      </c>
    </row>
    <row r="353" spans="1:32" x14ac:dyDescent="0.2">
      <c r="A353" s="1" t="s">
        <v>5437</v>
      </c>
      <c r="B353" s="1" t="s">
        <v>5</v>
      </c>
      <c r="C353" s="1" t="s">
        <v>1575</v>
      </c>
      <c r="D353" s="1" t="s">
        <v>1584</v>
      </c>
      <c r="E353" s="1" t="s">
        <v>3486</v>
      </c>
      <c r="F353" s="1" t="s">
        <v>46</v>
      </c>
      <c r="G353" s="4">
        <v>1</v>
      </c>
      <c r="H353" s="28">
        <v>39751</v>
      </c>
      <c r="I353" s="29">
        <f t="shared" si="118"/>
        <v>2008</v>
      </c>
      <c r="J353" s="1" t="s">
        <v>5435</v>
      </c>
      <c r="K353" s="1" t="s">
        <v>7</v>
      </c>
      <c r="L353" s="11" t="str">
        <f t="shared" ref="L353" si="168">IF(OR(A353=J353,A353=K353),"ДА","НЕТ")</f>
        <v>НЕТ</v>
      </c>
      <c r="M353" s="10" t="s">
        <v>1575</v>
      </c>
      <c r="N353" s="10" t="s">
        <v>1575</v>
      </c>
      <c r="O353" s="10">
        <v>3.7326609999999998</v>
      </c>
      <c r="P353" s="10">
        <f t="shared" si="139"/>
        <v>3.7326609999999998</v>
      </c>
      <c r="Q353" s="10" t="str">
        <f t="shared" si="140"/>
        <v>NA</v>
      </c>
      <c r="R353" s="10" t="s">
        <v>1575</v>
      </c>
      <c r="S353" s="10" t="s">
        <v>1575</v>
      </c>
      <c r="T353" s="10" t="s">
        <v>1575</v>
      </c>
      <c r="U353" s="10" t="s">
        <v>1575</v>
      </c>
      <c r="V353" s="10">
        <v>3.7326609999999998</v>
      </c>
      <c r="W353" s="10" t="s">
        <v>1575</v>
      </c>
      <c r="X353" s="10" t="str">
        <f t="shared" si="141"/>
        <v>NA</v>
      </c>
      <c r="Y353" s="10" t="str">
        <f t="shared" si="142"/>
        <v>NA</v>
      </c>
      <c r="Z353" s="10" t="str">
        <f t="shared" si="143"/>
        <v>NA</v>
      </c>
      <c r="AA353" s="10">
        <f t="shared" si="144"/>
        <v>1</v>
      </c>
      <c r="AB353" s="10" t="str">
        <f t="shared" si="145"/>
        <v>NA</v>
      </c>
      <c r="AC353" s="10" t="str">
        <f t="shared" si="146"/>
        <v>NA</v>
      </c>
      <c r="AD353" s="10" t="str">
        <f t="shared" si="147"/>
        <v>NA</v>
      </c>
      <c r="AE353" s="10" t="str">
        <f t="shared" si="148"/>
        <v>NA</v>
      </c>
      <c r="AF353" s="1" t="s">
        <v>4186</v>
      </c>
    </row>
    <row r="354" spans="1:32" x14ac:dyDescent="0.2">
      <c r="A354" s="1" t="s">
        <v>5495</v>
      </c>
      <c r="B354" s="1" t="s">
        <v>5</v>
      </c>
      <c r="C354" s="1" t="s">
        <v>1575</v>
      </c>
      <c r="D354" s="1" t="s">
        <v>1580</v>
      </c>
      <c r="E354" s="1" t="s">
        <v>1587</v>
      </c>
      <c r="F354" s="1" t="s">
        <v>907</v>
      </c>
      <c r="G354" s="4">
        <v>0.48999199999999998</v>
      </c>
      <c r="H354" s="28">
        <v>39794</v>
      </c>
      <c r="I354" s="29">
        <f t="shared" si="118"/>
        <v>2008</v>
      </c>
      <c r="J354" s="1" t="s">
        <v>5435</v>
      </c>
      <c r="K354" s="1" t="s">
        <v>7</v>
      </c>
      <c r="L354" s="11" t="str">
        <f t="shared" ref="L354" si="169">IF(OR(A354=J354,A354=K354),"ДА","НЕТ")</f>
        <v>НЕТ</v>
      </c>
      <c r="M354" s="10" t="s">
        <v>1575</v>
      </c>
      <c r="N354" s="10" t="s">
        <v>1575</v>
      </c>
      <c r="O354" s="10">
        <v>0.73430099999999998</v>
      </c>
      <c r="P354" s="10">
        <f t="shared" si="139"/>
        <v>1.4985979362928374</v>
      </c>
      <c r="Q354" s="10" t="str">
        <f t="shared" si="140"/>
        <v>NA</v>
      </c>
      <c r="R354" s="10" t="s">
        <v>1575</v>
      </c>
      <c r="S354" s="10" t="s">
        <v>1575</v>
      </c>
      <c r="T354" s="10" t="s">
        <v>1575</v>
      </c>
      <c r="U354" s="10" t="s">
        <v>1575</v>
      </c>
      <c r="V354" s="10">
        <v>2.8340559999999999</v>
      </c>
      <c r="W354" s="10" t="s">
        <v>1575</v>
      </c>
      <c r="X354" s="10" t="str">
        <f t="shared" si="141"/>
        <v>NA</v>
      </c>
      <c r="Y354" s="10" t="str">
        <f t="shared" si="142"/>
        <v>NA</v>
      </c>
      <c r="Z354" s="10" t="str">
        <f t="shared" si="143"/>
        <v>NA</v>
      </c>
      <c r="AA354" s="10">
        <f t="shared" si="144"/>
        <v>0.52878204816448138</v>
      </c>
      <c r="AB354" s="10" t="str">
        <f t="shared" si="145"/>
        <v>NA</v>
      </c>
      <c r="AC354" s="10" t="str">
        <f t="shared" si="146"/>
        <v>NA</v>
      </c>
      <c r="AD354" s="10" t="str">
        <f t="shared" si="147"/>
        <v>NA</v>
      </c>
      <c r="AE354" s="10" t="str">
        <f t="shared" si="148"/>
        <v>NA</v>
      </c>
      <c r="AF354" s="1" t="s">
        <v>4187</v>
      </c>
    </row>
    <row r="355" spans="1:32" x14ac:dyDescent="0.2">
      <c r="A355" s="1" t="s">
        <v>906</v>
      </c>
      <c r="B355" s="1" t="s">
        <v>5</v>
      </c>
      <c r="C355" s="1" t="s">
        <v>1575</v>
      </c>
      <c r="D355" s="1" t="s">
        <v>1580</v>
      </c>
      <c r="E355" s="1" t="s">
        <v>1587</v>
      </c>
      <c r="F355" s="1" t="s">
        <v>907</v>
      </c>
      <c r="G355" s="4">
        <v>0.19</v>
      </c>
      <c r="H355" s="28">
        <v>39813</v>
      </c>
      <c r="I355" s="29">
        <f t="shared" si="118"/>
        <v>2008</v>
      </c>
      <c r="J355" s="1" t="s">
        <v>5435</v>
      </c>
      <c r="K355" s="1" t="s">
        <v>7</v>
      </c>
      <c r="L355" s="11" t="str">
        <f t="shared" ref="L355:L357" si="170">IF(OR(A355=J355,A355=K355),"ДА","НЕТ")</f>
        <v>НЕТ</v>
      </c>
      <c r="M355" s="10" t="s">
        <v>1575</v>
      </c>
      <c r="N355" s="10" t="s">
        <v>1575</v>
      </c>
      <c r="O355" s="10">
        <v>8.4080000000000005E-3</v>
      </c>
      <c r="P355" s="10">
        <f t="shared" si="139"/>
        <v>4.425263157894737E-2</v>
      </c>
      <c r="Q355" s="10" t="str">
        <f t="shared" si="140"/>
        <v>NA</v>
      </c>
      <c r="R355" s="10" t="s">
        <v>1575</v>
      </c>
      <c r="S355" s="10" t="s">
        <v>1575</v>
      </c>
      <c r="T355" s="10" t="s">
        <v>1575</v>
      </c>
      <c r="U355" s="10" t="s">
        <v>1575</v>
      </c>
      <c r="V355" s="10" t="s">
        <v>1575</v>
      </c>
      <c r="W355" s="10" t="s">
        <v>1575</v>
      </c>
      <c r="X355" s="10" t="str">
        <f t="shared" si="141"/>
        <v>NA</v>
      </c>
      <c r="Y355" s="10" t="str">
        <f t="shared" si="142"/>
        <v>NA</v>
      </c>
      <c r="Z355" s="10" t="str">
        <f t="shared" si="143"/>
        <v>NA</v>
      </c>
      <c r="AA355" s="10" t="str">
        <f t="shared" si="144"/>
        <v>NA</v>
      </c>
      <c r="AB355" s="10" t="str">
        <f t="shared" si="145"/>
        <v>NA</v>
      </c>
      <c r="AC355" s="10" t="str">
        <f t="shared" si="146"/>
        <v>NA</v>
      </c>
      <c r="AD355" s="10" t="str">
        <f t="shared" si="147"/>
        <v>NA</v>
      </c>
      <c r="AE355" s="10" t="str">
        <f t="shared" si="148"/>
        <v>NA</v>
      </c>
      <c r="AF355" s="1" t="s">
        <v>4188</v>
      </c>
    </row>
    <row r="356" spans="1:32" x14ac:dyDescent="0.2">
      <c r="A356" s="1" t="s">
        <v>5496</v>
      </c>
      <c r="B356" s="1" t="s">
        <v>5</v>
      </c>
      <c r="C356" s="1" t="s">
        <v>1575</v>
      </c>
      <c r="D356" s="1" t="s">
        <v>1580</v>
      </c>
      <c r="E356" s="1" t="s">
        <v>1587</v>
      </c>
      <c r="F356" s="1" t="s">
        <v>907</v>
      </c>
      <c r="G356" s="4">
        <v>1</v>
      </c>
      <c r="H356" s="28">
        <v>39813</v>
      </c>
      <c r="I356" s="29">
        <f t="shared" si="118"/>
        <v>2008</v>
      </c>
      <c r="J356" s="1" t="s">
        <v>5435</v>
      </c>
      <c r="K356" s="1" t="s">
        <v>7</v>
      </c>
      <c r="L356" s="11" t="str">
        <f t="shared" si="170"/>
        <v>НЕТ</v>
      </c>
      <c r="M356" s="10" t="s">
        <v>1575</v>
      </c>
      <c r="N356" s="10" t="s">
        <v>1575</v>
      </c>
      <c r="O356" s="10" t="s">
        <v>1575</v>
      </c>
      <c r="P356" s="10" t="str">
        <f t="shared" si="139"/>
        <v>NA</v>
      </c>
      <c r="Q356" s="10" t="str">
        <f t="shared" si="140"/>
        <v>NA</v>
      </c>
      <c r="R356" s="10" t="s">
        <v>1575</v>
      </c>
      <c r="S356" s="10" t="s">
        <v>1575</v>
      </c>
      <c r="T356" s="10" t="s">
        <v>1575</v>
      </c>
      <c r="U356" s="10" t="s">
        <v>1575</v>
      </c>
      <c r="V356" s="10" t="s">
        <v>1575</v>
      </c>
      <c r="W356" s="10" t="s">
        <v>1575</v>
      </c>
      <c r="X356" s="10" t="str">
        <f t="shared" si="141"/>
        <v>NA</v>
      </c>
      <c r="Y356" s="10" t="str">
        <f t="shared" si="142"/>
        <v>NA</v>
      </c>
      <c r="Z356" s="10" t="str">
        <f t="shared" si="143"/>
        <v>NA</v>
      </c>
      <c r="AA356" s="10" t="str">
        <f t="shared" si="144"/>
        <v>NA</v>
      </c>
      <c r="AB356" s="10" t="str">
        <f t="shared" si="145"/>
        <v>NA</v>
      </c>
      <c r="AC356" s="10" t="str">
        <f t="shared" si="146"/>
        <v>NA</v>
      </c>
      <c r="AD356" s="10" t="str">
        <f t="shared" si="147"/>
        <v>NA</v>
      </c>
      <c r="AE356" s="10" t="str">
        <f t="shared" si="148"/>
        <v>NA</v>
      </c>
      <c r="AF356" s="1" t="s">
        <v>4189</v>
      </c>
    </row>
    <row r="357" spans="1:32" x14ac:dyDescent="0.2">
      <c r="A357" s="1" t="s">
        <v>4191</v>
      </c>
      <c r="B357" s="1" t="s">
        <v>5</v>
      </c>
      <c r="C357" s="1" t="s">
        <v>1575</v>
      </c>
      <c r="D357" s="1" t="s">
        <v>1582</v>
      </c>
      <c r="E357" s="1" t="s">
        <v>2166</v>
      </c>
      <c r="F357" s="1" t="s">
        <v>4092</v>
      </c>
      <c r="G357" s="4">
        <v>0.48499999999999999</v>
      </c>
      <c r="H357" s="28">
        <v>39813</v>
      </c>
      <c r="I357" s="29">
        <f t="shared" si="118"/>
        <v>2008</v>
      </c>
      <c r="J357" s="1" t="s">
        <v>7</v>
      </c>
      <c r="K357" s="1" t="s">
        <v>5435</v>
      </c>
      <c r="L357" s="11" t="str">
        <f t="shared" si="170"/>
        <v>НЕТ</v>
      </c>
      <c r="M357" s="10" t="s">
        <v>1575</v>
      </c>
      <c r="N357" s="10" t="s">
        <v>1575</v>
      </c>
      <c r="O357" s="10">
        <v>9.0000000000000002E-6</v>
      </c>
      <c r="P357" s="10">
        <f t="shared" si="139"/>
        <v>1.8556701030927837E-5</v>
      </c>
      <c r="Q357" s="10" t="str">
        <f t="shared" si="140"/>
        <v>NA</v>
      </c>
      <c r="R357" s="10" t="s">
        <v>1575</v>
      </c>
      <c r="S357" s="10" t="s">
        <v>1575</v>
      </c>
      <c r="T357" s="10" t="s">
        <v>1575</v>
      </c>
      <c r="U357" s="10" t="s">
        <v>1575</v>
      </c>
      <c r="V357" s="10">
        <v>-1.7E-5</v>
      </c>
      <c r="W357" s="10" t="s">
        <v>1575</v>
      </c>
      <c r="X357" s="10" t="str">
        <f t="shared" si="141"/>
        <v>NA</v>
      </c>
      <c r="Y357" s="10" t="str">
        <f t="shared" si="142"/>
        <v>NA</v>
      </c>
      <c r="Z357" s="10" t="str">
        <f t="shared" si="143"/>
        <v>NA</v>
      </c>
      <c r="AA357" s="10">
        <f t="shared" si="144"/>
        <v>-1.0915706488781081</v>
      </c>
      <c r="AB357" s="10" t="str">
        <f t="shared" si="145"/>
        <v>NA</v>
      </c>
      <c r="AC357" s="10" t="str">
        <f t="shared" si="146"/>
        <v>NA</v>
      </c>
      <c r="AD357" s="10" t="str">
        <f t="shared" si="147"/>
        <v>NA</v>
      </c>
      <c r="AE357" s="10" t="str">
        <f t="shared" si="148"/>
        <v>NA</v>
      </c>
      <c r="AF357" s="1" t="s">
        <v>4190</v>
      </c>
    </row>
    <row r="358" spans="1:32" x14ac:dyDescent="0.2">
      <c r="A358" s="1" t="s">
        <v>5372</v>
      </c>
      <c r="B358" s="1" t="s">
        <v>780</v>
      </c>
      <c r="C358" s="1" t="s">
        <v>1575</v>
      </c>
      <c r="D358" s="1" t="s">
        <v>1580</v>
      </c>
      <c r="E358" s="1" t="s">
        <v>1694</v>
      </c>
      <c r="F358" s="1" t="s">
        <v>68</v>
      </c>
      <c r="G358" s="4">
        <v>0.23369999999999999</v>
      </c>
      <c r="H358" s="28">
        <v>39263</v>
      </c>
      <c r="I358" s="29">
        <f t="shared" si="118"/>
        <v>2007</v>
      </c>
      <c r="J358" s="1" t="s">
        <v>5435</v>
      </c>
      <c r="K358" s="1" t="s">
        <v>7</v>
      </c>
      <c r="L358" s="11" t="str">
        <f t="shared" ref="L358" si="171">IF(OR(A358=J358,A358=K358),"ДА","НЕТ")</f>
        <v>НЕТ</v>
      </c>
      <c r="M358" s="10" t="s">
        <v>1575</v>
      </c>
      <c r="N358" s="10" t="s">
        <v>1575</v>
      </c>
      <c r="O358" s="10">
        <f>0.018537+0.033583+0.004955</f>
        <v>5.7075000000000001E-2</v>
      </c>
      <c r="P358" s="10">
        <f t="shared" si="139"/>
        <v>0.24422336328626446</v>
      </c>
      <c r="Q358" s="10" t="str">
        <f t="shared" si="140"/>
        <v>NA</v>
      </c>
      <c r="R358" s="10" t="s">
        <v>1575</v>
      </c>
      <c r="S358" s="10" t="s">
        <v>1575</v>
      </c>
      <c r="T358" s="10" t="s">
        <v>1575</v>
      </c>
      <c r="U358" s="10" t="s">
        <v>1575</v>
      </c>
      <c r="V358" s="10">
        <v>0.61681200000000003</v>
      </c>
      <c r="W358" s="10" t="s">
        <v>1575</v>
      </c>
      <c r="X358" s="10" t="str">
        <f t="shared" si="141"/>
        <v>NA</v>
      </c>
      <c r="Y358" s="10" t="str">
        <f t="shared" si="142"/>
        <v>NA</v>
      </c>
      <c r="Z358" s="10" t="str">
        <f t="shared" si="143"/>
        <v>NA</v>
      </c>
      <c r="AA358" s="10">
        <f t="shared" si="144"/>
        <v>0.39594457190564458</v>
      </c>
      <c r="AB358" s="10" t="str">
        <f t="shared" si="145"/>
        <v>NA</v>
      </c>
      <c r="AC358" s="10" t="str">
        <f t="shared" si="146"/>
        <v>NA</v>
      </c>
      <c r="AD358" s="10" t="str">
        <f t="shared" si="147"/>
        <v>NA</v>
      </c>
      <c r="AE358" s="10" t="str">
        <f t="shared" si="148"/>
        <v>NA</v>
      </c>
      <c r="AF358" s="1" t="s">
        <v>4192</v>
      </c>
    </row>
    <row r="359" spans="1:32" x14ac:dyDescent="0.2">
      <c r="A359" s="1" t="s">
        <v>5497</v>
      </c>
      <c r="B359" s="1" t="s">
        <v>5</v>
      </c>
      <c r="C359" s="1" t="s">
        <v>1575</v>
      </c>
      <c r="D359" s="1" t="s">
        <v>1575</v>
      </c>
      <c r="E359" s="1" t="s">
        <v>1575</v>
      </c>
      <c r="F359" s="1" t="s">
        <v>1575</v>
      </c>
      <c r="G359" s="4">
        <v>0.99</v>
      </c>
      <c r="H359" s="28">
        <v>39447</v>
      </c>
      <c r="I359" s="29">
        <f t="shared" si="118"/>
        <v>2007</v>
      </c>
      <c r="J359" s="1" t="s">
        <v>5435</v>
      </c>
      <c r="K359" s="1" t="s">
        <v>7</v>
      </c>
      <c r="L359" s="11" t="str">
        <f t="shared" ref="L359" si="172">IF(OR(A359=J359,A359=K359),"ДА","НЕТ")</f>
        <v>НЕТ</v>
      </c>
      <c r="M359" s="10" t="s">
        <v>1575</v>
      </c>
      <c r="N359" s="10" t="s">
        <v>1575</v>
      </c>
      <c r="O359" s="10">
        <v>9.9000000000000001E-6</v>
      </c>
      <c r="P359" s="10">
        <f t="shared" si="139"/>
        <v>1.0000000000000001E-5</v>
      </c>
      <c r="Q359" s="10" t="str">
        <f t="shared" si="140"/>
        <v>NA</v>
      </c>
      <c r="R359" s="10" t="s">
        <v>1575</v>
      </c>
      <c r="S359" s="10" t="s">
        <v>1575</v>
      </c>
      <c r="T359" s="10" t="s">
        <v>1575</v>
      </c>
      <c r="U359" s="10" t="s">
        <v>1575</v>
      </c>
      <c r="V359" s="10" t="s">
        <v>1575</v>
      </c>
      <c r="W359" s="10" t="s">
        <v>1575</v>
      </c>
      <c r="X359" s="10" t="str">
        <f t="shared" si="141"/>
        <v>NA</v>
      </c>
      <c r="Y359" s="10" t="str">
        <f t="shared" si="142"/>
        <v>NA</v>
      </c>
      <c r="Z359" s="10" t="str">
        <f t="shared" si="143"/>
        <v>NA</v>
      </c>
      <c r="AA359" s="10" t="str">
        <f t="shared" si="144"/>
        <v>NA</v>
      </c>
      <c r="AB359" s="10" t="str">
        <f t="shared" si="145"/>
        <v>NA</v>
      </c>
      <c r="AC359" s="10" t="str">
        <f t="shared" si="146"/>
        <v>NA</v>
      </c>
      <c r="AD359" s="10" t="str">
        <f t="shared" si="147"/>
        <v>NA</v>
      </c>
      <c r="AE359" s="10" t="str">
        <f t="shared" si="148"/>
        <v>NA</v>
      </c>
      <c r="AF359" s="1" t="s">
        <v>4193</v>
      </c>
    </row>
    <row r="360" spans="1:32" x14ac:dyDescent="0.2">
      <c r="A360" s="1" t="s">
        <v>855</v>
      </c>
      <c r="B360" s="1" t="s">
        <v>5</v>
      </c>
      <c r="C360" s="1" t="s">
        <v>1575</v>
      </c>
      <c r="D360" s="1" t="s">
        <v>1580</v>
      </c>
      <c r="E360" s="1" t="s">
        <v>1581</v>
      </c>
      <c r="F360" s="1" t="s">
        <v>67</v>
      </c>
      <c r="G360" s="4" t="s">
        <v>1575</v>
      </c>
      <c r="H360" s="28">
        <v>39447</v>
      </c>
      <c r="I360" s="29">
        <f t="shared" si="118"/>
        <v>2007</v>
      </c>
      <c r="J360" s="1" t="s">
        <v>5435</v>
      </c>
      <c r="K360" s="1" t="s">
        <v>7</v>
      </c>
      <c r="L360" s="11" t="str">
        <f t="shared" ref="L360" si="173">IF(OR(A360=J360,A360=K360),"ДА","НЕТ")</f>
        <v>НЕТ</v>
      </c>
      <c r="M360" s="10" t="s">
        <v>1575</v>
      </c>
      <c r="N360" s="10" t="s">
        <v>1575</v>
      </c>
      <c r="O360" s="10">
        <v>0.50639500000000004</v>
      </c>
      <c r="P360" s="10" t="str">
        <f t="shared" si="139"/>
        <v>NA</v>
      </c>
      <c r="Q360" s="10" t="str">
        <f t="shared" si="140"/>
        <v>NA</v>
      </c>
      <c r="R360" s="10" t="s">
        <v>1575</v>
      </c>
      <c r="S360" s="10" t="s">
        <v>1575</v>
      </c>
      <c r="T360" s="10" t="s">
        <v>1575</v>
      </c>
      <c r="U360" s="10" t="s">
        <v>1575</v>
      </c>
      <c r="V360" s="10" t="s">
        <v>1575</v>
      </c>
      <c r="W360" s="10" t="s">
        <v>1575</v>
      </c>
      <c r="X360" s="10" t="str">
        <f t="shared" si="141"/>
        <v>NA</v>
      </c>
      <c r="Y360" s="10" t="str">
        <f t="shared" si="142"/>
        <v>NA</v>
      </c>
      <c r="Z360" s="10" t="str">
        <f t="shared" si="143"/>
        <v>NA</v>
      </c>
      <c r="AA360" s="10" t="str">
        <f t="shared" si="144"/>
        <v>NA</v>
      </c>
      <c r="AB360" s="10" t="str">
        <f t="shared" si="145"/>
        <v>NA</v>
      </c>
      <c r="AC360" s="10" t="str">
        <f t="shared" si="146"/>
        <v>NA</v>
      </c>
      <c r="AD360" s="10" t="str">
        <f t="shared" si="147"/>
        <v>NA</v>
      </c>
      <c r="AE360" s="10" t="str">
        <f t="shared" si="148"/>
        <v>NA</v>
      </c>
      <c r="AF360" s="1" t="s">
        <v>4194</v>
      </c>
    </row>
    <row r="361" spans="1:32" x14ac:dyDescent="0.2">
      <c r="A361" s="1" t="s">
        <v>4158</v>
      </c>
      <c r="B361" s="1" t="s">
        <v>5</v>
      </c>
      <c r="C361" s="1" t="s">
        <v>1575</v>
      </c>
      <c r="D361" s="1" t="s">
        <v>1580</v>
      </c>
      <c r="E361" s="1" t="s">
        <v>1694</v>
      </c>
      <c r="F361" s="1" t="s">
        <v>68</v>
      </c>
      <c r="G361" s="4">
        <v>0.5</v>
      </c>
      <c r="H361" s="28">
        <v>39447</v>
      </c>
      <c r="I361" s="29">
        <f t="shared" si="118"/>
        <v>2007</v>
      </c>
      <c r="J361" s="1" t="s">
        <v>5435</v>
      </c>
      <c r="K361" s="1" t="s">
        <v>7</v>
      </c>
      <c r="L361" s="11" t="str">
        <f t="shared" ref="L361" si="174">IF(OR(A361=J361,A361=K361),"ДА","НЕТ")</f>
        <v>НЕТ</v>
      </c>
      <c r="M361" s="10" t="s">
        <v>1575</v>
      </c>
      <c r="N361" s="10" t="s">
        <v>1575</v>
      </c>
      <c r="O361" s="10" t="s">
        <v>1575</v>
      </c>
      <c r="P361" s="10" t="str">
        <f t="shared" si="139"/>
        <v>NA</v>
      </c>
      <c r="Q361" s="10" t="str">
        <f t="shared" si="140"/>
        <v>NA</v>
      </c>
      <c r="R361" s="10" t="s">
        <v>1575</v>
      </c>
      <c r="S361" s="10" t="s">
        <v>1575</v>
      </c>
      <c r="T361" s="10" t="s">
        <v>1575</v>
      </c>
      <c r="U361" s="10" t="s">
        <v>1575</v>
      </c>
      <c r="V361" s="10" t="s">
        <v>1575</v>
      </c>
      <c r="W361" s="10" t="s">
        <v>1575</v>
      </c>
      <c r="X361" s="10" t="str">
        <f t="shared" si="141"/>
        <v>NA</v>
      </c>
      <c r="Y361" s="10" t="str">
        <f t="shared" si="142"/>
        <v>NA</v>
      </c>
      <c r="Z361" s="10" t="str">
        <f t="shared" si="143"/>
        <v>NA</v>
      </c>
      <c r="AA361" s="10" t="str">
        <f t="shared" si="144"/>
        <v>NA</v>
      </c>
      <c r="AB361" s="10" t="str">
        <f t="shared" si="145"/>
        <v>NA</v>
      </c>
      <c r="AC361" s="10" t="str">
        <f t="shared" si="146"/>
        <v>NA</v>
      </c>
      <c r="AD361" s="10" t="str">
        <f t="shared" si="147"/>
        <v>NA</v>
      </c>
      <c r="AE361" s="10" t="str">
        <f t="shared" si="148"/>
        <v>NA</v>
      </c>
      <c r="AF361" s="1" t="s">
        <v>4195</v>
      </c>
    </row>
    <row r="362" spans="1:32" x14ac:dyDescent="0.2">
      <c r="A362" s="1" t="s">
        <v>5498</v>
      </c>
      <c r="B362" s="1" t="s">
        <v>5</v>
      </c>
      <c r="C362" s="1" t="s">
        <v>1575</v>
      </c>
      <c r="D362" s="1" t="s">
        <v>1580</v>
      </c>
      <c r="E362" s="1" t="s">
        <v>2057</v>
      </c>
      <c r="F362" s="1" t="s">
        <v>434</v>
      </c>
      <c r="G362" s="4">
        <v>1</v>
      </c>
      <c r="H362" s="28">
        <v>43039</v>
      </c>
      <c r="I362" s="29">
        <f t="shared" si="118"/>
        <v>2017</v>
      </c>
      <c r="J362" s="1" t="s">
        <v>4197</v>
      </c>
      <c r="K362" s="1" t="s">
        <v>7</v>
      </c>
      <c r="L362" s="11" t="str">
        <f t="shared" ref="L362" si="175">IF(OR(A362=J362,A362=K362),"ДА","НЕТ")</f>
        <v>НЕТ</v>
      </c>
      <c r="M362" s="10" t="s">
        <v>1575</v>
      </c>
      <c r="N362" s="10" t="s">
        <v>1575</v>
      </c>
      <c r="O362" s="10">
        <v>0.16800000000000001</v>
      </c>
      <c r="P362" s="10">
        <f t="shared" si="139"/>
        <v>0.16800000000000001</v>
      </c>
      <c r="Q362" s="10" t="str">
        <f t="shared" si="140"/>
        <v>NA</v>
      </c>
      <c r="R362" s="10" t="s">
        <v>1575</v>
      </c>
      <c r="S362" s="10" t="s">
        <v>1575</v>
      </c>
      <c r="T362" s="10" t="s">
        <v>1575</v>
      </c>
      <c r="U362" s="10" t="s">
        <v>1575</v>
      </c>
      <c r="V362" s="10" t="s">
        <v>1575</v>
      </c>
      <c r="W362" s="10" t="s">
        <v>1575</v>
      </c>
      <c r="X362" s="10" t="str">
        <f t="shared" si="141"/>
        <v>NA</v>
      </c>
      <c r="Y362" s="10" t="str">
        <f t="shared" si="142"/>
        <v>NA</v>
      </c>
      <c r="Z362" s="10" t="str">
        <f t="shared" si="143"/>
        <v>NA</v>
      </c>
      <c r="AA362" s="10" t="str">
        <f t="shared" si="144"/>
        <v>NA</v>
      </c>
      <c r="AB362" s="10" t="str">
        <f t="shared" si="145"/>
        <v>NA</v>
      </c>
      <c r="AC362" s="10" t="str">
        <f t="shared" si="146"/>
        <v>NA</v>
      </c>
      <c r="AD362" s="10" t="str">
        <f t="shared" si="147"/>
        <v>NA</v>
      </c>
      <c r="AE362" s="10" t="str">
        <f t="shared" si="148"/>
        <v>NA</v>
      </c>
      <c r="AF362" s="1" t="s">
        <v>4196</v>
      </c>
    </row>
    <row r="363" spans="1:32" x14ac:dyDescent="0.2">
      <c r="A363" s="1" t="s">
        <v>5499</v>
      </c>
      <c r="B363" s="1" t="s">
        <v>5</v>
      </c>
      <c r="C363" s="1" t="s">
        <v>1575</v>
      </c>
      <c r="D363" s="1" t="s">
        <v>1582</v>
      </c>
      <c r="E363" s="1" t="s">
        <v>5352</v>
      </c>
      <c r="F363" s="1" t="s">
        <v>1745</v>
      </c>
      <c r="G363" s="4" t="s">
        <v>1575</v>
      </c>
      <c r="H363" s="28">
        <v>42338</v>
      </c>
      <c r="I363" s="29">
        <f t="shared" si="118"/>
        <v>2015</v>
      </c>
      <c r="J363" s="1" t="s">
        <v>7</v>
      </c>
      <c r="K363" s="1" t="s">
        <v>4197</v>
      </c>
      <c r="L363" s="11" t="str">
        <f t="shared" ref="L363" si="176">IF(OR(A363=J363,A363=K363),"ДА","НЕТ")</f>
        <v>НЕТ</v>
      </c>
      <c r="M363" s="10" t="s">
        <v>1575</v>
      </c>
      <c r="N363" s="10" t="s">
        <v>1575</v>
      </c>
      <c r="O363" s="10" t="s">
        <v>1575</v>
      </c>
      <c r="P363" s="10" t="str">
        <f t="shared" si="139"/>
        <v>NA</v>
      </c>
      <c r="Q363" s="10" t="str">
        <f t="shared" si="140"/>
        <v>NA</v>
      </c>
      <c r="R363" s="10" t="s">
        <v>1575</v>
      </c>
      <c r="S363" s="10" t="s">
        <v>1575</v>
      </c>
      <c r="T363" s="10" t="s">
        <v>1575</v>
      </c>
      <c r="U363" s="10" t="s">
        <v>1575</v>
      </c>
      <c r="V363" s="10" t="s">
        <v>1575</v>
      </c>
      <c r="W363" s="10" t="s">
        <v>1575</v>
      </c>
      <c r="X363" s="10" t="str">
        <f t="shared" si="141"/>
        <v>NA</v>
      </c>
      <c r="Y363" s="10" t="str">
        <f t="shared" si="142"/>
        <v>NA</v>
      </c>
      <c r="Z363" s="10" t="str">
        <f t="shared" si="143"/>
        <v>NA</v>
      </c>
      <c r="AA363" s="10" t="str">
        <f t="shared" si="144"/>
        <v>NA</v>
      </c>
      <c r="AB363" s="10" t="str">
        <f t="shared" si="145"/>
        <v>NA</v>
      </c>
      <c r="AC363" s="10" t="str">
        <f t="shared" si="146"/>
        <v>NA</v>
      </c>
      <c r="AD363" s="10" t="str">
        <f t="shared" si="147"/>
        <v>NA</v>
      </c>
      <c r="AE363" s="10" t="str">
        <f t="shared" si="148"/>
        <v>NA</v>
      </c>
      <c r="AF363" s="1" t="s">
        <v>4209</v>
      </c>
    </row>
    <row r="364" spans="1:32" x14ac:dyDescent="0.2">
      <c r="A364" s="1" t="s">
        <v>5500</v>
      </c>
      <c r="B364" s="1" t="s">
        <v>5</v>
      </c>
      <c r="C364" s="1" t="s">
        <v>1575</v>
      </c>
      <c r="D364" s="1" t="s">
        <v>1580</v>
      </c>
      <c r="E364" s="1" t="s">
        <v>1694</v>
      </c>
      <c r="F364" s="1" t="s">
        <v>68</v>
      </c>
      <c r="G364" s="4">
        <v>1</v>
      </c>
      <c r="H364" s="28">
        <v>41274</v>
      </c>
      <c r="I364" s="29">
        <f t="shared" si="118"/>
        <v>2012</v>
      </c>
      <c r="J364" s="1" t="s">
        <v>7</v>
      </c>
      <c r="K364" s="1" t="s">
        <v>4197</v>
      </c>
      <c r="L364" s="11" t="str">
        <f t="shared" ref="L364" si="177">IF(OR(A364=J364,A364=K364),"ДА","НЕТ")</f>
        <v>НЕТ</v>
      </c>
      <c r="M364" s="10" t="s">
        <v>1575</v>
      </c>
      <c r="N364" s="10" t="s">
        <v>1575</v>
      </c>
      <c r="O364" s="10" t="s">
        <v>1575</v>
      </c>
      <c r="P364" s="10" t="str">
        <f t="shared" si="139"/>
        <v>NA</v>
      </c>
      <c r="Q364" s="10" t="str">
        <f t="shared" si="140"/>
        <v>NA</v>
      </c>
      <c r="R364" s="10" t="s">
        <v>1575</v>
      </c>
      <c r="S364" s="10" t="s">
        <v>1575</v>
      </c>
      <c r="T364" s="10" t="s">
        <v>1575</v>
      </c>
      <c r="U364" s="10" t="s">
        <v>1575</v>
      </c>
      <c r="V364" s="10" t="s">
        <v>1575</v>
      </c>
      <c r="W364" s="10" t="s">
        <v>1575</v>
      </c>
      <c r="X364" s="10" t="str">
        <f t="shared" si="141"/>
        <v>NA</v>
      </c>
      <c r="Y364" s="10" t="str">
        <f t="shared" si="142"/>
        <v>NA</v>
      </c>
      <c r="Z364" s="10" t="str">
        <f t="shared" si="143"/>
        <v>NA</v>
      </c>
      <c r="AA364" s="10" t="str">
        <f t="shared" si="144"/>
        <v>NA</v>
      </c>
      <c r="AB364" s="10" t="str">
        <f t="shared" si="145"/>
        <v>NA</v>
      </c>
      <c r="AC364" s="10" t="str">
        <f t="shared" si="146"/>
        <v>NA</v>
      </c>
      <c r="AD364" s="10" t="str">
        <f t="shared" si="147"/>
        <v>NA</v>
      </c>
      <c r="AE364" s="10" t="str">
        <f t="shared" si="148"/>
        <v>NA</v>
      </c>
      <c r="AF364" s="1" t="s">
        <v>4210</v>
      </c>
    </row>
    <row r="365" spans="1:32" x14ac:dyDescent="0.2">
      <c r="A365" s="1" t="s">
        <v>5501</v>
      </c>
      <c r="B365" s="1" t="s">
        <v>5</v>
      </c>
      <c r="C365" s="1" t="s">
        <v>1575</v>
      </c>
      <c r="D365" s="1" t="s">
        <v>1580</v>
      </c>
      <c r="E365" s="1" t="s">
        <v>1694</v>
      </c>
      <c r="F365" s="1" t="s">
        <v>68</v>
      </c>
      <c r="G365" s="4" t="s">
        <v>11</v>
      </c>
      <c r="H365" s="28">
        <v>41274</v>
      </c>
      <c r="I365" s="29">
        <f t="shared" ref="I365:I367" si="178">YEAR(H365)</f>
        <v>2012</v>
      </c>
      <c r="J365" s="1" t="s">
        <v>7</v>
      </c>
      <c r="K365" s="1" t="s">
        <v>4197</v>
      </c>
      <c r="L365" s="11" t="str">
        <f t="shared" ref="L365:L366" si="179">IF(OR(A365=J365,A365=K365),"ДА","НЕТ")</f>
        <v>НЕТ</v>
      </c>
      <c r="M365" s="10" t="s">
        <v>1575</v>
      </c>
      <c r="N365" s="10" t="s">
        <v>1575</v>
      </c>
      <c r="O365" s="10" t="s">
        <v>1575</v>
      </c>
      <c r="P365" s="10" t="str">
        <f t="shared" si="139"/>
        <v>NA</v>
      </c>
      <c r="Q365" s="10" t="str">
        <f t="shared" si="140"/>
        <v>NA</v>
      </c>
      <c r="R365" s="10" t="s">
        <v>1575</v>
      </c>
      <c r="S365" s="10" t="s">
        <v>1575</v>
      </c>
      <c r="T365" s="10" t="s">
        <v>1575</v>
      </c>
      <c r="U365" s="10" t="s">
        <v>1575</v>
      </c>
      <c r="V365" s="10" t="s">
        <v>1575</v>
      </c>
      <c r="W365" s="10" t="s">
        <v>1575</v>
      </c>
      <c r="X365" s="10" t="str">
        <f t="shared" si="141"/>
        <v>NA</v>
      </c>
      <c r="Y365" s="10" t="str">
        <f t="shared" si="142"/>
        <v>NA</v>
      </c>
      <c r="Z365" s="10" t="str">
        <f t="shared" si="143"/>
        <v>NA</v>
      </c>
      <c r="AA365" s="10" t="str">
        <f t="shared" si="144"/>
        <v>NA</v>
      </c>
      <c r="AB365" s="10" t="str">
        <f t="shared" si="145"/>
        <v>NA</v>
      </c>
      <c r="AC365" s="10" t="str">
        <f t="shared" si="146"/>
        <v>NA</v>
      </c>
      <c r="AD365" s="10" t="str">
        <f t="shared" si="147"/>
        <v>NA</v>
      </c>
      <c r="AE365" s="10" t="str">
        <f t="shared" si="148"/>
        <v>NA</v>
      </c>
      <c r="AF365" s="1" t="s">
        <v>4213</v>
      </c>
    </row>
    <row r="366" spans="1:32" x14ac:dyDescent="0.2">
      <c r="A366" s="1" t="s">
        <v>5502</v>
      </c>
      <c r="B366" s="1" t="s">
        <v>5</v>
      </c>
      <c r="C366" s="1" t="s">
        <v>1575</v>
      </c>
      <c r="D366" s="1" t="s">
        <v>1580</v>
      </c>
      <c r="E366" s="1" t="s">
        <v>2057</v>
      </c>
      <c r="F366" s="1" t="s">
        <v>434</v>
      </c>
      <c r="G366" s="4">
        <v>1</v>
      </c>
      <c r="H366" s="28">
        <v>40908</v>
      </c>
      <c r="I366" s="29">
        <f t="shared" si="178"/>
        <v>2011</v>
      </c>
      <c r="J366" s="1" t="s">
        <v>4197</v>
      </c>
      <c r="K366" s="1" t="s">
        <v>7</v>
      </c>
      <c r="L366" s="11" t="str">
        <f t="shared" si="179"/>
        <v>НЕТ</v>
      </c>
      <c r="M366" s="10" t="s">
        <v>1575</v>
      </c>
      <c r="N366" s="10" t="s">
        <v>1575</v>
      </c>
      <c r="O366" s="10" t="s">
        <v>1575</v>
      </c>
      <c r="P366" s="10" t="str">
        <f t="shared" si="139"/>
        <v>NA</v>
      </c>
      <c r="Q366" s="10" t="str">
        <f t="shared" si="140"/>
        <v>NA</v>
      </c>
      <c r="R366" s="10" t="s">
        <v>1575</v>
      </c>
      <c r="S366" s="10" t="s">
        <v>1575</v>
      </c>
      <c r="T366" s="10" t="s">
        <v>1575</v>
      </c>
      <c r="U366" s="10" t="s">
        <v>1575</v>
      </c>
      <c r="V366" s="10" t="s">
        <v>1575</v>
      </c>
      <c r="W366" s="10" t="s">
        <v>1575</v>
      </c>
      <c r="X366" s="10" t="str">
        <f t="shared" si="141"/>
        <v>NA</v>
      </c>
      <c r="Y366" s="10" t="str">
        <f t="shared" si="142"/>
        <v>NA</v>
      </c>
      <c r="Z366" s="10" t="str">
        <f t="shared" si="143"/>
        <v>NA</v>
      </c>
      <c r="AA366" s="10" t="str">
        <f t="shared" si="144"/>
        <v>NA</v>
      </c>
      <c r="AB366" s="10" t="str">
        <f t="shared" si="145"/>
        <v>NA</v>
      </c>
      <c r="AC366" s="10" t="str">
        <f t="shared" si="146"/>
        <v>NA</v>
      </c>
      <c r="AD366" s="10" t="str">
        <f t="shared" si="147"/>
        <v>NA</v>
      </c>
      <c r="AE366" s="10" t="str">
        <f t="shared" si="148"/>
        <v>NA</v>
      </c>
      <c r="AF366" s="1" t="s">
        <v>4211</v>
      </c>
    </row>
    <row r="367" spans="1:32" x14ac:dyDescent="0.2">
      <c r="A367" s="1" t="s">
        <v>5502</v>
      </c>
      <c r="B367" s="1" t="s">
        <v>5</v>
      </c>
      <c r="C367" s="1" t="s">
        <v>1575</v>
      </c>
      <c r="D367" s="1" t="s">
        <v>1580</v>
      </c>
      <c r="E367" s="1" t="s">
        <v>2057</v>
      </c>
      <c r="F367" s="1" t="s">
        <v>434</v>
      </c>
      <c r="G367" s="4">
        <v>0.4</v>
      </c>
      <c r="H367" s="28">
        <v>39813</v>
      </c>
      <c r="I367" s="29">
        <f t="shared" si="178"/>
        <v>2008</v>
      </c>
      <c r="J367" s="1" t="s">
        <v>7</v>
      </c>
      <c r="K367" s="1" t="s">
        <v>4197</v>
      </c>
      <c r="L367" s="11" t="str">
        <f t="shared" ref="L367" si="180">IF(OR(A367=J367,A367=K367),"ДА","НЕТ")</f>
        <v>НЕТ</v>
      </c>
      <c r="M367" s="10" t="s">
        <v>1575</v>
      </c>
      <c r="N367" s="10" t="s">
        <v>1575</v>
      </c>
      <c r="O367" s="10" t="s">
        <v>1575</v>
      </c>
      <c r="P367" s="10" t="str">
        <f t="shared" si="139"/>
        <v>NA</v>
      </c>
      <c r="Q367" s="10" t="str">
        <f t="shared" si="140"/>
        <v>NA</v>
      </c>
      <c r="R367" s="10" t="s">
        <v>1575</v>
      </c>
      <c r="S367" s="10" t="s">
        <v>1575</v>
      </c>
      <c r="T367" s="10" t="s">
        <v>1575</v>
      </c>
      <c r="U367" s="10" t="s">
        <v>1575</v>
      </c>
      <c r="V367" s="10" t="s">
        <v>1575</v>
      </c>
      <c r="W367" s="10" t="s">
        <v>1575</v>
      </c>
      <c r="X367" s="10" t="str">
        <f t="shared" si="141"/>
        <v>NA</v>
      </c>
      <c r="Y367" s="10" t="str">
        <f t="shared" si="142"/>
        <v>NA</v>
      </c>
      <c r="Z367" s="10" t="str">
        <f t="shared" si="143"/>
        <v>NA</v>
      </c>
      <c r="AA367" s="10" t="str">
        <f t="shared" si="144"/>
        <v>NA</v>
      </c>
      <c r="AB367" s="10" t="str">
        <f t="shared" si="145"/>
        <v>NA</v>
      </c>
      <c r="AC367" s="10" t="str">
        <f t="shared" si="146"/>
        <v>NA</v>
      </c>
      <c r="AD367" s="10" t="str">
        <f t="shared" si="147"/>
        <v>NA</v>
      </c>
      <c r="AE367" s="10" t="str">
        <f t="shared" si="148"/>
        <v>NA</v>
      </c>
      <c r="AF367" s="1" t="s">
        <v>4211</v>
      </c>
    </row>
    <row r="368" spans="1:32" x14ac:dyDescent="0.2">
      <c r="A368" s="1" t="s">
        <v>4197</v>
      </c>
      <c r="B368" s="1" t="s">
        <v>5</v>
      </c>
      <c r="C368" s="1" t="s">
        <v>4055</v>
      </c>
      <c r="D368" s="1" t="s">
        <v>1580</v>
      </c>
      <c r="E368" s="1" t="s">
        <v>1694</v>
      </c>
      <c r="F368" s="1" t="s">
        <v>68</v>
      </c>
      <c r="G368" s="4">
        <v>7.0000000000000007E-2</v>
      </c>
      <c r="H368" s="28">
        <v>42124</v>
      </c>
      <c r="I368" s="29">
        <f t="shared" ref="I368:I740" si="181">YEAR(H368)</f>
        <v>2015</v>
      </c>
      <c r="J368" s="1" t="s">
        <v>4202</v>
      </c>
      <c r="K368" s="1" t="s">
        <v>5503</v>
      </c>
      <c r="L368" s="11" t="str">
        <f t="shared" ref="L368" si="182">IF(OR(A368=J368,A368=K368),"ДА","НЕТ")</f>
        <v>НЕТ</v>
      </c>
      <c r="M368" s="10" t="s">
        <v>1575</v>
      </c>
      <c r="N368" s="10" t="s">
        <v>1575</v>
      </c>
      <c r="O368" s="10" t="s">
        <v>1575</v>
      </c>
      <c r="P368" s="10" t="str">
        <f t="shared" si="139"/>
        <v>NA</v>
      </c>
      <c r="Q368" s="10" t="str">
        <f t="shared" si="140"/>
        <v>NA</v>
      </c>
      <c r="R368" s="10" t="s">
        <v>1575</v>
      </c>
      <c r="S368" s="10" t="s">
        <v>1575</v>
      </c>
      <c r="T368" s="10" t="s">
        <v>1575</v>
      </c>
      <c r="U368" s="10">
        <v>3.1829999999999998</v>
      </c>
      <c r="V368" s="10">
        <v>129.64400000000001</v>
      </c>
      <c r="W368" s="10" t="s">
        <v>1575</v>
      </c>
      <c r="X368" s="10" t="str">
        <f t="shared" si="141"/>
        <v>NA</v>
      </c>
      <c r="Y368" s="10" t="str">
        <f t="shared" si="142"/>
        <v>NA</v>
      </c>
      <c r="Z368" s="10" t="str">
        <f t="shared" si="143"/>
        <v>NA</v>
      </c>
      <c r="AA368" s="10" t="str">
        <f t="shared" si="144"/>
        <v>NA</v>
      </c>
      <c r="AB368" s="10" t="str">
        <f t="shared" si="145"/>
        <v>NA</v>
      </c>
      <c r="AC368" s="10" t="str">
        <f t="shared" si="146"/>
        <v>NA</v>
      </c>
      <c r="AD368" s="10" t="str">
        <f t="shared" si="147"/>
        <v>NA</v>
      </c>
      <c r="AE368" s="10" t="str">
        <f t="shared" si="148"/>
        <v>NA</v>
      </c>
      <c r="AF368" s="1" t="s">
        <v>4208</v>
      </c>
    </row>
    <row r="369" spans="1:32" x14ac:dyDescent="0.2">
      <c r="A369" s="1" t="s">
        <v>4197</v>
      </c>
      <c r="B369" s="1" t="s">
        <v>5</v>
      </c>
      <c r="C369" s="1" t="s">
        <v>4055</v>
      </c>
      <c r="D369" s="1" t="s">
        <v>1580</v>
      </c>
      <c r="E369" s="1" t="s">
        <v>1694</v>
      </c>
      <c r="F369" s="1" t="s">
        <v>68</v>
      </c>
      <c r="G369" s="4">
        <v>0.1</v>
      </c>
      <c r="H369" s="28">
        <v>41639</v>
      </c>
      <c r="I369" s="29">
        <f t="shared" si="181"/>
        <v>2013</v>
      </c>
      <c r="J369" s="1" t="s">
        <v>4202</v>
      </c>
      <c r="K369" s="1" t="s">
        <v>2168</v>
      </c>
      <c r="L369" s="11" t="str">
        <f t="shared" ref="L369" si="183">IF(OR(A369=J369,A369=K369),"ДА","НЕТ")</f>
        <v>НЕТ</v>
      </c>
      <c r="M369" s="10" t="s">
        <v>1575</v>
      </c>
      <c r="N369" s="10" t="s">
        <v>1575</v>
      </c>
      <c r="O369" s="10" t="s">
        <v>1575</v>
      </c>
      <c r="P369" s="10" t="str">
        <f t="shared" si="139"/>
        <v>NA</v>
      </c>
      <c r="Q369" s="10" t="str">
        <f t="shared" si="140"/>
        <v>NA</v>
      </c>
      <c r="R369" s="10" t="s">
        <v>1575</v>
      </c>
      <c r="S369" s="10" t="s">
        <v>1575</v>
      </c>
      <c r="T369" s="10" t="s">
        <v>1575</v>
      </c>
      <c r="U369" s="10">
        <v>13.942</v>
      </c>
      <c r="V369" s="10">
        <v>128.74700000000001</v>
      </c>
      <c r="W369" s="10" t="s">
        <v>1575</v>
      </c>
      <c r="X369" s="10" t="str">
        <f t="shared" si="141"/>
        <v>NA</v>
      </c>
      <c r="Y369" s="10" t="str">
        <f t="shared" si="142"/>
        <v>NA</v>
      </c>
      <c r="Z369" s="10" t="str">
        <f t="shared" si="143"/>
        <v>NA</v>
      </c>
      <c r="AA369" s="10" t="str">
        <f t="shared" si="144"/>
        <v>NA</v>
      </c>
      <c r="AB369" s="10" t="str">
        <f t="shared" si="145"/>
        <v>NA</v>
      </c>
      <c r="AC369" s="10" t="str">
        <f t="shared" si="146"/>
        <v>NA</v>
      </c>
      <c r="AD369" s="10" t="str">
        <f t="shared" si="147"/>
        <v>NA</v>
      </c>
      <c r="AE369" s="10" t="str">
        <f t="shared" si="148"/>
        <v>NA</v>
      </c>
      <c r="AF369" s="1" t="s">
        <v>4207</v>
      </c>
    </row>
    <row r="370" spans="1:32" x14ac:dyDescent="0.2">
      <c r="A370" s="1" t="s">
        <v>5504</v>
      </c>
      <c r="B370" s="1" t="s">
        <v>5</v>
      </c>
      <c r="C370" s="1" t="s">
        <v>1575</v>
      </c>
      <c r="D370" s="1" t="s">
        <v>1580</v>
      </c>
      <c r="E370" s="1" t="s">
        <v>1694</v>
      </c>
      <c r="F370" s="1" t="s">
        <v>68</v>
      </c>
      <c r="G370" s="4">
        <v>1</v>
      </c>
      <c r="H370" s="28">
        <v>40574</v>
      </c>
      <c r="I370" s="29">
        <f t="shared" si="181"/>
        <v>2011</v>
      </c>
      <c r="J370" s="1" t="s">
        <v>4202</v>
      </c>
      <c r="K370" s="1" t="s">
        <v>7</v>
      </c>
      <c r="L370" s="11" t="str">
        <f t="shared" ref="L370" si="184">IF(OR(A370=J370,A370=K370),"ДА","НЕТ")</f>
        <v>НЕТ</v>
      </c>
      <c r="M370" s="10" t="s">
        <v>1575</v>
      </c>
      <c r="N370" s="10" t="s">
        <v>1575</v>
      </c>
      <c r="O370" s="10" t="s">
        <v>1575</v>
      </c>
      <c r="P370" s="10" t="str">
        <f t="shared" si="139"/>
        <v>NA</v>
      </c>
      <c r="Q370" s="10" t="str">
        <f t="shared" si="140"/>
        <v>NA</v>
      </c>
      <c r="R370" s="10" t="s">
        <v>1575</v>
      </c>
      <c r="S370" s="10" t="s">
        <v>1575</v>
      </c>
      <c r="T370" s="10" t="s">
        <v>1575</v>
      </c>
      <c r="U370" s="10" t="s">
        <v>1575</v>
      </c>
      <c r="V370" s="10" t="s">
        <v>1575</v>
      </c>
      <c r="W370" s="10" t="s">
        <v>1575</v>
      </c>
      <c r="X370" s="10" t="str">
        <f t="shared" si="141"/>
        <v>NA</v>
      </c>
      <c r="Y370" s="10" t="str">
        <f t="shared" si="142"/>
        <v>NA</v>
      </c>
      <c r="Z370" s="10" t="str">
        <f t="shared" si="143"/>
        <v>NA</v>
      </c>
      <c r="AA370" s="10" t="str">
        <f t="shared" si="144"/>
        <v>NA</v>
      </c>
      <c r="AB370" s="10" t="str">
        <f t="shared" si="145"/>
        <v>NA</v>
      </c>
      <c r="AC370" s="10" t="str">
        <f t="shared" si="146"/>
        <v>NA</v>
      </c>
      <c r="AD370" s="10" t="str">
        <f t="shared" si="147"/>
        <v>NA</v>
      </c>
      <c r="AE370" s="10" t="str">
        <f t="shared" si="148"/>
        <v>NA</v>
      </c>
      <c r="AF370" s="1" t="s">
        <v>4206</v>
      </c>
    </row>
    <row r="371" spans="1:32" x14ac:dyDescent="0.2">
      <c r="A371" s="1" t="s">
        <v>4197</v>
      </c>
      <c r="B371" s="1" t="s">
        <v>5</v>
      </c>
      <c r="C371" s="1" t="s">
        <v>4055</v>
      </c>
      <c r="D371" s="1" t="s">
        <v>1580</v>
      </c>
      <c r="E371" s="1" t="s">
        <v>1694</v>
      </c>
      <c r="F371" s="1" t="s">
        <v>68</v>
      </c>
      <c r="G371" s="4">
        <f>497.368958/746.461466</f>
        <v>0.66630225491103923</v>
      </c>
      <c r="H371" s="28">
        <v>40543</v>
      </c>
      <c r="I371" s="29">
        <f t="shared" si="181"/>
        <v>2010</v>
      </c>
      <c r="J371" s="1" t="s">
        <v>7</v>
      </c>
      <c r="K371" s="1" t="s">
        <v>7</v>
      </c>
      <c r="L371" s="11" t="str">
        <f t="shared" ref="L371" si="185">IF(OR(A371=J371,A371=K371),"ДА","НЕТ")</f>
        <v>НЕТ</v>
      </c>
      <c r="M371" s="10" t="s">
        <v>1575</v>
      </c>
      <c r="N371" s="10" t="s">
        <v>1575</v>
      </c>
      <c r="O371" s="10">
        <v>49.871000000000002</v>
      </c>
      <c r="P371" s="10">
        <f t="shared" si="139"/>
        <v>74.847412915717186</v>
      </c>
      <c r="Q371" s="10" t="str">
        <f t="shared" si="140"/>
        <v>NA</v>
      </c>
      <c r="R371" s="10" t="s">
        <v>1575</v>
      </c>
      <c r="S371" s="10" t="s">
        <v>1575</v>
      </c>
      <c r="T371" s="10" t="s">
        <v>1575</v>
      </c>
      <c r="U371" s="10" t="s">
        <v>1575</v>
      </c>
      <c r="V371" s="10">
        <v>84.558999999999997</v>
      </c>
      <c r="W371" s="10" t="s">
        <v>1575</v>
      </c>
      <c r="X371" s="10" t="str">
        <f t="shared" si="141"/>
        <v>NA</v>
      </c>
      <c r="Y371" s="10" t="str">
        <f t="shared" si="142"/>
        <v>NA</v>
      </c>
      <c r="Z371" s="10" t="str">
        <f t="shared" si="143"/>
        <v>NA</v>
      </c>
      <c r="AA371" s="10">
        <f t="shared" si="144"/>
        <v>0.88515016634204746</v>
      </c>
      <c r="AB371" s="10" t="str">
        <f t="shared" si="145"/>
        <v>NA</v>
      </c>
      <c r="AC371" s="10" t="str">
        <f t="shared" si="146"/>
        <v>NA</v>
      </c>
      <c r="AD371" s="10" t="str">
        <f t="shared" si="147"/>
        <v>NA</v>
      </c>
      <c r="AE371" s="10" t="str">
        <f t="shared" si="148"/>
        <v>NA</v>
      </c>
      <c r="AF371" s="1" t="s">
        <v>4212</v>
      </c>
    </row>
    <row r="372" spans="1:32" x14ac:dyDescent="0.2">
      <c r="A372" s="1" t="s">
        <v>4197</v>
      </c>
      <c r="B372" s="1" t="s">
        <v>5</v>
      </c>
      <c r="C372" s="1" t="s">
        <v>4055</v>
      </c>
      <c r="D372" s="1" t="s">
        <v>1580</v>
      </c>
      <c r="E372" s="1" t="s">
        <v>1694</v>
      </c>
      <c r="F372" s="1" t="s">
        <v>68</v>
      </c>
      <c r="G372" s="4">
        <v>7.0000000000000007E-2</v>
      </c>
      <c r="H372" s="28">
        <v>39960</v>
      </c>
      <c r="I372" s="29">
        <f t="shared" si="181"/>
        <v>2009</v>
      </c>
      <c r="J372" s="1" t="s">
        <v>4202</v>
      </c>
      <c r="K372" s="1" t="s">
        <v>4203</v>
      </c>
      <c r="L372" s="11" t="str">
        <f t="shared" ref="L372:L376" si="186">IF(OR(A372=J372,A372=K372),"ДА","НЕТ")</f>
        <v>НЕТ</v>
      </c>
      <c r="M372" s="10" t="s">
        <v>1575</v>
      </c>
      <c r="N372" s="10" t="s">
        <v>1575</v>
      </c>
      <c r="O372" s="10" t="s">
        <v>1575</v>
      </c>
      <c r="P372" s="10" t="str">
        <f t="shared" si="139"/>
        <v>NA</v>
      </c>
      <c r="Q372" s="10" t="str">
        <f t="shared" si="140"/>
        <v>NA</v>
      </c>
      <c r="R372" s="10" t="s">
        <v>1575</v>
      </c>
      <c r="S372" s="10" t="s">
        <v>1575</v>
      </c>
      <c r="T372" s="10" t="s">
        <v>1575</v>
      </c>
      <c r="U372" s="10" t="e">
        <v>#N/A</v>
      </c>
      <c r="V372" s="10" t="e">
        <v>#N/A</v>
      </c>
      <c r="W372" s="10" t="s">
        <v>1575</v>
      </c>
      <c r="X372" s="10" t="str">
        <f t="shared" si="141"/>
        <v>NA</v>
      </c>
      <c r="Y372" s="10" t="str">
        <f t="shared" si="142"/>
        <v>NA</v>
      </c>
      <c r="Z372" s="10" t="str">
        <f t="shared" si="143"/>
        <v>NA</v>
      </c>
      <c r="AA372" s="10" t="str">
        <f t="shared" si="144"/>
        <v>NA</v>
      </c>
      <c r="AB372" s="10" t="str">
        <f t="shared" si="145"/>
        <v>NA</v>
      </c>
      <c r="AC372" s="10" t="str">
        <f t="shared" si="146"/>
        <v>NA</v>
      </c>
      <c r="AD372" s="10" t="str">
        <f t="shared" si="147"/>
        <v>NA</v>
      </c>
      <c r="AE372" s="10" t="str">
        <f t="shared" si="148"/>
        <v>NA</v>
      </c>
      <c r="AF372" s="1" t="s">
        <v>4200</v>
      </c>
    </row>
    <row r="373" spans="1:32" x14ac:dyDescent="0.2">
      <c r="A373" s="1" t="s">
        <v>4197</v>
      </c>
      <c r="B373" s="1" t="s">
        <v>5</v>
      </c>
      <c r="C373" s="1" t="s">
        <v>4055</v>
      </c>
      <c r="D373" s="1" t="s">
        <v>1580</v>
      </c>
      <c r="E373" s="1" t="s">
        <v>1694</v>
      </c>
      <c r="F373" s="1" t="s">
        <v>68</v>
      </c>
      <c r="G373" s="4">
        <f>26665928/746461466</f>
        <v>3.572311393767244E-2</v>
      </c>
      <c r="H373" s="28">
        <v>39896</v>
      </c>
      <c r="I373" s="29">
        <f t="shared" si="181"/>
        <v>2009</v>
      </c>
      <c r="J373" s="1" t="s">
        <v>4202</v>
      </c>
      <c r="K373" s="1" t="s">
        <v>7</v>
      </c>
      <c r="L373" s="11" t="str">
        <f t="shared" si="186"/>
        <v>НЕТ</v>
      </c>
      <c r="M373" s="10" t="s">
        <v>1575</v>
      </c>
      <c r="N373" s="10" t="s">
        <v>1575</v>
      </c>
      <c r="O373" s="10" t="s">
        <v>1575</v>
      </c>
      <c r="P373" s="10" t="str">
        <f t="shared" si="139"/>
        <v>NA</v>
      </c>
      <c r="Q373" s="10" t="str">
        <f t="shared" si="140"/>
        <v>NA</v>
      </c>
      <c r="R373" s="10" t="s">
        <v>1575</v>
      </c>
      <c r="S373" s="10" t="s">
        <v>1575</v>
      </c>
      <c r="T373" s="10" t="s">
        <v>1575</v>
      </c>
      <c r="U373" s="10" t="e">
        <v>#N/A</v>
      </c>
      <c r="V373" s="10" t="e">
        <v>#N/A</v>
      </c>
      <c r="W373" s="10" t="s">
        <v>1575</v>
      </c>
      <c r="X373" s="10" t="str">
        <f t="shared" si="141"/>
        <v>NA</v>
      </c>
      <c r="Y373" s="10" t="str">
        <f t="shared" si="142"/>
        <v>NA</v>
      </c>
      <c r="Z373" s="10" t="str">
        <f t="shared" si="143"/>
        <v>NA</v>
      </c>
      <c r="AA373" s="10" t="str">
        <f t="shared" si="144"/>
        <v>NA</v>
      </c>
      <c r="AB373" s="10" t="str">
        <f t="shared" si="145"/>
        <v>NA</v>
      </c>
      <c r="AC373" s="10" t="str">
        <f t="shared" si="146"/>
        <v>NA</v>
      </c>
      <c r="AD373" s="10" t="str">
        <f t="shared" si="147"/>
        <v>NA</v>
      </c>
      <c r="AE373" s="10" t="str">
        <f t="shared" si="148"/>
        <v>NA</v>
      </c>
      <c r="AF373" s="1" t="s">
        <v>4199</v>
      </c>
    </row>
    <row r="374" spans="1:32" x14ac:dyDescent="0.2">
      <c r="A374" s="1" t="s">
        <v>4197</v>
      </c>
      <c r="B374" s="1" t="s">
        <v>5</v>
      </c>
      <c r="C374" s="1" t="s">
        <v>4055</v>
      </c>
      <c r="D374" s="1" t="s">
        <v>1580</v>
      </c>
      <c r="E374" s="1" t="s">
        <v>1694</v>
      </c>
      <c r="F374" s="1" t="s">
        <v>68</v>
      </c>
      <c r="G374" s="4">
        <f>57.57%-50%</f>
        <v>7.569999999999999E-2</v>
      </c>
      <c r="H374" s="28">
        <v>39538</v>
      </c>
      <c r="I374" s="29">
        <f t="shared" ref="I374" si="187">YEAR(H374)</f>
        <v>2008</v>
      </c>
      <c r="J374" s="1" t="s">
        <v>4202</v>
      </c>
      <c r="K374" s="1" t="s">
        <v>7</v>
      </c>
      <c r="L374" s="11" t="str">
        <f t="shared" si="186"/>
        <v>НЕТ</v>
      </c>
      <c r="M374" s="10" t="s">
        <v>1575</v>
      </c>
      <c r="N374" s="10" t="s">
        <v>1575</v>
      </c>
      <c r="O374" s="10" t="s">
        <v>1575</v>
      </c>
      <c r="P374" s="10" t="str">
        <f t="shared" si="139"/>
        <v>NA</v>
      </c>
      <c r="Q374" s="10" t="str">
        <f t="shared" si="140"/>
        <v>NA</v>
      </c>
      <c r="R374" s="10" t="s">
        <v>1575</v>
      </c>
      <c r="S374" s="10" t="s">
        <v>1575</v>
      </c>
      <c r="T374" s="10" t="s">
        <v>1575</v>
      </c>
      <c r="U374" s="10" t="e">
        <v>#N/A</v>
      </c>
      <c r="V374" s="10" t="e">
        <v>#N/A</v>
      </c>
      <c r="W374" s="10" t="s">
        <v>1575</v>
      </c>
      <c r="X374" s="10" t="str">
        <f t="shared" si="141"/>
        <v>NA</v>
      </c>
      <c r="Y374" s="10" t="str">
        <f t="shared" si="142"/>
        <v>NA</v>
      </c>
      <c r="Z374" s="10" t="str">
        <f t="shared" si="143"/>
        <v>NA</v>
      </c>
      <c r="AA374" s="10" t="str">
        <f t="shared" si="144"/>
        <v>NA</v>
      </c>
      <c r="AB374" s="10" t="str">
        <f t="shared" si="145"/>
        <v>NA</v>
      </c>
      <c r="AC374" s="10" t="str">
        <f t="shared" si="146"/>
        <v>NA</v>
      </c>
      <c r="AD374" s="10" t="str">
        <f t="shared" si="147"/>
        <v>NA</v>
      </c>
      <c r="AE374" s="10" t="str">
        <f t="shared" si="148"/>
        <v>NA</v>
      </c>
      <c r="AF374" s="1" t="s">
        <v>4205</v>
      </c>
    </row>
    <row r="375" spans="1:32" x14ac:dyDescent="0.2">
      <c r="A375" s="1" t="s">
        <v>4197</v>
      </c>
      <c r="B375" s="1" t="s">
        <v>5</v>
      </c>
      <c r="C375" s="1" t="s">
        <v>4055</v>
      </c>
      <c r="D375" s="1" t="s">
        <v>1580</v>
      </c>
      <c r="E375" s="1" t="s">
        <v>1694</v>
      </c>
      <c r="F375" s="1" t="s">
        <v>68</v>
      </c>
      <c r="G375" s="4">
        <v>0.3</v>
      </c>
      <c r="H375" s="28">
        <v>39506</v>
      </c>
      <c r="I375" s="29">
        <f t="shared" si="181"/>
        <v>2008</v>
      </c>
      <c r="J375" s="1" t="s">
        <v>4202</v>
      </c>
      <c r="K375" s="1" t="s">
        <v>7</v>
      </c>
      <c r="L375" s="11" t="str">
        <f t="shared" si="186"/>
        <v>НЕТ</v>
      </c>
      <c r="M375" s="10" t="s">
        <v>1575</v>
      </c>
      <c r="N375" s="10" t="s">
        <v>1575</v>
      </c>
      <c r="O375" s="10" t="s">
        <v>1575</v>
      </c>
      <c r="P375" s="10" t="str">
        <f t="shared" si="139"/>
        <v>NA</v>
      </c>
      <c r="Q375" s="10" t="str">
        <f t="shared" si="140"/>
        <v>NA</v>
      </c>
      <c r="R375" s="10" t="s">
        <v>1575</v>
      </c>
      <c r="S375" s="10" t="s">
        <v>1575</v>
      </c>
      <c r="T375" s="10" t="s">
        <v>1575</v>
      </c>
      <c r="U375" s="10" t="e">
        <v>#N/A</v>
      </c>
      <c r="V375" s="10" t="e">
        <v>#N/A</v>
      </c>
      <c r="W375" s="10" t="s">
        <v>1575</v>
      </c>
      <c r="X375" s="10" t="str">
        <f t="shared" si="141"/>
        <v>NA</v>
      </c>
      <c r="Y375" s="10" t="str">
        <f t="shared" si="142"/>
        <v>NA</v>
      </c>
      <c r="Z375" s="10" t="str">
        <f t="shared" si="143"/>
        <v>NA</v>
      </c>
      <c r="AA375" s="10" t="str">
        <f t="shared" si="144"/>
        <v>NA</v>
      </c>
      <c r="AB375" s="10" t="str">
        <f t="shared" si="145"/>
        <v>NA</v>
      </c>
      <c r="AC375" s="10" t="str">
        <f t="shared" si="146"/>
        <v>NA</v>
      </c>
      <c r="AD375" s="10" t="str">
        <f t="shared" si="147"/>
        <v>NA</v>
      </c>
      <c r="AE375" s="10" t="str">
        <f t="shared" si="148"/>
        <v>NA</v>
      </c>
      <c r="AF375" s="1" t="s">
        <v>4204</v>
      </c>
    </row>
    <row r="376" spans="1:32" x14ac:dyDescent="0.2">
      <c r="A376" s="1" t="s">
        <v>4197</v>
      </c>
      <c r="B376" s="1" t="s">
        <v>5</v>
      </c>
      <c r="C376" s="1" t="s">
        <v>4055</v>
      </c>
      <c r="D376" s="1" t="s">
        <v>1580</v>
      </c>
      <c r="E376" s="1" t="s">
        <v>1694</v>
      </c>
      <c r="F376" s="1" t="s">
        <v>68</v>
      </c>
      <c r="G376" s="12" t="s">
        <v>4201</v>
      </c>
      <c r="H376" s="28">
        <v>39082</v>
      </c>
      <c r="I376" s="29">
        <f t="shared" si="181"/>
        <v>2006</v>
      </c>
      <c r="J376" s="1" t="s">
        <v>4202</v>
      </c>
      <c r="K376" s="1" t="s">
        <v>7</v>
      </c>
      <c r="L376" s="11" t="str">
        <f t="shared" si="186"/>
        <v>НЕТ</v>
      </c>
      <c r="M376" s="10" t="s">
        <v>1575</v>
      </c>
      <c r="N376" s="10" t="s">
        <v>1575</v>
      </c>
      <c r="O376" s="10" t="s">
        <v>1575</v>
      </c>
      <c r="P376" s="10" t="str">
        <f t="shared" si="139"/>
        <v>NA</v>
      </c>
      <c r="Q376" s="10" t="str">
        <f t="shared" si="140"/>
        <v>NA</v>
      </c>
      <c r="R376" s="10" t="s">
        <v>1575</v>
      </c>
      <c r="S376" s="10" t="s">
        <v>1575</v>
      </c>
      <c r="T376" s="10" t="s">
        <v>1575</v>
      </c>
      <c r="U376" s="10" t="e">
        <v>#N/A</v>
      </c>
      <c r="V376" s="10" t="e">
        <v>#N/A</v>
      </c>
      <c r="W376" s="10" t="s">
        <v>1575</v>
      </c>
      <c r="X376" s="10" t="str">
        <f t="shared" si="141"/>
        <v>NA</v>
      </c>
      <c r="Y376" s="10" t="str">
        <f t="shared" si="142"/>
        <v>NA</v>
      </c>
      <c r="Z376" s="10" t="str">
        <f t="shared" si="143"/>
        <v>NA</v>
      </c>
      <c r="AA376" s="10" t="str">
        <f t="shared" si="144"/>
        <v>NA</v>
      </c>
      <c r="AB376" s="10" t="str">
        <f t="shared" si="145"/>
        <v>NA</v>
      </c>
      <c r="AC376" s="10" t="str">
        <f t="shared" si="146"/>
        <v>NA</v>
      </c>
      <c r="AD376" s="10" t="str">
        <f t="shared" si="147"/>
        <v>NA</v>
      </c>
      <c r="AE376" s="10" t="str">
        <f t="shared" si="148"/>
        <v>NA</v>
      </c>
      <c r="AF376" s="1" t="s">
        <v>4198</v>
      </c>
    </row>
    <row r="377" spans="1:32" x14ac:dyDescent="0.2">
      <c r="A377" s="1" t="s">
        <v>4215</v>
      </c>
      <c r="B377" s="1" t="s">
        <v>5</v>
      </c>
      <c r="C377" s="1" t="s">
        <v>4220</v>
      </c>
      <c r="D377" s="1" t="s">
        <v>1580</v>
      </c>
      <c r="E377" s="1" t="s">
        <v>1694</v>
      </c>
      <c r="F377" s="1" t="s">
        <v>68</v>
      </c>
      <c r="G377" s="13">
        <v>9.9699999999999997E-2</v>
      </c>
      <c r="H377" s="28">
        <v>42794</v>
      </c>
      <c r="I377" s="29">
        <f t="shared" si="181"/>
        <v>2017</v>
      </c>
      <c r="J377" s="1" t="s">
        <v>7</v>
      </c>
      <c r="K377" s="1" t="s">
        <v>4218</v>
      </c>
      <c r="L377" s="11" t="str">
        <f t="shared" ref="L377" si="188">IF(OR(A377=J377,A377=K377),"ДА","НЕТ")</f>
        <v>НЕТ</v>
      </c>
      <c r="M377" s="10" t="s">
        <v>1575</v>
      </c>
      <c r="N377" s="10" t="s">
        <v>1575</v>
      </c>
      <c r="O377" s="10" t="s">
        <v>1575</v>
      </c>
      <c r="P377" s="10" t="str">
        <f t="shared" si="139"/>
        <v>NA</v>
      </c>
      <c r="Q377" s="10" t="str">
        <f t="shared" si="140"/>
        <v>NA</v>
      </c>
      <c r="R377" s="10" t="s">
        <v>1575</v>
      </c>
      <c r="S377" s="10" t="s">
        <v>1575</v>
      </c>
      <c r="T377" s="10" t="s">
        <v>1575</v>
      </c>
      <c r="U377" s="10">
        <v>2.1360000000000001</v>
      </c>
      <c r="V377" s="10">
        <v>91.632000000000005</v>
      </c>
      <c r="W377" s="10" t="s">
        <v>1575</v>
      </c>
      <c r="X377" s="10" t="str">
        <f t="shared" si="141"/>
        <v>NA</v>
      </c>
      <c r="Y377" s="10" t="str">
        <f t="shared" si="142"/>
        <v>NA</v>
      </c>
      <c r="Z377" s="10" t="str">
        <f t="shared" si="143"/>
        <v>NA</v>
      </c>
      <c r="AA377" s="10" t="str">
        <f t="shared" si="144"/>
        <v>NA</v>
      </c>
      <c r="AB377" s="10" t="str">
        <f t="shared" si="145"/>
        <v>NA</v>
      </c>
      <c r="AC377" s="10" t="str">
        <f t="shared" si="146"/>
        <v>NA</v>
      </c>
      <c r="AD377" s="10" t="str">
        <f t="shared" si="147"/>
        <v>NA</v>
      </c>
      <c r="AE377" s="10" t="str">
        <f t="shared" si="148"/>
        <v>NA</v>
      </c>
      <c r="AF377" s="1" t="s">
        <v>4219</v>
      </c>
    </row>
    <row r="378" spans="1:32" x14ac:dyDescent="0.2">
      <c r="A378" s="1" t="s">
        <v>5505</v>
      </c>
      <c r="B378" s="1" t="s">
        <v>5</v>
      </c>
      <c r="C378" s="1" t="s">
        <v>1575</v>
      </c>
      <c r="D378" s="1" t="s">
        <v>1580</v>
      </c>
      <c r="E378" s="1" t="s">
        <v>1694</v>
      </c>
      <c r="F378" s="1" t="s">
        <v>68</v>
      </c>
      <c r="G378" s="13">
        <v>1</v>
      </c>
      <c r="H378" s="28">
        <v>42521</v>
      </c>
      <c r="I378" s="29">
        <f t="shared" si="181"/>
        <v>2016</v>
      </c>
      <c r="J378" s="1" t="s">
        <v>4215</v>
      </c>
      <c r="K378" s="1" t="s">
        <v>7</v>
      </c>
      <c r="L378" s="11" t="str">
        <f t="shared" ref="L378" si="189">IF(OR(A378=J378,A378=K378),"ДА","НЕТ")</f>
        <v>НЕТ</v>
      </c>
      <c r="M378" s="10" t="s">
        <v>1575</v>
      </c>
      <c r="N378" s="10" t="s">
        <v>1575</v>
      </c>
      <c r="O378" s="10">
        <v>3.7</v>
      </c>
      <c r="P378" s="10">
        <f t="shared" si="139"/>
        <v>3.7</v>
      </c>
      <c r="Q378" s="10" t="str">
        <f t="shared" si="140"/>
        <v>NA</v>
      </c>
      <c r="R378" s="10" t="s">
        <v>1575</v>
      </c>
      <c r="S378" s="10" t="s">
        <v>1575</v>
      </c>
      <c r="T378" s="10" t="s">
        <v>1575</v>
      </c>
      <c r="U378" s="10" t="s">
        <v>1575</v>
      </c>
      <c r="V378" s="10">
        <v>4.2930000000000001</v>
      </c>
      <c r="W378" s="10" t="s">
        <v>1575</v>
      </c>
      <c r="X378" s="10" t="str">
        <f t="shared" si="141"/>
        <v>NA</v>
      </c>
      <c r="Y378" s="10" t="str">
        <f t="shared" si="142"/>
        <v>NA</v>
      </c>
      <c r="Z378" s="10" t="str">
        <f t="shared" si="143"/>
        <v>NA</v>
      </c>
      <c r="AA378" s="10">
        <f t="shared" si="144"/>
        <v>0.86186815746564172</v>
      </c>
      <c r="AB378" s="10" t="str">
        <f t="shared" si="145"/>
        <v>NA</v>
      </c>
      <c r="AC378" s="10" t="str">
        <f t="shared" si="146"/>
        <v>NA</v>
      </c>
      <c r="AD378" s="10" t="str">
        <f t="shared" si="147"/>
        <v>NA</v>
      </c>
      <c r="AE378" s="10" t="str">
        <f t="shared" si="148"/>
        <v>NA</v>
      </c>
      <c r="AF378" s="1" t="s">
        <v>4214</v>
      </c>
    </row>
    <row r="379" spans="1:32" x14ac:dyDescent="0.2">
      <c r="A379" s="1" t="s">
        <v>4217</v>
      </c>
      <c r="B379" s="1" t="s">
        <v>5</v>
      </c>
      <c r="C379" s="1" t="s">
        <v>1575</v>
      </c>
      <c r="D379" s="1" t="s">
        <v>1580</v>
      </c>
      <c r="E379" s="1" t="s">
        <v>1694</v>
      </c>
      <c r="F379" s="1" t="s">
        <v>68</v>
      </c>
      <c r="G379" s="13">
        <v>0.97299999999999998</v>
      </c>
      <c r="H379" s="28">
        <v>42215</v>
      </c>
      <c r="I379" s="29">
        <f t="shared" si="181"/>
        <v>2015</v>
      </c>
      <c r="J379" s="1" t="s">
        <v>4215</v>
      </c>
      <c r="K379" s="1" t="s">
        <v>7</v>
      </c>
      <c r="L379" s="11" t="str">
        <f t="shared" ref="L379:L380" si="190">IF(OR(A379=J379,A379=K379),"ДА","НЕТ")</f>
        <v>НЕТ</v>
      </c>
      <c r="M379" s="10" t="s">
        <v>1575</v>
      </c>
      <c r="N379" s="10" t="s">
        <v>1575</v>
      </c>
      <c r="O379" s="10">
        <v>0</v>
      </c>
      <c r="P379" s="10">
        <f t="shared" si="139"/>
        <v>0</v>
      </c>
      <c r="Q379" s="10" t="str">
        <f t="shared" si="140"/>
        <v>NA</v>
      </c>
      <c r="R379" s="10" t="s">
        <v>1575</v>
      </c>
      <c r="S379" s="10" t="s">
        <v>1575</v>
      </c>
      <c r="T379" s="10" t="s">
        <v>1575</v>
      </c>
      <c r="U379" s="10" t="s">
        <v>1575</v>
      </c>
      <c r="V379" s="10">
        <v>1.9710000000000001</v>
      </c>
      <c r="W379" s="10" t="s">
        <v>1575</v>
      </c>
      <c r="X379" s="10" t="str">
        <f t="shared" si="141"/>
        <v>NA</v>
      </c>
      <c r="Y379" s="10" t="str">
        <f t="shared" si="142"/>
        <v>NA</v>
      </c>
      <c r="Z379" s="10" t="str">
        <f t="shared" si="143"/>
        <v>NA</v>
      </c>
      <c r="AA379" s="10">
        <f t="shared" si="144"/>
        <v>0</v>
      </c>
      <c r="AB379" s="10" t="str">
        <f t="shared" si="145"/>
        <v>NA</v>
      </c>
      <c r="AC379" s="10" t="str">
        <f t="shared" si="146"/>
        <v>NA</v>
      </c>
      <c r="AD379" s="10" t="str">
        <f t="shared" si="147"/>
        <v>NA</v>
      </c>
      <c r="AE379" s="10" t="str">
        <f t="shared" si="148"/>
        <v>NA</v>
      </c>
      <c r="AF379" s="1" t="s">
        <v>4216</v>
      </c>
    </row>
    <row r="380" spans="1:32" x14ac:dyDescent="0.2">
      <c r="A380" s="1" t="s">
        <v>4215</v>
      </c>
      <c r="B380" s="1" t="s">
        <v>5</v>
      </c>
      <c r="C380" s="1" t="s">
        <v>4220</v>
      </c>
      <c r="D380" s="1" t="s">
        <v>1580</v>
      </c>
      <c r="E380" s="1" t="s">
        <v>1694</v>
      </c>
      <c r="F380" s="1" t="s">
        <v>68</v>
      </c>
      <c r="G380" s="13">
        <v>0.1</v>
      </c>
      <c r="H380" s="28">
        <v>42155</v>
      </c>
      <c r="I380" s="29">
        <f t="shared" ref="I380" si="191">YEAR(H380)</f>
        <v>2015</v>
      </c>
      <c r="J380" s="1" t="s">
        <v>4224</v>
      </c>
      <c r="K380" s="1" t="s">
        <v>4222</v>
      </c>
      <c r="L380" s="11" t="str">
        <f t="shared" si="190"/>
        <v>НЕТ</v>
      </c>
      <c r="M380" s="10" t="s">
        <v>1575</v>
      </c>
      <c r="N380" s="10" t="s">
        <v>1575</v>
      </c>
      <c r="O380" s="10">
        <v>6.9029999999999996</v>
      </c>
      <c r="P380" s="10">
        <f t="shared" si="139"/>
        <v>69.029999999999987</v>
      </c>
      <c r="Q380" s="10" t="str">
        <f t="shared" si="140"/>
        <v>NA</v>
      </c>
      <c r="R380" s="10" t="s">
        <v>1575</v>
      </c>
      <c r="S380" s="10" t="s">
        <v>1575</v>
      </c>
      <c r="T380" s="10" t="s">
        <v>1575</v>
      </c>
      <c r="U380" s="10" t="s">
        <v>1575</v>
      </c>
      <c r="V380" s="10" t="s">
        <v>1575</v>
      </c>
      <c r="W380" s="10" t="s">
        <v>1575</v>
      </c>
      <c r="X380" s="10" t="str">
        <f t="shared" si="141"/>
        <v>NA</v>
      </c>
      <c r="Y380" s="10" t="str">
        <f t="shared" si="142"/>
        <v>NA</v>
      </c>
      <c r="Z380" s="10" t="str">
        <f t="shared" si="143"/>
        <v>NA</v>
      </c>
      <c r="AA380" s="10" t="str">
        <f t="shared" si="144"/>
        <v>NA</v>
      </c>
      <c r="AB380" s="10" t="str">
        <f t="shared" si="145"/>
        <v>NA</v>
      </c>
      <c r="AC380" s="10" t="str">
        <f t="shared" si="146"/>
        <v>NA</v>
      </c>
      <c r="AD380" s="10" t="str">
        <f t="shared" si="147"/>
        <v>NA</v>
      </c>
      <c r="AE380" s="10" t="str">
        <f t="shared" si="148"/>
        <v>NA</v>
      </c>
      <c r="AF380" s="1" t="s">
        <v>4226</v>
      </c>
    </row>
    <row r="381" spans="1:32" x14ac:dyDescent="0.2">
      <c r="A381" s="1" t="s">
        <v>4215</v>
      </c>
      <c r="B381" s="1" t="s">
        <v>5</v>
      </c>
      <c r="C381" s="1" t="s">
        <v>4220</v>
      </c>
      <c r="D381" s="1" t="s">
        <v>1580</v>
      </c>
      <c r="E381" s="1" t="s">
        <v>1694</v>
      </c>
      <c r="F381" s="1" t="s">
        <v>68</v>
      </c>
      <c r="G381" s="13">
        <v>0.1</v>
      </c>
      <c r="H381" s="28">
        <v>42155</v>
      </c>
      <c r="I381" s="29">
        <f t="shared" si="181"/>
        <v>2015</v>
      </c>
      <c r="J381" s="1" t="s">
        <v>4223</v>
      </c>
      <c r="K381" s="1" t="s">
        <v>4222</v>
      </c>
      <c r="L381" s="11" t="str">
        <f t="shared" ref="L381" si="192">IF(OR(A381=J381,A381=K381),"ДА","НЕТ")</f>
        <v>НЕТ</v>
      </c>
      <c r="M381" s="10" t="s">
        <v>1575</v>
      </c>
      <c r="N381" s="10" t="s">
        <v>1575</v>
      </c>
      <c r="O381" s="10">
        <v>6.9029999999999996</v>
      </c>
      <c r="P381" s="10">
        <f t="shared" si="139"/>
        <v>69.029999999999987</v>
      </c>
      <c r="Q381" s="10" t="str">
        <f t="shared" si="140"/>
        <v>NA</v>
      </c>
      <c r="R381" s="10" t="s">
        <v>1575</v>
      </c>
      <c r="S381" s="10" t="s">
        <v>1575</v>
      </c>
      <c r="T381" s="10" t="s">
        <v>1575</v>
      </c>
      <c r="U381" s="10" t="s">
        <v>1575</v>
      </c>
      <c r="V381" s="10" t="s">
        <v>1575</v>
      </c>
      <c r="W381" s="10" t="s">
        <v>1575</v>
      </c>
      <c r="X381" s="10" t="str">
        <f t="shared" si="141"/>
        <v>NA</v>
      </c>
      <c r="Y381" s="10" t="str">
        <f t="shared" si="142"/>
        <v>NA</v>
      </c>
      <c r="Z381" s="10" t="str">
        <f t="shared" si="143"/>
        <v>NA</v>
      </c>
      <c r="AA381" s="10" t="str">
        <f t="shared" si="144"/>
        <v>NA</v>
      </c>
      <c r="AB381" s="10" t="str">
        <f t="shared" si="145"/>
        <v>NA</v>
      </c>
      <c r="AC381" s="10" t="str">
        <f t="shared" si="146"/>
        <v>NA</v>
      </c>
      <c r="AD381" s="10" t="str">
        <f t="shared" si="147"/>
        <v>NA</v>
      </c>
      <c r="AE381" s="10" t="str">
        <f t="shared" si="148"/>
        <v>NA</v>
      </c>
      <c r="AF381" s="1" t="s">
        <v>4225</v>
      </c>
    </row>
    <row r="382" spans="1:32" x14ac:dyDescent="0.2">
      <c r="A382" s="1" t="s">
        <v>4215</v>
      </c>
      <c r="B382" s="1" t="s">
        <v>5</v>
      </c>
      <c r="C382" s="1" t="s">
        <v>4220</v>
      </c>
      <c r="D382" s="1" t="s">
        <v>1580</v>
      </c>
      <c r="E382" s="1" t="s">
        <v>1694</v>
      </c>
      <c r="F382" s="1" t="s">
        <v>68</v>
      </c>
      <c r="G382" s="13" t="s">
        <v>1575</v>
      </c>
      <c r="H382" s="28">
        <v>42338</v>
      </c>
      <c r="I382" s="29">
        <f t="shared" si="181"/>
        <v>2015</v>
      </c>
      <c r="J382" s="1" t="s">
        <v>4222</v>
      </c>
      <c r="K382" s="1" t="s">
        <v>7</v>
      </c>
      <c r="L382" s="11" t="str">
        <f t="shared" ref="L382:L707" si="193">IF(OR(A382=J382,A382=K382),"ДА","НЕТ")</f>
        <v>НЕТ</v>
      </c>
      <c r="M382" s="10" t="s">
        <v>1575</v>
      </c>
      <c r="N382" s="10" t="s">
        <v>1575</v>
      </c>
      <c r="O382" s="10">
        <v>15.744</v>
      </c>
      <c r="P382" s="10" t="str">
        <f t="shared" si="139"/>
        <v>NA</v>
      </c>
      <c r="Q382" s="10" t="str">
        <f t="shared" si="140"/>
        <v>NA</v>
      </c>
      <c r="R382" s="10" t="s">
        <v>1575</v>
      </c>
      <c r="S382" s="10" t="s">
        <v>1575</v>
      </c>
      <c r="T382" s="10" t="s">
        <v>1575</v>
      </c>
      <c r="U382" s="10" t="s">
        <v>1575</v>
      </c>
      <c r="V382" s="10" t="s">
        <v>1575</v>
      </c>
      <c r="W382" s="10" t="s">
        <v>1575</v>
      </c>
      <c r="X382" s="10" t="str">
        <f t="shared" si="141"/>
        <v>NA</v>
      </c>
      <c r="Y382" s="10" t="str">
        <f t="shared" si="142"/>
        <v>NA</v>
      </c>
      <c r="Z382" s="10" t="str">
        <f t="shared" si="143"/>
        <v>NA</v>
      </c>
      <c r="AA382" s="10" t="str">
        <f t="shared" si="144"/>
        <v>NA</v>
      </c>
      <c r="AB382" s="10" t="str">
        <f t="shared" si="145"/>
        <v>NA</v>
      </c>
      <c r="AC382" s="10" t="str">
        <f t="shared" si="146"/>
        <v>NA</v>
      </c>
      <c r="AD382" s="10" t="str">
        <f t="shared" si="147"/>
        <v>NA</v>
      </c>
      <c r="AE382" s="10" t="str">
        <f t="shared" si="148"/>
        <v>NA</v>
      </c>
      <c r="AF382" s="1" t="s">
        <v>4221</v>
      </c>
    </row>
    <row r="383" spans="1:32" x14ac:dyDescent="0.2">
      <c r="A383" s="1" t="s">
        <v>4722</v>
      </c>
      <c r="B383" s="1" t="s">
        <v>5</v>
      </c>
      <c r="C383" s="1" t="s">
        <v>3823</v>
      </c>
      <c r="D383" s="1" t="s">
        <v>1580</v>
      </c>
      <c r="E383" s="1" t="s">
        <v>1694</v>
      </c>
      <c r="F383" s="1" t="s">
        <v>68</v>
      </c>
      <c r="G383" s="4">
        <f>(248129999+38022237)/33545000000</f>
        <v>8.5303990460575338E-3</v>
      </c>
      <c r="H383" s="28">
        <v>44255</v>
      </c>
      <c r="I383" s="29">
        <f t="shared" si="181"/>
        <v>2021</v>
      </c>
      <c r="J383" s="1" t="s">
        <v>7</v>
      </c>
      <c r="K383" s="1" t="s">
        <v>4722</v>
      </c>
      <c r="L383" s="11" t="str">
        <f t="shared" ref="L383" si="194">IF(OR(A383=J383,A383=K383),"ДА","НЕТ")</f>
        <v>ДА</v>
      </c>
      <c r="M383" s="10" t="s">
        <v>1575</v>
      </c>
      <c r="N383" s="10" t="s">
        <v>1575</v>
      </c>
      <c r="O383" s="10">
        <v>0.27208399999999999</v>
      </c>
      <c r="P383" s="10">
        <f t="shared" si="139"/>
        <v>31.895811500840416</v>
      </c>
      <c r="Q383" s="10" t="str">
        <f t="shared" si="140"/>
        <v>NA</v>
      </c>
      <c r="R383" s="10" t="s">
        <v>1575</v>
      </c>
      <c r="S383" s="10" t="s">
        <v>1575</v>
      </c>
      <c r="T383" s="10" t="s">
        <v>1575</v>
      </c>
      <c r="U383" s="10">
        <v>-4.4447229999999998</v>
      </c>
      <c r="V383" s="10">
        <v>21.576986000000002</v>
      </c>
      <c r="W383" s="10" t="s">
        <v>1575</v>
      </c>
      <c r="X383" s="10" t="str">
        <f t="shared" si="141"/>
        <v>NA</v>
      </c>
      <c r="Y383" s="10" t="str">
        <f t="shared" si="142"/>
        <v>NA</v>
      </c>
      <c r="Z383" s="10">
        <f t="shared" si="143"/>
        <v>-7.1761078251311536</v>
      </c>
      <c r="AA383" s="10">
        <f t="shared" si="144"/>
        <v>1.4782329423043798</v>
      </c>
      <c r="AB383" s="10" t="str">
        <f t="shared" si="145"/>
        <v>NA</v>
      </c>
      <c r="AC383" s="10" t="str">
        <f t="shared" si="146"/>
        <v>NA</v>
      </c>
      <c r="AD383" s="10" t="str">
        <f t="shared" si="147"/>
        <v>NA</v>
      </c>
      <c r="AE383" s="10" t="str">
        <f t="shared" si="148"/>
        <v>NA</v>
      </c>
      <c r="AF383" s="1" t="s">
        <v>4723</v>
      </c>
    </row>
    <row r="384" spans="1:32" x14ac:dyDescent="0.2">
      <c r="A384" s="1" t="s">
        <v>5506</v>
      </c>
      <c r="B384" s="1" t="s">
        <v>5</v>
      </c>
      <c r="C384" s="1" t="s">
        <v>1575</v>
      </c>
      <c r="D384" s="1" t="s">
        <v>1580</v>
      </c>
      <c r="E384" s="1" t="s">
        <v>1593</v>
      </c>
      <c r="F384" s="1" t="s">
        <v>545</v>
      </c>
      <c r="G384" s="4">
        <v>1</v>
      </c>
      <c r="H384" s="28">
        <v>40602</v>
      </c>
      <c r="I384" s="29">
        <f t="shared" si="181"/>
        <v>2011</v>
      </c>
      <c r="J384" s="1" t="s">
        <v>4722</v>
      </c>
      <c r="K384" s="1" t="s">
        <v>7</v>
      </c>
      <c r="L384" s="11" t="str">
        <f t="shared" ref="L384" si="195">IF(OR(A384=J384,A384=K384),"ДА","НЕТ")</f>
        <v>НЕТ</v>
      </c>
      <c r="M384" s="10" t="s">
        <v>1575</v>
      </c>
      <c r="N384" s="10" t="s">
        <v>1575</v>
      </c>
      <c r="O384" s="10" t="s">
        <v>1575</v>
      </c>
      <c r="P384" s="10" t="str">
        <f t="shared" si="139"/>
        <v>NA</v>
      </c>
      <c r="Q384" s="10" t="str">
        <f t="shared" si="140"/>
        <v>NA</v>
      </c>
      <c r="R384" s="10" t="s">
        <v>1575</v>
      </c>
      <c r="S384" s="10" t="s">
        <v>1575</v>
      </c>
      <c r="T384" s="10" t="s">
        <v>1575</v>
      </c>
      <c r="U384" s="10" t="s">
        <v>1575</v>
      </c>
      <c r="V384" s="10">
        <v>1.5</v>
      </c>
      <c r="W384" s="10" t="s">
        <v>1575</v>
      </c>
      <c r="X384" s="10" t="str">
        <f t="shared" si="141"/>
        <v>NA</v>
      </c>
      <c r="Y384" s="10" t="str">
        <f t="shared" si="142"/>
        <v>NA</v>
      </c>
      <c r="Z384" s="10" t="str">
        <f t="shared" si="143"/>
        <v>NA</v>
      </c>
      <c r="AA384" s="10" t="str">
        <f t="shared" si="144"/>
        <v>NA</v>
      </c>
      <c r="AB384" s="10" t="str">
        <f t="shared" si="145"/>
        <v>NA</v>
      </c>
      <c r="AC384" s="10" t="str">
        <f t="shared" si="146"/>
        <v>NA</v>
      </c>
      <c r="AD384" s="10" t="str">
        <f t="shared" si="147"/>
        <v>NA</v>
      </c>
      <c r="AE384" s="10" t="str">
        <f t="shared" si="148"/>
        <v>NA</v>
      </c>
      <c r="AF384" s="1" t="s">
        <v>4728</v>
      </c>
    </row>
    <row r="385" spans="1:32" x14ac:dyDescent="0.2">
      <c r="A385" s="1" t="s">
        <v>4725</v>
      </c>
      <c r="B385" s="1" t="s">
        <v>1575</v>
      </c>
      <c r="C385" s="1" t="s">
        <v>1575</v>
      </c>
      <c r="D385" s="1" t="s">
        <v>1580</v>
      </c>
      <c r="E385" s="1" t="s">
        <v>1593</v>
      </c>
      <c r="F385" s="1" t="s">
        <v>545</v>
      </c>
      <c r="G385" s="4">
        <v>0.35499999999999998</v>
      </c>
      <c r="H385" s="28">
        <v>40543</v>
      </c>
      <c r="I385" s="29">
        <f t="shared" si="181"/>
        <v>2010</v>
      </c>
      <c r="J385" s="1" t="s">
        <v>4722</v>
      </c>
      <c r="K385" s="1" t="s">
        <v>7</v>
      </c>
      <c r="L385" s="11" t="str">
        <f t="shared" ref="L385" si="196">IF(OR(A385=J385,A385=K385),"ДА","НЕТ")</f>
        <v>НЕТ</v>
      </c>
      <c r="M385" s="10" t="s">
        <v>1575</v>
      </c>
      <c r="N385" s="10" t="s">
        <v>1575</v>
      </c>
      <c r="O385" s="10">
        <v>1.171997</v>
      </c>
      <c r="P385" s="10">
        <f t="shared" si="139"/>
        <v>3.3014000000000001</v>
      </c>
      <c r="Q385" s="10" t="str">
        <f t="shared" si="140"/>
        <v>NA</v>
      </c>
      <c r="R385" s="10">
        <v>0</v>
      </c>
      <c r="S385" s="10" t="s">
        <v>1575</v>
      </c>
      <c r="T385" s="10" t="s">
        <v>1575</v>
      </c>
      <c r="U385" s="10">
        <v>0</v>
      </c>
      <c r="V385" s="10">
        <f>3.687929-0.997155</f>
        <v>2.6907740000000002</v>
      </c>
      <c r="W385" s="10" t="s">
        <v>1575</v>
      </c>
      <c r="X385" s="10" t="str">
        <f t="shared" si="141"/>
        <v>NA</v>
      </c>
      <c r="Y385" s="10" t="str">
        <f t="shared" si="142"/>
        <v>NA</v>
      </c>
      <c r="Z385" s="10" t="str">
        <f t="shared" si="143"/>
        <v>NA</v>
      </c>
      <c r="AA385" s="10">
        <f t="shared" si="144"/>
        <v>1.2269332169851499</v>
      </c>
      <c r="AB385" s="10" t="str">
        <f t="shared" si="145"/>
        <v>NA</v>
      </c>
      <c r="AC385" s="10" t="str">
        <f t="shared" si="146"/>
        <v>NA</v>
      </c>
      <c r="AD385" s="10" t="str">
        <f t="shared" si="147"/>
        <v>NA</v>
      </c>
      <c r="AE385" s="10" t="str">
        <f t="shared" si="148"/>
        <v>NA</v>
      </c>
      <c r="AF385" s="1" t="s">
        <v>4724</v>
      </c>
    </row>
    <row r="386" spans="1:32" x14ac:dyDescent="0.2">
      <c r="A386" s="1" t="s">
        <v>4722</v>
      </c>
      <c r="B386" s="1" t="s">
        <v>5</v>
      </c>
      <c r="C386" s="1" t="s">
        <v>3823</v>
      </c>
      <c r="D386" s="1" t="s">
        <v>1580</v>
      </c>
      <c r="E386" s="1" t="s">
        <v>1694</v>
      </c>
      <c r="F386" s="1" t="s">
        <v>68</v>
      </c>
      <c r="G386" s="4">
        <f>261374124/11545000000</f>
        <v>2.2639594976180163E-2</v>
      </c>
      <c r="H386" s="28">
        <v>40086</v>
      </c>
      <c r="I386" s="29">
        <f t="shared" ref="I386:I389" si="197">YEAR(H386)</f>
        <v>2009</v>
      </c>
      <c r="J386" s="1" t="s">
        <v>4727</v>
      </c>
      <c r="K386" s="1" t="s">
        <v>4722</v>
      </c>
      <c r="L386" s="11" t="str">
        <f t="shared" ref="L386" si="198">IF(OR(A386=J386,A386=K386),"ДА","НЕТ")</f>
        <v>ДА</v>
      </c>
      <c r="M386" s="10" t="s">
        <v>1575</v>
      </c>
      <c r="N386" s="10" t="s">
        <v>1575</v>
      </c>
      <c r="O386" s="10" t="s">
        <v>1575</v>
      </c>
      <c r="P386" s="10" t="str">
        <f t="shared" si="139"/>
        <v>NA</v>
      </c>
      <c r="Q386" s="10" t="str">
        <f t="shared" si="140"/>
        <v>NA</v>
      </c>
      <c r="R386" s="10" t="s">
        <v>1575</v>
      </c>
      <c r="S386" s="10" t="s">
        <v>1575</v>
      </c>
      <c r="T386" s="10" t="s">
        <v>1575</v>
      </c>
      <c r="U386" s="10" t="s">
        <v>1575</v>
      </c>
      <c r="V386" s="10" t="s">
        <v>1575</v>
      </c>
      <c r="W386" s="10" t="s">
        <v>1575</v>
      </c>
      <c r="X386" s="10" t="str">
        <f t="shared" si="141"/>
        <v>NA</v>
      </c>
      <c r="Y386" s="10" t="str">
        <f t="shared" si="142"/>
        <v>NA</v>
      </c>
      <c r="Z386" s="10" t="str">
        <f t="shared" si="143"/>
        <v>NA</v>
      </c>
      <c r="AA386" s="10" t="str">
        <f t="shared" si="144"/>
        <v>NA</v>
      </c>
      <c r="AB386" s="10" t="str">
        <f t="shared" si="145"/>
        <v>NA</v>
      </c>
      <c r="AC386" s="10" t="str">
        <f t="shared" si="146"/>
        <v>NA</v>
      </c>
      <c r="AD386" s="10" t="str">
        <f t="shared" si="147"/>
        <v>NA</v>
      </c>
      <c r="AE386" s="10" t="str">
        <f t="shared" si="148"/>
        <v>NA</v>
      </c>
      <c r="AF386" s="1" t="s">
        <v>4726</v>
      </c>
    </row>
    <row r="387" spans="1:32" x14ac:dyDescent="0.2">
      <c r="A387" s="1" t="s">
        <v>5507</v>
      </c>
      <c r="B387" s="1" t="s">
        <v>5</v>
      </c>
      <c r="C387" s="1" t="s">
        <v>1575</v>
      </c>
      <c r="D387" s="1" t="s">
        <v>1580</v>
      </c>
      <c r="E387" s="1" t="s">
        <v>1694</v>
      </c>
      <c r="F387" s="1" t="s">
        <v>68</v>
      </c>
      <c r="G387" s="4">
        <v>0.83499999999999996</v>
      </c>
      <c r="H387" s="28">
        <v>39790</v>
      </c>
      <c r="I387" s="29">
        <f t="shared" si="197"/>
        <v>2008</v>
      </c>
      <c r="J387" s="1" t="s">
        <v>4722</v>
      </c>
      <c r="K387" s="1" t="s">
        <v>7</v>
      </c>
      <c r="L387" s="11" t="str">
        <f t="shared" ref="L387" si="199">IF(OR(A387=J387,A387=K387),"ДА","НЕТ")</f>
        <v>НЕТ</v>
      </c>
      <c r="M387" s="10" t="s">
        <v>1575</v>
      </c>
      <c r="N387" s="10" t="s">
        <v>1575</v>
      </c>
      <c r="O387" s="10">
        <v>0.19631999999999999</v>
      </c>
      <c r="P387" s="10">
        <f t="shared" ref="P387:P450" si="200">IFERROR(O387/G387,"NA")</f>
        <v>0.23511377245508983</v>
      </c>
      <c r="Q387" s="10" t="str">
        <f t="shared" ref="Q387:Q450" si="201">IFERROR(P387+W387,"NA")</f>
        <v>NA</v>
      </c>
      <c r="R387" s="10" t="s">
        <v>1575</v>
      </c>
      <c r="S387" s="10" t="s">
        <v>1575</v>
      </c>
      <c r="T387" s="10" t="s">
        <v>1575</v>
      </c>
      <c r="U387" s="10" t="s">
        <v>1575</v>
      </c>
      <c r="V387" s="10">
        <v>0.18651300000000001</v>
      </c>
      <c r="W387" s="10" t="s">
        <v>1575</v>
      </c>
      <c r="X387" s="10" t="str">
        <f t="shared" ref="X387:X450" si="202">IFERROR(V387+W387,"NA")</f>
        <v>NA</v>
      </c>
      <c r="Y387" s="10" t="str">
        <f t="shared" ref="Y387:Y450" si="203">IFERROR(P387/R387,"NA")</f>
        <v>NA</v>
      </c>
      <c r="Z387" s="10" t="str">
        <f t="shared" ref="Z387:Z450" si="204">IFERROR(P387/U387,"NA")</f>
        <v>NA</v>
      </c>
      <c r="AA387" s="10">
        <f t="shared" ref="AA387:AA450" si="205">IFERROR(P387/V387,"NA")</f>
        <v>1.2605757907228441</v>
      </c>
      <c r="AB387" s="10" t="str">
        <f t="shared" ref="AB387:AB450" si="206">IFERROR(Q387/R387,"NA")</f>
        <v>NA</v>
      </c>
      <c r="AC387" s="10" t="str">
        <f t="shared" ref="AC387:AC450" si="207">IFERROR(Q387/S387,"NA")</f>
        <v>NA</v>
      </c>
      <c r="AD387" s="10" t="str">
        <f t="shared" ref="AD387:AD450" si="208">IFERROR(Q387/T387,"NA")</f>
        <v>NA</v>
      </c>
      <c r="AE387" s="10" t="str">
        <f t="shared" ref="AE387:AE450" si="209">IFERROR(Q387/X387,"NA")</f>
        <v>NA</v>
      </c>
      <c r="AF387" s="1" t="s">
        <v>4729</v>
      </c>
    </row>
    <row r="388" spans="1:32" x14ac:dyDescent="0.2">
      <c r="A388" s="1" t="s">
        <v>5508</v>
      </c>
      <c r="B388" s="1" t="s">
        <v>5</v>
      </c>
      <c r="C388" s="1" t="s">
        <v>1575</v>
      </c>
      <c r="D388" s="1" t="s">
        <v>1575</v>
      </c>
      <c r="E388" s="1" t="s">
        <v>1575</v>
      </c>
      <c r="F388" s="1" t="s">
        <v>1575</v>
      </c>
      <c r="G388" s="4">
        <v>0.998</v>
      </c>
      <c r="H388" s="28">
        <v>39478</v>
      </c>
      <c r="I388" s="29">
        <f t="shared" si="197"/>
        <v>2008</v>
      </c>
      <c r="J388" s="1" t="s">
        <v>4722</v>
      </c>
      <c r="K388" s="1" t="s">
        <v>7</v>
      </c>
      <c r="L388" s="11" t="str">
        <f t="shared" ref="L388" si="210">IF(OR(A388=J388,A388=K388),"ДА","НЕТ")</f>
        <v>НЕТ</v>
      </c>
      <c r="M388" s="10" t="s">
        <v>1575</v>
      </c>
      <c r="N388" s="10" t="s">
        <v>1575</v>
      </c>
      <c r="O388" s="10">
        <v>0.26162200000000002</v>
      </c>
      <c r="P388" s="10">
        <f t="shared" si="200"/>
        <v>0.26214629258517036</v>
      </c>
      <c r="Q388" s="10" t="str">
        <f t="shared" si="201"/>
        <v>NA</v>
      </c>
      <c r="R388" s="10" t="s">
        <v>1575</v>
      </c>
      <c r="S388" s="10" t="s">
        <v>1575</v>
      </c>
      <c r="T388" s="10" t="s">
        <v>1575</v>
      </c>
      <c r="U388" s="10" t="s">
        <v>1575</v>
      </c>
      <c r="V388" s="10" t="s">
        <v>1575</v>
      </c>
      <c r="W388" s="10" t="s">
        <v>1575</v>
      </c>
      <c r="X388" s="10" t="str">
        <f t="shared" si="202"/>
        <v>NA</v>
      </c>
      <c r="Y388" s="10" t="str">
        <f t="shared" si="203"/>
        <v>NA</v>
      </c>
      <c r="Z388" s="10" t="str">
        <f t="shared" si="204"/>
        <v>NA</v>
      </c>
      <c r="AA388" s="10" t="str">
        <f t="shared" si="205"/>
        <v>NA</v>
      </c>
      <c r="AB388" s="10" t="str">
        <f t="shared" si="206"/>
        <v>NA</v>
      </c>
      <c r="AC388" s="10" t="str">
        <f t="shared" si="207"/>
        <v>NA</v>
      </c>
      <c r="AD388" s="10" t="str">
        <f t="shared" si="208"/>
        <v>NA</v>
      </c>
      <c r="AE388" s="10" t="str">
        <f t="shared" si="209"/>
        <v>NA</v>
      </c>
      <c r="AF388" s="1" t="s">
        <v>4730</v>
      </c>
    </row>
    <row r="389" spans="1:32" x14ac:dyDescent="0.2">
      <c r="A389" s="1" t="s">
        <v>4732</v>
      </c>
      <c r="B389" s="1" t="s">
        <v>5</v>
      </c>
      <c r="C389" s="1" t="s">
        <v>3821</v>
      </c>
      <c r="D389" s="1" t="s">
        <v>1580</v>
      </c>
      <c r="E389" s="1" t="s">
        <v>1694</v>
      </c>
      <c r="F389" s="1" t="s">
        <v>68</v>
      </c>
      <c r="G389" s="4">
        <f>4.6/34.629063</f>
        <v>0.13283639814337453</v>
      </c>
      <c r="H389" s="28">
        <v>45412</v>
      </c>
      <c r="I389" s="29">
        <f t="shared" si="197"/>
        <v>2024</v>
      </c>
      <c r="J389" s="1" t="s">
        <v>7</v>
      </c>
      <c r="K389" s="1" t="s">
        <v>4732</v>
      </c>
      <c r="L389" s="11" t="str">
        <f t="shared" ref="L389" si="211">IF(OR(A389=J389,A389=K389),"ДА","НЕТ")</f>
        <v>ДА</v>
      </c>
      <c r="M389" s="10" t="s">
        <v>1575</v>
      </c>
      <c r="N389" s="10" t="s">
        <v>1575</v>
      </c>
      <c r="O389" s="10">
        <f>4.6*2500/1000</f>
        <v>11.5</v>
      </c>
      <c r="P389" s="10">
        <f t="shared" si="200"/>
        <v>86.572657500000005</v>
      </c>
      <c r="Q389" s="10" t="str">
        <f t="shared" si="201"/>
        <v>NA</v>
      </c>
      <c r="R389" s="10" t="s">
        <v>1575</v>
      </c>
      <c r="S389" s="10" t="s">
        <v>1575</v>
      </c>
      <c r="T389" s="10" t="s">
        <v>1575</v>
      </c>
      <c r="U389" s="10" t="s">
        <v>1575</v>
      </c>
      <c r="V389" s="10" t="s">
        <v>1575</v>
      </c>
      <c r="W389" s="10" t="s">
        <v>1575</v>
      </c>
      <c r="X389" s="10" t="str">
        <f t="shared" si="202"/>
        <v>NA</v>
      </c>
      <c r="Y389" s="10" t="str">
        <f t="shared" si="203"/>
        <v>NA</v>
      </c>
      <c r="Z389" s="10" t="str">
        <f t="shared" si="204"/>
        <v>NA</v>
      </c>
      <c r="AA389" s="10" t="str">
        <f t="shared" si="205"/>
        <v>NA</v>
      </c>
      <c r="AB389" s="10" t="str">
        <f t="shared" si="206"/>
        <v>NA</v>
      </c>
      <c r="AC389" s="10" t="str">
        <f t="shared" si="207"/>
        <v>NA</v>
      </c>
      <c r="AD389" s="10" t="str">
        <f t="shared" si="208"/>
        <v>NA</v>
      </c>
      <c r="AE389" s="10" t="str">
        <f t="shared" si="209"/>
        <v>NA</v>
      </c>
      <c r="AF389" s="1" t="s">
        <v>4733</v>
      </c>
    </row>
    <row r="390" spans="1:32" x14ac:dyDescent="0.2">
      <c r="A390" s="1" t="s">
        <v>4732</v>
      </c>
      <c r="B390" s="1" t="s">
        <v>5</v>
      </c>
      <c r="C390" s="1" t="s">
        <v>3821</v>
      </c>
      <c r="D390" s="1" t="s">
        <v>1580</v>
      </c>
      <c r="E390" s="1" t="s">
        <v>1694</v>
      </c>
      <c r="F390" s="1" t="s">
        <v>68</v>
      </c>
      <c r="G390" s="4">
        <f>(55303+400)/(20752477+1000)</f>
        <v>2.6840321744640667E-3</v>
      </c>
      <c r="H390" s="28">
        <v>43465</v>
      </c>
      <c r="I390" s="29">
        <f t="shared" ref="I390:I411" si="212">YEAR(H390)</f>
        <v>2018</v>
      </c>
      <c r="J390" s="1" t="s">
        <v>4732</v>
      </c>
      <c r="K390" s="1" t="s">
        <v>7</v>
      </c>
      <c r="L390" s="11" t="str">
        <f t="shared" ref="L390" si="213">IF(OR(A390=J390,A390=K390),"ДА","НЕТ")</f>
        <v>ДА</v>
      </c>
      <c r="M390" s="10" t="s">
        <v>1575</v>
      </c>
      <c r="N390" s="10" t="s">
        <v>1575</v>
      </c>
      <c r="O390" s="10">
        <v>7.7285000000000006E-2</v>
      </c>
      <c r="P390" s="10">
        <f t="shared" si="200"/>
        <v>28.794364216379734</v>
      </c>
      <c r="Q390" s="10" t="str">
        <f t="shared" si="201"/>
        <v>NA</v>
      </c>
      <c r="R390" s="10" t="s">
        <v>1575</v>
      </c>
      <c r="S390" s="10" t="s">
        <v>1575</v>
      </c>
      <c r="T390" s="10" t="s">
        <v>1575</v>
      </c>
      <c r="U390" s="10">
        <v>0.61432699999999996</v>
      </c>
      <c r="V390" s="10">
        <v>19.072941</v>
      </c>
      <c r="W390" s="10" t="s">
        <v>1575</v>
      </c>
      <c r="X390" s="10" t="str">
        <f t="shared" si="202"/>
        <v>NA</v>
      </c>
      <c r="Y390" s="10" t="str">
        <f t="shared" si="203"/>
        <v>NA</v>
      </c>
      <c r="Z390" s="10">
        <f t="shared" si="204"/>
        <v>46.871396204919748</v>
      </c>
      <c r="AA390" s="10">
        <f t="shared" si="205"/>
        <v>1.5096971262260883</v>
      </c>
      <c r="AB390" s="10" t="str">
        <f t="shared" si="206"/>
        <v>NA</v>
      </c>
      <c r="AC390" s="10" t="str">
        <f t="shared" si="207"/>
        <v>NA</v>
      </c>
      <c r="AD390" s="10" t="str">
        <f t="shared" si="208"/>
        <v>NA</v>
      </c>
      <c r="AE390" s="10" t="str">
        <f t="shared" si="209"/>
        <v>NA</v>
      </c>
      <c r="AF390" s="1" t="s">
        <v>4734</v>
      </c>
    </row>
    <row r="391" spans="1:32" x14ac:dyDescent="0.2">
      <c r="A391" s="1" t="s">
        <v>4735</v>
      </c>
      <c r="B391" s="1" t="s">
        <v>5</v>
      </c>
      <c r="C391" s="1" t="s">
        <v>4738</v>
      </c>
      <c r="D391" s="1" t="s">
        <v>1580</v>
      </c>
      <c r="E391" s="1" t="s">
        <v>1694</v>
      </c>
      <c r="F391" s="1" t="s">
        <v>68</v>
      </c>
      <c r="G391" s="4">
        <v>3.4000000000000002E-2</v>
      </c>
      <c r="H391" s="28">
        <v>43921</v>
      </c>
      <c r="I391" s="29">
        <f t="shared" si="212"/>
        <v>2020</v>
      </c>
      <c r="J391" s="1" t="s">
        <v>4735</v>
      </c>
      <c r="K391" s="1" t="s">
        <v>7</v>
      </c>
      <c r="L391" s="11" t="str">
        <f t="shared" ref="L391:L392" si="214">IF(OR(A391=J391,A391=K391),"ДА","НЕТ")</f>
        <v>ДА</v>
      </c>
      <c r="M391" s="10" t="s">
        <v>1575</v>
      </c>
      <c r="N391" s="10" t="s">
        <v>1575</v>
      </c>
      <c r="O391" s="10">
        <v>5.2110000000000003</v>
      </c>
      <c r="P391" s="10">
        <f t="shared" si="200"/>
        <v>153.26470588235293</v>
      </c>
      <c r="Q391" s="10" t="str">
        <f t="shared" si="201"/>
        <v>NA</v>
      </c>
      <c r="R391" s="10" t="s">
        <v>1575</v>
      </c>
      <c r="S391" s="10">
        <v>0</v>
      </c>
      <c r="T391" s="10" t="s">
        <v>1575</v>
      </c>
      <c r="U391" s="10">
        <v>30.143000000000001</v>
      </c>
      <c r="V391" s="10">
        <v>139.084</v>
      </c>
      <c r="W391" s="10" t="s">
        <v>1575</v>
      </c>
      <c r="X391" s="10" t="str">
        <f t="shared" si="202"/>
        <v>NA</v>
      </c>
      <c r="Y391" s="10" t="str">
        <f t="shared" si="203"/>
        <v>NA</v>
      </c>
      <c r="Z391" s="10">
        <f t="shared" si="204"/>
        <v>5.0845869980543714</v>
      </c>
      <c r="AA391" s="10">
        <f t="shared" si="205"/>
        <v>1.1019578519625042</v>
      </c>
      <c r="AB391" s="10" t="str">
        <f t="shared" si="206"/>
        <v>NA</v>
      </c>
      <c r="AC391" s="10" t="str">
        <f t="shared" si="207"/>
        <v>NA</v>
      </c>
      <c r="AD391" s="10" t="str">
        <f t="shared" si="208"/>
        <v>NA</v>
      </c>
      <c r="AE391" s="10" t="str">
        <f t="shared" si="209"/>
        <v>NA</v>
      </c>
      <c r="AF391" s="1" t="s">
        <v>4736</v>
      </c>
    </row>
    <row r="392" spans="1:32" x14ac:dyDescent="0.2">
      <c r="A392" s="1" t="s">
        <v>4735</v>
      </c>
      <c r="B392" s="1" t="s">
        <v>5</v>
      </c>
      <c r="C392" s="1" t="s">
        <v>4738</v>
      </c>
      <c r="D392" s="1" t="s">
        <v>1580</v>
      </c>
      <c r="E392" s="1" t="s">
        <v>1694</v>
      </c>
      <c r="F392" s="1" t="s">
        <v>68</v>
      </c>
      <c r="G392" s="4">
        <f>979078325/19694045875</f>
        <v>4.9714433043078307E-2</v>
      </c>
      <c r="H392" s="28">
        <v>43555</v>
      </c>
      <c r="I392" s="29">
        <f t="shared" si="212"/>
        <v>2019</v>
      </c>
      <c r="J392" s="1" t="s">
        <v>7</v>
      </c>
      <c r="K392" s="1" t="s">
        <v>4735</v>
      </c>
      <c r="L392" s="11" t="str">
        <f t="shared" si="214"/>
        <v>ДА</v>
      </c>
      <c r="M392" s="10" t="s">
        <v>1575</v>
      </c>
      <c r="N392" s="10" t="s">
        <v>1575</v>
      </c>
      <c r="O392" s="10">
        <v>6.08</v>
      </c>
      <c r="P392" s="10">
        <f t="shared" si="200"/>
        <v>122.2984881418961</v>
      </c>
      <c r="Q392" s="10" t="str">
        <f t="shared" si="201"/>
        <v>NA</v>
      </c>
      <c r="R392" s="10" t="s">
        <v>1575</v>
      </c>
      <c r="S392" s="10" t="s">
        <v>1575</v>
      </c>
      <c r="T392" s="10" t="s">
        <v>1575</v>
      </c>
      <c r="U392" s="10" t="s">
        <v>1575</v>
      </c>
      <c r="V392" s="10" t="s">
        <v>1575</v>
      </c>
      <c r="W392" s="10" t="s">
        <v>1575</v>
      </c>
      <c r="X392" s="10" t="str">
        <f t="shared" si="202"/>
        <v>NA</v>
      </c>
      <c r="Y392" s="10" t="str">
        <f t="shared" si="203"/>
        <v>NA</v>
      </c>
      <c r="Z392" s="10" t="str">
        <f t="shared" si="204"/>
        <v>NA</v>
      </c>
      <c r="AA392" s="10" t="str">
        <f t="shared" si="205"/>
        <v>NA</v>
      </c>
      <c r="AB392" s="10" t="str">
        <f t="shared" si="206"/>
        <v>NA</v>
      </c>
      <c r="AC392" s="10" t="str">
        <f t="shared" si="207"/>
        <v>NA</v>
      </c>
      <c r="AD392" s="10" t="str">
        <f t="shared" si="208"/>
        <v>NA</v>
      </c>
      <c r="AE392" s="10" t="str">
        <f t="shared" si="209"/>
        <v>NA</v>
      </c>
      <c r="AF392" s="1" t="s">
        <v>4737</v>
      </c>
    </row>
    <row r="393" spans="1:32" x14ac:dyDescent="0.2">
      <c r="A393" s="1" t="s">
        <v>4748</v>
      </c>
      <c r="B393" s="1" t="s">
        <v>1575</v>
      </c>
      <c r="C393" s="1" t="s">
        <v>1575</v>
      </c>
      <c r="D393" s="1" t="s">
        <v>1575</v>
      </c>
      <c r="E393" s="1" t="s">
        <v>1575</v>
      </c>
      <c r="F393" s="1" t="s">
        <v>1575</v>
      </c>
      <c r="G393" s="4">
        <v>1</v>
      </c>
      <c r="H393" s="28">
        <v>43889</v>
      </c>
      <c r="I393" s="29">
        <f t="shared" si="212"/>
        <v>2020</v>
      </c>
      <c r="J393" s="1" t="s">
        <v>7</v>
      </c>
      <c r="K393" s="1" t="s">
        <v>4747</v>
      </c>
      <c r="L393" s="11" t="str">
        <f t="shared" ref="L393:L397" si="215">IF(OR(A393=J393,A393=K393),"ДА","НЕТ")</f>
        <v>НЕТ</v>
      </c>
      <c r="M393" s="10" t="s">
        <v>1575</v>
      </c>
      <c r="N393" s="10" t="s">
        <v>1575</v>
      </c>
      <c r="O393" s="10">
        <v>0.89800000000000002</v>
      </c>
      <c r="P393" s="10">
        <f t="shared" si="200"/>
        <v>0.89800000000000002</v>
      </c>
      <c r="Q393" s="10" t="str">
        <f t="shared" si="201"/>
        <v>NA</v>
      </c>
      <c r="R393" s="10" t="s">
        <v>1575</v>
      </c>
      <c r="S393" s="10" t="s">
        <v>1575</v>
      </c>
      <c r="T393" s="10" t="s">
        <v>1575</v>
      </c>
      <c r="U393" s="10" t="s">
        <v>1575</v>
      </c>
      <c r="V393" s="10">
        <v>0.89800000000000002</v>
      </c>
      <c r="W393" s="10" t="s">
        <v>1575</v>
      </c>
      <c r="X393" s="10" t="str">
        <f t="shared" si="202"/>
        <v>NA</v>
      </c>
      <c r="Y393" s="10" t="str">
        <f t="shared" si="203"/>
        <v>NA</v>
      </c>
      <c r="Z393" s="10" t="str">
        <f t="shared" si="204"/>
        <v>NA</v>
      </c>
      <c r="AA393" s="10">
        <f t="shared" si="205"/>
        <v>1</v>
      </c>
      <c r="AB393" s="10" t="str">
        <f t="shared" si="206"/>
        <v>NA</v>
      </c>
      <c r="AC393" s="10" t="str">
        <f t="shared" si="207"/>
        <v>NA</v>
      </c>
      <c r="AD393" s="10" t="str">
        <f t="shared" si="208"/>
        <v>NA</v>
      </c>
      <c r="AE393" s="10" t="str">
        <f t="shared" si="209"/>
        <v>NA</v>
      </c>
      <c r="AF393" s="1" t="s">
        <v>4741</v>
      </c>
    </row>
    <row r="394" spans="1:32" x14ac:dyDescent="0.2">
      <c r="A394" s="1" t="s">
        <v>4743</v>
      </c>
      <c r="B394" s="1" t="s">
        <v>1575</v>
      </c>
      <c r="C394" s="1" t="s">
        <v>1575</v>
      </c>
      <c r="D394" s="1" t="s">
        <v>1575</v>
      </c>
      <c r="E394" s="1" t="s">
        <v>1575</v>
      </c>
      <c r="F394" s="1" t="s">
        <v>1575</v>
      </c>
      <c r="G394" s="4">
        <v>1</v>
      </c>
      <c r="H394" s="28">
        <v>44196</v>
      </c>
      <c r="I394" s="29">
        <f t="shared" si="212"/>
        <v>2020</v>
      </c>
      <c r="J394" s="1" t="s">
        <v>7</v>
      </c>
      <c r="K394" s="1" t="s">
        <v>4747</v>
      </c>
      <c r="L394" s="11" t="str">
        <f t="shared" si="215"/>
        <v>НЕТ</v>
      </c>
      <c r="M394" s="10" t="s">
        <v>1575</v>
      </c>
      <c r="N394" s="10" t="s">
        <v>1575</v>
      </c>
      <c r="O394" s="10">
        <v>4.9000000000000004</v>
      </c>
      <c r="P394" s="10">
        <f t="shared" si="200"/>
        <v>4.9000000000000004</v>
      </c>
      <c r="Q394" s="10" t="str">
        <f t="shared" si="201"/>
        <v>NA</v>
      </c>
      <c r="R394" s="10" t="s">
        <v>1575</v>
      </c>
      <c r="S394" s="10" t="s">
        <v>1575</v>
      </c>
      <c r="T394" s="10" t="s">
        <v>1575</v>
      </c>
      <c r="U394" s="10" t="s">
        <v>1575</v>
      </c>
      <c r="V394" s="10">
        <v>15.266</v>
      </c>
      <c r="W394" s="10" t="s">
        <v>1575</v>
      </c>
      <c r="X394" s="10" t="str">
        <f t="shared" si="202"/>
        <v>NA</v>
      </c>
      <c r="Y394" s="10" t="str">
        <f t="shared" si="203"/>
        <v>NA</v>
      </c>
      <c r="Z394" s="10" t="str">
        <f t="shared" si="204"/>
        <v>NA</v>
      </c>
      <c r="AA394" s="10">
        <f t="shared" si="205"/>
        <v>0.32097471505305913</v>
      </c>
      <c r="AB394" s="10" t="str">
        <f t="shared" si="206"/>
        <v>NA</v>
      </c>
      <c r="AC394" s="10" t="str">
        <f t="shared" si="207"/>
        <v>NA</v>
      </c>
      <c r="AD394" s="10" t="str">
        <f t="shared" si="208"/>
        <v>NA</v>
      </c>
      <c r="AE394" s="10" t="str">
        <f t="shared" si="209"/>
        <v>NA</v>
      </c>
      <c r="AF394" s="1" t="s">
        <v>4742</v>
      </c>
    </row>
    <row r="395" spans="1:32" x14ac:dyDescent="0.2">
      <c r="A395" s="1" t="s">
        <v>4744</v>
      </c>
      <c r="B395" s="1" t="s">
        <v>5</v>
      </c>
      <c r="C395" s="1" t="s">
        <v>1575</v>
      </c>
      <c r="D395" s="1" t="s">
        <v>1575</v>
      </c>
      <c r="E395" s="1" t="s">
        <v>1575</v>
      </c>
      <c r="F395" s="1" t="s">
        <v>1575</v>
      </c>
      <c r="G395" s="4">
        <v>1</v>
      </c>
      <c r="H395" s="28">
        <v>44196</v>
      </c>
      <c r="I395" s="29">
        <f t="shared" si="212"/>
        <v>2020</v>
      </c>
      <c r="J395" s="1" t="s">
        <v>7</v>
      </c>
      <c r="K395" s="1" t="s">
        <v>4747</v>
      </c>
      <c r="L395" s="11" t="str">
        <f t="shared" si="215"/>
        <v>НЕТ</v>
      </c>
      <c r="M395" s="10" t="s">
        <v>1575</v>
      </c>
      <c r="N395" s="10" t="s">
        <v>1575</v>
      </c>
      <c r="O395" s="10">
        <v>0</v>
      </c>
      <c r="P395" s="10">
        <f t="shared" si="200"/>
        <v>0</v>
      </c>
      <c r="Q395" s="10" t="str">
        <f t="shared" si="201"/>
        <v>NA</v>
      </c>
      <c r="R395" s="10" t="s">
        <v>1575</v>
      </c>
      <c r="S395" s="10" t="s">
        <v>1575</v>
      </c>
      <c r="T395" s="10" t="s">
        <v>1575</v>
      </c>
      <c r="U395" s="10" t="s">
        <v>1575</v>
      </c>
      <c r="V395" s="10">
        <v>-2.581</v>
      </c>
      <c r="W395" s="10" t="s">
        <v>1575</v>
      </c>
      <c r="X395" s="10" t="str">
        <f t="shared" si="202"/>
        <v>NA</v>
      </c>
      <c r="Y395" s="10" t="str">
        <f t="shared" si="203"/>
        <v>NA</v>
      </c>
      <c r="Z395" s="10" t="str">
        <f t="shared" si="204"/>
        <v>NA</v>
      </c>
      <c r="AA395" s="10">
        <f t="shared" si="205"/>
        <v>0</v>
      </c>
      <c r="AB395" s="10" t="str">
        <f t="shared" si="206"/>
        <v>NA</v>
      </c>
      <c r="AC395" s="10" t="str">
        <f t="shared" si="207"/>
        <v>NA</v>
      </c>
      <c r="AD395" s="10" t="str">
        <f t="shared" si="208"/>
        <v>NA</v>
      </c>
      <c r="AE395" s="10" t="str">
        <f t="shared" si="209"/>
        <v>NA</v>
      </c>
      <c r="AF395" s="1" t="s">
        <v>4739</v>
      </c>
    </row>
    <row r="396" spans="1:32" x14ac:dyDescent="0.2">
      <c r="A396" s="1" t="s">
        <v>4745</v>
      </c>
      <c r="B396" s="1" t="s">
        <v>5</v>
      </c>
      <c r="C396" s="1" t="s">
        <v>1575</v>
      </c>
      <c r="D396" s="1" t="s">
        <v>1580</v>
      </c>
      <c r="E396" s="1" t="s">
        <v>1593</v>
      </c>
      <c r="F396" s="1" t="s">
        <v>4746</v>
      </c>
      <c r="G396" s="4">
        <v>1</v>
      </c>
      <c r="H396" s="28">
        <v>44196</v>
      </c>
      <c r="I396" s="29">
        <f t="shared" si="212"/>
        <v>2020</v>
      </c>
      <c r="J396" s="1" t="s">
        <v>7</v>
      </c>
      <c r="K396" s="1" t="s">
        <v>4747</v>
      </c>
      <c r="L396" s="11" t="str">
        <f t="shared" si="215"/>
        <v>НЕТ</v>
      </c>
      <c r="M396" s="10" t="s">
        <v>1575</v>
      </c>
      <c r="N396" s="10" t="s">
        <v>1575</v>
      </c>
      <c r="O396" s="10">
        <v>0.99</v>
      </c>
      <c r="P396" s="10">
        <f t="shared" si="200"/>
        <v>0.99</v>
      </c>
      <c r="Q396" s="10" t="str">
        <f t="shared" si="201"/>
        <v>NA</v>
      </c>
      <c r="R396" s="10" t="s">
        <v>1575</v>
      </c>
      <c r="S396" s="10" t="s">
        <v>1575</v>
      </c>
      <c r="T396" s="10" t="s">
        <v>1575</v>
      </c>
      <c r="U396" s="10" t="s">
        <v>1575</v>
      </c>
      <c r="V396" s="10">
        <v>0.91900000000000004</v>
      </c>
      <c r="W396" s="10" t="s">
        <v>1575</v>
      </c>
      <c r="X396" s="10" t="str">
        <f t="shared" si="202"/>
        <v>NA</v>
      </c>
      <c r="Y396" s="10" t="str">
        <f t="shared" si="203"/>
        <v>NA</v>
      </c>
      <c r="Z396" s="10" t="str">
        <f t="shared" si="204"/>
        <v>NA</v>
      </c>
      <c r="AA396" s="10">
        <f t="shared" si="205"/>
        <v>1.0772578890097932</v>
      </c>
      <c r="AB396" s="10" t="str">
        <f t="shared" si="206"/>
        <v>NA</v>
      </c>
      <c r="AC396" s="10" t="str">
        <f t="shared" si="207"/>
        <v>NA</v>
      </c>
      <c r="AD396" s="10" t="str">
        <f t="shared" si="208"/>
        <v>NA</v>
      </c>
      <c r="AE396" s="10" t="str">
        <f t="shared" si="209"/>
        <v>NA</v>
      </c>
      <c r="AF396" s="1" t="s">
        <v>4740</v>
      </c>
    </row>
    <row r="397" spans="1:32" x14ac:dyDescent="0.2">
      <c r="A397" s="1" t="s">
        <v>5509</v>
      </c>
      <c r="B397" s="1" t="s">
        <v>5</v>
      </c>
      <c r="C397" s="1" t="s">
        <v>1575</v>
      </c>
      <c r="D397" s="1" t="s">
        <v>1813</v>
      </c>
      <c r="E397" s="1" t="s">
        <v>1971</v>
      </c>
      <c r="F397" s="1" t="s">
        <v>3211</v>
      </c>
      <c r="G397" s="4">
        <v>1</v>
      </c>
      <c r="H397" s="28">
        <v>42735</v>
      </c>
      <c r="I397" s="29">
        <f t="shared" ref="I397" si="216">YEAR(H397)</f>
        <v>2016</v>
      </c>
      <c r="J397" s="1" t="s">
        <v>7</v>
      </c>
      <c r="K397" s="1" t="s">
        <v>4747</v>
      </c>
      <c r="L397" s="11" t="str">
        <f t="shared" si="215"/>
        <v>НЕТ</v>
      </c>
      <c r="M397" s="10" t="s">
        <v>1575</v>
      </c>
      <c r="N397" s="10" t="s">
        <v>1575</v>
      </c>
      <c r="O397" s="10" t="s">
        <v>1575</v>
      </c>
      <c r="P397" s="10" t="str">
        <f t="shared" si="200"/>
        <v>NA</v>
      </c>
      <c r="Q397" s="10" t="str">
        <f t="shared" si="201"/>
        <v>NA</v>
      </c>
      <c r="R397" s="10" t="s">
        <v>1575</v>
      </c>
      <c r="S397" s="10" t="s">
        <v>1575</v>
      </c>
      <c r="T397" s="10" t="s">
        <v>1575</v>
      </c>
      <c r="U397" s="10" t="s">
        <v>1575</v>
      </c>
      <c r="V397" s="10">
        <v>0.38400000000000001</v>
      </c>
      <c r="W397" s="10">
        <v>0.25700000000000001</v>
      </c>
      <c r="X397" s="10">
        <f t="shared" si="202"/>
        <v>0.64100000000000001</v>
      </c>
      <c r="Y397" s="10" t="str">
        <f t="shared" si="203"/>
        <v>NA</v>
      </c>
      <c r="Z397" s="10" t="str">
        <f t="shared" si="204"/>
        <v>NA</v>
      </c>
      <c r="AA397" s="10" t="str">
        <f t="shared" si="205"/>
        <v>NA</v>
      </c>
      <c r="AB397" s="10" t="str">
        <f t="shared" si="206"/>
        <v>NA</v>
      </c>
      <c r="AC397" s="10" t="str">
        <f t="shared" si="207"/>
        <v>NA</v>
      </c>
      <c r="AD397" s="10" t="str">
        <f t="shared" si="208"/>
        <v>NA</v>
      </c>
      <c r="AE397" s="10" t="str">
        <f t="shared" si="209"/>
        <v>NA</v>
      </c>
      <c r="AF397" s="1" t="s">
        <v>4751</v>
      </c>
    </row>
    <row r="398" spans="1:32" x14ac:dyDescent="0.2">
      <c r="A398" s="1" t="s">
        <v>5509</v>
      </c>
      <c r="B398" s="1" t="s">
        <v>5</v>
      </c>
      <c r="C398" s="1" t="s">
        <v>1575</v>
      </c>
      <c r="D398" s="1" t="s">
        <v>1813</v>
      </c>
      <c r="E398" s="1" t="s">
        <v>1971</v>
      </c>
      <c r="F398" s="1" t="s">
        <v>3211</v>
      </c>
      <c r="G398" s="4">
        <v>1</v>
      </c>
      <c r="H398" s="28">
        <v>42490</v>
      </c>
      <c r="I398" s="29">
        <f t="shared" si="212"/>
        <v>2016</v>
      </c>
      <c r="J398" s="1" t="s">
        <v>4747</v>
      </c>
      <c r="K398" s="1" t="s">
        <v>7</v>
      </c>
      <c r="L398" s="11" t="str">
        <f t="shared" ref="L398:L399" si="217">IF(OR(A398=J398,A398=K398),"ДА","НЕТ")</f>
        <v>НЕТ</v>
      </c>
      <c r="M398" s="10" t="s">
        <v>1575</v>
      </c>
      <c r="N398" s="10" t="s">
        <v>1575</v>
      </c>
      <c r="O398" s="10">
        <f>0.168+0.151+0.065</f>
        <v>0.38400000000000001</v>
      </c>
      <c r="P398" s="10">
        <f t="shared" si="200"/>
        <v>0.38400000000000001</v>
      </c>
      <c r="Q398" s="10">
        <f t="shared" si="201"/>
        <v>0.64100000000000001</v>
      </c>
      <c r="R398" s="10" t="s">
        <v>1575</v>
      </c>
      <c r="S398" s="10" t="s">
        <v>1575</v>
      </c>
      <c r="T398" s="10" t="s">
        <v>1575</v>
      </c>
      <c r="U398" s="10" t="s">
        <v>1575</v>
      </c>
      <c r="V398" s="10">
        <v>0.38400000000000001</v>
      </c>
      <c r="W398" s="10">
        <v>0.25700000000000001</v>
      </c>
      <c r="X398" s="10">
        <f t="shared" si="202"/>
        <v>0.64100000000000001</v>
      </c>
      <c r="Y398" s="10" t="str">
        <f t="shared" si="203"/>
        <v>NA</v>
      </c>
      <c r="Z398" s="10" t="str">
        <f t="shared" si="204"/>
        <v>NA</v>
      </c>
      <c r="AA398" s="10">
        <f t="shared" si="205"/>
        <v>1</v>
      </c>
      <c r="AB398" s="10" t="str">
        <f t="shared" si="206"/>
        <v>NA</v>
      </c>
      <c r="AC398" s="10" t="str">
        <f t="shared" si="207"/>
        <v>NA</v>
      </c>
      <c r="AD398" s="10" t="str">
        <f t="shared" si="208"/>
        <v>NA</v>
      </c>
      <c r="AE398" s="10">
        <f t="shared" si="209"/>
        <v>1</v>
      </c>
      <c r="AF398" s="1" t="s">
        <v>4749</v>
      </c>
    </row>
    <row r="399" spans="1:32" x14ac:dyDescent="0.2">
      <c r="A399" s="1" t="s">
        <v>4971</v>
      </c>
      <c r="B399" s="1" t="s">
        <v>5</v>
      </c>
      <c r="C399" s="1" t="s">
        <v>1575</v>
      </c>
      <c r="D399" s="1" t="s">
        <v>1580</v>
      </c>
      <c r="E399" s="1" t="s">
        <v>1694</v>
      </c>
      <c r="F399" s="1" t="s">
        <v>68</v>
      </c>
      <c r="G399" s="4">
        <v>0.2036</v>
      </c>
      <c r="H399" s="28">
        <v>42612</v>
      </c>
      <c r="I399" s="29">
        <f t="shared" si="212"/>
        <v>2016</v>
      </c>
      <c r="J399" s="1" t="s">
        <v>7</v>
      </c>
      <c r="K399" s="1" t="s">
        <v>4747</v>
      </c>
      <c r="L399" s="11" t="str">
        <f t="shared" si="217"/>
        <v>НЕТ</v>
      </c>
      <c r="M399" s="10" t="s">
        <v>1575</v>
      </c>
      <c r="N399" s="10" t="s">
        <v>1575</v>
      </c>
      <c r="O399" s="10">
        <v>14.367000000000001</v>
      </c>
      <c r="P399" s="10">
        <f t="shared" si="200"/>
        <v>70.564833005893917</v>
      </c>
      <c r="Q399" s="10" t="str">
        <f t="shared" si="201"/>
        <v>NA</v>
      </c>
      <c r="R399" s="10" t="s">
        <v>1575</v>
      </c>
      <c r="S399" s="10" t="s">
        <v>1575</v>
      </c>
      <c r="T399" s="10" t="s">
        <v>1575</v>
      </c>
      <c r="U399" s="10" t="s">
        <v>1575</v>
      </c>
      <c r="V399" s="10" t="s">
        <v>1575</v>
      </c>
      <c r="W399" s="10" t="s">
        <v>1575</v>
      </c>
      <c r="X399" s="10" t="str">
        <f t="shared" si="202"/>
        <v>NA</v>
      </c>
      <c r="Y399" s="10" t="str">
        <f t="shared" si="203"/>
        <v>NA</v>
      </c>
      <c r="Z399" s="10" t="str">
        <f t="shared" si="204"/>
        <v>NA</v>
      </c>
      <c r="AA399" s="10" t="str">
        <f t="shared" si="205"/>
        <v>NA</v>
      </c>
      <c r="AB399" s="10" t="str">
        <f t="shared" si="206"/>
        <v>NA</v>
      </c>
      <c r="AC399" s="10" t="str">
        <f t="shared" si="207"/>
        <v>NA</v>
      </c>
      <c r="AD399" s="10" t="str">
        <f t="shared" si="208"/>
        <v>NA</v>
      </c>
      <c r="AE399" s="10" t="str">
        <f t="shared" si="209"/>
        <v>NA</v>
      </c>
      <c r="AF399" s="1" t="s">
        <v>4750</v>
      </c>
    </row>
    <row r="400" spans="1:32" x14ac:dyDescent="0.2">
      <c r="A400" s="1" t="s">
        <v>4983</v>
      </c>
      <c r="B400" s="1" t="s">
        <v>5</v>
      </c>
      <c r="C400" s="1" t="s">
        <v>4982</v>
      </c>
      <c r="D400" s="1" t="s">
        <v>1580</v>
      </c>
      <c r="E400" s="1" t="s">
        <v>1694</v>
      </c>
      <c r="F400" s="1" t="s">
        <v>68</v>
      </c>
      <c r="G400" s="4">
        <v>0.995</v>
      </c>
      <c r="H400" s="28">
        <v>42082</v>
      </c>
      <c r="I400" s="29">
        <f t="shared" si="212"/>
        <v>2015</v>
      </c>
      <c r="J400" s="1" t="s">
        <v>4747</v>
      </c>
      <c r="K400" s="1" t="s">
        <v>7</v>
      </c>
      <c r="L400" s="11" t="str">
        <f t="shared" ref="L400:L401" si="218">IF(OR(A400=J400,A400=K400),"ДА","НЕТ")</f>
        <v>НЕТ</v>
      </c>
      <c r="M400" s="10" t="s">
        <v>1575</v>
      </c>
      <c r="N400" s="10" t="s">
        <v>1575</v>
      </c>
      <c r="O400" s="10">
        <v>19.356000000000002</v>
      </c>
      <c r="P400" s="10">
        <f t="shared" si="200"/>
        <v>19.453266331658295</v>
      </c>
      <c r="Q400" s="10" t="str">
        <f t="shared" si="201"/>
        <v>NA</v>
      </c>
      <c r="R400" s="10" t="s">
        <v>1575</v>
      </c>
      <c r="S400" s="10" t="s">
        <v>1575</v>
      </c>
      <c r="T400" s="10" t="s">
        <v>1575</v>
      </c>
      <c r="U400" s="10">
        <v>-5.8672880000000003</v>
      </c>
      <c r="V400" s="10">
        <v>30.300585999999999</v>
      </c>
      <c r="W400" s="10" t="s">
        <v>1575</v>
      </c>
      <c r="X400" s="10" t="str">
        <f t="shared" si="202"/>
        <v>NA</v>
      </c>
      <c r="Y400" s="10" t="str">
        <f t="shared" si="203"/>
        <v>NA</v>
      </c>
      <c r="Z400" s="10">
        <f t="shared" si="204"/>
        <v>-3.3155465236508408</v>
      </c>
      <c r="AA400" s="10">
        <f t="shared" si="205"/>
        <v>0.64200957472103992</v>
      </c>
      <c r="AB400" s="10" t="str">
        <f t="shared" si="206"/>
        <v>NA</v>
      </c>
      <c r="AC400" s="10" t="str">
        <f t="shared" si="207"/>
        <v>NA</v>
      </c>
      <c r="AD400" s="10" t="str">
        <f t="shared" si="208"/>
        <v>NA</v>
      </c>
      <c r="AE400" s="10" t="str">
        <f t="shared" si="209"/>
        <v>NA</v>
      </c>
      <c r="AF400" s="1" t="s">
        <v>4752</v>
      </c>
    </row>
    <row r="401" spans="1:32" x14ac:dyDescent="0.2">
      <c r="A401" s="1" t="s">
        <v>5510</v>
      </c>
      <c r="B401" s="1" t="s">
        <v>5</v>
      </c>
      <c r="C401" s="1" t="s">
        <v>1575</v>
      </c>
      <c r="D401" s="1" t="s">
        <v>1580</v>
      </c>
      <c r="E401" s="1" t="s">
        <v>1587</v>
      </c>
      <c r="F401" s="1" t="s">
        <v>4756</v>
      </c>
      <c r="G401" s="4">
        <v>1</v>
      </c>
      <c r="H401" s="28">
        <v>42338</v>
      </c>
      <c r="I401" s="29">
        <f t="shared" si="212"/>
        <v>2015</v>
      </c>
      <c r="J401" s="1" t="s">
        <v>7</v>
      </c>
      <c r="K401" s="1" t="s">
        <v>4747</v>
      </c>
      <c r="L401" s="11" t="str">
        <f t="shared" si="218"/>
        <v>НЕТ</v>
      </c>
      <c r="M401" s="10" t="s">
        <v>1575</v>
      </c>
      <c r="N401" s="10" t="s">
        <v>1575</v>
      </c>
      <c r="O401" s="10">
        <v>0</v>
      </c>
      <c r="P401" s="10">
        <f t="shared" si="200"/>
        <v>0</v>
      </c>
      <c r="Q401" s="10" t="str">
        <f t="shared" si="201"/>
        <v>NA</v>
      </c>
      <c r="R401" s="10" t="s">
        <v>1575</v>
      </c>
      <c r="S401" s="10" t="s">
        <v>1575</v>
      </c>
      <c r="T401" s="10" t="s">
        <v>1575</v>
      </c>
      <c r="U401" s="10" t="s">
        <v>1575</v>
      </c>
      <c r="V401" s="10">
        <v>-0.249</v>
      </c>
      <c r="W401" s="10" t="s">
        <v>1575</v>
      </c>
      <c r="X401" s="10" t="str">
        <f t="shared" si="202"/>
        <v>NA</v>
      </c>
      <c r="Y401" s="10" t="str">
        <f t="shared" si="203"/>
        <v>NA</v>
      </c>
      <c r="Z401" s="10" t="str">
        <f t="shared" si="204"/>
        <v>NA</v>
      </c>
      <c r="AA401" s="10">
        <f t="shared" si="205"/>
        <v>0</v>
      </c>
      <c r="AB401" s="10" t="str">
        <f t="shared" si="206"/>
        <v>NA</v>
      </c>
      <c r="AC401" s="10" t="str">
        <f t="shared" si="207"/>
        <v>NA</v>
      </c>
      <c r="AD401" s="10" t="str">
        <f t="shared" si="208"/>
        <v>NA</v>
      </c>
      <c r="AE401" s="10" t="str">
        <f t="shared" si="209"/>
        <v>NA</v>
      </c>
      <c r="AF401" s="1" t="s">
        <v>4753</v>
      </c>
    </row>
    <row r="402" spans="1:32" x14ac:dyDescent="0.2">
      <c r="A402" s="1" t="s">
        <v>4754</v>
      </c>
      <c r="B402" s="1" t="s">
        <v>179</v>
      </c>
      <c r="C402" s="1" t="s">
        <v>1575</v>
      </c>
      <c r="D402" s="1" t="s">
        <v>1580</v>
      </c>
      <c r="E402" s="1" t="s">
        <v>1593</v>
      </c>
      <c r="F402" s="1" t="s">
        <v>907</v>
      </c>
      <c r="G402" s="4">
        <v>1</v>
      </c>
      <c r="H402" s="28">
        <v>42369</v>
      </c>
      <c r="I402" s="29">
        <f t="shared" si="212"/>
        <v>2015</v>
      </c>
      <c r="J402" s="1" t="s">
        <v>4747</v>
      </c>
      <c r="K402" s="1" t="s">
        <v>7</v>
      </c>
      <c r="L402" s="11" t="str">
        <f t="shared" ref="L402" si="219">IF(OR(A402=J402,A402=K402),"ДА","НЕТ")</f>
        <v>НЕТ</v>
      </c>
      <c r="M402" s="10" t="s">
        <v>1575</v>
      </c>
      <c r="N402" s="10" t="s">
        <v>1575</v>
      </c>
      <c r="O402" s="10">
        <f>0+0.25</f>
        <v>0.25</v>
      </c>
      <c r="P402" s="10">
        <f t="shared" si="200"/>
        <v>0.25</v>
      </c>
      <c r="Q402" s="10">
        <f t="shared" si="201"/>
        <v>0.64700000000000002</v>
      </c>
      <c r="R402" s="10" t="s">
        <v>1575</v>
      </c>
      <c r="S402" s="10" t="s">
        <v>1575</v>
      </c>
      <c r="T402" s="10" t="s">
        <v>1575</v>
      </c>
      <c r="U402" s="10" t="s">
        <v>1575</v>
      </c>
      <c r="V402" s="10">
        <v>1.2889999999999999</v>
      </c>
      <c r="W402" s="10">
        <v>0.39700000000000002</v>
      </c>
      <c r="X402" s="10">
        <f t="shared" si="202"/>
        <v>1.6859999999999999</v>
      </c>
      <c r="Y402" s="10" t="str">
        <f t="shared" si="203"/>
        <v>NA</v>
      </c>
      <c r="Z402" s="10" t="str">
        <f t="shared" si="204"/>
        <v>NA</v>
      </c>
      <c r="AA402" s="10">
        <f t="shared" si="205"/>
        <v>0.19394879751745539</v>
      </c>
      <c r="AB402" s="10" t="str">
        <f t="shared" si="206"/>
        <v>NA</v>
      </c>
      <c r="AC402" s="10" t="str">
        <f t="shared" si="207"/>
        <v>NA</v>
      </c>
      <c r="AD402" s="10" t="str">
        <f t="shared" si="208"/>
        <v>NA</v>
      </c>
      <c r="AE402" s="10">
        <f t="shared" si="209"/>
        <v>0.38374851720047454</v>
      </c>
      <c r="AF402" s="1" t="s">
        <v>4755</v>
      </c>
    </row>
    <row r="403" spans="1:32" x14ac:dyDescent="0.2">
      <c r="A403" s="1" t="s">
        <v>5511</v>
      </c>
      <c r="B403" s="1" t="s">
        <v>5</v>
      </c>
      <c r="C403" s="1" t="s">
        <v>1575</v>
      </c>
      <c r="D403" s="1" t="s">
        <v>1584</v>
      </c>
      <c r="E403" s="1" t="s">
        <v>1586</v>
      </c>
      <c r="F403" s="1" t="s">
        <v>4746</v>
      </c>
      <c r="G403" s="4" t="s">
        <v>11</v>
      </c>
      <c r="H403" s="28">
        <v>43921</v>
      </c>
      <c r="I403" s="29">
        <f t="shared" si="212"/>
        <v>2020</v>
      </c>
      <c r="J403" s="1" t="s">
        <v>7</v>
      </c>
      <c r="K403" s="1" t="s">
        <v>4757</v>
      </c>
      <c r="L403" s="11" t="str">
        <f t="shared" ref="L403" si="220">IF(OR(A403=J403,A403=K403),"ДА","НЕТ")</f>
        <v>НЕТ</v>
      </c>
      <c r="M403" s="10" t="s">
        <v>1575</v>
      </c>
      <c r="N403" s="10" t="s">
        <v>1575</v>
      </c>
      <c r="O403" s="10" t="s">
        <v>1575</v>
      </c>
      <c r="P403" s="10" t="str">
        <f t="shared" si="200"/>
        <v>NA</v>
      </c>
      <c r="Q403" s="10" t="str">
        <f t="shared" si="201"/>
        <v>NA</v>
      </c>
      <c r="R403" s="10" t="s">
        <v>1575</v>
      </c>
      <c r="S403" s="10" t="s">
        <v>1575</v>
      </c>
      <c r="T403" s="10" t="s">
        <v>1575</v>
      </c>
      <c r="U403" s="10" t="s">
        <v>1575</v>
      </c>
      <c r="V403" s="10" t="s">
        <v>1575</v>
      </c>
      <c r="W403" s="10" t="s">
        <v>1575</v>
      </c>
      <c r="X403" s="10" t="str">
        <f t="shared" si="202"/>
        <v>NA</v>
      </c>
      <c r="Y403" s="10" t="str">
        <f t="shared" si="203"/>
        <v>NA</v>
      </c>
      <c r="Z403" s="10" t="str">
        <f t="shared" si="204"/>
        <v>NA</v>
      </c>
      <c r="AA403" s="10" t="str">
        <f t="shared" si="205"/>
        <v>NA</v>
      </c>
      <c r="AB403" s="10" t="str">
        <f t="shared" si="206"/>
        <v>NA</v>
      </c>
      <c r="AC403" s="10" t="str">
        <f t="shared" si="207"/>
        <v>NA</v>
      </c>
      <c r="AD403" s="10" t="str">
        <f t="shared" si="208"/>
        <v>NA</v>
      </c>
      <c r="AE403" s="10" t="str">
        <f t="shared" si="209"/>
        <v>NA</v>
      </c>
      <c r="AF403" s="1" t="s">
        <v>4758</v>
      </c>
    </row>
    <row r="404" spans="1:32" x14ac:dyDescent="0.2">
      <c r="A404" s="1" t="s">
        <v>5512</v>
      </c>
      <c r="B404" s="1" t="s">
        <v>5</v>
      </c>
      <c r="C404" s="1" t="s">
        <v>1575</v>
      </c>
      <c r="D404" s="1" t="s">
        <v>1580</v>
      </c>
      <c r="E404" s="1" t="s">
        <v>2057</v>
      </c>
      <c r="F404" s="1" t="s">
        <v>434</v>
      </c>
      <c r="G404" s="4">
        <v>0.9</v>
      </c>
      <c r="H404" s="28">
        <v>44012</v>
      </c>
      <c r="I404" s="29">
        <f t="shared" si="212"/>
        <v>2020</v>
      </c>
      <c r="J404" s="1" t="s">
        <v>4757</v>
      </c>
      <c r="K404" s="1" t="s">
        <v>7</v>
      </c>
      <c r="L404" s="11" t="str">
        <f t="shared" ref="L404" si="221">IF(OR(A404=J404,A404=K404),"ДА","НЕТ")</f>
        <v>НЕТ</v>
      </c>
      <c r="M404" s="10" t="s">
        <v>1575</v>
      </c>
      <c r="N404" s="10" t="s">
        <v>1575</v>
      </c>
      <c r="O404" s="10">
        <v>0</v>
      </c>
      <c r="P404" s="10">
        <f t="shared" si="200"/>
        <v>0</v>
      </c>
      <c r="Q404" s="10" t="str">
        <f t="shared" si="201"/>
        <v>NA</v>
      </c>
      <c r="R404" s="10" t="s">
        <v>1575</v>
      </c>
      <c r="S404" s="10" t="s">
        <v>1575</v>
      </c>
      <c r="T404" s="10" t="s">
        <v>1575</v>
      </c>
      <c r="U404" s="10">
        <v>0.38348599999999999</v>
      </c>
      <c r="V404" s="10">
        <v>2.3067359999999999</v>
      </c>
      <c r="W404" s="10" t="s">
        <v>1575</v>
      </c>
      <c r="X404" s="10" t="str">
        <f t="shared" si="202"/>
        <v>NA</v>
      </c>
      <c r="Y404" s="10" t="str">
        <f t="shared" si="203"/>
        <v>NA</v>
      </c>
      <c r="Z404" s="10">
        <f t="shared" si="204"/>
        <v>0</v>
      </c>
      <c r="AA404" s="10">
        <f t="shared" si="205"/>
        <v>0</v>
      </c>
      <c r="AB404" s="10" t="str">
        <f t="shared" si="206"/>
        <v>NA</v>
      </c>
      <c r="AC404" s="10" t="str">
        <f t="shared" si="207"/>
        <v>NA</v>
      </c>
      <c r="AD404" s="10" t="str">
        <f t="shared" si="208"/>
        <v>NA</v>
      </c>
      <c r="AE404" s="10" t="str">
        <f t="shared" si="209"/>
        <v>NA</v>
      </c>
      <c r="AF404" s="1" t="s">
        <v>4759</v>
      </c>
    </row>
    <row r="405" spans="1:32" x14ac:dyDescent="0.2">
      <c r="A405" s="1" t="s">
        <v>5513</v>
      </c>
      <c r="B405" s="1" t="s">
        <v>5</v>
      </c>
      <c r="C405" s="1" t="s">
        <v>1575</v>
      </c>
      <c r="D405" s="1" t="s">
        <v>1580</v>
      </c>
      <c r="E405" s="1" t="s">
        <v>1593</v>
      </c>
      <c r="F405" s="1" t="s">
        <v>4144</v>
      </c>
      <c r="G405" s="4">
        <v>1</v>
      </c>
      <c r="H405" s="28">
        <v>44104</v>
      </c>
      <c r="I405" s="29">
        <f t="shared" si="212"/>
        <v>2020</v>
      </c>
      <c r="J405" s="1" t="s">
        <v>4757</v>
      </c>
      <c r="K405" s="1" t="s">
        <v>7</v>
      </c>
      <c r="L405" s="11" t="str">
        <f t="shared" ref="L405:L406" si="222">IF(OR(A405=J405,A405=K405),"ДА","НЕТ")</f>
        <v>НЕТ</v>
      </c>
      <c r="M405" s="10" t="s">
        <v>1575</v>
      </c>
      <c r="N405" s="10" t="s">
        <v>1575</v>
      </c>
      <c r="O405" s="10">
        <v>0.40500000000000003</v>
      </c>
      <c r="P405" s="10">
        <f t="shared" si="200"/>
        <v>0.40500000000000003</v>
      </c>
      <c r="Q405" s="10" t="str">
        <f t="shared" si="201"/>
        <v>NA</v>
      </c>
      <c r="R405" s="10" t="s">
        <v>1575</v>
      </c>
      <c r="S405" s="10" t="s">
        <v>1575</v>
      </c>
      <c r="T405" s="10" t="s">
        <v>1575</v>
      </c>
      <c r="U405" s="10">
        <v>2.2391000000000001E-2</v>
      </c>
      <c r="V405" s="10">
        <v>0.26215899999999998</v>
      </c>
      <c r="W405" s="10" t="s">
        <v>1575</v>
      </c>
      <c r="X405" s="10" t="str">
        <f t="shared" si="202"/>
        <v>NA</v>
      </c>
      <c r="Y405" s="10" t="str">
        <f t="shared" si="203"/>
        <v>NA</v>
      </c>
      <c r="Z405" s="10">
        <f t="shared" si="204"/>
        <v>18.087624491983387</v>
      </c>
      <c r="AA405" s="10">
        <f t="shared" si="205"/>
        <v>1.5448639947512772</v>
      </c>
      <c r="AB405" s="10" t="str">
        <f t="shared" si="206"/>
        <v>NA</v>
      </c>
      <c r="AC405" s="10" t="str">
        <f t="shared" si="207"/>
        <v>NA</v>
      </c>
      <c r="AD405" s="10" t="str">
        <f t="shared" si="208"/>
        <v>NA</v>
      </c>
      <c r="AE405" s="10" t="str">
        <f t="shared" si="209"/>
        <v>NA</v>
      </c>
      <c r="AF405" s="1" t="s">
        <v>4760</v>
      </c>
    </row>
    <row r="406" spans="1:32" x14ac:dyDescent="0.2">
      <c r="A406" s="1" t="s">
        <v>5514</v>
      </c>
      <c r="B406" s="1" t="s">
        <v>5</v>
      </c>
      <c r="C406" s="1" t="s">
        <v>1575</v>
      </c>
      <c r="D406" s="1" t="s">
        <v>1575</v>
      </c>
      <c r="E406" s="1" t="s">
        <v>1575</v>
      </c>
      <c r="F406" s="1" t="s">
        <v>1575</v>
      </c>
      <c r="G406" s="4" t="s">
        <v>11</v>
      </c>
      <c r="H406" s="28">
        <v>43676</v>
      </c>
      <c r="I406" s="29">
        <f t="shared" si="212"/>
        <v>2019</v>
      </c>
      <c r="J406" s="1" t="s">
        <v>7</v>
      </c>
      <c r="K406" s="1" t="s">
        <v>4757</v>
      </c>
      <c r="L406" s="11" t="str">
        <f t="shared" si="222"/>
        <v>НЕТ</v>
      </c>
      <c r="M406" s="10" t="s">
        <v>1575</v>
      </c>
      <c r="N406" s="10" t="s">
        <v>1575</v>
      </c>
      <c r="O406" s="10" t="s">
        <v>1575</v>
      </c>
      <c r="P406" s="10" t="str">
        <f t="shared" si="200"/>
        <v>NA</v>
      </c>
      <c r="Q406" s="10" t="str">
        <f t="shared" si="201"/>
        <v>NA</v>
      </c>
      <c r="R406" s="10" t="s">
        <v>1575</v>
      </c>
      <c r="S406" s="10" t="s">
        <v>1575</v>
      </c>
      <c r="T406" s="10" t="s">
        <v>1575</v>
      </c>
      <c r="U406" s="10" t="s">
        <v>1575</v>
      </c>
      <c r="V406" s="10" t="s">
        <v>1575</v>
      </c>
      <c r="W406" s="10" t="s">
        <v>1575</v>
      </c>
      <c r="X406" s="10" t="str">
        <f t="shared" si="202"/>
        <v>NA</v>
      </c>
      <c r="Y406" s="10" t="str">
        <f t="shared" si="203"/>
        <v>NA</v>
      </c>
      <c r="Z406" s="10" t="str">
        <f t="shared" si="204"/>
        <v>NA</v>
      </c>
      <c r="AA406" s="10" t="str">
        <f t="shared" si="205"/>
        <v>NA</v>
      </c>
      <c r="AB406" s="10" t="str">
        <f t="shared" si="206"/>
        <v>NA</v>
      </c>
      <c r="AC406" s="10" t="str">
        <f t="shared" si="207"/>
        <v>NA</v>
      </c>
      <c r="AD406" s="10" t="str">
        <f t="shared" si="208"/>
        <v>NA</v>
      </c>
      <c r="AE406" s="10" t="str">
        <f t="shared" si="209"/>
        <v>NA</v>
      </c>
      <c r="AF406" s="1" t="s">
        <v>4761</v>
      </c>
    </row>
    <row r="407" spans="1:32" x14ac:dyDescent="0.2">
      <c r="A407" s="1" t="s">
        <v>5514</v>
      </c>
      <c r="B407" s="1" t="s">
        <v>5</v>
      </c>
      <c r="C407" s="1" t="s">
        <v>1575</v>
      </c>
      <c r="D407" s="1" t="s">
        <v>1575</v>
      </c>
      <c r="E407" s="1" t="s">
        <v>1575</v>
      </c>
      <c r="F407" s="1" t="s">
        <v>1575</v>
      </c>
      <c r="G407" s="4" t="s">
        <v>11</v>
      </c>
      <c r="H407" s="28">
        <v>43524</v>
      </c>
      <c r="I407" s="29">
        <f t="shared" si="212"/>
        <v>2019</v>
      </c>
      <c r="J407" s="1" t="s">
        <v>4757</v>
      </c>
      <c r="K407" s="1" t="s">
        <v>7</v>
      </c>
      <c r="L407" s="11" t="str">
        <f t="shared" ref="L407" si="223">IF(OR(A407=J407,A407=K407),"ДА","НЕТ")</f>
        <v>НЕТ</v>
      </c>
      <c r="M407" s="10" t="s">
        <v>1575</v>
      </c>
      <c r="N407" s="10" t="s">
        <v>1575</v>
      </c>
      <c r="O407" s="10" t="s">
        <v>1575</v>
      </c>
      <c r="P407" s="10" t="str">
        <f t="shared" si="200"/>
        <v>NA</v>
      </c>
      <c r="Q407" s="10" t="str">
        <f t="shared" si="201"/>
        <v>NA</v>
      </c>
      <c r="R407" s="10" t="s">
        <v>1575</v>
      </c>
      <c r="S407" s="10" t="s">
        <v>1575</v>
      </c>
      <c r="T407" s="10" t="s">
        <v>1575</v>
      </c>
      <c r="U407" s="10" t="s">
        <v>1575</v>
      </c>
      <c r="V407" s="10" t="s">
        <v>1575</v>
      </c>
      <c r="W407" s="10" t="s">
        <v>1575</v>
      </c>
      <c r="X407" s="10" t="str">
        <f t="shared" si="202"/>
        <v>NA</v>
      </c>
      <c r="Y407" s="10" t="str">
        <f t="shared" si="203"/>
        <v>NA</v>
      </c>
      <c r="Z407" s="10" t="str">
        <f t="shared" si="204"/>
        <v>NA</v>
      </c>
      <c r="AA407" s="10" t="str">
        <f t="shared" si="205"/>
        <v>NA</v>
      </c>
      <c r="AB407" s="10" t="str">
        <f t="shared" si="206"/>
        <v>NA</v>
      </c>
      <c r="AC407" s="10" t="str">
        <f t="shared" si="207"/>
        <v>NA</v>
      </c>
      <c r="AD407" s="10" t="str">
        <f t="shared" si="208"/>
        <v>NA</v>
      </c>
      <c r="AE407" s="10" t="str">
        <f t="shared" si="209"/>
        <v>NA</v>
      </c>
      <c r="AF407" s="1" t="s">
        <v>4762</v>
      </c>
    </row>
    <row r="408" spans="1:32" x14ac:dyDescent="0.2">
      <c r="A408" s="1" t="s">
        <v>5511</v>
      </c>
      <c r="B408" s="1" t="s">
        <v>5</v>
      </c>
      <c r="C408" s="1" t="s">
        <v>1575</v>
      </c>
      <c r="D408" s="1" t="s">
        <v>1584</v>
      </c>
      <c r="E408" s="1" t="s">
        <v>1586</v>
      </c>
      <c r="F408" s="1" t="s">
        <v>4746</v>
      </c>
      <c r="G408" s="4">
        <f>100%-99.98%</f>
        <v>1.9999999999997797E-4</v>
      </c>
      <c r="H408" s="28">
        <v>43465</v>
      </c>
      <c r="I408" s="29">
        <f t="shared" si="212"/>
        <v>2018</v>
      </c>
      <c r="J408" s="1" t="s">
        <v>4757</v>
      </c>
      <c r="K408" s="1" t="s">
        <v>7</v>
      </c>
      <c r="L408" s="11" t="str">
        <f t="shared" ref="L408:L409" si="224">IF(OR(A408=J408,A408=K408),"ДА","НЕТ")</f>
        <v>НЕТ</v>
      </c>
      <c r="M408" s="10" t="s">
        <v>1575</v>
      </c>
      <c r="N408" s="10" t="s">
        <v>1575</v>
      </c>
      <c r="O408" s="10" t="s">
        <v>1575</v>
      </c>
      <c r="P408" s="10" t="str">
        <f t="shared" si="200"/>
        <v>NA</v>
      </c>
      <c r="Q408" s="10" t="str">
        <f t="shared" si="201"/>
        <v>NA</v>
      </c>
      <c r="R408" s="10" t="s">
        <v>1575</v>
      </c>
      <c r="S408" s="10" t="s">
        <v>1575</v>
      </c>
      <c r="T408" s="10" t="s">
        <v>1575</v>
      </c>
      <c r="U408" s="10" t="s">
        <v>1575</v>
      </c>
      <c r="V408" s="10" t="s">
        <v>1575</v>
      </c>
      <c r="W408" s="10" t="s">
        <v>1575</v>
      </c>
      <c r="X408" s="10" t="str">
        <f t="shared" si="202"/>
        <v>NA</v>
      </c>
      <c r="Y408" s="10" t="str">
        <f t="shared" si="203"/>
        <v>NA</v>
      </c>
      <c r="Z408" s="10" t="str">
        <f t="shared" si="204"/>
        <v>NA</v>
      </c>
      <c r="AA408" s="10" t="str">
        <f t="shared" si="205"/>
        <v>NA</v>
      </c>
      <c r="AB408" s="10" t="str">
        <f t="shared" si="206"/>
        <v>NA</v>
      </c>
      <c r="AC408" s="10" t="str">
        <f t="shared" si="207"/>
        <v>NA</v>
      </c>
      <c r="AD408" s="10" t="str">
        <f t="shared" si="208"/>
        <v>NA</v>
      </c>
      <c r="AE408" s="10" t="str">
        <f t="shared" si="209"/>
        <v>NA</v>
      </c>
      <c r="AF408" s="1" t="s">
        <v>4763</v>
      </c>
    </row>
    <row r="409" spans="1:32" x14ac:dyDescent="0.2">
      <c r="A409" s="1" t="s">
        <v>5515</v>
      </c>
      <c r="B409" s="1" t="s">
        <v>5</v>
      </c>
      <c r="C409" s="1" t="s">
        <v>1575</v>
      </c>
      <c r="D409" s="1" t="s">
        <v>1584</v>
      </c>
      <c r="E409" s="1" t="s">
        <v>1586</v>
      </c>
      <c r="F409" s="1" t="s">
        <v>4768</v>
      </c>
      <c r="G409" s="4" t="s">
        <v>11</v>
      </c>
      <c r="H409" s="28">
        <v>43131</v>
      </c>
      <c r="I409" s="29">
        <f t="shared" si="212"/>
        <v>2018</v>
      </c>
      <c r="J409" s="1" t="s">
        <v>7</v>
      </c>
      <c r="K409" s="1" t="s">
        <v>4757</v>
      </c>
      <c r="L409" s="11" t="str">
        <f t="shared" si="224"/>
        <v>НЕТ</v>
      </c>
      <c r="M409" s="10" t="s">
        <v>1575</v>
      </c>
      <c r="N409" s="10" t="s">
        <v>1575</v>
      </c>
      <c r="O409" s="10">
        <v>5.992</v>
      </c>
      <c r="P409" s="10" t="str">
        <f t="shared" si="200"/>
        <v>NA</v>
      </c>
      <c r="Q409" s="10" t="str">
        <f t="shared" si="201"/>
        <v>NA</v>
      </c>
      <c r="R409" s="10" t="s">
        <v>1575</v>
      </c>
      <c r="S409" s="10" t="s">
        <v>1575</v>
      </c>
      <c r="T409" s="10" t="s">
        <v>1575</v>
      </c>
      <c r="U409" s="10" t="s">
        <v>1575</v>
      </c>
      <c r="V409" s="10">
        <v>5.9236430000000002</v>
      </c>
      <c r="W409" s="10" t="s">
        <v>1575</v>
      </c>
      <c r="X409" s="10" t="str">
        <f t="shared" si="202"/>
        <v>NA</v>
      </c>
      <c r="Y409" s="10" t="str">
        <f t="shared" si="203"/>
        <v>NA</v>
      </c>
      <c r="Z409" s="10" t="str">
        <f t="shared" si="204"/>
        <v>NA</v>
      </c>
      <c r="AA409" s="10" t="str">
        <f t="shared" si="205"/>
        <v>NA</v>
      </c>
      <c r="AB409" s="10" t="str">
        <f t="shared" si="206"/>
        <v>NA</v>
      </c>
      <c r="AC409" s="10" t="str">
        <f t="shared" si="207"/>
        <v>NA</v>
      </c>
      <c r="AD409" s="10" t="str">
        <f t="shared" si="208"/>
        <v>NA</v>
      </c>
      <c r="AE409" s="10" t="str">
        <f t="shared" si="209"/>
        <v>NA</v>
      </c>
      <c r="AF409" s="1" t="s">
        <v>4765</v>
      </c>
    </row>
    <row r="410" spans="1:32" x14ac:dyDescent="0.2">
      <c r="A410" s="1" t="s">
        <v>5516</v>
      </c>
      <c r="B410" s="1" t="s">
        <v>5</v>
      </c>
      <c r="C410" s="1" t="s">
        <v>1575</v>
      </c>
      <c r="D410" s="1" t="s">
        <v>1584</v>
      </c>
      <c r="E410" s="1" t="s">
        <v>1586</v>
      </c>
      <c r="F410" s="1" t="s">
        <v>4768</v>
      </c>
      <c r="G410" s="4">
        <v>0.99539999999999995</v>
      </c>
      <c r="H410" s="28">
        <v>42886</v>
      </c>
      <c r="I410" s="29">
        <f t="shared" si="212"/>
        <v>2017</v>
      </c>
      <c r="J410" s="1" t="s">
        <v>7</v>
      </c>
      <c r="K410" s="1" t="s">
        <v>4757</v>
      </c>
      <c r="L410" s="11" t="str">
        <f t="shared" ref="L410:L412" si="225">IF(OR(A410=J410,A410=K410),"ДА","НЕТ")</f>
        <v>НЕТ</v>
      </c>
      <c r="M410" s="10" t="s">
        <v>1575</v>
      </c>
      <c r="N410" s="10" t="s">
        <v>1575</v>
      </c>
      <c r="O410" s="10" t="s">
        <v>1575</v>
      </c>
      <c r="P410" s="10" t="str">
        <f t="shared" si="200"/>
        <v>NA</v>
      </c>
      <c r="Q410" s="10" t="str">
        <f t="shared" si="201"/>
        <v>NA</v>
      </c>
      <c r="R410" s="10" t="s">
        <v>1575</v>
      </c>
      <c r="S410" s="10" t="s">
        <v>1575</v>
      </c>
      <c r="T410" s="10" t="s">
        <v>1575</v>
      </c>
      <c r="U410" s="10" t="s">
        <v>1575</v>
      </c>
      <c r="V410" s="10" t="s">
        <v>1575</v>
      </c>
      <c r="W410" s="10" t="s">
        <v>1575</v>
      </c>
      <c r="X410" s="10" t="str">
        <f t="shared" si="202"/>
        <v>NA</v>
      </c>
      <c r="Y410" s="10" t="str">
        <f t="shared" si="203"/>
        <v>NA</v>
      </c>
      <c r="Z410" s="10" t="str">
        <f t="shared" si="204"/>
        <v>NA</v>
      </c>
      <c r="AA410" s="10" t="str">
        <f t="shared" si="205"/>
        <v>NA</v>
      </c>
      <c r="AB410" s="10" t="str">
        <f t="shared" si="206"/>
        <v>NA</v>
      </c>
      <c r="AC410" s="10" t="str">
        <f t="shared" si="207"/>
        <v>NA</v>
      </c>
      <c r="AD410" s="10" t="str">
        <f t="shared" si="208"/>
        <v>NA</v>
      </c>
      <c r="AE410" s="10" t="str">
        <f t="shared" si="209"/>
        <v>NA</v>
      </c>
      <c r="AF410" s="1" t="s">
        <v>4769</v>
      </c>
    </row>
    <row r="411" spans="1:32" x14ac:dyDescent="0.2">
      <c r="A411" s="1" t="s">
        <v>5517</v>
      </c>
      <c r="B411" s="1" t="s">
        <v>5</v>
      </c>
      <c r="C411" s="1" t="s">
        <v>1575</v>
      </c>
      <c r="D411" s="1" t="s">
        <v>1584</v>
      </c>
      <c r="E411" s="1" t="s">
        <v>1586</v>
      </c>
      <c r="F411" s="1" t="s">
        <v>4746</v>
      </c>
      <c r="G411" s="4">
        <v>1</v>
      </c>
      <c r="H411" s="28">
        <v>42886</v>
      </c>
      <c r="I411" s="29">
        <f t="shared" si="212"/>
        <v>2017</v>
      </c>
      <c r="J411" s="1" t="s">
        <v>4757</v>
      </c>
      <c r="K411" s="1" t="s">
        <v>7</v>
      </c>
      <c r="L411" s="11" t="str">
        <f t="shared" si="225"/>
        <v>НЕТ</v>
      </c>
      <c r="M411" s="10" t="s">
        <v>1575</v>
      </c>
      <c r="N411" s="10" t="s">
        <v>1575</v>
      </c>
      <c r="O411" s="10" t="s">
        <v>1575</v>
      </c>
      <c r="P411" s="10" t="str">
        <f t="shared" si="200"/>
        <v>NA</v>
      </c>
      <c r="Q411" s="10" t="str">
        <f t="shared" si="201"/>
        <v>NA</v>
      </c>
      <c r="R411" s="10" t="s">
        <v>1575</v>
      </c>
      <c r="S411" s="10" t="s">
        <v>1575</v>
      </c>
      <c r="T411" s="10" t="s">
        <v>1575</v>
      </c>
      <c r="U411" s="10" t="s">
        <v>1575</v>
      </c>
      <c r="V411" s="10" t="s">
        <v>1575</v>
      </c>
      <c r="W411" s="10" t="s">
        <v>1575</v>
      </c>
      <c r="X411" s="10" t="str">
        <f t="shared" si="202"/>
        <v>NA</v>
      </c>
      <c r="Y411" s="10" t="str">
        <f t="shared" si="203"/>
        <v>NA</v>
      </c>
      <c r="Z411" s="10" t="str">
        <f t="shared" si="204"/>
        <v>NA</v>
      </c>
      <c r="AA411" s="10" t="str">
        <f t="shared" si="205"/>
        <v>NA</v>
      </c>
      <c r="AB411" s="10" t="str">
        <f t="shared" si="206"/>
        <v>NA</v>
      </c>
      <c r="AC411" s="10" t="str">
        <f t="shared" si="207"/>
        <v>NA</v>
      </c>
      <c r="AD411" s="10" t="str">
        <f t="shared" si="208"/>
        <v>NA</v>
      </c>
      <c r="AE411" s="10" t="str">
        <f t="shared" si="209"/>
        <v>NA</v>
      </c>
      <c r="AF411" s="1" t="s">
        <v>4770</v>
      </c>
    </row>
    <row r="412" spans="1:32" x14ac:dyDescent="0.2">
      <c r="A412" s="1" t="s">
        <v>5518</v>
      </c>
      <c r="B412" s="1" t="s">
        <v>5</v>
      </c>
      <c r="C412" s="1" t="s">
        <v>1575</v>
      </c>
      <c r="D412" s="1" t="s">
        <v>1584</v>
      </c>
      <c r="E412" s="1" t="s">
        <v>1586</v>
      </c>
      <c r="F412" s="1" t="s">
        <v>4768</v>
      </c>
      <c r="G412" s="4">
        <v>1</v>
      </c>
      <c r="H412" s="28">
        <v>43100</v>
      </c>
      <c r="I412" s="29">
        <f t="shared" ref="I412:I419" si="226">YEAR(H412)</f>
        <v>2017</v>
      </c>
      <c r="J412" s="1" t="s">
        <v>7</v>
      </c>
      <c r="K412" s="1" t="s">
        <v>4757</v>
      </c>
      <c r="L412" s="11" t="str">
        <f t="shared" si="225"/>
        <v>НЕТ</v>
      </c>
      <c r="M412" s="10" t="s">
        <v>1575</v>
      </c>
      <c r="N412" s="10" t="s">
        <v>1575</v>
      </c>
      <c r="O412" s="10" t="s">
        <v>1575</v>
      </c>
      <c r="P412" s="10" t="str">
        <f t="shared" si="200"/>
        <v>NA</v>
      </c>
      <c r="Q412" s="10" t="str">
        <f t="shared" si="201"/>
        <v>NA</v>
      </c>
      <c r="R412" s="10" t="s">
        <v>1575</v>
      </c>
      <c r="S412" s="10" t="s">
        <v>1575</v>
      </c>
      <c r="T412" s="10" t="s">
        <v>1575</v>
      </c>
      <c r="U412" s="10" t="s">
        <v>1575</v>
      </c>
      <c r="V412" s="10" t="s">
        <v>1575</v>
      </c>
      <c r="W412" s="10" t="s">
        <v>1575</v>
      </c>
      <c r="X412" s="10" t="str">
        <f t="shared" si="202"/>
        <v>NA</v>
      </c>
      <c r="Y412" s="10" t="str">
        <f t="shared" si="203"/>
        <v>NA</v>
      </c>
      <c r="Z412" s="10" t="str">
        <f t="shared" si="204"/>
        <v>NA</v>
      </c>
      <c r="AA412" s="10" t="str">
        <f t="shared" si="205"/>
        <v>NA</v>
      </c>
      <c r="AB412" s="10" t="str">
        <f t="shared" si="206"/>
        <v>NA</v>
      </c>
      <c r="AC412" s="10" t="str">
        <f t="shared" si="207"/>
        <v>NA</v>
      </c>
      <c r="AD412" s="10" t="str">
        <f t="shared" si="208"/>
        <v>NA</v>
      </c>
      <c r="AE412" s="10" t="str">
        <f t="shared" si="209"/>
        <v>NA</v>
      </c>
      <c r="AF412" s="1" t="s">
        <v>4771</v>
      </c>
    </row>
    <row r="413" spans="1:32" x14ac:dyDescent="0.2">
      <c r="A413" s="1" t="s">
        <v>5519</v>
      </c>
      <c r="B413" s="1" t="s">
        <v>5</v>
      </c>
      <c r="C413" s="1" t="s">
        <v>1575</v>
      </c>
      <c r="D413" s="1" t="s">
        <v>1584</v>
      </c>
      <c r="E413" s="1" t="s">
        <v>1586</v>
      </c>
      <c r="F413" s="1" t="s">
        <v>4746</v>
      </c>
      <c r="G413" s="4">
        <f>99.72%-99.67%</f>
        <v>4.9999999999994493E-4</v>
      </c>
      <c r="H413" s="28">
        <v>43100</v>
      </c>
      <c r="I413" s="29">
        <f t="shared" si="226"/>
        <v>2017</v>
      </c>
      <c r="J413" s="1" t="s">
        <v>4757</v>
      </c>
      <c r="K413" s="1" t="s">
        <v>7</v>
      </c>
      <c r="L413" s="11" t="str">
        <f t="shared" ref="L413:L414" si="227">IF(OR(A413=J413,A413=K413),"ДА","НЕТ")</f>
        <v>НЕТ</v>
      </c>
      <c r="M413" s="10" t="s">
        <v>1575</v>
      </c>
      <c r="N413" s="10" t="s">
        <v>1575</v>
      </c>
      <c r="O413" s="10" t="s">
        <v>1575</v>
      </c>
      <c r="P413" s="10" t="str">
        <f t="shared" si="200"/>
        <v>NA</v>
      </c>
      <c r="Q413" s="10" t="str">
        <f t="shared" si="201"/>
        <v>NA</v>
      </c>
      <c r="R413" s="10" t="s">
        <v>1575</v>
      </c>
      <c r="S413" s="10" t="s">
        <v>1575</v>
      </c>
      <c r="T413" s="10" t="s">
        <v>1575</v>
      </c>
      <c r="U413" s="10" t="s">
        <v>1575</v>
      </c>
      <c r="V413" s="10" t="s">
        <v>1575</v>
      </c>
      <c r="W413" s="10" t="s">
        <v>1575</v>
      </c>
      <c r="X413" s="10" t="str">
        <f t="shared" si="202"/>
        <v>NA</v>
      </c>
      <c r="Y413" s="10" t="str">
        <f t="shared" si="203"/>
        <v>NA</v>
      </c>
      <c r="Z413" s="10" t="str">
        <f t="shared" si="204"/>
        <v>NA</v>
      </c>
      <c r="AA413" s="10" t="str">
        <f t="shared" si="205"/>
        <v>NA</v>
      </c>
      <c r="AB413" s="10" t="str">
        <f t="shared" si="206"/>
        <v>NA</v>
      </c>
      <c r="AC413" s="10" t="str">
        <f t="shared" si="207"/>
        <v>NA</v>
      </c>
      <c r="AD413" s="10" t="str">
        <f t="shared" si="208"/>
        <v>NA</v>
      </c>
      <c r="AE413" s="10" t="str">
        <f t="shared" si="209"/>
        <v>NA</v>
      </c>
      <c r="AF413" s="1" t="s">
        <v>4766</v>
      </c>
    </row>
    <row r="414" spans="1:32" x14ac:dyDescent="0.2">
      <c r="A414" s="1" t="s">
        <v>5520</v>
      </c>
      <c r="B414" s="1" t="s">
        <v>5</v>
      </c>
      <c r="C414" s="1" t="s">
        <v>1575</v>
      </c>
      <c r="D414" s="1" t="s">
        <v>1584</v>
      </c>
      <c r="E414" s="1" t="s">
        <v>1586</v>
      </c>
      <c r="F414" s="1" t="s">
        <v>4746</v>
      </c>
      <c r="G414" s="4">
        <f>99.56%-99.54%</f>
        <v>1.9999999999997797E-4</v>
      </c>
      <c r="H414" s="28">
        <v>43100</v>
      </c>
      <c r="I414" s="29">
        <f t="shared" si="226"/>
        <v>2017</v>
      </c>
      <c r="J414" s="1" t="s">
        <v>4757</v>
      </c>
      <c r="K414" s="1" t="s">
        <v>7</v>
      </c>
      <c r="L414" s="11" t="str">
        <f t="shared" si="227"/>
        <v>НЕТ</v>
      </c>
      <c r="M414" s="10" t="s">
        <v>1575</v>
      </c>
      <c r="N414" s="10" t="s">
        <v>1575</v>
      </c>
      <c r="O414" s="10" t="s">
        <v>1575</v>
      </c>
      <c r="P414" s="10" t="str">
        <f t="shared" si="200"/>
        <v>NA</v>
      </c>
      <c r="Q414" s="10" t="str">
        <f t="shared" si="201"/>
        <v>NA</v>
      </c>
      <c r="R414" s="10" t="s">
        <v>1575</v>
      </c>
      <c r="S414" s="10" t="s">
        <v>1575</v>
      </c>
      <c r="T414" s="10" t="s">
        <v>1575</v>
      </c>
      <c r="U414" s="10" t="s">
        <v>1575</v>
      </c>
      <c r="V414" s="10" t="s">
        <v>1575</v>
      </c>
      <c r="W414" s="10" t="s">
        <v>1575</v>
      </c>
      <c r="X414" s="10" t="str">
        <f t="shared" si="202"/>
        <v>NA</v>
      </c>
      <c r="Y414" s="10" t="str">
        <f t="shared" si="203"/>
        <v>NA</v>
      </c>
      <c r="Z414" s="10" t="str">
        <f t="shared" si="204"/>
        <v>NA</v>
      </c>
      <c r="AA414" s="10" t="str">
        <f t="shared" si="205"/>
        <v>NA</v>
      </c>
      <c r="AB414" s="10" t="str">
        <f t="shared" si="206"/>
        <v>NA</v>
      </c>
      <c r="AC414" s="10" t="str">
        <f t="shared" si="207"/>
        <v>NA</v>
      </c>
      <c r="AD414" s="10" t="str">
        <f t="shared" si="208"/>
        <v>NA</v>
      </c>
      <c r="AE414" s="10" t="str">
        <f t="shared" si="209"/>
        <v>NA</v>
      </c>
      <c r="AF414" s="1" t="s">
        <v>4766</v>
      </c>
    </row>
    <row r="415" spans="1:32" x14ac:dyDescent="0.2">
      <c r="A415" s="1" t="s">
        <v>5521</v>
      </c>
      <c r="B415" s="1" t="s">
        <v>5</v>
      </c>
      <c r="C415" s="1" t="s">
        <v>1575</v>
      </c>
      <c r="D415" s="1" t="s">
        <v>1580</v>
      </c>
      <c r="E415" s="1" t="s">
        <v>1694</v>
      </c>
      <c r="F415" s="1" t="s">
        <v>68</v>
      </c>
      <c r="G415" s="4">
        <f>100%-99.99%</f>
        <v>1.0000000000010001E-4</v>
      </c>
      <c r="H415" s="28">
        <v>42857</v>
      </c>
      <c r="I415" s="29">
        <f t="shared" si="226"/>
        <v>2017</v>
      </c>
      <c r="J415" s="1" t="s">
        <v>4757</v>
      </c>
      <c r="K415" s="1" t="s">
        <v>7</v>
      </c>
      <c r="L415" s="11" t="str">
        <f t="shared" ref="L415:L417" si="228">IF(OR(A415=J415,A415=K415),"ДА","НЕТ")</f>
        <v>НЕТ</v>
      </c>
      <c r="M415" s="10" t="s">
        <v>1575</v>
      </c>
      <c r="N415" s="10" t="s">
        <v>1575</v>
      </c>
      <c r="O415" s="10">
        <v>1.9620000000000002E-3</v>
      </c>
      <c r="P415" s="10">
        <f t="shared" si="200"/>
        <v>19.619999999980379</v>
      </c>
      <c r="Q415" s="10" t="str">
        <f t="shared" si="201"/>
        <v>NA</v>
      </c>
      <c r="R415" s="10" t="s">
        <v>1575</v>
      </c>
      <c r="S415" s="10" t="s">
        <v>1575</v>
      </c>
      <c r="T415" s="10" t="s">
        <v>1575</v>
      </c>
      <c r="U415" s="10" t="s">
        <v>1575</v>
      </c>
      <c r="V415" s="10" t="s">
        <v>1575</v>
      </c>
      <c r="W415" s="10" t="s">
        <v>1575</v>
      </c>
      <c r="X415" s="10" t="str">
        <f t="shared" si="202"/>
        <v>NA</v>
      </c>
      <c r="Y415" s="10" t="str">
        <f t="shared" si="203"/>
        <v>NA</v>
      </c>
      <c r="Z415" s="10" t="str">
        <f t="shared" si="204"/>
        <v>NA</v>
      </c>
      <c r="AA415" s="10" t="str">
        <f t="shared" si="205"/>
        <v>NA</v>
      </c>
      <c r="AB415" s="10" t="str">
        <f t="shared" si="206"/>
        <v>NA</v>
      </c>
      <c r="AC415" s="10" t="str">
        <f t="shared" si="207"/>
        <v>NA</v>
      </c>
      <c r="AD415" s="10" t="str">
        <f t="shared" si="208"/>
        <v>NA</v>
      </c>
      <c r="AE415" s="10" t="str">
        <f t="shared" si="209"/>
        <v>NA</v>
      </c>
      <c r="AF415" s="1" t="s">
        <v>4767</v>
      </c>
    </row>
    <row r="416" spans="1:32" x14ac:dyDescent="0.2">
      <c r="A416" s="1" t="s">
        <v>5522</v>
      </c>
      <c r="B416" s="1" t="s">
        <v>5</v>
      </c>
      <c r="C416" s="1" t="s">
        <v>1575</v>
      </c>
      <c r="D416" s="1" t="s">
        <v>1580</v>
      </c>
      <c r="E416" s="1" t="s">
        <v>1694</v>
      </c>
      <c r="F416" s="1" t="s">
        <v>68</v>
      </c>
      <c r="G416" s="4">
        <v>1</v>
      </c>
      <c r="H416" s="28">
        <v>42886</v>
      </c>
      <c r="I416" s="29">
        <f t="shared" si="226"/>
        <v>2017</v>
      </c>
      <c r="J416" s="1" t="s">
        <v>4757</v>
      </c>
      <c r="K416" s="1" t="s">
        <v>7</v>
      </c>
      <c r="L416" s="11" t="str">
        <f t="shared" si="228"/>
        <v>НЕТ</v>
      </c>
      <c r="M416" s="10" t="s">
        <v>1575</v>
      </c>
      <c r="N416" s="10" t="s">
        <v>1575</v>
      </c>
      <c r="O416" s="10">
        <v>6.1894952999999999</v>
      </c>
      <c r="P416" s="10">
        <f t="shared" si="200"/>
        <v>6.1894952999999999</v>
      </c>
      <c r="Q416" s="10" t="str">
        <f t="shared" si="201"/>
        <v>NA</v>
      </c>
      <c r="R416" s="10" t="s">
        <v>1575</v>
      </c>
      <c r="S416" s="10" t="s">
        <v>1575</v>
      </c>
      <c r="T416" s="10" t="s">
        <v>1575</v>
      </c>
      <c r="U416" s="10">
        <v>-0.51755600000000002</v>
      </c>
      <c r="V416" s="10">
        <v>6.97959</v>
      </c>
      <c r="W416" s="10" t="s">
        <v>1575</v>
      </c>
      <c r="X416" s="10" t="str">
        <f t="shared" si="202"/>
        <v>NA</v>
      </c>
      <c r="Y416" s="10" t="str">
        <f t="shared" si="203"/>
        <v>NA</v>
      </c>
      <c r="Z416" s="10">
        <f t="shared" si="204"/>
        <v>-11.959083268284012</v>
      </c>
      <c r="AA416" s="10">
        <f t="shared" si="205"/>
        <v>0.8867992675787546</v>
      </c>
      <c r="AB416" s="10" t="str">
        <f t="shared" si="206"/>
        <v>NA</v>
      </c>
      <c r="AC416" s="10" t="str">
        <f t="shared" si="207"/>
        <v>NA</v>
      </c>
      <c r="AD416" s="10" t="str">
        <f t="shared" si="208"/>
        <v>NA</v>
      </c>
      <c r="AE416" s="10" t="str">
        <f t="shared" si="209"/>
        <v>NA</v>
      </c>
      <c r="AF416" s="1" t="s">
        <v>4772</v>
      </c>
    </row>
    <row r="417" spans="1:32" x14ac:dyDescent="0.2">
      <c r="A417" s="1" t="s">
        <v>5523</v>
      </c>
      <c r="B417" s="1" t="s">
        <v>5</v>
      </c>
      <c r="C417" s="1" t="s">
        <v>1575</v>
      </c>
      <c r="D417" s="1" t="s">
        <v>1580</v>
      </c>
      <c r="E417" s="1" t="s">
        <v>1593</v>
      </c>
      <c r="F417" s="1" t="s">
        <v>664</v>
      </c>
      <c r="G417" s="4">
        <v>1</v>
      </c>
      <c r="H417" s="28">
        <v>42428</v>
      </c>
      <c r="I417" s="29">
        <f t="shared" si="226"/>
        <v>2016</v>
      </c>
      <c r="J417" s="1" t="s">
        <v>7</v>
      </c>
      <c r="K417" s="1" t="s">
        <v>4757</v>
      </c>
      <c r="L417" s="11" t="str">
        <f t="shared" si="228"/>
        <v>НЕТ</v>
      </c>
      <c r="M417" s="10" t="s">
        <v>1575</v>
      </c>
      <c r="N417" s="10" t="s">
        <v>1575</v>
      </c>
      <c r="O417" s="10">
        <v>1.703918</v>
      </c>
      <c r="P417" s="10">
        <f t="shared" si="200"/>
        <v>1.703918</v>
      </c>
      <c r="Q417" s="10" t="str">
        <f t="shared" si="201"/>
        <v>NA</v>
      </c>
      <c r="R417" s="10" t="s">
        <v>1575</v>
      </c>
      <c r="S417" s="10" t="s">
        <v>1575</v>
      </c>
      <c r="T417" s="10" t="s">
        <v>1575</v>
      </c>
      <c r="U417" s="10" t="s">
        <v>1575</v>
      </c>
      <c r="V417" s="10">
        <v>0.33363300000000001</v>
      </c>
      <c r="W417" s="10" t="s">
        <v>1575</v>
      </c>
      <c r="X417" s="10" t="str">
        <f t="shared" si="202"/>
        <v>NA</v>
      </c>
      <c r="Y417" s="10" t="str">
        <f t="shared" si="203"/>
        <v>NA</v>
      </c>
      <c r="Z417" s="10" t="str">
        <f t="shared" si="204"/>
        <v>NA</v>
      </c>
      <c r="AA417" s="10">
        <f t="shared" si="205"/>
        <v>5.1071626607679699</v>
      </c>
      <c r="AB417" s="10" t="str">
        <f t="shared" si="206"/>
        <v>NA</v>
      </c>
      <c r="AC417" s="10" t="str">
        <f t="shared" si="207"/>
        <v>NA</v>
      </c>
      <c r="AD417" s="10" t="str">
        <f t="shared" si="208"/>
        <v>NA</v>
      </c>
      <c r="AE417" s="10" t="str">
        <f t="shared" si="209"/>
        <v>NA</v>
      </c>
      <c r="AF417" s="1" t="s">
        <v>4773</v>
      </c>
    </row>
    <row r="418" spans="1:32" x14ac:dyDescent="0.2">
      <c r="A418" s="1" t="s">
        <v>5524</v>
      </c>
      <c r="B418" s="1" t="s">
        <v>5</v>
      </c>
      <c r="C418" s="1" t="s">
        <v>1575</v>
      </c>
      <c r="D418" s="1" t="s">
        <v>1580</v>
      </c>
      <c r="E418" s="1" t="s">
        <v>1593</v>
      </c>
      <c r="F418" s="1" t="s">
        <v>4775</v>
      </c>
      <c r="G418" s="4">
        <v>1</v>
      </c>
      <c r="H418" s="28">
        <v>42551</v>
      </c>
      <c r="I418" s="29">
        <f t="shared" si="226"/>
        <v>2016</v>
      </c>
      <c r="J418" s="1" t="s">
        <v>7</v>
      </c>
      <c r="K418" s="1" t="s">
        <v>4757</v>
      </c>
      <c r="L418" s="11" t="str">
        <f t="shared" ref="L418:L419" si="229">IF(OR(A418=J418,A418=K418),"ДА","НЕТ")</f>
        <v>НЕТ</v>
      </c>
      <c r="M418" s="10" t="s">
        <v>1575</v>
      </c>
      <c r="N418" s="10" t="s">
        <v>1575</v>
      </c>
      <c r="O418" s="10">
        <v>3.5920000000000001E-2</v>
      </c>
      <c r="P418" s="10">
        <f t="shared" si="200"/>
        <v>3.5920000000000001E-2</v>
      </c>
      <c r="Q418" s="10" t="str">
        <f t="shared" si="201"/>
        <v>NA</v>
      </c>
      <c r="R418" s="10" t="s">
        <v>1575</v>
      </c>
      <c r="S418" s="10" t="s">
        <v>1575</v>
      </c>
      <c r="T418" s="10" t="s">
        <v>1575</v>
      </c>
      <c r="U418" s="10" t="s">
        <v>1575</v>
      </c>
      <c r="V418" s="10">
        <v>-2.410679</v>
      </c>
      <c r="W418" s="10" t="s">
        <v>1575</v>
      </c>
      <c r="X418" s="10" t="str">
        <f t="shared" si="202"/>
        <v>NA</v>
      </c>
      <c r="Y418" s="10" t="str">
        <f t="shared" si="203"/>
        <v>NA</v>
      </c>
      <c r="Z418" s="10" t="str">
        <f t="shared" si="204"/>
        <v>NA</v>
      </c>
      <c r="AA418" s="10">
        <f t="shared" si="205"/>
        <v>-1.4900366245360747E-2</v>
      </c>
      <c r="AB418" s="10" t="str">
        <f t="shared" si="206"/>
        <v>NA</v>
      </c>
      <c r="AC418" s="10" t="str">
        <f t="shared" si="207"/>
        <v>NA</v>
      </c>
      <c r="AD418" s="10" t="str">
        <f t="shared" si="208"/>
        <v>NA</v>
      </c>
      <c r="AE418" s="10" t="str">
        <f t="shared" si="209"/>
        <v>NA</v>
      </c>
      <c r="AF418" s="1" t="s">
        <v>4774</v>
      </c>
    </row>
    <row r="419" spans="1:32" x14ac:dyDescent="0.2">
      <c r="A419" s="1" t="s">
        <v>5525</v>
      </c>
      <c r="B419" s="1" t="s">
        <v>5</v>
      </c>
      <c r="C419" s="1" t="s">
        <v>1575</v>
      </c>
      <c r="D419" s="1" t="s">
        <v>1580</v>
      </c>
      <c r="E419" s="1" t="s">
        <v>2165</v>
      </c>
      <c r="F419" s="1" t="s">
        <v>4764</v>
      </c>
      <c r="G419" s="4">
        <f>99.99%-99.9%</f>
        <v>8.9999999999978986E-4</v>
      </c>
      <c r="H419" s="28">
        <v>42735</v>
      </c>
      <c r="I419" s="29">
        <f t="shared" si="226"/>
        <v>2016</v>
      </c>
      <c r="J419" s="1" t="s">
        <v>4757</v>
      </c>
      <c r="K419" s="1" t="s">
        <v>7</v>
      </c>
      <c r="L419" s="11" t="str">
        <f t="shared" si="229"/>
        <v>НЕТ</v>
      </c>
      <c r="M419" s="10" t="s">
        <v>1575</v>
      </c>
      <c r="N419" s="10" t="s">
        <v>1575</v>
      </c>
      <c r="O419" s="10" t="s">
        <v>1575</v>
      </c>
      <c r="P419" s="10" t="str">
        <f t="shared" si="200"/>
        <v>NA</v>
      </c>
      <c r="Q419" s="10" t="str">
        <f t="shared" si="201"/>
        <v>NA</v>
      </c>
      <c r="R419" s="10" t="s">
        <v>1575</v>
      </c>
      <c r="S419" s="10" t="s">
        <v>1575</v>
      </c>
      <c r="T419" s="10" t="s">
        <v>1575</v>
      </c>
      <c r="U419" s="10" t="s">
        <v>1575</v>
      </c>
      <c r="V419" s="10" t="s">
        <v>1575</v>
      </c>
      <c r="W419" s="10" t="s">
        <v>1575</v>
      </c>
      <c r="X419" s="10" t="str">
        <f t="shared" si="202"/>
        <v>NA</v>
      </c>
      <c r="Y419" s="10" t="str">
        <f t="shared" si="203"/>
        <v>NA</v>
      </c>
      <c r="Z419" s="10" t="str">
        <f t="shared" si="204"/>
        <v>NA</v>
      </c>
      <c r="AA419" s="10" t="str">
        <f t="shared" si="205"/>
        <v>NA</v>
      </c>
      <c r="AB419" s="10" t="str">
        <f t="shared" si="206"/>
        <v>NA</v>
      </c>
      <c r="AC419" s="10" t="str">
        <f t="shared" si="207"/>
        <v>NA</v>
      </c>
      <c r="AD419" s="10" t="str">
        <f t="shared" si="208"/>
        <v>NA</v>
      </c>
      <c r="AE419" s="10" t="str">
        <f t="shared" si="209"/>
        <v>NA</v>
      </c>
      <c r="AF419" s="1" t="s">
        <v>4776</v>
      </c>
    </row>
    <row r="420" spans="1:32" x14ac:dyDescent="0.2">
      <c r="A420" s="1" t="s">
        <v>5519</v>
      </c>
      <c r="B420" s="1" t="s">
        <v>5</v>
      </c>
      <c r="C420" s="1" t="s">
        <v>1575</v>
      </c>
      <c r="D420" s="1" t="s">
        <v>1584</v>
      </c>
      <c r="E420" s="1" t="s">
        <v>1586</v>
      </c>
      <c r="F420" s="1" t="s">
        <v>4746</v>
      </c>
      <c r="G420" s="4">
        <f>99.72%-99.67%</f>
        <v>4.9999999999994493E-4</v>
      </c>
      <c r="H420" s="28">
        <v>42612</v>
      </c>
      <c r="I420" s="29">
        <f t="shared" ref="I420:I427" si="230">YEAR(H420)</f>
        <v>2016</v>
      </c>
      <c r="J420" s="1" t="s">
        <v>4757</v>
      </c>
      <c r="K420" s="1" t="s">
        <v>7</v>
      </c>
      <c r="L420" s="11" t="str">
        <f t="shared" ref="L420:L423" si="231">IF(OR(A420=J420,A420=K420),"ДА","НЕТ")</f>
        <v>НЕТ</v>
      </c>
      <c r="M420" s="10" t="s">
        <v>1575</v>
      </c>
      <c r="N420" s="10" t="s">
        <v>1575</v>
      </c>
      <c r="O420" s="10" t="s">
        <v>1575</v>
      </c>
      <c r="P420" s="10" t="str">
        <f t="shared" si="200"/>
        <v>NA</v>
      </c>
      <c r="Q420" s="10" t="str">
        <f t="shared" si="201"/>
        <v>NA</v>
      </c>
      <c r="R420" s="10" t="s">
        <v>1575</v>
      </c>
      <c r="S420" s="10" t="s">
        <v>1575</v>
      </c>
      <c r="T420" s="10" t="s">
        <v>1575</v>
      </c>
      <c r="U420" s="10" t="s">
        <v>1575</v>
      </c>
      <c r="V420" s="10" t="s">
        <v>1575</v>
      </c>
      <c r="W420" s="10" t="s">
        <v>1575</v>
      </c>
      <c r="X420" s="10" t="str">
        <f t="shared" si="202"/>
        <v>NA</v>
      </c>
      <c r="Y420" s="10" t="str">
        <f t="shared" si="203"/>
        <v>NA</v>
      </c>
      <c r="Z420" s="10" t="str">
        <f t="shared" si="204"/>
        <v>NA</v>
      </c>
      <c r="AA420" s="10" t="str">
        <f t="shared" si="205"/>
        <v>NA</v>
      </c>
      <c r="AB420" s="10" t="str">
        <f t="shared" si="206"/>
        <v>NA</v>
      </c>
      <c r="AC420" s="10" t="str">
        <f t="shared" si="207"/>
        <v>NA</v>
      </c>
      <c r="AD420" s="10" t="str">
        <f t="shared" si="208"/>
        <v>NA</v>
      </c>
      <c r="AE420" s="10" t="str">
        <f t="shared" si="209"/>
        <v>NA</v>
      </c>
      <c r="AF420" s="1" t="s">
        <v>4777</v>
      </c>
    </row>
    <row r="421" spans="1:32" x14ac:dyDescent="0.2">
      <c r="A421" s="1" t="s">
        <v>5520</v>
      </c>
      <c r="B421" s="1" t="s">
        <v>5</v>
      </c>
      <c r="C421" s="1" t="s">
        <v>1575</v>
      </c>
      <c r="D421" s="1" t="s">
        <v>1584</v>
      </c>
      <c r="E421" s="1" t="s">
        <v>1586</v>
      </c>
      <c r="F421" s="1" t="s">
        <v>4746</v>
      </c>
      <c r="G421" s="4">
        <f>99.56%-99.54%</f>
        <v>1.9999999999997797E-4</v>
      </c>
      <c r="H421" s="28">
        <v>42551</v>
      </c>
      <c r="I421" s="29">
        <f t="shared" si="230"/>
        <v>2016</v>
      </c>
      <c r="J421" s="1" t="s">
        <v>4757</v>
      </c>
      <c r="K421" s="1" t="s">
        <v>7</v>
      </c>
      <c r="L421" s="11" t="str">
        <f t="shared" si="231"/>
        <v>НЕТ</v>
      </c>
      <c r="M421" s="10" t="s">
        <v>1575</v>
      </c>
      <c r="N421" s="10" t="s">
        <v>1575</v>
      </c>
      <c r="O421" s="10" t="s">
        <v>1575</v>
      </c>
      <c r="P421" s="10" t="str">
        <f t="shared" si="200"/>
        <v>NA</v>
      </c>
      <c r="Q421" s="10" t="str">
        <f t="shared" si="201"/>
        <v>NA</v>
      </c>
      <c r="R421" s="10" t="s">
        <v>1575</v>
      </c>
      <c r="S421" s="10" t="s">
        <v>1575</v>
      </c>
      <c r="T421" s="10" t="s">
        <v>1575</v>
      </c>
      <c r="U421" s="10" t="s">
        <v>1575</v>
      </c>
      <c r="V421" s="10" t="s">
        <v>1575</v>
      </c>
      <c r="W421" s="10" t="s">
        <v>1575</v>
      </c>
      <c r="X421" s="10" t="str">
        <f t="shared" si="202"/>
        <v>NA</v>
      </c>
      <c r="Y421" s="10" t="str">
        <f t="shared" si="203"/>
        <v>NA</v>
      </c>
      <c r="Z421" s="10" t="str">
        <f t="shared" si="204"/>
        <v>NA</v>
      </c>
      <c r="AA421" s="10" t="str">
        <f t="shared" si="205"/>
        <v>NA</v>
      </c>
      <c r="AB421" s="10" t="str">
        <f t="shared" si="206"/>
        <v>NA</v>
      </c>
      <c r="AC421" s="10" t="str">
        <f t="shared" si="207"/>
        <v>NA</v>
      </c>
      <c r="AD421" s="10" t="str">
        <f t="shared" si="208"/>
        <v>NA</v>
      </c>
      <c r="AE421" s="10" t="str">
        <f t="shared" si="209"/>
        <v>NA</v>
      </c>
      <c r="AF421" s="1" t="s">
        <v>4778</v>
      </c>
    </row>
    <row r="422" spans="1:32" x14ac:dyDescent="0.2">
      <c r="A422" s="1" t="s">
        <v>4757</v>
      </c>
      <c r="B422" s="1" t="s">
        <v>5</v>
      </c>
      <c r="C422" s="1" t="s">
        <v>4789</v>
      </c>
      <c r="D422" s="1" t="s">
        <v>1580</v>
      </c>
      <c r="E422" s="1" t="s">
        <v>1694</v>
      </c>
      <c r="F422" s="1" t="s">
        <v>68</v>
      </c>
      <c r="G422" s="4">
        <v>0.15196599999999999</v>
      </c>
      <c r="H422" s="28">
        <v>42400</v>
      </c>
      <c r="I422" s="29">
        <f t="shared" si="230"/>
        <v>2016</v>
      </c>
      <c r="J422" s="1" t="s">
        <v>4786</v>
      </c>
      <c r="K422" s="1" t="s">
        <v>4787</v>
      </c>
      <c r="L422" s="11" t="str">
        <f t="shared" si="231"/>
        <v>НЕТ</v>
      </c>
      <c r="M422" s="10" t="s">
        <v>1575</v>
      </c>
      <c r="N422" s="10" t="s">
        <v>1575</v>
      </c>
      <c r="O422" s="10" t="s">
        <v>1575</v>
      </c>
      <c r="P422" s="10" t="str">
        <f t="shared" si="200"/>
        <v>NA</v>
      </c>
      <c r="Q422" s="10" t="str">
        <f t="shared" si="201"/>
        <v>NA</v>
      </c>
      <c r="R422" s="10" t="s">
        <v>1575</v>
      </c>
      <c r="S422" s="10" t="s">
        <v>1575</v>
      </c>
      <c r="T422" s="10" t="s">
        <v>1575</v>
      </c>
      <c r="U422" s="10">
        <v>16.820917999999999</v>
      </c>
      <c r="V422" s="10">
        <v>58.151544000000001</v>
      </c>
      <c r="W422" s="10" t="s">
        <v>1575</v>
      </c>
      <c r="X422" s="10" t="str">
        <f t="shared" si="202"/>
        <v>NA</v>
      </c>
      <c r="Y422" s="10" t="str">
        <f t="shared" si="203"/>
        <v>NA</v>
      </c>
      <c r="Z422" s="10" t="str">
        <f t="shared" si="204"/>
        <v>NA</v>
      </c>
      <c r="AA422" s="10" t="str">
        <f t="shared" si="205"/>
        <v>NA</v>
      </c>
      <c r="AB422" s="10" t="str">
        <f t="shared" si="206"/>
        <v>NA</v>
      </c>
      <c r="AC422" s="10" t="str">
        <f t="shared" si="207"/>
        <v>NA</v>
      </c>
      <c r="AD422" s="10" t="str">
        <f t="shared" si="208"/>
        <v>NA</v>
      </c>
      <c r="AE422" s="10" t="str">
        <f t="shared" si="209"/>
        <v>NA</v>
      </c>
      <c r="AF422" s="1" t="s">
        <v>4788</v>
      </c>
    </row>
    <row r="423" spans="1:32" x14ac:dyDescent="0.2">
      <c r="A423" s="1" t="s">
        <v>5526</v>
      </c>
      <c r="B423" s="1" t="s">
        <v>5</v>
      </c>
      <c r="C423" s="1" t="s">
        <v>1575</v>
      </c>
      <c r="D423" s="1" t="s">
        <v>1584</v>
      </c>
      <c r="E423" s="1" t="s">
        <v>1586</v>
      </c>
      <c r="F423" s="1" t="s">
        <v>4746</v>
      </c>
      <c r="G423" s="4">
        <v>1</v>
      </c>
      <c r="H423" s="28">
        <v>42033</v>
      </c>
      <c r="I423" s="29">
        <f t="shared" si="230"/>
        <v>2015</v>
      </c>
      <c r="J423" s="1" t="s">
        <v>7</v>
      </c>
      <c r="K423" s="1" t="s">
        <v>4757</v>
      </c>
      <c r="L423" s="11" t="str">
        <f t="shared" si="231"/>
        <v>НЕТ</v>
      </c>
      <c r="M423" s="10" t="s">
        <v>1575</v>
      </c>
      <c r="N423" s="10" t="s">
        <v>1575</v>
      </c>
      <c r="O423" s="10">
        <v>9.2632999999999993E-2</v>
      </c>
      <c r="P423" s="10">
        <f t="shared" si="200"/>
        <v>9.2632999999999993E-2</v>
      </c>
      <c r="Q423" s="10" t="str">
        <f t="shared" si="201"/>
        <v>NA</v>
      </c>
      <c r="R423" s="10" t="s">
        <v>1575</v>
      </c>
      <c r="S423" s="10" t="s">
        <v>1575</v>
      </c>
      <c r="T423" s="10" t="s">
        <v>1575</v>
      </c>
      <c r="U423" s="10" t="s">
        <v>1575</v>
      </c>
      <c r="V423" s="10">
        <v>0.100926</v>
      </c>
      <c r="W423" s="10" t="s">
        <v>1575</v>
      </c>
      <c r="X423" s="10" t="str">
        <f t="shared" si="202"/>
        <v>NA</v>
      </c>
      <c r="Y423" s="10" t="str">
        <f t="shared" si="203"/>
        <v>NA</v>
      </c>
      <c r="Z423" s="10" t="str">
        <f t="shared" si="204"/>
        <v>NA</v>
      </c>
      <c r="AA423" s="10">
        <f t="shared" si="205"/>
        <v>0.91783088599567997</v>
      </c>
      <c r="AB423" s="10" t="str">
        <f t="shared" si="206"/>
        <v>NA</v>
      </c>
      <c r="AC423" s="10" t="str">
        <f t="shared" si="207"/>
        <v>NA</v>
      </c>
      <c r="AD423" s="10" t="str">
        <f t="shared" si="208"/>
        <v>NA</v>
      </c>
      <c r="AE423" s="10" t="str">
        <f t="shared" si="209"/>
        <v>NA</v>
      </c>
      <c r="AF423" s="1" t="s">
        <v>4781</v>
      </c>
    </row>
    <row r="424" spans="1:32" x14ac:dyDescent="0.2">
      <c r="A424" s="1" t="s">
        <v>5527</v>
      </c>
      <c r="B424" s="1" t="s">
        <v>5</v>
      </c>
      <c r="C424" s="1" t="s">
        <v>1575</v>
      </c>
      <c r="D424" s="1" t="s">
        <v>1580</v>
      </c>
      <c r="E424" s="1" t="s">
        <v>2057</v>
      </c>
      <c r="F424" s="1" t="s">
        <v>434</v>
      </c>
      <c r="G424" s="4" t="s">
        <v>1575</v>
      </c>
      <c r="H424" s="28">
        <v>42163</v>
      </c>
      <c r="I424" s="29">
        <f t="shared" si="230"/>
        <v>2015</v>
      </c>
      <c r="J424" s="1" t="s">
        <v>4757</v>
      </c>
      <c r="K424" s="1" t="s">
        <v>7</v>
      </c>
      <c r="L424" s="11" t="str">
        <f t="shared" ref="L424:L425" si="232">IF(OR(A424=J424,A424=K424),"ДА","НЕТ")</f>
        <v>НЕТ</v>
      </c>
      <c r="M424" s="10" t="s">
        <v>1575</v>
      </c>
      <c r="N424" s="10" t="s">
        <v>1575</v>
      </c>
      <c r="O424" s="10">
        <v>1.0000000000000001E-9</v>
      </c>
      <c r="P424" s="10" t="str">
        <f t="shared" si="200"/>
        <v>NA</v>
      </c>
      <c r="Q424" s="10" t="str">
        <f t="shared" si="201"/>
        <v>NA</v>
      </c>
      <c r="R424" s="10" t="s">
        <v>1575</v>
      </c>
      <c r="S424" s="10" t="s">
        <v>1575</v>
      </c>
      <c r="T424" s="10" t="s">
        <v>1575</v>
      </c>
      <c r="U424" s="10" t="s">
        <v>1575</v>
      </c>
      <c r="V424" s="10" t="s">
        <v>1575</v>
      </c>
      <c r="W424" s="10" t="s">
        <v>1575</v>
      </c>
      <c r="X424" s="10" t="str">
        <f t="shared" si="202"/>
        <v>NA</v>
      </c>
      <c r="Y424" s="10" t="str">
        <f t="shared" si="203"/>
        <v>NA</v>
      </c>
      <c r="Z424" s="10" t="str">
        <f t="shared" si="204"/>
        <v>NA</v>
      </c>
      <c r="AA424" s="10" t="str">
        <f t="shared" si="205"/>
        <v>NA</v>
      </c>
      <c r="AB424" s="10" t="str">
        <f t="shared" si="206"/>
        <v>NA</v>
      </c>
      <c r="AC424" s="10" t="str">
        <f t="shared" si="207"/>
        <v>NA</v>
      </c>
      <c r="AD424" s="10" t="str">
        <f t="shared" si="208"/>
        <v>NA</v>
      </c>
      <c r="AE424" s="10" t="str">
        <f t="shared" si="209"/>
        <v>NA</v>
      </c>
      <c r="AF424" s="1" t="s">
        <v>4782</v>
      </c>
    </row>
    <row r="425" spans="1:32" x14ac:dyDescent="0.2">
      <c r="A425" s="1" t="s">
        <v>5528</v>
      </c>
      <c r="B425" s="1" t="s">
        <v>5</v>
      </c>
      <c r="C425" s="1" t="s">
        <v>1575</v>
      </c>
      <c r="D425" s="1" t="s">
        <v>1584</v>
      </c>
      <c r="E425" s="1" t="s">
        <v>3486</v>
      </c>
      <c r="F425" s="1" t="s">
        <v>46</v>
      </c>
      <c r="G425" s="4">
        <v>1</v>
      </c>
      <c r="H425" s="28">
        <v>42246</v>
      </c>
      <c r="I425" s="29">
        <f t="shared" si="230"/>
        <v>2015</v>
      </c>
      <c r="J425" s="1" t="s">
        <v>7</v>
      </c>
      <c r="K425" s="1" t="s">
        <v>4757</v>
      </c>
      <c r="L425" s="11" t="str">
        <f t="shared" si="232"/>
        <v>НЕТ</v>
      </c>
      <c r="M425" s="10" t="s">
        <v>1575</v>
      </c>
      <c r="N425" s="10" t="s">
        <v>1575</v>
      </c>
      <c r="O425" s="10">
        <v>1.0000000000000001E-5</v>
      </c>
      <c r="P425" s="10">
        <f t="shared" si="200"/>
        <v>1.0000000000000001E-5</v>
      </c>
      <c r="Q425" s="10" t="str">
        <f t="shared" si="201"/>
        <v>NA</v>
      </c>
      <c r="R425" s="10" t="s">
        <v>1575</v>
      </c>
      <c r="S425" s="10" t="s">
        <v>1575</v>
      </c>
      <c r="T425" s="10" t="s">
        <v>1575</v>
      </c>
      <c r="U425" s="10" t="s">
        <v>1575</v>
      </c>
      <c r="V425" s="10" t="s">
        <v>1575</v>
      </c>
      <c r="W425" s="10" t="s">
        <v>1575</v>
      </c>
      <c r="X425" s="10" t="str">
        <f t="shared" si="202"/>
        <v>NA</v>
      </c>
      <c r="Y425" s="10" t="str">
        <f t="shared" si="203"/>
        <v>NA</v>
      </c>
      <c r="Z425" s="10" t="str">
        <f t="shared" si="204"/>
        <v>NA</v>
      </c>
      <c r="AA425" s="10" t="str">
        <f t="shared" si="205"/>
        <v>NA</v>
      </c>
      <c r="AB425" s="10" t="str">
        <f t="shared" si="206"/>
        <v>NA</v>
      </c>
      <c r="AC425" s="10" t="str">
        <f t="shared" si="207"/>
        <v>NA</v>
      </c>
      <c r="AD425" s="10" t="str">
        <f t="shared" si="208"/>
        <v>NA</v>
      </c>
      <c r="AE425" s="10" t="str">
        <f t="shared" si="209"/>
        <v>NA</v>
      </c>
      <c r="AF425" s="1" t="s">
        <v>4783</v>
      </c>
    </row>
    <row r="426" spans="1:32" x14ac:dyDescent="0.2">
      <c r="A426" s="1" t="s">
        <v>5529</v>
      </c>
      <c r="B426" s="1" t="s">
        <v>5</v>
      </c>
      <c r="C426" s="1" t="s">
        <v>1575</v>
      </c>
      <c r="D426" s="1" t="s">
        <v>1578</v>
      </c>
      <c r="E426" s="1" t="s">
        <v>1579</v>
      </c>
      <c r="F426" s="1" t="s">
        <v>4785</v>
      </c>
      <c r="G426" s="4">
        <v>0.999</v>
      </c>
      <c r="H426" s="28">
        <v>42277</v>
      </c>
      <c r="I426" s="29">
        <f t="shared" si="230"/>
        <v>2015</v>
      </c>
      <c r="J426" s="1" t="s">
        <v>4757</v>
      </c>
      <c r="K426" s="1" t="s">
        <v>7</v>
      </c>
      <c r="L426" s="11" t="str">
        <f t="shared" ref="L426:L427" si="233">IF(OR(A426=J426,A426=K426),"ДА","НЕТ")</f>
        <v>НЕТ</v>
      </c>
      <c r="M426" s="10" t="s">
        <v>1575</v>
      </c>
      <c r="N426" s="10" t="s">
        <v>1575</v>
      </c>
      <c r="O426" s="10" t="s">
        <v>1575</v>
      </c>
      <c r="P426" s="10" t="str">
        <f t="shared" si="200"/>
        <v>NA</v>
      </c>
      <c r="Q426" s="10" t="str">
        <f t="shared" si="201"/>
        <v>NA</v>
      </c>
      <c r="R426" s="10" t="s">
        <v>1575</v>
      </c>
      <c r="S426" s="10" t="s">
        <v>1575</v>
      </c>
      <c r="T426" s="10" t="s">
        <v>1575</v>
      </c>
      <c r="U426" s="10" t="s">
        <v>1575</v>
      </c>
      <c r="V426" s="10">
        <v>6.7696999999999993E-2</v>
      </c>
      <c r="W426" s="10" t="s">
        <v>1575</v>
      </c>
      <c r="X426" s="10" t="str">
        <f t="shared" si="202"/>
        <v>NA</v>
      </c>
      <c r="Y426" s="10" t="str">
        <f t="shared" si="203"/>
        <v>NA</v>
      </c>
      <c r="Z426" s="10" t="str">
        <f t="shared" si="204"/>
        <v>NA</v>
      </c>
      <c r="AA426" s="10" t="str">
        <f t="shared" si="205"/>
        <v>NA</v>
      </c>
      <c r="AB426" s="10" t="str">
        <f t="shared" si="206"/>
        <v>NA</v>
      </c>
      <c r="AC426" s="10" t="str">
        <f t="shared" si="207"/>
        <v>NA</v>
      </c>
      <c r="AD426" s="10" t="str">
        <f t="shared" si="208"/>
        <v>NA</v>
      </c>
      <c r="AE426" s="10" t="str">
        <f t="shared" si="209"/>
        <v>NA</v>
      </c>
      <c r="AF426" s="1" t="s">
        <v>4784</v>
      </c>
    </row>
    <row r="427" spans="1:32" x14ac:dyDescent="0.2">
      <c r="A427" s="1" t="s">
        <v>5530</v>
      </c>
      <c r="B427" s="1" t="s">
        <v>5</v>
      </c>
      <c r="C427" s="1" t="s">
        <v>1575</v>
      </c>
      <c r="D427" s="1" t="s">
        <v>1584</v>
      </c>
      <c r="E427" s="1" t="s">
        <v>1586</v>
      </c>
      <c r="F427" s="1" t="s">
        <v>4768</v>
      </c>
      <c r="G427" s="4">
        <v>1</v>
      </c>
      <c r="H427" s="28">
        <v>42308</v>
      </c>
      <c r="I427" s="29">
        <f t="shared" si="230"/>
        <v>2015</v>
      </c>
      <c r="J427" s="1" t="s">
        <v>7</v>
      </c>
      <c r="K427" s="1" t="s">
        <v>4757</v>
      </c>
      <c r="L427" s="11" t="str">
        <f t="shared" si="233"/>
        <v>НЕТ</v>
      </c>
      <c r="M427" s="10" t="s">
        <v>1575</v>
      </c>
      <c r="N427" s="10" t="s">
        <v>1575</v>
      </c>
      <c r="O427" s="10">
        <v>4.3961899999999998</v>
      </c>
      <c r="P427" s="10">
        <f t="shared" si="200"/>
        <v>4.3961899999999998</v>
      </c>
      <c r="Q427" s="10" t="str">
        <f t="shared" si="201"/>
        <v>NA</v>
      </c>
      <c r="R427" s="10" t="s">
        <v>1575</v>
      </c>
      <c r="S427" s="10" t="s">
        <v>1575</v>
      </c>
      <c r="T427" s="10" t="s">
        <v>1575</v>
      </c>
      <c r="U427" s="10" t="s">
        <v>1575</v>
      </c>
      <c r="V427" s="10" t="s">
        <v>1575</v>
      </c>
      <c r="W427" s="10" t="s">
        <v>1575</v>
      </c>
      <c r="X427" s="10" t="str">
        <f t="shared" si="202"/>
        <v>NA</v>
      </c>
      <c r="Y427" s="10" t="str">
        <f t="shared" si="203"/>
        <v>NA</v>
      </c>
      <c r="Z427" s="10" t="str">
        <f t="shared" si="204"/>
        <v>NA</v>
      </c>
      <c r="AA427" s="10" t="str">
        <f t="shared" si="205"/>
        <v>NA</v>
      </c>
      <c r="AB427" s="10" t="str">
        <f t="shared" si="206"/>
        <v>NA</v>
      </c>
      <c r="AC427" s="10" t="str">
        <f t="shared" si="207"/>
        <v>NA</v>
      </c>
      <c r="AD427" s="10" t="str">
        <f t="shared" si="208"/>
        <v>NA</v>
      </c>
      <c r="AE427" s="10" t="str">
        <f t="shared" si="209"/>
        <v>NA</v>
      </c>
      <c r="AF427" s="1" t="s">
        <v>4780</v>
      </c>
    </row>
    <row r="428" spans="1:32" x14ac:dyDescent="0.2">
      <c r="A428" s="1" t="s">
        <v>5531</v>
      </c>
      <c r="B428" s="1" t="s">
        <v>5</v>
      </c>
      <c r="C428" s="1" t="s">
        <v>1575</v>
      </c>
      <c r="D428" s="1" t="s">
        <v>1580</v>
      </c>
      <c r="E428" s="1" t="s">
        <v>1581</v>
      </c>
      <c r="F428" s="1" t="s">
        <v>67</v>
      </c>
      <c r="G428" s="4">
        <f>3158081/3714172</f>
        <v>0.85027860852970727</v>
      </c>
      <c r="H428" s="28">
        <v>42338</v>
      </c>
      <c r="I428" s="29">
        <f t="shared" ref="I428:I435" si="234">YEAR(H428)</f>
        <v>2015</v>
      </c>
      <c r="J428" s="1" t="s">
        <v>4757</v>
      </c>
      <c r="K428" s="1" t="s">
        <v>7</v>
      </c>
      <c r="L428" s="11" t="str">
        <f t="shared" ref="L428" si="235">IF(OR(A428=J428,A428=K428),"ДА","НЕТ")</f>
        <v>НЕТ</v>
      </c>
      <c r="M428" s="10" t="s">
        <v>1575</v>
      </c>
      <c r="N428" s="10" t="s">
        <v>1575</v>
      </c>
      <c r="O428" s="10">
        <v>3.6242000000000003E-2</v>
      </c>
      <c r="P428" s="10">
        <f t="shared" si="200"/>
        <v>4.2623676094438366E-2</v>
      </c>
      <c r="Q428" s="10" t="str">
        <f t="shared" si="201"/>
        <v>NA</v>
      </c>
      <c r="R428" s="10" t="s">
        <v>1575</v>
      </c>
      <c r="S428" s="10" t="s">
        <v>1575</v>
      </c>
      <c r="T428" s="10" t="s">
        <v>1575</v>
      </c>
      <c r="U428" s="10">
        <v>-3.8794379999999999</v>
      </c>
      <c r="V428" s="10">
        <v>-3.714172</v>
      </c>
      <c r="W428" s="10" t="s">
        <v>1575</v>
      </c>
      <c r="X428" s="10" t="str">
        <f t="shared" si="202"/>
        <v>NA</v>
      </c>
      <c r="Y428" s="10" t="str">
        <f t="shared" si="203"/>
        <v>NA</v>
      </c>
      <c r="Z428" s="10">
        <f t="shared" si="204"/>
        <v>-1.0987074956330882E-2</v>
      </c>
      <c r="AA428" s="10">
        <f t="shared" si="205"/>
        <v>-1.1475956443169127E-2</v>
      </c>
      <c r="AB428" s="10" t="str">
        <f t="shared" si="206"/>
        <v>NA</v>
      </c>
      <c r="AC428" s="10" t="str">
        <f t="shared" si="207"/>
        <v>NA</v>
      </c>
      <c r="AD428" s="10" t="str">
        <f t="shared" si="208"/>
        <v>NA</v>
      </c>
      <c r="AE428" s="10" t="str">
        <f t="shared" si="209"/>
        <v>NA</v>
      </c>
      <c r="AF428" s="1" t="s">
        <v>4791</v>
      </c>
    </row>
    <row r="429" spans="1:32" x14ac:dyDescent="0.2">
      <c r="A429" s="1" t="s">
        <v>5519</v>
      </c>
      <c r="B429" s="1" t="s">
        <v>5</v>
      </c>
      <c r="C429" s="1" t="s">
        <v>1575</v>
      </c>
      <c r="D429" s="1" t="s">
        <v>1584</v>
      </c>
      <c r="E429" s="1" t="s">
        <v>1586</v>
      </c>
      <c r="F429" s="1" t="s">
        <v>4746</v>
      </c>
      <c r="G429" s="4">
        <v>5.9999999999999995E-4</v>
      </c>
      <c r="H429" s="28">
        <v>42369</v>
      </c>
      <c r="I429" s="29">
        <f t="shared" si="234"/>
        <v>2015</v>
      </c>
      <c r="J429" s="1" t="s">
        <v>4757</v>
      </c>
      <c r="K429" s="1" t="s">
        <v>7</v>
      </c>
      <c r="L429" s="11" t="str">
        <f t="shared" ref="L429" si="236">IF(OR(A429=J429,A429=K429),"ДА","НЕТ")</f>
        <v>НЕТ</v>
      </c>
      <c r="M429" s="10" t="s">
        <v>1575</v>
      </c>
      <c r="N429" s="10" t="s">
        <v>1575</v>
      </c>
      <c r="O429" s="10" t="s">
        <v>1575</v>
      </c>
      <c r="P429" s="10" t="str">
        <f t="shared" si="200"/>
        <v>NA</v>
      </c>
      <c r="Q429" s="10" t="str">
        <f t="shared" si="201"/>
        <v>NA</v>
      </c>
      <c r="R429" s="10" t="s">
        <v>1575</v>
      </c>
      <c r="S429" s="10" t="s">
        <v>1575</v>
      </c>
      <c r="T429" s="10" t="s">
        <v>1575</v>
      </c>
      <c r="U429" s="10" t="s">
        <v>1575</v>
      </c>
      <c r="V429" s="10" t="s">
        <v>1575</v>
      </c>
      <c r="W429" s="10" t="s">
        <v>1575</v>
      </c>
      <c r="X429" s="10" t="str">
        <f t="shared" si="202"/>
        <v>NA</v>
      </c>
      <c r="Y429" s="10" t="str">
        <f t="shared" si="203"/>
        <v>NA</v>
      </c>
      <c r="Z429" s="10" t="str">
        <f t="shared" si="204"/>
        <v>NA</v>
      </c>
      <c r="AA429" s="10" t="str">
        <f t="shared" si="205"/>
        <v>NA</v>
      </c>
      <c r="AB429" s="10" t="str">
        <f t="shared" si="206"/>
        <v>NA</v>
      </c>
      <c r="AC429" s="10" t="str">
        <f t="shared" si="207"/>
        <v>NA</v>
      </c>
      <c r="AD429" s="10" t="str">
        <f t="shared" si="208"/>
        <v>NA</v>
      </c>
      <c r="AE429" s="10" t="str">
        <f t="shared" si="209"/>
        <v>NA</v>
      </c>
      <c r="AF429" s="1" t="s">
        <v>4779</v>
      </c>
    </row>
    <row r="430" spans="1:32" x14ac:dyDescent="0.2">
      <c r="A430" s="1" t="s">
        <v>5525</v>
      </c>
      <c r="B430" s="1" t="s">
        <v>5</v>
      </c>
      <c r="C430" s="1" t="s">
        <v>1575</v>
      </c>
      <c r="D430" s="1" t="s">
        <v>1580</v>
      </c>
      <c r="E430" s="1" t="s">
        <v>2165</v>
      </c>
      <c r="F430" s="1" t="s">
        <v>4764</v>
      </c>
      <c r="G430" s="4" t="s">
        <v>11</v>
      </c>
      <c r="H430" s="28">
        <v>42246</v>
      </c>
      <c r="I430" s="29">
        <f t="shared" si="234"/>
        <v>2015</v>
      </c>
      <c r="J430" s="1" t="s">
        <v>4757</v>
      </c>
      <c r="K430" s="1" t="s">
        <v>7</v>
      </c>
      <c r="L430" s="11" t="str">
        <f t="shared" ref="L430:L431" si="237">IF(OR(A430=J430,A430=K430),"ДА","НЕТ")</f>
        <v>НЕТ</v>
      </c>
      <c r="M430" s="10" t="s">
        <v>1575</v>
      </c>
      <c r="N430" s="10" t="s">
        <v>1575</v>
      </c>
      <c r="O430" s="10">
        <v>1.3759999999999999</v>
      </c>
      <c r="P430" s="10" t="str">
        <f t="shared" si="200"/>
        <v>NA</v>
      </c>
      <c r="Q430" s="10" t="str">
        <f t="shared" si="201"/>
        <v>NA</v>
      </c>
      <c r="R430" s="10" t="s">
        <v>1575</v>
      </c>
      <c r="S430" s="10" t="s">
        <v>1575</v>
      </c>
      <c r="T430" s="10" t="s">
        <v>1575</v>
      </c>
      <c r="U430" s="10" t="s">
        <v>1575</v>
      </c>
      <c r="V430" s="10">
        <v>9.5136369999999992</v>
      </c>
      <c r="W430" s="10" t="s">
        <v>1575</v>
      </c>
      <c r="X430" s="10" t="str">
        <f t="shared" si="202"/>
        <v>NA</v>
      </c>
      <c r="Y430" s="10" t="str">
        <f t="shared" si="203"/>
        <v>NA</v>
      </c>
      <c r="Z430" s="10" t="str">
        <f t="shared" si="204"/>
        <v>NA</v>
      </c>
      <c r="AA430" s="10" t="str">
        <f t="shared" si="205"/>
        <v>NA</v>
      </c>
      <c r="AB430" s="10" t="str">
        <f t="shared" si="206"/>
        <v>NA</v>
      </c>
      <c r="AC430" s="10" t="str">
        <f t="shared" si="207"/>
        <v>NA</v>
      </c>
      <c r="AD430" s="10" t="str">
        <f t="shared" si="208"/>
        <v>NA</v>
      </c>
      <c r="AE430" s="10" t="str">
        <f t="shared" si="209"/>
        <v>NA</v>
      </c>
      <c r="AF430" s="1" t="s">
        <v>4790</v>
      </c>
    </row>
    <row r="431" spans="1:32" x14ac:dyDescent="0.2">
      <c r="A431" s="1" t="s">
        <v>5521</v>
      </c>
      <c r="B431" s="1" t="s">
        <v>5</v>
      </c>
      <c r="C431" s="1" t="s">
        <v>1575</v>
      </c>
      <c r="D431" s="1" t="s">
        <v>1580</v>
      </c>
      <c r="E431" s="1" t="s">
        <v>1694</v>
      </c>
      <c r="F431" s="1" t="s">
        <v>68</v>
      </c>
      <c r="G431" s="4">
        <f>99.99%-49.99996%</f>
        <v>0.49990039999999991</v>
      </c>
      <c r="H431" s="28">
        <v>41820</v>
      </c>
      <c r="I431" s="29">
        <f t="shared" si="234"/>
        <v>2014</v>
      </c>
      <c r="J431" s="1" t="s">
        <v>4757</v>
      </c>
      <c r="K431" s="1" t="s">
        <v>7</v>
      </c>
      <c r="L431" s="11" t="str">
        <f t="shared" si="237"/>
        <v>НЕТ</v>
      </c>
      <c r="M431" s="10" t="s">
        <v>1575</v>
      </c>
      <c r="N431" s="10" t="s">
        <v>1575</v>
      </c>
      <c r="O431" s="10" t="s">
        <v>1575</v>
      </c>
      <c r="P431" s="10" t="str">
        <f t="shared" si="200"/>
        <v>NA</v>
      </c>
      <c r="Q431" s="10" t="str">
        <f t="shared" si="201"/>
        <v>NA</v>
      </c>
      <c r="R431" s="10" t="s">
        <v>1575</v>
      </c>
      <c r="S431" s="10" t="s">
        <v>1575</v>
      </c>
      <c r="T431" s="10" t="s">
        <v>1575</v>
      </c>
      <c r="U431" s="10">
        <v>3.1852999999999999E-2</v>
      </c>
      <c r="V431" s="10">
        <v>0.42154799999999998</v>
      </c>
      <c r="W431" s="10" t="s">
        <v>1575</v>
      </c>
      <c r="X431" s="10" t="str">
        <f t="shared" si="202"/>
        <v>NA</v>
      </c>
      <c r="Y431" s="10" t="str">
        <f t="shared" si="203"/>
        <v>NA</v>
      </c>
      <c r="Z431" s="10" t="str">
        <f t="shared" si="204"/>
        <v>NA</v>
      </c>
      <c r="AA431" s="10" t="str">
        <f t="shared" si="205"/>
        <v>NA</v>
      </c>
      <c r="AB431" s="10" t="str">
        <f t="shared" si="206"/>
        <v>NA</v>
      </c>
      <c r="AC431" s="10" t="str">
        <f t="shared" si="207"/>
        <v>NA</v>
      </c>
      <c r="AD431" s="10" t="str">
        <f t="shared" si="208"/>
        <v>NA</v>
      </c>
      <c r="AE431" s="10" t="str">
        <f t="shared" si="209"/>
        <v>NA</v>
      </c>
    </row>
    <row r="432" spans="1:32" x14ac:dyDescent="0.2">
      <c r="A432" s="1" t="s">
        <v>5521</v>
      </c>
      <c r="B432" s="1" t="s">
        <v>5</v>
      </c>
      <c r="C432" s="1" t="s">
        <v>1575</v>
      </c>
      <c r="D432" s="1" t="s">
        <v>1580</v>
      </c>
      <c r="E432" s="1" t="s">
        <v>1694</v>
      </c>
      <c r="F432" s="1" t="s">
        <v>68</v>
      </c>
      <c r="G432" s="4">
        <v>0.49999959999999999</v>
      </c>
      <c r="H432" s="28">
        <v>41659</v>
      </c>
      <c r="I432" s="29">
        <f t="shared" si="234"/>
        <v>2014</v>
      </c>
      <c r="J432" s="1" t="s">
        <v>4757</v>
      </c>
      <c r="K432" s="1" t="s">
        <v>7</v>
      </c>
      <c r="L432" s="11" t="str">
        <f t="shared" ref="L432" si="238">IF(OR(A432=J432,A432=K432),"ДА","НЕТ")</f>
        <v>НЕТ</v>
      </c>
      <c r="M432" s="10" t="s">
        <v>1575</v>
      </c>
      <c r="N432" s="10" t="s">
        <v>1575</v>
      </c>
      <c r="O432" s="10">
        <v>0.19</v>
      </c>
      <c r="P432" s="10">
        <f t="shared" si="200"/>
        <v>0.38000030400024321</v>
      </c>
      <c r="Q432" s="10" t="str">
        <f t="shared" si="201"/>
        <v>NA</v>
      </c>
      <c r="R432" s="10" t="s">
        <v>1575</v>
      </c>
      <c r="S432" s="10" t="s">
        <v>1575</v>
      </c>
      <c r="T432" s="10" t="s">
        <v>1575</v>
      </c>
      <c r="U432" s="10">
        <v>3.1852999999999999E-2</v>
      </c>
      <c r="V432" s="10">
        <v>0.42154799999999998</v>
      </c>
      <c r="W432" s="10" t="s">
        <v>1575</v>
      </c>
      <c r="X432" s="10" t="str">
        <f t="shared" si="202"/>
        <v>NA</v>
      </c>
      <c r="Y432" s="10" t="str">
        <f t="shared" si="203"/>
        <v>NA</v>
      </c>
      <c r="Z432" s="10">
        <f t="shared" si="204"/>
        <v>11.929812074223564</v>
      </c>
      <c r="AA432" s="10">
        <f t="shared" si="205"/>
        <v>0.90144017763159412</v>
      </c>
      <c r="AB432" s="10" t="str">
        <f t="shared" si="206"/>
        <v>NA</v>
      </c>
      <c r="AC432" s="10" t="str">
        <f t="shared" si="207"/>
        <v>NA</v>
      </c>
      <c r="AD432" s="10" t="str">
        <f t="shared" si="208"/>
        <v>NA</v>
      </c>
      <c r="AE432" s="10" t="str">
        <f t="shared" si="209"/>
        <v>NA</v>
      </c>
      <c r="AF432" s="1" t="s">
        <v>4792</v>
      </c>
    </row>
    <row r="433" spans="1:32" x14ac:dyDescent="0.2">
      <c r="A433" s="1" t="s">
        <v>5532</v>
      </c>
      <c r="B433" s="1" t="s">
        <v>5</v>
      </c>
      <c r="C433" s="1" t="s">
        <v>1575</v>
      </c>
      <c r="D433" s="1" t="s">
        <v>1584</v>
      </c>
      <c r="E433" s="1" t="s">
        <v>1586</v>
      </c>
      <c r="F433" s="1" t="s">
        <v>4746</v>
      </c>
      <c r="G433" s="4">
        <v>0.999</v>
      </c>
      <c r="H433" s="28">
        <v>41305</v>
      </c>
      <c r="I433" s="29">
        <f t="shared" si="234"/>
        <v>2013</v>
      </c>
      <c r="J433" s="1" t="s">
        <v>4757</v>
      </c>
      <c r="K433" s="1" t="s">
        <v>7</v>
      </c>
      <c r="L433" s="11" t="str">
        <f t="shared" ref="L433" si="239">IF(OR(A433=J433,A433=K433),"ДА","НЕТ")</f>
        <v>НЕТ</v>
      </c>
      <c r="M433" s="10" t="s">
        <v>1575</v>
      </c>
      <c r="N433" s="10" t="s">
        <v>1575</v>
      </c>
      <c r="O433" s="10">
        <v>1.0000000000000001E-5</v>
      </c>
      <c r="P433" s="10">
        <f t="shared" si="200"/>
        <v>1.0010010010010011E-5</v>
      </c>
      <c r="Q433" s="10" t="str">
        <f t="shared" si="201"/>
        <v>NA</v>
      </c>
      <c r="R433" s="10" t="s">
        <v>1575</v>
      </c>
      <c r="S433" s="10" t="s">
        <v>1575</v>
      </c>
      <c r="T433" s="10" t="s">
        <v>1575</v>
      </c>
      <c r="U433" s="10" t="s">
        <v>1575</v>
      </c>
      <c r="V433" s="10" t="s">
        <v>1575</v>
      </c>
      <c r="W433" s="10" t="s">
        <v>1575</v>
      </c>
      <c r="X433" s="10" t="str">
        <f t="shared" si="202"/>
        <v>NA</v>
      </c>
      <c r="Y433" s="10" t="str">
        <f t="shared" si="203"/>
        <v>NA</v>
      </c>
      <c r="Z433" s="10" t="str">
        <f t="shared" si="204"/>
        <v>NA</v>
      </c>
      <c r="AA433" s="10" t="str">
        <f t="shared" si="205"/>
        <v>NA</v>
      </c>
      <c r="AB433" s="10" t="str">
        <f t="shared" si="206"/>
        <v>NA</v>
      </c>
      <c r="AC433" s="10" t="str">
        <f t="shared" si="207"/>
        <v>NA</v>
      </c>
      <c r="AD433" s="10" t="str">
        <f t="shared" si="208"/>
        <v>NA</v>
      </c>
      <c r="AE433" s="10" t="str">
        <f t="shared" si="209"/>
        <v>NA</v>
      </c>
      <c r="AF433" s="1" t="s">
        <v>4793</v>
      </c>
    </row>
    <row r="434" spans="1:32" x14ac:dyDescent="0.2">
      <c r="A434" s="1" t="s">
        <v>5530</v>
      </c>
      <c r="B434" s="1" t="s">
        <v>5</v>
      </c>
      <c r="C434" s="1" t="s">
        <v>1575</v>
      </c>
      <c r="D434" s="1" t="s">
        <v>1584</v>
      </c>
      <c r="E434" s="1" t="s">
        <v>1586</v>
      </c>
      <c r="F434" s="1" t="s">
        <v>4768</v>
      </c>
      <c r="G434" s="4">
        <v>0.125</v>
      </c>
      <c r="H434" s="28">
        <v>41485</v>
      </c>
      <c r="I434" s="29">
        <f t="shared" si="234"/>
        <v>2013</v>
      </c>
      <c r="J434" s="1" t="s">
        <v>4757</v>
      </c>
      <c r="K434" s="1" t="s">
        <v>7</v>
      </c>
      <c r="L434" s="11" t="str">
        <f t="shared" ref="L434" si="240">IF(OR(A434=J434,A434=K434),"ДА","НЕТ")</f>
        <v>НЕТ</v>
      </c>
      <c r="M434" s="10">
        <v>1.2500000000000001E-2</v>
      </c>
      <c r="N434" s="10" t="s">
        <v>1575</v>
      </c>
      <c r="O434" s="10">
        <f>M434*32.709/1000</f>
        <v>4.0886250000000008E-4</v>
      </c>
      <c r="P434" s="10">
        <f t="shared" si="200"/>
        <v>3.2709000000000006E-3</v>
      </c>
      <c r="Q434" s="10" t="str">
        <f t="shared" si="201"/>
        <v>NA</v>
      </c>
      <c r="R434" s="10" t="s">
        <v>1575</v>
      </c>
      <c r="S434" s="10" t="s">
        <v>1575</v>
      </c>
      <c r="T434" s="10" t="s">
        <v>1575</v>
      </c>
      <c r="U434" s="10" t="s">
        <v>1575</v>
      </c>
      <c r="V434" s="10" t="s">
        <v>1575</v>
      </c>
      <c r="W434" s="10" t="s">
        <v>1575</v>
      </c>
      <c r="X434" s="10" t="str">
        <f t="shared" si="202"/>
        <v>NA</v>
      </c>
      <c r="Y434" s="10" t="str">
        <f t="shared" si="203"/>
        <v>NA</v>
      </c>
      <c r="Z434" s="10" t="str">
        <f t="shared" si="204"/>
        <v>NA</v>
      </c>
      <c r="AA434" s="10" t="str">
        <f t="shared" si="205"/>
        <v>NA</v>
      </c>
      <c r="AB434" s="10" t="str">
        <f t="shared" si="206"/>
        <v>NA</v>
      </c>
      <c r="AC434" s="10" t="str">
        <f t="shared" si="207"/>
        <v>NA</v>
      </c>
      <c r="AD434" s="10" t="str">
        <f t="shared" si="208"/>
        <v>NA</v>
      </c>
      <c r="AE434" s="10" t="str">
        <f t="shared" si="209"/>
        <v>NA</v>
      </c>
      <c r="AF434" s="1" t="s">
        <v>4795</v>
      </c>
    </row>
    <row r="435" spans="1:32" x14ac:dyDescent="0.2">
      <c r="A435" s="1" t="s">
        <v>5526</v>
      </c>
      <c r="B435" s="1" t="s">
        <v>5</v>
      </c>
      <c r="C435" s="1" t="s">
        <v>1575</v>
      </c>
      <c r="D435" s="1" t="s">
        <v>1584</v>
      </c>
      <c r="E435" s="1" t="s">
        <v>1586</v>
      </c>
      <c r="F435" s="1" t="s">
        <v>4746</v>
      </c>
      <c r="G435" s="4">
        <v>1</v>
      </c>
      <c r="H435" s="28">
        <v>41639</v>
      </c>
      <c r="I435" s="29">
        <f t="shared" si="234"/>
        <v>2013</v>
      </c>
      <c r="J435" s="1" t="s">
        <v>4757</v>
      </c>
      <c r="K435" s="1" t="s">
        <v>7</v>
      </c>
      <c r="L435" s="11" t="str">
        <f t="shared" ref="L435" si="241">IF(OR(A435=J435,A435=K435),"ДА","НЕТ")</f>
        <v>НЕТ</v>
      </c>
      <c r="M435" s="10" t="s">
        <v>1575</v>
      </c>
      <c r="N435" s="10" t="s">
        <v>1575</v>
      </c>
      <c r="O435" s="10" t="s">
        <v>1575</v>
      </c>
      <c r="P435" s="10" t="str">
        <f t="shared" si="200"/>
        <v>NA</v>
      </c>
      <c r="Q435" s="10" t="str">
        <f t="shared" si="201"/>
        <v>NA</v>
      </c>
      <c r="R435" s="10" t="s">
        <v>1575</v>
      </c>
      <c r="S435" s="10" t="s">
        <v>1575</v>
      </c>
      <c r="T435" s="10" t="s">
        <v>1575</v>
      </c>
      <c r="U435" s="10" t="s">
        <v>1575</v>
      </c>
      <c r="V435" s="10" t="s">
        <v>1575</v>
      </c>
      <c r="W435" s="10" t="s">
        <v>1575</v>
      </c>
      <c r="X435" s="10" t="str">
        <f t="shared" si="202"/>
        <v>NA</v>
      </c>
      <c r="Y435" s="10" t="str">
        <f t="shared" si="203"/>
        <v>NA</v>
      </c>
      <c r="Z435" s="10" t="str">
        <f t="shared" si="204"/>
        <v>NA</v>
      </c>
      <c r="AA435" s="10" t="str">
        <f t="shared" si="205"/>
        <v>NA</v>
      </c>
      <c r="AB435" s="10" t="str">
        <f t="shared" si="206"/>
        <v>NA</v>
      </c>
      <c r="AC435" s="10" t="str">
        <f t="shared" si="207"/>
        <v>NA</v>
      </c>
      <c r="AD435" s="10" t="str">
        <f t="shared" si="208"/>
        <v>NA</v>
      </c>
      <c r="AE435" s="10" t="str">
        <f t="shared" si="209"/>
        <v>NA</v>
      </c>
      <c r="AF435" s="1" t="s">
        <v>4794</v>
      </c>
    </row>
    <row r="436" spans="1:32" x14ac:dyDescent="0.2">
      <c r="A436" s="1" t="s">
        <v>5533</v>
      </c>
      <c r="B436" s="1" t="s">
        <v>5</v>
      </c>
      <c r="C436" s="1" t="s">
        <v>1575</v>
      </c>
      <c r="D436" s="1" t="s">
        <v>1584</v>
      </c>
      <c r="E436" s="1" t="s">
        <v>1586</v>
      </c>
      <c r="F436" s="1" t="s">
        <v>4746</v>
      </c>
      <c r="G436" s="4">
        <v>1</v>
      </c>
      <c r="H436" s="28">
        <v>41639</v>
      </c>
      <c r="I436" s="29">
        <f t="shared" ref="I436:I440" si="242">YEAR(H436)</f>
        <v>2013</v>
      </c>
      <c r="J436" s="1" t="s">
        <v>4757</v>
      </c>
      <c r="K436" s="1" t="s">
        <v>7</v>
      </c>
      <c r="L436" s="11" t="str">
        <f t="shared" ref="L436:L437" si="243">IF(OR(A436=J436,A436=K436),"ДА","НЕТ")</f>
        <v>НЕТ</v>
      </c>
      <c r="M436" s="10" t="s">
        <v>1575</v>
      </c>
      <c r="N436" s="10" t="s">
        <v>1575</v>
      </c>
      <c r="O436" s="10" t="s">
        <v>1575</v>
      </c>
      <c r="P436" s="10" t="str">
        <f t="shared" si="200"/>
        <v>NA</v>
      </c>
      <c r="Q436" s="10" t="str">
        <f t="shared" si="201"/>
        <v>NA</v>
      </c>
      <c r="R436" s="10" t="s">
        <v>1575</v>
      </c>
      <c r="S436" s="10" t="s">
        <v>1575</v>
      </c>
      <c r="T436" s="10" t="s">
        <v>1575</v>
      </c>
      <c r="U436" s="10" t="s">
        <v>1575</v>
      </c>
      <c r="V436" s="10" t="s">
        <v>1575</v>
      </c>
      <c r="W436" s="10" t="s">
        <v>1575</v>
      </c>
      <c r="X436" s="10" t="str">
        <f t="shared" si="202"/>
        <v>NA</v>
      </c>
      <c r="Y436" s="10" t="str">
        <f t="shared" si="203"/>
        <v>NA</v>
      </c>
      <c r="Z436" s="10" t="str">
        <f t="shared" si="204"/>
        <v>NA</v>
      </c>
      <c r="AA436" s="10" t="str">
        <f t="shared" si="205"/>
        <v>NA</v>
      </c>
      <c r="AB436" s="10" t="str">
        <f t="shared" si="206"/>
        <v>NA</v>
      </c>
      <c r="AC436" s="10" t="str">
        <f t="shared" si="207"/>
        <v>NA</v>
      </c>
      <c r="AD436" s="10" t="str">
        <f t="shared" si="208"/>
        <v>NA</v>
      </c>
      <c r="AE436" s="10" t="str">
        <f t="shared" si="209"/>
        <v>NA</v>
      </c>
      <c r="AF436" s="1" t="s">
        <v>4794</v>
      </c>
    </row>
    <row r="437" spans="1:32" x14ac:dyDescent="0.2">
      <c r="A437" s="1" t="s">
        <v>5534</v>
      </c>
      <c r="B437" s="1" t="s">
        <v>5</v>
      </c>
      <c r="C437" s="1" t="s">
        <v>1575</v>
      </c>
      <c r="D437" s="1" t="s">
        <v>1580</v>
      </c>
      <c r="E437" s="1" t="s">
        <v>2057</v>
      </c>
      <c r="F437" s="1" t="s">
        <v>434</v>
      </c>
      <c r="G437" s="4">
        <v>1</v>
      </c>
      <c r="H437" s="28">
        <v>41632</v>
      </c>
      <c r="I437" s="29">
        <f t="shared" si="242"/>
        <v>2013</v>
      </c>
      <c r="J437" s="1" t="s">
        <v>7</v>
      </c>
      <c r="K437" s="1" t="s">
        <v>4757</v>
      </c>
      <c r="L437" s="11" t="str">
        <f t="shared" si="243"/>
        <v>НЕТ</v>
      </c>
      <c r="M437" s="10" t="s">
        <v>1575</v>
      </c>
      <c r="N437" s="10" t="s">
        <v>1575</v>
      </c>
      <c r="O437" s="10">
        <v>1.0000000000000001E-5</v>
      </c>
      <c r="P437" s="10">
        <f t="shared" si="200"/>
        <v>1.0000000000000001E-5</v>
      </c>
      <c r="Q437" s="10" t="str">
        <f t="shared" si="201"/>
        <v>NA</v>
      </c>
      <c r="R437" s="10" t="s">
        <v>1575</v>
      </c>
      <c r="S437" s="10" t="s">
        <v>1575</v>
      </c>
      <c r="T437" s="10" t="s">
        <v>1575</v>
      </c>
      <c r="U437" s="10" t="s">
        <v>1575</v>
      </c>
      <c r="V437" s="10">
        <v>7.9229999999999995E-3</v>
      </c>
      <c r="W437" s="10" t="s">
        <v>1575</v>
      </c>
      <c r="X437" s="10" t="str">
        <f t="shared" si="202"/>
        <v>NA</v>
      </c>
      <c r="Y437" s="10" t="str">
        <f t="shared" si="203"/>
        <v>NA</v>
      </c>
      <c r="Z437" s="10" t="str">
        <f t="shared" si="204"/>
        <v>NA</v>
      </c>
      <c r="AA437" s="10">
        <f t="shared" si="205"/>
        <v>1.2621481761958856E-3</v>
      </c>
      <c r="AB437" s="10" t="str">
        <f t="shared" si="206"/>
        <v>NA</v>
      </c>
      <c r="AC437" s="10" t="str">
        <f t="shared" si="207"/>
        <v>NA</v>
      </c>
      <c r="AD437" s="10" t="str">
        <f t="shared" si="208"/>
        <v>NA</v>
      </c>
      <c r="AE437" s="10" t="str">
        <f t="shared" si="209"/>
        <v>NA</v>
      </c>
      <c r="AF437" s="1" t="s">
        <v>4796</v>
      </c>
    </row>
    <row r="438" spans="1:32" x14ac:dyDescent="0.2">
      <c r="A438" s="1" t="s">
        <v>5535</v>
      </c>
      <c r="B438" s="1" t="s">
        <v>5</v>
      </c>
      <c r="C438" s="1" t="s">
        <v>1575</v>
      </c>
      <c r="D438" s="1" t="s">
        <v>1580</v>
      </c>
      <c r="E438" s="1" t="s">
        <v>2057</v>
      </c>
      <c r="F438" s="1" t="s">
        <v>434</v>
      </c>
      <c r="G438" s="4">
        <v>0.99</v>
      </c>
      <c r="H438" s="28">
        <v>40967</v>
      </c>
      <c r="I438" s="29">
        <f t="shared" si="242"/>
        <v>2012</v>
      </c>
      <c r="J438" s="1" t="s">
        <v>7</v>
      </c>
      <c r="K438" s="1" t="s">
        <v>4757</v>
      </c>
      <c r="L438" s="11" t="str">
        <f t="shared" ref="L438" si="244">IF(OR(A438=J438,A438=K438),"ДА","НЕТ")</f>
        <v>НЕТ</v>
      </c>
      <c r="M438" s="10" t="s">
        <v>1575</v>
      </c>
      <c r="N438" s="10" t="s">
        <v>1575</v>
      </c>
      <c r="O438" s="10" t="s">
        <v>1575</v>
      </c>
      <c r="P438" s="10" t="str">
        <f t="shared" si="200"/>
        <v>NA</v>
      </c>
      <c r="Q438" s="10" t="str">
        <f t="shared" si="201"/>
        <v>NA</v>
      </c>
      <c r="R438" s="10" t="s">
        <v>1575</v>
      </c>
      <c r="S438" s="10" t="s">
        <v>1575</v>
      </c>
      <c r="T438" s="10" t="s">
        <v>1575</v>
      </c>
      <c r="U438" s="10" t="s">
        <v>1575</v>
      </c>
      <c r="V438" s="10">
        <v>-2.5999999999999999E-2</v>
      </c>
      <c r="W438" s="10" t="s">
        <v>1575</v>
      </c>
      <c r="X438" s="10" t="str">
        <f t="shared" si="202"/>
        <v>NA</v>
      </c>
      <c r="Y438" s="10" t="str">
        <f t="shared" si="203"/>
        <v>NA</v>
      </c>
      <c r="Z438" s="10" t="str">
        <f t="shared" si="204"/>
        <v>NA</v>
      </c>
      <c r="AA438" s="10" t="str">
        <f t="shared" si="205"/>
        <v>NA</v>
      </c>
      <c r="AB438" s="10" t="str">
        <f t="shared" si="206"/>
        <v>NA</v>
      </c>
      <c r="AC438" s="10" t="str">
        <f t="shared" si="207"/>
        <v>NA</v>
      </c>
      <c r="AD438" s="10" t="str">
        <f t="shared" si="208"/>
        <v>NA</v>
      </c>
      <c r="AE438" s="10" t="str">
        <f t="shared" si="209"/>
        <v>NA</v>
      </c>
      <c r="AF438" s="1" t="s">
        <v>4797</v>
      </c>
    </row>
    <row r="439" spans="1:32" x14ac:dyDescent="0.2">
      <c r="A439" s="1" t="s">
        <v>5519</v>
      </c>
      <c r="B439" s="1" t="s">
        <v>5</v>
      </c>
      <c r="C439" s="1" t="s">
        <v>1575</v>
      </c>
      <c r="D439" s="1" t="s">
        <v>1584</v>
      </c>
      <c r="E439" s="1" t="s">
        <v>1586</v>
      </c>
      <c r="F439" s="1" t="s">
        <v>4746</v>
      </c>
      <c r="G439" s="4">
        <v>2.5999999999999999E-3</v>
      </c>
      <c r="H439" s="28">
        <v>41264</v>
      </c>
      <c r="I439" s="29">
        <f t="shared" si="242"/>
        <v>2012</v>
      </c>
      <c r="J439" s="1" t="s">
        <v>4757</v>
      </c>
      <c r="K439" s="1" t="s">
        <v>7</v>
      </c>
      <c r="L439" s="11" t="str">
        <f t="shared" ref="L439:L440" si="245">IF(OR(A439=J439,A439=K439),"ДА","НЕТ")</f>
        <v>НЕТ</v>
      </c>
      <c r="M439" s="10" t="s">
        <v>1575</v>
      </c>
      <c r="N439" s="10" t="s">
        <v>1575</v>
      </c>
      <c r="O439" s="10" t="s">
        <v>1575</v>
      </c>
      <c r="P439" s="10" t="str">
        <f t="shared" si="200"/>
        <v>NA</v>
      </c>
      <c r="Q439" s="10" t="str">
        <f t="shared" si="201"/>
        <v>NA</v>
      </c>
      <c r="R439" s="10" t="s">
        <v>1575</v>
      </c>
      <c r="S439" s="10" t="s">
        <v>1575</v>
      </c>
      <c r="T439" s="10" t="s">
        <v>1575</v>
      </c>
      <c r="U439" s="10" t="s">
        <v>1575</v>
      </c>
      <c r="V439" s="10" t="s">
        <v>1575</v>
      </c>
      <c r="W439" s="10" t="s">
        <v>1575</v>
      </c>
      <c r="X439" s="10" t="str">
        <f t="shared" si="202"/>
        <v>NA</v>
      </c>
      <c r="Y439" s="10" t="str">
        <f t="shared" si="203"/>
        <v>NA</v>
      </c>
      <c r="Z439" s="10" t="str">
        <f t="shared" si="204"/>
        <v>NA</v>
      </c>
      <c r="AA439" s="10" t="str">
        <f t="shared" si="205"/>
        <v>NA</v>
      </c>
      <c r="AB439" s="10" t="str">
        <f t="shared" si="206"/>
        <v>NA</v>
      </c>
      <c r="AC439" s="10" t="str">
        <f t="shared" si="207"/>
        <v>NA</v>
      </c>
      <c r="AD439" s="10" t="str">
        <f t="shared" si="208"/>
        <v>NA</v>
      </c>
      <c r="AE439" s="10" t="str">
        <f t="shared" si="209"/>
        <v>NA</v>
      </c>
      <c r="AF439" s="1" t="s">
        <v>4798</v>
      </c>
    </row>
    <row r="440" spans="1:32" x14ac:dyDescent="0.2">
      <c r="A440" s="1" t="s">
        <v>5536</v>
      </c>
      <c r="B440" s="1" t="s">
        <v>5</v>
      </c>
      <c r="C440" s="1" t="s">
        <v>1575</v>
      </c>
      <c r="D440" s="1" t="s">
        <v>1580</v>
      </c>
      <c r="E440" s="1" t="s">
        <v>1593</v>
      </c>
      <c r="F440" s="1" t="s">
        <v>4775</v>
      </c>
      <c r="G440" s="4">
        <v>1</v>
      </c>
      <c r="H440" s="28">
        <v>40908</v>
      </c>
      <c r="I440" s="29">
        <f t="shared" si="242"/>
        <v>2011</v>
      </c>
      <c r="J440" s="1" t="s">
        <v>7</v>
      </c>
      <c r="K440" s="1" t="s">
        <v>4757</v>
      </c>
      <c r="L440" s="11" t="str">
        <f t="shared" si="245"/>
        <v>НЕТ</v>
      </c>
      <c r="M440" s="10" t="s">
        <v>1575</v>
      </c>
      <c r="N440" s="10" t="s">
        <v>1575</v>
      </c>
      <c r="O440" s="10" t="s">
        <v>1575</v>
      </c>
      <c r="P440" s="10" t="str">
        <f t="shared" si="200"/>
        <v>NA</v>
      </c>
      <c r="Q440" s="10" t="str">
        <f t="shared" si="201"/>
        <v>NA</v>
      </c>
      <c r="R440" s="10" t="s">
        <v>1575</v>
      </c>
      <c r="S440" s="10" t="s">
        <v>1575</v>
      </c>
      <c r="T440" s="10" t="s">
        <v>1575</v>
      </c>
      <c r="U440" s="10" t="s">
        <v>1575</v>
      </c>
      <c r="V440" s="10" t="s">
        <v>1575</v>
      </c>
      <c r="W440" s="10" t="s">
        <v>1575</v>
      </c>
      <c r="X440" s="10" t="str">
        <f t="shared" si="202"/>
        <v>NA</v>
      </c>
      <c r="Y440" s="10" t="str">
        <f t="shared" si="203"/>
        <v>NA</v>
      </c>
      <c r="Z440" s="10" t="str">
        <f t="shared" si="204"/>
        <v>NA</v>
      </c>
      <c r="AA440" s="10" t="str">
        <f t="shared" si="205"/>
        <v>NA</v>
      </c>
      <c r="AB440" s="10" t="str">
        <f t="shared" si="206"/>
        <v>NA</v>
      </c>
      <c r="AC440" s="10" t="str">
        <f t="shared" si="207"/>
        <v>NA</v>
      </c>
      <c r="AD440" s="10" t="str">
        <f t="shared" si="208"/>
        <v>NA</v>
      </c>
      <c r="AE440" s="10" t="str">
        <f t="shared" si="209"/>
        <v>NA</v>
      </c>
      <c r="AF440" s="1" t="s">
        <v>4799</v>
      </c>
    </row>
    <row r="441" spans="1:32" x14ac:dyDescent="0.2">
      <c r="A441" s="1" t="s">
        <v>5519</v>
      </c>
      <c r="B441" s="1" t="s">
        <v>5</v>
      </c>
      <c r="C441" s="1" t="s">
        <v>1575</v>
      </c>
      <c r="D441" s="1" t="s">
        <v>1584</v>
      </c>
      <c r="E441" s="1" t="s">
        <v>1586</v>
      </c>
      <c r="F441" s="1" t="s">
        <v>4746</v>
      </c>
      <c r="G441" s="4">
        <v>1.0999999999999999E-2</v>
      </c>
      <c r="H441" s="28">
        <v>40908</v>
      </c>
      <c r="I441" s="29">
        <f t="shared" ref="I441:I459" si="246">YEAR(H441)</f>
        <v>2011</v>
      </c>
      <c r="J441" s="1" t="s">
        <v>4757</v>
      </c>
      <c r="K441" s="1" t="s">
        <v>7</v>
      </c>
      <c r="L441" s="11" t="str">
        <f t="shared" ref="L441:L444" si="247">IF(OR(A441=J441,A441=K441),"ДА","НЕТ")</f>
        <v>НЕТ</v>
      </c>
      <c r="M441" s="10" t="s">
        <v>1575</v>
      </c>
      <c r="N441" s="10" t="s">
        <v>1575</v>
      </c>
      <c r="O441" s="10" t="s">
        <v>1575</v>
      </c>
      <c r="P441" s="10" t="str">
        <f t="shared" si="200"/>
        <v>NA</v>
      </c>
      <c r="Q441" s="10" t="str">
        <f t="shared" si="201"/>
        <v>NA</v>
      </c>
      <c r="R441" s="10" t="s">
        <v>1575</v>
      </c>
      <c r="S441" s="10" t="s">
        <v>1575</v>
      </c>
      <c r="T441" s="10" t="s">
        <v>1575</v>
      </c>
      <c r="U441" s="10" t="s">
        <v>1575</v>
      </c>
      <c r="V441" s="10" t="s">
        <v>1575</v>
      </c>
      <c r="W441" s="10" t="s">
        <v>1575</v>
      </c>
      <c r="X441" s="10" t="str">
        <f t="shared" si="202"/>
        <v>NA</v>
      </c>
      <c r="Y441" s="10" t="str">
        <f t="shared" si="203"/>
        <v>NA</v>
      </c>
      <c r="Z441" s="10" t="str">
        <f t="shared" si="204"/>
        <v>NA</v>
      </c>
      <c r="AA441" s="10" t="str">
        <f t="shared" si="205"/>
        <v>NA</v>
      </c>
      <c r="AB441" s="10" t="str">
        <f t="shared" si="206"/>
        <v>NA</v>
      </c>
      <c r="AC441" s="10" t="str">
        <f t="shared" si="207"/>
        <v>NA</v>
      </c>
      <c r="AD441" s="10" t="str">
        <f t="shared" si="208"/>
        <v>NA</v>
      </c>
      <c r="AE441" s="10" t="str">
        <f t="shared" si="209"/>
        <v>NA</v>
      </c>
      <c r="AF441" s="1" t="s">
        <v>4800</v>
      </c>
    </row>
    <row r="442" spans="1:32" x14ac:dyDescent="0.2">
      <c r="A442" s="1" t="s">
        <v>5537</v>
      </c>
      <c r="B442" s="1" t="s">
        <v>5</v>
      </c>
      <c r="C442" s="1" t="s">
        <v>1575</v>
      </c>
      <c r="D442" s="1" t="s">
        <v>1584</v>
      </c>
      <c r="E442" s="1" t="s">
        <v>1586</v>
      </c>
      <c r="F442" s="1" t="s">
        <v>4746</v>
      </c>
      <c r="G442" s="4">
        <v>4.3900000000000002E-2</v>
      </c>
      <c r="H442" s="28">
        <v>40908</v>
      </c>
      <c r="I442" s="29">
        <f t="shared" si="246"/>
        <v>2011</v>
      </c>
      <c r="J442" s="1" t="s">
        <v>4757</v>
      </c>
      <c r="K442" s="1" t="s">
        <v>7</v>
      </c>
      <c r="L442" s="11" t="str">
        <f t="shared" si="247"/>
        <v>НЕТ</v>
      </c>
      <c r="M442" s="10" t="s">
        <v>1575</v>
      </c>
      <c r="N442" s="10" t="s">
        <v>1575</v>
      </c>
      <c r="O442" s="10" t="s">
        <v>1575</v>
      </c>
      <c r="P442" s="10" t="str">
        <f t="shared" si="200"/>
        <v>NA</v>
      </c>
      <c r="Q442" s="10" t="str">
        <f t="shared" si="201"/>
        <v>NA</v>
      </c>
      <c r="R442" s="10" t="s">
        <v>1575</v>
      </c>
      <c r="S442" s="10" t="s">
        <v>1575</v>
      </c>
      <c r="T442" s="10" t="s">
        <v>1575</v>
      </c>
      <c r="U442" s="10" t="s">
        <v>1575</v>
      </c>
      <c r="V442" s="10" t="s">
        <v>1575</v>
      </c>
      <c r="W442" s="10" t="s">
        <v>1575</v>
      </c>
      <c r="X442" s="10" t="str">
        <f t="shared" si="202"/>
        <v>NA</v>
      </c>
      <c r="Y442" s="10" t="str">
        <f t="shared" si="203"/>
        <v>NA</v>
      </c>
      <c r="Z442" s="10" t="str">
        <f t="shared" si="204"/>
        <v>NA</v>
      </c>
      <c r="AA442" s="10" t="str">
        <f t="shared" si="205"/>
        <v>NA</v>
      </c>
      <c r="AB442" s="10" t="str">
        <f t="shared" si="206"/>
        <v>NA</v>
      </c>
      <c r="AC442" s="10" t="str">
        <f t="shared" si="207"/>
        <v>NA</v>
      </c>
      <c r="AD442" s="10" t="str">
        <f t="shared" si="208"/>
        <v>NA</v>
      </c>
      <c r="AE442" s="10" t="str">
        <f t="shared" si="209"/>
        <v>NA</v>
      </c>
      <c r="AF442" s="1" t="s">
        <v>4800</v>
      </c>
    </row>
    <row r="443" spans="1:32" x14ac:dyDescent="0.2">
      <c r="A443" s="1" t="s">
        <v>5536</v>
      </c>
      <c r="B443" s="1" t="s">
        <v>5</v>
      </c>
      <c r="C443" s="1" t="s">
        <v>1575</v>
      </c>
      <c r="D443" s="1" t="s">
        <v>1580</v>
      </c>
      <c r="E443" s="1" t="s">
        <v>1593</v>
      </c>
      <c r="F443" s="1" t="s">
        <v>4775</v>
      </c>
      <c r="G443" s="4">
        <v>1</v>
      </c>
      <c r="H443" s="28">
        <v>40908</v>
      </c>
      <c r="I443" s="29">
        <f t="shared" si="246"/>
        <v>2011</v>
      </c>
      <c r="J443" s="1" t="s">
        <v>7</v>
      </c>
      <c r="K443" s="1" t="s">
        <v>4757</v>
      </c>
      <c r="L443" s="11" t="str">
        <f t="shared" si="247"/>
        <v>НЕТ</v>
      </c>
      <c r="M443" s="10" t="s">
        <v>1575</v>
      </c>
      <c r="N443" s="10" t="s">
        <v>1575</v>
      </c>
      <c r="O443" s="10" t="s">
        <v>1575</v>
      </c>
      <c r="P443" s="10" t="str">
        <f t="shared" si="200"/>
        <v>NA</v>
      </c>
      <c r="Q443" s="10" t="str">
        <f t="shared" si="201"/>
        <v>NA</v>
      </c>
      <c r="R443" s="10" t="s">
        <v>1575</v>
      </c>
      <c r="S443" s="10" t="s">
        <v>1575</v>
      </c>
      <c r="T443" s="10" t="s">
        <v>1575</v>
      </c>
      <c r="U443" s="10" t="s">
        <v>1575</v>
      </c>
      <c r="V443" s="10" t="s">
        <v>1575</v>
      </c>
      <c r="W443" s="10" t="s">
        <v>1575</v>
      </c>
      <c r="X443" s="10" t="str">
        <f t="shared" si="202"/>
        <v>NA</v>
      </c>
      <c r="Y443" s="10" t="str">
        <f t="shared" si="203"/>
        <v>NA</v>
      </c>
      <c r="Z443" s="10" t="str">
        <f t="shared" si="204"/>
        <v>NA</v>
      </c>
      <c r="AA443" s="10" t="str">
        <f t="shared" si="205"/>
        <v>NA</v>
      </c>
      <c r="AB443" s="10" t="str">
        <f t="shared" si="206"/>
        <v>NA</v>
      </c>
      <c r="AC443" s="10" t="str">
        <f t="shared" si="207"/>
        <v>NA</v>
      </c>
      <c r="AD443" s="10" t="str">
        <f t="shared" si="208"/>
        <v>NA</v>
      </c>
      <c r="AE443" s="10" t="str">
        <f t="shared" si="209"/>
        <v>NA</v>
      </c>
      <c r="AF443" s="1" t="s">
        <v>4801</v>
      </c>
    </row>
    <row r="444" spans="1:32" x14ac:dyDescent="0.2">
      <c r="A444" s="1" t="s">
        <v>4757</v>
      </c>
      <c r="B444" s="1" t="s">
        <v>5</v>
      </c>
      <c r="C444" s="1" t="s">
        <v>4789</v>
      </c>
      <c r="D444" s="1" t="s">
        <v>1580</v>
      </c>
      <c r="E444" s="1" t="s">
        <v>1694</v>
      </c>
      <c r="F444" s="1" t="s">
        <v>68</v>
      </c>
      <c r="G444" s="4">
        <f>4757902352/292575808568</f>
        <v>1.626211809953582E-2</v>
      </c>
      <c r="H444" s="28">
        <v>40819</v>
      </c>
      <c r="I444" s="29">
        <f t="shared" ref="I444" si="248">YEAR(H444)</f>
        <v>2011</v>
      </c>
      <c r="J444" s="1" t="s">
        <v>7</v>
      </c>
      <c r="K444" s="1" t="s">
        <v>4757</v>
      </c>
      <c r="L444" s="11" t="str">
        <f t="shared" si="247"/>
        <v>ДА</v>
      </c>
      <c r="M444" s="10" t="s">
        <v>1575</v>
      </c>
      <c r="N444" s="10" t="s">
        <v>1575</v>
      </c>
      <c r="O444" s="10">
        <v>0.47578999999999999</v>
      </c>
      <c r="P444" s="10">
        <f t="shared" si="200"/>
        <v>29.257566393739374</v>
      </c>
      <c r="Q444" s="10" t="str">
        <f t="shared" si="201"/>
        <v>NA</v>
      </c>
      <c r="R444" s="10" t="s">
        <v>1575</v>
      </c>
      <c r="S444" s="10" t="s">
        <v>1575</v>
      </c>
      <c r="T444" s="10" t="s">
        <v>1575</v>
      </c>
      <c r="U444" s="10" t="s">
        <v>1575</v>
      </c>
      <c r="V444" s="10">
        <v>57.121944999999997</v>
      </c>
      <c r="W444" s="10" t="s">
        <v>1575</v>
      </c>
      <c r="X444" s="10" t="str">
        <f t="shared" si="202"/>
        <v>NA</v>
      </c>
      <c r="Y444" s="10" t="str">
        <f t="shared" si="203"/>
        <v>NA</v>
      </c>
      <c r="Z444" s="10" t="str">
        <f t="shared" si="204"/>
        <v>NA</v>
      </c>
      <c r="AA444" s="10">
        <f t="shared" si="205"/>
        <v>0.51219485600042813</v>
      </c>
      <c r="AB444" s="10" t="str">
        <f t="shared" si="206"/>
        <v>NA</v>
      </c>
      <c r="AC444" s="10" t="str">
        <f t="shared" si="207"/>
        <v>NA</v>
      </c>
      <c r="AD444" s="10" t="str">
        <f t="shared" si="208"/>
        <v>NA</v>
      </c>
      <c r="AE444" s="10" t="str">
        <f t="shared" si="209"/>
        <v>NA</v>
      </c>
      <c r="AF444" s="1" t="s">
        <v>4804</v>
      </c>
    </row>
    <row r="445" spans="1:32" x14ac:dyDescent="0.2">
      <c r="A445" s="1" t="s">
        <v>5530</v>
      </c>
      <c r="B445" s="1" t="s">
        <v>5</v>
      </c>
      <c r="C445" s="1" t="s">
        <v>1575</v>
      </c>
      <c r="D445" s="1" t="s">
        <v>1584</v>
      </c>
      <c r="E445" s="1" t="s">
        <v>1586</v>
      </c>
      <c r="F445" s="1" t="s">
        <v>4768</v>
      </c>
      <c r="G445" s="4">
        <v>0.125</v>
      </c>
      <c r="H445" s="28">
        <v>40730</v>
      </c>
      <c r="I445" s="29">
        <f t="shared" si="246"/>
        <v>2011</v>
      </c>
      <c r="J445" s="1" t="s">
        <v>4757</v>
      </c>
      <c r="K445" s="1" t="s">
        <v>7</v>
      </c>
      <c r="L445" s="11" t="str">
        <f t="shared" ref="L445:L446" si="249">IF(OR(A445=J445,A445=K445),"ДА","НЕТ")</f>
        <v>НЕТ</v>
      </c>
      <c r="M445" s="10" t="s">
        <v>1575</v>
      </c>
      <c r="N445" s="10" t="s">
        <v>1575</v>
      </c>
      <c r="O445" s="10" t="s">
        <v>1575</v>
      </c>
      <c r="P445" s="10" t="str">
        <f t="shared" si="200"/>
        <v>NA</v>
      </c>
      <c r="Q445" s="10" t="str">
        <f t="shared" si="201"/>
        <v>NA</v>
      </c>
      <c r="R445" s="10" t="s">
        <v>1575</v>
      </c>
      <c r="S445" s="10" t="s">
        <v>1575</v>
      </c>
      <c r="T445" s="10" t="s">
        <v>1575</v>
      </c>
      <c r="U445" s="10" t="s">
        <v>1575</v>
      </c>
      <c r="V445" s="10" t="s">
        <v>1575</v>
      </c>
      <c r="W445" s="10" t="s">
        <v>1575</v>
      </c>
      <c r="X445" s="10" t="str">
        <f t="shared" si="202"/>
        <v>NA</v>
      </c>
      <c r="Y445" s="10" t="str">
        <f t="shared" si="203"/>
        <v>NA</v>
      </c>
      <c r="Z445" s="10" t="str">
        <f t="shared" si="204"/>
        <v>NA</v>
      </c>
      <c r="AA445" s="10" t="str">
        <f t="shared" si="205"/>
        <v>NA</v>
      </c>
      <c r="AB445" s="10" t="str">
        <f t="shared" si="206"/>
        <v>NA</v>
      </c>
      <c r="AC445" s="10" t="str">
        <f t="shared" si="207"/>
        <v>NA</v>
      </c>
      <c r="AD445" s="10" t="str">
        <f t="shared" si="208"/>
        <v>NA</v>
      </c>
      <c r="AE445" s="10" t="str">
        <f t="shared" si="209"/>
        <v>NA</v>
      </c>
      <c r="AF445" s="1" t="s">
        <v>4802</v>
      </c>
    </row>
    <row r="446" spans="1:32" x14ac:dyDescent="0.2">
      <c r="A446" s="1" t="s">
        <v>5530</v>
      </c>
      <c r="B446" s="1" t="s">
        <v>5</v>
      </c>
      <c r="C446" s="1" t="s">
        <v>1575</v>
      </c>
      <c r="D446" s="1" t="s">
        <v>1584</v>
      </c>
      <c r="E446" s="1" t="s">
        <v>1586</v>
      </c>
      <c r="F446" s="1" t="s">
        <v>4768</v>
      </c>
      <c r="G446" s="4">
        <f>74.99%-49.99%</f>
        <v>0.24999999999999989</v>
      </c>
      <c r="H446" s="28">
        <v>40613</v>
      </c>
      <c r="I446" s="29">
        <f t="shared" ref="I446" si="250">YEAR(H446)</f>
        <v>2011</v>
      </c>
      <c r="J446" s="1" t="s">
        <v>4757</v>
      </c>
      <c r="K446" s="1" t="s">
        <v>7</v>
      </c>
      <c r="L446" s="11" t="str">
        <f t="shared" si="249"/>
        <v>НЕТ</v>
      </c>
      <c r="M446" s="10" t="s">
        <v>1575</v>
      </c>
      <c r="N446" s="10" t="s">
        <v>1575</v>
      </c>
      <c r="O446" s="10" t="s">
        <v>1575</v>
      </c>
      <c r="P446" s="10" t="str">
        <f t="shared" si="200"/>
        <v>NA</v>
      </c>
      <c r="Q446" s="10" t="str">
        <f t="shared" si="201"/>
        <v>NA</v>
      </c>
      <c r="R446" s="10" t="s">
        <v>1575</v>
      </c>
      <c r="S446" s="10" t="s">
        <v>1575</v>
      </c>
      <c r="T446" s="10" t="s">
        <v>1575</v>
      </c>
      <c r="U446" s="10" t="s">
        <v>1575</v>
      </c>
      <c r="V446" s="10" t="s">
        <v>1575</v>
      </c>
      <c r="W446" s="10" t="s">
        <v>1575</v>
      </c>
      <c r="X446" s="10" t="str">
        <f t="shared" si="202"/>
        <v>NA</v>
      </c>
      <c r="Y446" s="10" t="str">
        <f t="shared" si="203"/>
        <v>NA</v>
      </c>
      <c r="Z446" s="10" t="str">
        <f t="shared" si="204"/>
        <v>NA</v>
      </c>
      <c r="AA446" s="10" t="str">
        <f t="shared" si="205"/>
        <v>NA</v>
      </c>
      <c r="AB446" s="10" t="str">
        <f t="shared" si="206"/>
        <v>NA</v>
      </c>
      <c r="AC446" s="10" t="str">
        <f t="shared" si="207"/>
        <v>NA</v>
      </c>
      <c r="AD446" s="10" t="str">
        <f t="shared" si="208"/>
        <v>NA</v>
      </c>
      <c r="AE446" s="10" t="str">
        <f t="shared" si="209"/>
        <v>NA</v>
      </c>
      <c r="AF446" s="1" t="s">
        <v>4803</v>
      </c>
    </row>
    <row r="447" spans="1:32" x14ac:dyDescent="0.2">
      <c r="A447" s="1" t="s">
        <v>5530</v>
      </c>
      <c r="B447" s="1" t="s">
        <v>5</v>
      </c>
      <c r="C447" s="1" t="s">
        <v>1575</v>
      </c>
      <c r="D447" s="1" t="s">
        <v>1584</v>
      </c>
      <c r="E447" s="1" t="s">
        <v>1586</v>
      </c>
      <c r="F447" s="1" t="s">
        <v>4768</v>
      </c>
      <c r="G447" s="4">
        <f>74.99%-49.99%</f>
        <v>0.24999999999999989</v>
      </c>
      <c r="H447" s="28">
        <v>40543</v>
      </c>
      <c r="I447" s="29">
        <f t="shared" si="246"/>
        <v>2010</v>
      </c>
      <c r="J447" s="1" t="s">
        <v>7</v>
      </c>
      <c r="K447" s="1" t="s">
        <v>4757</v>
      </c>
      <c r="L447" s="11" t="str">
        <f t="shared" ref="L447:L448" si="251">IF(OR(A447=J447,A447=K447),"ДА","НЕТ")</f>
        <v>НЕТ</v>
      </c>
      <c r="M447" s="10" t="s">
        <v>1575</v>
      </c>
      <c r="N447" s="10" t="s">
        <v>1575</v>
      </c>
      <c r="O447" s="10" t="s">
        <v>1575</v>
      </c>
      <c r="P447" s="10" t="str">
        <f t="shared" si="200"/>
        <v>NA</v>
      </c>
      <c r="Q447" s="10" t="str">
        <f t="shared" si="201"/>
        <v>NA</v>
      </c>
      <c r="R447" s="10" t="s">
        <v>1575</v>
      </c>
      <c r="S447" s="10" t="s">
        <v>1575</v>
      </c>
      <c r="T447" s="10" t="s">
        <v>1575</v>
      </c>
      <c r="U447" s="10" t="s">
        <v>1575</v>
      </c>
      <c r="V447" s="10" t="s">
        <v>1575</v>
      </c>
      <c r="W447" s="10" t="s">
        <v>1575</v>
      </c>
      <c r="X447" s="10" t="str">
        <f t="shared" si="202"/>
        <v>NA</v>
      </c>
      <c r="Y447" s="10" t="str">
        <f t="shared" si="203"/>
        <v>NA</v>
      </c>
      <c r="Z447" s="10" t="str">
        <f t="shared" si="204"/>
        <v>NA</v>
      </c>
      <c r="AA447" s="10" t="str">
        <f t="shared" si="205"/>
        <v>NA</v>
      </c>
      <c r="AB447" s="10" t="str">
        <f t="shared" si="206"/>
        <v>NA</v>
      </c>
      <c r="AC447" s="10" t="str">
        <f t="shared" si="207"/>
        <v>NA</v>
      </c>
      <c r="AD447" s="10" t="str">
        <f t="shared" si="208"/>
        <v>NA</v>
      </c>
      <c r="AE447" s="10" t="str">
        <f t="shared" si="209"/>
        <v>NA</v>
      </c>
      <c r="AF447" s="1" t="s">
        <v>4809</v>
      </c>
    </row>
    <row r="448" spans="1:32" x14ac:dyDescent="0.2">
      <c r="A448" s="1" t="s">
        <v>5534</v>
      </c>
      <c r="B448" s="1" t="s">
        <v>5</v>
      </c>
      <c r="C448" s="1" t="s">
        <v>1575</v>
      </c>
      <c r="D448" s="1" t="s">
        <v>1580</v>
      </c>
      <c r="E448" s="1" t="s">
        <v>2057</v>
      </c>
      <c r="F448" s="1" t="s">
        <v>434</v>
      </c>
      <c r="G448" s="4">
        <v>1</v>
      </c>
      <c r="H448" s="28">
        <v>40255</v>
      </c>
      <c r="I448" s="29">
        <f t="shared" si="246"/>
        <v>2010</v>
      </c>
      <c r="J448" s="1" t="s">
        <v>5538</v>
      </c>
      <c r="K448" s="1" t="s">
        <v>7</v>
      </c>
      <c r="L448" s="11" t="str">
        <f t="shared" si="251"/>
        <v>НЕТ</v>
      </c>
      <c r="M448" s="10" t="s">
        <v>1575</v>
      </c>
      <c r="N448" s="10" t="s">
        <v>1575</v>
      </c>
      <c r="O448" s="10">
        <v>1.0000000000000001E-5</v>
      </c>
      <c r="P448" s="10">
        <f t="shared" si="200"/>
        <v>1.0000000000000001E-5</v>
      </c>
      <c r="Q448" s="10" t="str">
        <f t="shared" si="201"/>
        <v>NA</v>
      </c>
      <c r="R448" s="10" t="s">
        <v>1575</v>
      </c>
      <c r="S448" s="10" t="s">
        <v>1575</v>
      </c>
      <c r="T448" s="10" t="s">
        <v>1575</v>
      </c>
      <c r="U448" s="10" t="s">
        <v>1575</v>
      </c>
      <c r="V448" s="10">
        <v>0.11443399999999999</v>
      </c>
      <c r="W448" s="10" t="s">
        <v>1575</v>
      </c>
      <c r="X448" s="10" t="str">
        <f t="shared" si="202"/>
        <v>NA</v>
      </c>
      <c r="Y448" s="10" t="str">
        <f t="shared" si="203"/>
        <v>NA</v>
      </c>
      <c r="Z448" s="10" t="str">
        <f t="shared" si="204"/>
        <v>NA</v>
      </c>
      <c r="AA448" s="10">
        <f t="shared" si="205"/>
        <v>8.7386615865913992E-5</v>
      </c>
      <c r="AB448" s="10" t="str">
        <f t="shared" si="206"/>
        <v>NA</v>
      </c>
      <c r="AC448" s="10" t="str">
        <f t="shared" si="207"/>
        <v>NA</v>
      </c>
      <c r="AD448" s="10" t="str">
        <f t="shared" si="208"/>
        <v>NA</v>
      </c>
      <c r="AE448" s="10" t="str">
        <f t="shared" si="209"/>
        <v>NA</v>
      </c>
      <c r="AF448" s="1" t="s">
        <v>4805</v>
      </c>
    </row>
    <row r="449" spans="1:32" x14ac:dyDescent="0.2">
      <c r="A449" s="1" t="s">
        <v>5539</v>
      </c>
      <c r="B449" s="1" t="s">
        <v>5</v>
      </c>
      <c r="C449" s="1" t="s">
        <v>1575</v>
      </c>
      <c r="D449" s="1" t="s">
        <v>1580</v>
      </c>
      <c r="E449" s="1" t="s">
        <v>1587</v>
      </c>
      <c r="F449" s="1" t="s">
        <v>4807</v>
      </c>
      <c r="G449" s="4">
        <v>1</v>
      </c>
      <c r="H449" s="28">
        <v>40338</v>
      </c>
      <c r="I449" s="29">
        <f t="shared" si="246"/>
        <v>2010</v>
      </c>
      <c r="J449" s="1" t="s">
        <v>7</v>
      </c>
      <c r="K449" s="1" t="s">
        <v>4757</v>
      </c>
      <c r="L449" s="11" t="str">
        <f t="shared" ref="L449" si="252">IF(OR(A449=J449,A449=K449),"ДА","НЕТ")</f>
        <v>НЕТ</v>
      </c>
      <c r="M449" s="10" t="s">
        <v>1575</v>
      </c>
      <c r="N449" s="10" t="s">
        <v>1575</v>
      </c>
      <c r="O449" s="10">
        <v>3.0000000000000001E-3</v>
      </c>
      <c r="P449" s="10">
        <f t="shared" si="200"/>
        <v>3.0000000000000001E-3</v>
      </c>
      <c r="Q449" s="10" t="str">
        <f t="shared" si="201"/>
        <v>NA</v>
      </c>
      <c r="R449" s="10" t="s">
        <v>1575</v>
      </c>
      <c r="S449" s="10" t="s">
        <v>1575</v>
      </c>
      <c r="T449" s="10" t="s">
        <v>1575</v>
      </c>
      <c r="U449" s="10" t="s">
        <v>1575</v>
      </c>
      <c r="V449" s="10">
        <v>3.0040000000000002E-3</v>
      </c>
      <c r="W449" s="10" t="s">
        <v>1575</v>
      </c>
      <c r="X449" s="10" t="str">
        <f t="shared" si="202"/>
        <v>NA</v>
      </c>
      <c r="Y449" s="10" t="str">
        <f t="shared" si="203"/>
        <v>NA</v>
      </c>
      <c r="Z449" s="10" t="str">
        <f t="shared" si="204"/>
        <v>NA</v>
      </c>
      <c r="AA449" s="10">
        <f t="shared" si="205"/>
        <v>0.99866844207723038</v>
      </c>
      <c r="AB449" s="10" t="str">
        <f t="shared" si="206"/>
        <v>NA</v>
      </c>
      <c r="AC449" s="10" t="str">
        <f t="shared" si="207"/>
        <v>NA</v>
      </c>
      <c r="AD449" s="10" t="str">
        <f t="shared" si="208"/>
        <v>NA</v>
      </c>
      <c r="AE449" s="10" t="str">
        <f t="shared" si="209"/>
        <v>NA</v>
      </c>
      <c r="AF449" s="1" t="s">
        <v>4806</v>
      </c>
    </row>
    <row r="450" spans="1:32" x14ac:dyDescent="0.2">
      <c r="A450" s="1" t="s">
        <v>5540</v>
      </c>
      <c r="B450" s="1" t="s">
        <v>5</v>
      </c>
      <c r="C450" s="1" t="s">
        <v>1575</v>
      </c>
      <c r="D450" s="1" t="s">
        <v>1580</v>
      </c>
      <c r="E450" s="1" t="s">
        <v>2057</v>
      </c>
      <c r="F450" s="1" t="s">
        <v>434</v>
      </c>
      <c r="G450" s="4">
        <v>1</v>
      </c>
      <c r="H450" s="28">
        <v>40376</v>
      </c>
      <c r="I450" s="29">
        <f t="shared" si="246"/>
        <v>2010</v>
      </c>
      <c r="J450" s="1" t="s">
        <v>7</v>
      </c>
      <c r="K450" s="1" t="s">
        <v>4757</v>
      </c>
      <c r="L450" s="11" t="str">
        <f t="shared" ref="L450:L452" si="253">IF(OR(A450=J450,A450=K450),"ДА","НЕТ")</f>
        <v>НЕТ</v>
      </c>
      <c r="M450" s="10" t="s">
        <v>1575</v>
      </c>
      <c r="N450" s="10" t="s">
        <v>1575</v>
      </c>
      <c r="O450" s="10">
        <v>3.79E-3</v>
      </c>
      <c r="P450" s="10">
        <f t="shared" si="200"/>
        <v>3.79E-3</v>
      </c>
      <c r="Q450" s="10" t="str">
        <f t="shared" si="201"/>
        <v>NA</v>
      </c>
      <c r="R450" s="10" t="s">
        <v>1575</v>
      </c>
      <c r="S450" s="10" t="s">
        <v>1575</v>
      </c>
      <c r="T450" s="10" t="s">
        <v>1575</v>
      </c>
      <c r="U450" s="10" t="s">
        <v>1575</v>
      </c>
      <c r="V450" s="10">
        <v>3.7454000000000001E-2</v>
      </c>
      <c r="W450" s="10" t="s">
        <v>1575</v>
      </c>
      <c r="X450" s="10" t="str">
        <f t="shared" si="202"/>
        <v>NA</v>
      </c>
      <c r="Y450" s="10" t="str">
        <f t="shared" si="203"/>
        <v>NA</v>
      </c>
      <c r="Z450" s="10" t="str">
        <f t="shared" si="204"/>
        <v>NA</v>
      </c>
      <c r="AA450" s="10">
        <f t="shared" si="205"/>
        <v>0.10119079404068991</v>
      </c>
      <c r="AB450" s="10" t="str">
        <f t="shared" si="206"/>
        <v>NA</v>
      </c>
      <c r="AC450" s="10" t="str">
        <f t="shared" si="207"/>
        <v>NA</v>
      </c>
      <c r="AD450" s="10" t="str">
        <f t="shared" si="208"/>
        <v>NA</v>
      </c>
      <c r="AE450" s="10" t="str">
        <f t="shared" si="209"/>
        <v>NA</v>
      </c>
      <c r="AF450" s="1" t="s">
        <v>4808</v>
      </c>
    </row>
    <row r="451" spans="1:32" x14ac:dyDescent="0.2">
      <c r="A451" s="1" t="s">
        <v>5519</v>
      </c>
      <c r="B451" s="1" t="s">
        <v>5</v>
      </c>
      <c r="C451" s="1" t="s">
        <v>1575</v>
      </c>
      <c r="D451" s="1" t="s">
        <v>1584</v>
      </c>
      <c r="E451" s="1" t="s">
        <v>1586</v>
      </c>
      <c r="F451" s="1" t="s">
        <v>4746</v>
      </c>
      <c r="G451" s="4">
        <v>8.6E-3</v>
      </c>
      <c r="H451" s="28">
        <v>40543</v>
      </c>
      <c r="I451" s="29">
        <f t="shared" si="246"/>
        <v>2010</v>
      </c>
      <c r="J451" s="1" t="s">
        <v>4757</v>
      </c>
      <c r="K451" s="1" t="s">
        <v>7</v>
      </c>
      <c r="L451" s="11" t="str">
        <f t="shared" si="253"/>
        <v>НЕТ</v>
      </c>
      <c r="M451" s="10" t="s">
        <v>1575</v>
      </c>
      <c r="N451" s="10" t="s">
        <v>1575</v>
      </c>
      <c r="O451" s="10" t="s">
        <v>1575</v>
      </c>
      <c r="P451" s="10" t="str">
        <f t="shared" ref="P451:P514" si="254">IFERROR(O451/G451,"NA")</f>
        <v>NA</v>
      </c>
      <c r="Q451" s="10" t="str">
        <f t="shared" ref="Q451:Q514" si="255">IFERROR(P451+W451,"NA")</f>
        <v>NA</v>
      </c>
      <c r="R451" s="10" t="s">
        <v>1575</v>
      </c>
      <c r="S451" s="10" t="s">
        <v>1575</v>
      </c>
      <c r="T451" s="10" t="s">
        <v>1575</v>
      </c>
      <c r="U451" s="10" t="s">
        <v>1575</v>
      </c>
      <c r="V451" s="10" t="s">
        <v>1575</v>
      </c>
      <c r="W451" s="10" t="s">
        <v>1575</v>
      </c>
      <c r="X451" s="10" t="str">
        <f t="shared" ref="X451:X514" si="256">IFERROR(V451+W451,"NA")</f>
        <v>NA</v>
      </c>
      <c r="Y451" s="10" t="str">
        <f t="shared" ref="Y451:Y514" si="257">IFERROR(P451/R451,"NA")</f>
        <v>NA</v>
      </c>
      <c r="Z451" s="10" t="str">
        <f t="shared" ref="Z451:Z514" si="258">IFERROR(P451/U451,"NA")</f>
        <v>NA</v>
      </c>
      <c r="AA451" s="10" t="str">
        <f t="shared" ref="AA451:AA514" si="259">IFERROR(P451/V451,"NA")</f>
        <v>NA</v>
      </c>
      <c r="AB451" s="10" t="str">
        <f t="shared" ref="AB451:AB514" si="260">IFERROR(Q451/R451,"NA")</f>
        <v>NA</v>
      </c>
      <c r="AC451" s="10" t="str">
        <f t="shared" ref="AC451:AC514" si="261">IFERROR(Q451/S451,"NA")</f>
        <v>NA</v>
      </c>
      <c r="AD451" s="10" t="str">
        <f t="shared" ref="AD451:AD514" si="262">IFERROR(Q451/T451,"NA")</f>
        <v>NA</v>
      </c>
      <c r="AE451" s="10" t="str">
        <f t="shared" ref="AE451:AE514" si="263">IFERROR(Q451/X451,"NA")</f>
        <v>NA</v>
      </c>
      <c r="AF451" s="1" t="s">
        <v>4810</v>
      </c>
    </row>
    <row r="452" spans="1:32" x14ac:dyDescent="0.2">
      <c r="A452" s="1" t="s">
        <v>5537</v>
      </c>
      <c r="B452" s="1" t="s">
        <v>5</v>
      </c>
      <c r="C452" s="1" t="s">
        <v>1575</v>
      </c>
      <c r="D452" s="1" t="s">
        <v>1584</v>
      </c>
      <c r="E452" s="1" t="s">
        <v>1586</v>
      </c>
      <c r="F452" s="1" t="s">
        <v>4746</v>
      </c>
      <c r="G452" s="4">
        <v>2.8299999999999999E-2</v>
      </c>
      <c r="H452" s="28">
        <v>40543</v>
      </c>
      <c r="I452" s="29">
        <f t="shared" si="246"/>
        <v>2010</v>
      </c>
      <c r="J452" s="1" t="s">
        <v>4757</v>
      </c>
      <c r="K452" s="1" t="s">
        <v>7</v>
      </c>
      <c r="L452" s="11" t="str">
        <f t="shared" si="253"/>
        <v>НЕТ</v>
      </c>
      <c r="M452" s="10" t="s">
        <v>1575</v>
      </c>
      <c r="N452" s="10" t="s">
        <v>1575</v>
      </c>
      <c r="O452" s="10" t="s">
        <v>1575</v>
      </c>
      <c r="P452" s="10" t="str">
        <f t="shared" si="254"/>
        <v>NA</v>
      </c>
      <c r="Q452" s="10" t="str">
        <f t="shared" si="255"/>
        <v>NA</v>
      </c>
      <c r="R452" s="10" t="s">
        <v>1575</v>
      </c>
      <c r="S452" s="10" t="s">
        <v>1575</v>
      </c>
      <c r="T452" s="10" t="s">
        <v>1575</v>
      </c>
      <c r="U452" s="10" t="s">
        <v>1575</v>
      </c>
      <c r="V452" s="10" t="s">
        <v>1575</v>
      </c>
      <c r="W452" s="10" t="s">
        <v>1575</v>
      </c>
      <c r="X452" s="10" t="str">
        <f t="shared" si="256"/>
        <v>NA</v>
      </c>
      <c r="Y452" s="10" t="str">
        <f t="shared" si="257"/>
        <v>NA</v>
      </c>
      <c r="Z452" s="10" t="str">
        <f t="shared" si="258"/>
        <v>NA</v>
      </c>
      <c r="AA452" s="10" t="str">
        <f t="shared" si="259"/>
        <v>NA</v>
      </c>
      <c r="AB452" s="10" t="str">
        <f t="shared" si="260"/>
        <v>NA</v>
      </c>
      <c r="AC452" s="10" t="str">
        <f t="shared" si="261"/>
        <v>NA</v>
      </c>
      <c r="AD452" s="10" t="str">
        <f t="shared" si="262"/>
        <v>NA</v>
      </c>
      <c r="AE452" s="10" t="str">
        <f t="shared" si="263"/>
        <v>NA</v>
      </c>
      <c r="AF452" s="1" t="s">
        <v>4810</v>
      </c>
    </row>
    <row r="453" spans="1:32" x14ac:dyDescent="0.2">
      <c r="A453" s="1" t="s">
        <v>5541</v>
      </c>
      <c r="B453" s="1" t="s">
        <v>5</v>
      </c>
      <c r="C453" s="1" t="s">
        <v>1575</v>
      </c>
      <c r="D453" s="1" t="s">
        <v>1580</v>
      </c>
      <c r="E453" s="1" t="s">
        <v>1593</v>
      </c>
      <c r="F453" s="1" t="s">
        <v>4775</v>
      </c>
      <c r="G453" s="4">
        <v>1</v>
      </c>
      <c r="H453" s="28">
        <v>40543</v>
      </c>
      <c r="I453" s="29">
        <f t="shared" si="246"/>
        <v>2010</v>
      </c>
      <c r="J453" s="1" t="s">
        <v>4757</v>
      </c>
      <c r="K453" s="1" t="s">
        <v>7</v>
      </c>
      <c r="L453" s="11" t="str">
        <f t="shared" ref="L453:L454" si="264">IF(OR(A453=J453,A453=K453),"ДА","НЕТ")</f>
        <v>НЕТ</v>
      </c>
      <c r="M453" s="10" t="s">
        <v>1575</v>
      </c>
      <c r="N453" s="10" t="s">
        <v>1575</v>
      </c>
      <c r="O453" s="10" t="s">
        <v>1575</v>
      </c>
      <c r="P453" s="10" t="str">
        <f t="shared" si="254"/>
        <v>NA</v>
      </c>
      <c r="Q453" s="10" t="str">
        <f t="shared" si="255"/>
        <v>NA</v>
      </c>
      <c r="R453" s="10" t="s">
        <v>1575</v>
      </c>
      <c r="S453" s="10" t="s">
        <v>1575</v>
      </c>
      <c r="T453" s="10" t="s">
        <v>1575</v>
      </c>
      <c r="U453" s="10" t="s">
        <v>1575</v>
      </c>
      <c r="V453" s="10" t="s">
        <v>1575</v>
      </c>
      <c r="W453" s="10" t="s">
        <v>1575</v>
      </c>
      <c r="X453" s="10" t="str">
        <f t="shared" si="256"/>
        <v>NA</v>
      </c>
      <c r="Y453" s="10" t="str">
        <f t="shared" si="257"/>
        <v>NA</v>
      </c>
      <c r="Z453" s="10" t="str">
        <f t="shared" si="258"/>
        <v>NA</v>
      </c>
      <c r="AA453" s="10" t="str">
        <f t="shared" si="259"/>
        <v>NA</v>
      </c>
      <c r="AB453" s="10" t="str">
        <f t="shared" si="260"/>
        <v>NA</v>
      </c>
      <c r="AC453" s="10" t="str">
        <f t="shared" si="261"/>
        <v>NA</v>
      </c>
      <c r="AD453" s="10" t="str">
        <f t="shared" si="262"/>
        <v>NA</v>
      </c>
      <c r="AE453" s="10" t="str">
        <f t="shared" si="263"/>
        <v>NA</v>
      </c>
      <c r="AF453" s="1" t="s">
        <v>4811</v>
      </c>
    </row>
    <row r="454" spans="1:32" x14ac:dyDescent="0.2">
      <c r="A454" s="1" t="s">
        <v>5536</v>
      </c>
      <c r="B454" s="1" t="s">
        <v>5</v>
      </c>
      <c r="C454" s="1" t="s">
        <v>1575</v>
      </c>
      <c r="D454" s="1" t="s">
        <v>1580</v>
      </c>
      <c r="E454" s="1" t="s">
        <v>1593</v>
      </c>
      <c r="F454" s="1" t="s">
        <v>4775</v>
      </c>
      <c r="G454" s="4">
        <v>1</v>
      </c>
      <c r="H454" s="28">
        <v>40543</v>
      </c>
      <c r="I454" s="29">
        <f t="shared" si="246"/>
        <v>2010</v>
      </c>
      <c r="J454" s="1" t="s">
        <v>4757</v>
      </c>
      <c r="K454" s="1" t="s">
        <v>7</v>
      </c>
      <c r="L454" s="11" t="str">
        <f t="shared" si="264"/>
        <v>НЕТ</v>
      </c>
      <c r="M454" s="10" t="s">
        <v>1575</v>
      </c>
      <c r="N454" s="10" t="s">
        <v>1575</v>
      </c>
      <c r="O454" s="10" t="s">
        <v>1575</v>
      </c>
      <c r="P454" s="10" t="str">
        <f t="shared" si="254"/>
        <v>NA</v>
      </c>
      <c r="Q454" s="10" t="str">
        <f t="shared" si="255"/>
        <v>NA</v>
      </c>
      <c r="R454" s="10" t="s">
        <v>1575</v>
      </c>
      <c r="S454" s="10" t="s">
        <v>1575</v>
      </c>
      <c r="T454" s="10" t="s">
        <v>1575</v>
      </c>
      <c r="U454" s="10" t="s">
        <v>1575</v>
      </c>
      <c r="V454" s="10" t="s">
        <v>1575</v>
      </c>
      <c r="W454" s="10" t="s">
        <v>1575</v>
      </c>
      <c r="X454" s="10" t="str">
        <f t="shared" si="256"/>
        <v>NA</v>
      </c>
      <c r="Y454" s="10" t="str">
        <f t="shared" si="257"/>
        <v>NA</v>
      </c>
      <c r="Z454" s="10" t="str">
        <f t="shared" si="258"/>
        <v>NA</v>
      </c>
      <c r="AA454" s="10" t="str">
        <f t="shared" si="259"/>
        <v>NA</v>
      </c>
      <c r="AB454" s="10" t="str">
        <f t="shared" si="260"/>
        <v>NA</v>
      </c>
      <c r="AC454" s="10" t="str">
        <f t="shared" si="261"/>
        <v>NA</v>
      </c>
      <c r="AD454" s="10" t="str">
        <f t="shared" si="262"/>
        <v>NA</v>
      </c>
      <c r="AE454" s="10" t="str">
        <f t="shared" si="263"/>
        <v>NA</v>
      </c>
      <c r="AF454" s="1" t="s">
        <v>4811</v>
      </c>
    </row>
    <row r="455" spans="1:32" x14ac:dyDescent="0.2">
      <c r="A455" s="1" t="s">
        <v>4813</v>
      </c>
      <c r="B455" s="1" t="s">
        <v>179</v>
      </c>
      <c r="C455" s="1" t="s">
        <v>1575</v>
      </c>
      <c r="D455" s="1" t="s">
        <v>1580</v>
      </c>
      <c r="E455" s="1" t="s">
        <v>2057</v>
      </c>
      <c r="F455" s="1" t="s">
        <v>434</v>
      </c>
      <c r="G455" s="4">
        <v>1</v>
      </c>
      <c r="H455" s="28">
        <v>40143</v>
      </c>
      <c r="I455" s="29">
        <f t="shared" si="246"/>
        <v>2009</v>
      </c>
      <c r="J455" s="1" t="s">
        <v>4757</v>
      </c>
      <c r="K455" s="1" t="s">
        <v>7</v>
      </c>
      <c r="L455" s="11" t="str">
        <f t="shared" ref="L455" si="265">IF(OR(A455=J455,A455=K455),"ДА","НЕТ")</f>
        <v>НЕТ</v>
      </c>
      <c r="M455" s="10" t="s">
        <v>1575</v>
      </c>
      <c r="N455" s="10" t="s">
        <v>1575</v>
      </c>
      <c r="O455" s="10">
        <v>7.3999999999999996E-5</v>
      </c>
      <c r="P455" s="10">
        <f t="shared" si="254"/>
        <v>7.3999999999999996E-5</v>
      </c>
      <c r="Q455" s="10" t="str">
        <f t="shared" si="255"/>
        <v>NA</v>
      </c>
      <c r="R455" s="10" t="s">
        <v>1575</v>
      </c>
      <c r="S455" s="10" t="s">
        <v>1575</v>
      </c>
      <c r="T455" s="10" t="s">
        <v>1575</v>
      </c>
      <c r="U455" s="10" t="s">
        <v>1575</v>
      </c>
      <c r="V455" s="10">
        <v>1.0229E-2</v>
      </c>
      <c r="W455" s="10" t="s">
        <v>1575</v>
      </c>
      <c r="X455" s="10" t="str">
        <f t="shared" si="256"/>
        <v>NA</v>
      </c>
      <c r="Y455" s="10" t="str">
        <f t="shared" si="257"/>
        <v>NA</v>
      </c>
      <c r="Z455" s="10" t="str">
        <f t="shared" si="258"/>
        <v>NA</v>
      </c>
      <c r="AA455" s="10">
        <f t="shared" si="259"/>
        <v>7.2343337569654893E-3</v>
      </c>
      <c r="AB455" s="10" t="str">
        <f t="shared" si="260"/>
        <v>NA</v>
      </c>
      <c r="AC455" s="10" t="str">
        <f t="shared" si="261"/>
        <v>NA</v>
      </c>
      <c r="AD455" s="10" t="str">
        <f t="shared" si="262"/>
        <v>NA</v>
      </c>
      <c r="AE455" s="10" t="str">
        <f t="shared" si="263"/>
        <v>NA</v>
      </c>
      <c r="AF455" s="1" t="s">
        <v>4812</v>
      </c>
    </row>
    <row r="456" spans="1:32" x14ac:dyDescent="0.2">
      <c r="A456" s="1" t="s">
        <v>5530</v>
      </c>
      <c r="B456" s="1" t="s">
        <v>5</v>
      </c>
      <c r="C456" s="1" t="s">
        <v>1575</v>
      </c>
      <c r="D456" s="1" t="s">
        <v>1584</v>
      </c>
      <c r="E456" s="1" t="s">
        <v>1586</v>
      </c>
      <c r="F456" s="1" t="s">
        <v>4768</v>
      </c>
      <c r="G456" s="4">
        <v>0.74990000000000001</v>
      </c>
      <c r="H456" s="28">
        <v>40134</v>
      </c>
      <c r="I456" s="29">
        <f t="shared" si="246"/>
        <v>2009</v>
      </c>
      <c r="J456" s="1" t="s">
        <v>4757</v>
      </c>
      <c r="K456" s="1" t="s">
        <v>7</v>
      </c>
      <c r="L456" s="11" t="str">
        <f t="shared" ref="L456" si="266">IF(OR(A456=J456,A456=K456),"ДА","НЕТ")</f>
        <v>НЕТ</v>
      </c>
      <c r="M456" s="10" t="s">
        <v>1575</v>
      </c>
      <c r="N456" s="10" t="s">
        <v>1575</v>
      </c>
      <c r="O456" s="10">
        <v>3.4629319999999999</v>
      </c>
      <c r="P456" s="10">
        <f t="shared" si="254"/>
        <v>4.6178583811174825</v>
      </c>
      <c r="Q456" s="10" t="str">
        <f t="shared" si="255"/>
        <v>NA</v>
      </c>
      <c r="R456" s="10" t="s">
        <v>1575</v>
      </c>
      <c r="S456" s="10" t="s">
        <v>1575</v>
      </c>
      <c r="T456" s="10" t="s">
        <v>1575</v>
      </c>
      <c r="U456" s="10" t="s">
        <v>1575</v>
      </c>
      <c r="V456" s="10">
        <v>4.6243160000000003</v>
      </c>
      <c r="W456" s="10" t="s">
        <v>1575</v>
      </c>
      <c r="X456" s="10" t="str">
        <f t="shared" si="256"/>
        <v>NA</v>
      </c>
      <c r="Y456" s="10" t="str">
        <f t="shared" si="257"/>
        <v>NA</v>
      </c>
      <c r="Z456" s="10" t="str">
        <f t="shared" si="258"/>
        <v>NA</v>
      </c>
      <c r="AA456" s="10">
        <f t="shared" si="259"/>
        <v>0.99860355155605329</v>
      </c>
      <c r="AB456" s="10" t="str">
        <f t="shared" si="260"/>
        <v>NA</v>
      </c>
      <c r="AC456" s="10" t="str">
        <f t="shared" si="261"/>
        <v>NA</v>
      </c>
      <c r="AD456" s="10" t="str">
        <f t="shared" si="262"/>
        <v>NA</v>
      </c>
      <c r="AE456" s="10" t="str">
        <f t="shared" si="263"/>
        <v>NA</v>
      </c>
      <c r="AF456" s="1" t="s">
        <v>4814</v>
      </c>
    </row>
    <row r="457" spans="1:32" x14ac:dyDescent="0.2">
      <c r="A457" s="1" t="s">
        <v>5542</v>
      </c>
      <c r="B457" s="1" t="s">
        <v>5</v>
      </c>
      <c r="C457" s="1" t="s">
        <v>1575</v>
      </c>
      <c r="D457" s="1" t="s">
        <v>1584</v>
      </c>
      <c r="E457" s="1" t="s">
        <v>1586</v>
      </c>
      <c r="F457" s="1" t="s">
        <v>4768</v>
      </c>
      <c r="G457" s="4">
        <v>1</v>
      </c>
      <c r="H457" s="28">
        <v>40055</v>
      </c>
      <c r="I457" s="29">
        <f t="shared" si="246"/>
        <v>2009</v>
      </c>
      <c r="J457" s="1" t="s">
        <v>4757</v>
      </c>
      <c r="K457" s="1" t="s">
        <v>7</v>
      </c>
      <c r="L457" s="11" t="str">
        <f t="shared" ref="L457:L459" si="267">IF(OR(A457=J457,A457=K457),"ДА","НЕТ")</f>
        <v>НЕТ</v>
      </c>
      <c r="M457" s="10" t="s">
        <v>1575</v>
      </c>
      <c r="N457" s="10" t="s">
        <v>1575</v>
      </c>
      <c r="O457" s="10">
        <v>2.023717</v>
      </c>
      <c r="P457" s="10">
        <f t="shared" si="254"/>
        <v>2.023717</v>
      </c>
      <c r="Q457" s="10" t="str">
        <f t="shared" si="255"/>
        <v>NA</v>
      </c>
      <c r="R457" s="10" t="s">
        <v>1575</v>
      </c>
      <c r="S457" s="10" t="s">
        <v>1575</v>
      </c>
      <c r="T457" s="10" t="s">
        <v>1575</v>
      </c>
      <c r="U457" s="10" t="s">
        <v>1575</v>
      </c>
      <c r="V457" s="10">
        <v>2.023717</v>
      </c>
      <c r="W457" s="10" t="s">
        <v>1575</v>
      </c>
      <c r="X457" s="10" t="str">
        <f t="shared" si="256"/>
        <v>NA</v>
      </c>
      <c r="Y457" s="10" t="str">
        <f t="shared" si="257"/>
        <v>NA</v>
      </c>
      <c r="Z457" s="10" t="str">
        <f t="shared" si="258"/>
        <v>NA</v>
      </c>
      <c r="AA457" s="10">
        <f t="shared" si="259"/>
        <v>1</v>
      </c>
      <c r="AB457" s="10" t="str">
        <f t="shared" si="260"/>
        <v>NA</v>
      </c>
      <c r="AC457" s="10" t="str">
        <f t="shared" si="261"/>
        <v>NA</v>
      </c>
      <c r="AD457" s="10" t="str">
        <f t="shared" si="262"/>
        <v>NA</v>
      </c>
      <c r="AE457" s="10" t="str">
        <f t="shared" si="263"/>
        <v>NA</v>
      </c>
      <c r="AF457" s="1" t="s">
        <v>4815</v>
      </c>
    </row>
    <row r="458" spans="1:32" x14ac:dyDescent="0.2">
      <c r="A458" s="1" t="s">
        <v>5519</v>
      </c>
      <c r="B458" s="1" t="s">
        <v>5</v>
      </c>
      <c r="C458" s="1" t="s">
        <v>1575</v>
      </c>
      <c r="D458" s="1" t="s">
        <v>1584</v>
      </c>
      <c r="E458" s="1" t="s">
        <v>1586</v>
      </c>
      <c r="F458" s="1" t="s">
        <v>4746</v>
      </c>
      <c r="G458" s="4">
        <v>2.1399999999999999E-2</v>
      </c>
      <c r="H458" s="28">
        <v>40178</v>
      </c>
      <c r="I458" s="29">
        <f t="shared" si="246"/>
        <v>2009</v>
      </c>
      <c r="J458" s="1" t="s">
        <v>4757</v>
      </c>
      <c r="K458" s="1" t="s">
        <v>7</v>
      </c>
      <c r="L458" s="11" t="str">
        <f t="shared" si="267"/>
        <v>НЕТ</v>
      </c>
      <c r="M458" s="10" t="s">
        <v>1575</v>
      </c>
      <c r="N458" s="10" t="s">
        <v>1575</v>
      </c>
      <c r="O458" s="10" t="s">
        <v>1575</v>
      </c>
      <c r="P458" s="10" t="str">
        <f t="shared" si="254"/>
        <v>NA</v>
      </c>
      <c r="Q458" s="10" t="str">
        <f t="shared" si="255"/>
        <v>NA</v>
      </c>
      <c r="R458" s="10" t="s">
        <v>1575</v>
      </c>
      <c r="S458" s="10" t="s">
        <v>1575</v>
      </c>
      <c r="T458" s="10" t="s">
        <v>1575</v>
      </c>
      <c r="U458" s="10" t="s">
        <v>1575</v>
      </c>
      <c r="V458" s="10" t="s">
        <v>1575</v>
      </c>
      <c r="W458" s="10" t="s">
        <v>1575</v>
      </c>
      <c r="X458" s="10" t="str">
        <f t="shared" si="256"/>
        <v>NA</v>
      </c>
      <c r="Y458" s="10" t="str">
        <f t="shared" si="257"/>
        <v>NA</v>
      </c>
      <c r="Z458" s="10" t="str">
        <f t="shared" si="258"/>
        <v>NA</v>
      </c>
      <c r="AA458" s="10" t="str">
        <f t="shared" si="259"/>
        <v>NA</v>
      </c>
      <c r="AB458" s="10" t="str">
        <f t="shared" si="260"/>
        <v>NA</v>
      </c>
      <c r="AC458" s="10" t="str">
        <f t="shared" si="261"/>
        <v>NA</v>
      </c>
      <c r="AD458" s="10" t="str">
        <f t="shared" si="262"/>
        <v>NA</v>
      </c>
      <c r="AE458" s="10" t="str">
        <f t="shared" si="263"/>
        <v>NA</v>
      </c>
      <c r="AF458" s="1" t="s">
        <v>4816</v>
      </c>
    </row>
    <row r="459" spans="1:32" x14ac:dyDescent="0.2">
      <c r="A459" s="1" t="s">
        <v>5537</v>
      </c>
      <c r="B459" s="1" t="s">
        <v>5</v>
      </c>
      <c r="C459" s="1" t="s">
        <v>1575</v>
      </c>
      <c r="D459" s="1" t="s">
        <v>1584</v>
      </c>
      <c r="E459" s="1" t="s">
        <v>1586</v>
      </c>
      <c r="F459" s="1" t="s">
        <v>4746</v>
      </c>
      <c r="G459" s="4">
        <v>3.3799999999999997E-2</v>
      </c>
      <c r="H459" s="28">
        <v>40178</v>
      </c>
      <c r="I459" s="29">
        <f t="shared" si="246"/>
        <v>2009</v>
      </c>
      <c r="J459" s="1" t="s">
        <v>4757</v>
      </c>
      <c r="K459" s="1" t="s">
        <v>7</v>
      </c>
      <c r="L459" s="11" t="str">
        <f t="shared" si="267"/>
        <v>НЕТ</v>
      </c>
      <c r="M459" s="10" t="s">
        <v>1575</v>
      </c>
      <c r="N459" s="10" t="s">
        <v>1575</v>
      </c>
      <c r="O459" s="10" t="s">
        <v>1575</v>
      </c>
      <c r="P459" s="10" t="str">
        <f t="shared" si="254"/>
        <v>NA</v>
      </c>
      <c r="Q459" s="10" t="str">
        <f t="shared" si="255"/>
        <v>NA</v>
      </c>
      <c r="R459" s="10" t="s">
        <v>1575</v>
      </c>
      <c r="S459" s="10" t="s">
        <v>1575</v>
      </c>
      <c r="T459" s="10" t="s">
        <v>1575</v>
      </c>
      <c r="U459" s="10" t="s">
        <v>1575</v>
      </c>
      <c r="V459" s="10" t="s">
        <v>1575</v>
      </c>
      <c r="W459" s="10" t="s">
        <v>1575</v>
      </c>
      <c r="X459" s="10" t="str">
        <f t="shared" si="256"/>
        <v>NA</v>
      </c>
      <c r="Y459" s="10" t="str">
        <f t="shared" si="257"/>
        <v>NA</v>
      </c>
      <c r="Z459" s="10" t="str">
        <f t="shared" si="258"/>
        <v>NA</v>
      </c>
      <c r="AA459" s="10" t="str">
        <f t="shared" si="259"/>
        <v>NA</v>
      </c>
      <c r="AB459" s="10" t="str">
        <f t="shared" si="260"/>
        <v>NA</v>
      </c>
      <c r="AC459" s="10" t="str">
        <f t="shared" si="261"/>
        <v>NA</v>
      </c>
      <c r="AD459" s="10" t="str">
        <f t="shared" si="262"/>
        <v>NA</v>
      </c>
      <c r="AE459" s="10" t="str">
        <f t="shared" si="263"/>
        <v>NA</v>
      </c>
      <c r="AF459" s="1" t="s">
        <v>4816</v>
      </c>
    </row>
    <row r="460" spans="1:32" x14ac:dyDescent="0.2">
      <c r="A460" s="1" t="s">
        <v>5543</v>
      </c>
      <c r="B460" s="1" t="s">
        <v>5</v>
      </c>
      <c r="C460" s="1" t="s">
        <v>1575</v>
      </c>
      <c r="D460" s="1" t="s">
        <v>1584</v>
      </c>
      <c r="E460" s="1" t="s">
        <v>1586</v>
      </c>
      <c r="F460" s="1" t="s">
        <v>4746</v>
      </c>
      <c r="G460" s="4">
        <v>1</v>
      </c>
      <c r="H460" s="28">
        <v>40178</v>
      </c>
      <c r="I460" s="29">
        <f t="shared" ref="I460" si="268">YEAR(H460)</f>
        <v>2009</v>
      </c>
      <c r="J460" s="1" t="s">
        <v>4757</v>
      </c>
      <c r="K460" s="1" t="s">
        <v>7</v>
      </c>
      <c r="L460" s="11" t="str">
        <f t="shared" ref="L460" si="269">IF(OR(A460=J460,A460=K460),"ДА","НЕТ")</f>
        <v>НЕТ</v>
      </c>
      <c r="M460" s="10" t="s">
        <v>1575</v>
      </c>
      <c r="N460" s="10" t="s">
        <v>1575</v>
      </c>
      <c r="O460" s="10" t="s">
        <v>1575</v>
      </c>
      <c r="P460" s="10" t="str">
        <f t="shared" si="254"/>
        <v>NA</v>
      </c>
      <c r="Q460" s="10" t="str">
        <f t="shared" si="255"/>
        <v>NA</v>
      </c>
      <c r="R460" s="10" t="s">
        <v>1575</v>
      </c>
      <c r="S460" s="10" t="s">
        <v>1575</v>
      </c>
      <c r="T460" s="10" t="s">
        <v>1575</v>
      </c>
      <c r="U460" s="10" t="s">
        <v>1575</v>
      </c>
      <c r="V460" s="10" t="s">
        <v>1575</v>
      </c>
      <c r="W460" s="10" t="s">
        <v>1575</v>
      </c>
      <c r="X460" s="10" t="str">
        <f t="shared" si="256"/>
        <v>NA</v>
      </c>
      <c r="Y460" s="10" t="str">
        <f t="shared" si="257"/>
        <v>NA</v>
      </c>
      <c r="Z460" s="10" t="str">
        <f t="shared" si="258"/>
        <v>NA</v>
      </c>
      <c r="AA460" s="10" t="str">
        <f t="shared" si="259"/>
        <v>NA</v>
      </c>
      <c r="AB460" s="10" t="str">
        <f t="shared" si="260"/>
        <v>NA</v>
      </c>
      <c r="AC460" s="10" t="str">
        <f t="shared" si="261"/>
        <v>NA</v>
      </c>
      <c r="AD460" s="10" t="str">
        <f t="shared" si="262"/>
        <v>NA</v>
      </c>
      <c r="AE460" s="10" t="str">
        <f t="shared" si="263"/>
        <v>NA</v>
      </c>
      <c r="AF460" s="1" t="s">
        <v>4817</v>
      </c>
    </row>
    <row r="461" spans="1:32" x14ac:dyDescent="0.2">
      <c r="A461" s="1" t="s">
        <v>4818</v>
      </c>
      <c r="B461" s="1" t="s">
        <v>5</v>
      </c>
      <c r="C461" s="1" t="s">
        <v>1575</v>
      </c>
      <c r="D461" s="1" t="s">
        <v>1580</v>
      </c>
      <c r="E461" s="1" t="s">
        <v>1593</v>
      </c>
      <c r="F461" s="1" t="s">
        <v>4775</v>
      </c>
      <c r="G461" s="4">
        <v>1</v>
      </c>
      <c r="H461" s="28">
        <v>40178</v>
      </c>
      <c r="I461" s="29">
        <f t="shared" ref="I461" si="270">YEAR(H461)</f>
        <v>2009</v>
      </c>
      <c r="J461" s="1" t="s">
        <v>4757</v>
      </c>
      <c r="K461" s="1" t="s">
        <v>7</v>
      </c>
      <c r="L461" s="11" t="str">
        <f t="shared" ref="L461" si="271">IF(OR(A461=J461,A461=K461),"ДА","НЕТ")</f>
        <v>НЕТ</v>
      </c>
      <c r="M461" s="10" t="s">
        <v>1575</v>
      </c>
      <c r="N461" s="10" t="s">
        <v>1575</v>
      </c>
      <c r="O461" s="10" t="s">
        <v>1575</v>
      </c>
      <c r="P461" s="10" t="str">
        <f t="shared" si="254"/>
        <v>NA</v>
      </c>
      <c r="Q461" s="10" t="str">
        <f t="shared" si="255"/>
        <v>NA</v>
      </c>
      <c r="R461" s="10" t="s">
        <v>1575</v>
      </c>
      <c r="S461" s="10" t="s">
        <v>1575</v>
      </c>
      <c r="T461" s="10" t="s">
        <v>1575</v>
      </c>
      <c r="U461" s="10" t="s">
        <v>1575</v>
      </c>
      <c r="V461" s="10" t="s">
        <v>1575</v>
      </c>
      <c r="W461" s="10" t="s">
        <v>1575</v>
      </c>
      <c r="X461" s="10" t="str">
        <f t="shared" si="256"/>
        <v>NA</v>
      </c>
      <c r="Y461" s="10" t="str">
        <f t="shared" si="257"/>
        <v>NA</v>
      </c>
      <c r="Z461" s="10" t="str">
        <f t="shared" si="258"/>
        <v>NA</v>
      </c>
      <c r="AA461" s="10" t="str">
        <f t="shared" si="259"/>
        <v>NA</v>
      </c>
      <c r="AB461" s="10" t="str">
        <f t="shared" si="260"/>
        <v>NA</v>
      </c>
      <c r="AC461" s="10" t="str">
        <f t="shared" si="261"/>
        <v>NA</v>
      </c>
      <c r="AD461" s="10" t="str">
        <f t="shared" si="262"/>
        <v>NA</v>
      </c>
      <c r="AE461" s="10" t="str">
        <f t="shared" si="263"/>
        <v>NA</v>
      </c>
      <c r="AF461" s="1" t="s">
        <v>4817</v>
      </c>
    </row>
    <row r="462" spans="1:32" x14ac:dyDescent="0.2">
      <c r="A462" s="1" t="s">
        <v>5358</v>
      </c>
      <c r="B462" s="1" t="s">
        <v>5</v>
      </c>
      <c r="C462" s="1" t="s">
        <v>1575</v>
      </c>
      <c r="D462" s="1" t="s">
        <v>1580</v>
      </c>
      <c r="E462" s="1" t="s">
        <v>1593</v>
      </c>
      <c r="F462" s="1" t="s">
        <v>4775</v>
      </c>
      <c r="G462" s="4">
        <v>1</v>
      </c>
      <c r="H462" s="28">
        <v>40178</v>
      </c>
      <c r="I462" s="29">
        <f t="shared" ref="I462" si="272">YEAR(H462)</f>
        <v>2009</v>
      </c>
      <c r="J462" s="1" t="s">
        <v>4757</v>
      </c>
      <c r="K462" s="1" t="s">
        <v>7</v>
      </c>
      <c r="L462" s="11" t="str">
        <f t="shared" ref="L462" si="273">IF(OR(A462=J462,A462=K462),"ДА","НЕТ")</f>
        <v>НЕТ</v>
      </c>
      <c r="M462" s="10" t="s">
        <v>1575</v>
      </c>
      <c r="N462" s="10" t="s">
        <v>1575</v>
      </c>
      <c r="O462" s="10" t="s">
        <v>1575</v>
      </c>
      <c r="P462" s="10" t="str">
        <f t="shared" si="254"/>
        <v>NA</v>
      </c>
      <c r="Q462" s="10" t="str">
        <f t="shared" si="255"/>
        <v>NA</v>
      </c>
      <c r="R462" s="10" t="s">
        <v>1575</v>
      </c>
      <c r="S462" s="10" t="s">
        <v>1575</v>
      </c>
      <c r="T462" s="10" t="s">
        <v>1575</v>
      </c>
      <c r="U462" s="10" t="s">
        <v>1575</v>
      </c>
      <c r="V462" s="10" t="s">
        <v>1575</v>
      </c>
      <c r="W462" s="10" t="s">
        <v>1575</v>
      </c>
      <c r="X462" s="10" t="str">
        <f t="shared" si="256"/>
        <v>NA</v>
      </c>
      <c r="Y462" s="10" t="str">
        <f t="shared" si="257"/>
        <v>NA</v>
      </c>
      <c r="Z462" s="10" t="str">
        <f t="shared" si="258"/>
        <v>NA</v>
      </c>
      <c r="AA462" s="10" t="str">
        <f t="shared" si="259"/>
        <v>NA</v>
      </c>
      <c r="AB462" s="10" t="str">
        <f t="shared" si="260"/>
        <v>NA</v>
      </c>
      <c r="AC462" s="10" t="str">
        <f t="shared" si="261"/>
        <v>NA</v>
      </c>
      <c r="AD462" s="10" t="str">
        <f t="shared" si="262"/>
        <v>NA</v>
      </c>
      <c r="AE462" s="10" t="str">
        <f t="shared" si="263"/>
        <v>NA</v>
      </c>
      <c r="AF462" s="1" t="s">
        <v>4817</v>
      </c>
    </row>
    <row r="463" spans="1:32" x14ac:dyDescent="0.2">
      <c r="A463" s="1" t="s">
        <v>5544</v>
      </c>
      <c r="B463" s="1" t="s">
        <v>5</v>
      </c>
      <c r="C463" s="1" t="s">
        <v>1575</v>
      </c>
      <c r="D463" s="1" t="s">
        <v>1582</v>
      </c>
      <c r="E463" s="1" t="s">
        <v>1587</v>
      </c>
      <c r="F463" s="1" t="s">
        <v>4704</v>
      </c>
      <c r="G463" s="4">
        <f>100%-21%</f>
        <v>0.79</v>
      </c>
      <c r="H463" s="28">
        <v>44012</v>
      </c>
      <c r="I463" s="29">
        <f t="shared" si="181"/>
        <v>2020</v>
      </c>
      <c r="J463" s="1" t="s">
        <v>4702</v>
      </c>
      <c r="K463" s="1" t="s">
        <v>7</v>
      </c>
      <c r="L463" s="11" t="str">
        <f t="shared" ref="L463:L475" si="274">IF(OR(A463=J463,A463=K463),"ДА","НЕТ")</f>
        <v>НЕТ</v>
      </c>
      <c r="M463" s="10" t="s">
        <v>1575</v>
      </c>
      <c r="N463" s="10" t="s">
        <v>1575</v>
      </c>
      <c r="O463" s="10" t="s">
        <v>1575</v>
      </c>
      <c r="P463" s="10" t="str">
        <f t="shared" si="254"/>
        <v>NA</v>
      </c>
      <c r="Q463" s="10" t="str">
        <f t="shared" si="255"/>
        <v>NA</v>
      </c>
      <c r="R463" s="10" t="s">
        <v>1575</v>
      </c>
      <c r="S463" s="10" t="s">
        <v>1575</v>
      </c>
      <c r="T463" s="10" t="s">
        <v>1575</v>
      </c>
      <c r="U463" s="10">
        <v>0.45718599999999998</v>
      </c>
      <c r="V463" s="10">
        <f>6.074963-3.930972</f>
        <v>2.1439910000000002</v>
      </c>
      <c r="W463" s="10" t="s">
        <v>1575</v>
      </c>
      <c r="X463" s="10" t="str">
        <f t="shared" si="256"/>
        <v>NA</v>
      </c>
      <c r="Y463" s="10" t="str">
        <f t="shared" si="257"/>
        <v>NA</v>
      </c>
      <c r="Z463" s="10" t="str">
        <f t="shared" si="258"/>
        <v>NA</v>
      </c>
      <c r="AA463" s="10" t="str">
        <f t="shared" si="259"/>
        <v>NA</v>
      </c>
      <c r="AB463" s="10" t="str">
        <f t="shared" si="260"/>
        <v>NA</v>
      </c>
      <c r="AC463" s="10" t="str">
        <f t="shared" si="261"/>
        <v>NA</v>
      </c>
      <c r="AD463" s="10" t="str">
        <f t="shared" si="262"/>
        <v>NA</v>
      </c>
      <c r="AE463" s="10" t="str">
        <f t="shared" si="263"/>
        <v>NA</v>
      </c>
      <c r="AF463" s="1" t="s">
        <v>4705</v>
      </c>
    </row>
    <row r="464" spans="1:32" x14ac:dyDescent="0.2">
      <c r="A464" s="1" t="s">
        <v>4703</v>
      </c>
      <c r="B464" s="1" t="s">
        <v>179</v>
      </c>
      <c r="C464" s="1" t="s">
        <v>1575</v>
      </c>
      <c r="D464" s="1" t="s">
        <v>1580</v>
      </c>
      <c r="E464" s="1" t="s">
        <v>1593</v>
      </c>
      <c r="F464" s="1" t="s">
        <v>545</v>
      </c>
      <c r="G464" s="13">
        <v>0.20100000000000001</v>
      </c>
      <c r="H464" s="28">
        <v>43511</v>
      </c>
      <c r="I464" s="29">
        <f t="shared" si="181"/>
        <v>2019</v>
      </c>
      <c r="J464" s="1" t="s">
        <v>4707</v>
      </c>
      <c r="K464" s="1" t="s">
        <v>4702</v>
      </c>
      <c r="L464" s="11" t="str">
        <f t="shared" si="274"/>
        <v>НЕТ</v>
      </c>
      <c r="M464" s="10" t="s">
        <v>1575</v>
      </c>
      <c r="N464" s="10" t="s">
        <v>1575</v>
      </c>
      <c r="O464" s="10" t="s">
        <v>1575</v>
      </c>
      <c r="P464" s="10" t="str">
        <f t="shared" si="254"/>
        <v>NA</v>
      </c>
      <c r="Q464" s="10" t="str">
        <f t="shared" si="255"/>
        <v>NA</v>
      </c>
      <c r="R464" s="10" t="s">
        <v>1575</v>
      </c>
      <c r="S464" s="10" t="s">
        <v>1575</v>
      </c>
      <c r="T464" s="10" t="s">
        <v>1575</v>
      </c>
      <c r="U464" s="10">
        <v>0.79142900000000005</v>
      </c>
      <c r="V464" s="10">
        <f>38.031409-8.511364</f>
        <v>29.520044999999996</v>
      </c>
      <c r="W464" s="10" t="s">
        <v>1575</v>
      </c>
      <c r="X464" s="10" t="str">
        <f t="shared" si="256"/>
        <v>NA</v>
      </c>
      <c r="Y464" s="10" t="str">
        <f t="shared" si="257"/>
        <v>NA</v>
      </c>
      <c r="Z464" s="10" t="str">
        <f t="shared" si="258"/>
        <v>NA</v>
      </c>
      <c r="AA464" s="10" t="str">
        <f t="shared" si="259"/>
        <v>NA</v>
      </c>
      <c r="AB464" s="10" t="str">
        <f t="shared" si="260"/>
        <v>NA</v>
      </c>
      <c r="AC464" s="10" t="str">
        <f t="shared" si="261"/>
        <v>NA</v>
      </c>
      <c r="AD464" s="10" t="str">
        <f t="shared" si="262"/>
        <v>NA</v>
      </c>
      <c r="AE464" s="10" t="str">
        <f t="shared" si="263"/>
        <v>NA</v>
      </c>
      <c r="AF464" s="1" t="s">
        <v>4706</v>
      </c>
    </row>
    <row r="465" spans="1:32" x14ac:dyDescent="0.2">
      <c r="A465" s="1" t="s">
        <v>4703</v>
      </c>
      <c r="B465" s="1" t="s">
        <v>179</v>
      </c>
      <c r="C465" s="1" t="s">
        <v>1575</v>
      </c>
      <c r="D465" s="1" t="s">
        <v>1580</v>
      </c>
      <c r="E465" s="1" t="s">
        <v>1593</v>
      </c>
      <c r="F465" s="1" t="s">
        <v>545</v>
      </c>
      <c r="G465" s="13">
        <f>20.1%-19.9%</f>
        <v>2.0000000000000295E-3</v>
      </c>
      <c r="H465" s="28">
        <v>42766</v>
      </c>
      <c r="I465" s="29">
        <f t="shared" ref="I465:I466" si="275">YEAR(H465)</f>
        <v>2017</v>
      </c>
      <c r="J465" s="1" t="s">
        <v>4702</v>
      </c>
      <c r="K465" s="1" t="s">
        <v>4702</v>
      </c>
      <c r="L465" s="11" t="str">
        <f t="shared" ref="L465:L466" si="276">IF(OR(A465=J465,A465=K465),"ДА","НЕТ")</f>
        <v>НЕТ</v>
      </c>
      <c r="M465" s="10" t="s">
        <v>1575</v>
      </c>
      <c r="N465" s="10" t="s">
        <v>1575</v>
      </c>
      <c r="O465" s="10" t="s">
        <v>1575</v>
      </c>
      <c r="P465" s="10" t="str">
        <f t="shared" si="254"/>
        <v>NA</v>
      </c>
      <c r="Q465" s="10" t="str">
        <f t="shared" si="255"/>
        <v>NA</v>
      </c>
      <c r="R465" s="10" t="s">
        <v>1575</v>
      </c>
      <c r="S465" s="10" t="s">
        <v>1575</v>
      </c>
      <c r="T465" s="10" t="s">
        <v>1575</v>
      </c>
      <c r="U465" s="10">
        <v>4.2110320000000003</v>
      </c>
      <c r="V465" s="10">
        <f>87.675517-47.794057</f>
        <v>39.881459999999997</v>
      </c>
      <c r="W465" s="10" t="s">
        <v>1575</v>
      </c>
      <c r="X465" s="10" t="str">
        <f t="shared" si="256"/>
        <v>NA</v>
      </c>
      <c r="Y465" s="10" t="str">
        <f t="shared" si="257"/>
        <v>NA</v>
      </c>
      <c r="Z465" s="10" t="str">
        <f t="shared" si="258"/>
        <v>NA</v>
      </c>
      <c r="AA465" s="10" t="str">
        <f t="shared" si="259"/>
        <v>NA</v>
      </c>
      <c r="AB465" s="10" t="str">
        <f t="shared" si="260"/>
        <v>NA</v>
      </c>
      <c r="AC465" s="10" t="str">
        <f t="shared" si="261"/>
        <v>NA</v>
      </c>
      <c r="AD465" s="10" t="str">
        <f t="shared" si="262"/>
        <v>NA</v>
      </c>
      <c r="AE465" s="10" t="str">
        <f t="shared" si="263"/>
        <v>NA</v>
      </c>
      <c r="AF465" s="1" t="s">
        <v>4708</v>
      </c>
    </row>
    <row r="466" spans="1:32" x14ac:dyDescent="0.2">
      <c r="A466" s="1" t="s">
        <v>5544</v>
      </c>
      <c r="B466" s="1" t="s">
        <v>5</v>
      </c>
      <c r="C466" s="1" t="s">
        <v>1575</v>
      </c>
      <c r="D466" s="1" t="s">
        <v>1582</v>
      </c>
      <c r="E466" s="1" t="s">
        <v>1587</v>
      </c>
      <c r="F466" s="1" t="s">
        <v>4704</v>
      </c>
      <c r="G466" s="4">
        <v>0.21</v>
      </c>
      <c r="H466" s="28">
        <v>42825</v>
      </c>
      <c r="I466" s="29">
        <f t="shared" si="275"/>
        <v>2017</v>
      </c>
      <c r="J466" s="1" t="s">
        <v>4702</v>
      </c>
      <c r="K466" s="1" t="s">
        <v>7</v>
      </c>
      <c r="L466" s="11" t="str">
        <f t="shared" si="276"/>
        <v>НЕТ</v>
      </c>
      <c r="M466" s="10" t="s">
        <v>1575</v>
      </c>
      <c r="N466" s="10" t="s">
        <v>1575</v>
      </c>
      <c r="O466" s="10" t="s">
        <v>1575</v>
      </c>
      <c r="P466" s="10" t="str">
        <f t="shared" si="254"/>
        <v>NA</v>
      </c>
      <c r="Q466" s="10" t="str">
        <f t="shared" si="255"/>
        <v>NA</v>
      </c>
      <c r="R466" s="10" t="s">
        <v>1575</v>
      </c>
      <c r="S466" s="10" t="s">
        <v>1575</v>
      </c>
      <c r="T466" s="10" t="s">
        <v>1575</v>
      </c>
      <c r="U466" s="10">
        <v>0.31365100000000001</v>
      </c>
      <c r="V466" s="10">
        <f>2.97843-1.343573</f>
        <v>1.634857</v>
      </c>
      <c r="W466" s="10" t="s">
        <v>1575</v>
      </c>
      <c r="X466" s="10" t="str">
        <f t="shared" si="256"/>
        <v>NA</v>
      </c>
      <c r="Y466" s="10" t="str">
        <f t="shared" si="257"/>
        <v>NA</v>
      </c>
      <c r="Z466" s="10" t="str">
        <f t="shared" si="258"/>
        <v>NA</v>
      </c>
      <c r="AA466" s="10" t="str">
        <f t="shared" si="259"/>
        <v>NA</v>
      </c>
      <c r="AB466" s="10" t="str">
        <f t="shared" si="260"/>
        <v>NA</v>
      </c>
      <c r="AC466" s="10" t="str">
        <f t="shared" si="261"/>
        <v>NA</v>
      </c>
      <c r="AD466" s="10" t="str">
        <f t="shared" si="262"/>
        <v>NA</v>
      </c>
      <c r="AE466" s="10" t="str">
        <f t="shared" si="263"/>
        <v>NA</v>
      </c>
      <c r="AF466" s="1" t="s">
        <v>4709</v>
      </c>
    </row>
    <row r="467" spans="1:32" x14ac:dyDescent="0.2">
      <c r="A467" s="1" t="s">
        <v>4711</v>
      </c>
      <c r="B467" s="1" t="s">
        <v>179</v>
      </c>
      <c r="C467" s="1" t="s">
        <v>1575</v>
      </c>
      <c r="D467" s="1" t="s">
        <v>1575</v>
      </c>
      <c r="E467" s="1" t="s">
        <v>1575</v>
      </c>
      <c r="F467" s="1" t="s">
        <v>1575</v>
      </c>
      <c r="G467" s="13">
        <v>0.499</v>
      </c>
      <c r="H467" s="28">
        <v>43100</v>
      </c>
      <c r="I467" s="29">
        <f t="shared" ref="I467:I473" si="277">YEAR(H467)</f>
        <v>2017</v>
      </c>
      <c r="J467" s="1" t="s">
        <v>4702</v>
      </c>
      <c r="K467" s="1" t="s">
        <v>7</v>
      </c>
      <c r="L467" s="11" t="str">
        <f t="shared" si="274"/>
        <v>НЕТ</v>
      </c>
      <c r="M467" s="10" t="s">
        <v>1575</v>
      </c>
      <c r="N467" s="10" t="s">
        <v>1575</v>
      </c>
      <c r="O467" s="10" t="s">
        <v>1575</v>
      </c>
      <c r="P467" s="10" t="str">
        <f t="shared" si="254"/>
        <v>NA</v>
      </c>
      <c r="Q467" s="10" t="str">
        <f t="shared" si="255"/>
        <v>NA</v>
      </c>
      <c r="R467" s="10" t="s">
        <v>1575</v>
      </c>
      <c r="S467" s="10" t="s">
        <v>1575</v>
      </c>
      <c r="T467" s="10" t="s">
        <v>1575</v>
      </c>
      <c r="U467" s="10">
        <v>0</v>
      </c>
      <c r="V467" s="10">
        <v>0</v>
      </c>
      <c r="W467" s="10">
        <v>0</v>
      </c>
      <c r="X467" s="10">
        <f t="shared" si="256"/>
        <v>0</v>
      </c>
      <c r="Y467" s="10" t="str">
        <f t="shared" si="257"/>
        <v>NA</v>
      </c>
      <c r="Z467" s="10" t="str">
        <f t="shared" si="258"/>
        <v>NA</v>
      </c>
      <c r="AA467" s="10" t="str">
        <f t="shared" si="259"/>
        <v>NA</v>
      </c>
      <c r="AB467" s="10" t="str">
        <f t="shared" si="260"/>
        <v>NA</v>
      </c>
      <c r="AC467" s="10" t="str">
        <f t="shared" si="261"/>
        <v>NA</v>
      </c>
      <c r="AD467" s="10" t="str">
        <f t="shared" si="262"/>
        <v>NA</v>
      </c>
      <c r="AE467" s="10" t="str">
        <f t="shared" si="263"/>
        <v>NA</v>
      </c>
      <c r="AF467" s="1" t="s">
        <v>4710</v>
      </c>
    </row>
    <row r="468" spans="1:32" x14ac:dyDescent="0.2">
      <c r="A468" s="1" t="s">
        <v>4713</v>
      </c>
      <c r="B468" s="1" t="s">
        <v>5</v>
      </c>
      <c r="C468" s="1" t="s">
        <v>1575</v>
      </c>
      <c r="D468" s="1" t="s">
        <v>1580</v>
      </c>
      <c r="E468" s="1" t="s">
        <v>1827</v>
      </c>
      <c r="F468" s="1" t="s">
        <v>4721</v>
      </c>
      <c r="G468" s="13">
        <v>1</v>
      </c>
      <c r="H468" s="28">
        <v>43069</v>
      </c>
      <c r="I468" s="29">
        <f t="shared" ref="I468:I470" si="278">YEAR(H468)</f>
        <v>2017</v>
      </c>
      <c r="J468" s="1" t="s">
        <v>4702</v>
      </c>
      <c r="K468" s="1" t="s">
        <v>7</v>
      </c>
      <c r="L468" s="11" t="str">
        <f t="shared" ref="L468:L470" si="279">IF(OR(A468=J468,A468=K468),"ДА","НЕТ")</f>
        <v>НЕТ</v>
      </c>
      <c r="M468" s="10" t="s">
        <v>1575</v>
      </c>
      <c r="N468" s="10" t="s">
        <v>1575</v>
      </c>
      <c r="O468" s="10">
        <v>4.4928999999999997E-2</v>
      </c>
      <c r="P468" s="10">
        <f t="shared" si="254"/>
        <v>4.4928999999999997E-2</v>
      </c>
      <c r="Q468" s="10" t="str">
        <f t="shared" si="255"/>
        <v>NA</v>
      </c>
      <c r="R468" s="10" t="s">
        <v>1575</v>
      </c>
      <c r="S468" s="10" t="s">
        <v>1575</v>
      </c>
      <c r="T468" s="10" t="s">
        <v>1575</v>
      </c>
      <c r="U468" s="10" t="s">
        <v>1575</v>
      </c>
      <c r="V468" s="10">
        <v>4.4928999999999997E-2</v>
      </c>
      <c r="W468" s="10" t="s">
        <v>1575</v>
      </c>
      <c r="X468" s="10" t="str">
        <f t="shared" si="256"/>
        <v>NA</v>
      </c>
      <c r="Y468" s="10" t="str">
        <f t="shared" si="257"/>
        <v>NA</v>
      </c>
      <c r="Z468" s="10" t="str">
        <f t="shared" si="258"/>
        <v>NA</v>
      </c>
      <c r="AA468" s="10">
        <f t="shared" si="259"/>
        <v>1</v>
      </c>
      <c r="AB468" s="10" t="str">
        <f t="shared" si="260"/>
        <v>NA</v>
      </c>
      <c r="AC468" s="10" t="str">
        <f t="shared" si="261"/>
        <v>NA</v>
      </c>
      <c r="AD468" s="10" t="str">
        <f t="shared" si="262"/>
        <v>NA</v>
      </c>
      <c r="AE468" s="10" t="str">
        <f t="shared" si="263"/>
        <v>NA</v>
      </c>
      <c r="AF468" s="1" t="s">
        <v>4712</v>
      </c>
    </row>
    <row r="469" spans="1:32" x14ac:dyDescent="0.2">
      <c r="A469" s="1" t="s">
        <v>5545</v>
      </c>
      <c r="B469" s="1" t="s">
        <v>5</v>
      </c>
      <c r="C469" s="1" t="s">
        <v>1575</v>
      </c>
      <c r="D469" s="1" t="s">
        <v>1575</v>
      </c>
      <c r="E469" s="1" t="s">
        <v>1575</v>
      </c>
      <c r="F469" s="1" t="s">
        <v>1575</v>
      </c>
      <c r="G469" s="13">
        <v>1</v>
      </c>
      <c r="H469" s="28">
        <v>42704</v>
      </c>
      <c r="I469" s="29">
        <f t="shared" si="278"/>
        <v>2016</v>
      </c>
      <c r="J469" s="1" t="s">
        <v>4702</v>
      </c>
      <c r="K469" s="1" t="s">
        <v>7</v>
      </c>
      <c r="L469" s="11" t="str">
        <f t="shared" si="279"/>
        <v>НЕТ</v>
      </c>
      <c r="M469" s="10" t="s">
        <v>1575</v>
      </c>
      <c r="N469" s="10" t="s">
        <v>1575</v>
      </c>
      <c r="O469" s="10">
        <v>0.82530000000000003</v>
      </c>
      <c r="P469" s="10">
        <f t="shared" si="254"/>
        <v>0.82530000000000003</v>
      </c>
      <c r="Q469" s="10" t="str">
        <f t="shared" si="255"/>
        <v>NA</v>
      </c>
      <c r="R469" s="10" t="s">
        <v>1575</v>
      </c>
      <c r="S469" s="10" t="s">
        <v>1575</v>
      </c>
      <c r="T469" s="10" t="s">
        <v>1575</v>
      </c>
      <c r="U469" s="10" t="s">
        <v>1575</v>
      </c>
      <c r="V469" s="10">
        <v>0.82530000000000003</v>
      </c>
      <c r="W469" s="10" t="s">
        <v>1575</v>
      </c>
      <c r="X469" s="10" t="str">
        <f t="shared" si="256"/>
        <v>NA</v>
      </c>
      <c r="Y469" s="10" t="str">
        <f t="shared" si="257"/>
        <v>NA</v>
      </c>
      <c r="Z469" s="10" t="str">
        <f t="shared" si="258"/>
        <v>NA</v>
      </c>
      <c r="AA469" s="10">
        <f t="shared" si="259"/>
        <v>1</v>
      </c>
      <c r="AB469" s="10" t="str">
        <f t="shared" si="260"/>
        <v>NA</v>
      </c>
      <c r="AC469" s="10" t="str">
        <f t="shared" si="261"/>
        <v>NA</v>
      </c>
      <c r="AD469" s="10" t="str">
        <f t="shared" si="262"/>
        <v>NA</v>
      </c>
      <c r="AE469" s="10" t="str">
        <f t="shared" si="263"/>
        <v>NA</v>
      </c>
      <c r="AF469" s="1" t="s">
        <v>4714</v>
      </c>
    </row>
    <row r="470" spans="1:32" x14ac:dyDescent="0.2">
      <c r="A470" s="1" t="s">
        <v>5546</v>
      </c>
      <c r="B470" s="1" t="s">
        <v>5</v>
      </c>
      <c r="C470" s="1" t="s">
        <v>1575</v>
      </c>
      <c r="D470" s="1" t="s">
        <v>1580</v>
      </c>
      <c r="E470" s="1" t="s">
        <v>2057</v>
      </c>
      <c r="F470" s="1" t="s">
        <v>434</v>
      </c>
      <c r="G470" s="13">
        <v>1</v>
      </c>
      <c r="H470" s="28">
        <v>42338</v>
      </c>
      <c r="I470" s="29">
        <f t="shared" si="278"/>
        <v>2015</v>
      </c>
      <c r="J470" s="1" t="s">
        <v>4702</v>
      </c>
      <c r="K470" s="1" t="s">
        <v>7</v>
      </c>
      <c r="L470" s="11" t="str">
        <f t="shared" si="279"/>
        <v>НЕТ</v>
      </c>
      <c r="M470" s="10" t="s">
        <v>1575</v>
      </c>
      <c r="N470" s="10" t="s">
        <v>1575</v>
      </c>
      <c r="O470" s="10">
        <v>3.8379999999999997E-2</v>
      </c>
      <c r="P470" s="10">
        <f t="shared" si="254"/>
        <v>3.8379999999999997E-2</v>
      </c>
      <c r="Q470" s="10" t="str">
        <f t="shared" si="255"/>
        <v>NA</v>
      </c>
      <c r="R470" s="10" t="s">
        <v>1575</v>
      </c>
      <c r="S470" s="10" t="s">
        <v>1575</v>
      </c>
      <c r="T470" s="10" t="s">
        <v>1575</v>
      </c>
      <c r="U470" s="10" t="s">
        <v>1575</v>
      </c>
      <c r="V470" s="10">
        <v>3.8379999999999997E-2</v>
      </c>
      <c r="W470" s="10" t="s">
        <v>1575</v>
      </c>
      <c r="X470" s="10" t="str">
        <f t="shared" si="256"/>
        <v>NA</v>
      </c>
      <c r="Y470" s="10" t="str">
        <f t="shared" si="257"/>
        <v>NA</v>
      </c>
      <c r="Z470" s="10" t="str">
        <f t="shared" si="258"/>
        <v>NA</v>
      </c>
      <c r="AA470" s="10">
        <f t="shared" si="259"/>
        <v>1</v>
      </c>
      <c r="AB470" s="10" t="str">
        <f t="shared" si="260"/>
        <v>NA</v>
      </c>
      <c r="AC470" s="10" t="str">
        <f t="shared" si="261"/>
        <v>NA</v>
      </c>
      <c r="AD470" s="10" t="str">
        <f t="shared" si="262"/>
        <v>NA</v>
      </c>
      <c r="AE470" s="10" t="str">
        <f t="shared" si="263"/>
        <v>NA</v>
      </c>
      <c r="AF470" s="1" t="s">
        <v>4715</v>
      </c>
    </row>
    <row r="471" spans="1:32" x14ac:dyDescent="0.2">
      <c r="A471" s="1" t="s">
        <v>4720</v>
      </c>
      <c r="B471" s="1" t="s">
        <v>30</v>
      </c>
      <c r="C471" s="1" t="s">
        <v>1575</v>
      </c>
      <c r="D471" s="1" t="s">
        <v>1580</v>
      </c>
      <c r="E471" s="1" t="s">
        <v>1694</v>
      </c>
      <c r="F471" s="1" t="s">
        <v>4719</v>
      </c>
      <c r="G471" s="13">
        <f>92.1751%-90.07%</f>
        <v>2.1051000000000042E-2</v>
      </c>
      <c r="H471" s="28">
        <v>42369</v>
      </c>
      <c r="I471" s="29">
        <f t="shared" si="277"/>
        <v>2015</v>
      </c>
      <c r="J471" s="1" t="s">
        <v>4702</v>
      </c>
      <c r="K471" s="1" t="s">
        <v>7</v>
      </c>
      <c r="L471" s="11" t="str">
        <f t="shared" si="274"/>
        <v>НЕТ</v>
      </c>
      <c r="M471" s="10" t="s">
        <v>1575</v>
      </c>
      <c r="N471" s="10" t="s">
        <v>1575</v>
      </c>
      <c r="O471" s="10" t="s">
        <v>1575</v>
      </c>
      <c r="P471" s="10" t="str">
        <f t="shared" si="254"/>
        <v>NA</v>
      </c>
      <c r="Q471" s="10" t="str">
        <f t="shared" si="255"/>
        <v>NA</v>
      </c>
      <c r="R471" s="10" t="s">
        <v>1575</v>
      </c>
      <c r="S471" s="10" t="s">
        <v>1575</v>
      </c>
      <c r="T471" s="10" t="s">
        <v>1575</v>
      </c>
      <c r="U471" s="10" t="s">
        <v>1575</v>
      </c>
      <c r="V471" s="10" t="s">
        <v>1575</v>
      </c>
      <c r="W471" s="10" t="s">
        <v>1575</v>
      </c>
      <c r="X471" s="10" t="str">
        <f t="shared" si="256"/>
        <v>NA</v>
      </c>
      <c r="Y471" s="10" t="str">
        <f t="shared" si="257"/>
        <v>NA</v>
      </c>
      <c r="Z471" s="10" t="str">
        <f t="shared" si="258"/>
        <v>NA</v>
      </c>
      <c r="AA471" s="10" t="str">
        <f t="shared" si="259"/>
        <v>NA</v>
      </c>
      <c r="AB471" s="10" t="str">
        <f t="shared" si="260"/>
        <v>NA</v>
      </c>
      <c r="AC471" s="10" t="str">
        <f t="shared" si="261"/>
        <v>NA</v>
      </c>
      <c r="AD471" s="10" t="str">
        <f t="shared" si="262"/>
        <v>NA</v>
      </c>
      <c r="AE471" s="10" t="str">
        <f t="shared" si="263"/>
        <v>NA</v>
      </c>
      <c r="AF471" s="1" t="s">
        <v>4716</v>
      </c>
    </row>
    <row r="472" spans="1:32" x14ac:dyDescent="0.2">
      <c r="A472" s="1" t="s">
        <v>5547</v>
      </c>
      <c r="B472" s="1" t="s">
        <v>5</v>
      </c>
      <c r="C472" s="1" t="s">
        <v>1575</v>
      </c>
      <c r="D472" s="1" t="s">
        <v>1580</v>
      </c>
      <c r="E472" s="1" t="s">
        <v>1694</v>
      </c>
      <c r="F472" s="1" t="s">
        <v>4719</v>
      </c>
      <c r="G472" s="13">
        <v>0.11</v>
      </c>
      <c r="H472" s="28">
        <v>42369</v>
      </c>
      <c r="I472" s="29">
        <f t="shared" si="277"/>
        <v>2015</v>
      </c>
      <c r="J472" s="1" t="s">
        <v>4702</v>
      </c>
      <c r="K472" s="1" t="s">
        <v>7</v>
      </c>
      <c r="L472" s="11" t="str">
        <f t="shared" ref="L472:L473" si="280">IF(OR(A472=J472,A472=K472),"ДА","НЕТ")</f>
        <v>НЕТ</v>
      </c>
      <c r="M472" s="10" t="s">
        <v>1575</v>
      </c>
      <c r="N472" s="10" t="s">
        <v>1575</v>
      </c>
      <c r="O472" s="10">
        <v>1.1000000000000001E-3</v>
      </c>
      <c r="P472" s="10">
        <f t="shared" si="254"/>
        <v>0.01</v>
      </c>
      <c r="Q472" s="10" t="str">
        <f t="shared" si="255"/>
        <v>NA</v>
      </c>
      <c r="R472" s="10" t="s">
        <v>1575</v>
      </c>
      <c r="S472" s="10" t="s">
        <v>1575</v>
      </c>
      <c r="T472" s="10" t="s">
        <v>1575</v>
      </c>
      <c r="U472" s="10" t="s">
        <v>1575</v>
      </c>
      <c r="V472" s="10">
        <v>6.5249370000000004</v>
      </c>
      <c r="W472" s="10" t="s">
        <v>1575</v>
      </c>
      <c r="X472" s="10" t="str">
        <f t="shared" si="256"/>
        <v>NA</v>
      </c>
      <c r="Y472" s="10" t="str">
        <f t="shared" si="257"/>
        <v>NA</v>
      </c>
      <c r="Z472" s="10" t="str">
        <f t="shared" si="258"/>
        <v>NA</v>
      </c>
      <c r="AA472" s="10">
        <f t="shared" si="259"/>
        <v>1.5325818471504016E-3</v>
      </c>
      <c r="AB472" s="10" t="str">
        <f t="shared" si="260"/>
        <v>NA</v>
      </c>
      <c r="AC472" s="10" t="str">
        <f t="shared" si="261"/>
        <v>NA</v>
      </c>
      <c r="AD472" s="10" t="str">
        <f t="shared" si="262"/>
        <v>NA</v>
      </c>
      <c r="AE472" s="10" t="str">
        <f t="shared" si="263"/>
        <v>NA</v>
      </c>
      <c r="AF472" s="1" t="s">
        <v>4717</v>
      </c>
    </row>
    <row r="473" spans="1:32" x14ac:dyDescent="0.2">
      <c r="A473" s="1" t="s">
        <v>5547</v>
      </c>
      <c r="B473" s="1" t="s">
        <v>5</v>
      </c>
      <c r="C473" s="1" t="s">
        <v>1575</v>
      </c>
      <c r="D473" s="1" t="s">
        <v>1580</v>
      </c>
      <c r="E473" s="1" t="s">
        <v>1694</v>
      </c>
      <c r="F473" s="1" t="s">
        <v>4719</v>
      </c>
      <c r="G473" s="13">
        <v>0.88990000000000002</v>
      </c>
      <c r="H473" s="28">
        <v>41943</v>
      </c>
      <c r="I473" s="29">
        <f t="shared" si="277"/>
        <v>2014</v>
      </c>
      <c r="J473" s="1" t="s">
        <v>4702</v>
      </c>
      <c r="K473" s="1" t="s">
        <v>7</v>
      </c>
      <c r="L473" s="11" t="str">
        <f t="shared" si="280"/>
        <v>НЕТ</v>
      </c>
      <c r="M473" s="10" t="s">
        <v>1575</v>
      </c>
      <c r="N473" s="10" t="s">
        <v>1575</v>
      </c>
      <c r="O473" s="10">
        <v>8.8999999999999999E-3</v>
      </c>
      <c r="P473" s="10">
        <f t="shared" si="254"/>
        <v>1.0001123721766491E-2</v>
      </c>
      <c r="Q473" s="10" t="str">
        <f t="shared" si="255"/>
        <v>NA</v>
      </c>
      <c r="R473" s="10" t="s">
        <v>1575</v>
      </c>
      <c r="S473" s="10" t="s">
        <v>1575</v>
      </c>
      <c r="T473" s="10" t="s">
        <v>1575</v>
      </c>
      <c r="U473" s="10" t="s">
        <v>1575</v>
      </c>
      <c r="V473" s="10">
        <v>6.5249370000000004</v>
      </c>
      <c r="W473" s="10" t="s">
        <v>1575</v>
      </c>
      <c r="X473" s="10" t="str">
        <f t="shared" si="256"/>
        <v>NA</v>
      </c>
      <c r="Y473" s="10" t="str">
        <f t="shared" si="257"/>
        <v>NA</v>
      </c>
      <c r="Z473" s="10" t="str">
        <f t="shared" si="258"/>
        <v>NA</v>
      </c>
      <c r="AA473" s="10">
        <f t="shared" si="259"/>
        <v>1.5327540667084587E-3</v>
      </c>
      <c r="AB473" s="10" t="str">
        <f t="shared" si="260"/>
        <v>NA</v>
      </c>
      <c r="AC473" s="10" t="str">
        <f t="shared" si="261"/>
        <v>NA</v>
      </c>
      <c r="AD473" s="10" t="str">
        <f t="shared" si="262"/>
        <v>NA</v>
      </c>
      <c r="AE473" s="10" t="str">
        <f t="shared" si="263"/>
        <v>NA</v>
      </c>
      <c r="AF473" s="1" t="s">
        <v>4718</v>
      </c>
    </row>
    <row r="474" spans="1:32" x14ac:dyDescent="0.2">
      <c r="A474" s="1" t="s">
        <v>4703</v>
      </c>
      <c r="B474" s="1" t="s">
        <v>179</v>
      </c>
      <c r="C474" s="1" t="s">
        <v>1575</v>
      </c>
      <c r="D474" s="1" t="s">
        <v>1580</v>
      </c>
      <c r="E474" s="1" t="s">
        <v>1593</v>
      </c>
      <c r="F474" s="1" t="s">
        <v>545</v>
      </c>
      <c r="G474" s="13">
        <v>0.498</v>
      </c>
      <c r="H474" s="28">
        <v>41182</v>
      </c>
      <c r="I474" s="29">
        <f t="shared" si="181"/>
        <v>2012</v>
      </c>
      <c r="J474" s="1" t="s">
        <v>7</v>
      </c>
      <c r="K474" s="1" t="s">
        <v>4702</v>
      </c>
      <c r="L474" s="11" t="str">
        <f t="shared" si="274"/>
        <v>НЕТ</v>
      </c>
      <c r="M474" s="10" t="s">
        <v>1575</v>
      </c>
      <c r="N474" s="10" t="s">
        <v>1575</v>
      </c>
      <c r="O474" s="10">
        <v>13.422374</v>
      </c>
      <c r="P474" s="10">
        <f t="shared" si="254"/>
        <v>26.952558232931725</v>
      </c>
      <c r="Q474" s="10" t="str">
        <f t="shared" si="255"/>
        <v>NA</v>
      </c>
      <c r="R474" s="10" t="s">
        <v>1575</v>
      </c>
      <c r="S474" s="10" t="s">
        <v>1575</v>
      </c>
      <c r="T474" s="10" t="s">
        <v>1575</v>
      </c>
      <c r="U474" s="10" t="s">
        <v>1575</v>
      </c>
      <c r="V474" s="10">
        <v>23.644964000000002</v>
      </c>
      <c r="W474" s="10" t="s">
        <v>1575</v>
      </c>
      <c r="X474" s="10" t="str">
        <f t="shared" si="256"/>
        <v>NA</v>
      </c>
      <c r="Y474" s="10" t="str">
        <f t="shared" si="257"/>
        <v>NA</v>
      </c>
      <c r="Z474" s="10" t="str">
        <f t="shared" si="258"/>
        <v>NA</v>
      </c>
      <c r="AA474" s="10">
        <f t="shared" si="259"/>
        <v>1.1398857800304421</v>
      </c>
      <c r="AB474" s="10" t="str">
        <f t="shared" si="260"/>
        <v>NA</v>
      </c>
      <c r="AC474" s="10" t="str">
        <f t="shared" si="261"/>
        <v>NA</v>
      </c>
      <c r="AD474" s="10" t="str">
        <f t="shared" si="262"/>
        <v>NA</v>
      </c>
      <c r="AE474" s="10" t="str">
        <f t="shared" si="263"/>
        <v>NA</v>
      </c>
      <c r="AF474" s="1" t="s">
        <v>4700</v>
      </c>
    </row>
    <row r="475" spans="1:32" x14ac:dyDescent="0.2">
      <c r="A475" s="1" t="s">
        <v>4703</v>
      </c>
      <c r="B475" s="1" t="s">
        <v>179</v>
      </c>
      <c r="C475" s="1" t="s">
        <v>1575</v>
      </c>
      <c r="D475" s="1" t="s">
        <v>1580</v>
      </c>
      <c r="E475" s="1" t="s">
        <v>1593</v>
      </c>
      <c r="F475" s="1" t="s">
        <v>545</v>
      </c>
      <c r="G475" s="13">
        <v>0.39800000000000002</v>
      </c>
      <c r="H475" s="28">
        <v>40908</v>
      </c>
      <c r="I475" s="29">
        <f t="shared" ref="I475:I513" si="281">YEAR(H475)</f>
        <v>2011</v>
      </c>
      <c r="J475" s="1" t="s">
        <v>4702</v>
      </c>
      <c r="K475" s="1" t="s">
        <v>7</v>
      </c>
      <c r="L475" s="11" t="str">
        <f t="shared" si="274"/>
        <v>НЕТ</v>
      </c>
      <c r="M475" s="10" t="s">
        <v>1575</v>
      </c>
      <c r="N475" s="10" t="s">
        <v>1575</v>
      </c>
      <c r="O475" s="10">
        <v>19.171104</v>
      </c>
      <c r="P475" s="10">
        <f t="shared" si="254"/>
        <v>48.168603015075377</v>
      </c>
      <c r="Q475" s="10" t="str">
        <f t="shared" si="255"/>
        <v>NA</v>
      </c>
      <c r="R475" s="10" t="s">
        <v>1575</v>
      </c>
      <c r="S475" s="10" t="s">
        <v>1575</v>
      </c>
      <c r="T475" s="10" t="s">
        <v>1575</v>
      </c>
      <c r="U475" s="10" t="s">
        <v>1575</v>
      </c>
      <c r="V475" s="10">
        <v>10.87547</v>
      </c>
      <c r="W475" s="10" t="s">
        <v>1575</v>
      </c>
      <c r="X475" s="10" t="str">
        <f t="shared" si="256"/>
        <v>NA</v>
      </c>
      <c r="Y475" s="10" t="str">
        <f t="shared" si="257"/>
        <v>NA</v>
      </c>
      <c r="Z475" s="10" t="str">
        <f t="shared" si="258"/>
        <v>NA</v>
      </c>
      <c r="AA475" s="10">
        <f t="shared" si="259"/>
        <v>4.4291054101639169</v>
      </c>
      <c r="AB475" s="10" t="str">
        <f t="shared" si="260"/>
        <v>NA</v>
      </c>
      <c r="AC475" s="10" t="str">
        <f t="shared" si="261"/>
        <v>NA</v>
      </c>
      <c r="AD475" s="10" t="str">
        <f t="shared" si="262"/>
        <v>NA</v>
      </c>
      <c r="AE475" s="10" t="str">
        <f t="shared" si="263"/>
        <v>NA</v>
      </c>
      <c r="AF475" s="1" t="s">
        <v>4701</v>
      </c>
    </row>
    <row r="476" spans="1:32" x14ac:dyDescent="0.2">
      <c r="A476" s="1" t="s">
        <v>5548</v>
      </c>
      <c r="B476" s="1" t="s">
        <v>5</v>
      </c>
      <c r="C476" s="1" t="s">
        <v>1575</v>
      </c>
      <c r="D476" s="1" t="s">
        <v>1580</v>
      </c>
      <c r="E476" s="1" t="s">
        <v>2057</v>
      </c>
      <c r="F476" s="1" t="s">
        <v>434</v>
      </c>
      <c r="G476" s="13">
        <v>0.5</v>
      </c>
      <c r="H476" s="28">
        <v>43039</v>
      </c>
      <c r="I476" s="29">
        <f t="shared" si="281"/>
        <v>2017</v>
      </c>
      <c r="J476" s="1" t="s">
        <v>4819</v>
      </c>
      <c r="K476" s="1" t="s">
        <v>7</v>
      </c>
      <c r="L476" s="11" t="str">
        <f t="shared" ref="L476" si="282">IF(OR(A476=J476,A476=K476),"ДА","НЕТ")</f>
        <v>НЕТ</v>
      </c>
      <c r="M476" s="10" t="s">
        <v>1575</v>
      </c>
      <c r="N476" s="10" t="s">
        <v>1575</v>
      </c>
      <c r="O476" s="10">
        <v>1.88009</v>
      </c>
      <c r="P476" s="10">
        <f t="shared" si="254"/>
        <v>3.7601800000000001</v>
      </c>
      <c r="Q476" s="10" t="str">
        <f t="shared" si="255"/>
        <v>NA</v>
      </c>
      <c r="R476" s="10" t="s">
        <v>1575</v>
      </c>
      <c r="S476" s="10" t="s">
        <v>1575</v>
      </c>
      <c r="T476" s="10" t="s">
        <v>1575</v>
      </c>
      <c r="U476" s="10" t="s">
        <v>1575</v>
      </c>
      <c r="V476" s="10">
        <v>4.4869500000000002</v>
      </c>
      <c r="W476" s="10" t="s">
        <v>1575</v>
      </c>
      <c r="X476" s="10" t="str">
        <f t="shared" si="256"/>
        <v>NA</v>
      </c>
      <c r="Y476" s="10" t="str">
        <f t="shared" si="257"/>
        <v>NA</v>
      </c>
      <c r="Z476" s="10" t="str">
        <f t="shared" si="258"/>
        <v>NA</v>
      </c>
      <c r="AA476" s="10">
        <f t="shared" si="259"/>
        <v>0.83802583046390089</v>
      </c>
      <c r="AB476" s="10" t="str">
        <f t="shared" si="260"/>
        <v>NA</v>
      </c>
      <c r="AC476" s="10" t="str">
        <f t="shared" si="261"/>
        <v>NA</v>
      </c>
      <c r="AD476" s="10" t="str">
        <f t="shared" si="262"/>
        <v>NA</v>
      </c>
      <c r="AE476" s="10" t="str">
        <f t="shared" si="263"/>
        <v>NA</v>
      </c>
      <c r="AF476" s="1" t="s">
        <v>4820</v>
      </c>
    </row>
    <row r="477" spans="1:32" x14ac:dyDescent="0.2">
      <c r="A477" s="1" t="s">
        <v>4825</v>
      </c>
      <c r="B477" s="1" t="s">
        <v>30</v>
      </c>
      <c r="C477" s="1" t="s">
        <v>1575</v>
      </c>
      <c r="D477" s="1" t="s">
        <v>1580</v>
      </c>
      <c r="E477" s="1" t="s">
        <v>2165</v>
      </c>
      <c r="F477" s="1" t="s">
        <v>173</v>
      </c>
      <c r="G477" s="13">
        <v>0.4</v>
      </c>
      <c r="H477" s="28">
        <v>43160</v>
      </c>
      <c r="I477" s="29">
        <f t="shared" si="281"/>
        <v>2018</v>
      </c>
      <c r="J477" s="1" t="s">
        <v>4822</v>
      </c>
      <c r="K477" s="1" t="s">
        <v>4824</v>
      </c>
      <c r="L477" s="11" t="str">
        <f t="shared" ref="L477" si="283">IF(OR(A477=J477,A477=K477),"ДА","НЕТ")</f>
        <v>НЕТ</v>
      </c>
      <c r="M477" s="10" t="s">
        <v>1575</v>
      </c>
      <c r="N477" s="10" t="s">
        <v>1575</v>
      </c>
      <c r="O477" s="10">
        <v>6.0330310000000003</v>
      </c>
      <c r="P477" s="10">
        <f t="shared" si="254"/>
        <v>15.082577499999999</v>
      </c>
      <c r="Q477" s="10" t="str">
        <f t="shared" si="255"/>
        <v>NA</v>
      </c>
      <c r="R477" s="10" t="s">
        <v>1575</v>
      </c>
      <c r="S477" s="10" t="s">
        <v>1575</v>
      </c>
      <c r="T477" s="10" t="s">
        <v>1575</v>
      </c>
      <c r="U477" s="10">
        <v>2.8141560000000001</v>
      </c>
      <c r="V477" s="10">
        <v>16.662254999999998</v>
      </c>
      <c r="W477" s="10" t="s">
        <v>1575</v>
      </c>
      <c r="X477" s="10" t="str">
        <f t="shared" si="256"/>
        <v>NA</v>
      </c>
      <c r="Y477" s="10" t="str">
        <f t="shared" si="257"/>
        <v>NA</v>
      </c>
      <c r="Z477" s="10">
        <f t="shared" si="258"/>
        <v>5.3595385259381496</v>
      </c>
      <c r="AA477" s="10">
        <f t="shared" si="259"/>
        <v>0.90519425491927719</v>
      </c>
      <c r="AB477" s="10" t="str">
        <f t="shared" si="260"/>
        <v>NA</v>
      </c>
      <c r="AC477" s="10" t="str">
        <f t="shared" si="261"/>
        <v>NA</v>
      </c>
      <c r="AD477" s="10" t="str">
        <f t="shared" si="262"/>
        <v>NA</v>
      </c>
      <c r="AE477" s="10" t="str">
        <f t="shared" si="263"/>
        <v>NA</v>
      </c>
      <c r="AF477" s="1" t="s">
        <v>4826</v>
      </c>
    </row>
    <row r="478" spans="1:32" x14ac:dyDescent="0.2">
      <c r="A478" s="1" t="s">
        <v>5549</v>
      </c>
      <c r="B478" s="1" t="s">
        <v>5</v>
      </c>
      <c r="C478" s="1" t="s">
        <v>1575</v>
      </c>
      <c r="D478" s="1" t="s">
        <v>1580</v>
      </c>
      <c r="E478" s="1" t="s">
        <v>2057</v>
      </c>
      <c r="F478" s="1" t="s">
        <v>434</v>
      </c>
      <c r="G478" s="13">
        <v>0.6</v>
      </c>
      <c r="H478" s="28">
        <v>41698</v>
      </c>
      <c r="I478" s="29">
        <f t="shared" si="281"/>
        <v>2014</v>
      </c>
      <c r="J478" s="1" t="s">
        <v>4822</v>
      </c>
      <c r="K478" s="1" t="s">
        <v>4829</v>
      </c>
      <c r="L478" s="11" t="str">
        <f t="shared" ref="L478:L479" si="284">IF(OR(A478=J478,A478=K478),"ДА","НЕТ")</f>
        <v>НЕТ</v>
      </c>
      <c r="M478" s="10" t="s">
        <v>1575</v>
      </c>
      <c r="N478" s="10" t="s">
        <v>1575</v>
      </c>
      <c r="O478" s="10">
        <v>1.1634</v>
      </c>
      <c r="P478" s="10">
        <f t="shared" si="254"/>
        <v>1.9390000000000001</v>
      </c>
      <c r="Q478" s="10" t="str">
        <f t="shared" si="255"/>
        <v>NA</v>
      </c>
      <c r="R478" s="10" t="s">
        <v>1575</v>
      </c>
      <c r="S478" s="10" t="s">
        <v>1575</v>
      </c>
      <c r="T478" s="10" t="s">
        <v>1575</v>
      </c>
      <c r="U478" s="10" t="s">
        <v>1575</v>
      </c>
      <c r="V478" s="10">
        <v>2.4796830000000001</v>
      </c>
      <c r="W478" s="10" t="s">
        <v>1575</v>
      </c>
      <c r="X478" s="10" t="str">
        <f t="shared" si="256"/>
        <v>NA</v>
      </c>
      <c r="Y478" s="10" t="str">
        <f t="shared" si="257"/>
        <v>NA</v>
      </c>
      <c r="Z478" s="10" t="str">
        <f t="shared" si="258"/>
        <v>NA</v>
      </c>
      <c r="AA478" s="10">
        <f t="shared" si="259"/>
        <v>0.78195479018890723</v>
      </c>
      <c r="AB478" s="10" t="str">
        <f t="shared" si="260"/>
        <v>NA</v>
      </c>
      <c r="AC478" s="10" t="str">
        <f t="shared" si="261"/>
        <v>NA</v>
      </c>
      <c r="AD478" s="10" t="str">
        <f t="shared" si="262"/>
        <v>NA</v>
      </c>
      <c r="AE478" s="10" t="str">
        <f t="shared" si="263"/>
        <v>NA</v>
      </c>
      <c r="AF478" s="1" t="s">
        <v>4827</v>
      </c>
    </row>
    <row r="479" spans="1:32" x14ac:dyDescent="0.2">
      <c r="A479" s="1" t="s">
        <v>5550</v>
      </c>
      <c r="B479" s="1" t="s">
        <v>5</v>
      </c>
      <c r="C479" s="1" t="s">
        <v>1575</v>
      </c>
      <c r="D479" s="1" t="s">
        <v>1580</v>
      </c>
      <c r="E479" s="1" t="s">
        <v>1694</v>
      </c>
      <c r="F479" s="1" t="s">
        <v>4719</v>
      </c>
      <c r="G479" s="13">
        <v>1</v>
      </c>
      <c r="H479" s="28">
        <v>41516</v>
      </c>
      <c r="I479" s="29">
        <f t="shared" si="281"/>
        <v>2013</v>
      </c>
      <c r="J479" s="1" t="s">
        <v>7</v>
      </c>
      <c r="K479" s="1" t="s">
        <v>4822</v>
      </c>
      <c r="L479" s="11" t="str">
        <f t="shared" si="284"/>
        <v>НЕТ</v>
      </c>
      <c r="M479" s="10" t="s">
        <v>1575</v>
      </c>
      <c r="N479" s="10" t="s">
        <v>1575</v>
      </c>
      <c r="O479" s="10">
        <v>6.5472380000000001</v>
      </c>
      <c r="P479" s="10">
        <f t="shared" si="254"/>
        <v>6.5472380000000001</v>
      </c>
      <c r="Q479" s="10" t="str">
        <f t="shared" si="255"/>
        <v>NA</v>
      </c>
      <c r="R479" s="10" t="s">
        <v>1575</v>
      </c>
      <c r="S479" s="10" t="s">
        <v>1575</v>
      </c>
      <c r="T479" s="10" t="s">
        <v>1575</v>
      </c>
      <c r="U479" s="10" t="s">
        <v>1575</v>
      </c>
      <c r="V479" s="10">
        <v>6.3977079999999997</v>
      </c>
      <c r="W479" s="10" t="s">
        <v>1575</v>
      </c>
      <c r="X479" s="10" t="str">
        <f t="shared" si="256"/>
        <v>NA</v>
      </c>
      <c r="Y479" s="10" t="str">
        <f t="shared" si="257"/>
        <v>NA</v>
      </c>
      <c r="Z479" s="10" t="str">
        <f t="shared" si="258"/>
        <v>NA</v>
      </c>
      <c r="AA479" s="10">
        <f t="shared" si="259"/>
        <v>1.0233724327524796</v>
      </c>
      <c r="AB479" s="10" t="str">
        <f t="shared" si="260"/>
        <v>NA</v>
      </c>
      <c r="AC479" s="10" t="str">
        <f t="shared" si="261"/>
        <v>NA</v>
      </c>
      <c r="AD479" s="10" t="str">
        <f t="shared" si="262"/>
        <v>NA</v>
      </c>
      <c r="AE479" s="10" t="str">
        <f t="shared" si="263"/>
        <v>NA</v>
      </c>
      <c r="AF479" s="1" t="s">
        <v>4828</v>
      </c>
    </row>
    <row r="480" spans="1:32" x14ac:dyDescent="0.2">
      <c r="A480" s="1" t="s">
        <v>5550</v>
      </c>
      <c r="B480" s="1" t="s">
        <v>5</v>
      </c>
      <c r="C480" s="1" t="s">
        <v>1575</v>
      </c>
      <c r="D480" s="1" t="s">
        <v>1580</v>
      </c>
      <c r="E480" s="1" t="s">
        <v>1694</v>
      </c>
      <c r="F480" s="1" t="s">
        <v>4719</v>
      </c>
      <c r="G480" s="13">
        <v>1</v>
      </c>
      <c r="H480" s="28">
        <v>40801</v>
      </c>
      <c r="I480" s="29">
        <f t="shared" si="281"/>
        <v>2011</v>
      </c>
      <c r="J480" s="1" t="s">
        <v>4822</v>
      </c>
      <c r="K480" s="1" t="s">
        <v>4823</v>
      </c>
      <c r="L480" s="11" t="str">
        <f t="shared" ref="L480" si="285">IF(OR(A480=J480,A480=K480),"ДА","НЕТ")</f>
        <v>НЕТ</v>
      </c>
      <c r="M480" s="10" t="s">
        <v>1575</v>
      </c>
      <c r="N480" s="10" t="s">
        <v>1575</v>
      </c>
      <c r="O480" s="10">
        <v>0.84599999999999997</v>
      </c>
      <c r="P480" s="10">
        <f t="shared" si="254"/>
        <v>0.84599999999999997</v>
      </c>
      <c r="Q480" s="10" t="str">
        <f t="shared" si="255"/>
        <v>NA</v>
      </c>
      <c r="R480" s="10" t="s">
        <v>1575</v>
      </c>
      <c r="S480" s="10" t="s">
        <v>1575</v>
      </c>
      <c r="T480" s="10" t="s">
        <v>1575</v>
      </c>
      <c r="U480" s="10" t="s">
        <v>1575</v>
      </c>
      <c r="V480" s="10">
        <f>O480-0.021586</f>
        <v>0.82441399999999998</v>
      </c>
      <c r="W480" s="10" t="s">
        <v>1575</v>
      </c>
      <c r="X480" s="10" t="str">
        <f t="shared" si="256"/>
        <v>NA</v>
      </c>
      <c r="Y480" s="10" t="str">
        <f t="shared" si="257"/>
        <v>NA</v>
      </c>
      <c r="Z480" s="10" t="str">
        <f t="shared" si="258"/>
        <v>NA</v>
      </c>
      <c r="AA480" s="10">
        <f t="shared" si="259"/>
        <v>1.0261834466663593</v>
      </c>
      <c r="AB480" s="10" t="str">
        <f t="shared" si="260"/>
        <v>NA</v>
      </c>
      <c r="AC480" s="10" t="str">
        <f t="shared" si="261"/>
        <v>NA</v>
      </c>
      <c r="AD480" s="10" t="str">
        <f t="shared" si="262"/>
        <v>NA</v>
      </c>
      <c r="AE480" s="10" t="str">
        <f t="shared" si="263"/>
        <v>NA</v>
      </c>
      <c r="AF480" s="1" t="s">
        <v>4821</v>
      </c>
    </row>
    <row r="481" spans="1:32" x14ac:dyDescent="0.2">
      <c r="A481" s="1" t="s">
        <v>5551</v>
      </c>
      <c r="B481" s="1" t="s">
        <v>5</v>
      </c>
      <c r="C481" s="1" t="s">
        <v>1575</v>
      </c>
      <c r="D481" s="1" t="s">
        <v>1578</v>
      </c>
      <c r="E481" s="1" t="s">
        <v>1579</v>
      </c>
      <c r="F481" s="1" t="s">
        <v>511</v>
      </c>
      <c r="G481" s="13" t="s">
        <v>11</v>
      </c>
      <c r="H481" s="28">
        <v>44196</v>
      </c>
      <c r="I481" s="29">
        <f t="shared" si="281"/>
        <v>2020</v>
      </c>
      <c r="J481" s="1" t="s">
        <v>7</v>
      </c>
      <c r="K481" s="1" t="s">
        <v>4831</v>
      </c>
      <c r="L481" s="11" t="str">
        <f t="shared" ref="L481:L483" si="286">IF(OR(A481=J481,A481=K481),"ДА","НЕТ")</f>
        <v>НЕТ</v>
      </c>
      <c r="M481" s="10" t="s">
        <v>1575</v>
      </c>
      <c r="N481" s="10" t="s">
        <v>1575</v>
      </c>
      <c r="O481" s="10">
        <v>0.55900000000000005</v>
      </c>
      <c r="P481" s="10" t="str">
        <f t="shared" si="254"/>
        <v>NA</v>
      </c>
      <c r="Q481" s="10" t="str">
        <f t="shared" si="255"/>
        <v>NA</v>
      </c>
      <c r="R481" s="10" t="s">
        <v>1575</v>
      </c>
      <c r="S481" s="10" t="s">
        <v>1575</v>
      </c>
      <c r="T481" s="10" t="s">
        <v>1575</v>
      </c>
      <c r="U481" s="10" t="s">
        <v>1575</v>
      </c>
      <c r="V481" s="10" t="s">
        <v>1575</v>
      </c>
      <c r="W481" s="10" t="s">
        <v>1575</v>
      </c>
      <c r="X481" s="10" t="str">
        <f t="shared" si="256"/>
        <v>NA</v>
      </c>
      <c r="Y481" s="10" t="str">
        <f t="shared" si="257"/>
        <v>NA</v>
      </c>
      <c r="Z481" s="10" t="str">
        <f t="shared" si="258"/>
        <v>NA</v>
      </c>
      <c r="AA481" s="10" t="str">
        <f t="shared" si="259"/>
        <v>NA</v>
      </c>
      <c r="AB481" s="10" t="str">
        <f t="shared" si="260"/>
        <v>NA</v>
      </c>
      <c r="AC481" s="10" t="str">
        <f t="shared" si="261"/>
        <v>NA</v>
      </c>
      <c r="AD481" s="10" t="str">
        <f t="shared" si="262"/>
        <v>NA</v>
      </c>
      <c r="AE481" s="10" t="str">
        <f t="shared" si="263"/>
        <v>NA</v>
      </c>
      <c r="AF481" s="1" t="s">
        <v>4830</v>
      </c>
    </row>
    <row r="482" spans="1:32" x14ac:dyDescent="0.2">
      <c r="A482" s="1" t="s">
        <v>5552</v>
      </c>
      <c r="B482" s="1" t="s">
        <v>5</v>
      </c>
      <c r="C482" s="1" t="s">
        <v>1575</v>
      </c>
      <c r="D482" s="1" t="s">
        <v>1578</v>
      </c>
      <c r="E482" s="1" t="s">
        <v>1579</v>
      </c>
      <c r="F482" s="1" t="s">
        <v>429</v>
      </c>
      <c r="G482" s="13">
        <v>1</v>
      </c>
      <c r="H482" s="28">
        <v>43769</v>
      </c>
      <c r="I482" s="29">
        <f t="shared" si="281"/>
        <v>2019</v>
      </c>
      <c r="J482" s="1" t="s">
        <v>7</v>
      </c>
      <c r="K482" s="1" t="s">
        <v>4831</v>
      </c>
      <c r="L482" s="11" t="str">
        <f t="shared" ref="L482" si="287">IF(OR(A482=J482,A482=K482),"ДА","НЕТ")</f>
        <v>НЕТ</v>
      </c>
      <c r="M482" s="10" t="s">
        <v>1575</v>
      </c>
      <c r="N482" s="10" t="s">
        <v>1575</v>
      </c>
      <c r="O482" s="10">
        <v>1.4999999999999999E-2</v>
      </c>
      <c r="P482" s="10">
        <f t="shared" si="254"/>
        <v>1.4999999999999999E-2</v>
      </c>
      <c r="Q482" s="10" t="str">
        <f t="shared" si="255"/>
        <v>NA</v>
      </c>
      <c r="R482" s="10" t="s">
        <v>1575</v>
      </c>
      <c r="S482" s="10" t="s">
        <v>1575</v>
      </c>
      <c r="T482" s="10" t="s">
        <v>1575</v>
      </c>
      <c r="U482" s="10" t="s">
        <v>1575</v>
      </c>
      <c r="V482" s="10" t="s">
        <v>1575</v>
      </c>
      <c r="W482" s="10" t="s">
        <v>1575</v>
      </c>
      <c r="X482" s="10" t="str">
        <f t="shared" si="256"/>
        <v>NA</v>
      </c>
      <c r="Y482" s="10" t="str">
        <f t="shared" si="257"/>
        <v>NA</v>
      </c>
      <c r="Z482" s="10" t="str">
        <f t="shared" si="258"/>
        <v>NA</v>
      </c>
      <c r="AA482" s="10" t="str">
        <f t="shared" si="259"/>
        <v>NA</v>
      </c>
      <c r="AB482" s="10" t="str">
        <f t="shared" si="260"/>
        <v>NA</v>
      </c>
      <c r="AC482" s="10" t="str">
        <f t="shared" si="261"/>
        <v>NA</v>
      </c>
      <c r="AD482" s="10" t="str">
        <f t="shared" si="262"/>
        <v>NA</v>
      </c>
      <c r="AE482" s="10" t="str">
        <f t="shared" si="263"/>
        <v>NA</v>
      </c>
      <c r="AF482" s="1" t="s">
        <v>4834</v>
      </c>
    </row>
    <row r="483" spans="1:32" x14ac:dyDescent="0.2">
      <c r="A483" s="1" t="s">
        <v>5553</v>
      </c>
      <c r="B483" s="1" t="s">
        <v>5</v>
      </c>
      <c r="C483" s="1" t="s">
        <v>1575</v>
      </c>
      <c r="D483" s="1" t="s">
        <v>1578</v>
      </c>
      <c r="E483" s="1" t="s">
        <v>1579</v>
      </c>
      <c r="F483" s="1" t="s">
        <v>511</v>
      </c>
      <c r="G483" s="13">
        <v>0.74990000000000001</v>
      </c>
      <c r="H483" s="28">
        <v>43555</v>
      </c>
      <c r="I483" s="29">
        <f t="shared" ref="I483" si="288">YEAR(H483)</f>
        <v>2019</v>
      </c>
      <c r="J483" s="1" t="s">
        <v>7</v>
      </c>
      <c r="K483" s="1" t="s">
        <v>4831</v>
      </c>
      <c r="L483" s="11" t="str">
        <f t="shared" si="286"/>
        <v>НЕТ</v>
      </c>
      <c r="M483" s="10" t="s">
        <v>1575</v>
      </c>
      <c r="N483" s="10" t="s">
        <v>1575</v>
      </c>
      <c r="O483" s="10" t="s">
        <v>1575</v>
      </c>
      <c r="P483" s="10" t="str">
        <f t="shared" si="254"/>
        <v>NA</v>
      </c>
      <c r="Q483" s="10" t="str">
        <f t="shared" si="255"/>
        <v>NA</v>
      </c>
      <c r="R483" s="10" t="s">
        <v>1575</v>
      </c>
      <c r="S483" s="10" t="s">
        <v>1575</v>
      </c>
      <c r="T483" s="10" t="s">
        <v>1575</v>
      </c>
      <c r="U483" s="10" t="s">
        <v>1575</v>
      </c>
      <c r="V483" s="10">
        <v>7.21</v>
      </c>
      <c r="W483" s="10" t="s">
        <v>1575</v>
      </c>
      <c r="X483" s="10" t="str">
        <f t="shared" si="256"/>
        <v>NA</v>
      </c>
      <c r="Y483" s="10" t="str">
        <f t="shared" si="257"/>
        <v>NA</v>
      </c>
      <c r="Z483" s="10" t="str">
        <f t="shared" si="258"/>
        <v>NA</v>
      </c>
      <c r="AA483" s="10" t="str">
        <f t="shared" si="259"/>
        <v>NA</v>
      </c>
      <c r="AB483" s="10" t="str">
        <f t="shared" si="260"/>
        <v>NA</v>
      </c>
      <c r="AC483" s="10" t="str">
        <f t="shared" si="261"/>
        <v>NA</v>
      </c>
      <c r="AD483" s="10" t="str">
        <f t="shared" si="262"/>
        <v>NA</v>
      </c>
      <c r="AE483" s="10" t="str">
        <f t="shared" si="263"/>
        <v>NA</v>
      </c>
      <c r="AF483" s="1" t="s">
        <v>4833</v>
      </c>
    </row>
    <row r="484" spans="1:32" x14ac:dyDescent="0.2">
      <c r="A484" s="1" t="s">
        <v>5553</v>
      </c>
      <c r="B484" s="1" t="s">
        <v>5</v>
      </c>
      <c r="C484" s="1" t="s">
        <v>1575</v>
      </c>
      <c r="D484" s="1" t="s">
        <v>1578</v>
      </c>
      <c r="E484" s="1" t="s">
        <v>1579</v>
      </c>
      <c r="F484" s="1" t="s">
        <v>511</v>
      </c>
      <c r="G484" s="13">
        <v>0.74990000000000001</v>
      </c>
      <c r="H484" s="28">
        <v>43465</v>
      </c>
      <c r="I484" s="29">
        <f t="shared" si="281"/>
        <v>2018</v>
      </c>
      <c r="J484" s="1" t="s">
        <v>4831</v>
      </c>
      <c r="K484" s="1" t="s">
        <v>7</v>
      </c>
      <c r="L484" s="11" t="str">
        <f t="shared" ref="L484:L485" si="289">IF(OR(A484=J484,A484=K484),"ДА","НЕТ")</f>
        <v>НЕТ</v>
      </c>
      <c r="M484" s="10" t="s">
        <v>1575</v>
      </c>
      <c r="N484" s="10" t="s">
        <v>1575</v>
      </c>
      <c r="O484" s="10">
        <v>5.2590000000000003</v>
      </c>
      <c r="P484" s="10">
        <f t="shared" si="254"/>
        <v>7.0129350580077343</v>
      </c>
      <c r="Q484" s="10" t="str">
        <f t="shared" si="255"/>
        <v>NA</v>
      </c>
      <c r="R484" s="10" t="s">
        <v>1575</v>
      </c>
      <c r="S484" s="10" t="s">
        <v>1575</v>
      </c>
      <c r="T484" s="10" t="s">
        <v>1575</v>
      </c>
      <c r="U484" s="10" t="s">
        <v>1575</v>
      </c>
      <c r="V484" s="10">
        <v>7.0129999999999999</v>
      </c>
      <c r="W484" s="10" t="s">
        <v>1575</v>
      </c>
      <c r="X484" s="10" t="str">
        <f t="shared" si="256"/>
        <v>NA</v>
      </c>
      <c r="Y484" s="10" t="str">
        <f t="shared" si="257"/>
        <v>NA</v>
      </c>
      <c r="Z484" s="10" t="str">
        <f t="shared" si="258"/>
        <v>NA</v>
      </c>
      <c r="AA484" s="10">
        <f t="shared" si="259"/>
        <v>0.99999073977010333</v>
      </c>
      <c r="AB484" s="10" t="str">
        <f t="shared" si="260"/>
        <v>NA</v>
      </c>
      <c r="AC484" s="10" t="str">
        <f t="shared" si="261"/>
        <v>NA</v>
      </c>
      <c r="AD484" s="10" t="str">
        <f t="shared" si="262"/>
        <v>NA</v>
      </c>
      <c r="AE484" s="10" t="str">
        <f t="shared" si="263"/>
        <v>NA</v>
      </c>
      <c r="AF484" s="1" t="s">
        <v>4832</v>
      </c>
    </row>
    <row r="485" spans="1:32" x14ac:dyDescent="0.2">
      <c r="A485" s="1" t="s">
        <v>5554</v>
      </c>
      <c r="B485" s="1" t="s">
        <v>5</v>
      </c>
      <c r="C485" s="1" t="s">
        <v>1575</v>
      </c>
      <c r="D485" s="1" t="s">
        <v>1578</v>
      </c>
      <c r="E485" s="1" t="s">
        <v>1579</v>
      </c>
      <c r="F485" s="1" t="s">
        <v>4839</v>
      </c>
      <c r="G485" s="13" t="s">
        <v>11</v>
      </c>
      <c r="H485" s="28">
        <v>42581</v>
      </c>
      <c r="I485" s="29">
        <f t="shared" si="281"/>
        <v>2016</v>
      </c>
      <c r="J485" s="1" t="s">
        <v>7</v>
      </c>
      <c r="K485" s="1" t="s">
        <v>4831</v>
      </c>
      <c r="L485" s="11" t="str">
        <f t="shared" si="289"/>
        <v>НЕТ</v>
      </c>
      <c r="M485" s="10" t="s">
        <v>1575</v>
      </c>
      <c r="N485" s="10" t="s">
        <v>1575</v>
      </c>
      <c r="O485" s="10">
        <v>6.6000000000000003E-2</v>
      </c>
      <c r="P485" s="10" t="str">
        <f t="shared" si="254"/>
        <v>NA</v>
      </c>
      <c r="Q485" s="10" t="str">
        <f t="shared" si="255"/>
        <v>NA</v>
      </c>
      <c r="R485" s="10" t="s">
        <v>1575</v>
      </c>
      <c r="S485" s="10" t="s">
        <v>1575</v>
      </c>
      <c r="T485" s="10" t="s">
        <v>1575</v>
      </c>
      <c r="U485" s="10" t="s">
        <v>1575</v>
      </c>
      <c r="V485" s="10" t="s">
        <v>1575</v>
      </c>
      <c r="W485" s="10" t="s">
        <v>1575</v>
      </c>
      <c r="X485" s="10" t="str">
        <f t="shared" si="256"/>
        <v>NA</v>
      </c>
      <c r="Y485" s="10" t="str">
        <f t="shared" si="257"/>
        <v>NA</v>
      </c>
      <c r="Z485" s="10" t="str">
        <f t="shared" si="258"/>
        <v>NA</v>
      </c>
      <c r="AA485" s="10" t="str">
        <f t="shared" si="259"/>
        <v>NA</v>
      </c>
      <c r="AB485" s="10" t="str">
        <f t="shared" si="260"/>
        <v>NA</v>
      </c>
      <c r="AC485" s="10" t="str">
        <f t="shared" si="261"/>
        <v>NA</v>
      </c>
      <c r="AD485" s="10" t="str">
        <f t="shared" si="262"/>
        <v>NA</v>
      </c>
      <c r="AE485" s="10" t="str">
        <f t="shared" si="263"/>
        <v>NA</v>
      </c>
      <c r="AF485" s="1" t="s">
        <v>4835</v>
      </c>
    </row>
    <row r="486" spans="1:32" x14ac:dyDescent="0.2">
      <c r="A486" s="1" t="s">
        <v>5555</v>
      </c>
      <c r="B486" s="1" t="s">
        <v>5</v>
      </c>
      <c r="C486" s="1" t="s">
        <v>1575</v>
      </c>
      <c r="D486" s="1" t="s">
        <v>1578</v>
      </c>
      <c r="E486" s="1" t="s">
        <v>1579</v>
      </c>
      <c r="F486" s="1" t="s">
        <v>429</v>
      </c>
      <c r="G486" s="13" t="s">
        <v>1575</v>
      </c>
      <c r="H486" s="28">
        <v>41274</v>
      </c>
      <c r="I486" s="29">
        <f t="shared" si="281"/>
        <v>2012</v>
      </c>
      <c r="J486" s="1" t="s">
        <v>7</v>
      </c>
      <c r="K486" s="1" t="s">
        <v>4831</v>
      </c>
      <c r="L486" s="11" t="str">
        <f t="shared" ref="L486" si="290">IF(OR(A486=J486,A486=K486),"ДА","НЕТ")</f>
        <v>НЕТ</v>
      </c>
      <c r="M486" s="10" t="s">
        <v>1575</v>
      </c>
      <c r="N486" s="10" t="s">
        <v>1575</v>
      </c>
      <c r="O486" s="10" t="s">
        <v>1575</v>
      </c>
      <c r="P486" s="10" t="str">
        <f t="shared" si="254"/>
        <v>NA</v>
      </c>
      <c r="Q486" s="10" t="str">
        <f t="shared" si="255"/>
        <v>NA</v>
      </c>
      <c r="R486" s="10" t="s">
        <v>1575</v>
      </c>
      <c r="S486" s="10" t="s">
        <v>1575</v>
      </c>
      <c r="T486" s="10" t="s">
        <v>1575</v>
      </c>
      <c r="U486" s="10" t="s">
        <v>1575</v>
      </c>
      <c r="V486" s="10" t="s">
        <v>1575</v>
      </c>
      <c r="W486" s="10" t="s">
        <v>1575</v>
      </c>
      <c r="X486" s="10" t="str">
        <f t="shared" si="256"/>
        <v>NA</v>
      </c>
      <c r="Y486" s="10" t="str">
        <f t="shared" si="257"/>
        <v>NA</v>
      </c>
      <c r="Z486" s="10" t="str">
        <f t="shared" si="258"/>
        <v>NA</v>
      </c>
      <c r="AA486" s="10" t="str">
        <f t="shared" si="259"/>
        <v>NA</v>
      </c>
      <c r="AB486" s="10" t="str">
        <f t="shared" si="260"/>
        <v>NA</v>
      </c>
      <c r="AC486" s="10" t="str">
        <f t="shared" si="261"/>
        <v>NA</v>
      </c>
      <c r="AD486" s="10" t="str">
        <f t="shared" si="262"/>
        <v>NA</v>
      </c>
      <c r="AE486" s="10" t="str">
        <f t="shared" si="263"/>
        <v>NA</v>
      </c>
      <c r="AF486" s="1" t="s">
        <v>4836</v>
      </c>
    </row>
    <row r="487" spans="1:32" x14ac:dyDescent="0.2">
      <c r="A487" s="1" t="s">
        <v>5556</v>
      </c>
      <c r="B487" s="1" t="s">
        <v>5</v>
      </c>
      <c r="C487" s="1" t="s">
        <v>1575</v>
      </c>
      <c r="D487" s="1" t="s">
        <v>1580</v>
      </c>
      <c r="E487" s="1" t="s">
        <v>1694</v>
      </c>
      <c r="F487" s="1" t="s">
        <v>4719</v>
      </c>
      <c r="G487" s="13">
        <v>0.99470000000000003</v>
      </c>
      <c r="H487" s="28">
        <v>40724</v>
      </c>
      <c r="I487" s="29">
        <f t="shared" si="281"/>
        <v>2011</v>
      </c>
      <c r="J487" s="1" t="s">
        <v>7</v>
      </c>
      <c r="K487" s="1" t="s">
        <v>4831</v>
      </c>
      <c r="L487" s="11" t="str">
        <f t="shared" ref="L487:L488" si="291">IF(OR(A487=J487,A487=K487),"ДА","НЕТ")</f>
        <v>НЕТ</v>
      </c>
      <c r="M487" s="10" t="s">
        <v>1575</v>
      </c>
      <c r="N487" s="10" t="s">
        <v>1575</v>
      </c>
      <c r="O487" s="10">
        <v>0.22600000000000001</v>
      </c>
      <c r="P487" s="10">
        <f t="shared" si="254"/>
        <v>0.22720418216547703</v>
      </c>
      <c r="Q487" s="10" t="str">
        <f t="shared" si="255"/>
        <v>NA</v>
      </c>
      <c r="R487" s="10" t="s">
        <v>1575</v>
      </c>
      <c r="S487" s="10" t="s">
        <v>1575</v>
      </c>
      <c r="T487" s="10" t="s">
        <v>1575</v>
      </c>
      <c r="U487" s="10" t="s">
        <v>1575</v>
      </c>
      <c r="V487" s="10">
        <v>0.20499999999999999</v>
      </c>
      <c r="W487" s="10" t="s">
        <v>1575</v>
      </c>
      <c r="X487" s="10" t="str">
        <f t="shared" si="256"/>
        <v>NA</v>
      </c>
      <c r="Y487" s="10" t="str">
        <f t="shared" si="257"/>
        <v>NA</v>
      </c>
      <c r="Z487" s="10" t="str">
        <f t="shared" si="258"/>
        <v>NA</v>
      </c>
      <c r="AA487" s="10">
        <f t="shared" si="259"/>
        <v>1.1083130837340343</v>
      </c>
      <c r="AB487" s="10" t="str">
        <f t="shared" si="260"/>
        <v>NA</v>
      </c>
      <c r="AC487" s="10" t="str">
        <f t="shared" si="261"/>
        <v>NA</v>
      </c>
      <c r="AD487" s="10" t="str">
        <f t="shared" si="262"/>
        <v>NA</v>
      </c>
      <c r="AE487" s="10" t="str">
        <f t="shared" si="263"/>
        <v>NA</v>
      </c>
      <c r="AF487" s="1" t="s">
        <v>4837</v>
      </c>
    </row>
    <row r="488" spans="1:32" x14ac:dyDescent="0.2">
      <c r="A488" s="1" t="s">
        <v>5557</v>
      </c>
      <c r="B488" s="1" t="s">
        <v>5</v>
      </c>
      <c r="C488" s="1" t="s">
        <v>1575</v>
      </c>
      <c r="D488" s="1" t="s">
        <v>1580</v>
      </c>
      <c r="E488" s="1" t="s">
        <v>1581</v>
      </c>
      <c r="F488" s="1" t="s">
        <v>67</v>
      </c>
      <c r="G488" s="13">
        <v>1</v>
      </c>
      <c r="H488" s="28">
        <v>40785</v>
      </c>
      <c r="I488" s="29">
        <f t="shared" si="281"/>
        <v>2011</v>
      </c>
      <c r="J488" s="1" t="s">
        <v>4831</v>
      </c>
      <c r="K488" s="1" t="s">
        <v>7</v>
      </c>
      <c r="L488" s="11" t="str">
        <f t="shared" si="291"/>
        <v>НЕТ</v>
      </c>
      <c r="M488" s="10" t="s">
        <v>1575</v>
      </c>
      <c r="N488" s="10" t="s">
        <v>1575</v>
      </c>
      <c r="O488" s="10" t="s">
        <v>1575</v>
      </c>
      <c r="P488" s="10" t="str">
        <f t="shared" si="254"/>
        <v>NA</v>
      </c>
      <c r="Q488" s="10" t="str">
        <f t="shared" si="255"/>
        <v>NA</v>
      </c>
      <c r="R488" s="10" t="s">
        <v>1575</v>
      </c>
      <c r="S488" s="10" t="s">
        <v>1575</v>
      </c>
      <c r="T488" s="10" t="s">
        <v>1575</v>
      </c>
      <c r="U488" s="10" t="s">
        <v>1575</v>
      </c>
      <c r="V488" s="10" t="s">
        <v>1575</v>
      </c>
      <c r="W488" s="10" t="s">
        <v>1575</v>
      </c>
      <c r="X488" s="10" t="str">
        <f t="shared" si="256"/>
        <v>NA</v>
      </c>
      <c r="Y488" s="10" t="str">
        <f t="shared" si="257"/>
        <v>NA</v>
      </c>
      <c r="Z488" s="10" t="str">
        <f t="shared" si="258"/>
        <v>NA</v>
      </c>
      <c r="AA488" s="10" t="str">
        <f t="shared" si="259"/>
        <v>NA</v>
      </c>
      <c r="AB488" s="10" t="str">
        <f t="shared" si="260"/>
        <v>NA</v>
      </c>
      <c r="AC488" s="10" t="str">
        <f t="shared" si="261"/>
        <v>NA</v>
      </c>
      <c r="AD488" s="10" t="str">
        <f t="shared" si="262"/>
        <v>NA</v>
      </c>
      <c r="AE488" s="10" t="str">
        <f t="shared" si="263"/>
        <v>NA</v>
      </c>
      <c r="AF488" s="1" t="s">
        <v>4838</v>
      </c>
    </row>
    <row r="489" spans="1:32" x14ac:dyDescent="0.2">
      <c r="A489" s="1" t="s">
        <v>5558</v>
      </c>
      <c r="B489" s="1" t="s">
        <v>5</v>
      </c>
      <c r="C489" s="1" t="s">
        <v>1575</v>
      </c>
      <c r="D489" s="1" t="s">
        <v>1578</v>
      </c>
      <c r="E489" s="1" t="s">
        <v>1579</v>
      </c>
      <c r="F489" s="1" t="s">
        <v>4839</v>
      </c>
      <c r="G489" s="13" t="s">
        <v>11</v>
      </c>
      <c r="H489" s="28">
        <v>39989</v>
      </c>
      <c r="I489" s="29">
        <f t="shared" si="281"/>
        <v>2009</v>
      </c>
      <c r="J489" s="1" t="s">
        <v>4831</v>
      </c>
      <c r="K489" s="1" t="s">
        <v>7</v>
      </c>
      <c r="L489" s="11" t="str">
        <f t="shared" ref="L489" si="292">IF(OR(A489=J489,A489=K489),"ДА","НЕТ")</f>
        <v>НЕТ</v>
      </c>
      <c r="M489" s="10" t="s">
        <v>1575</v>
      </c>
      <c r="N489" s="10" t="s">
        <v>1575</v>
      </c>
      <c r="O489" s="10">
        <f>3.152+1.598</f>
        <v>4.75</v>
      </c>
      <c r="P489" s="10" t="str">
        <f t="shared" si="254"/>
        <v>NA</v>
      </c>
      <c r="Q489" s="10" t="str">
        <f t="shared" si="255"/>
        <v>NA</v>
      </c>
      <c r="R489" s="10">
        <v>0.123</v>
      </c>
      <c r="S489" s="10" t="s">
        <v>1575</v>
      </c>
      <c r="T489" s="10" t="s">
        <v>1575</v>
      </c>
      <c r="U489" s="10" t="s">
        <v>1575</v>
      </c>
      <c r="V489" s="10">
        <v>5.6130000000000004</v>
      </c>
      <c r="W489" s="10">
        <f>1.349-0.002</f>
        <v>1.347</v>
      </c>
      <c r="X489" s="10">
        <f t="shared" si="256"/>
        <v>6.9600000000000009</v>
      </c>
      <c r="Y489" s="10" t="str">
        <f t="shared" si="257"/>
        <v>NA</v>
      </c>
      <c r="Z489" s="10" t="str">
        <f t="shared" si="258"/>
        <v>NA</v>
      </c>
      <c r="AA489" s="10" t="str">
        <f t="shared" si="259"/>
        <v>NA</v>
      </c>
      <c r="AB489" s="10" t="str">
        <f t="shared" si="260"/>
        <v>NA</v>
      </c>
      <c r="AC489" s="10" t="str">
        <f t="shared" si="261"/>
        <v>NA</v>
      </c>
      <c r="AD489" s="10" t="str">
        <f t="shared" si="262"/>
        <v>NA</v>
      </c>
      <c r="AE489" s="10" t="str">
        <f t="shared" si="263"/>
        <v>NA</v>
      </c>
      <c r="AF489" s="1" t="s">
        <v>4840</v>
      </c>
    </row>
    <row r="490" spans="1:32" x14ac:dyDescent="0.2">
      <c r="A490" s="1" t="s">
        <v>5559</v>
      </c>
      <c r="B490" s="1" t="s">
        <v>5</v>
      </c>
      <c r="C490" s="1" t="s">
        <v>1575</v>
      </c>
      <c r="D490" s="1" t="s">
        <v>1578</v>
      </c>
      <c r="E490" s="1" t="s">
        <v>1579</v>
      </c>
      <c r="F490" s="1" t="s">
        <v>429</v>
      </c>
      <c r="G490" s="13" t="s">
        <v>11</v>
      </c>
      <c r="H490" s="28">
        <v>39930</v>
      </c>
      <c r="I490" s="29">
        <f t="shared" si="281"/>
        <v>2009</v>
      </c>
      <c r="J490" s="1" t="s">
        <v>4831</v>
      </c>
      <c r="K490" s="1" t="s">
        <v>7</v>
      </c>
      <c r="L490" s="11" t="str">
        <f t="shared" ref="L490" si="293">IF(OR(A490=J490,A490=K490),"ДА","НЕТ")</f>
        <v>НЕТ</v>
      </c>
      <c r="M490" s="10" t="s">
        <v>1575</v>
      </c>
      <c r="N490" s="10" t="s">
        <v>1575</v>
      </c>
      <c r="O490" s="10">
        <v>1.2470000000000001</v>
      </c>
      <c r="P490" s="10" t="str">
        <f t="shared" si="254"/>
        <v>NA</v>
      </c>
      <c r="Q490" s="10" t="str">
        <f t="shared" si="255"/>
        <v>NA</v>
      </c>
      <c r="R490" s="10">
        <v>0.83899999999999997</v>
      </c>
      <c r="S490" s="10" t="s">
        <v>1575</v>
      </c>
      <c r="T490" s="10" t="s">
        <v>1575</v>
      </c>
      <c r="U490" s="10" t="s">
        <v>1575</v>
      </c>
      <c r="V490" s="10">
        <v>1.2470000000000001</v>
      </c>
      <c r="W490" s="10">
        <f>0.299+0.953-0.042-0.076</f>
        <v>1.1339999999999999</v>
      </c>
      <c r="X490" s="10">
        <f t="shared" si="256"/>
        <v>2.3810000000000002</v>
      </c>
      <c r="Y490" s="10" t="str">
        <f t="shared" si="257"/>
        <v>NA</v>
      </c>
      <c r="Z490" s="10" t="str">
        <f t="shared" si="258"/>
        <v>NA</v>
      </c>
      <c r="AA490" s="10" t="str">
        <f t="shared" si="259"/>
        <v>NA</v>
      </c>
      <c r="AB490" s="10" t="str">
        <f t="shared" si="260"/>
        <v>NA</v>
      </c>
      <c r="AC490" s="10" t="str">
        <f t="shared" si="261"/>
        <v>NA</v>
      </c>
      <c r="AD490" s="10" t="str">
        <f t="shared" si="262"/>
        <v>NA</v>
      </c>
      <c r="AE490" s="10" t="str">
        <f t="shared" si="263"/>
        <v>NA</v>
      </c>
      <c r="AF490" s="1" t="s">
        <v>4841</v>
      </c>
    </row>
    <row r="491" spans="1:32" x14ac:dyDescent="0.2">
      <c r="A491" s="1" t="s">
        <v>5560</v>
      </c>
      <c r="B491" s="1" t="s">
        <v>5</v>
      </c>
      <c r="C491" s="1" t="s">
        <v>1575</v>
      </c>
      <c r="D491" s="1" t="s">
        <v>1575</v>
      </c>
      <c r="E491" s="1" t="s">
        <v>1575</v>
      </c>
      <c r="F491" s="1" t="s">
        <v>1575</v>
      </c>
      <c r="G491" s="13" t="s">
        <v>11</v>
      </c>
      <c r="H491" s="28">
        <v>40119</v>
      </c>
      <c r="I491" s="29">
        <f t="shared" si="281"/>
        <v>2009</v>
      </c>
      <c r="J491" s="1" t="s">
        <v>4831</v>
      </c>
      <c r="K491" s="1" t="s">
        <v>7</v>
      </c>
      <c r="L491" s="11" t="str">
        <f t="shared" ref="L491:L492" si="294">IF(OR(A491=J491,A491=K491),"ДА","НЕТ")</f>
        <v>НЕТ</v>
      </c>
      <c r="M491" s="10" t="s">
        <v>1575</v>
      </c>
      <c r="N491" s="10" t="s">
        <v>1575</v>
      </c>
      <c r="O491" s="10">
        <v>1.343</v>
      </c>
      <c r="P491" s="10" t="str">
        <f t="shared" si="254"/>
        <v>NA</v>
      </c>
      <c r="Q491" s="10" t="str">
        <f t="shared" si="255"/>
        <v>NA</v>
      </c>
      <c r="R491" s="10">
        <v>7.0000000000000007E-2</v>
      </c>
      <c r="S491" s="10" t="s">
        <v>1575</v>
      </c>
      <c r="T491" s="10" t="s">
        <v>1575</v>
      </c>
      <c r="U491" s="10" t="s">
        <v>1575</v>
      </c>
      <c r="V491" s="10">
        <v>1.468</v>
      </c>
      <c r="W491" s="10">
        <f>6.043-0.013-2.496</f>
        <v>3.5340000000000003</v>
      </c>
      <c r="X491" s="10">
        <f t="shared" si="256"/>
        <v>5.0020000000000007</v>
      </c>
      <c r="Y491" s="10" t="str">
        <f t="shared" si="257"/>
        <v>NA</v>
      </c>
      <c r="Z491" s="10" t="str">
        <f t="shared" si="258"/>
        <v>NA</v>
      </c>
      <c r="AA491" s="10" t="str">
        <f t="shared" si="259"/>
        <v>NA</v>
      </c>
      <c r="AB491" s="10" t="str">
        <f t="shared" si="260"/>
        <v>NA</v>
      </c>
      <c r="AC491" s="10" t="str">
        <f t="shared" si="261"/>
        <v>NA</v>
      </c>
      <c r="AD491" s="10" t="str">
        <f t="shared" si="262"/>
        <v>NA</v>
      </c>
      <c r="AE491" s="10" t="str">
        <f t="shared" si="263"/>
        <v>NA</v>
      </c>
      <c r="AF491" s="1" t="s">
        <v>4842</v>
      </c>
    </row>
    <row r="492" spans="1:32" x14ac:dyDescent="0.2">
      <c r="A492" s="1" t="s">
        <v>5561</v>
      </c>
      <c r="B492" s="1" t="s">
        <v>5</v>
      </c>
      <c r="C492" s="1" t="s">
        <v>1575</v>
      </c>
      <c r="D492" s="1" t="s">
        <v>1578</v>
      </c>
      <c r="E492" s="1" t="s">
        <v>1579</v>
      </c>
      <c r="F492" s="1" t="s">
        <v>511</v>
      </c>
      <c r="G492" s="13" t="s">
        <v>11</v>
      </c>
      <c r="H492" s="28">
        <v>40098</v>
      </c>
      <c r="I492" s="29">
        <f t="shared" si="281"/>
        <v>2009</v>
      </c>
      <c r="J492" s="1" t="s">
        <v>4831</v>
      </c>
      <c r="K492" s="1" t="s">
        <v>7</v>
      </c>
      <c r="L492" s="11" t="str">
        <f t="shared" si="294"/>
        <v>НЕТ</v>
      </c>
      <c r="M492" s="10" t="s">
        <v>1575</v>
      </c>
      <c r="N492" s="10" t="s">
        <v>1575</v>
      </c>
      <c r="O492" s="10">
        <v>0.39100000000000001</v>
      </c>
      <c r="P492" s="10" t="str">
        <f t="shared" si="254"/>
        <v>NA</v>
      </c>
      <c r="Q492" s="10" t="str">
        <f t="shared" si="255"/>
        <v>NA</v>
      </c>
      <c r="R492" s="10">
        <v>6.5000000000000002E-2</v>
      </c>
      <c r="S492" s="10" t="s">
        <v>1575</v>
      </c>
      <c r="T492" s="10" t="s">
        <v>1575</v>
      </c>
      <c r="U492" s="10" t="s">
        <v>1575</v>
      </c>
      <c r="V492" s="10">
        <v>0.28699999999999998</v>
      </c>
      <c r="W492" s="10">
        <f>0.732-0.01-0.215</f>
        <v>0.50700000000000001</v>
      </c>
      <c r="X492" s="10">
        <f t="shared" si="256"/>
        <v>0.79400000000000004</v>
      </c>
      <c r="Y492" s="10" t="str">
        <f t="shared" si="257"/>
        <v>NA</v>
      </c>
      <c r="Z492" s="10" t="str">
        <f t="shared" si="258"/>
        <v>NA</v>
      </c>
      <c r="AA492" s="10" t="str">
        <f t="shared" si="259"/>
        <v>NA</v>
      </c>
      <c r="AB492" s="10" t="str">
        <f t="shared" si="260"/>
        <v>NA</v>
      </c>
      <c r="AC492" s="10" t="str">
        <f t="shared" si="261"/>
        <v>NA</v>
      </c>
      <c r="AD492" s="10" t="str">
        <f t="shared" si="262"/>
        <v>NA</v>
      </c>
      <c r="AE492" s="10" t="str">
        <f t="shared" si="263"/>
        <v>NA</v>
      </c>
      <c r="AF492" s="1" t="s">
        <v>4843</v>
      </c>
    </row>
    <row r="493" spans="1:32" x14ac:dyDescent="0.2">
      <c r="A493" s="1" t="s">
        <v>5562</v>
      </c>
      <c r="B493" s="1" t="s">
        <v>5</v>
      </c>
      <c r="C493" s="1" t="s">
        <v>1575</v>
      </c>
      <c r="D493" s="1" t="s">
        <v>1578</v>
      </c>
      <c r="E493" s="1" t="s">
        <v>1579</v>
      </c>
      <c r="F493" s="1" t="s">
        <v>511</v>
      </c>
      <c r="G493" s="13" t="s">
        <v>11</v>
      </c>
      <c r="H493" s="28">
        <v>42921</v>
      </c>
      <c r="I493" s="29">
        <f t="shared" si="281"/>
        <v>2017</v>
      </c>
      <c r="J493" s="1" t="s">
        <v>4844</v>
      </c>
      <c r="K493" s="1" t="s">
        <v>7</v>
      </c>
      <c r="L493" s="11" t="str">
        <f t="shared" ref="L493" si="295">IF(OR(A493=J493,A493=K493),"ДА","НЕТ")</f>
        <v>НЕТ</v>
      </c>
      <c r="M493" s="10" t="s">
        <v>1575</v>
      </c>
      <c r="N493" s="10" t="s">
        <v>1575</v>
      </c>
      <c r="O493" s="10">
        <v>12.3</v>
      </c>
      <c r="P493" s="10" t="str">
        <f t="shared" si="254"/>
        <v>NA</v>
      </c>
      <c r="Q493" s="10" t="str">
        <f t="shared" si="255"/>
        <v>NA</v>
      </c>
      <c r="R493" s="10" t="s">
        <v>1575</v>
      </c>
      <c r="S493" s="10" t="s">
        <v>1575</v>
      </c>
      <c r="T493" s="10" t="s">
        <v>1575</v>
      </c>
      <c r="U493" s="10" t="s">
        <v>1575</v>
      </c>
      <c r="V493" s="10">
        <v>7.9</v>
      </c>
      <c r="W493" s="10" t="s">
        <v>1575</v>
      </c>
      <c r="X493" s="10" t="str">
        <f t="shared" si="256"/>
        <v>NA</v>
      </c>
      <c r="Y493" s="10" t="str">
        <f t="shared" si="257"/>
        <v>NA</v>
      </c>
      <c r="Z493" s="10" t="str">
        <f t="shared" si="258"/>
        <v>NA</v>
      </c>
      <c r="AA493" s="10" t="str">
        <f t="shared" si="259"/>
        <v>NA</v>
      </c>
      <c r="AB493" s="10" t="str">
        <f t="shared" si="260"/>
        <v>NA</v>
      </c>
      <c r="AC493" s="10" t="str">
        <f t="shared" si="261"/>
        <v>NA</v>
      </c>
      <c r="AD493" s="10" t="str">
        <f t="shared" si="262"/>
        <v>NA</v>
      </c>
      <c r="AE493" s="10" t="str">
        <f t="shared" si="263"/>
        <v>NA</v>
      </c>
      <c r="AF493" s="1" t="s">
        <v>4845</v>
      </c>
    </row>
    <row r="494" spans="1:32" x14ac:dyDescent="0.2">
      <c r="A494" s="1" t="s">
        <v>5563</v>
      </c>
      <c r="B494" s="1" t="s">
        <v>5</v>
      </c>
      <c r="C494" s="1" t="s">
        <v>1575</v>
      </c>
      <c r="D494" s="1" t="s">
        <v>1582</v>
      </c>
      <c r="E494" s="1" t="s">
        <v>1587</v>
      </c>
      <c r="F494" s="1" t="s">
        <v>4851</v>
      </c>
      <c r="G494" s="13" t="s">
        <v>1575</v>
      </c>
      <c r="H494" s="28">
        <v>42825</v>
      </c>
      <c r="I494" s="29">
        <f t="shared" si="281"/>
        <v>2017</v>
      </c>
      <c r="J494" s="1" t="s">
        <v>4844</v>
      </c>
      <c r="K494" s="1" t="s">
        <v>7</v>
      </c>
      <c r="L494" s="11" t="str">
        <f t="shared" ref="L494:L495" si="296">IF(OR(A494=J494,A494=K494),"ДА","НЕТ")</f>
        <v>НЕТ</v>
      </c>
      <c r="M494" s="10" t="s">
        <v>1575</v>
      </c>
      <c r="N494" s="10" t="s">
        <v>1575</v>
      </c>
      <c r="O494" s="10">
        <v>2.1</v>
      </c>
      <c r="P494" s="10" t="str">
        <f t="shared" si="254"/>
        <v>NA</v>
      </c>
      <c r="Q494" s="10" t="str">
        <f t="shared" si="255"/>
        <v>NA</v>
      </c>
      <c r="R494" s="10" t="s">
        <v>1575</v>
      </c>
      <c r="S494" s="10" t="s">
        <v>1575</v>
      </c>
      <c r="T494" s="10" t="s">
        <v>1575</v>
      </c>
      <c r="U494" s="10" t="s">
        <v>1575</v>
      </c>
      <c r="V494" s="10" t="s">
        <v>1575</v>
      </c>
      <c r="W494" s="10" t="s">
        <v>1575</v>
      </c>
      <c r="X494" s="10" t="str">
        <f t="shared" si="256"/>
        <v>NA</v>
      </c>
      <c r="Y494" s="10" t="str">
        <f t="shared" si="257"/>
        <v>NA</v>
      </c>
      <c r="Z494" s="10" t="str">
        <f t="shared" si="258"/>
        <v>NA</v>
      </c>
      <c r="AA494" s="10" t="str">
        <f t="shared" si="259"/>
        <v>NA</v>
      </c>
      <c r="AB494" s="10" t="str">
        <f t="shared" si="260"/>
        <v>NA</v>
      </c>
      <c r="AC494" s="10" t="str">
        <f t="shared" si="261"/>
        <v>NA</v>
      </c>
      <c r="AD494" s="10" t="str">
        <f t="shared" si="262"/>
        <v>NA</v>
      </c>
      <c r="AE494" s="10" t="str">
        <f t="shared" si="263"/>
        <v>NA</v>
      </c>
      <c r="AF494" s="1" t="s">
        <v>4846</v>
      </c>
    </row>
    <row r="495" spans="1:32" x14ac:dyDescent="0.2">
      <c r="A495" s="1" t="s">
        <v>5564</v>
      </c>
      <c r="B495" s="1" t="s">
        <v>5</v>
      </c>
      <c r="C495" s="1" t="s">
        <v>1575</v>
      </c>
      <c r="D495" s="1" t="s">
        <v>1580</v>
      </c>
      <c r="E495" s="1" t="s">
        <v>1593</v>
      </c>
      <c r="F495" s="1" t="s">
        <v>545</v>
      </c>
      <c r="G495" s="13">
        <f>100%-19%</f>
        <v>0.81</v>
      </c>
      <c r="H495" s="28">
        <v>42459</v>
      </c>
      <c r="I495" s="29">
        <f t="shared" si="281"/>
        <v>2016</v>
      </c>
      <c r="J495" s="1" t="s">
        <v>4844</v>
      </c>
      <c r="K495" s="1" t="s">
        <v>7</v>
      </c>
      <c r="L495" s="11" t="str">
        <f t="shared" si="296"/>
        <v>НЕТ</v>
      </c>
      <c r="M495" s="10" t="s">
        <v>1575</v>
      </c>
      <c r="N495" s="10" t="s">
        <v>1575</v>
      </c>
      <c r="O495" s="10">
        <v>26.3</v>
      </c>
      <c r="P495" s="10">
        <f t="shared" si="254"/>
        <v>32.469135802469133</v>
      </c>
      <c r="Q495" s="10" t="str">
        <f t="shared" si="255"/>
        <v>NA</v>
      </c>
      <c r="R495" s="10" t="s">
        <v>1575</v>
      </c>
      <c r="S495" s="10" t="s">
        <v>1575</v>
      </c>
      <c r="T495" s="10" t="s">
        <v>1575</v>
      </c>
      <c r="U495" s="10" t="s">
        <v>1575</v>
      </c>
      <c r="V495" s="10">
        <v>24.1</v>
      </c>
      <c r="W495" s="10" t="s">
        <v>1575</v>
      </c>
      <c r="X495" s="10" t="str">
        <f t="shared" si="256"/>
        <v>NA</v>
      </c>
      <c r="Y495" s="10" t="str">
        <f t="shared" si="257"/>
        <v>NA</v>
      </c>
      <c r="Z495" s="10" t="str">
        <f t="shared" si="258"/>
        <v>NA</v>
      </c>
      <c r="AA495" s="10">
        <f t="shared" si="259"/>
        <v>1.3472670457456071</v>
      </c>
      <c r="AB495" s="10" t="str">
        <f t="shared" si="260"/>
        <v>NA</v>
      </c>
      <c r="AC495" s="10" t="str">
        <f t="shared" si="261"/>
        <v>NA</v>
      </c>
      <c r="AD495" s="10" t="str">
        <f t="shared" si="262"/>
        <v>NA</v>
      </c>
      <c r="AE495" s="10" t="str">
        <f t="shared" si="263"/>
        <v>NA</v>
      </c>
      <c r="AF495" s="1" t="s">
        <v>4847</v>
      </c>
    </row>
    <row r="496" spans="1:32" x14ac:dyDescent="0.2">
      <c r="A496" s="1" t="s">
        <v>5565</v>
      </c>
      <c r="B496" s="1" t="s">
        <v>5</v>
      </c>
      <c r="C496" s="1" t="s">
        <v>1575</v>
      </c>
      <c r="D496" s="1" t="s">
        <v>2160</v>
      </c>
      <c r="E496" s="1" t="s">
        <v>4849</v>
      </c>
      <c r="F496" s="1" t="s">
        <v>4850</v>
      </c>
      <c r="G496" s="13">
        <v>1</v>
      </c>
      <c r="H496" s="28">
        <v>42696</v>
      </c>
      <c r="I496" s="29">
        <f t="shared" si="281"/>
        <v>2016</v>
      </c>
      <c r="J496" s="1" t="s">
        <v>4844</v>
      </c>
      <c r="K496" s="1" t="s">
        <v>7</v>
      </c>
      <c r="L496" s="11" t="str">
        <f t="shared" ref="L496" si="297">IF(OR(A496=J496,A496=K496),"ДА","НЕТ")</f>
        <v>НЕТ</v>
      </c>
      <c r="M496" s="10" t="s">
        <v>1575</v>
      </c>
      <c r="N496" s="10" t="s">
        <v>1575</v>
      </c>
      <c r="O496" s="10">
        <v>2.2999999999999998</v>
      </c>
      <c r="P496" s="10">
        <f t="shared" si="254"/>
        <v>2.2999999999999998</v>
      </c>
      <c r="Q496" s="10" t="str">
        <f t="shared" si="255"/>
        <v>NA</v>
      </c>
      <c r="R496" s="10" t="s">
        <v>1575</v>
      </c>
      <c r="S496" s="10" t="s">
        <v>1575</v>
      </c>
      <c r="T496" s="10" t="s">
        <v>1575</v>
      </c>
      <c r="U496" s="10" t="s">
        <v>1575</v>
      </c>
      <c r="V496" s="10">
        <v>1.2</v>
      </c>
      <c r="W496" s="10" t="s">
        <v>1575</v>
      </c>
      <c r="X496" s="10" t="str">
        <f t="shared" si="256"/>
        <v>NA</v>
      </c>
      <c r="Y496" s="10" t="str">
        <f t="shared" si="257"/>
        <v>NA</v>
      </c>
      <c r="Z496" s="10" t="str">
        <f t="shared" si="258"/>
        <v>NA</v>
      </c>
      <c r="AA496" s="10">
        <f t="shared" si="259"/>
        <v>1.9166666666666665</v>
      </c>
      <c r="AB496" s="10" t="str">
        <f t="shared" si="260"/>
        <v>NA</v>
      </c>
      <c r="AC496" s="10" t="str">
        <f t="shared" si="261"/>
        <v>NA</v>
      </c>
      <c r="AD496" s="10" t="str">
        <f t="shared" si="262"/>
        <v>NA</v>
      </c>
      <c r="AE496" s="10" t="str">
        <f t="shared" si="263"/>
        <v>NA</v>
      </c>
      <c r="AF496" s="1" t="s">
        <v>4848</v>
      </c>
    </row>
    <row r="497" spans="1:32" x14ac:dyDescent="0.2">
      <c r="A497" s="1" t="s">
        <v>5566</v>
      </c>
      <c r="B497" s="1" t="s">
        <v>91</v>
      </c>
      <c r="C497" s="1" t="s">
        <v>1575</v>
      </c>
      <c r="D497" s="1" t="s">
        <v>1580</v>
      </c>
      <c r="E497" s="1" t="s">
        <v>1694</v>
      </c>
      <c r="F497" s="1" t="s">
        <v>4719</v>
      </c>
      <c r="G497" s="13" t="s">
        <v>1575</v>
      </c>
      <c r="H497" s="28">
        <v>42551</v>
      </c>
      <c r="I497" s="29">
        <f t="shared" si="281"/>
        <v>2016</v>
      </c>
      <c r="J497" s="1" t="s">
        <v>4844</v>
      </c>
      <c r="K497" s="1" t="s">
        <v>7</v>
      </c>
      <c r="L497" s="11" t="str">
        <f t="shared" ref="L497:L501" si="298">IF(OR(A497=J497,A497=K497),"ДА","НЕТ")</f>
        <v>НЕТ</v>
      </c>
      <c r="M497" s="10" t="s">
        <v>1575</v>
      </c>
      <c r="N497" s="10" t="s">
        <v>1575</v>
      </c>
      <c r="O497" s="10">
        <v>4.2</v>
      </c>
      <c r="P497" s="10" t="str">
        <f t="shared" si="254"/>
        <v>NA</v>
      </c>
      <c r="Q497" s="10" t="str">
        <f t="shared" si="255"/>
        <v>NA</v>
      </c>
      <c r="R497" s="10" t="s">
        <v>1575</v>
      </c>
      <c r="S497" s="10" t="s">
        <v>1575</v>
      </c>
      <c r="T497" s="10" t="s">
        <v>1575</v>
      </c>
      <c r="U497" s="10">
        <v>-67.400000000000006</v>
      </c>
      <c r="V497" s="10">
        <f>127.4-165.4</f>
        <v>-38</v>
      </c>
      <c r="W497" s="10" t="s">
        <v>1575</v>
      </c>
      <c r="X497" s="10" t="str">
        <f t="shared" si="256"/>
        <v>NA</v>
      </c>
      <c r="Y497" s="10" t="str">
        <f t="shared" si="257"/>
        <v>NA</v>
      </c>
      <c r="Z497" s="10" t="str">
        <f t="shared" si="258"/>
        <v>NA</v>
      </c>
      <c r="AA497" s="10" t="str">
        <f t="shared" si="259"/>
        <v>NA</v>
      </c>
      <c r="AB497" s="10" t="str">
        <f t="shared" si="260"/>
        <v>NA</v>
      </c>
      <c r="AC497" s="10" t="str">
        <f t="shared" si="261"/>
        <v>NA</v>
      </c>
      <c r="AD497" s="10" t="str">
        <f t="shared" si="262"/>
        <v>NA</v>
      </c>
      <c r="AE497" s="10" t="str">
        <f t="shared" si="263"/>
        <v>NA</v>
      </c>
      <c r="AF497" s="1" t="s">
        <v>4853</v>
      </c>
    </row>
    <row r="498" spans="1:32" x14ac:dyDescent="0.2">
      <c r="A498" s="1" t="s">
        <v>5566</v>
      </c>
      <c r="B498" s="1" t="s">
        <v>91</v>
      </c>
      <c r="C498" s="1" t="s">
        <v>1575</v>
      </c>
      <c r="D498" s="1" t="s">
        <v>1580</v>
      </c>
      <c r="E498" s="1" t="s">
        <v>1694</v>
      </c>
      <c r="F498" s="1" t="s">
        <v>4719</v>
      </c>
      <c r="G498" s="13" t="s">
        <v>1575</v>
      </c>
      <c r="H498" s="28">
        <v>42428</v>
      </c>
      <c r="I498" s="29">
        <f t="shared" si="281"/>
        <v>2016</v>
      </c>
      <c r="J498" s="1" t="s">
        <v>4844</v>
      </c>
      <c r="K498" s="1" t="s">
        <v>7</v>
      </c>
      <c r="L498" s="11" t="str">
        <f t="shared" si="298"/>
        <v>НЕТ</v>
      </c>
      <c r="M498" s="10" t="s">
        <v>1575</v>
      </c>
      <c r="N498" s="10" t="s">
        <v>1575</v>
      </c>
      <c r="O498" s="10">
        <f>37.2+19</f>
        <v>56.2</v>
      </c>
      <c r="P498" s="10" t="str">
        <f t="shared" si="254"/>
        <v>NA</v>
      </c>
      <c r="Q498" s="10" t="str">
        <f t="shared" si="255"/>
        <v>NA</v>
      </c>
      <c r="R498" s="10" t="s">
        <v>1575</v>
      </c>
      <c r="S498" s="10" t="s">
        <v>1575</v>
      </c>
      <c r="T498" s="10" t="s">
        <v>1575</v>
      </c>
      <c r="U498" s="10">
        <v>-67.400000000000006</v>
      </c>
      <c r="V498" s="10">
        <f>127.4-165.4</f>
        <v>-38</v>
      </c>
      <c r="W498" s="10" t="s">
        <v>1575</v>
      </c>
      <c r="X498" s="10" t="str">
        <f t="shared" si="256"/>
        <v>NA</v>
      </c>
      <c r="Y498" s="10" t="str">
        <f t="shared" si="257"/>
        <v>NA</v>
      </c>
      <c r="Z498" s="10" t="str">
        <f t="shared" si="258"/>
        <v>NA</v>
      </c>
      <c r="AA498" s="10" t="str">
        <f t="shared" si="259"/>
        <v>NA</v>
      </c>
      <c r="AB498" s="10" t="str">
        <f t="shared" si="260"/>
        <v>NA</v>
      </c>
      <c r="AC498" s="10" t="str">
        <f t="shared" si="261"/>
        <v>NA</v>
      </c>
      <c r="AD498" s="10" t="str">
        <f t="shared" si="262"/>
        <v>NA</v>
      </c>
      <c r="AE498" s="10" t="str">
        <f t="shared" si="263"/>
        <v>NA</v>
      </c>
      <c r="AF498" s="1" t="s">
        <v>4854</v>
      </c>
    </row>
    <row r="499" spans="1:32" x14ac:dyDescent="0.2">
      <c r="A499" s="1" t="s">
        <v>5567</v>
      </c>
      <c r="B499" s="1" t="s">
        <v>5</v>
      </c>
      <c r="C499" s="1" t="s">
        <v>1575</v>
      </c>
      <c r="D499" s="1" t="s">
        <v>1580</v>
      </c>
      <c r="E499" s="1" t="s">
        <v>1587</v>
      </c>
      <c r="F499" s="1" t="s">
        <v>4870</v>
      </c>
      <c r="G499" s="13" t="s">
        <v>1575</v>
      </c>
      <c r="H499" s="28">
        <v>42428</v>
      </c>
      <c r="I499" s="29">
        <f t="shared" ref="I499" si="299">YEAR(H499)</f>
        <v>2016</v>
      </c>
      <c r="J499" s="1" t="s">
        <v>4861</v>
      </c>
      <c r="K499" s="1" t="s">
        <v>7</v>
      </c>
      <c r="L499" s="11" t="str">
        <f t="shared" si="298"/>
        <v>НЕТ</v>
      </c>
      <c r="M499" s="10" t="s">
        <v>1575</v>
      </c>
      <c r="N499" s="10" t="s">
        <v>1575</v>
      </c>
      <c r="O499" s="10">
        <v>40.4</v>
      </c>
      <c r="P499" s="10" t="str">
        <f t="shared" si="254"/>
        <v>NA</v>
      </c>
      <c r="Q499" s="10" t="str">
        <f t="shared" si="255"/>
        <v>NA</v>
      </c>
      <c r="R499" s="10" t="s">
        <v>1575</v>
      </c>
      <c r="S499" s="10" t="s">
        <v>1575</v>
      </c>
      <c r="T499" s="10" t="s">
        <v>1575</v>
      </c>
      <c r="U499" s="10" t="s">
        <v>1575</v>
      </c>
      <c r="V499" s="10" t="s">
        <v>1575</v>
      </c>
      <c r="W499" s="10" t="s">
        <v>1575</v>
      </c>
      <c r="X499" s="10" t="str">
        <f t="shared" si="256"/>
        <v>NA</v>
      </c>
      <c r="Y499" s="10" t="str">
        <f t="shared" si="257"/>
        <v>NA</v>
      </c>
      <c r="Z499" s="10" t="str">
        <f t="shared" si="258"/>
        <v>NA</v>
      </c>
      <c r="AA499" s="10" t="str">
        <f t="shared" si="259"/>
        <v>NA</v>
      </c>
      <c r="AB499" s="10" t="str">
        <f t="shared" si="260"/>
        <v>NA</v>
      </c>
      <c r="AC499" s="10" t="str">
        <f t="shared" si="261"/>
        <v>NA</v>
      </c>
      <c r="AD499" s="10" t="str">
        <f t="shared" si="262"/>
        <v>NA</v>
      </c>
      <c r="AE499" s="10" t="str">
        <f t="shared" si="263"/>
        <v>NA</v>
      </c>
      <c r="AF499" s="1" t="s">
        <v>4883</v>
      </c>
    </row>
    <row r="500" spans="1:32" x14ac:dyDescent="0.2">
      <c r="A500" s="1" t="s">
        <v>4859</v>
      </c>
      <c r="B500" s="1" t="s">
        <v>4852</v>
      </c>
      <c r="C500" s="1" t="s">
        <v>1575</v>
      </c>
      <c r="D500" s="1" t="s">
        <v>1584</v>
      </c>
      <c r="E500" s="1" t="s">
        <v>1586</v>
      </c>
      <c r="F500" s="1" t="s">
        <v>4066</v>
      </c>
      <c r="G500" s="13">
        <v>0.16109999999999999</v>
      </c>
      <c r="H500" s="28">
        <v>42460</v>
      </c>
      <c r="I500" s="29">
        <f t="shared" si="281"/>
        <v>2016</v>
      </c>
      <c r="J500" s="1" t="s">
        <v>4861</v>
      </c>
      <c r="K500" s="1" t="s">
        <v>7</v>
      </c>
      <c r="L500" s="11" t="str">
        <f t="shared" si="298"/>
        <v>НЕТ</v>
      </c>
      <c r="M500" s="10" t="s">
        <v>1575</v>
      </c>
      <c r="N500" s="10" t="s">
        <v>1575</v>
      </c>
      <c r="O500" s="10" t="s">
        <v>1575</v>
      </c>
      <c r="P500" s="10" t="str">
        <f t="shared" si="254"/>
        <v>NA</v>
      </c>
      <c r="Q500" s="10" t="str">
        <f t="shared" si="255"/>
        <v>NA</v>
      </c>
      <c r="R500" s="10" t="s">
        <v>1575</v>
      </c>
      <c r="S500" s="10" t="s">
        <v>1575</v>
      </c>
      <c r="T500" s="10" t="s">
        <v>1575</v>
      </c>
      <c r="U500" s="10">
        <v>-1.853</v>
      </c>
      <c r="V500" s="10">
        <v>9.1199999999999992</v>
      </c>
      <c r="W500" s="10" t="s">
        <v>1575</v>
      </c>
      <c r="X500" s="10" t="str">
        <f t="shared" si="256"/>
        <v>NA</v>
      </c>
      <c r="Y500" s="10" t="str">
        <f t="shared" si="257"/>
        <v>NA</v>
      </c>
      <c r="Z500" s="10" t="str">
        <f t="shared" si="258"/>
        <v>NA</v>
      </c>
      <c r="AA500" s="10" t="str">
        <f t="shared" si="259"/>
        <v>NA</v>
      </c>
      <c r="AB500" s="10" t="str">
        <f t="shared" si="260"/>
        <v>NA</v>
      </c>
      <c r="AC500" s="10" t="str">
        <f t="shared" si="261"/>
        <v>NA</v>
      </c>
      <c r="AD500" s="10" t="str">
        <f t="shared" si="262"/>
        <v>NA</v>
      </c>
      <c r="AE500" s="10" t="str">
        <f t="shared" si="263"/>
        <v>NA</v>
      </c>
      <c r="AF500" s="1" t="s">
        <v>4860</v>
      </c>
    </row>
    <row r="501" spans="1:32" x14ac:dyDescent="0.2">
      <c r="A501" s="1" t="s">
        <v>5568</v>
      </c>
      <c r="B501" s="1" t="s">
        <v>5</v>
      </c>
      <c r="C501" s="1" t="s">
        <v>1575</v>
      </c>
      <c r="D501" s="1" t="s">
        <v>1580</v>
      </c>
      <c r="E501" s="1" t="s">
        <v>1694</v>
      </c>
      <c r="F501" s="1" t="s">
        <v>4719</v>
      </c>
      <c r="G501" s="13">
        <v>1</v>
      </c>
      <c r="H501" s="28">
        <v>42490</v>
      </c>
      <c r="I501" s="29">
        <f t="shared" si="281"/>
        <v>2016</v>
      </c>
      <c r="J501" s="1" t="s">
        <v>7</v>
      </c>
      <c r="K501" s="1" t="s">
        <v>4844</v>
      </c>
      <c r="L501" s="11" t="str">
        <f t="shared" si="298"/>
        <v>НЕТ</v>
      </c>
      <c r="M501" s="10" t="s">
        <v>1575</v>
      </c>
      <c r="N501" s="10" t="s">
        <v>1575</v>
      </c>
      <c r="O501" s="10" t="s">
        <v>1575</v>
      </c>
      <c r="P501" s="10" t="str">
        <f t="shared" si="254"/>
        <v>NA</v>
      </c>
      <c r="Q501" s="10" t="str">
        <f t="shared" si="255"/>
        <v>NA</v>
      </c>
      <c r="R501" s="10" t="s">
        <v>1575</v>
      </c>
      <c r="S501" s="10" t="s">
        <v>1575</v>
      </c>
      <c r="T501" s="10" t="s">
        <v>1575</v>
      </c>
      <c r="U501" s="10" t="s">
        <v>1575</v>
      </c>
      <c r="V501" s="10" t="s">
        <v>1575</v>
      </c>
      <c r="W501" s="10" t="s">
        <v>1575</v>
      </c>
      <c r="X501" s="10" t="str">
        <f t="shared" si="256"/>
        <v>NA</v>
      </c>
      <c r="Y501" s="10" t="str">
        <f t="shared" si="257"/>
        <v>NA</v>
      </c>
      <c r="Z501" s="10" t="str">
        <f t="shared" si="258"/>
        <v>NA</v>
      </c>
      <c r="AA501" s="10" t="str">
        <f t="shared" si="259"/>
        <v>NA</v>
      </c>
      <c r="AB501" s="10" t="str">
        <f t="shared" si="260"/>
        <v>NA</v>
      </c>
      <c r="AC501" s="10" t="str">
        <f t="shared" si="261"/>
        <v>NA</v>
      </c>
      <c r="AD501" s="10" t="str">
        <f t="shared" si="262"/>
        <v>NA</v>
      </c>
      <c r="AE501" s="10" t="str">
        <f t="shared" si="263"/>
        <v>NA</v>
      </c>
      <c r="AF501" s="1" t="s">
        <v>4855</v>
      </c>
    </row>
    <row r="502" spans="1:32" x14ac:dyDescent="0.2">
      <c r="A502" s="1" t="s">
        <v>5569</v>
      </c>
      <c r="B502" s="1" t="s">
        <v>5</v>
      </c>
      <c r="C502" s="1" t="s">
        <v>1575</v>
      </c>
      <c r="D502" s="1" t="s">
        <v>1601</v>
      </c>
      <c r="E502" s="1" t="s">
        <v>1608</v>
      </c>
      <c r="F502" s="1" t="s">
        <v>110</v>
      </c>
      <c r="G502" s="13">
        <f>99.99%-85%</f>
        <v>0.14989999999999992</v>
      </c>
      <c r="H502" s="28">
        <v>42612</v>
      </c>
      <c r="I502" s="29">
        <f t="shared" si="281"/>
        <v>2016</v>
      </c>
      <c r="J502" s="1" t="s">
        <v>4861</v>
      </c>
      <c r="K502" s="1" t="s">
        <v>7</v>
      </c>
      <c r="L502" s="11" t="str">
        <f t="shared" ref="L502" si="300">IF(OR(A502=J502,A502=K502),"ДА","НЕТ")</f>
        <v>НЕТ</v>
      </c>
      <c r="M502" s="10" t="s">
        <v>1575</v>
      </c>
      <c r="N502" s="10" t="s">
        <v>1575</v>
      </c>
      <c r="O502" s="10">
        <v>1.2</v>
      </c>
      <c r="P502" s="10">
        <f t="shared" si="254"/>
        <v>8.0053368912608445</v>
      </c>
      <c r="Q502" s="10" t="str">
        <f t="shared" si="255"/>
        <v>NA</v>
      </c>
      <c r="R502" s="10" t="s">
        <v>1575</v>
      </c>
      <c r="S502" s="10" t="s">
        <v>1575</v>
      </c>
      <c r="T502" s="10" t="s">
        <v>1575</v>
      </c>
      <c r="U502" s="10" t="s">
        <v>1575</v>
      </c>
      <c r="V502" s="10" t="s">
        <v>1575</v>
      </c>
      <c r="W502" s="10" t="s">
        <v>1575</v>
      </c>
      <c r="X502" s="10" t="str">
        <f t="shared" si="256"/>
        <v>NA</v>
      </c>
      <c r="Y502" s="10" t="str">
        <f t="shared" si="257"/>
        <v>NA</v>
      </c>
      <c r="Z502" s="10" t="str">
        <f t="shared" si="258"/>
        <v>NA</v>
      </c>
      <c r="AA502" s="10" t="str">
        <f t="shared" si="259"/>
        <v>NA</v>
      </c>
      <c r="AB502" s="10" t="str">
        <f t="shared" si="260"/>
        <v>NA</v>
      </c>
      <c r="AC502" s="10" t="str">
        <f t="shared" si="261"/>
        <v>NA</v>
      </c>
      <c r="AD502" s="10" t="str">
        <f t="shared" si="262"/>
        <v>NA</v>
      </c>
      <c r="AE502" s="10" t="str">
        <f t="shared" si="263"/>
        <v>NA</v>
      </c>
      <c r="AF502" s="1" t="s">
        <v>4856</v>
      </c>
    </row>
    <row r="503" spans="1:32" x14ac:dyDescent="0.2">
      <c r="A503" s="1" t="s">
        <v>5570</v>
      </c>
      <c r="B503" s="1" t="s">
        <v>5</v>
      </c>
      <c r="C503" s="1" t="s">
        <v>1575</v>
      </c>
      <c r="D503" s="1" t="s">
        <v>1580</v>
      </c>
      <c r="E503" s="1" t="s">
        <v>2057</v>
      </c>
      <c r="F503" s="1" t="s">
        <v>434</v>
      </c>
      <c r="G503" s="13">
        <f>99.79%-99.11%</f>
        <v>6.8000000000000282E-3</v>
      </c>
      <c r="H503" s="28">
        <v>42735</v>
      </c>
      <c r="I503" s="29">
        <f t="shared" si="281"/>
        <v>2016</v>
      </c>
      <c r="J503" s="1" t="s">
        <v>4861</v>
      </c>
      <c r="K503" s="1" t="s">
        <v>7</v>
      </c>
      <c r="L503" s="11" t="str">
        <f t="shared" ref="L503:L506" si="301">IF(OR(A503=J503,A503=K503),"ДА","НЕТ")</f>
        <v>НЕТ</v>
      </c>
      <c r="M503" s="10" t="s">
        <v>1575</v>
      </c>
      <c r="N503" s="10" t="s">
        <v>1575</v>
      </c>
      <c r="O503" s="10">
        <v>75</v>
      </c>
      <c r="P503" s="10">
        <f t="shared" si="254"/>
        <v>11029.411764705837</v>
      </c>
      <c r="Q503" s="10" t="str">
        <f t="shared" si="255"/>
        <v>NA</v>
      </c>
      <c r="R503" s="10" t="s">
        <v>1575</v>
      </c>
      <c r="S503" s="10" t="s">
        <v>1575</v>
      </c>
      <c r="T503" s="10" t="s">
        <v>1575</v>
      </c>
      <c r="U503" s="10">
        <v>-33.200000000000003</v>
      </c>
      <c r="V503" s="10">
        <f>551.4-547.1</f>
        <v>4.2999999999999545</v>
      </c>
      <c r="W503" s="10" t="s">
        <v>1575</v>
      </c>
      <c r="X503" s="10" t="str">
        <f t="shared" si="256"/>
        <v>NA</v>
      </c>
      <c r="Y503" s="10" t="str">
        <f t="shared" si="257"/>
        <v>NA</v>
      </c>
      <c r="Z503" s="10">
        <f t="shared" si="258"/>
        <v>-332.21119773210353</v>
      </c>
      <c r="AA503" s="10">
        <f t="shared" si="259"/>
        <v>2564.9794801641756</v>
      </c>
      <c r="AB503" s="10" t="str">
        <f t="shared" si="260"/>
        <v>NA</v>
      </c>
      <c r="AC503" s="10" t="str">
        <f t="shared" si="261"/>
        <v>NA</v>
      </c>
      <c r="AD503" s="10" t="str">
        <f t="shared" si="262"/>
        <v>NA</v>
      </c>
      <c r="AE503" s="10" t="str">
        <f t="shared" si="263"/>
        <v>NA</v>
      </c>
      <c r="AF503" s="1" t="s">
        <v>4857</v>
      </c>
    </row>
    <row r="504" spans="1:32" x14ac:dyDescent="0.2">
      <c r="A504" s="1" t="s">
        <v>5571</v>
      </c>
      <c r="B504" s="1" t="s">
        <v>5</v>
      </c>
      <c r="C504" s="1" t="s">
        <v>1575</v>
      </c>
      <c r="D504" s="1" t="s">
        <v>1580</v>
      </c>
      <c r="E504" s="1" t="s">
        <v>1694</v>
      </c>
      <c r="F504" s="1" t="s">
        <v>4719</v>
      </c>
      <c r="G504" s="13">
        <f>99.77%-99.65%</f>
        <v>1.1999999999998678E-3</v>
      </c>
      <c r="H504" s="28">
        <v>42735</v>
      </c>
      <c r="I504" s="29">
        <f t="shared" si="281"/>
        <v>2016</v>
      </c>
      <c r="J504" s="1" t="s">
        <v>4861</v>
      </c>
      <c r="K504" s="1" t="s">
        <v>7</v>
      </c>
      <c r="L504" s="11" t="str">
        <f t="shared" si="301"/>
        <v>НЕТ</v>
      </c>
      <c r="M504" s="10" t="s">
        <v>1575</v>
      </c>
      <c r="N504" s="10" t="s">
        <v>1575</v>
      </c>
      <c r="O504" s="10">
        <v>16</v>
      </c>
      <c r="P504" s="10">
        <f t="shared" si="254"/>
        <v>13333.333333334802</v>
      </c>
      <c r="Q504" s="10" t="str">
        <f t="shared" si="255"/>
        <v>NA</v>
      </c>
      <c r="R504" s="10" t="s">
        <v>1575</v>
      </c>
      <c r="S504" s="10" t="s">
        <v>1575</v>
      </c>
      <c r="T504" s="10" t="s">
        <v>1575</v>
      </c>
      <c r="U504" s="10" t="s">
        <v>1575</v>
      </c>
      <c r="V504" s="10" t="s">
        <v>1575</v>
      </c>
      <c r="W504" s="10" t="s">
        <v>1575</v>
      </c>
      <c r="X504" s="10" t="str">
        <f t="shared" si="256"/>
        <v>NA</v>
      </c>
      <c r="Y504" s="10" t="str">
        <f t="shared" si="257"/>
        <v>NA</v>
      </c>
      <c r="Z504" s="10" t="str">
        <f t="shared" si="258"/>
        <v>NA</v>
      </c>
      <c r="AA504" s="10" t="str">
        <f t="shared" si="259"/>
        <v>NA</v>
      </c>
      <c r="AB504" s="10" t="str">
        <f t="shared" si="260"/>
        <v>NA</v>
      </c>
      <c r="AC504" s="10" t="str">
        <f t="shared" si="261"/>
        <v>NA</v>
      </c>
      <c r="AD504" s="10" t="str">
        <f t="shared" si="262"/>
        <v>NA</v>
      </c>
      <c r="AE504" s="10" t="str">
        <f t="shared" si="263"/>
        <v>NA</v>
      </c>
      <c r="AF504" s="1" t="s">
        <v>4858</v>
      </c>
    </row>
    <row r="505" spans="1:32" x14ac:dyDescent="0.2">
      <c r="A505" s="1" t="s">
        <v>5569</v>
      </c>
      <c r="B505" s="1" t="s">
        <v>5</v>
      </c>
      <c r="C505" s="1" t="s">
        <v>1575</v>
      </c>
      <c r="D505" s="1" t="s">
        <v>1601</v>
      </c>
      <c r="E505" s="1" t="s">
        <v>1608</v>
      </c>
      <c r="F505" s="1" t="s">
        <v>110</v>
      </c>
      <c r="G505" s="13" t="s">
        <v>1575</v>
      </c>
      <c r="H505" s="28">
        <v>42428</v>
      </c>
      <c r="I505" s="29">
        <f t="shared" si="281"/>
        <v>2016</v>
      </c>
      <c r="J505" s="1" t="s">
        <v>4861</v>
      </c>
      <c r="K505" s="1" t="s">
        <v>7</v>
      </c>
      <c r="L505" s="11" t="str">
        <f t="shared" si="301"/>
        <v>НЕТ</v>
      </c>
      <c r="M505" s="10" t="s">
        <v>1575</v>
      </c>
      <c r="N505" s="10" t="s">
        <v>1575</v>
      </c>
      <c r="O505" s="10">
        <v>7.0430000000000001</v>
      </c>
      <c r="P505" s="10" t="str">
        <f t="shared" si="254"/>
        <v>NA</v>
      </c>
      <c r="Q505" s="10" t="str">
        <f t="shared" si="255"/>
        <v>NA</v>
      </c>
      <c r="R505" s="10" t="s">
        <v>1575</v>
      </c>
      <c r="S505" s="10" t="s">
        <v>1575</v>
      </c>
      <c r="T505" s="10" t="s">
        <v>1575</v>
      </c>
      <c r="U505" s="10" t="s">
        <v>1575</v>
      </c>
      <c r="V505" s="10" t="s">
        <v>1575</v>
      </c>
      <c r="W505" s="10" t="s">
        <v>1575</v>
      </c>
      <c r="X505" s="10" t="str">
        <f t="shared" si="256"/>
        <v>NA</v>
      </c>
      <c r="Y505" s="10" t="str">
        <f t="shared" si="257"/>
        <v>NA</v>
      </c>
      <c r="Z505" s="10" t="str">
        <f t="shared" si="258"/>
        <v>NA</v>
      </c>
      <c r="AA505" s="10" t="str">
        <f t="shared" si="259"/>
        <v>NA</v>
      </c>
      <c r="AB505" s="10" t="str">
        <f t="shared" si="260"/>
        <v>NA</v>
      </c>
      <c r="AC505" s="10" t="str">
        <f t="shared" si="261"/>
        <v>NA</v>
      </c>
      <c r="AD505" s="10" t="str">
        <f t="shared" si="262"/>
        <v>NA</v>
      </c>
      <c r="AE505" s="10" t="str">
        <f t="shared" si="263"/>
        <v>NA</v>
      </c>
      <c r="AF505" s="1" t="s">
        <v>4890</v>
      </c>
    </row>
    <row r="506" spans="1:32" x14ac:dyDescent="0.2">
      <c r="A506" s="1" t="s">
        <v>5572</v>
      </c>
      <c r="B506" s="1" t="s">
        <v>5</v>
      </c>
      <c r="C506" s="1" t="s">
        <v>1575</v>
      </c>
      <c r="D506" s="1" t="s">
        <v>1584</v>
      </c>
      <c r="E506" s="1" t="s">
        <v>3486</v>
      </c>
      <c r="F506" s="1" t="s">
        <v>4886</v>
      </c>
      <c r="G506" s="13" t="s">
        <v>1575</v>
      </c>
      <c r="H506" s="28">
        <v>42428</v>
      </c>
      <c r="I506" s="29">
        <f t="shared" si="281"/>
        <v>2016</v>
      </c>
      <c r="J506" s="1" t="s">
        <v>4861</v>
      </c>
      <c r="K506" s="1" t="s">
        <v>7</v>
      </c>
      <c r="L506" s="11" t="str">
        <f t="shared" si="301"/>
        <v>НЕТ</v>
      </c>
      <c r="M506" s="10" t="s">
        <v>1575</v>
      </c>
      <c r="N506" s="10" t="s">
        <v>1575</v>
      </c>
      <c r="O506" s="10">
        <v>7.9790000000000001</v>
      </c>
      <c r="P506" s="10" t="str">
        <f t="shared" si="254"/>
        <v>NA</v>
      </c>
      <c r="Q506" s="10" t="str">
        <f t="shared" si="255"/>
        <v>NA</v>
      </c>
      <c r="R506" s="10" t="s">
        <v>1575</v>
      </c>
      <c r="S506" s="10" t="s">
        <v>1575</v>
      </c>
      <c r="T506" s="10" t="s">
        <v>1575</v>
      </c>
      <c r="U506" s="10" t="s">
        <v>1575</v>
      </c>
      <c r="V506" s="10" t="s">
        <v>1575</v>
      </c>
      <c r="W506" s="10" t="s">
        <v>1575</v>
      </c>
      <c r="X506" s="10" t="str">
        <f t="shared" si="256"/>
        <v>NA</v>
      </c>
      <c r="Y506" s="10" t="str">
        <f t="shared" si="257"/>
        <v>NA</v>
      </c>
      <c r="Z506" s="10" t="str">
        <f t="shared" si="258"/>
        <v>NA</v>
      </c>
      <c r="AA506" s="10" t="str">
        <f t="shared" si="259"/>
        <v>NA</v>
      </c>
      <c r="AB506" s="10" t="str">
        <f t="shared" si="260"/>
        <v>NA</v>
      </c>
      <c r="AC506" s="10" t="str">
        <f t="shared" si="261"/>
        <v>NA</v>
      </c>
      <c r="AD506" s="10" t="str">
        <f t="shared" si="262"/>
        <v>NA</v>
      </c>
      <c r="AE506" s="10" t="str">
        <f t="shared" si="263"/>
        <v>NA</v>
      </c>
      <c r="AF506" s="1" t="s">
        <v>4889</v>
      </c>
    </row>
    <row r="507" spans="1:32" x14ac:dyDescent="0.2">
      <c r="A507" s="1" t="s">
        <v>5573</v>
      </c>
      <c r="B507" s="1" t="s">
        <v>5</v>
      </c>
      <c r="C507" s="1" t="s">
        <v>1575</v>
      </c>
      <c r="D507" s="1" t="s">
        <v>1582</v>
      </c>
      <c r="E507" s="1" t="s">
        <v>1587</v>
      </c>
      <c r="F507" s="1" t="s">
        <v>4888</v>
      </c>
      <c r="G507" s="13" t="s">
        <v>1575</v>
      </c>
      <c r="H507" s="28">
        <v>42400</v>
      </c>
      <c r="I507" s="29">
        <f t="shared" ref="I507" si="302">YEAR(H507)</f>
        <v>2016</v>
      </c>
      <c r="J507" s="1" t="s">
        <v>4861</v>
      </c>
      <c r="K507" s="1" t="s">
        <v>7</v>
      </c>
      <c r="L507" s="11" t="str">
        <f t="shared" ref="L507" si="303">IF(OR(A507=J507,A507=K507),"ДА","НЕТ")</f>
        <v>НЕТ</v>
      </c>
      <c r="M507" s="10" t="s">
        <v>1575</v>
      </c>
      <c r="N507" s="10" t="s">
        <v>1575</v>
      </c>
      <c r="O507" s="10">
        <v>45.8</v>
      </c>
      <c r="P507" s="10" t="str">
        <f t="shared" si="254"/>
        <v>NA</v>
      </c>
      <c r="Q507" s="10" t="str">
        <f t="shared" si="255"/>
        <v>NA</v>
      </c>
      <c r="R507" s="10" t="s">
        <v>1575</v>
      </c>
      <c r="S507" s="10" t="s">
        <v>1575</v>
      </c>
      <c r="T507" s="10" t="s">
        <v>1575</v>
      </c>
      <c r="U507" s="10" t="s">
        <v>1575</v>
      </c>
      <c r="V507" s="10" t="s">
        <v>1575</v>
      </c>
      <c r="W507" s="10" t="s">
        <v>1575</v>
      </c>
      <c r="X507" s="10" t="str">
        <f t="shared" si="256"/>
        <v>NA</v>
      </c>
      <c r="Y507" s="10" t="str">
        <f t="shared" si="257"/>
        <v>NA</v>
      </c>
      <c r="Z507" s="10" t="str">
        <f t="shared" si="258"/>
        <v>NA</v>
      </c>
      <c r="AA507" s="10" t="str">
        <f t="shared" si="259"/>
        <v>NA</v>
      </c>
      <c r="AB507" s="10" t="str">
        <f t="shared" si="260"/>
        <v>NA</v>
      </c>
      <c r="AC507" s="10" t="str">
        <f t="shared" si="261"/>
        <v>NA</v>
      </c>
      <c r="AD507" s="10" t="str">
        <f t="shared" si="262"/>
        <v>NA</v>
      </c>
      <c r="AE507" s="10" t="str">
        <f t="shared" si="263"/>
        <v>NA</v>
      </c>
      <c r="AF507" s="1" t="s">
        <v>4887</v>
      </c>
    </row>
    <row r="508" spans="1:32" x14ac:dyDescent="0.2">
      <c r="A508" s="1" t="s">
        <v>5574</v>
      </c>
      <c r="B508" s="1" t="s">
        <v>5</v>
      </c>
      <c r="C508" s="1" t="s">
        <v>1575</v>
      </c>
      <c r="D508" s="1" t="s">
        <v>1580</v>
      </c>
      <c r="E508" s="1" t="s">
        <v>1694</v>
      </c>
      <c r="F508" s="1" t="s">
        <v>4869</v>
      </c>
      <c r="G508" s="13" t="s">
        <v>1575</v>
      </c>
      <c r="H508" s="28">
        <v>42369</v>
      </c>
      <c r="I508" s="29">
        <f t="shared" si="281"/>
        <v>2015</v>
      </c>
      <c r="J508" s="1" t="s">
        <v>5573</v>
      </c>
      <c r="K508" s="1" t="s">
        <v>4861</v>
      </c>
      <c r="L508" s="11" t="str">
        <f t="shared" ref="L508:L509" si="304">IF(OR(A508=J508,A508=K508),"ДА","НЕТ")</f>
        <v>НЕТ</v>
      </c>
      <c r="M508" s="10" t="s">
        <v>1575</v>
      </c>
      <c r="N508" s="10" t="s">
        <v>1575</v>
      </c>
      <c r="O508" s="10" t="s">
        <v>1575</v>
      </c>
      <c r="P508" s="10" t="str">
        <f t="shared" si="254"/>
        <v>NA</v>
      </c>
      <c r="Q508" s="10" t="str">
        <f t="shared" si="255"/>
        <v>NA</v>
      </c>
      <c r="R508" s="10" t="s">
        <v>1575</v>
      </c>
      <c r="S508" s="10" t="s">
        <v>1575</v>
      </c>
      <c r="T508" s="10" t="s">
        <v>1575</v>
      </c>
      <c r="U508" s="10" t="s">
        <v>1575</v>
      </c>
      <c r="V508" s="10" t="s">
        <v>1575</v>
      </c>
      <c r="W508" s="10" t="s">
        <v>1575</v>
      </c>
      <c r="X508" s="10" t="str">
        <f t="shared" si="256"/>
        <v>NA</v>
      </c>
      <c r="Y508" s="10" t="str">
        <f t="shared" si="257"/>
        <v>NA</v>
      </c>
      <c r="Z508" s="10" t="str">
        <f t="shared" si="258"/>
        <v>NA</v>
      </c>
      <c r="AA508" s="10" t="str">
        <f t="shared" si="259"/>
        <v>NA</v>
      </c>
      <c r="AB508" s="10" t="str">
        <f t="shared" si="260"/>
        <v>NA</v>
      </c>
      <c r="AC508" s="10" t="str">
        <f t="shared" si="261"/>
        <v>NA</v>
      </c>
      <c r="AD508" s="10" t="str">
        <f t="shared" si="262"/>
        <v>NA</v>
      </c>
      <c r="AE508" s="10" t="str">
        <f t="shared" si="263"/>
        <v>NA</v>
      </c>
      <c r="AF508" s="1" t="s">
        <v>4867</v>
      </c>
    </row>
    <row r="509" spans="1:32" x14ac:dyDescent="0.2">
      <c r="A509" s="1" t="s">
        <v>5570</v>
      </c>
      <c r="B509" s="1" t="s">
        <v>5</v>
      </c>
      <c r="C509" s="1" t="s">
        <v>1575</v>
      </c>
      <c r="D509" s="1" t="s">
        <v>1580</v>
      </c>
      <c r="E509" s="1" t="s">
        <v>2057</v>
      </c>
      <c r="F509" s="1" t="s">
        <v>434</v>
      </c>
      <c r="G509" s="13">
        <f>99.11%-98.96%</f>
        <v>1.5000000000000568E-3</v>
      </c>
      <c r="H509" s="28">
        <v>42215</v>
      </c>
      <c r="I509" s="29">
        <f t="shared" si="281"/>
        <v>2015</v>
      </c>
      <c r="J509" s="1" t="s">
        <v>4861</v>
      </c>
      <c r="K509" s="1" t="s">
        <v>7</v>
      </c>
      <c r="L509" s="11" t="str">
        <f t="shared" si="304"/>
        <v>НЕТ</v>
      </c>
      <c r="M509" s="10" t="s">
        <v>1575</v>
      </c>
      <c r="N509" s="10" t="s">
        <v>1575</v>
      </c>
      <c r="O509" s="10">
        <v>10</v>
      </c>
      <c r="P509" s="10">
        <f t="shared" si="254"/>
        <v>6666.6666666664141</v>
      </c>
      <c r="Q509" s="10" t="str">
        <f t="shared" si="255"/>
        <v>NA</v>
      </c>
      <c r="R509" s="10" t="s">
        <v>1575</v>
      </c>
      <c r="S509" s="10" t="s">
        <v>1575</v>
      </c>
      <c r="T509" s="10" t="s">
        <v>1575</v>
      </c>
      <c r="U509" s="10">
        <v>4.6390000000000002</v>
      </c>
      <c r="V509" s="10">
        <f>510.615-483.682</f>
        <v>26.932999999999993</v>
      </c>
      <c r="W509" s="10" t="s">
        <v>1575</v>
      </c>
      <c r="X509" s="10" t="str">
        <f t="shared" si="256"/>
        <v>NA</v>
      </c>
      <c r="Y509" s="10" t="str">
        <f t="shared" si="257"/>
        <v>NA</v>
      </c>
      <c r="Z509" s="10">
        <f t="shared" si="258"/>
        <v>1437.0913271537861</v>
      </c>
      <c r="AA509" s="10">
        <f t="shared" si="259"/>
        <v>247.52781593830676</v>
      </c>
      <c r="AB509" s="10" t="str">
        <f t="shared" si="260"/>
        <v>NA</v>
      </c>
      <c r="AC509" s="10" t="str">
        <f t="shared" si="261"/>
        <v>NA</v>
      </c>
      <c r="AD509" s="10" t="str">
        <f t="shared" si="262"/>
        <v>NA</v>
      </c>
      <c r="AE509" s="10" t="str">
        <f t="shared" si="263"/>
        <v>NA</v>
      </c>
      <c r="AF509" s="1" t="s">
        <v>4866</v>
      </c>
    </row>
    <row r="510" spans="1:32" x14ac:dyDescent="0.2">
      <c r="A510" s="1" t="s">
        <v>5575</v>
      </c>
      <c r="B510" s="1" t="s">
        <v>5</v>
      </c>
      <c r="C510" s="1" t="s">
        <v>1575</v>
      </c>
      <c r="D510" s="1" t="s">
        <v>1580</v>
      </c>
      <c r="E510" s="1" t="s">
        <v>1581</v>
      </c>
      <c r="F510" s="1" t="s">
        <v>67</v>
      </c>
      <c r="G510" s="13" t="s">
        <v>1575</v>
      </c>
      <c r="H510" s="28">
        <v>42185</v>
      </c>
      <c r="I510" s="29">
        <f t="shared" si="281"/>
        <v>2015</v>
      </c>
      <c r="J510" s="1" t="s">
        <v>5573</v>
      </c>
      <c r="K510" s="1" t="s">
        <v>4861</v>
      </c>
      <c r="L510" s="11" t="str">
        <f t="shared" ref="L510:L512" si="305">IF(OR(A510=J510,A510=K510),"ДА","НЕТ")</f>
        <v>НЕТ</v>
      </c>
      <c r="M510" s="10" t="s">
        <v>1575</v>
      </c>
      <c r="N510" s="10" t="s">
        <v>1575</v>
      </c>
      <c r="O510" s="10">
        <v>12.153</v>
      </c>
      <c r="P510" s="10" t="str">
        <f t="shared" si="254"/>
        <v>NA</v>
      </c>
      <c r="Q510" s="10" t="str">
        <f t="shared" si="255"/>
        <v>NA</v>
      </c>
      <c r="R510" s="10" t="s">
        <v>1575</v>
      </c>
      <c r="S510" s="10" t="s">
        <v>1575</v>
      </c>
      <c r="T510" s="10" t="s">
        <v>1575</v>
      </c>
      <c r="U510" s="10" t="s">
        <v>1575</v>
      </c>
      <c r="V510" s="10" t="s">
        <v>1575</v>
      </c>
      <c r="W510" s="10" t="s">
        <v>1575</v>
      </c>
      <c r="X510" s="10" t="str">
        <f t="shared" si="256"/>
        <v>NA</v>
      </c>
      <c r="Y510" s="10" t="str">
        <f t="shared" si="257"/>
        <v>NA</v>
      </c>
      <c r="Z510" s="10" t="str">
        <f t="shared" si="258"/>
        <v>NA</v>
      </c>
      <c r="AA510" s="10" t="str">
        <f t="shared" si="259"/>
        <v>NA</v>
      </c>
      <c r="AB510" s="10" t="str">
        <f t="shared" si="260"/>
        <v>NA</v>
      </c>
      <c r="AC510" s="10" t="str">
        <f t="shared" si="261"/>
        <v>NA</v>
      </c>
      <c r="AD510" s="10" t="str">
        <f t="shared" si="262"/>
        <v>NA</v>
      </c>
      <c r="AE510" s="10" t="str">
        <f t="shared" si="263"/>
        <v>NA</v>
      </c>
      <c r="AF510" s="1" t="s">
        <v>4865</v>
      </c>
    </row>
    <row r="511" spans="1:32" x14ac:dyDescent="0.2">
      <c r="A511" s="1" t="s">
        <v>5566</v>
      </c>
      <c r="B511" s="1" t="s">
        <v>91</v>
      </c>
      <c r="C511" s="1" t="s">
        <v>1575</v>
      </c>
      <c r="D511" s="1" t="s">
        <v>1580</v>
      </c>
      <c r="E511" s="1" t="s">
        <v>1694</v>
      </c>
      <c r="F511" s="1" t="s">
        <v>4719</v>
      </c>
      <c r="G511" s="13" t="s">
        <v>1575</v>
      </c>
      <c r="H511" s="28">
        <v>42155</v>
      </c>
      <c r="I511" s="29">
        <f t="shared" si="281"/>
        <v>2015</v>
      </c>
      <c r="J511" s="1" t="s">
        <v>4861</v>
      </c>
      <c r="K511" s="1" t="s">
        <v>7</v>
      </c>
      <c r="L511" s="11" t="str">
        <f t="shared" si="305"/>
        <v>НЕТ</v>
      </c>
      <c r="M511" s="10">
        <v>303</v>
      </c>
      <c r="N511" s="10" t="s">
        <v>1575</v>
      </c>
      <c r="O511" s="10">
        <v>15.843999999999999</v>
      </c>
      <c r="P511" s="10" t="str">
        <f t="shared" si="254"/>
        <v>NA</v>
      </c>
      <c r="Q511" s="10" t="str">
        <f t="shared" si="255"/>
        <v>NA</v>
      </c>
      <c r="R511" s="10" t="s">
        <v>1575</v>
      </c>
      <c r="S511" s="10" t="s">
        <v>1575</v>
      </c>
      <c r="T511" s="10" t="s">
        <v>1575</v>
      </c>
      <c r="U511" s="10">
        <v>-21.747</v>
      </c>
      <c r="V511" s="10">
        <f>180.125-169.503</f>
        <v>10.622000000000014</v>
      </c>
      <c r="W511" s="10" t="s">
        <v>1575</v>
      </c>
      <c r="X511" s="10" t="str">
        <f t="shared" si="256"/>
        <v>NA</v>
      </c>
      <c r="Y511" s="10" t="str">
        <f t="shared" si="257"/>
        <v>NA</v>
      </c>
      <c r="Z511" s="10" t="str">
        <f t="shared" si="258"/>
        <v>NA</v>
      </c>
      <c r="AA511" s="10" t="str">
        <f t="shared" si="259"/>
        <v>NA</v>
      </c>
      <c r="AB511" s="10" t="str">
        <f t="shared" si="260"/>
        <v>NA</v>
      </c>
      <c r="AC511" s="10" t="str">
        <f t="shared" si="261"/>
        <v>NA</v>
      </c>
      <c r="AD511" s="10" t="str">
        <f t="shared" si="262"/>
        <v>NA</v>
      </c>
      <c r="AE511" s="10" t="str">
        <f t="shared" si="263"/>
        <v>NA</v>
      </c>
      <c r="AF511" s="1" t="s">
        <v>4864</v>
      </c>
    </row>
    <row r="512" spans="1:32" x14ac:dyDescent="0.2">
      <c r="A512" s="1" t="s">
        <v>5566</v>
      </c>
      <c r="B512" s="1" t="s">
        <v>91</v>
      </c>
      <c r="C512" s="1" t="s">
        <v>1575</v>
      </c>
      <c r="D512" s="1" t="s">
        <v>1580</v>
      </c>
      <c r="E512" s="1" t="s">
        <v>1694</v>
      </c>
      <c r="F512" s="1" t="s">
        <v>4719</v>
      </c>
      <c r="G512" s="13" t="s">
        <v>1575</v>
      </c>
      <c r="H512" s="28">
        <v>42063</v>
      </c>
      <c r="I512" s="29">
        <f t="shared" si="281"/>
        <v>2015</v>
      </c>
      <c r="J512" s="1" t="s">
        <v>4861</v>
      </c>
      <c r="K512" s="1" t="s">
        <v>7</v>
      </c>
      <c r="L512" s="11" t="str">
        <f t="shared" si="305"/>
        <v>НЕТ</v>
      </c>
      <c r="M512" s="10">
        <v>280</v>
      </c>
      <c r="N512" s="10" t="s">
        <v>1575</v>
      </c>
      <c r="O512" s="10">
        <v>16.991</v>
      </c>
      <c r="P512" s="10" t="str">
        <f t="shared" si="254"/>
        <v>NA</v>
      </c>
      <c r="Q512" s="10" t="str">
        <f t="shared" si="255"/>
        <v>NA</v>
      </c>
      <c r="R512" s="10" t="s">
        <v>1575</v>
      </c>
      <c r="S512" s="10" t="s">
        <v>1575</v>
      </c>
      <c r="T512" s="10" t="s">
        <v>1575</v>
      </c>
      <c r="U512" s="10">
        <v>-20.747</v>
      </c>
      <c r="V512" s="10">
        <f>180.125-169.503</f>
        <v>10.622000000000014</v>
      </c>
      <c r="W512" s="10" t="s">
        <v>1575</v>
      </c>
      <c r="X512" s="10" t="str">
        <f t="shared" si="256"/>
        <v>NA</v>
      </c>
      <c r="Y512" s="10" t="str">
        <f t="shared" si="257"/>
        <v>NA</v>
      </c>
      <c r="Z512" s="10" t="str">
        <f t="shared" si="258"/>
        <v>NA</v>
      </c>
      <c r="AA512" s="10" t="str">
        <f t="shared" si="259"/>
        <v>NA</v>
      </c>
      <c r="AB512" s="10" t="str">
        <f t="shared" si="260"/>
        <v>NA</v>
      </c>
      <c r="AC512" s="10" t="str">
        <f t="shared" si="261"/>
        <v>NA</v>
      </c>
      <c r="AD512" s="10" t="str">
        <f t="shared" si="262"/>
        <v>NA</v>
      </c>
      <c r="AE512" s="10" t="str">
        <f t="shared" si="263"/>
        <v>NA</v>
      </c>
      <c r="AF512" s="1" t="s">
        <v>4872</v>
      </c>
    </row>
    <row r="513" spans="1:32" x14ac:dyDescent="0.2">
      <c r="A513" s="1" t="s">
        <v>5567</v>
      </c>
      <c r="B513" s="1" t="s">
        <v>5</v>
      </c>
      <c r="C513" s="1" t="s">
        <v>1575</v>
      </c>
      <c r="D513" s="1" t="s">
        <v>1580</v>
      </c>
      <c r="E513" s="1" t="s">
        <v>1587</v>
      </c>
      <c r="F513" s="1" t="s">
        <v>4870</v>
      </c>
      <c r="G513" s="13" t="s">
        <v>1575</v>
      </c>
      <c r="H513" s="28">
        <v>42185</v>
      </c>
      <c r="I513" s="29">
        <f t="shared" si="281"/>
        <v>2015</v>
      </c>
      <c r="J513" s="1" t="s">
        <v>4861</v>
      </c>
      <c r="K513" s="1" t="s">
        <v>7</v>
      </c>
      <c r="L513" s="11" t="str">
        <f t="shared" ref="L513:L514" si="306">IF(OR(A513=J513,A513=K513),"ДА","НЕТ")</f>
        <v>НЕТ</v>
      </c>
      <c r="M513" s="10" t="s">
        <v>1575</v>
      </c>
      <c r="N513" s="10" t="s">
        <v>1575</v>
      </c>
      <c r="O513" s="10">
        <v>0.22500000000000001</v>
      </c>
      <c r="P513" s="10" t="str">
        <f t="shared" si="254"/>
        <v>NA</v>
      </c>
      <c r="Q513" s="10" t="str">
        <f t="shared" si="255"/>
        <v>NA</v>
      </c>
      <c r="R513" s="10" t="s">
        <v>1575</v>
      </c>
      <c r="S513" s="10" t="s">
        <v>1575</v>
      </c>
      <c r="T513" s="10" t="s">
        <v>1575</v>
      </c>
      <c r="U513" s="10" t="s">
        <v>1575</v>
      </c>
      <c r="V513" s="10" t="s">
        <v>1575</v>
      </c>
      <c r="W513" s="10" t="s">
        <v>1575</v>
      </c>
      <c r="X513" s="10" t="str">
        <f t="shared" si="256"/>
        <v>NA</v>
      </c>
      <c r="Y513" s="10" t="str">
        <f t="shared" si="257"/>
        <v>NA</v>
      </c>
      <c r="Z513" s="10" t="str">
        <f t="shared" si="258"/>
        <v>NA</v>
      </c>
      <c r="AA513" s="10" t="str">
        <f t="shared" si="259"/>
        <v>NA</v>
      </c>
      <c r="AB513" s="10" t="str">
        <f t="shared" si="260"/>
        <v>NA</v>
      </c>
      <c r="AC513" s="10" t="str">
        <f t="shared" si="261"/>
        <v>NA</v>
      </c>
      <c r="AD513" s="10" t="str">
        <f t="shared" si="262"/>
        <v>NA</v>
      </c>
      <c r="AE513" s="10" t="str">
        <f t="shared" si="263"/>
        <v>NA</v>
      </c>
      <c r="AF513" s="1" t="s">
        <v>4863</v>
      </c>
    </row>
    <row r="514" spans="1:32" x14ac:dyDescent="0.2">
      <c r="A514" s="1" t="s">
        <v>5567</v>
      </c>
      <c r="B514" s="1" t="s">
        <v>5</v>
      </c>
      <c r="C514" s="1" t="s">
        <v>1575</v>
      </c>
      <c r="D514" s="1" t="s">
        <v>1580</v>
      </c>
      <c r="E514" s="1" t="s">
        <v>1587</v>
      </c>
      <c r="F514" s="1" t="s">
        <v>4870</v>
      </c>
      <c r="G514" s="13" t="s">
        <v>1575</v>
      </c>
      <c r="H514" s="28">
        <v>42124</v>
      </c>
      <c r="I514" s="29">
        <f t="shared" ref="I514:I515" si="307">YEAR(H514)</f>
        <v>2015</v>
      </c>
      <c r="J514" s="1" t="s">
        <v>4861</v>
      </c>
      <c r="K514" s="1" t="s">
        <v>7</v>
      </c>
      <c r="L514" s="11" t="str">
        <f t="shared" si="306"/>
        <v>НЕТ</v>
      </c>
      <c r="M514" s="10" t="s">
        <v>1575</v>
      </c>
      <c r="N514" s="10" t="s">
        <v>1575</v>
      </c>
      <c r="O514" s="10">
        <v>0.4</v>
      </c>
      <c r="P514" s="10" t="str">
        <f t="shared" si="254"/>
        <v>NA</v>
      </c>
      <c r="Q514" s="10" t="str">
        <f t="shared" si="255"/>
        <v>NA</v>
      </c>
      <c r="R514" s="10" t="s">
        <v>1575</v>
      </c>
      <c r="S514" s="10" t="s">
        <v>1575</v>
      </c>
      <c r="T514" s="10" t="s">
        <v>1575</v>
      </c>
      <c r="U514" s="10" t="s">
        <v>1575</v>
      </c>
      <c r="V514" s="10" t="s">
        <v>1575</v>
      </c>
      <c r="W514" s="10" t="s">
        <v>1575</v>
      </c>
      <c r="X514" s="10" t="str">
        <f t="shared" si="256"/>
        <v>NA</v>
      </c>
      <c r="Y514" s="10" t="str">
        <f t="shared" si="257"/>
        <v>NA</v>
      </c>
      <c r="Z514" s="10" t="str">
        <f t="shared" si="258"/>
        <v>NA</v>
      </c>
      <c r="AA514" s="10" t="str">
        <f t="shared" si="259"/>
        <v>NA</v>
      </c>
      <c r="AB514" s="10" t="str">
        <f t="shared" si="260"/>
        <v>NA</v>
      </c>
      <c r="AC514" s="10" t="str">
        <f t="shared" si="261"/>
        <v>NA</v>
      </c>
      <c r="AD514" s="10" t="str">
        <f t="shared" si="262"/>
        <v>NA</v>
      </c>
      <c r="AE514" s="10" t="str">
        <f t="shared" si="263"/>
        <v>NA</v>
      </c>
      <c r="AF514" s="1" t="s">
        <v>4863</v>
      </c>
    </row>
    <row r="515" spans="1:32" x14ac:dyDescent="0.2">
      <c r="A515" s="1" t="s">
        <v>5576</v>
      </c>
      <c r="B515" s="1" t="s">
        <v>5</v>
      </c>
      <c r="C515" s="1" t="s">
        <v>1575</v>
      </c>
      <c r="D515" s="1" t="s">
        <v>1580</v>
      </c>
      <c r="E515" s="1" t="s">
        <v>1694</v>
      </c>
      <c r="F515" s="1" t="s">
        <v>4719</v>
      </c>
      <c r="G515" s="13" t="s">
        <v>1575</v>
      </c>
      <c r="H515" s="28">
        <v>42094</v>
      </c>
      <c r="I515" s="29">
        <f t="shared" si="307"/>
        <v>2015</v>
      </c>
      <c r="J515" s="1" t="s">
        <v>4861</v>
      </c>
      <c r="K515" s="1" t="s">
        <v>7</v>
      </c>
      <c r="L515" s="11" t="str">
        <f t="shared" ref="L515" si="308">IF(OR(A515=J515,A515=K515),"ДА","НЕТ")</f>
        <v>НЕТ</v>
      </c>
      <c r="M515" s="10" t="s">
        <v>1575</v>
      </c>
      <c r="N515" s="10" t="s">
        <v>1575</v>
      </c>
      <c r="O515" s="10">
        <v>5.0339999999999998</v>
      </c>
      <c r="P515" s="10" t="str">
        <f t="shared" ref="P515:P578" si="309">IFERROR(O515/G515,"NA")</f>
        <v>NA</v>
      </c>
      <c r="Q515" s="10" t="str">
        <f t="shared" ref="Q515:Q578" si="310">IFERROR(P515+W515,"NA")</f>
        <v>NA</v>
      </c>
      <c r="R515" s="10" t="s">
        <v>1575</v>
      </c>
      <c r="S515" s="10" t="s">
        <v>1575</v>
      </c>
      <c r="T515" s="10" t="s">
        <v>1575</v>
      </c>
      <c r="U515" s="10" t="s">
        <v>1575</v>
      </c>
      <c r="V515" s="10" t="s">
        <v>1575</v>
      </c>
      <c r="W515" s="10" t="s">
        <v>1575</v>
      </c>
      <c r="X515" s="10" t="str">
        <f t="shared" ref="X515:X578" si="311">IFERROR(V515+W515,"NA")</f>
        <v>NA</v>
      </c>
      <c r="Y515" s="10" t="str">
        <f t="shared" ref="Y515:Y578" si="312">IFERROR(P515/R515,"NA")</f>
        <v>NA</v>
      </c>
      <c r="Z515" s="10" t="str">
        <f t="shared" ref="Z515:Z578" si="313">IFERROR(P515/U515,"NA")</f>
        <v>NA</v>
      </c>
      <c r="AA515" s="10" t="str">
        <f t="shared" ref="AA515:AA578" si="314">IFERROR(P515/V515,"NA")</f>
        <v>NA</v>
      </c>
      <c r="AB515" s="10" t="str">
        <f t="shared" ref="AB515:AB578" si="315">IFERROR(Q515/R515,"NA")</f>
        <v>NA</v>
      </c>
      <c r="AC515" s="10" t="str">
        <f t="shared" ref="AC515:AC578" si="316">IFERROR(Q515/S515,"NA")</f>
        <v>NA</v>
      </c>
      <c r="AD515" s="10" t="str">
        <f t="shared" ref="AD515:AD578" si="317">IFERROR(Q515/T515,"NA")</f>
        <v>NA</v>
      </c>
      <c r="AE515" s="10" t="str">
        <f t="shared" ref="AE515:AE578" si="318">IFERROR(Q515/X515,"NA")</f>
        <v>NA</v>
      </c>
      <c r="AF515" s="1" t="s">
        <v>4862</v>
      </c>
    </row>
    <row r="516" spans="1:32" x14ac:dyDescent="0.2">
      <c r="A516" s="1" t="s">
        <v>4882</v>
      </c>
      <c r="B516" s="1" t="s">
        <v>183</v>
      </c>
      <c r="C516" s="1" t="s">
        <v>1575</v>
      </c>
      <c r="D516" s="1" t="s">
        <v>1600</v>
      </c>
      <c r="E516" s="1" t="s">
        <v>2991</v>
      </c>
      <c r="F516" s="1" t="s">
        <v>120</v>
      </c>
      <c r="G516" s="13">
        <f>100%-85%</f>
        <v>0.15000000000000002</v>
      </c>
      <c r="H516" s="28">
        <v>42369</v>
      </c>
      <c r="I516" s="29">
        <f t="shared" ref="I516:I517" si="319">YEAR(H516)</f>
        <v>2015</v>
      </c>
      <c r="J516" s="1" t="s">
        <v>5577</v>
      </c>
      <c r="K516" s="1" t="s">
        <v>7</v>
      </c>
      <c r="L516" s="11" t="str">
        <f t="shared" ref="L516:L517" si="320">IF(OR(A516=J516,A516=K516),"ДА","НЕТ")</f>
        <v>НЕТ</v>
      </c>
      <c r="M516" s="10" t="s">
        <v>1575</v>
      </c>
      <c r="N516" s="10" t="s">
        <v>1575</v>
      </c>
      <c r="O516" s="10" t="s">
        <v>1575</v>
      </c>
      <c r="P516" s="10" t="str">
        <f t="shared" si="309"/>
        <v>NA</v>
      </c>
      <c r="Q516" s="10" t="str">
        <f t="shared" si="310"/>
        <v>NA</v>
      </c>
      <c r="R516" s="10" t="s">
        <v>1575</v>
      </c>
      <c r="S516" s="10" t="s">
        <v>1575</v>
      </c>
      <c r="T516" s="10" t="s">
        <v>1575</v>
      </c>
      <c r="U516" s="10" t="s">
        <v>1575</v>
      </c>
      <c r="V516" s="10">
        <v>-5.7169999999999996</v>
      </c>
      <c r="W516" s="10">
        <f>9.104-0.012</f>
        <v>9.0919999999999987</v>
      </c>
      <c r="X516" s="10">
        <f t="shared" si="311"/>
        <v>3.3749999999999991</v>
      </c>
      <c r="Y516" s="10" t="str">
        <f t="shared" si="312"/>
        <v>NA</v>
      </c>
      <c r="Z516" s="10" t="str">
        <f t="shared" si="313"/>
        <v>NA</v>
      </c>
      <c r="AA516" s="10" t="str">
        <f t="shared" si="314"/>
        <v>NA</v>
      </c>
      <c r="AB516" s="10" t="str">
        <f t="shared" si="315"/>
        <v>NA</v>
      </c>
      <c r="AC516" s="10" t="str">
        <f t="shared" si="316"/>
        <v>NA</v>
      </c>
      <c r="AD516" s="10" t="str">
        <f t="shared" si="317"/>
        <v>NA</v>
      </c>
      <c r="AE516" s="10" t="str">
        <f t="shared" si="318"/>
        <v>NA</v>
      </c>
      <c r="AF516" s="1" t="s">
        <v>4879</v>
      </c>
    </row>
    <row r="517" spans="1:32" x14ac:dyDescent="0.2">
      <c r="A517" s="1" t="s">
        <v>4882</v>
      </c>
      <c r="B517" s="1" t="s">
        <v>183</v>
      </c>
      <c r="C517" s="1" t="s">
        <v>1575</v>
      </c>
      <c r="D517" s="1" t="s">
        <v>1600</v>
      </c>
      <c r="E517" s="1" t="s">
        <v>2991</v>
      </c>
      <c r="F517" s="1" t="s">
        <v>120</v>
      </c>
      <c r="G517" s="13">
        <v>0.85</v>
      </c>
      <c r="H517" s="28">
        <v>42187</v>
      </c>
      <c r="I517" s="29">
        <f t="shared" si="319"/>
        <v>2015</v>
      </c>
      <c r="J517" s="1" t="s">
        <v>5577</v>
      </c>
      <c r="K517" s="1" t="s">
        <v>7</v>
      </c>
      <c r="L517" s="11" t="str">
        <f t="shared" si="320"/>
        <v>НЕТ</v>
      </c>
      <c r="M517" s="10" t="s">
        <v>1575</v>
      </c>
      <c r="N517" s="10" t="s">
        <v>1575</v>
      </c>
      <c r="O517" s="10">
        <v>12.102</v>
      </c>
      <c r="P517" s="10">
        <f t="shared" si="309"/>
        <v>14.23764705882353</v>
      </c>
      <c r="Q517" s="10">
        <f t="shared" si="310"/>
        <v>23.329647058823529</v>
      </c>
      <c r="R517" s="10" t="s">
        <v>1575</v>
      </c>
      <c r="S517" s="10" t="s">
        <v>1575</v>
      </c>
      <c r="T517" s="10" t="s">
        <v>1575</v>
      </c>
      <c r="U517" s="10" t="s">
        <v>1575</v>
      </c>
      <c r="V517" s="10">
        <v>-5.7169999999999996</v>
      </c>
      <c r="W517" s="10">
        <f>9.104-0.012</f>
        <v>9.0919999999999987</v>
      </c>
      <c r="X517" s="10">
        <f t="shared" si="311"/>
        <v>3.3749999999999991</v>
      </c>
      <c r="Y517" s="10" t="str">
        <f t="shared" si="312"/>
        <v>NA</v>
      </c>
      <c r="Z517" s="10" t="str">
        <f t="shared" si="313"/>
        <v>NA</v>
      </c>
      <c r="AA517" s="10">
        <f t="shared" si="314"/>
        <v>-2.4904052927800473</v>
      </c>
      <c r="AB517" s="10" t="str">
        <f t="shared" si="315"/>
        <v>NA</v>
      </c>
      <c r="AC517" s="10" t="str">
        <f t="shared" si="316"/>
        <v>NA</v>
      </c>
      <c r="AD517" s="10" t="str">
        <f t="shared" si="317"/>
        <v>NA</v>
      </c>
      <c r="AE517" s="10">
        <f t="shared" si="318"/>
        <v>6.9124880174291956</v>
      </c>
      <c r="AF517" s="1" t="s">
        <v>4878</v>
      </c>
    </row>
    <row r="518" spans="1:32" x14ac:dyDescent="0.2">
      <c r="A518" s="1" t="s">
        <v>4868</v>
      </c>
      <c r="B518" s="1" t="s">
        <v>5</v>
      </c>
      <c r="C518" s="1" t="s">
        <v>1575</v>
      </c>
      <c r="D518" s="1" t="s">
        <v>1580</v>
      </c>
      <c r="E518" s="1" t="s">
        <v>1694</v>
      </c>
      <c r="F518" s="1" t="s">
        <v>4719</v>
      </c>
      <c r="G518" s="14" t="s">
        <v>3394</v>
      </c>
      <c r="H518" s="28">
        <v>41973</v>
      </c>
      <c r="I518" s="29">
        <f t="shared" ref="I518:I529" si="321">YEAR(H518)</f>
        <v>2014</v>
      </c>
      <c r="J518" s="1" t="s">
        <v>5575</v>
      </c>
      <c r="K518" s="1" t="s">
        <v>4844</v>
      </c>
      <c r="L518" s="11" t="str">
        <f t="shared" ref="L518" si="322">IF(OR(A518=J518,A518=K518),"ДА","НЕТ")</f>
        <v>НЕТ</v>
      </c>
      <c r="M518" s="10" t="s">
        <v>1575</v>
      </c>
      <c r="N518" s="10" t="s">
        <v>1575</v>
      </c>
      <c r="O518" s="10" t="s">
        <v>1575</v>
      </c>
      <c r="P518" s="10" t="str">
        <f t="shared" si="309"/>
        <v>NA</v>
      </c>
      <c r="Q518" s="10" t="str">
        <f t="shared" si="310"/>
        <v>NA</v>
      </c>
      <c r="R518" s="10" t="s">
        <v>1575</v>
      </c>
      <c r="S518" s="10" t="s">
        <v>1575</v>
      </c>
      <c r="T518" s="10" t="s">
        <v>1575</v>
      </c>
      <c r="U518" s="10" t="s">
        <v>1575</v>
      </c>
      <c r="V518" s="10" t="s">
        <v>1575</v>
      </c>
      <c r="W518" s="10" t="s">
        <v>1575</v>
      </c>
      <c r="X518" s="10" t="str">
        <f t="shared" si="311"/>
        <v>NA</v>
      </c>
      <c r="Y518" s="10" t="str">
        <f t="shared" si="312"/>
        <v>NA</v>
      </c>
      <c r="Z518" s="10" t="str">
        <f t="shared" si="313"/>
        <v>NA</v>
      </c>
      <c r="AA518" s="10" t="str">
        <f t="shared" si="314"/>
        <v>NA</v>
      </c>
      <c r="AB518" s="10" t="str">
        <f t="shared" si="315"/>
        <v>NA</v>
      </c>
      <c r="AC518" s="10" t="str">
        <f t="shared" si="316"/>
        <v>NA</v>
      </c>
      <c r="AD518" s="10" t="str">
        <f t="shared" si="317"/>
        <v>NA</v>
      </c>
      <c r="AE518" s="10" t="str">
        <f t="shared" si="318"/>
        <v>NA</v>
      </c>
      <c r="AF518" s="1" t="s">
        <v>4871</v>
      </c>
    </row>
    <row r="519" spans="1:32" x14ac:dyDescent="0.2">
      <c r="A519" s="1" t="s">
        <v>5569</v>
      </c>
      <c r="B519" s="1" t="s">
        <v>5</v>
      </c>
      <c r="C519" s="1" t="s">
        <v>1575</v>
      </c>
      <c r="D519" s="1" t="s">
        <v>1601</v>
      </c>
      <c r="E519" s="1" t="s">
        <v>1608</v>
      </c>
      <c r="F519" s="1" t="s">
        <v>110</v>
      </c>
      <c r="G519" s="13" t="s">
        <v>1575</v>
      </c>
      <c r="H519" s="28">
        <v>41844</v>
      </c>
      <c r="I519" s="29">
        <f t="shared" si="321"/>
        <v>2014</v>
      </c>
      <c r="J519" s="1" t="s">
        <v>4844</v>
      </c>
      <c r="K519" s="1" t="s">
        <v>7</v>
      </c>
      <c r="L519" s="11" t="str">
        <f t="shared" ref="L519" si="323">IF(OR(A519=J519,A519=K519),"ДА","НЕТ")</f>
        <v>НЕТ</v>
      </c>
      <c r="M519" s="10" t="s">
        <v>1575</v>
      </c>
      <c r="N519" s="10" t="s">
        <v>1575</v>
      </c>
      <c r="O519" s="10">
        <v>2.5430000000000001</v>
      </c>
      <c r="P519" s="10" t="str">
        <f t="shared" si="309"/>
        <v>NA</v>
      </c>
      <c r="Q519" s="10" t="str">
        <f t="shared" si="310"/>
        <v>NA</v>
      </c>
      <c r="R519" s="10" t="s">
        <v>1575</v>
      </c>
      <c r="S519" s="10" t="s">
        <v>1575</v>
      </c>
      <c r="T519" s="10" t="s">
        <v>1575</v>
      </c>
      <c r="U519" s="10" t="s">
        <v>1575</v>
      </c>
      <c r="V519" s="10">
        <v>1.9570000000000001</v>
      </c>
      <c r="W519" s="10">
        <f>0.001</f>
        <v>1E-3</v>
      </c>
      <c r="X519" s="10">
        <f t="shared" si="311"/>
        <v>1.958</v>
      </c>
      <c r="Y519" s="10" t="str">
        <f t="shared" si="312"/>
        <v>NA</v>
      </c>
      <c r="Z519" s="10" t="str">
        <f t="shared" si="313"/>
        <v>NA</v>
      </c>
      <c r="AA519" s="10" t="str">
        <f t="shared" si="314"/>
        <v>NA</v>
      </c>
      <c r="AB519" s="10" t="str">
        <f t="shared" si="315"/>
        <v>NA</v>
      </c>
      <c r="AC519" s="10" t="str">
        <f t="shared" si="316"/>
        <v>NA</v>
      </c>
      <c r="AD519" s="10" t="str">
        <f t="shared" si="317"/>
        <v>NA</v>
      </c>
      <c r="AE519" s="10" t="str">
        <f t="shared" si="318"/>
        <v>NA</v>
      </c>
      <c r="AF519" s="1" t="s">
        <v>4884</v>
      </c>
    </row>
    <row r="520" spans="1:32" x14ac:dyDescent="0.2">
      <c r="A520" s="1" t="s">
        <v>5572</v>
      </c>
      <c r="B520" s="1" t="s">
        <v>5</v>
      </c>
      <c r="C520" s="1" t="s">
        <v>1575</v>
      </c>
      <c r="D520" s="1" t="s">
        <v>1584</v>
      </c>
      <c r="E520" s="1" t="s">
        <v>3486</v>
      </c>
      <c r="F520" s="1" t="s">
        <v>4886</v>
      </c>
      <c r="G520" s="13">
        <v>1</v>
      </c>
      <c r="H520" s="28">
        <v>41849</v>
      </c>
      <c r="I520" s="29">
        <f t="shared" si="321"/>
        <v>2014</v>
      </c>
      <c r="J520" s="1" t="s">
        <v>4844</v>
      </c>
      <c r="K520" s="1" t="s">
        <v>7</v>
      </c>
      <c r="L520" s="11" t="str">
        <f t="shared" ref="L520:L522" si="324">IF(OR(A520=J520,A520=K520),"ДА","НЕТ")</f>
        <v>НЕТ</v>
      </c>
      <c r="M520" s="10" t="s">
        <v>1575</v>
      </c>
      <c r="N520" s="10" t="s">
        <v>1575</v>
      </c>
      <c r="O520" s="10">
        <v>1.851</v>
      </c>
      <c r="P520" s="10">
        <f t="shared" si="309"/>
        <v>1.851</v>
      </c>
      <c r="Q520" s="10">
        <f t="shared" si="310"/>
        <v>1.851</v>
      </c>
      <c r="R520" s="10" t="s">
        <v>1575</v>
      </c>
      <c r="S520" s="10" t="s">
        <v>1575</v>
      </c>
      <c r="T520" s="10" t="s">
        <v>1575</v>
      </c>
      <c r="U520" s="10" t="s">
        <v>1575</v>
      </c>
      <c r="V520" s="10">
        <v>1.851</v>
      </c>
      <c r="W520" s="10">
        <v>0</v>
      </c>
      <c r="X520" s="10">
        <f t="shared" si="311"/>
        <v>1.851</v>
      </c>
      <c r="Y520" s="10" t="str">
        <f t="shared" si="312"/>
        <v>NA</v>
      </c>
      <c r="Z520" s="10" t="str">
        <f t="shared" si="313"/>
        <v>NA</v>
      </c>
      <c r="AA520" s="10">
        <f t="shared" si="314"/>
        <v>1</v>
      </c>
      <c r="AB520" s="10" t="str">
        <f t="shared" si="315"/>
        <v>NA</v>
      </c>
      <c r="AC520" s="10" t="str">
        <f t="shared" si="316"/>
        <v>NA</v>
      </c>
      <c r="AD520" s="10" t="str">
        <f t="shared" si="317"/>
        <v>NA</v>
      </c>
      <c r="AE520" s="10">
        <f t="shared" si="318"/>
        <v>1</v>
      </c>
      <c r="AF520" s="1" t="s">
        <v>4885</v>
      </c>
    </row>
    <row r="521" spans="1:32" x14ac:dyDescent="0.2">
      <c r="A521" s="1" t="s">
        <v>5566</v>
      </c>
      <c r="B521" s="1" t="s">
        <v>91</v>
      </c>
      <c r="C521" s="1" t="s">
        <v>1575</v>
      </c>
      <c r="D521" s="1" t="s">
        <v>1580</v>
      </c>
      <c r="E521" s="1" t="s">
        <v>1694</v>
      </c>
      <c r="F521" s="1" t="s">
        <v>4719</v>
      </c>
      <c r="G521" s="13" t="s">
        <v>1575</v>
      </c>
      <c r="H521" s="28">
        <v>41729</v>
      </c>
      <c r="I521" s="29">
        <f t="shared" si="321"/>
        <v>2014</v>
      </c>
      <c r="J521" s="1" t="s">
        <v>7</v>
      </c>
      <c r="K521" s="1" t="s">
        <v>5566</v>
      </c>
      <c r="L521" s="11" t="str">
        <f t="shared" si="324"/>
        <v>ДА</v>
      </c>
      <c r="M521" s="10" t="s">
        <v>1575</v>
      </c>
      <c r="N521" s="10" t="s">
        <v>1575</v>
      </c>
      <c r="O521" s="10" t="s">
        <v>1575</v>
      </c>
      <c r="P521" s="10" t="str">
        <f t="shared" si="309"/>
        <v>NA</v>
      </c>
      <c r="Q521" s="10" t="str">
        <f t="shared" si="310"/>
        <v>NA</v>
      </c>
      <c r="R521" s="10" t="s">
        <v>1575</v>
      </c>
      <c r="S521" s="10" t="s">
        <v>1575</v>
      </c>
      <c r="T521" s="10" t="s">
        <v>1575</v>
      </c>
      <c r="U521" s="10">
        <v>-7.3999999999999996E-2</v>
      </c>
      <c r="V521" s="10">
        <f>156.777-137.58</f>
        <v>19.196999999999974</v>
      </c>
      <c r="W521" s="10" t="s">
        <v>1575</v>
      </c>
      <c r="X521" s="10" t="str">
        <f t="shared" si="311"/>
        <v>NA</v>
      </c>
      <c r="Y521" s="10" t="str">
        <f t="shared" si="312"/>
        <v>NA</v>
      </c>
      <c r="Z521" s="10" t="str">
        <f t="shared" si="313"/>
        <v>NA</v>
      </c>
      <c r="AA521" s="10" t="str">
        <f t="shared" si="314"/>
        <v>NA</v>
      </c>
      <c r="AB521" s="10" t="str">
        <f t="shared" si="315"/>
        <v>NA</v>
      </c>
      <c r="AC521" s="10" t="str">
        <f t="shared" si="316"/>
        <v>NA</v>
      </c>
      <c r="AD521" s="10" t="str">
        <f t="shared" si="317"/>
        <v>NA</v>
      </c>
      <c r="AE521" s="10" t="str">
        <f t="shared" si="318"/>
        <v>NA</v>
      </c>
      <c r="AF521" s="1" t="s">
        <v>4880</v>
      </c>
    </row>
    <row r="522" spans="1:32" x14ac:dyDescent="0.2">
      <c r="A522" s="1" t="s">
        <v>5566</v>
      </c>
      <c r="B522" s="1" t="s">
        <v>91</v>
      </c>
      <c r="C522" s="1" t="s">
        <v>1575</v>
      </c>
      <c r="D522" s="1" t="s">
        <v>1580</v>
      </c>
      <c r="E522" s="1" t="s">
        <v>1694</v>
      </c>
      <c r="F522" s="1" t="s">
        <v>4719</v>
      </c>
      <c r="G522" s="13" t="s">
        <v>1575</v>
      </c>
      <c r="H522" s="28">
        <v>42004</v>
      </c>
      <c r="I522" s="29">
        <f t="shared" si="321"/>
        <v>2014</v>
      </c>
      <c r="J522" s="1" t="s">
        <v>5566</v>
      </c>
      <c r="K522" s="1" t="s">
        <v>7</v>
      </c>
      <c r="L522" s="11" t="str">
        <f t="shared" si="324"/>
        <v>ДА</v>
      </c>
      <c r="M522" s="10" t="s">
        <v>1575</v>
      </c>
      <c r="N522" s="10" t="s">
        <v>1575</v>
      </c>
      <c r="O522" s="10" t="s">
        <v>1575</v>
      </c>
      <c r="P522" s="10" t="str">
        <f t="shared" si="309"/>
        <v>NA</v>
      </c>
      <c r="Q522" s="10" t="str">
        <f t="shared" si="310"/>
        <v>NA</v>
      </c>
      <c r="R522" s="10" t="s">
        <v>1575</v>
      </c>
      <c r="S522" s="10" t="s">
        <v>1575</v>
      </c>
      <c r="T522" s="10" t="s">
        <v>1575</v>
      </c>
      <c r="U522" s="10">
        <v>-7.3999999999999996E-2</v>
      </c>
      <c r="V522" s="10">
        <f>156.777-137.58</f>
        <v>19.196999999999974</v>
      </c>
      <c r="W522" s="10" t="s">
        <v>1575</v>
      </c>
      <c r="X522" s="10" t="str">
        <f t="shared" si="311"/>
        <v>NA</v>
      </c>
      <c r="Y522" s="10" t="str">
        <f t="shared" si="312"/>
        <v>NA</v>
      </c>
      <c r="Z522" s="10" t="str">
        <f t="shared" si="313"/>
        <v>NA</v>
      </c>
      <c r="AA522" s="10" t="str">
        <f t="shared" si="314"/>
        <v>NA</v>
      </c>
      <c r="AB522" s="10" t="str">
        <f t="shared" si="315"/>
        <v>NA</v>
      </c>
      <c r="AC522" s="10" t="str">
        <f t="shared" si="316"/>
        <v>NA</v>
      </c>
      <c r="AD522" s="10" t="str">
        <f t="shared" si="317"/>
        <v>NA</v>
      </c>
      <c r="AE522" s="10" t="str">
        <f t="shared" si="318"/>
        <v>NA</v>
      </c>
      <c r="AF522" s="1" t="s">
        <v>4881</v>
      </c>
    </row>
    <row r="523" spans="1:32" x14ac:dyDescent="0.2">
      <c r="A523" s="1" t="s">
        <v>5578</v>
      </c>
      <c r="B523" s="1" t="s">
        <v>5</v>
      </c>
      <c r="C523" s="1" t="s">
        <v>1575</v>
      </c>
      <c r="D523" s="1" t="s">
        <v>1582</v>
      </c>
      <c r="E523" s="1" t="s">
        <v>1587</v>
      </c>
      <c r="F523" s="1" t="s">
        <v>4891</v>
      </c>
      <c r="G523" s="13">
        <v>0.32450000000000001</v>
      </c>
      <c r="H523" s="28">
        <v>41670</v>
      </c>
      <c r="I523" s="29">
        <f t="shared" si="321"/>
        <v>2014</v>
      </c>
      <c r="J523" s="1" t="s">
        <v>4844</v>
      </c>
      <c r="K523" s="1" t="s">
        <v>7</v>
      </c>
      <c r="L523" s="11" t="str">
        <f t="shared" ref="L523" si="325">IF(OR(A523=J523,A523=K523),"ДА","НЕТ")</f>
        <v>НЕТ</v>
      </c>
      <c r="M523" s="10" t="s">
        <v>1575</v>
      </c>
      <c r="N523" s="10" t="s">
        <v>1575</v>
      </c>
      <c r="O523" s="10">
        <v>4.8000000000000001E-2</v>
      </c>
      <c r="P523" s="10">
        <f t="shared" si="309"/>
        <v>0.14791987673343604</v>
      </c>
      <c r="Q523" s="10" t="str">
        <f t="shared" si="310"/>
        <v>NA</v>
      </c>
      <c r="R523" s="10" t="s">
        <v>1575</v>
      </c>
      <c r="S523" s="10" t="s">
        <v>1575</v>
      </c>
      <c r="T523" s="10" t="s">
        <v>1575</v>
      </c>
      <c r="U523" s="10" t="s">
        <v>1575</v>
      </c>
      <c r="V523" s="10" t="s">
        <v>1575</v>
      </c>
      <c r="W523" s="10" t="s">
        <v>1575</v>
      </c>
      <c r="X523" s="10" t="str">
        <f t="shared" si="311"/>
        <v>NA</v>
      </c>
      <c r="Y523" s="10" t="str">
        <f t="shared" si="312"/>
        <v>NA</v>
      </c>
      <c r="Z523" s="10" t="str">
        <f t="shared" si="313"/>
        <v>NA</v>
      </c>
      <c r="AA523" s="10" t="str">
        <f t="shared" si="314"/>
        <v>NA</v>
      </c>
      <c r="AB523" s="10" t="str">
        <f t="shared" si="315"/>
        <v>NA</v>
      </c>
      <c r="AC523" s="10" t="str">
        <f t="shared" si="316"/>
        <v>NA</v>
      </c>
      <c r="AD523" s="10" t="str">
        <f t="shared" si="317"/>
        <v>NA</v>
      </c>
      <c r="AE523" s="10" t="str">
        <f t="shared" si="318"/>
        <v>NA</v>
      </c>
      <c r="AF523" s="1" t="s">
        <v>4873</v>
      </c>
    </row>
    <row r="524" spans="1:32" x14ac:dyDescent="0.2">
      <c r="A524" s="1" t="s">
        <v>4868</v>
      </c>
      <c r="B524" s="1" t="s">
        <v>5</v>
      </c>
      <c r="C524" s="1" t="s">
        <v>1575</v>
      </c>
      <c r="D524" s="1" t="s">
        <v>1580</v>
      </c>
      <c r="E524" s="1" t="s">
        <v>1694</v>
      </c>
      <c r="F524" s="1" t="s">
        <v>4719</v>
      </c>
      <c r="G524" s="13" t="s">
        <v>1575</v>
      </c>
      <c r="H524" s="28">
        <v>41759</v>
      </c>
      <c r="I524" s="29">
        <f t="shared" si="321"/>
        <v>2014</v>
      </c>
      <c r="J524" s="1" t="s">
        <v>4844</v>
      </c>
      <c r="K524" s="1" t="s">
        <v>7</v>
      </c>
      <c r="L524" s="11" t="str">
        <f t="shared" ref="L524:L528" si="326">IF(OR(A524=J524,A524=K524),"ДА","НЕТ")</f>
        <v>НЕТ</v>
      </c>
      <c r="M524" s="10" t="s">
        <v>1575</v>
      </c>
      <c r="N524" s="10" t="s">
        <v>1575</v>
      </c>
      <c r="O524" s="10">
        <v>1.7</v>
      </c>
      <c r="P524" s="10" t="str">
        <f t="shared" si="309"/>
        <v>NA</v>
      </c>
      <c r="Q524" s="10" t="str">
        <f t="shared" si="310"/>
        <v>NA</v>
      </c>
      <c r="R524" s="10" t="s">
        <v>1575</v>
      </c>
      <c r="S524" s="10" t="s">
        <v>1575</v>
      </c>
      <c r="T524" s="10" t="s">
        <v>1575</v>
      </c>
      <c r="U524" s="10" t="s">
        <v>1575</v>
      </c>
      <c r="V524" s="10" t="s">
        <v>1575</v>
      </c>
      <c r="W524" s="10" t="s">
        <v>1575</v>
      </c>
      <c r="X524" s="10" t="str">
        <f t="shared" si="311"/>
        <v>NA</v>
      </c>
      <c r="Y524" s="10" t="str">
        <f t="shared" si="312"/>
        <v>NA</v>
      </c>
      <c r="Z524" s="10" t="str">
        <f t="shared" si="313"/>
        <v>NA</v>
      </c>
      <c r="AA524" s="10" t="str">
        <f t="shared" si="314"/>
        <v>NA</v>
      </c>
      <c r="AB524" s="10" t="str">
        <f t="shared" si="315"/>
        <v>NA</v>
      </c>
      <c r="AC524" s="10" t="str">
        <f t="shared" si="316"/>
        <v>NA</v>
      </c>
      <c r="AD524" s="10" t="str">
        <f t="shared" si="317"/>
        <v>NA</v>
      </c>
      <c r="AE524" s="10" t="str">
        <f t="shared" si="318"/>
        <v>NA</v>
      </c>
      <c r="AF524" s="1" t="s">
        <v>4874</v>
      </c>
    </row>
    <row r="525" spans="1:32" x14ac:dyDescent="0.2">
      <c r="A525" s="1" t="s">
        <v>5572</v>
      </c>
      <c r="B525" s="1" t="s">
        <v>5</v>
      </c>
      <c r="C525" s="1" t="s">
        <v>1575</v>
      </c>
      <c r="D525" s="1" t="s">
        <v>1584</v>
      </c>
      <c r="E525" s="1" t="s">
        <v>3486</v>
      </c>
      <c r="F525" s="1" t="s">
        <v>4886</v>
      </c>
      <c r="G525" s="13">
        <v>1</v>
      </c>
      <c r="H525" s="28">
        <v>41850</v>
      </c>
      <c r="I525" s="29">
        <f t="shared" si="321"/>
        <v>2014</v>
      </c>
      <c r="J525" s="1" t="s">
        <v>4844</v>
      </c>
      <c r="K525" s="1" t="s">
        <v>7</v>
      </c>
      <c r="L525" s="11" t="str">
        <f t="shared" si="326"/>
        <v>НЕТ</v>
      </c>
      <c r="M525" s="10" t="s">
        <v>1575</v>
      </c>
      <c r="N525" s="10" t="s">
        <v>1575</v>
      </c>
      <c r="O525" s="10" t="s">
        <v>1575</v>
      </c>
      <c r="P525" s="10" t="str">
        <f t="shared" si="309"/>
        <v>NA</v>
      </c>
      <c r="Q525" s="10" t="str">
        <f t="shared" si="310"/>
        <v>NA</v>
      </c>
      <c r="R525" s="10" t="s">
        <v>1575</v>
      </c>
      <c r="S525" s="10" t="s">
        <v>1575</v>
      </c>
      <c r="T525" s="10" t="s">
        <v>1575</v>
      </c>
      <c r="U525" s="10" t="s">
        <v>1575</v>
      </c>
      <c r="V525" s="10" t="s">
        <v>1575</v>
      </c>
      <c r="W525" s="10" t="s">
        <v>1575</v>
      </c>
      <c r="X525" s="10" t="str">
        <f t="shared" si="311"/>
        <v>NA</v>
      </c>
      <c r="Y525" s="10" t="str">
        <f t="shared" si="312"/>
        <v>NA</v>
      </c>
      <c r="Z525" s="10" t="str">
        <f t="shared" si="313"/>
        <v>NA</v>
      </c>
      <c r="AA525" s="10" t="str">
        <f t="shared" si="314"/>
        <v>NA</v>
      </c>
      <c r="AB525" s="10" t="str">
        <f t="shared" si="315"/>
        <v>NA</v>
      </c>
      <c r="AC525" s="10" t="str">
        <f t="shared" si="316"/>
        <v>NA</v>
      </c>
      <c r="AD525" s="10" t="str">
        <f t="shared" si="317"/>
        <v>NA</v>
      </c>
      <c r="AE525" s="10" t="str">
        <f t="shared" si="318"/>
        <v>NA</v>
      </c>
      <c r="AF525" s="1" t="s">
        <v>4875</v>
      </c>
    </row>
    <row r="526" spans="1:32" x14ac:dyDescent="0.2">
      <c r="A526" s="1" t="s">
        <v>5568</v>
      </c>
      <c r="B526" s="1" t="s">
        <v>5</v>
      </c>
      <c r="C526" s="1" t="s">
        <v>1575</v>
      </c>
      <c r="D526" s="1" t="s">
        <v>1580</v>
      </c>
      <c r="E526" s="1" t="s">
        <v>1694</v>
      </c>
      <c r="F526" s="1" t="s">
        <v>4719</v>
      </c>
      <c r="G526" s="13" t="s">
        <v>1575</v>
      </c>
      <c r="H526" s="28">
        <v>41943</v>
      </c>
      <c r="I526" s="29">
        <f t="shared" si="321"/>
        <v>2014</v>
      </c>
      <c r="J526" s="1" t="s">
        <v>4844</v>
      </c>
      <c r="K526" s="1" t="s">
        <v>7</v>
      </c>
      <c r="L526" s="11" t="str">
        <f t="shared" si="326"/>
        <v>НЕТ</v>
      </c>
      <c r="M526" s="10" t="s">
        <v>1575</v>
      </c>
      <c r="N526" s="10" t="s">
        <v>1575</v>
      </c>
      <c r="O526" s="10">
        <v>2.0590000000000002</v>
      </c>
      <c r="P526" s="10" t="str">
        <f t="shared" si="309"/>
        <v>NA</v>
      </c>
      <c r="Q526" s="10" t="str">
        <f t="shared" si="310"/>
        <v>NA</v>
      </c>
      <c r="R526" s="10" t="s">
        <v>1575</v>
      </c>
      <c r="S526" s="10" t="s">
        <v>1575</v>
      </c>
      <c r="T526" s="10" t="s">
        <v>1575</v>
      </c>
      <c r="U526" s="10" t="s">
        <v>1575</v>
      </c>
      <c r="V526" s="10" t="s">
        <v>1575</v>
      </c>
      <c r="W526" s="10" t="s">
        <v>1575</v>
      </c>
      <c r="X526" s="10" t="str">
        <f t="shared" si="311"/>
        <v>NA</v>
      </c>
      <c r="Y526" s="10" t="str">
        <f t="shared" si="312"/>
        <v>NA</v>
      </c>
      <c r="Z526" s="10" t="str">
        <f t="shared" si="313"/>
        <v>NA</v>
      </c>
      <c r="AA526" s="10" t="str">
        <f t="shared" si="314"/>
        <v>NA</v>
      </c>
      <c r="AB526" s="10" t="str">
        <f t="shared" si="315"/>
        <v>NA</v>
      </c>
      <c r="AC526" s="10" t="str">
        <f t="shared" si="316"/>
        <v>NA</v>
      </c>
      <c r="AD526" s="10" t="str">
        <f t="shared" si="317"/>
        <v>NA</v>
      </c>
      <c r="AE526" s="10" t="str">
        <f t="shared" si="318"/>
        <v>NA</v>
      </c>
      <c r="AF526" s="1" t="s">
        <v>4876</v>
      </c>
    </row>
    <row r="527" spans="1:32" x14ac:dyDescent="0.2">
      <c r="A527" s="1" t="s">
        <v>5575</v>
      </c>
      <c r="B527" s="1" t="s">
        <v>5</v>
      </c>
      <c r="C527" s="1" t="s">
        <v>1575</v>
      </c>
      <c r="D527" s="1" t="s">
        <v>1580</v>
      </c>
      <c r="E527" s="1" t="s">
        <v>1581</v>
      </c>
      <c r="F527" s="1" t="s">
        <v>67</v>
      </c>
      <c r="G527" s="13" t="s">
        <v>1575</v>
      </c>
      <c r="H527" s="28">
        <v>41943</v>
      </c>
      <c r="I527" s="29">
        <f t="shared" si="321"/>
        <v>2014</v>
      </c>
      <c r="J527" s="1" t="s">
        <v>4844</v>
      </c>
      <c r="K527" s="1" t="s">
        <v>7</v>
      </c>
      <c r="L527" s="11" t="str">
        <f t="shared" si="326"/>
        <v>НЕТ</v>
      </c>
      <c r="M527" s="10" t="s">
        <v>1575</v>
      </c>
      <c r="N527" s="10" t="s">
        <v>1575</v>
      </c>
      <c r="O527" s="10">
        <v>1.3759999999999999</v>
      </c>
      <c r="P527" s="10" t="str">
        <f t="shared" si="309"/>
        <v>NA</v>
      </c>
      <c r="Q527" s="10" t="str">
        <f t="shared" si="310"/>
        <v>NA</v>
      </c>
      <c r="R527" s="10" t="s">
        <v>1575</v>
      </c>
      <c r="S527" s="10" t="s">
        <v>1575</v>
      </c>
      <c r="T527" s="10" t="s">
        <v>1575</v>
      </c>
      <c r="U527" s="10" t="s">
        <v>1575</v>
      </c>
      <c r="V527" s="10" t="s">
        <v>1575</v>
      </c>
      <c r="W527" s="10" t="s">
        <v>1575</v>
      </c>
      <c r="X527" s="10" t="str">
        <f t="shared" si="311"/>
        <v>NA</v>
      </c>
      <c r="Y527" s="10" t="str">
        <f t="shared" si="312"/>
        <v>NA</v>
      </c>
      <c r="Z527" s="10" t="str">
        <f t="shared" si="313"/>
        <v>NA</v>
      </c>
      <c r="AA527" s="10" t="str">
        <f t="shared" si="314"/>
        <v>NA</v>
      </c>
      <c r="AB527" s="10" t="str">
        <f t="shared" si="315"/>
        <v>NA</v>
      </c>
      <c r="AC527" s="10" t="str">
        <f t="shared" si="316"/>
        <v>NA</v>
      </c>
      <c r="AD527" s="10" t="str">
        <f t="shared" si="317"/>
        <v>NA</v>
      </c>
      <c r="AE527" s="10" t="str">
        <f t="shared" si="318"/>
        <v>NA</v>
      </c>
      <c r="AF527" s="1" t="s">
        <v>4877</v>
      </c>
    </row>
    <row r="528" spans="1:32" x14ac:dyDescent="0.2">
      <c r="A528" s="1" t="s">
        <v>5571</v>
      </c>
      <c r="B528" s="1" t="s">
        <v>5</v>
      </c>
      <c r="C528" s="1" t="s">
        <v>1575</v>
      </c>
      <c r="D528" s="1" t="s">
        <v>1580</v>
      </c>
      <c r="E528" s="1" t="s">
        <v>1694</v>
      </c>
      <c r="F528" s="1" t="s">
        <v>4719</v>
      </c>
      <c r="G528" s="13">
        <f>99.65%-99.47%</f>
        <v>1.8000000000000238E-3</v>
      </c>
      <c r="H528" s="28">
        <v>42004</v>
      </c>
      <c r="I528" s="29">
        <f t="shared" si="321"/>
        <v>2014</v>
      </c>
      <c r="J528" s="1" t="s">
        <v>4844</v>
      </c>
      <c r="K528" s="1" t="s">
        <v>7</v>
      </c>
      <c r="L528" s="11" t="str">
        <f t="shared" si="326"/>
        <v>НЕТ</v>
      </c>
      <c r="M528" s="10" t="s">
        <v>1575</v>
      </c>
      <c r="N528" s="10" t="s">
        <v>1575</v>
      </c>
      <c r="O528" s="10">
        <v>10</v>
      </c>
      <c r="P528" s="10">
        <f t="shared" si="309"/>
        <v>5555.555555555482</v>
      </c>
      <c r="Q528" s="10" t="str">
        <f t="shared" si="310"/>
        <v>NA</v>
      </c>
      <c r="R528" s="10" t="s">
        <v>1575</v>
      </c>
      <c r="S528" s="10" t="s">
        <v>1575</v>
      </c>
      <c r="T528" s="10" t="s">
        <v>1575</v>
      </c>
      <c r="U528" s="10" t="s">
        <v>1575</v>
      </c>
      <c r="V528" s="10" t="s">
        <v>1575</v>
      </c>
      <c r="W528" s="10" t="s">
        <v>1575</v>
      </c>
      <c r="X528" s="10" t="str">
        <f t="shared" si="311"/>
        <v>NA</v>
      </c>
      <c r="Y528" s="10" t="str">
        <f t="shared" si="312"/>
        <v>NA</v>
      </c>
      <c r="Z528" s="10" t="str">
        <f t="shared" si="313"/>
        <v>NA</v>
      </c>
      <c r="AA528" s="10" t="str">
        <f t="shared" si="314"/>
        <v>NA</v>
      </c>
      <c r="AB528" s="10" t="str">
        <f t="shared" si="315"/>
        <v>NA</v>
      </c>
      <c r="AC528" s="10" t="str">
        <f t="shared" si="316"/>
        <v>NA</v>
      </c>
      <c r="AD528" s="10" t="str">
        <f t="shared" si="317"/>
        <v>NA</v>
      </c>
      <c r="AE528" s="10" t="str">
        <f t="shared" si="318"/>
        <v>NA</v>
      </c>
      <c r="AF528" s="1" t="s">
        <v>4892</v>
      </c>
    </row>
    <row r="529" spans="1:32" x14ac:dyDescent="0.2">
      <c r="A529" s="1" t="s">
        <v>4859</v>
      </c>
      <c r="B529" s="1" t="s">
        <v>4852</v>
      </c>
      <c r="C529" s="1" t="s">
        <v>1575</v>
      </c>
      <c r="D529" s="1" t="s">
        <v>1584</v>
      </c>
      <c r="E529" s="1" t="s">
        <v>1586</v>
      </c>
      <c r="F529" s="1" t="s">
        <v>4066</v>
      </c>
      <c r="G529" s="13">
        <v>0.28799999999999998</v>
      </c>
      <c r="H529" s="28">
        <v>41341</v>
      </c>
      <c r="I529" s="29">
        <f t="shared" si="321"/>
        <v>2013</v>
      </c>
      <c r="J529" s="1" t="s">
        <v>5579</v>
      </c>
      <c r="K529" s="1" t="s">
        <v>7</v>
      </c>
      <c r="L529" s="11" t="str">
        <f t="shared" ref="L529:L531" si="327">IF(OR(A529=J529,A529=K529),"ДА","НЕТ")</f>
        <v>НЕТ</v>
      </c>
      <c r="M529" s="10" t="s">
        <v>1575</v>
      </c>
      <c r="N529" s="10" t="s">
        <v>1575</v>
      </c>
      <c r="O529" s="10">
        <v>3.0409999999999999</v>
      </c>
      <c r="P529" s="10">
        <f t="shared" si="309"/>
        <v>10.559027777777779</v>
      </c>
      <c r="Q529" s="10">
        <f t="shared" si="310"/>
        <v>15.736027777777778</v>
      </c>
      <c r="R529" s="10" t="s">
        <v>1575</v>
      </c>
      <c r="S529" s="10" t="s">
        <v>1575</v>
      </c>
      <c r="T529" s="10" t="s">
        <v>1575</v>
      </c>
      <c r="U529" s="10" t="s">
        <v>1575</v>
      </c>
      <c r="V529" s="10">
        <v>13.045</v>
      </c>
      <c r="W529" s="10">
        <f>6.015-0.652-0.186</f>
        <v>5.1769999999999996</v>
      </c>
      <c r="X529" s="10">
        <f t="shared" si="311"/>
        <v>18.222000000000001</v>
      </c>
      <c r="Y529" s="10" t="str">
        <f t="shared" si="312"/>
        <v>NA</v>
      </c>
      <c r="Z529" s="10" t="str">
        <f t="shared" si="313"/>
        <v>NA</v>
      </c>
      <c r="AA529" s="10">
        <f t="shared" si="314"/>
        <v>0.80943102934287303</v>
      </c>
      <c r="AB529" s="10" t="str">
        <f t="shared" si="315"/>
        <v>NA</v>
      </c>
      <c r="AC529" s="10" t="str">
        <f t="shared" si="316"/>
        <v>NA</v>
      </c>
      <c r="AD529" s="10" t="str">
        <f t="shared" si="317"/>
        <v>NA</v>
      </c>
      <c r="AE529" s="10">
        <f t="shared" si="318"/>
        <v>0.86357303137843144</v>
      </c>
      <c r="AF529" s="1" t="s">
        <v>4893</v>
      </c>
    </row>
    <row r="530" spans="1:32" x14ac:dyDescent="0.2">
      <c r="A530" s="1" t="s">
        <v>5566</v>
      </c>
      <c r="B530" s="1" t="s">
        <v>91</v>
      </c>
      <c r="C530" s="1" t="s">
        <v>1575</v>
      </c>
      <c r="D530" s="1" t="s">
        <v>1580</v>
      </c>
      <c r="E530" s="1" t="s">
        <v>1694</v>
      </c>
      <c r="F530" s="1" t="s">
        <v>4719</v>
      </c>
      <c r="G530" s="13" t="s">
        <v>1575</v>
      </c>
      <c r="H530" s="28">
        <v>41455</v>
      </c>
      <c r="I530" s="29">
        <f t="shared" ref="I530:I620" si="328">YEAR(H530)</f>
        <v>2013</v>
      </c>
      <c r="J530" s="1" t="s">
        <v>5566</v>
      </c>
      <c r="K530" s="1" t="s">
        <v>7</v>
      </c>
      <c r="L530" s="11" t="str">
        <f t="shared" si="327"/>
        <v>ДА</v>
      </c>
      <c r="M530" s="10" t="s">
        <v>1575</v>
      </c>
      <c r="N530" s="10" t="s">
        <v>1575</v>
      </c>
      <c r="O530" s="10" t="s">
        <v>1575</v>
      </c>
      <c r="P530" s="10" t="str">
        <f t="shared" si="309"/>
        <v>NA</v>
      </c>
      <c r="Q530" s="10" t="str">
        <f t="shared" si="310"/>
        <v>NA</v>
      </c>
      <c r="R530" s="10" t="s">
        <v>1575</v>
      </c>
      <c r="S530" s="10" t="s">
        <v>1575</v>
      </c>
      <c r="T530" s="10" t="s">
        <v>1575</v>
      </c>
      <c r="U530" s="10">
        <v>-4.3</v>
      </c>
      <c r="V530" s="10">
        <f>143.838-137.278</f>
        <v>6.5600000000000023</v>
      </c>
      <c r="W530" s="10" t="s">
        <v>1575</v>
      </c>
      <c r="X530" s="10" t="str">
        <f t="shared" si="311"/>
        <v>NA</v>
      </c>
      <c r="Y530" s="10" t="str">
        <f t="shared" si="312"/>
        <v>NA</v>
      </c>
      <c r="Z530" s="10" t="str">
        <f t="shared" si="313"/>
        <v>NA</v>
      </c>
      <c r="AA530" s="10" t="str">
        <f t="shared" si="314"/>
        <v>NA</v>
      </c>
      <c r="AB530" s="10" t="str">
        <f t="shared" si="315"/>
        <v>NA</v>
      </c>
      <c r="AC530" s="10" t="str">
        <f t="shared" si="316"/>
        <v>NA</v>
      </c>
      <c r="AD530" s="10" t="str">
        <f t="shared" si="317"/>
        <v>NA</v>
      </c>
      <c r="AE530" s="10" t="str">
        <f t="shared" si="318"/>
        <v>NA</v>
      </c>
      <c r="AF530" s="1" t="s">
        <v>4894</v>
      </c>
    </row>
    <row r="531" spans="1:32" x14ac:dyDescent="0.2">
      <c r="A531" s="1" t="s">
        <v>5580</v>
      </c>
      <c r="B531" s="1" t="s">
        <v>5</v>
      </c>
      <c r="C531" s="1" t="s">
        <v>1575</v>
      </c>
      <c r="D531" s="1" t="s">
        <v>1580</v>
      </c>
      <c r="E531" s="1" t="s">
        <v>1587</v>
      </c>
      <c r="F531" s="1" t="s">
        <v>4870</v>
      </c>
      <c r="G531" s="13" t="s">
        <v>1575</v>
      </c>
      <c r="H531" s="28">
        <v>41333</v>
      </c>
      <c r="I531" s="29">
        <f t="shared" si="328"/>
        <v>2013</v>
      </c>
      <c r="J531" s="1" t="s">
        <v>4844</v>
      </c>
      <c r="K531" s="1" t="s">
        <v>7</v>
      </c>
      <c r="L531" s="11" t="str">
        <f t="shared" si="327"/>
        <v>НЕТ</v>
      </c>
      <c r="M531" s="10" t="s">
        <v>1575</v>
      </c>
      <c r="N531" s="10" t="s">
        <v>1575</v>
      </c>
      <c r="O531" s="10">
        <v>2</v>
      </c>
      <c r="P531" s="10" t="str">
        <f t="shared" si="309"/>
        <v>NA</v>
      </c>
      <c r="Q531" s="10" t="str">
        <f t="shared" si="310"/>
        <v>NA</v>
      </c>
      <c r="R531" s="10" t="s">
        <v>1575</v>
      </c>
      <c r="S531" s="10" t="s">
        <v>1575</v>
      </c>
      <c r="T531" s="10" t="s">
        <v>1575</v>
      </c>
      <c r="U531" s="10" t="s">
        <v>1575</v>
      </c>
      <c r="V531" s="10" t="s">
        <v>1575</v>
      </c>
      <c r="W531" s="10" t="s">
        <v>1575</v>
      </c>
      <c r="X531" s="10" t="str">
        <f t="shared" si="311"/>
        <v>NA</v>
      </c>
      <c r="Y531" s="10" t="str">
        <f t="shared" si="312"/>
        <v>NA</v>
      </c>
      <c r="Z531" s="10" t="str">
        <f t="shared" si="313"/>
        <v>NA</v>
      </c>
      <c r="AA531" s="10" t="str">
        <f t="shared" si="314"/>
        <v>NA</v>
      </c>
      <c r="AB531" s="10" t="str">
        <f t="shared" si="315"/>
        <v>NA</v>
      </c>
      <c r="AC531" s="10" t="str">
        <f t="shared" si="316"/>
        <v>NA</v>
      </c>
      <c r="AD531" s="10" t="str">
        <f t="shared" si="317"/>
        <v>NA</v>
      </c>
      <c r="AE531" s="10" t="str">
        <f t="shared" si="318"/>
        <v>NA</v>
      </c>
      <c r="AF531" s="1" t="s">
        <v>4896</v>
      </c>
    </row>
    <row r="532" spans="1:32" x14ac:dyDescent="0.2">
      <c r="A532" s="1" t="s">
        <v>5581</v>
      </c>
      <c r="B532" s="1" t="s">
        <v>5</v>
      </c>
      <c r="C532" s="1" t="s">
        <v>1575</v>
      </c>
      <c r="D532" s="1" t="s">
        <v>1582</v>
      </c>
      <c r="E532" s="1" t="s">
        <v>1587</v>
      </c>
      <c r="F532" s="1" t="s">
        <v>4851</v>
      </c>
      <c r="G532" s="13" t="s">
        <v>1575</v>
      </c>
      <c r="H532" s="28">
        <v>41364</v>
      </c>
      <c r="I532" s="29">
        <f t="shared" si="328"/>
        <v>2013</v>
      </c>
      <c r="J532" s="1" t="s">
        <v>4844</v>
      </c>
      <c r="K532" s="1" t="s">
        <v>7</v>
      </c>
      <c r="L532" s="11" t="str">
        <f t="shared" ref="L532" si="329">IF(OR(A532=J532,A532=K532),"ДА","НЕТ")</f>
        <v>НЕТ</v>
      </c>
      <c r="M532" s="10" t="s">
        <v>1575</v>
      </c>
      <c r="N532" s="10" t="s">
        <v>1575</v>
      </c>
      <c r="O532" s="10">
        <v>15</v>
      </c>
      <c r="P532" s="10" t="str">
        <f t="shared" si="309"/>
        <v>NA</v>
      </c>
      <c r="Q532" s="10" t="str">
        <f t="shared" si="310"/>
        <v>NA</v>
      </c>
      <c r="R532" s="10" t="s">
        <v>1575</v>
      </c>
      <c r="S532" s="10" t="s">
        <v>1575</v>
      </c>
      <c r="T532" s="10" t="s">
        <v>1575</v>
      </c>
      <c r="U532" s="10" t="s">
        <v>1575</v>
      </c>
      <c r="V532" s="10" t="s">
        <v>1575</v>
      </c>
      <c r="W532" s="10" t="s">
        <v>1575</v>
      </c>
      <c r="X532" s="10" t="str">
        <f t="shared" si="311"/>
        <v>NA</v>
      </c>
      <c r="Y532" s="10" t="str">
        <f t="shared" si="312"/>
        <v>NA</v>
      </c>
      <c r="Z532" s="10" t="str">
        <f t="shared" si="313"/>
        <v>NA</v>
      </c>
      <c r="AA532" s="10" t="str">
        <f t="shared" si="314"/>
        <v>NA</v>
      </c>
      <c r="AB532" s="10" t="str">
        <f t="shared" si="315"/>
        <v>NA</v>
      </c>
      <c r="AC532" s="10" t="str">
        <f t="shared" si="316"/>
        <v>NA</v>
      </c>
      <c r="AD532" s="10" t="str">
        <f t="shared" si="317"/>
        <v>NA</v>
      </c>
      <c r="AE532" s="10" t="str">
        <f t="shared" si="318"/>
        <v>NA</v>
      </c>
      <c r="AF532" s="1" t="s">
        <v>4902</v>
      </c>
    </row>
    <row r="533" spans="1:32" x14ac:dyDescent="0.2">
      <c r="A533" s="1" t="s">
        <v>4903</v>
      </c>
      <c r="B533" s="1" t="s">
        <v>1069</v>
      </c>
      <c r="C533" s="1" t="s">
        <v>1575</v>
      </c>
      <c r="D533" s="1" t="s">
        <v>1580</v>
      </c>
      <c r="E533" s="1" t="s">
        <v>1587</v>
      </c>
      <c r="F533" s="1" t="s">
        <v>4870</v>
      </c>
      <c r="G533" s="13">
        <v>1</v>
      </c>
      <c r="H533" s="28">
        <v>41394</v>
      </c>
      <c r="I533" s="29">
        <f t="shared" si="328"/>
        <v>2013</v>
      </c>
      <c r="J533" s="1" t="s">
        <v>4844</v>
      </c>
      <c r="K533" s="1" t="s">
        <v>7</v>
      </c>
      <c r="L533" s="11" t="str">
        <f t="shared" ref="L533" si="330">IF(OR(A533=J533,A533=K533),"ДА","НЕТ")</f>
        <v>НЕТ</v>
      </c>
      <c r="M533" s="10">
        <v>30</v>
      </c>
      <c r="N533" s="10" t="s">
        <v>1575</v>
      </c>
      <c r="O533" s="10">
        <v>0.96799999999999997</v>
      </c>
      <c r="P533" s="10">
        <f t="shared" si="309"/>
        <v>0.96799999999999997</v>
      </c>
      <c r="Q533" s="10" t="str">
        <f t="shared" si="310"/>
        <v>NA</v>
      </c>
      <c r="R533" s="10" t="s">
        <v>1575</v>
      </c>
      <c r="S533" s="10" t="s">
        <v>1575</v>
      </c>
      <c r="T533" s="10" t="s">
        <v>1575</v>
      </c>
      <c r="U533" s="10" t="s">
        <v>1575</v>
      </c>
      <c r="V533" s="10" t="s">
        <v>1575</v>
      </c>
      <c r="W533" s="10" t="s">
        <v>1575</v>
      </c>
      <c r="X533" s="10" t="str">
        <f t="shared" si="311"/>
        <v>NA</v>
      </c>
      <c r="Y533" s="10" t="str">
        <f t="shared" si="312"/>
        <v>NA</v>
      </c>
      <c r="Z533" s="10" t="str">
        <f t="shared" si="313"/>
        <v>NA</v>
      </c>
      <c r="AA533" s="10" t="str">
        <f t="shared" si="314"/>
        <v>NA</v>
      </c>
      <c r="AB533" s="10" t="str">
        <f t="shared" si="315"/>
        <v>NA</v>
      </c>
      <c r="AC533" s="10" t="str">
        <f t="shared" si="316"/>
        <v>NA</v>
      </c>
      <c r="AD533" s="10" t="str">
        <f t="shared" si="317"/>
        <v>NA</v>
      </c>
      <c r="AE533" s="10" t="str">
        <f t="shared" si="318"/>
        <v>NA</v>
      </c>
      <c r="AF533" s="1" t="s">
        <v>4897</v>
      </c>
    </row>
    <row r="534" spans="1:32" x14ac:dyDescent="0.2">
      <c r="A534" s="1" t="s">
        <v>5566</v>
      </c>
      <c r="B534" s="1" t="s">
        <v>91</v>
      </c>
      <c r="C534" s="1" t="s">
        <v>1575</v>
      </c>
      <c r="D534" s="1" t="s">
        <v>1580</v>
      </c>
      <c r="E534" s="1" t="s">
        <v>1694</v>
      </c>
      <c r="F534" s="1" t="s">
        <v>4719</v>
      </c>
      <c r="G534" s="13" t="s">
        <v>1575</v>
      </c>
      <c r="H534" s="28">
        <v>41486</v>
      </c>
      <c r="I534" s="29">
        <f t="shared" si="328"/>
        <v>2013</v>
      </c>
      <c r="J534" s="1" t="s">
        <v>4844</v>
      </c>
      <c r="K534" s="1" t="s">
        <v>7</v>
      </c>
      <c r="L534" s="11" t="str">
        <f t="shared" ref="L534" si="331">IF(OR(A534=J534,A534=K534),"ДА","НЕТ")</f>
        <v>НЕТ</v>
      </c>
      <c r="M534" s="10">
        <v>365</v>
      </c>
      <c r="N534" s="10" t="s">
        <v>1575</v>
      </c>
      <c r="O534" s="10">
        <v>11.432</v>
      </c>
      <c r="P534" s="10" t="str">
        <f t="shared" si="309"/>
        <v>NA</v>
      </c>
      <c r="Q534" s="10" t="str">
        <f t="shared" si="310"/>
        <v>NA</v>
      </c>
      <c r="R534" s="10" t="s">
        <v>1575</v>
      </c>
      <c r="S534" s="10" t="s">
        <v>1575</v>
      </c>
      <c r="T534" s="10" t="s">
        <v>1575</v>
      </c>
      <c r="U534" s="10">
        <v>-4.3</v>
      </c>
      <c r="V534" s="10">
        <f t="shared" ref="V534" si="332">143.838-137.278</f>
        <v>6.5600000000000023</v>
      </c>
      <c r="W534" s="10" t="s">
        <v>1575</v>
      </c>
      <c r="X534" s="10" t="str">
        <f t="shared" si="311"/>
        <v>NA</v>
      </c>
      <c r="Y534" s="10" t="str">
        <f t="shared" si="312"/>
        <v>NA</v>
      </c>
      <c r="Z534" s="10" t="str">
        <f t="shared" si="313"/>
        <v>NA</v>
      </c>
      <c r="AA534" s="10" t="str">
        <f t="shared" si="314"/>
        <v>NA</v>
      </c>
      <c r="AB534" s="10" t="str">
        <f t="shared" si="315"/>
        <v>NA</v>
      </c>
      <c r="AC534" s="10" t="str">
        <f t="shared" si="316"/>
        <v>NA</v>
      </c>
      <c r="AD534" s="10" t="str">
        <f t="shared" si="317"/>
        <v>NA</v>
      </c>
      <c r="AE534" s="10" t="str">
        <f t="shared" si="318"/>
        <v>NA</v>
      </c>
      <c r="AF534" s="1" t="s">
        <v>4895</v>
      </c>
    </row>
    <row r="535" spans="1:32" x14ac:dyDescent="0.2">
      <c r="A535" s="1" t="s">
        <v>5563</v>
      </c>
      <c r="B535" s="1" t="s">
        <v>5</v>
      </c>
      <c r="C535" s="1" t="s">
        <v>1575</v>
      </c>
      <c r="D535" s="1" t="s">
        <v>1582</v>
      </c>
      <c r="E535" s="1" t="s">
        <v>1587</v>
      </c>
      <c r="F535" s="1" t="s">
        <v>4851</v>
      </c>
      <c r="G535" s="13" t="s">
        <v>1575</v>
      </c>
      <c r="H535" s="28">
        <v>41486</v>
      </c>
      <c r="I535" s="29">
        <f t="shared" si="328"/>
        <v>2013</v>
      </c>
      <c r="J535" s="1" t="s">
        <v>4844</v>
      </c>
      <c r="K535" s="1" t="s">
        <v>7</v>
      </c>
      <c r="L535" s="11" t="str">
        <f t="shared" ref="L535" si="333">IF(OR(A535=J535,A535=K535),"ДА","НЕТ")</f>
        <v>НЕТ</v>
      </c>
      <c r="M535" s="10" t="s">
        <v>1575</v>
      </c>
      <c r="N535" s="10" t="s">
        <v>1575</v>
      </c>
      <c r="O535" s="10">
        <v>4</v>
      </c>
      <c r="P535" s="10" t="str">
        <f t="shared" si="309"/>
        <v>NA</v>
      </c>
      <c r="Q535" s="10" t="str">
        <f t="shared" si="310"/>
        <v>NA</v>
      </c>
      <c r="R535" s="10" t="s">
        <v>1575</v>
      </c>
      <c r="S535" s="10" t="s">
        <v>1575</v>
      </c>
      <c r="T535" s="10" t="s">
        <v>1575</v>
      </c>
      <c r="U535" s="10" t="s">
        <v>1575</v>
      </c>
      <c r="V535" s="10" t="s">
        <v>1575</v>
      </c>
      <c r="W535" s="10" t="s">
        <v>1575</v>
      </c>
      <c r="X535" s="10" t="str">
        <f t="shared" si="311"/>
        <v>NA</v>
      </c>
      <c r="Y535" s="10" t="str">
        <f t="shared" si="312"/>
        <v>NA</v>
      </c>
      <c r="Z535" s="10" t="str">
        <f t="shared" si="313"/>
        <v>NA</v>
      </c>
      <c r="AA535" s="10" t="str">
        <f t="shared" si="314"/>
        <v>NA</v>
      </c>
      <c r="AB535" s="10" t="str">
        <f t="shared" si="315"/>
        <v>NA</v>
      </c>
      <c r="AC535" s="10" t="str">
        <f t="shared" si="316"/>
        <v>NA</v>
      </c>
      <c r="AD535" s="10" t="str">
        <f t="shared" si="317"/>
        <v>NA</v>
      </c>
      <c r="AE535" s="10" t="str">
        <f t="shared" si="318"/>
        <v>NA</v>
      </c>
      <c r="AF535" s="1" t="s">
        <v>4898</v>
      </c>
    </row>
    <row r="536" spans="1:32" x14ac:dyDescent="0.2">
      <c r="A536" s="1" t="s">
        <v>5567</v>
      </c>
      <c r="B536" s="1" t="s">
        <v>5</v>
      </c>
      <c r="C536" s="1" t="s">
        <v>1575</v>
      </c>
      <c r="D536" s="1" t="s">
        <v>1580</v>
      </c>
      <c r="E536" s="1" t="s">
        <v>1587</v>
      </c>
      <c r="F536" s="1" t="s">
        <v>4870</v>
      </c>
      <c r="G536" s="13" t="s">
        <v>1575</v>
      </c>
      <c r="H536" s="28">
        <v>41517</v>
      </c>
      <c r="I536" s="29">
        <f t="shared" si="328"/>
        <v>2013</v>
      </c>
      <c r="J536" s="1" t="s">
        <v>4844</v>
      </c>
      <c r="K536" s="1" t="s">
        <v>7</v>
      </c>
      <c r="L536" s="11" t="str">
        <f t="shared" ref="L536" si="334">IF(OR(A536=J536,A536=K536),"ДА","НЕТ")</f>
        <v>НЕТ</v>
      </c>
      <c r="M536" s="10" t="s">
        <v>1575</v>
      </c>
      <c r="N536" s="10" t="s">
        <v>1575</v>
      </c>
      <c r="O536" s="10">
        <v>2E-3</v>
      </c>
      <c r="P536" s="10" t="str">
        <f t="shared" si="309"/>
        <v>NA</v>
      </c>
      <c r="Q536" s="10" t="str">
        <f t="shared" si="310"/>
        <v>NA</v>
      </c>
      <c r="R536" s="10" t="s">
        <v>1575</v>
      </c>
      <c r="S536" s="10" t="s">
        <v>1575</v>
      </c>
      <c r="T536" s="10" t="s">
        <v>1575</v>
      </c>
      <c r="U536" s="10" t="s">
        <v>1575</v>
      </c>
      <c r="V536" s="10" t="s">
        <v>1575</v>
      </c>
      <c r="W536" s="10" t="s">
        <v>1575</v>
      </c>
      <c r="X536" s="10" t="str">
        <f t="shared" si="311"/>
        <v>NA</v>
      </c>
      <c r="Y536" s="10" t="str">
        <f t="shared" si="312"/>
        <v>NA</v>
      </c>
      <c r="Z536" s="10" t="str">
        <f t="shared" si="313"/>
        <v>NA</v>
      </c>
      <c r="AA536" s="10" t="str">
        <f t="shared" si="314"/>
        <v>NA</v>
      </c>
      <c r="AB536" s="10" t="str">
        <f t="shared" si="315"/>
        <v>NA</v>
      </c>
      <c r="AC536" s="10" t="str">
        <f t="shared" si="316"/>
        <v>NA</v>
      </c>
      <c r="AD536" s="10" t="str">
        <f t="shared" si="317"/>
        <v>NA</v>
      </c>
      <c r="AE536" s="10" t="str">
        <f t="shared" si="318"/>
        <v>NA</v>
      </c>
      <c r="AF536" s="1" t="s">
        <v>4899</v>
      </c>
    </row>
    <row r="537" spans="1:32" x14ac:dyDescent="0.2">
      <c r="A537" s="1" t="s">
        <v>5568</v>
      </c>
      <c r="B537" s="1" t="s">
        <v>5</v>
      </c>
      <c r="C537" s="1" t="s">
        <v>1575</v>
      </c>
      <c r="D537" s="1" t="s">
        <v>1580</v>
      </c>
      <c r="E537" s="1" t="s">
        <v>1694</v>
      </c>
      <c r="F537" s="1" t="s">
        <v>4719</v>
      </c>
      <c r="G537" s="13" t="s">
        <v>1575</v>
      </c>
      <c r="H537" s="28">
        <v>41578</v>
      </c>
      <c r="I537" s="29">
        <f t="shared" si="328"/>
        <v>2013</v>
      </c>
      <c r="J537" s="1" t="s">
        <v>4844</v>
      </c>
      <c r="K537" s="1" t="s">
        <v>7</v>
      </c>
      <c r="L537" s="11" t="str">
        <f t="shared" ref="L537:L538" si="335">IF(OR(A537=J537,A537=K537),"ДА","НЕТ")</f>
        <v>НЕТ</v>
      </c>
      <c r="M537" s="10" t="s">
        <v>1575</v>
      </c>
      <c r="N537" s="10" t="s">
        <v>1575</v>
      </c>
      <c r="O537" s="10">
        <v>0.54200000000000004</v>
      </c>
      <c r="P537" s="10" t="str">
        <f t="shared" si="309"/>
        <v>NA</v>
      </c>
      <c r="Q537" s="10" t="str">
        <f t="shared" si="310"/>
        <v>NA</v>
      </c>
      <c r="R537" s="10" t="s">
        <v>1575</v>
      </c>
      <c r="S537" s="10" t="s">
        <v>1575</v>
      </c>
      <c r="T537" s="10" t="s">
        <v>1575</v>
      </c>
      <c r="U537" s="10" t="s">
        <v>1575</v>
      </c>
      <c r="V537" s="10" t="s">
        <v>1575</v>
      </c>
      <c r="W537" s="10" t="s">
        <v>1575</v>
      </c>
      <c r="X537" s="10" t="str">
        <f t="shared" si="311"/>
        <v>NA</v>
      </c>
      <c r="Y537" s="10" t="str">
        <f t="shared" si="312"/>
        <v>NA</v>
      </c>
      <c r="Z537" s="10" t="str">
        <f t="shared" si="313"/>
        <v>NA</v>
      </c>
      <c r="AA537" s="10" t="str">
        <f t="shared" si="314"/>
        <v>NA</v>
      </c>
      <c r="AB537" s="10" t="str">
        <f t="shared" si="315"/>
        <v>NA</v>
      </c>
      <c r="AC537" s="10" t="str">
        <f t="shared" si="316"/>
        <v>NA</v>
      </c>
      <c r="AD537" s="10" t="str">
        <f t="shared" si="317"/>
        <v>NA</v>
      </c>
      <c r="AE537" s="10" t="str">
        <f t="shared" si="318"/>
        <v>NA</v>
      </c>
      <c r="AF537" s="1" t="s">
        <v>4900</v>
      </c>
    </row>
    <row r="538" spans="1:32" x14ac:dyDescent="0.2">
      <c r="A538" s="1" t="s">
        <v>5582</v>
      </c>
      <c r="B538" s="1" t="s">
        <v>5</v>
      </c>
      <c r="C538" s="1" t="s">
        <v>1575</v>
      </c>
      <c r="D538" s="1" t="s">
        <v>1580</v>
      </c>
      <c r="E538" s="1" t="s">
        <v>1593</v>
      </c>
      <c r="F538" s="1" t="s">
        <v>545</v>
      </c>
      <c r="G538" s="13">
        <v>1</v>
      </c>
      <c r="H538" s="28">
        <v>41262</v>
      </c>
      <c r="I538" s="29">
        <f t="shared" ref="I538:I539" si="336">YEAR(H538)</f>
        <v>2012</v>
      </c>
      <c r="J538" s="1" t="s">
        <v>5579</v>
      </c>
      <c r="K538" s="1" t="s">
        <v>7</v>
      </c>
      <c r="L538" s="11" t="str">
        <f t="shared" si="335"/>
        <v>НЕТ</v>
      </c>
      <c r="M538" s="10" t="s">
        <v>1575</v>
      </c>
      <c r="N538" s="10" t="s">
        <v>1575</v>
      </c>
      <c r="O538" s="10">
        <v>1.819</v>
      </c>
      <c r="P538" s="10">
        <f t="shared" si="309"/>
        <v>1.819</v>
      </c>
      <c r="Q538" s="10" t="str">
        <f t="shared" si="310"/>
        <v>NA</v>
      </c>
      <c r="R538" s="10" t="s">
        <v>1575</v>
      </c>
      <c r="S538" s="10" t="s">
        <v>1575</v>
      </c>
      <c r="T538" s="10" t="s">
        <v>1575</v>
      </c>
      <c r="U538" s="10" t="s">
        <v>1575</v>
      </c>
      <c r="V538" s="10">
        <v>1.7170000000000001</v>
      </c>
      <c r="W538" s="10" t="s">
        <v>1575</v>
      </c>
      <c r="X538" s="10" t="str">
        <f t="shared" si="311"/>
        <v>NA</v>
      </c>
      <c r="Y538" s="10" t="str">
        <f t="shared" si="312"/>
        <v>NA</v>
      </c>
      <c r="Z538" s="10" t="str">
        <f t="shared" si="313"/>
        <v>NA</v>
      </c>
      <c r="AA538" s="10">
        <f t="shared" si="314"/>
        <v>1.0594059405940592</v>
      </c>
      <c r="AB538" s="10" t="str">
        <f t="shared" si="315"/>
        <v>NA</v>
      </c>
      <c r="AC538" s="10" t="str">
        <f t="shared" si="316"/>
        <v>NA</v>
      </c>
      <c r="AD538" s="10" t="str">
        <f t="shared" si="317"/>
        <v>NA</v>
      </c>
      <c r="AE538" s="10" t="str">
        <f t="shared" si="318"/>
        <v>NA</v>
      </c>
      <c r="AF538" s="1" t="s">
        <v>4901</v>
      </c>
    </row>
    <row r="539" spans="1:32" x14ac:dyDescent="0.2">
      <c r="A539" s="1" t="s">
        <v>5583</v>
      </c>
      <c r="B539" s="1" t="s">
        <v>5</v>
      </c>
      <c r="C539" s="1" t="s">
        <v>1575</v>
      </c>
      <c r="D539" s="1" t="s">
        <v>2160</v>
      </c>
      <c r="E539" s="1" t="s">
        <v>1698</v>
      </c>
      <c r="F539" s="1" t="s">
        <v>4915</v>
      </c>
      <c r="G539" s="13">
        <v>1</v>
      </c>
      <c r="H539" s="28">
        <v>41311</v>
      </c>
      <c r="I539" s="29">
        <f t="shared" si="336"/>
        <v>2013</v>
      </c>
      <c r="J539" s="1" t="s">
        <v>4914</v>
      </c>
      <c r="K539" s="1" t="s">
        <v>7</v>
      </c>
      <c r="L539" s="11" t="str">
        <f t="shared" ref="L539" si="337">IF(OR(A539=J539,A539=K539),"ДА","НЕТ")</f>
        <v>НЕТ</v>
      </c>
      <c r="M539" s="10" t="s">
        <v>1575</v>
      </c>
      <c r="N539" s="10" t="s">
        <v>1575</v>
      </c>
      <c r="O539" s="10" t="s">
        <v>1575</v>
      </c>
      <c r="P539" s="10" t="str">
        <f t="shared" si="309"/>
        <v>NA</v>
      </c>
      <c r="Q539" s="10" t="str">
        <f t="shared" si="310"/>
        <v>NA</v>
      </c>
      <c r="R539" s="10" t="s">
        <v>1575</v>
      </c>
      <c r="S539" s="10" t="s">
        <v>1575</v>
      </c>
      <c r="T539" s="10" t="s">
        <v>1575</v>
      </c>
      <c r="U539" s="10" t="s">
        <v>1575</v>
      </c>
      <c r="V539" s="10" t="s">
        <v>1575</v>
      </c>
      <c r="W539" s="10" t="s">
        <v>1575</v>
      </c>
      <c r="X539" s="10" t="str">
        <f t="shared" si="311"/>
        <v>NA</v>
      </c>
      <c r="Y539" s="10" t="str">
        <f t="shared" si="312"/>
        <v>NA</v>
      </c>
      <c r="Z539" s="10" t="str">
        <f t="shared" si="313"/>
        <v>NA</v>
      </c>
      <c r="AA539" s="10" t="str">
        <f t="shared" si="314"/>
        <v>NA</v>
      </c>
      <c r="AB539" s="10" t="str">
        <f t="shared" si="315"/>
        <v>NA</v>
      </c>
      <c r="AC539" s="10" t="str">
        <f t="shared" si="316"/>
        <v>NA</v>
      </c>
      <c r="AD539" s="10" t="str">
        <f t="shared" si="317"/>
        <v>NA</v>
      </c>
      <c r="AE539" s="10" t="str">
        <f t="shared" si="318"/>
        <v>NA</v>
      </c>
      <c r="AF539" s="1" t="s">
        <v>4913</v>
      </c>
    </row>
    <row r="540" spans="1:32" x14ac:dyDescent="0.2">
      <c r="A540" s="1" t="s">
        <v>5578</v>
      </c>
      <c r="B540" s="1" t="s">
        <v>5</v>
      </c>
      <c r="C540" s="1" t="s">
        <v>1575</v>
      </c>
      <c r="D540" s="1" t="s">
        <v>1582</v>
      </c>
      <c r="E540" s="1" t="s">
        <v>1587</v>
      </c>
      <c r="F540" s="1" t="s">
        <v>4891</v>
      </c>
      <c r="G540" s="13" t="s">
        <v>1575</v>
      </c>
      <c r="H540" s="28">
        <v>41274</v>
      </c>
      <c r="I540" s="29">
        <f t="shared" si="328"/>
        <v>2012</v>
      </c>
      <c r="J540" s="1" t="s">
        <v>5578</v>
      </c>
      <c r="K540" s="1" t="s">
        <v>7</v>
      </c>
      <c r="L540" s="11" t="str">
        <f t="shared" ref="L540:L541" si="338">IF(OR(A540=J540,A540=K540),"ДА","НЕТ")</f>
        <v>ДА</v>
      </c>
      <c r="M540" s="10" t="s">
        <v>1575</v>
      </c>
      <c r="N540" s="10" t="s">
        <v>1575</v>
      </c>
      <c r="O540" s="10" t="s">
        <v>1575</v>
      </c>
      <c r="P540" s="10" t="str">
        <f t="shared" si="309"/>
        <v>NA</v>
      </c>
      <c r="Q540" s="10" t="str">
        <f t="shared" si="310"/>
        <v>NA</v>
      </c>
      <c r="R540" s="10" t="s">
        <v>1575</v>
      </c>
      <c r="S540" s="10" t="s">
        <v>1575</v>
      </c>
      <c r="T540" s="10" t="s">
        <v>1575</v>
      </c>
      <c r="U540" s="10" t="s">
        <v>1575</v>
      </c>
      <c r="V540" s="10" t="s">
        <v>1575</v>
      </c>
      <c r="W540" s="10" t="s">
        <v>1575</v>
      </c>
      <c r="X540" s="10" t="str">
        <f t="shared" si="311"/>
        <v>NA</v>
      </c>
      <c r="Y540" s="10" t="str">
        <f t="shared" si="312"/>
        <v>NA</v>
      </c>
      <c r="Z540" s="10" t="str">
        <f t="shared" si="313"/>
        <v>NA</v>
      </c>
      <c r="AA540" s="10" t="str">
        <f t="shared" si="314"/>
        <v>NA</v>
      </c>
      <c r="AB540" s="10" t="str">
        <f t="shared" si="315"/>
        <v>NA</v>
      </c>
      <c r="AC540" s="10" t="str">
        <f t="shared" si="316"/>
        <v>NA</v>
      </c>
      <c r="AD540" s="10" t="str">
        <f t="shared" si="317"/>
        <v>NA</v>
      </c>
      <c r="AE540" s="10" t="str">
        <f t="shared" si="318"/>
        <v>NA</v>
      </c>
      <c r="AF540" s="1" t="s">
        <v>4904</v>
      </c>
    </row>
    <row r="541" spans="1:32" x14ac:dyDescent="0.2">
      <c r="A541" s="1" t="s">
        <v>5566</v>
      </c>
      <c r="B541" s="1" t="s">
        <v>91</v>
      </c>
      <c r="C541" s="1" t="s">
        <v>1575</v>
      </c>
      <c r="D541" s="1" t="s">
        <v>1580</v>
      </c>
      <c r="E541" s="1" t="s">
        <v>1694</v>
      </c>
      <c r="F541" s="1" t="s">
        <v>4719</v>
      </c>
      <c r="G541" s="13" t="s">
        <v>1575</v>
      </c>
      <c r="H541" s="28">
        <v>40999</v>
      </c>
      <c r="I541" s="29">
        <f t="shared" si="328"/>
        <v>2012</v>
      </c>
      <c r="J541" s="1" t="s">
        <v>7</v>
      </c>
      <c r="K541" s="1" t="s">
        <v>5566</v>
      </c>
      <c r="L541" s="11" t="str">
        <f t="shared" si="338"/>
        <v>ДА</v>
      </c>
      <c r="M541" s="10" t="s">
        <v>1575</v>
      </c>
      <c r="N541" s="10" t="s">
        <v>1575</v>
      </c>
      <c r="O541" s="10" t="s">
        <v>1575</v>
      </c>
      <c r="P541" s="10" t="str">
        <f t="shared" si="309"/>
        <v>NA</v>
      </c>
      <c r="Q541" s="10" t="str">
        <f t="shared" si="310"/>
        <v>NA</v>
      </c>
      <c r="R541" s="10" t="s">
        <v>1575</v>
      </c>
      <c r="S541" s="10" t="s">
        <v>1575</v>
      </c>
      <c r="T541" s="10" t="s">
        <v>1575</v>
      </c>
      <c r="U541" s="10">
        <v>-4.24</v>
      </c>
      <c r="V541" s="10" t="s">
        <v>1575</v>
      </c>
      <c r="W541" s="10" t="s">
        <v>1575</v>
      </c>
      <c r="X541" s="10" t="str">
        <f t="shared" si="311"/>
        <v>NA</v>
      </c>
      <c r="Y541" s="10" t="str">
        <f t="shared" si="312"/>
        <v>NA</v>
      </c>
      <c r="Z541" s="10" t="str">
        <f t="shared" si="313"/>
        <v>NA</v>
      </c>
      <c r="AA541" s="10" t="str">
        <f t="shared" si="314"/>
        <v>NA</v>
      </c>
      <c r="AB541" s="10" t="str">
        <f t="shared" si="315"/>
        <v>NA</v>
      </c>
      <c r="AC541" s="10" t="str">
        <f t="shared" si="316"/>
        <v>NA</v>
      </c>
      <c r="AD541" s="10" t="str">
        <f t="shared" si="317"/>
        <v>NA</v>
      </c>
      <c r="AE541" s="10" t="str">
        <f t="shared" si="318"/>
        <v>NA</v>
      </c>
      <c r="AF541" s="1" t="s">
        <v>4905</v>
      </c>
    </row>
    <row r="542" spans="1:32" x14ac:dyDescent="0.2">
      <c r="A542" s="1" t="s">
        <v>5584</v>
      </c>
      <c r="B542" s="1" t="s">
        <v>32</v>
      </c>
      <c r="C542" s="1" t="s">
        <v>1575</v>
      </c>
      <c r="D542" s="1" t="s">
        <v>1580</v>
      </c>
      <c r="E542" s="1" t="s">
        <v>1694</v>
      </c>
      <c r="F542" s="1" t="s">
        <v>4719</v>
      </c>
      <c r="G542" s="13" t="s">
        <v>1575</v>
      </c>
      <c r="H542" s="28">
        <v>41060</v>
      </c>
      <c r="I542" s="29">
        <f t="shared" si="328"/>
        <v>2012</v>
      </c>
      <c r="J542" s="1" t="s">
        <v>4844</v>
      </c>
      <c r="K542" s="1" t="s">
        <v>7</v>
      </c>
      <c r="L542" s="11" t="str">
        <f t="shared" ref="L542" si="339">IF(OR(A542=J542,A542=K542),"ДА","НЕТ")</f>
        <v>НЕТ</v>
      </c>
      <c r="M542" s="10" t="s">
        <v>1575</v>
      </c>
      <c r="N542" s="10" t="s">
        <v>1575</v>
      </c>
      <c r="O542" s="10">
        <v>1.516</v>
      </c>
      <c r="P542" s="10" t="str">
        <f t="shared" si="309"/>
        <v>NA</v>
      </c>
      <c r="Q542" s="10" t="str">
        <f t="shared" si="310"/>
        <v>NA</v>
      </c>
      <c r="R542" s="10" t="s">
        <v>1575</v>
      </c>
      <c r="S542" s="10" t="s">
        <v>1575</v>
      </c>
      <c r="T542" s="10" t="s">
        <v>1575</v>
      </c>
      <c r="U542" s="10">
        <v>-3.2330000000000001</v>
      </c>
      <c r="V542" s="10" t="s">
        <v>1575</v>
      </c>
      <c r="W542" s="10" t="s">
        <v>1575</v>
      </c>
      <c r="X542" s="10" t="str">
        <f t="shared" si="311"/>
        <v>NA</v>
      </c>
      <c r="Y542" s="10" t="str">
        <f t="shared" si="312"/>
        <v>NA</v>
      </c>
      <c r="Z542" s="10" t="str">
        <f t="shared" si="313"/>
        <v>NA</v>
      </c>
      <c r="AA542" s="10" t="str">
        <f t="shared" si="314"/>
        <v>NA</v>
      </c>
      <c r="AB542" s="10" t="str">
        <f t="shared" si="315"/>
        <v>NA</v>
      </c>
      <c r="AC542" s="10" t="str">
        <f t="shared" si="316"/>
        <v>NA</v>
      </c>
      <c r="AD542" s="10" t="str">
        <f t="shared" si="317"/>
        <v>NA</v>
      </c>
      <c r="AE542" s="10" t="str">
        <f t="shared" si="318"/>
        <v>NA</v>
      </c>
      <c r="AF542" s="1" t="s">
        <v>4906</v>
      </c>
    </row>
    <row r="543" spans="1:32" x14ac:dyDescent="0.2">
      <c r="A543" s="1" t="s">
        <v>5585</v>
      </c>
      <c r="B543" s="1" t="s">
        <v>5</v>
      </c>
      <c r="C543" s="1" t="s">
        <v>1575</v>
      </c>
      <c r="D543" s="1" t="s">
        <v>1580</v>
      </c>
      <c r="E543" s="1" t="s">
        <v>1593</v>
      </c>
      <c r="F543" s="1" t="s">
        <v>545</v>
      </c>
      <c r="G543" s="13" t="s">
        <v>1575</v>
      </c>
      <c r="H543" s="28">
        <v>41274</v>
      </c>
      <c r="I543" s="29">
        <f t="shared" si="328"/>
        <v>2012</v>
      </c>
      <c r="J543" s="1" t="s">
        <v>4844</v>
      </c>
      <c r="K543" s="1" t="s">
        <v>7</v>
      </c>
      <c r="L543" s="11" t="str">
        <f t="shared" ref="L543:L546" si="340">IF(OR(A543=J543,A543=K543),"ДА","НЕТ")</f>
        <v>НЕТ</v>
      </c>
      <c r="M543" s="10" t="s">
        <v>1575</v>
      </c>
      <c r="N543" s="10" t="s">
        <v>1575</v>
      </c>
      <c r="O543" s="10">
        <v>2.21</v>
      </c>
      <c r="P543" s="10" t="str">
        <f t="shared" si="309"/>
        <v>NA</v>
      </c>
      <c r="Q543" s="10" t="str">
        <f t="shared" si="310"/>
        <v>NA</v>
      </c>
      <c r="R543" s="10" t="s">
        <v>1575</v>
      </c>
      <c r="S543" s="10" t="s">
        <v>1575</v>
      </c>
      <c r="T543" s="10" t="s">
        <v>1575</v>
      </c>
      <c r="U543" s="10" t="s">
        <v>1575</v>
      </c>
      <c r="V543" s="10" t="s">
        <v>1575</v>
      </c>
      <c r="W543" s="10" t="s">
        <v>1575</v>
      </c>
      <c r="X543" s="10" t="str">
        <f t="shared" si="311"/>
        <v>NA</v>
      </c>
      <c r="Y543" s="10" t="str">
        <f t="shared" si="312"/>
        <v>NA</v>
      </c>
      <c r="Z543" s="10" t="str">
        <f t="shared" si="313"/>
        <v>NA</v>
      </c>
      <c r="AA543" s="10" t="str">
        <f t="shared" si="314"/>
        <v>NA</v>
      </c>
      <c r="AB543" s="10" t="str">
        <f t="shared" si="315"/>
        <v>NA</v>
      </c>
      <c r="AC543" s="10" t="str">
        <f t="shared" si="316"/>
        <v>NA</v>
      </c>
      <c r="AD543" s="10" t="str">
        <f t="shared" si="317"/>
        <v>NA</v>
      </c>
      <c r="AE543" s="10" t="str">
        <f t="shared" si="318"/>
        <v>NA</v>
      </c>
      <c r="AF543" s="1" t="s">
        <v>4907</v>
      </c>
    </row>
    <row r="544" spans="1:32" x14ac:dyDescent="0.2">
      <c r="A544" s="1" t="s">
        <v>5567</v>
      </c>
      <c r="B544" s="1" t="s">
        <v>5</v>
      </c>
      <c r="C544" s="1" t="s">
        <v>1575</v>
      </c>
      <c r="D544" s="1" t="s">
        <v>1580</v>
      </c>
      <c r="E544" s="1" t="s">
        <v>1587</v>
      </c>
      <c r="F544" s="1" t="s">
        <v>4870</v>
      </c>
      <c r="G544" s="13" t="s">
        <v>1575</v>
      </c>
      <c r="H544" s="28">
        <v>41152</v>
      </c>
      <c r="I544" s="29">
        <f t="shared" si="328"/>
        <v>2012</v>
      </c>
      <c r="J544" s="1" t="s">
        <v>4844</v>
      </c>
      <c r="K544" s="1" t="s">
        <v>7</v>
      </c>
      <c r="L544" s="11" t="str">
        <f t="shared" si="340"/>
        <v>НЕТ</v>
      </c>
      <c r="M544" s="10" t="s">
        <v>1575</v>
      </c>
      <c r="N544" s="10" t="s">
        <v>1575</v>
      </c>
      <c r="O544" s="10">
        <v>4.0250000000000004</v>
      </c>
      <c r="P544" s="10" t="str">
        <f t="shared" si="309"/>
        <v>NA</v>
      </c>
      <c r="Q544" s="10" t="str">
        <f t="shared" si="310"/>
        <v>NA</v>
      </c>
      <c r="R544" s="10" t="s">
        <v>1575</v>
      </c>
      <c r="S544" s="10" t="s">
        <v>1575</v>
      </c>
      <c r="T544" s="10" t="s">
        <v>1575</v>
      </c>
      <c r="U544" s="10" t="s">
        <v>1575</v>
      </c>
      <c r="V544" s="10" t="s">
        <v>1575</v>
      </c>
      <c r="W544" s="10" t="s">
        <v>1575</v>
      </c>
      <c r="X544" s="10" t="str">
        <f t="shared" si="311"/>
        <v>NA</v>
      </c>
      <c r="Y544" s="10" t="str">
        <f t="shared" si="312"/>
        <v>NA</v>
      </c>
      <c r="Z544" s="10" t="str">
        <f t="shared" si="313"/>
        <v>NA</v>
      </c>
      <c r="AA544" s="10" t="str">
        <f t="shared" si="314"/>
        <v>NA</v>
      </c>
      <c r="AB544" s="10" t="str">
        <f t="shared" si="315"/>
        <v>NA</v>
      </c>
      <c r="AC544" s="10" t="str">
        <f t="shared" si="316"/>
        <v>NA</v>
      </c>
      <c r="AD544" s="10" t="str">
        <f t="shared" si="317"/>
        <v>NA</v>
      </c>
      <c r="AE544" s="10" t="str">
        <f t="shared" si="318"/>
        <v>NA</v>
      </c>
      <c r="AF544" s="1" t="s">
        <v>4908</v>
      </c>
    </row>
    <row r="545" spans="1:32" x14ac:dyDescent="0.2">
      <c r="A545" s="1" t="s">
        <v>5563</v>
      </c>
      <c r="B545" s="1" t="s">
        <v>5</v>
      </c>
      <c r="C545" s="1" t="s">
        <v>1575</v>
      </c>
      <c r="D545" s="1" t="s">
        <v>1582</v>
      </c>
      <c r="E545" s="1" t="s">
        <v>1587</v>
      </c>
      <c r="F545" s="1" t="s">
        <v>4851</v>
      </c>
      <c r="G545" s="13" t="s">
        <v>1575</v>
      </c>
      <c r="H545" s="28">
        <v>41060</v>
      </c>
      <c r="I545" s="29">
        <f t="shared" si="328"/>
        <v>2012</v>
      </c>
      <c r="J545" s="1" t="s">
        <v>4844</v>
      </c>
      <c r="K545" s="1" t="s">
        <v>7</v>
      </c>
      <c r="L545" s="11" t="str">
        <f t="shared" si="340"/>
        <v>НЕТ</v>
      </c>
      <c r="M545" s="10" t="s">
        <v>1575</v>
      </c>
      <c r="N545" s="10" t="s">
        <v>1575</v>
      </c>
      <c r="O545" s="10">
        <v>3.1</v>
      </c>
      <c r="P545" s="10" t="str">
        <f t="shared" si="309"/>
        <v>NA</v>
      </c>
      <c r="Q545" s="10" t="str">
        <f t="shared" si="310"/>
        <v>NA</v>
      </c>
      <c r="R545" s="10" t="s">
        <v>1575</v>
      </c>
      <c r="S545" s="10" t="s">
        <v>1575</v>
      </c>
      <c r="T545" s="10" t="s">
        <v>1575</v>
      </c>
      <c r="U545" s="10" t="s">
        <v>1575</v>
      </c>
      <c r="V545" s="10" t="s">
        <v>1575</v>
      </c>
      <c r="W545" s="10" t="s">
        <v>1575</v>
      </c>
      <c r="X545" s="10" t="str">
        <f t="shared" si="311"/>
        <v>NA</v>
      </c>
      <c r="Y545" s="10" t="str">
        <f t="shared" si="312"/>
        <v>NA</v>
      </c>
      <c r="Z545" s="10" t="str">
        <f t="shared" si="313"/>
        <v>NA</v>
      </c>
      <c r="AA545" s="10" t="str">
        <f t="shared" si="314"/>
        <v>NA</v>
      </c>
      <c r="AB545" s="10" t="str">
        <f t="shared" si="315"/>
        <v>NA</v>
      </c>
      <c r="AC545" s="10" t="str">
        <f t="shared" si="316"/>
        <v>NA</v>
      </c>
      <c r="AD545" s="10" t="str">
        <f t="shared" si="317"/>
        <v>NA</v>
      </c>
      <c r="AE545" s="10" t="str">
        <f t="shared" si="318"/>
        <v>NA</v>
      </c>
      <c r="AF545" s="1" t="s">
        <v>4909</v>
      </c>
    </row>
    <row r="546" spans="1:32" x14ac:dyDescent="0.2">
      <c r="A546" s="1" t="s">
        <v>5568</v>
      </c>
      <c r="B546" s="1" t="s">
        <v>5</v>
      </c>
      <c r="C546" s="1" t="s">
        <v>1575</v>
      </c>
      <c r="D546" s="1" t="s">
        <v>1580</v>
      </c>
      <c r="E546" s="1" t="s">
        <v>1694</v>
      </c>
      <c r="F546" s="1" t="s">
        <v>4719</v>
      </c>
      <c r="G546" s="13" t="s">
        <v>1575</v>
      </c>
      <c r="H546" s="28">
        <v>41090</v>
      </c>
      <c r="I546" s="29">
        <f t="shared" si="328"/>
        <v>2012</v>
      </c>
      <c r="J546" s="1" t="s">
        <v>4844</v>
      </c>
      <c r="K546" s="1" t="s">
        <v>7</v>
      </c>
      <c r="L546" s="11" t="str">
        <f t="shared" si="340"/>
        <v>НЕТ</v>
      </c>
      <c r="M546" s="10" t="s">
        <v>1575</v>
      </c>
      <c r="N546" s="10" t="s">
        <v>1575</v>
      </c>
      <c r="O546" s="10">
        <v>1.9790000000000001</v>
      </c>
      <c r="P546" s="10" t="str">
        <f t="shared" si="309"/>
        <v>NA</v>
      </c>
      <c r="Q546" s="10" t="str">
        <f t="shared" si="310"/>
        <v>NA</v>
      </c>
      <c r="R546" s="10" t="s">
        <v>1575</v>
      </c>
      <c r="S546" s="10" t="s">
        <v>1575</v>
      </c>
      <c r="T546" s="10" t="s">
        <v>1575</v>
      </c>
      <c r="U546" s="10" t="s">
        <v>1575</v>
      </c>
      <c r="V546" s="10" t="s">
        <v>1575</v>
      </c>
      <c r="W546" s="10" t="s">
        <v>1575</v>
      </c>
      <c r="X546" s="10" t="str">
        <f t="shared" si="311"/>
        <v>NA</v>
      </c>
      <c r="Y546" s="10" t="str">
        <f t="shared" si="312"/>
        <v>NA</v>
      </c>
      <c r="Z546" s="10" t="str">
        <f t="shared" si="313"/>
        <v>NA</v>
      </c>
      <c r="AA546" s="10" t="str">
        <f t="shared" si="314"/>
        <v>NA</v>
      </c>
      <c r="AB546" s="10" t="str">
        <f t="shared" si="315"/>
        <v>NA</v>
      </c>
      <c r="AC546" s="10" t="str">
        <f t="shared" si="316"/>
        <v>NA</v>
      </c>
      <c r="AD546" s="10" t="str">
        <f t="shared" si="317"/>
        <v>NA</v>
      </c>
      <c r="AE546" s="10" t="str">
        <f t="shared" si="318"/>
        <v>NA</v>
      </c>
      <c r="AF546" s="1" t="s">
        <v>4910</v>
      </c>
    </row>
    <row r="547" spans="1:32" x14ac:dyDescent="0.2">
      <c r="A547" s="1" t="s">
        <v>4911</v>
      </c>
      <c r="B547" s="1" t="s">
        <v>5</v>
      </c>
      <c r="C547" s="1" t="s">
        <v>1575</v>
      </c>
      <c r="D547" s="1" t="s">
        <v>1580</v>
      </c>
      <c r="E547" s="1" t="s">
        <v>1694</v>
      </c>
      <c r="F547" s="1" t="s">
        <v>4719</v>
      </c>
      <c r="G547" s="13">
        <v>0.83699999999999997</v>
      </c>
      <c r="H547" s="28">
        <v>40592</v>
      </c>
      <c r="I547" s="29">
        <f t="shared" si="328"/>
        <v>2011</v>
      </c>
      <c r="J547" s="1" t="s">
        <v>5579</v>
      </c>
      <c r="K547" s="1" t="s">
        <v>7</v>
      </c>
      <c r="L547" s="11" t="str">
        <f t="shared" ref="L547" si="341">IF(OR(A547=J547,A547=K547),"ДА","НЕТ")</f>
        <v>НЕТ</v>
      </c>
      <c r="M547" s="10" t="s">
        <v>1575</v>
      </c>
      <c r="N547" s="10" t="s">
        <v>1575</v>
      </c>
      <c r="O547" s="10">
        <v>4.1779999999999999</v>
      </c>
      <c r="P547" s="10">
        <f t="shared" si="309"/>
        <v>4.9916367980884111</v>
      </c>
      <c r="Q547" s="10" t="str">
        <f t="shared" si="310"/>
        <v>NA</v>
      </c>
      <c r="R547" s="10" t="s">
        <v>1575</v>
      </c>
      <c r="S547" s="10" t="s">
        <v>1575</v>
      </c>
      <c r="T547" s="10" t="s">
        <v>1575</v>
      </c>
      <c r="U547" s="10" t="s">
        <v>1575</v>
      </c>
      <c r="V547" s="10">
        <v>4.2370000000000001</v>
      </c>
      <c r="W547" s="10" t="s">
        <v>1575</v>
      </c>
      <c r="X547" s="10" t="str">
        <f t="shared" si="311"/>
        <v>NA</v>
      </c>
      <c r="Y547" s="10" t="str">
        <f t="shared" si="312"/>
        <v>NA</v>
      </c>
      <c r="Z547" s="10" t="str">
        <f t="shared" si="313"/>
        <v>NA</v>
      </c>
      <c r="AA547" s="10">
        <f t="shared" si="314"/>
        <v>1.1781063955837647</v>
      </c>
      <c r="AB547" s="10" t="str">
        <f t="shared" si="315"/>
        <v>NA</v>
      </c>
      <c r="AC547" s="10" t="str">
        <f t="shared" si="316"/>
        <v>NA</v>
      </c>
      <c r="AD547" s="10" t="str">
        <f t="shared" si="317"/>
        <v>NA</v>
      </c>
      <c r="AE547" s="10" t="str">
        <f t="shared" si="318"/>
        <v>NA</v>
      </c>
      <c r="AF547" s="1" t="s">
        <v>4912</v>
      </c>
    </row>
    <row r="548" spans="1:32" x14ac:dyDescent="0.2">
      <c r="A548" s="1" t="s">
        <v>5566</v>
      </c>
      <c r="B548" s="1" t="s">
        <v>91</v>
      </c>
      <c r="C548" s="1" t="s">
        <v>1575</v>
      </c>
      <c r="D548" s="1" t="s">
        <v>1580</v>
      </c>
      <c r="E548" s="1" t="s">
        <v>1694</v>
      </c>
      <c r="F548" s="1" t="s">
        <v>4719</v>
      </c>
      <c r="G548" s="13" t="s">
        <v>1575</v>
      </c>
      <c r="H548" s="28">
        <v>40724</v>
      </c>
      <c r="I548" s="29">
        <f t="shared" si="328"/>
        <v>2011</v>
      </c>
      <c r="J548" s="1" t="s">
        <v>4844</v>
      </c>
      <c r="K548" s="1" t="s">
        <v>7</v>
      </c>
      <c r="L548" s="11" t="str">
        <f t="shared" ref="L548:L549" si="342">IF(OR(A548=J548,A548=K548),"ДА","НЕТ")</f>
        <v>НЕТ</v>
      </c>
      <c r="M548" s="10" t="s">
        <v>1575</v>
      </c>
      <c r="N548" s="10" t="s">
        <v>1575</v>
      </c>
      <c r="O548" s="10" t="s">
        <v>1575</v>
      </c>
      <c r="P548" s="10" t="str">
        <f t="shared" si="309"/>
        <v>NA</v>
      </c>
      <c r="Q548" s="10" t="str">
        <f t="shared" si="310"/>
        <v>NA</v>
      </c>
      <c r="R548" s="10" t="s">
        <v>1575</v>
      </c>
      <c r="S548" s="10" t="s">
        <v>1575</v>
      </c>
      <c r="T548" s="10" t="s">
        <v>1575</v>
      </c>
      <c r="U548" s="10">
        <v>-4.9809999999999999</v>
      </c>
      <c r="V548" s="10" t="s">
        <v>1575</v>
      </c>
      <c r="W548" s="10" t="s">
        <v>1575</v>
      </c>
      <c r="X548" s="10" t="str">
        <f t="shared" si="311"/>
        <v>NA</v>
      </c>
      <c r="Y548" s="10" t="str">
        <f t="shared" si="312"/>
        <v>NA</v>
      </c>
      <c r="Z548" s="10" t="str">
        <f t="shared" si="313"/>
        <v>NA</v>
      </c>
      <c r="AA548" s="10" t="str">
        <f t="shared" si="314"/>
        <v>NA</v>
      </c>
      <c r="AB548" s="10" t="str">
        <f t="shared" si="315"/>
        <v>NA</v>
      </c>
      <c r="AC548" s="10" t="str">
        <f t="shared" si="316"/>
        <v>NA</v>
      </c>
      <c r="AD548" s="10" t="str">
        <f t="shared" si="317"/>
        <v>NA</v>
      </c>
      <c r="AE548" s="10" t="str">
        <f t="shared" si="318"/>
        <v>NA</v>
      </c>
      <c r="AF548" s="1" t="s">
        <v>4916</v>
      </c>
    </row>
    <row r="549" spans="1:32" x14ac:dyDescent="0.2">
      <c r="A549" s="1" t="s">
        <v>5570</v>
      </c>
      <c r="B549" s="1" t="s">
        <v>5</v>
      </c>
      <c r="C549" s="1" t="s">
        <v>1575</v>
      </c>
      <c r="D549" s="1" t="s">
        <v>1580</v>
      </c>
      <c r="E549" s="1" t="s">
        <v>2057</v>
      </c>
      <c r="F549" s="1" t="s">
        <v>434</v>
      </c>
      <c r="G549" s="13" t="s">
        <v>1575</v>
      </c>
      <c r="H549" s="28">
        <v>40605</v>
      </c>
      <c r="I549" s="29">
        <f t="shared" si="328"/>
        <v>2011</v>
      </c>
      <c r="J549" s="1" t="s">
        <v>4844</v>
      </c>
      <c r="K549" s="1" t="s">
        <v>7</v>
      </c>
      <c r="L549" s="11" t="str">
        <f t="shared" si="342"/>
        <v>НЕТ</v>
      </c>
      <c r="M549" s="10" t="s">
        <v>1575</v>
      </c>
      <c r="N549" s="10" t="s">
        <v>1575</v>
      </c>
      <c r="O549" s="10">
        <v>5</v>
      </c>
      <c r="P549" s="10" t="str">
        <f t="shared" si="309"/>
        <v>NA</v>
      </c>
      <c r="Q549" s="10" t="str">
        <f t="shared" si="310"/>
        <v>NA</v>
      </c>
      <c r="R549" s="10" t="s">
        <v>1575</v>
      </c>
      <c r="S549" s="10" t="s">
        <v>1575</v>
      </c>
      <c r="T549" s="10" t="s">
        <v>1575</v>
      </c>
      <c r="U549" s="10" t="s">
        <v>1575</v>
      </c>
      <c r="V549" s="10" t="s">
        <v>1575</v>
      </c>
      <c r="W549" s="10" t="s">
        <v>1575</v>
      </c>
      <c r="X549" s="10" t="str">
        <f t="shared" si="311"/>
        <v>NA</v>
      </c>
      <c r="Y549" s="10" t="str">
        <f t="shared" si="312"/>
        <v>NA</v>
      </c>
      <c r="Z549" s="10" t="str">
        <f t="shared" si="313"/>
        <v>NA</v>
      </c>
      <c r="AA549" s="10" t="str">
        <f t="shared" si="314"/>
        <v>NA</v>
      </c>
      <c r="AB549" s="10" t="str">
        <f t="shared" si="315"/>
        <v>NA</v>
      </c>
      <c r="AC549" s="10" t="str">
        <f t="shared" si="316"/>
        <v>NA</v>
      </c>
      <c r="AD549" s="10" t="str">
        <f t="shared" si="317"/>
        <v>NA</v>
      </c>
      <c r="AE549" s="10" t="str">
        <f t="shared" si="318"/>
        <v>NA</v>
      </c>
      <c r="AF549" s="1" t="s">
        <v>4917</v>
      </c>
    </row>
    <row r="550" spans="1:32" x14ac:dyDescent="0.2">
      <c r="A550" s="1" t="s">
        <v>5584</v>
      </c>
      <c r="B550" s="1" t="s">
        <v>32</v>
      </c>
      <c r="C550" s="1" t="s">
        <v>1575</v>
      </c>
      <c r="D550" s="1" t="s">
        <v>1580</v>
      </c>
      <c r="E550" s="1" t="s">
        <v>1694</v>
      </c>
      <c r="F550" s="1" t="s">
        <v>4719</v>
      </c>
      <c r="G550" s="13" t="s">
        <v>1575</v>
      </c>
      <c r="H550" s="28">
        <v>40816</v>
      </c>
      <c r="I550" s="29">
        <f t="shared" si="328"/>
        <v>2011</v>
      </c>
      <c r="J550" s="1" t="s">
        <v>4844</v>
      </c>
      <c r="K550" s="1" t="s">
        <v>7</v>
      </c>
      <c r="L550" s="11" t="str">
        <f t="shared" ref="L550" si="343">IF(OR(A550=J550,A550=K550),"ДА","НЕТ")</f>
        <v>НЕТ</v>
      </c>
      <c r="M550" s="10" t="s">
        <v>1575</v>
      </c>
      <c r="N550" s="10" t="s">
        <v>1575</v>
      </c>
      <c r="O550" s="10">
        <v>0.84799999999999998</v>
      </c>
      <c r="P550" s="10" t="str">
        <f t="shared" si="309"/>
        <v>NA</v>
      </c>
      <c r="Q550" s="10" t="str">
        <f t="shared" si="310"/>
        <v>NA</v>
      </c>
      <c r="R550" s="10" t="s">
        <v>1575</v>
      </c>
      <c r="S550" s="10" t="s">
        <v>1575</v>
      </c>
      <c r="T550" s="10" t="s">
        <v>1575</v>
      </c>
      <c r="U550" s="10">
        <v>1.401</v>
      </c>
      <c r="V550" s="10" t="s">
        <v>1575</v>
      </c>
      <c r="W550" s="10" t="s">
        <v>1575</v>
      </c>
      <c r="X550" s="10" t="str">
        <f t="shared" si="311"/>
        <v>NA</v>
      </c>
      <c r="Y550" s="10" t="str">
        <f t="shared" si="312"/>
        <v>NA</v>
      </c>
      <c r="Z550" s="10" t="str">
        <f t="shared" si="313"/>
        <v>NA</v>
      </c>
      <c r="AA550" s="10" t="str">
        <f t="shared" si="314"/>
        <v>NA</v>
      </c>
      <c r="AB550" s="10" t="str">
        <f t="shared" si="315"/>
        <v>NA</v>
      </c>
      <c r="AC550" s="10" t="str">
        <f t="shared" si="316"/>
        <v>NA</v>
      </c>
      <c r="AD550" s="10" t="str">
        <f t="shared" si="317"/>
        <v>NA</v>
      </c>
      <c r="AE550" s="10" t="str">
        <f t="shared" si="318"/>
        <v>NA</v>
      </c>
      <c r="AF550" s="1" t="s">
        <v>4922</v>
      </c>
    </row>
    <row r="551" spans="1:32" x14ac:dyDescent="0.2">
      <c r="A551" s="1" t="s">
        <v>5584</v>
      </c>
      <c r="B551" s="1" t="s">
        <v>32</v>
      </c>
      <c r="C551" s="1" t="s">
        <v>1575</v>
      </c>
      <c r="D551" s="1" t="s">
        <v>1580</v>
      </c>
      <c r="E551" s="1" t="s">
        <v>1694</v>
      </c>
      <c r="F551" s="1" t="s">
        <v>4719</v>
      </c>
      <c r="G551" s="13" t="s">
        <v>1575</v>
      </c>
      <c r="H551" s="28">
        <v>40633</v>
      </c>
      <c r="I551" s="29">
        <f t="shared" si="328"/>
        <v>2011</v>
      </c>
      <c r="J551" s="1" t="s">
        <v>7</v>
      </c>
      <c r="K551" s="1" t="s">
        <v>4844</v>
      </c>
      <c r="L551" s="11" t="str">
        <f t="shared" ref="L551:L552" si="344">IF(OR(A551=J551,A551=K551),"ДА","НЕТ")</f>
        <v>НЕТ</v>
      </c>
      <c r="M551" s="10" t="s">
        <v>1575</v>
      </c>
      <c r="N551" s="10" t="s">
        <v>1575</v>
      </c>
      <c r="O551" s="10" t="s">
        <v>1575</v>
      </c>
      <c r="P551" s="10" t="str">
        <f t="shared" si="309"/>
        <v>NA</v>
      </c>
      <c r="Q551" s="10" t="str">
        <f t="shared" si="310"/>
        <v>NA</v>
      </c>
      <c r="R551" s="10" t="s">
        <v>1575</v>
      </c>
      <c r="S551" s="10" t="s">
        <v>1575</v>
      </c>
      <c r="T551" s="10" t="s">
        <v>1575</v>
      </c>
      <c r="U551" s="10">
        <v>1.401</v>
      </c>
      <c r="V551" s="10" t="s">
        <v>1575</v>
      </c>
      <c r="W551" s="10" t="s">
        <v>1575</v>
      </c>
      <c r="X551" s="10" t="str">
        <f t="shared" si="311"/>
        <v>NA</v>
      </c>
      <c r="Y551" s="10" t="str">
        <f t="shared" si="312"/>
        <v>NA</v>
      </c>
      <c r="Z551" s="10" t="str">
        <f t="shared" si="313"/>
        <v>NA</v>
      </c>
      <c r="AA551" s="10" t="str">
        <f t="shared" si="314"/>
        <v>NA</v>
      </c>
      <c r="AB551" s="10" t="str">
        <f t="shared" si="315"/>
        <v>NA</v>
      </c>
      <c r="AC551" s="10" t="str">
        <f t="shared" si="316"/>
        <v>NA</v>
      </c>
      <c r="AD551" s="10" t="str">
        <f t="shared" si="317"/>
        <v>NA</v>
      </c>
      <c r="AE551" s="10" t="str">
        <f t="shared" si="318"/>
        <v>NA</v>
      </c>
      <c r="AF551" s="1" t="s">
        <v>4920</v>
      </c>
    </row>
    <row r="552" spans="1:32" x14ac:dyDescent="0.2">
      <c r="A552" s="1" t="s">
        <v>5566</v>
      </c>
      <c r="B552" s="1" t="s">
        <v>91</v>
      </c>
      <c r="C552" s="1" t="s">
        <v>1575</v>
      </c>
      <c r="D552" s="1" t="s">
        <v>1580</v>
      </c>
      <c r="E552" s="1" t="s">
        <v>1694</v>
      </c>
      <c r="F552" s="1" t="s">
        <v>4719</v>
      </c>
      <c r="G552" s="13">
        <v>4.0099999999999997E-2</v>
      </c>
      <c r="H552" s="28">
        <v>40786</v>
      </c>
      <c r="I552" s="29">
        <f t="shared" si="328"/>
        <v>2011</v>
      </c>
      <c r="J552" s="1" t="s">
        <v>4844</v>
      </c>
      <c r="K552" s="1" t="s">
        <v>7</v>
      </c>
      <c r="L552" s="11" t="str">
        <f t="shared" si="344"/>
        <v>НЕТ</v>
      </c>
      <c r="M552" s="10" t="s">
        <v>1575</v>
      </c>
      <c r="N552" s="10" t="s">
        <v>1575</v>
      </c>
      <c r="O552" s="10">
        <v>4.2510000000000003</v>
      </c>
      <c r="P552" s="10">
        <f t="shared" si="309"/>
        <v>106.00997506234415</v>
      </c>
      <c r="Q552" s="10" t="str">
        <f t="shared" si="310"/>
        <v>NA</v>
      </c>
      <c r="R552" s="10" t="s">
        <v>1575</v>
      </c>
      <c r="S552" s="10" t="s">
        <v>1575</v>
      </c>
      <c r="T552" s="10" t="s">
        <v>1575</v>
      </c>
      <c r="U552" s="10">
        <v>-4.9809999999999999</v>
      </c>
      <c r="V552" s="10" t="s">
        <v>1575</v>
      </c>
      <c r="W552" s="10" t="s">
        <v>1575</v>
      </c>
      <c r="X552" s="10" t="str">
        <f t="shared" si="311"/>
        <v>NA</v>
      </c>
      <c r="Y552" s="10" t="str">
        <f t="shared" si="312"/>
        <v>NA</v>
      </c>
      <c r="Z552" s="10">
        <f t="shared" si="313"/>
        <v>-21.282869918157832</v>
      </c>
      <c r="AA552" s="10" t="str">
        <f t="shared" si="314"/>
        <v>NA</v>
      </c>
      <c r="AB552" s="10" t="str">
        <f t="shared" si="315"/>
        <v>NA</v>
      </c>
      <c r="AC552" s="10" t="str">
        <f t="shared" si="316"/>
        <v>NA</v>
      </c>
      <c r="AD552" s="10" t="str">
        <f t="shared" si="317"/>
        <v>NA</v>
      </c>
      <c r="AE552" s="10" t="str">
        <f t="shared" si="318"/>
        <v>NA</v>
      </c>
      <c r="AF552" s="1" t="s">
        <v>4918</v>
      </c>
    </row>
    <row r="553" spans="1:32" x14ac:dyDescent="0.2">
      <c r="A553" s="1" t="s">
        <v>5586</v>
      </c>
      <c r="B553" s="1" t="s">
        <v>5</v>
      </c>
      <c r="C553" s="1" t="s">
        <v>1575</v>
      </c>
      <c r="D553" s="1" t="s">
        <v>1580</v>
      </c>
      <c r="E553" s="1" t="s">
        <v>1694</v>
      </c>
      <c r="F553" s="1" t="s">
        <v>4719</v>
      </c>
      <c r="G553" s="13" t="s">
        <v>1575</v>
      </c>
      <c r="H553" s="28">
        <v>40908</v>
      </c>
      <c r="I553" s="29">
        <f t="shared" si="328"/>
        <v>2011</v>
      </c>
      <c r="J553" s="1" t="s">
        <v>4844</v>
      </c>
      <c r="K553" s="1" t="s">
        <v>7</v>
      </c>
      <c r="L553" s="11" t="str">
        <f t="shared" ref="L553:L554" si="345">IF(OR(A553=J553,A553=K553),"ДА","НЕТ")</f>
        <v>НЕТ</v>
      </c>
      <c r="M553" s="10" t="s">
        <v>1575</v>
      </c>
      <c r="N553" s="10" t="s">
        <v>1575</v>
      </c>
      <c r="O553" s="10">
        <v>0.20899999999999999</v>
      </c>
      <c r="P553" s="10" t="str">
        <f t="shared" si="309"/>
        <v>NA</v>
      </c>
      <c r="Q553" s="10" t="str">
        <f t="shared" si="310"/>
        <v>NA</v>
      </c>
      <c r="R553" s="10" t="s">
        <v>1575</v>
      </c>
      <c r="S553" s="10" t="s">
        <v>1575</v>
      </c>
      <c r="T553" s="10" t="s">
        <v>1575</v>
      </c>
      <c r="U553" s="10" t="s">
        <v>1575</v>
      </c>
      <c r="V553" s="10" t="s">
        <v>1575</v>
      </c>
      <c r="W553" s="10" t="s">
        <v>1575</v>
      </c>
      <c r="X553" s="10" t="str">
        <f t="shared" si="311"/>
        <v>NA</v>
      </c>
      <c r="Y553" s="10" t="str">
        <f t="shared" si="312"/>
        <v>NA</v>
      </c>
      <c r="Z553" s="10" t="str">
        <f t="shared" si="313"/>
        <v>NA</v>
      </c>
      <c r="AA553" s="10" t="str">
        <f t="shared" si="314"/>
        <v>NA</v>
      </c>
      <c r="AB553" s="10" t="str">
        <f t="shared" si="315"/>
        <v>NA</v>
      </c>
      <c r="AC553" s="10" t="str">
        <f t="shared" si="316"/>
        <v>NA</v>
      </c>
      <c r="AD553" s="10" t="str">
        <f t="shared" si="317"/>
        <v>NA</v>
      </c>
      <c r="AE553" s="10" t="str">
        <f t="shared" si="318"/>
        <v>NA</v>
      </c>
      <c r="AF553" s="1" t="s">
        <v>4919</v>
      </c>
    </row>
    <row r="554" spans="1:32" x14ac:dyDescent="0.2">
      <c r="A554" s="1" t="s">
        <v>5586</v>
      </c>
      <c r="B554" s="1" t="s">
        <v>5</v>
      </c>
      <c r="C554" s="1" t="s">
        <v>1575</v>
      </c>
      <c r="D554" s="1" t="s">
        <v>1580</v>
      </c>
      <c r="E554" s="1" t="s">
        <v>1694</v>
      </c>
      <c r="F554" s="1" t="s">
        <v>4719</v>
      </c>
      <c r="G554" s="13" t="s">
        <v>1575</v>
      </c>
      <c r="H554" s="28">
        <v>40908</v>
      </c>
      <c r="I554" s="29">
        <f t="shared" si="328"/>
        <v>2011</v>
      </c>
      <c r="J554" s="1" t="s">
        <v>7</v>
      </c>
      <c r="K554" s="1" t="s">
        <v>4844</v>
      </c>
      <c r="L554" s="11" t="str">
        <f t="shared" si="345"/>
        <v>НЕТ</v>
      </c>
      <c r="M554" s="10" t="s">
        <v>1575</v>
      </c>
      <c r="N554" s="10" t="s">
        <v>1575</v>
      </c>
      <c r="O554" s="10" t="s">
        <v>1575</v>
      </c>
      <c r="P554" s="10" t="str">
        <f t="shared" si="309"/>
        <v>NA</v>
      </c>
      <c r="Q554" s="10" t="str">
        <f t="shared" si="310"/>
        <v>NA</v>
      </c>
      <c r="R554" s="10" t="s">
        <v>1575</v>
      </c>
      <c r="S554" s="10" t="s">
        <v>1575</v>
      </c>
      <c r="T554" s="10" t="s">
        <v>1575</v>
      </c>
      <c r="U554" s="10" t="s">
        <v>1575</v>
      </c>
      <c r="V554" s="10" t="s">
        <v>1575</v>
      </c>
      <c r="W554" s="10" t="s">
        <v>1575</v>
      </c>
      <c r="X554" s="10" t="str">
        <f t="shared" si="311"/>
        <v>NA</v>
      </c>
      <c r="Y554" s="10" t="str">
        <f t="shared" si="312"/>
        <v>NA</v>
      </c>
      <c r="Z554" s="10" t="str">
        <f t="shared" si="313"/>
        <v>NA</v>
      </c>
      <c r="AA554" s="10" t="str">
        <f t="shared" si="314"/>
        <v>NA</v>
      </c>
      <c r="AB554" s="10" t="str">
        <f t="shared" si="315"/>
        <v>NA</v>
      </c>
      <c r="AC554" s="10" t="str">
        <f t="shared" si="316"/>
        <v>NA</v>
      </c>
      <c r="AD554" s="10" t="str">
        <f t="shared" si="317"/>
        <v>NA</v>
      </c>
      <c r="AE554" s="10" t="str">
        <f t="shared" si="318"/>
        <v>NA</v>
      </c>
      <c r="AF554" s="1" t="s">
        <v>4921</v>
      </c>
    </row>
    <row r="555" spans="1:32" x14ac:dyDescent="0.2">
      <c r="A555" s="1" t="s">
        <v>5563</v>
      </c>
      <c r="B555" s="1" t="s">
        <v>5</v>
      </c>
      <c r="C555" s="1" t="s">
        <v>1575</v>
      </c>
      <c r="D555" s="1" t="s">
        <v>1582</v>
      </c>
      <c r="E555" s="1" t="s">
        <v>1587</v>
      </c>
      <c r="F555" s="1" t="s">
        <v>4851</v>
      </c>
      <c r="G555" s="13">
        <v>1</v>
      </c>
      <c r="H555" s="28">
        <v>40633</v>
      </c>
      <c r="I555" s="29">
        <f t="shared" si="328"/>
        <v>2011</v>
      </c>
      <c r="J555" s="1" t="s">
        <v>4844</v>
      </c>
      <c r="K555" s="1" t="s">
        <v>7</v>
      </c>
      <c r="L555" s="11" t="str">
        <f t="shared" ref="L555" si="346">IF(OR(A555=J555,A555=K555),"ДА","НЕТ")</f>
        <v>НЕТ</v>
      </c>
      <c r="M555" s="10" t="s">
        <v>1575</v>
      </c>
      <c r="N555" s="10" t="s">
        <v>1575</v>
      </c>
      <c r="O555" s="10">
        <v>0.5</v>
      </c>
      <c r="P555" s="10">
        <f t="shared" si="309"/>
        <v>0.5</v>
      </c>
      <c r="Q555" s="10" t="str">
        <f t="shared" si="310"/>
        <v>NA</v>
      </c>
      <c r="R555" s="10" t="s">
        <v>1575</v>
      </c>
      <c r="S555" s="10" t="s">
        <v>1575</v>
      </c>
      <c r="T555" s="10" t="s">
        <v>1575</v>
      </c>
      <c r="U555" s="10" t="s">
        <v>1575</v>
      </c>
      <c r="V555" s="10" t="s">
        <v>1575</v>
      </c>
      <c r="W555" s="10" t="s">
        <v>1575</v>
      </c>
      <c r="X555" s="10" t="str">
        <f t="shared" si="311"/>
        <v>NA</v>
      </c>
      <c r="Y555" s="10" t="str">
        <f t="shared" si="312"/>
        <v>NA</v>
      </c>
      <c r="Z555" s="10" t="str">
        <f t="shared" si="313"/>
        <v>NA</v>
      </c>
      <c r="AA555" s="10" t="str">
        <f t="shared" si="314"/>
        <v>NA</v>
      </c>
      <c r="AB555" s="10" t="str">
        <f t="shared" si="315"/>
        <v>NA</v>
      </c>
      <c r="AC555" s="10" t="str">
        <f t="shared" si="316"/>
        <v>NA</v>
      </c>
      <c r="AD555" s="10" t="str">
        <f t="shared" si="317"/>
        <v>NA</v>
      </c>
      <c r="AE555" s="10" t="str">
        <f t="shared" si="318"/>
        <v>NA</v>
      </c>
      <c r="AF555" s="1" t="s">
        <v>4923</v>
      </c>
    </row>
    <row r="556" spans="1:32" x14ac:dyDescent="0.2">
      <c r="A556" s="1" t="s">
        <v>5567</v>
      </c>
      <c r="B556" s="1" t="s">
        <v>5</v>
      </c>
      <c r="C556" s="1" t="s">
        <v>1575</v>
      </c>
      <c r="D556" s="1" t="s">
        <v>1580</v>
      </c>
      <c r="E556" s="1" t="s">
        <v>1587</v>
      </c>
      <c r="F556" s="1" t="s">
        <v>4870</v>
      </c>
      <c r="G556" s="13" t="s">
        <v>1575</v>
      </c>
      <c r="H556" s="28">
        <v>40663</v>
      </c>
      <c r="I556" s="29">
        <f t="shared" si="328"/>
        <v>2011</v>
      </c>
      <c r="J556" s="1" t="s">
        <v>4844</v>
      </c>
      <c r="K556" s="1" t="s">
        <v>7</v>
      </c>
      <c r="L556" s="11" t="str">
        <f t="shared" ref="L556:L561" si="347">IF(OR(A556=J556,A556=K556),"ДА","НЕТ")</f>
        <v>НЕТ</v>
      </c>
      <c r="M556" s="10" t="s">
        <v>1575</v>
      </c>
      <c r="N556" s="10" t="s">
        <v>1575</v>
      </c>
      <c r="O556" s="10">
        <v>0.3</v>
      </c>
      <c r="P556" s="10" t="str">
        <f t="shared" si="309"/>
        <v>NA</v>
      </c>
      <c r="Q556" s="10" t="str">
        <f t="shared" si="310"/>
        <v>NA</v>
      </c>
      <c r="R556" s="10" t="s">
        <v>1575</v>
      </c>
      <c r="S556" s="10" t="s">
        <v>1575</v>
      </c>
      <c r="T556" s="10" t="s">
        <v>1575</v>
      </c>
      <c r="U556" s="10" t="s">
        <v>1575</v>
      </c>
      <c r="V556" s="10" t="s">
        <v>1575</v>
      </c>
      <c r="W556" s="10" t="s">
        <v>1575</v>
      </c>
      <c r="X556" s="10" t="str">
        <f t="shared" si="311"/>
        <v>NA</v>
      </c>
      <c r="Y556" s="10" t="str">
        <f t="shared" si="312"/>
        <v>NA</v>
      </c>
      <c r="Z556" s="10" t="str">
        <f t="shared" si="313"/>
        <v>NA</v>
      </c>
      <c r="AA556" s="10" t="str">
        <f t="shared" si="314"/>
        <v>NA</v>
      </c>
      <c r="AB556" s="10" t="str">
        <f t="shared" si="315"/>
        <v>NA</v>
      </c>
      <c r="AC556" s="10" t="str">
        <f t="shared" si="316"/>
        <v>NA</v>
      </c>
      <c r="AD556" s="10" t="str">
        <f t="shared" si="317"/>
        <v>NA</v>
      </c>
      <c r="AE556" s="10" t="str">
        <f t="shared" si="318"/>
        <v>NA</v>
      </c>
      <c r="AF556" s="1" t="s">
        <v>4924</v>
      </c>
    </row>
    <row r="557" spans="1:32" x14ac:dyDescent="0.2">
      <c r="A557" s="1" t="s">
        <v>5587</v>
      </c>
      <c r="B557" s="1" t="s">
        <v>5</v>
      </c>
      <c r="C557" s="1" t="s">
        <v>1575</v>
      </c>
      <c r="D557" s="1" t="s">
        <v>1580</v>
      </c>
      <c r="E557" s="1" t="s">
        <v>1587</v>
      </c>
      <c r="F557" s="1" t="s">
        <v>4932</v>
      </c>
      <c r="G557" s="13">
        <v>1</v>
      </c>
      <c r="H557" s="28">
        <v>40724</v>
      </c>
      <c r="I557" s="29">
        <f t="shared" si="328"/>
        <v>2011</v>
      </c>
      <c r="J557" s="1" t="s">
        <v>4844</v>
      </c>
      <c r="K557" s="1" t="s">
        <v>7</v>
      </c>
      <c r="L557" s="11" t="str">
        <f t="shared" si="347"/>
        <v>НЕТ</v>
      </c>
      <c r="M557" s="10" t="s">
        <v>1575</v>
      </c>
      <c r="N557" s="10" t="s">
        <v>1575</v>
      </c>
      <c r="O557" s="10">
        <v>0.3</v>
      </c>
      <c r="P557" s="10">
        <f t="shared" si="309"/>
        <v>0.3</v>
      </c>
      <c r="Q557" s="10" t="str">
        <f t="shared" si="310"/>
        <v>NA</v>
      </c>
      <c r="R557" s="10" t="s">
        <v>1575</v>
      </c>
      <c r="S557" s="10" t="s">
        <v>1575</v>
      </c>
      <c r="T557" s="10" t="s">
        <v>1575</v>
      </c>
      <c r="U557" s="10" t="s">
        <v>1575</v>
      </c>
      <c r="V557" s="10" t="s">
        <v>1575</v>
      </c>
      <c r="W557" s="10" t="s">
        <v>1575</v>
      </c>
      <c r="X557" s="10" t="str">
        <f t="shared" si="311"/>
        <v>NA</v>
      </c>
      <c r="Y557" s="10" t="str">
        <f t="shared" si="312"/>
        <v>NA</v>
      </c>
      <c r="Z557" s="10" t="str">
        <f t="shared" si="313"/>
        <v>NA</v>
      </c>
      <c r="AA557" s="10" t="str">
        <f t="shared" si="314"/>
        <v>NA</v>
      </c>
      <c r="AB557" s="10" t="str">
        <f t="shared" si="315"/>
        <v>NA</v>
      </c>
      <c r="AC557" s="10" t="str">
        <f t="shared" si="316"/>
        <v>NA</v>
      </c>
      <c r="AD557" s="10" t="str">
        <f t="shared" si="317"/>
        <v>NA</v>
      </c>
      <c r="AE557" s="10" t="str">
        <f t="shared" si="318"/>
        <v>NA</v>
      </c>
      <c r="AF557" s="1" t="s">
        <v>4925</v>
      </c>
    </row>
    <row r="558" spans="1:32" x14ac:dyDescent="0.2">
      <c r="A558" s="1" t="s">
        <v>5575</v>
      </c>
      <c r="B558" s="1" t="s">
        <v>5</v>
      </c>
      <c r="C558" s="1" t="s">
        <v>1575</v>
      </c>
      <c r="D558" s="1" t="s">
        <v>1580</v>
      </c>
      <c r="E558" s="1" t="s">
        <v>1581</v>
      </c>
      <c r="F558" s="1" t="s">
        <v>67</v>
      </c>
      <c r="G558" s="13">
        <v>1</v>
      </c>
      <c r="H558" s="28">
        <v>40847</v>
      </c>
      <c r="I558" s="29">
        <f t="shared" si="328"/>
        <v>2011</v>
      </c>
      <c r="J558" s="1" t="s">
        <v>4844</v>
      </c>
      <c r="K558" s="1" t="s">
        <v>7</v>
      </c>
      <c r="L558" s="11" t="str">
        <f t="shared" si="347"/>
        <v>НЕТ</v>
      </c>
      <c r="M558" s="10" t="s">
        <v>1575</v>
      </c>
      <c r="N558" s="10" t="s">
        <v>1575</v>
      </c>
      <c r="O558" s="10">
        <v>30</v>
      </c>
      <c r="P558" s="10">
        <f t="shared" si="309"/>
        <v>30</v>
      </c>
      <c r="Q558" s="10" t="str">
        <f t="shared" si="310"/>
        <v>NA</v>
      </c>
      <c r="R558" s="10" t="s">
        <v>1575</v>
      </c>
      <c r="S558" s="10" t="s">
        <v>1575</v>
      </c>
      <c r="T558" s="10" t="s">
        <v>1575</v>
      </c>
      <c r="U558" s="10" t="s">
        <v>1575</v>
      </c>
      <c r="V558" s="10" t="s">
        <v>1575</v>
      </c>
      <c r="W558" s="10" t="s">
        <v>1575</v>
      </c>
      <c r="X558" s="10" t="str">
        <f t="shared" si="311"/>
        <v>NA</v>
      </c>
      <c r="Y558" s="10" t="str">
        <f t="shared" si="312"/>
        <v>NA</v>
      </c>
      <c r="Z558" s="10" t="str">
        <f t="shared" si="313"/>
        <v>NA</v>
      </c>
      <c r="AA558" s="10" t="str">
        <f t="shared" si="314"/>
        <v>NA</v>
      </c>
      <c r="AB558" s="10" t="str">
        <f t="shared" si="315"/>
        <v>NA</v>
      </c>
      <c r="AC558" s="10" t="str">
        <f t="shared" si="316"/>
        <v>NA</v>
      </c>
      <c r="AD558" s="10" t="str">
        <f t="shared" si="317"/>
        <v>NA</v>
      </c>
      <c r="AE558" s="10" t="str">
        <f t="shared" si="318"/>
        <v>NA</v>
      </c>
      <c r="AF558" s="1" t="s">
        <v>4926</v>
      </c>
    </row>
    <row r="559" spans="1:32" x14ac:dyDescent="0.2">
      <c r="A559" s="1" t="s">
        <v>5581</v>
      </c>
      <c r="B559" s="1" t="s">
        <v>5</v>
      </c>
      <c r="C559" s="1" t="s">
        <v>1575</v>
      </c>
      <c r="D559" s="1" t="s">
        <v>1582</v>
      </c>
      <c r="E559" s="1" t="s">
        <v>1587</v>
      </c>
      <c r="F559" s="1" t="s">
        <v>4851</v>
      </c>
      <c r="G559" s="13">
        <v>1</v>
      </c>
      <c r="H559" s="28">
        <v>40877</v>
      </c>
      <c r="I559" s="29">
        <f t="shared" si="328"/>
        <v>2011</v>
      </c>
      <c r="J559" s="1" t="s">
        <v>4844</v>
      </c>
      <c r="K559" s="1" t="s">
        <v>7</v>
      </c>
      <c r="L559" s="11" t="str">
        <f t="shared" si="347"/>
        <v>НЕТ</v>
      </c>
      <c r="M559" s="10" t="s">
        <v>1575</v>
      </c>
      <c r="N559" s="10" t="s">
        <v>1575</v>
      </c>
      <c r="O559" s="10">
        <v>0.5</v>
      </c>
      <c r="P559" s="10">
        <f t="shared" si="309"/>
        <v>0.5</v>
      </c>
      <c r="Q559" s="10" t="str">
        <f t="shared" si="310"/>
        <v>NA</v>
      </c>
      <c r="R559" s="10" t="s">
        <v>1575</v>
      </c>
      <c r="S559" s="10" t="s">
        <v>1575</v>
      </c>
      <c r="T559" s="10" t="s">
        <v>1575</v>
      </c>
      <c r="U559" s="10" t="s">
        <v>1575</v>
      </c>
      <c r="V559" s="10" t="s">
        <v>1575</v>
      </c>
      <c r="W559" s="10" t="s">
        <v>1575</v>
      </c>
      <c r="X559" s="10" t="str">
        <f t="shared" si="311"/>
        <v>NA</v>
      </c>
      <c r="Y559" s="10" t="str">
        <f t="shared" si="312"/>
        <v>NA</v>
      </c>
      <c r="Z559" s="10" t="str">
        <f t="shared" si="313"/>
        <v>NA</v>
      </c>
      <c r="AA559" s="10" t="str">
        <f t="shared" si="314"/>
        <v>NA</v>
      </c>
      <c r="AB559" s="10" t="str">
        <f t="shared" si="315"/>
        <v>NA</v>
      </c>
      <c r="AC559" s="10" t="str">
        <f t="shared" si="316"/>
        <v>NA</v>
      </c>
      <c r="AD559" s="10" t="str">
        <f t="shared" si="317"/>
        <v>NA</v>
      </c>
      <c r="AE559" s="10" t="str">
        <f t="shared" si="318"/>
        <v>NA</v>
      </c>
      <c r="AF559" s="1" t="s">
        <v>4927</v>
      </c>
    </row>
    <row r="560" spans="1:32" x14ac:dyDescent="0.2">
      <c r="A560" s="1" t="s">
        <v>4931</v>
      </c>
      <c r="B560" s="1" t="s">
        <v>5</v>
      </c>
      <c r="C560" s="1" t="s">
        <v>1575</v>
      </c>
      <c r="D560" s="1" t="s">
        <v>1580</v>
      </c>
      <c r="E560" s="1" t="s">
        <v>1593</v>
      </c>
      <c r="F560" s="1" t="s">
        <v>545</v>
      </c>
      <c r="G560" s="13">
        <v>1</v>
      </c>
      <c r="H560" s="28">
        <v>40908</v>
      </c>
      <c r="I560" s="29">
        <f t="shared" si="328"/>
        <v>2011</v>
      </c>
      <c r="J560" s="1" t="s">
        <v>4844</v>
      </c>
      <c r="K560" s="1" t="s">
        <v>7</v>
      </c>
      <c r="L560" s="11" t="str">
        <f t="shared" si="347"/>
        <v>НЕТ</v>
      </c>
      <c r="M560" s="10" t="s">
        <v>1575</v>
      </c>
      <c r="N560" s="10" t="s">
        <v>1575</v>
      </c>
      <c r="O560" s="10" t="s">
        <v>1575</v>
      </c>
      <c r="P560" s="10" t="str">
        <f t="shared" si="309"/>
        <v>NA</v>
      </c>
      <c r="Q560" s="10" t="str">
        <f t="shared" si="310"/>
        <v>NA</v>
      </c>
      <c r="R560" s="10" t="s">
        <v>1575</v>
      </c>
      <c r="S560" s="10" t="s">
        <v>1575</v>
      </c>
      <c r="T560" s="10" t="s">
        <v>1575</v>
      </c>
      <c r="U560" s="10" t="s">
        <v>1575</v>
      </c>
      <c r="V560" s="10" t="s">
        <v>1575</v>
      </c>
      <c r="W560" s="10" t="s">
        <v>1575</v>
      </c>
      <c r="X560" s="10" t="str">
        <f t="shared" si="311"/>
        <v>NA</v>
      </c>
      <c r="Y560" s="10" t="str">
        <f t="shared" si="312"/>
        <v>NA</v>
      </c>
      <c r="Z560" s="10" t="str">
        <f t="shared" si="313"/>
        <v>NA</v>
      </c>
      <c r="AA560" s="10" t="str">
        <f t="shared" si="314"/>
        <v>NA</v>
      </c>
      <c r="AB560" s="10" t="str">
        <f t="shared" si="315"/>
        <v>NA</v>
      </c>
      <c r="AC560" s="10" t="str">
        <f t="shared" si="316"/>
        <v>NA</v>
      </c>
      <c r="AD560" s="10" t="str">
        <f t="shared" si="317"/>
        <v>NA</v>
      </c>
      <c r="AE560" s="10" t="str">
        <f t="shared" si="318"/>
        <v>NA</v>
      </c>
      <c r="AF560" s="1" t="s">
        <v>4928</v>
      </c>
    </row>
    <row r="561" spans="1:32" x14ac:dyDescent="0.2">
      <c r="A561" s="1" t="s">
        <v>5580</v>
      </c>
      <c r="B561" s="1" t="s">
        <v>5</v>
      </c>
      <c r="C561" s="1" t="s">
        <v>1575</v>
      </c>
      <c r="D561" s="1" t="s">
        <v>1580</v>
      </c>
      <c r="E561" s="1" t="s">
        <v>1587</v>
      </c>
      <c r="F561" s="1" t="s">
        <v>4870</v>
      </c>
      <c r="G561" s="13" t="s">
        <v>1575</v>
      </c>
      <c r="H561" s="28">
        <v>40908</v>
      </c>
      <c r="I561" s="29">
        <f t="shared" si="328"/>
        <v>2011</v>
      </c>
      <c r="J561" s="1" t="s">
        <v>4844</v>
      </c>
      <c r="K561" s="1" t="s">
        <v>7</v>
      </c>
      <c r="L561" s="11" t="str">
        <f t="shared" si="347"/>
        <v>НЕТ</v>
      </c>
      <c r="M561" s="10" t="s">
        <v>1575</v>
      </c>
      <c r="N561" s="10" t="s">
        <v>1575</v>
      </c>
      <c r="O561" s="10">
        <v>2.9</v>
      </c>
      <c r="P561" s="10" t="str">
        <f t="shared" si="309"/>
        <v>NA</v>
      </c>
      <c r="Q561" s="10" t="str">
        <f t="shared" si="310"/>
        <v>NA</v>
      </c>
      <c r="R561" s="10" t="s">
        <v>1575</v>
      </c>
      <c r="S561" s="10" t="s">
        <v>1575</v>
      </c>
      <c r="T561" s="10" t="s">
        <v>1575</v>
      </c>
      <c r="U561" s="10" t="s">
        <v>1575</v>
      </c>
      <c r="V561" s="10" t="s">
        <v>1575</v>
      </c>
      <c r="W561" s="10" t="s">
        <v>1575</v>
      </c>
      <c r="X561" s="10" t="str">
        <f t="shared" si="311"/>
        <v>NA</v>
      </c>
      <c r="Y561" s="10" t="str">
        <f t="shared" si="312"/>
        <v>NA</v>
      </c>
      <c r="Z561" s="10" t="str">
        <f t="shared" si="313"/>
        <v>NA</v>
      </c>
      <c r="AA561" s="10" t="str">
        <f t="shared" si="314"/>
        <v>NA</v>
      </c>
      <c r="AB561" s="10" t="str">
        <f t="shared" si="315"/>
        <v>NA</v>
      </c>
      <c r="AC561" s="10" t="str">
        <f t="shared" si="316"/>
        <v>NA</v>
      </c>
      <c r="AD561" s="10" t="str">
        <f t="shared" si="317"/>
        <v>NA</v>
      </c>
      <c r="AE561" s="10" t="str">
        <f t="shared" si="318"/>
        <v>NA</v>
      </c>
      <c r="AF561" s="1" t="s">
        <v>4929</v>
      </c>
    </row>
    <row r="562" spans="1:32" x14ac:dyDescent="0.2">
      <c r="A562" s="1" t="s">
        <v>5570</v>
      </c>
      <c r="B562" s="1" t="s">
        <v>5</v>
      </c>
      <c r="C562" s="1" t="s">
        <v>1575</v>
      </c>
      <c r="D562" s="1" t="s">
        <v>1580</v>
      </c>
      <c r="E562" s="1" t="s">
        <v>2057</v>
      </c>
      <c r="F562" s="1" t="s">
        <v>434</v>
      </c>
      <c r="G562" s="13">
        <f>97.97%-78.07%</f>
        <v>0.19900000000000007</v>
      </c>
      <c r="H562" s="28">
        <v>40268</v>
      </c>
      <c r="I562" s="29">
        <f t="shared" si="328"/>
        <v>2010</v>
      </c>
      <c r="J562" s="1" t="s">
        <v>4844</v>
      </c>
      <c r="K562" s="1" t="s">
        <v>7</v>
      </c>
      <c r="L562" s="11" t="str">
        <f t="shared" ref="L562:L564" si="348">IF(OR(A562=J562,A562=K562),"ДА","НЕТ")</f>
        <v>НЕТ</v>
      </c>
      <c r="M562" s="10" t="s">
        <v>1575</v>
      </c>
      <c r="N562" s="10" t="s">
        <v>1575</v>
      </c>
      <c r="O562" s="10">
        <v>1.24</v>
      </c>
      <c r="P562" s="10">
        <f t="shared" si="309"/>
        <v>6.23115577889447</v>
      </c>
      <c r="Q562" s="10" t="str">
        <f t="shared" si="310"/>
        <v>NA</v>
      </c>
      <c r="R562" s="10" t="s">
        <v>1575</v>
      </c>
      <c r="S562" s="10" t="s">
        <v>1575</v>
      </c>
      <c r="T562" s="10" t="s">
        <v>1575</v>
      </c>
      <c r="U562" s="10" t="s">
        <v>1575</v>
      </c>
      <c r="V562" s="10" t="s">
        <v>1575</v>
      </c>
      <c r="W562" s="10" t="s">
        <v>1575</v>
      </c>
      <c r="X562" s="10" t="str">
        <f t="shared" si="311"/>
        <v>NA</v>
      </c>
      <c r="Y562" s="10" t="str">
        <f t="shared" si="312"/>
        <v>NA</v>
      </c>
      <c r="Z562" s="10" t="str">
        <f t="shared" si="313"/>
        <v>NA</v>
      </c>
      <c r="AA562" s="10" t="str">
        <f t="shared" si="314"/>
        <v>NA</v>
      </c>
      <c r="AB562" s="10" t="str">
        <f t="shared" si="315"/>
        <v>NA</v>
      </c>
      <c r="AC562" s="10" t="str">
        <f t="shared" si="316"/>
        <v>NA</v>
      </c>
      <c r="AD562" s="10" t="str">
        <f t="shared" si="317"/>
        <v>NA</v>
      </c>
      <c r="AE562" s="10" t="str">
        <f t="shared" si="318"/>
        <v>NA</v>
      </c>
      <c r="AF562" s="1" t="s">
        <v>4936</v>
      </c>
    </row>
    <row r="563" spans="1:32" x14ac:dyDescent="0.2">
      <c r="A563" s="1" t="s">
        <v>5578</v>
      </c>
      <c r="B563" s="1" t="s">
        <v>5</v>
      </c>
      <c r="C563" s="1" t="s">
        <v>1575</v>
      </c>
      <c r="D563" s="1" t="s">
        <v>1582</v>
      </c>
      <c r="E563" s="1" t="s">
        <v>1587</v>
      </c>
      <c r="F563" s="1" t="s">
        <v>4891</v>
      </c>
      <c r="G563" s="13">
        <v>0.51</v>
      </c>
      <c r="H563" s="28">
        <v>40268</v>
      </c>
      <c r="I563" s="29">
        <f t="shared" ref="I563:I564" si="349">YEAR(H563)</f>
        <v>2010</v>
      </c>
      <c r="J563" s="1" t="s">
        <v>4844</v>
      </c>
      <c r="K563" s="1" t="s">
        <v>7</v>
      </c>
      <c r="L563" s="11" t="str">
        <f t="shared" si="348"/>
        <v>НЕТ</v>
      </c>
      <c r="M563" s="10" t="s">
        <v>1575</v>
      </c>
      <c r="N563" s="10" t="s">
        <v>1575</v>
      </c>
      <c r="O563" s="10">
        <v>0.1</v>
      </c>
      <c r="P563" s="10">
        <f t="shared" si="309"/>
        <v>0.19607843137254902</v>
      </c>
      <c r="Q563" s="10" t="str">
        <f t="shared" si="310"/>
        <v>NA</v>
      </c>
      <c r="R563" s="10" t="s">
        <v>1575</v>
      </c>
      <c r="S563" s="10" t="s">
        <v>1575</v>
      </c>
      <c r="T563" s="10" t="s">
        <v>1575</v>
      </c>
      <c r="U563" s="10" t="s">
        <v>1575</v>
      </c>
      <c r="V563" s="10" t="s">
        <v>1575</v>
      </c>
      <c r="W563" s="10" t="s">
        <v>1575</v>
      </c>
      <c r="X563" s="10" t="str">
        <f t="shared" si="311"/>
        <v>NA</v>
      </c>
      <c r="Y563" s="10" t="str">
        <f t="shared" si="312"/>
        <v>NA</v>
      </c>
      <c r="Z563" s="10" t="str">
        <f t="shared" si="313"/>
        <v>NA</v>
      </c>
      <c r="AA563" s="10" t="str">
        <f t="shared" si="314"/>
        <v>NA</v>
      </c>
      <c r="AB563" s="10" t="str">
        <f t="shared" si="315"/>
        <v>NA</v>
      </c>
      <c r="AC563" s="10" t="str">
        <f t="shared" si="316"/>
        <v>NA</v>
      </c>
      <c r="AD563" s="10" t="str">
        <f t="shared" si="317"/>
        <v>NA</v>
      </c>
      <c r="AE563" s="10" t="str">
        <f t="shared" si="318"/>
        <v>NA</v>
      </c>
      <c r="AF563" s="1" t="s">
        <v>4938</v>
      </c>
    </row>
    <row r="564" spans="1:32" x14ac:dyDescent="0.2">
      <c r="A564" s="1" t="s">
        <v>4947</v>
      </c>
      <c r="B564" s="1" t="s">
        <v>1575</v>
      </c>
      <c r="C564" s="1" t="s">
        <v>1575</v>
      </c>
      <c r="D564" s="1" t="s">
        <v>2160</v>
      </c>
      <c r="E564" s="1" t="s">
        <v>1698</v>
      </c>
      <c r="F564" s="1" t="s">
        <v>2753</v>
      </c>
      <c r="G564" s="13">
        <v>1</v>
      </c>
      <c r="H564" s="28">
        <v>40543</v>
      </c>
      <c r="I564" s="29">
        <f t="shared" si="349"/>
        <v>2010</v>
      </c>
      <c r="J564" s="1" t="s">
        <v>4844</v>
      </c>
      <c r="K564" s="1" t="s">
        <v>7</v>
      </c>
      <c r="L564" s="11" t="str">
        <f t="shared" si="348"/>
        <v>НЕТ</v>
      </c>
      <c r="M564" s="10" t="s">
        <v>1575</v>
      </c>
      <c r="N564" s="10" t="s">
        <v>1575</v>
      </c>
      <c r="O564" s="10" t="s">
        <v>1575</v>
      </c>
      <c r="P564" s="10" t="str">
        <f t="shared" si="309"/>
        <v>NA</v>
      </c>
      <c r="Q564" s="10" t="str">
        <f t="shared" si="310"/>
        <v>NA</v>
      </c>
      <c r="R564" s="10" t="s">
        <v>1575</v>
      </c>
      <c r="S564" s="10" t="s">
        <v>1575</v>
      </c>
      <c r="T564" s="10" t="s">
        <v>1575</v>
      </c>
      <c r="U564" s="10" t="s">
        <v>1575</v>
      </c>
      <c r="V564" s="10" t="s">
        <v>1575</v>
      </c>
      <c r="W564" s="10" t="s">
        <v>1575</v>
      </c>
      <c r="X564" s="10" t="str">
        <f t="shared" si="311"/>
        <v>NA</v>
      </c>
      <c r="Y564" s="10" t="str">
        <f t="shared" si="312"/>
        <v>NA</v>
      </c>
      <c r="Z564" s="10" t="str">
        <f t="shared" si="313"/>
        <v>NA</v>
      </c>
      <c r="AA564" s="10" t="str">
        <f t="shared" si="314"/>
        <v>NA</v>
      </c>
      <c r="AB564" s="10" t="str">
        <f t="shared" si="315"/>
        <v>NA</v>
      </c>
      <c r="AC564" s="10" t="str">
        <f t="shared" si="316"/>
        <v>NA</v>
      </c>
      <c r="AD564" s="10" t="str">
        <f t="shared" si="317"/>
        <v>NA</v>
      </c>
      <c r="AE564" s="10" t="str">
        <f t="shared" si="318"/>
        <v>NA</v>
      </c>
      <c r="AF564" s="1" t="s">
        <v>4939</v>
      </c>
    </row>
    <row r="565" spans="1:32" x14ac:dyDescent="0.2">
      <c r="A565" s="1" t="s">
        <v>5586</v>
      </c>
      <c r="B565" s="1" t="s">
        <v>5</v>
      </c>
      <c r="C565" s="1" t="s">
        <v>1575</v>
      </c>
      <c r="D565" s="1" t="s">
        <v>1580</v>
      </c>
      <c r="E565" s="1" t="s">
        <v>1694</v>
      </c>
      <c r="F565" s="1" t="s">
        <v>4719</v>
      </c>
      <c r="G565" s="13">
        <v>1E-4</v>
      </c>
      <c r="H565" s="28">
        <v>40359</v>
      </c>
      <c r="I565" s="29">
        <f t="shared" si="328"/>
        <v>2010</v>
      </c>
      <c r="J565" s="1" t="s">
        <v>4844</v>
      </c>
      <c r="K565" s="1" t="s">
        <v>7</v>
      </c>
      <c r="L565" s="11" t="str">
        <f t="shared" ref="L565:L570" si="350">IF(OR(A565=J565,A565=K565),"ДА","НЕТ")</f>
        <v>НЕТ</v>
      </c>
      <c r="M565" s="10" t="s">
        <v>1575</v>
      </c>
      <c r="N565" s="10" t="s">
        <v>1575</v>
      </c>
      <c r="O565" s="10">
        <v>3.0000000000000001E-3</v>
      </c>
      <c r="P565" s="10">
        <f t="shared" si="309"/>
        <v>30</v>
      </c>
      <c r="Q565" s="10" t="str">
        <f t="shared" si="310"/>
        <v>NA</v>
      </c>
      <c r="R565" s="10" t="s">
        <v>1575</v>
      </c>
      <c r="S565" s="10" t="s">
        <v>1575</v>
      </c>
      <c r="T565" s="10" t="s">
        <v>1575</v>
      </c>
      <c r="U565" s="10" t="s">
        <v>1575</v>
      </c>
      <c r="V565" s="10">
        <v>19.734000000000002</v>
      </c>
      <c r="W565" s="10" t="s">
        <v>1575</v>
      </c>
      <c r="X565" s="10" t="str">
        <f t="shared" si="311"/>
        <v>NA</v>
      </c>
      <c r="Y565" s="10" t="str">
        <f t="shared" si="312"/>
        <v>NA</v>
      </c>
      <c r="Z565" s="10" t="str">
        <f t="shared" si="313"/>
        <v>NA</v>
      </c>
      <c r="AA565" s="10">
        <f t="shared" si="314"/>
        <v>1.5202189115232592</v>
      </c>
      <c r="AB565" s="10" t="str">
        <f t="shared" si="315"/>
        <v>NA</v>
      </c>
      <c r="AC565" s="10" t="str">
        <f t="shared" si="316"/>
        <v>NA</v>
      </c>
      <c r="AD565" s="10" t="str">
        <f t="shared" si="317"/>
        <v>NA</v>
      </c>
      <c r="AE565" s="10" t="str">
        <f t="shared" si="318"/>
        <v>NA</v>
      </c>
      <c r="AF565" s="1" t="s">
        <v>4930</v>
      </c>
    </row>
    <row r="566" spans="1:32" x14ac:dyDescent="0.2">
      <c r="A566" s="1" t="s">
        <v>5586</v>
      </c>
      <c r="B566" s="1" t="s">
        <v>5</v>
      </c>
      <c r="C566" s="1" t="s">
        <v>1575</v>
      </c>
      <c r="D566" s="1" t="s">
        <v>1580</v>
      </c>
      <c r="E566" s="1" t="s">
        <v>1694</v>
      </c>
      <c r="F566" s="1" t="s">
        <v>4719</v>
      </c>
      <c r="G566" s="13">
        <v>2.0999999999999999E-3</v>
      </c>
      <c r="H566" s="28">
        <v>40390</v>
      </c>
      <c r="I566" s="29">
        <f t="shared" si="328"/>
        <v>2010</v>
      </c>
      <c r="J566" s="1" t="s">
        <v>4844</v>
      </c>
      <c r="K566" s="1" t="s">
        <v>7</v>
      </c>
      <c r="L566" s="11" t="str">
        <f t="shared" si="350"/>
        <v>НЕТ</v>
      </c>
      <c r="M566" s="10" t="s">
        <v>1575</v>
      </c>
      <c r="N566" s="10" t="s">
        <v>1575</v>
      </c>
      <c r="O566" s="10">
        <v>5</v>
      </c>
      <c r="P566" s="10">
        <f t="shared" si="309"/>
        <v>2380.9523809523812</v>
      </c>
      <c r="Q566" s="10" t="str">
        <f t="shared" si="310"/>
        <v>NA</v>
      </c>
      <c r="R566" s="10" t="s">
        <v>1575</v>
      </c>
      <c r="S566" s="10" t="s">
        <v>1575</v>
      </c>
      <c r="T566" s="10" t="s">
        <v>1575</v>
      </c>
      <c r="U566" s="10" t="s">
        <v>1575</v>
      </c>
      <c r="V566" s="10">
        <v>19.734000000000002</v>
      </c>
      <c r="W566" s="10" t="s">
        <v>1575</v>
      </c>
      <c r="X566" s="10" t="str">
        <f t="shared" si="311"/>
        <v>NA</v>
      </c>
      <c r="Y566" s="10" t="str">
        <f t="shared" si="312"/>
        <v>NA</v>
      </c>
      <c r="Z566" s="10" t="str">
        <f t="shared" si="313"/>
        <v>NA</v>
      </c>
      <c r="AA566" s="10">
        <f t="shared" si="314"/>
        <v>120.65229456533804</v>
      </c>
      <c r="AB566" s="10" t="str">
        <f t="shared" si="315"/>
        <v>NA</v>
      </c>
      <c r="AC566" s="10" t="str">
        <f t="shared" si="316"/>
        <v>NA</v>
      </c>
      <c r="AD566" s="10" t="str">
        <f t="shared" si="317"/>
        <v>NA</v>
      </c>
      <c r="AE566" s="10" t="str">
        <f t="shared" si="318"/>
        <v>NA</v>
      </c>
      <c r="AF566" s="1" t="s">
        <v>4933</v>
      </c>
    </row>
    <row r="567" spans="1:32" x14ac:dyDescent="0.2">
      <c r="A567" s="1" t="s">
        <v>5566</v>
      </c>
      <c r="B567" s="1" t="s">
        <v>91</v>
      </c>
      <c r="C567" s="1" t="s">
        <v>1575</v>
      </c>
      <c r="D567" s="1" t="s">
        <v>1580</v>
      </c>
      <c r="E567" s="1" t="s">
        <v>1694</v>
      </c>
      <c r="F567" s="1" t="s">
        <v>4719</v>
      </c>
      <c r="G567" s="13" t="s">
        <v>1575</v>
      </c>
      <c r="H567" s="28">
        <v>40543</v>
      </c>
      <c r="I567" s="29">
        <f t="shared" si="328"/>
        <v>2010</v>
      </c>
      <c r="J567" s="1" t="s">
        <v>5566</v>
      </c>
      <c r="K567" s="1" t="s">
        <v>7</v>
      </c>
      <c r="L567" s="11" t="str">
        <f t="shared" si="350"/>
        <v>ДА</v>
      </c>
      <c r="M567" s="10" t="s">
        <v>1575</v>
      </c>
      <c r="N567" s="10" t="s">
        <v>1575</v>
      </c>
      <c r="O567" s="10">
        <v>4.3999999999999997E-2</v>
      </c>
      <c r="P567" s="10" t="str">
        <f t="shared" si="309"/>
        <v>NA</v>
      </c>
      <c r="Q567" s="10" t="str">
        <f t="shared" si="310"/>
        <v>NA</v>
      </c>
      <c r="R567" s="10" t="s">
        <v>1575</v>
      </c>
      <c r="S567" s="10" t="s">
        <v>1575</v>
      </c>
      <c r="T567" s="10" t="s">
        <v>1575</v>
      </c>
      <c r="U567" s="10">
        <v>-4.9809999999999999</v>
      </c>
      <c r="V567" s="10" t="s">
        <v>1575</v>
      </c>
      <c r="W567" s="10" t="s">
        <v>1575</v>
      </c>
      <c r="X567" s="10" t="str">
        <f t="shared" si="311"/>
        <v>NA</v>
      </c>
      <c r="Y567" s="10" t="str">
        <f t="shared" si="312"/>
        <v>NA</v>
      </c>
      <c r="Z567" s="10" t="str">
        <f t="shared" si="313"/>
        <v>NA</v>
      </c>
      <c r="AA567" s="10" t="str">
        <f t="shared" si="314"/>
        <v>NA</v>
      </c>
      <c r="AB567" s="10" t="str">
        <f t="shared" si="315"/>
        <v>NA</v>
      </c>
      <c r="AC567" s="10" t="str">
        <f t="shared" si="316"/>
        <v>NA</v>
      </c>
      <c r="AD567" s="10" t="str">
        <f t="shared" si="317"/>
        <v>NA</v>
      </c>
      <c r="AE567" s="10" t="str">
        <f t="shared" si="318"/>
        <v>NA</v>
      </c>
      <c r="AF567" s="1" t="s">
        <v>4934</v>
      </c>
    </row>
    <row r="568" spans="1:32" x14ac:dyDescent="0.2">
      <c r="A568" s="1" t="s">
        <v>5567</v>
      </c>
      <c r="B568" s="1" t="s">
        <v>5</v>
      </c>
      <c r="C568" s="1" t="s">
        <v>1575</v>
      </c>
      <c r="D568" s="1" t="s">
        <v>1580</v>
      </c>
      <c r="E568" s="1" t="s">
        <v>1587</v>
      </c>
      <c r="F568" s="1" t="s">
        <v>4870</v>
      </c>
      <c r="G568" s="13" t="s">
        <v>1575</v>
      </c>
      <c r="H568" s="28">
        <v>40543</v>
      </c>
      <c r="I568" s="29">
        <f t="shared" ref="I568:I569" si="351">YEAR(H568)</f>
        <v>2010</v>
      </c>
      <c r="J568" s="1" t="s">
        <v>4844</v>
      </c>
      <c r="K568" s="1" t="s">
        <v>7</v>
      </c>
      <c r="L568" s="11" t="str">
        <f t="shared" si="350"/>
        <v>НЕТ</v>
      </c>
      <c r="M568" s="10" t="s">
        <v>1575</v>
      </c>
      <c r="N568" s="10" t="s">
        <v>1575</v>
      </c>
      <c r="O568" s="10">
        <v>5.6340000000000003</v>
      </c>
      <c r="P568" s="10" t="str">
        <f t="shared" si="309"/>
        <v>NA</v>
      </c>
      <c r="Q568" s="10" t="str">
        <f t="shared" si="310"/>
        <v>NA</v>
      </c>
      <c r="R568" s="10" t="s">
        <v>1575</v>
      </c>
      <c r="S568" s="10" t="s">
        <v>1575</v>
      </c>
      <c r="T568" s="10" t="s">
        <v>1575</v>
      </c>
      <c r="U568" s="10" t="s">
        <v>1575</v>
      </c>
      <c r="V568" s="10" t="s">
        <v>1575</v>
      </c>
      <c r="W568" s="10" t="s">
        <v>1575</v>
      </c>
      <c r="X568" s="10" t="str">
        <f t="shared" si="311"/>
        <v>NA</v>
      </c>
      <c r="Y568" s="10" t="str">
        <f t="shared" si="312"/>
        <v>NA</v>
      </c>
      <c r="Z568" s="10" t="str">
        <f t="shared" si="313"/>
        <v>NA</v>
      </c>
      <c r="AA568" s="10" t="str">
        <f t="shared" si="314"/>
        <v>NA</v>
      </c>
      <c r="AB568" s="10" t="str">
        <f t="shared" si="315"/>
        <v>NA</v>
      </c>
      <c r="AC568" s="10" t="str">
        <f t="shared" si="316"/>
        <v>NA</v>
      </c>
      <c r="AD568" s="10" t="str">
        <f t="shared" si="317"/>
        <v>NA</v>
      </c>
      <c r="AE568" s="10" t="str">
        <f t="shared" si="318"/>
        <v>NA</v>
      </c>
      <c r="AF568" s="1" t="s">
        <v>4948</v>
      </c>
    </row>
    <row r="569" spans="1:32" x14ac:dyDescent="0.2">
      <c r="A569" s="1" t="s">
        <v>2748</v>
      </c>
      <c r="B569" s="1" t="s">
        <v>5</v>
      </c>
      <c r="C569" s="1" t="s">
        <v>4953</v>
      </c>
      <c r="D569" s="1" t="s">
        <v>2160</v>
      </c>
      <c r="E569" s="1" t="s">
        <v>2172</v>
      </c>
      <c r="F569" s="1" t="s">
        <v>4954</v>
      </c>
      <c r="G569" s="13">
        <v>0.1145</v>
      </c>
      <c r="H569" s="28">
        <v>40268</v>
      </c>
      <c r="I569" s="29">
        <f t="shared" si="351"/>
        <v>2010</v>
      </c>
      <c r="J569" s="1" t="s">
        <v>4844</v>
      </c>
      <c r="K569" s="1" t="s">
        <v>7</v>
      </c>
      <c r="L569" s="11" t="str">
        <f t="shared" si="350"/>
        <v>НЕТ</v>
      </c>
      <c r="M569" s="10" t="s">
        <v>1575</v>
      </c>
      <c r="N569" s="10" t="s">
        <v>1575</v>
      </c>
      <c r="O569" s="10">
        <v>21</v>
      </c>
      <c r="P569" s="10">
        <f t="shared" si="309"/>
        <v>183.4061135371179</v>
      </c>
      <c r="Q569" s="10" t="str">
        <f t="shared" si="310"/>
        <v>NA</v>
      </c>
      <c r="R569" s="10" t="s">
        <v>1575</v>
      </c>
      <c r="S569" s="10" t="s">
        <v>1575</v>
      </c>
      <c r="T569" s="10" t="s">
        <v>1575</v>
      </c>
      <c r="U569" s="10" t="s">
        <v>1575</v>
      </c>
      <c r="V569" s="10" t="s">
        <v>1575</v>
      </c>
      <c r="W569" s="10" t="s">
        <v>1575</v>
      </c>
      <c r="X569" s="10" t="str">
        <f t="shared" si="311"/>
        <v>NA</v>
      </c>
      <c r="Y569" s="10" t="str">
        <f t="shared" si="312"/>
        <v>NA</v>
      </c>
      <c r="Z569" s="10" t="str">
        <f t="shared" si="313"/>
        <v>NA</v>
      </c>
      <c r="AA569" s="10" t="str">
        <f t="shared" si="314"/>
        <v>NA</v>
      </c>
      <c r="AB569" s="10" t="str">
        <f t="shared" si="315"/>
        <v>NA</v>
      </c>
      <c r="AC569" s="10" t="str">
        <f t="shared" si="316"/>
        <v>NA</v>
      </c>
      <c r="AD569" s="10" t="str">
        <f t="shared" si="317"/>
        <v>NA</v>
      </c>
      <c r="AE569" s="10" t="str">
        <f t="shared" si="318"/>
        <v>NA</v>
      </c>
      <c r="AF569" s="1" t="s">
        <v>4952</v>
      </c>
    </row>
    <row r="570" spans="1:32" x14ac:dyDescent="0.2">
      <c r="A570" s="1" t="s">
        <v>5586</v>
      </c>
      <c r="B570" s="1" t="s">
        <v>5</v>
      </c>
      <c r="C570" s="1" t="s">
        <v>1575</v>
      </c>
      <c r="D570" s="1" t="s">
        <v>1580</v>
      </c>
      <c r="E570" s="1" t="s">
        <v>1694</v>
      </c>
      <c r="F570" s="1" t="s">
        <v>4719</v>
      </c>
      <c r="G570" s="13" t="s">
        <v>1575</v>
      </c>
      <c r="H570" s="28">
        <v>40543</v>
      </c>
      <c r="I570" s="29">
        <f t="shared" si="328"/>
        <v>2010</v>
      </c>
      <c r="J570" s="1" t="s">
        <v>4844</v>
      </c>
      <c r="K570" s="1" t="s">
        <v>7</v>
      </c>
      <c r="L570" s="11" t="str">
        <f t="shared" si="350"/>
        <v>НЕТ</v>
      </c>
      <c r="M570" s="10" t="s">
        <v>1575</v>
      </c>
      <c r="N570" s="10" t="s">
        <v>1575</v>
      </c>
      <c r="O570" s="10">
        <v>0.21</v>
      </c>
      <c r="P570" s="10" t="str">
        <f t="shared" si="309"/>
        <v>NA</v>
      </c>
      <c r="Q570" s="10" t="str">
        <f t="shared" si="310"/>
        <v>NA</v>
      </c>
      <c r="R570" s="10" t="s">
        <v>1575</v>
      </c>
      <c r="S570" s="10" t="s">
        <v>1575</v>
      </c>
      <c r="T570" s="10" t="s">
        <v>1575</v>
      </c>
      <c r="U570" s="10" t="s">
        <v>1575</v>
      </c>
      <c r="V570" s="10">
        <v>19.734000000000002</v>
      </c>
      <c r="W570" s="10" t="s">
        <v>1575</v>
      </c>
      <c r="X570" s="10" t="str">
        <f t="shared" si="311"/>
        <v>NA</v>
      </c>
      <c r="Y570" s="10" t="str">
        <f t="shared" si="312"/>
        <v>NA</v>
      </c>
      <c r="Z570" s="10" t="str">
        <f t="shared" si="313"/>
        <v>NA</v>
      </c>
      <c r="AA570" s="10" t="str">
        <f t="shared" si="314"/>
        <v>NA</v>
      </c>
      <c r="AB570" s="10" t="str">
        <f t="shared" si="315"/>
        <v>NA</v>
      </c>
      <c r="AC570" s="10" t="str">
        <f t="shared" si="316"/>
        <v>NA</v>
      </c>
      <c r="AD570" s="10" t="str">
        <f t="shared" si="317"/>
        <v>NA</v>
      </c>
      <c r="AE570" s="10" t="str">
        <f t="shared" si="318"/>
        <v>NA</v>
      </c>
      <c r="AF570" s="1" t="s">
        <v>4935</v>
      </c>
    </row>
    <row r="571" spans="1:32" x14ac:dyDescent="0.2">
      <c r="A571" s="1" t="s">
        <v>5586</v>
      </c>
      <c r="B571" s="1" t="s">
        <v>5</v>
      </c>
      <c r="C571" s="1" t="s">
        <v>1575</v>
      </c>
      <c r="D571" s="1" t="s">
        <v>1580</v>
      </c>
      <c r="E571" s="1" t="s">
        <v>1694</v>
      </c>
      <c r="F571" s="1" t="s">
        <v>4719</v>
      </c>
      <c r="G571" s="13">
        <v>0.98939999999999995</v>
      </c>
      <c r="H571" s="28">
        <v>39964</v>
      </c>
      <c r="I571" s="29">
        <f t="shared" si="328"/>
        <v>2009</v>
      </c>
      <c r="J571" s="1" t="s">
        <v>4844</v>
      </c>
      <c r="K571" s="1" t="s">
        <v>7</v>
      </c>
      <c r="L571" s="11" t="str">
        <f t="shared" ref="L571" si="352">IF(OR(A571=J571,A571=K571),"ДА","НЕТ")</f>
        <v>НЕТ</v>
      </c>
      <c r="M571" s="10" t="s">
        <v>1575</v>
      </c>
      <c r="N571" s="10" t="s">
        <v>1575</v>
      </c>
      <c r="O571" s="10">
        <v>4.9289999999999997E-6</v>
      </c>
      <c r="P571" s="10">
        <f t="shared" si="309"/>
        <v>4.9818071558520314E-6</v>
      </c>
      <c r="Q571" s="10" t="str">
        <f t="shared" si="310"/>
        <v>NA</v>
      </c>
      <c r="R571" s="10" t="s">
        <v>1575</v>
      </c>
      <c r="S571" s="10" t="s">
        <v>1575</v>
      </c>
      <c r="T571" s="10" t="s">
        <v>1575</v>
      </c>
      <c r="U571" s="10" t="s">
        <v>1575</v>
      </c>
      <c r="V571" s="10">
        <v>19.21</v>
      </c>
      <c r="W571" s="10" t="s">
        <v>1575</v>
      </c>
      <c r="X571" s="10" t="str">
        <f t="shared" si="311"/>
        <v>NA</v>
      </c>
      <c r="Y571" s="10" t="str">
        <f t="shared" si="312"/>
        <v>NA</v>
      </c>
      <c r="Z571" s="10" t="str">
        <f t="shared" si="313"/>
        <v>NA</v>
      </c>
      <c r="AA571" s="10">
        <f t="shared" si="314"/>
        <v>2.5933405288141758E-7</v>
      </c>
      <c r="AB571" s="10" t="str">
        <f t="shared" si="315"/>
        <v>NA</v>
      </c>
      <c r="AC571" s="10" t="str">
        <f t="shared" si="316"/>
        <v>NA</v>
      </c>
      <c r="AD571" s="10" t="str">
        <f t="shared" si="317"/>
        <v>NA</v>
      </c>
      <c r="AE571" s="10" t="str">
        <f t="shared" si="318"/>
        <v>NA</v>
      </c>
      <c r="AF571" s="1" t="s">
        <v>4937</v>
      </c>
    </row>
    <row r="572" spans="1:32" x14ac:dyDescent="0.2">
      <c r="A572" s="1" t="s">
        <v>5588</v>
      </c>
      <c r="B572" s="1" t="s">
        <v>5</v>
      </c>
      <c r="C572" s="1" t="s">
        <v>1575</v>
      </c>
      <c r="D572" s="1" t="s">
        <v>1580</v>
      </c>
      <c r="E572" s="1" t="s">
        <v>1593</v>
      </c>
      <c r="F572" s="1" t="s">
        <v>545</v>
      </c>
      <c r="G572" s="13">
        <v>0.99997499999999995</v>
      </c>
      <c r="H572" s="28">
        <v>40178</v>
      </c>
      <c r="I572" s="29">
        <f t="shared" si="328"/>
        <v>2009</v>
      </c>
      <c r="J572" s="1" t="s">
        <v>4844</v>
      </c>
      <c r="K572" s="1" t="s">
        <v>7</v>
      </c>
      <c r="L572" s="11" t="str">
        <f t="shared" ref="L572" si="353">IF(OR(A572=J572,A572=K572),"ДА","НЕТ")</f>
        <v>НЕТ</v>
      </c>
      <c r="M572" s="10" t="s">
        <v>1575</v>
      </c>
      <c r="N572" s="10" t="s">
        <v>1575</v>
      </c>
      <c r="O572" s="10">
        <f>0.025+0.795</f>
        <v>0.82000000000000006</v>
      </c>
      <c r="P572" s="10">
        <f t="shared" si="309"/>
        <v>0.82002050051251296</v>
      </c>
      <c r="Q572" s="10" t="str">
        <f t="shared" si="310"/>
        <v>NA</v>
      </c>
      <c r="R572" s="10" t="s">
        <v>1575</v>
      </c>
      <c r="S572" s="10" t="s">
        <v>1575</v>
      </c>
      <c r="T572" s="10" t="s">
        <v>1575</v>
      </c>
      <c r="U572" s="10" t="s">
        <v>1575</v>
      </c>
      <c r="V572" s="10" t="s">
        <v>1575</v>
      </c>
      <c r="W572" s="10" t="s">
        <v>1575</v>
      </c>
      <c r="X572" s="10" t="str">
        <f t="shared" si="311"/>
        <v>NA</v>
      </c>
      <c r="Y572" s="10" t="str">
        <f t="shared" si="312"/>
        <v>NA</v>
      </c>
      <c r="Z572" s="10" t="str">
        <f t="shared" si="313"/>
        <v>NA</v>
      </c>
      <c r="AA572" s="10" t="str">
        <f t="shared" si="314"/>
        <v>NA</v>
      </c>
      <c r="AB572" s="10" t="str">
        <f t="shared" si="315"/>
        <v>NA</v>
      </c>
      <c r="AC572" s="10" t="str">
        <f t="shared" si="316"/>
        <v>NA</v>
      </c>
      <c r="AD572" s="10" t="str">
        <f t="shared" si="317"/>
        <v>NA</v>
      </c>
      <c r="AE572" s="10" t="str">
        <f t="shared" si="318"/>
        <v>NA</v>
      </c>
      <c r="AF572" s="1" t="s">
        <v>4946</v>
      </c>
    </row>
    <row r="573" spans="1:32" x14ac:dyDescent="0.2">
      <c r="A573" s="1" t="s">
        <v>5567</v>
      </c>
      <c r="B573" s="1" t="s">
        <v>5</v>
      </c>
      <c r="C573" s="1" t="s">
        <v>1575</v>
      </c>
      <c r="D573" s="1" t="s">
        <v>1580</v>
      </c>
      <c r="E573" s="1" t="s">
        <v>1587</v>
      </c>
      <c r="F573" s="1" t="s">
        <v>4870</v>
      </c>
      <c r="G573" s="13">
        <v>1</v>
      </c>
      <c r="H573" s="28">
        <v>40178</v>
      </c>
      <c r="I573" s="29">
        <f t="shared" si="328"/>
        <v>2009</v>
      </c>
      <c r="J573" s="1" t="s">
        <v>4844</v>
      </c>
      <c r="K573" s="1" t="s">
        <v>7</v>
      </c>
      <c r="L573" s="11" t="str">
        <f t="shared" ref="L573" si="354">IF(OR(A573=J573,A573=K573),"ДА","НЕТ")</f>
        <v>НЕТ</v>
      </c>
      <c r="M573" s="10" t="s">
        <v>1575</v>
      </c>
      <c r="N573" s="10" t="s">
        <v>1575</v>
      </c>
      <c r="O573" s="10">
        <v>0.4</v>
      </c>
      <c r="P573" s="10">
        <f t="shared" si="309"/>
        <v>0.4</v>
      </c>
      <c r="Q573" s="10" t="str">
        <f t="shared" si="310"/>
        <v>NA</v>
      </c>
      <c r="R573" s="10" t="s">
        <v>1575</v>
      </c>
      <c r="S573" s="10" t="s">
        <v>1575</v>
      </c>
      <c r="T573" s="10" t="s">
        <v>1575</v>
      </c>
      <c r="U573" s="10" t="s">
        <v>1575</v>
      </c>
      <c r="V573" s="10" t="s">
        <v>1575</v>
      </c>
      <c r="W573" s="10" t="s">
        <v>1575</v>
      </c>
      <c r="X573" s="10" t="str">
        <f t="shared" si="311"/>
        <v>NA</v>
      </c>
      <c r="Y573" s="10" t="str">
        <f t="shared" si="312"/>
        <v>NA</v>
      </c>
      <c r="Z573" s="10" t="str">
        <f t="shared" si="313"/>
        <v>NA</v>
      </c>
      <c r="AA573" s="10" t="str">
        <f t="shared" si="314"/>
        <v>NA</v>
      </c>
      <c r="AB573" s="10" t="str">
        <f t="shared" si="315"/>
        <v>NA</v>
      </c>
      <c r="AC573" s="10" t="str">
        <f t="shared" si="316"/>
        <v>NA</v>
      </c>
      <c r="AD573" s="10" t="str">
        <f t="shared" si="317"/>
        <v>NA</v>
      </c>
      <c r="AE573" s="10" t="str">
        <f t="shared" si="318"/>
        <v>NA</v>
      </c>
      <c r="AF573" s="1" t="s">
        <v>4940</v>
      </c>
    </row>
    <row r="574" spans="1:32" x14ac:dyDescent="0.2">
      <c r="A574" s="1" t="s">
        <v>5566</v>
      </c>
      <c r="B574" s="1" t="s">
        <v>91</v>
      </c>
      <c r="C574" s="1" t="s">
        <v>1575</v>
      </c>
      <c r="D574" s="1" t="s">
        <v>1580</v>
      </c>
      <c r="E574" s="1" t="s">
        <v>1694</v>
      </c>
      <c r="F574" s="1" t="s">
        <v>4719</v>
      </c>
      <c r="G574" s="14" t="s">
        <v>4944</v>
      </c>
      <c r="H574" s="28">
        <v>39828</v>
      </c>
      <c r="I574" s="29">
        <f t="shared" si="328"/>
        <v>2009</v>
      </c>
      <c r="J574" s="1" t="s">
        <v>4844</v>
      </c>
      <c r="K574" s="1" t="s">
        <v>7</v>
      </c>
      <c r="L574" s="11" t="str">
        <f t="shared" ref="L574" si="355">IF(OR(A574=J574,A574=K574),"ДА","НЕТ")</f>
        <v>НЕТ</v>
      </c>
      <c r="M574" s="10" t="s">
        <v>1575</v>
      </c>
      <c r="N574" s="10" t="s">
        <v>1575</v>
      </c>
      <c r="O574" s="10">
        <v>6.9039999999999999</v>
      </c>
      <c r="P574" s="10" t="str">
        <f t="shared" si="309"/>
        <v>NA</v>
      </c>
      <c r="Q574" s="10" t="str">
        <f t="shared" si="310"/>
        <v>NA</v>
      </c>
      <c r="R574" s="10" t="s">
        <v>1575</v>
      </c>
      <c r="S574" s="10" t="s">
        <v>1575</v>
      </c>
      <c r="T574" s="10" t="s">
        <v>1575</v>
      </c>
      <c r="U574" s="10">
        <v>-12.842000000000001</v>
      </c>
      <c r="V574" s="10">
        <v>11.73</v>
      </c>
      <c r="W574" s="10" t="s">
        <v>1575</v>
      </c>
      <c r="X574" s="10" t="str">
        <f t="shared" si="311"/>
        <v>NA</v>
      </c>
      <c r="Y574" s="10" t="str">
        <f t="shared" si="312"/>
        <v>NA</v>
      </c>
      <c r="Z574" s="10" t="str">
        <f t="shared" si="313"/>
        <v>NA</v>
      </c>
      <c r="AA574" s="10" t="str">
        <f t="shared" si="314"/>
        <v>NA</v>
      </c>
      <c r="AB574" s="10" t="str">
        <f t="shared" si="315"/>
        <v>NA</v>
      </c>
      <c r="AC574" s="10" t="str">
        <f t="shared" si="316"/>
        <v>NA</v>
      </c>
      <c r="AD574" s="10" t="str">
        <f t="shared" si="317"/>
        <v>NA</v>
      </c>
      <c r="AE574" s="10" t="str">
        <f t="shared" si="318"/>
        <v>NA</v>
      </c>
      <c r="AF574" s="1" t="s">
        <v>4945</v>
      </c>
    </row>
    <row r="575" spans="1:32" x14ac:dyDescent="0.2">
      <c r="A575" s="1" t="s">
        <v>5571</v>
      </c>
      <c r="B575" s="1" t="s">
        <v>5</v>
      </c>
      <c r="C575" s="1" t="s">
        <v>1575</v>
      </c>
      <c r="D575" s="1" t="s">
        <v>1580</v>
      </c>
      <c r="E575" s="1" t="s">
        <v>1694</v>
      </c>
      <c r="F575" s="1" t="s">
        <v>4719</v>
      </c>
      <c r="G575" s="13" t="s">
        <v>1575</v>
      </c>
      <c r="H575" s="28">
        <v>39964</v>
      </c>
      <c r="I575" s="29">
        <f t="shared" si="328"/>
        <v>2009</v>
      </c>
      <c r="J575" s="1" t="s">
        <v>4844</v>
      </c>
      <c r="K575" s="1" t="s">
        <v>7</v>
      </c>
      <c r="L575" s="11" t="str">
        <f t="shared" ref="L575:L577" si="356">IF(OR(A575=J575,A575=K575),"ДА","НЕТ")</f>
        <v>НЕТ</v>
      </c>
      <c r="M575" s="10" t="s">
        <v>1575</v>
      </c>
      <c r="N575" s="10" t="s">
        <v>1575</v>
      </c>
      <c r="O575" s="10">
        <v>5.1799999999999997E-3</v>
      </c>
      <c r="P575" s="10" t="str">
        <f t="shared" si="309"/>
        <v>NA</v>
      </c>
      <c r="Q575" s="10" t="str">
        <f t="shared" si="310"/>
        <v>NA</v>
      </c>
      <c r="R575" s="10" t="s">
        <v>1575</v>
      </c>
      <c r="S575" s="10" t="s">
        <v>1575</v>
      </c>
      <c r="T575" s="10" t="s">
        <v>1575</v>
      </c>
      <c r="U575" s="10" t="s">
        <v>1575</v>
      </c>
      <c r="V575" s="10" t="s">
        <v>1575</v>
      </c>
      <c r="W575" s="10" t="s">
        <v>1575</v>
      </c>
      <c r="X575" s="10" t="str">
        <f t="shared" si="311"/>
        <v>NA</v>
      </c>
      <c r="Y575" s="10" t="str">
        <f t="shared" si="312"/>
        <v>NA</v>
      </c>
      <c r="Z575" s="10" t="str">
        <f t="shared" si="313"/>
        <v>NA</v>
      </c>
      <c r="AA575" s="10" t="str">
        <f t="shared" si="314"/>
        <v>NA</v>
      </c>
      <c r="AB575" s="10" t="str">
        <f t="shared" si="315"/>
        <v>NA</v>
      </c>
      <c r="AC575" s="10" t="str">
        <f t="shared" si="316"/>
        <v>NA</v>
      </c>
      <c r="AD575" s="10" t="str">
        <f t="shared" si="317"/>
        <v>NA</v>
      </c>
      <c r="AE575" s="10" t="str">
        <f t="shared" si="318"/>
        <v>NA</v>
      </c>
      <c r="AF575" s="1" t="s">
        <v>4941</v>
      </c>
    </row>
    <row r="576" spans="1:32" x14ac:dyDescent="0.2">
      <c r="A576" s="1" t="s">
        <v>5571</v>
      </c>
      <c r="B576" s="1" t="s">
        <v>5</v>
      </c>
      <c r="C576" s="1" t="s">
        <v>1575</v>
      </c>
      <c r="D576" s="1" t="s">
        <v>1580</v>
      </c>
      <c r="E576" s="1" t="s">
        <v>1694</v>
      </c>
      <c r="F576" s="1" t="s">
        <v>4719</v>
      </c>
      <c r="G576" s="13">
        <f>99.47%-90%</f>
        <v>9.4700000000000006E-2</v>
      </c>
      <c r="H576" s="28">
        <v>40086</v>
      </c>
      <c r="I576" s="29">
        <f t="shared" si="328"/>
        <v>2009</v>
      </c>
      <c r="J576" s="1" t="s">
        <v>4844</v>
      </c>
      <c r="K576" s="1" t="s">
        <v>7</v>
      </c>
      <c r="L576" s="11" t="str">
        <f t="shared" si="356"/>
        <v>НЕТ</v>
      </c>
      <c r="M576" s="10" t="s">
        <v>1575</v>
      </c>
      <c r="N576" s="10" t="s">
        <v>1575</v>
      </c>
      <c r="O576" s="10" t="s">
        <v>1575</v>
      </c>
      <c r="P576" s="10" t="str">
        <f t="shared" si="309"/>
        <v>NA</v>
      </c>
      <c r="Q576" s="10" t="str">
        <f t="shared" si="310"/>
        <v>NA</v>
      </c>
      <c r="R576" s="10" t="s">
        <v>1575</v>
      </c>
      <c r="S576" s="10" t="s">
        <v>1575</v>
      </c>
      <c r="T576" s="10" t="s">
        <v>1575</v>
      </c>
      <c r="U576" s="10" t="s">
        <v>1575</v>
      </c>
      <c r="V576" s="10" t="s">
        <v>1575</v>
      </c>
      <c r="W576" s="10" t="s">
        <v>1575</v>
      </c>
      <c r="X576" s="10" t="str">
        <f t="shared" si="311"/>
        <v>NA</v>
      </c>
      <c r="Y576" s="10" t="str">
        <f t="shared" si="312"/>
        <v>NA</v>
      </c>
      <c r="Z576" s="10" t="str">
        <f t="shared" si="313"/>
        <v>NA</v>
      </c>
      <c r="AA576" s="10" t="str">
        <f t="shared" si="314"/>
        <v>NA</v>
      </c>
      <c r="AB576" s="10" t="str">
        <f t="shared" si="315"/>
        <v>NA</v>
      </c>
      <c r="AC576" s="10" t="str">
        <f t="shared" si="316"/>
        <v>NA</v>
      </c>
      <c r="AD576" s="10" t="str">
        <f t="shared" si="317"/>
        <v>NA</v>
      </c>
      <c r="AE576" s="10" t="str">
        <f t="shared" si="318"/>
        <v>NA</v>
      </c>
      <c r="AF576" s="1" t="s">
        <v>4942</v>
      </c>
    </row>
    <row r="577" spans="1:32" x14ac:dyDescent="0.2">
      <c r="A577" s="1" t="s">
        <v>5571</v>
      </c>
      <c r="B577" s="1" t="s">
        <v>5</v>
      </c>
      <c r="C577" s="1" t="s">
        <v>1575</v>
      </c>
      <c r="D577" s="1" t="s">
        <v>1580</v>
      </c>
      <c r="E577" s="1" t="s">
        <v>1694</v>
      </c>
      <c r="F577" s="1" t="s">
        <v>4719</v>
      </c>
      <c r="G577" s="13">
        <v>0.9</v>
      </c>
      <c r="H577" s="28">
        <v>39813</v>
      </c>
      <c r="I577" s="29">
        <f t="shared" si="328"/>
        <v>2008</v>
      </c>
      <c r="J577" s="1" t="s">
        <v>4844</v>
      </c>
      <c r="K577" s="1" t="s">
        <v>7</v>
      </c>
      <c r="L577" s="11" t="str">
        <f t="shared" si="356"/>
        <v>НЕТ</v>
      </c>
      <c r="M577" s="10" t="s">
        <v>1575</v>
      </c>
      <c r="N577" s="10" t="s">
        <v>1575</v>
      </c>
      <c r="O577" s="10">
        <v>3.972</v>
      </c>
      <c r="P577" s="10">
        <f t="shared" si="309"/>
        <v>4.4133333333333331</v>
      </c>
      <c r="Q577" s="10" t="str">
        <f t="shared" si="310"/>
        <v>NA</v>
      </c>
      <c r="R577" s="10" t="s">
        <v>1575</v>
      </c>
      <c r="S577" s="10" t="s">
        <v>1575</v>
      </c>
      <c r="T577" s="10" t="s">
        <v>1575</v>
      </c>
      <c r="U577" s="10" t="s">
        <v>1575</v>
      </c>
      <c r="V577" s="10" t="s">
        <v>1575</v>
      </c>
      <c r="W577" s="10" t="s">
        <v>1575</v>
      </c>
      <c r="X577" s="10" t="str">
        <f t="shared" si="311"/>
        <v>NA</v>
      </c>
      <c r="Y577" s="10" t="str">
        <f t="shared" si="312"/>
        <v>NA</v>
      </c>
      <c r="Z577" s="10" t="str">
        <f t="shared" si="313"/>
        <v>NA</v>
      </c>
      <c r="AA577" s="10" t="str">
        <f t="shared" si="314"/>
        <v>NA</v>
      </c>
      <c r="AB577" s="10" t="str">
        <f t="shared" si="315"/>
        <v>NA</v>
      </c>
      <c r="AC577" s="10" t="str">
        <f t="shared" si="316"/>
        <v>NA</v>
      </c>
      <c r="AD577" s="10" t="str">
        <f t="shared" si="317"/>
        <v>NA</v>
      </c>
      <c r="AE577" s="10" t="str">
        <f t="shared" si="318"/>
        <v>NA</v>
      </c>
      <c r="AF577" s="1" t="s">
        <v>4943</v>
      </c>
    </row>
    <row r="578" spans="1:32" x14ac:dyDescent="0.2">
      <c r="A578" s="1" t="s">
        <v>5570</v>
      </c>
      <c r="B578" s="1" t="s">
        <v>5</v>
      </c>
      <c r="C578" s="1" t="s">
        <v>1575</v>
      </c>
      <c r="D578" s="1" t="s">
        <v>1580</v>
      </c>
      <c r="E578" s="1" t="s">
        <v>2057</v>
      </c>
      <c r="F578" s="1" t="s">
        <v>434</v>
      </c>
      <c r="G578" s="13">
        <v>0.78069999999999995</v>
      </c>
      <c r="H578" s="28">
        <v>39568</v>
      </c>
      <c r="I578" s="29">
        <f t="shared" si="328"/>
        <v>2008</v>
      </c>
      <c r="J578" s="1" t="s">
        <v>4844</v>
      </c>
      <c r="K578" s="1" t="s">
        <v>7</v>
      </c>
      <c r="L578" s="11" t="str">
        <f t="shared" ref="L578:L579" si="357">IF(OR(A578=J578,A578=K578),"ДА","НЕТ")</f>
        <v>НЕТ</v>
      </c>
      <c r="M578" s="10" t="s">
        <v>1575</v>
      </c>
      <c r="N578" s="10" t="s">
        <v>1575</v>
      </c>
      <c r="O578" s="10">
        <f>2.246+1.742</f>
        <v>3.988</v>
      </c>
      <c r="P578" s="10">
        <f t="shared" si="309"/>
        <v>5.108236198283592</v>
      </c>
      <c r="Q578" s="10" t="str">
        <f t="shared" si="310"/>
        <v>NA</v>
      </c>
      <c r="R578" s="10" t="s">
        <v>1575</v>
      </c>
      <c r="S578" s="10" t="s">
        <v>1575</v>
      </c>
      <c r="T578" s="10" t="s">
        <v>1575</v>
      </c>
      <c r="U578" s="10" t="s">
        <v>1575</v>
      </c>
      <c r="V578" s="10" t="s">
        <v>1575</v>
      </c>
      <c r="W578" s="10" t="s">
        <v>1575</v>
      </c>
      <c r="X578" s="10" t="str">
        <f t="shared" si="311"/>
        <v>NA</v>
      </c>
      <c r="Y578" s="10" t="str">
        <f t="shared" si="312"/>
        <v>NA</v>
      </c>
      <c r="Z578" s="10" t="str">
        <f t="shared" si="313"/>
        <v>NA</v>
      </c>
      <c r="AA578" s="10" t="str">
        <f t="shared" si="314"/>
        <v>NA</v>
      </c>
      <c r="AB578" s="10" t="str">
        <f t="shared" si="315"/>
        <v>NA</v>
      </c>
      <c r="AC578" s="10" t="str">
        <f t="shared" si="316"/>
        <v>NA</v>
      </c>
      <c r="AD578" s="10" t="str">
        <f t="shared" si="317"/>
        <v>NA</v>
      </c>
      <c r="AE578" s="10" t="str">
        <f t="shared" si="318"/>
        <v>NA</v>
      </c>
      <c r="AF578" s="1" t="s">
        <v>4949</v>
      </c>
    </row>
    <row r="579" spans="1:32" x14ac:dyDescent="0.2">
      <c r="A579" s="1" t="s">
        <v>5584</v>
      </c>
      <c r="B579" s="1" t="s">
        <v>32</v>
      </c>
      <c r="C579" s="1" t="s">
        <v>1575</v>
      </c>
      <c r="D579" s="1" t="s">
        <v>1580</v>
      </c>
      <c r="E579" s="1" t="s">
        <v>1694</v>
      </c>
      <c r="F579" s="1" t="s">
        <v>4719</v>
      </c>
      <c r="G579" s="13" t="s">
        <v>1575</v>
      </c>
      <c r="H579" s="28">
        <v>40178</v>
      </c>
      <c r="I579" s="29">
        <f t="shared" si="328"/>
        <v>2009</v>
      </c>
      <c r="J579" s="1" t="s">
        <v>4844</v>
      </c>
      <c r="K579" s="1" t="s">
        <v>7</v>
      </c>
      <c r="L579" s="11" t="str">
        <f t="shared" si="357"/>
        <v>НЕТ</v>
      </c>
      <c r="M579" s="10" t="s">
        <v>1575</v>
      </c>
      <c r="N579" s="10" t="s">
        <v>1575</v>
      </c>
      <c r="O579" s="10">
        <v>2.8639999999999999</v>
      </c>
      <c r="P579" s="10" t="str">
        <f t="shared" ref="P579:P642" si="358">IFERROR(O579/G579,"NA")</f>
        <v>NA</v>
      </c>
      <c r="Q579" s="10" t="str">
        <f t="shared" ref="Q579:Q642" si="359">IFERROR(P579+W579,"NA")</f>
        <v>NA</v>
      </c>
      <c r="R579" s="10" t="s">
        <v>1575</v>
      </c>
      <c r="S579" s="10" t="s">
        <v>1575</v>
      </c>
      <c r="T579" s="10" t="s">
        <v>1575</v>
      </c>
      <c r="U579" s="10">
        <v>0.46100000000000002</v>
      </c>
      <c r="V579" s="10" t="s">
        <v>1575</v>
      </c>
      <c r="W579" s="10" t="s">
        <v>1575</v>
      </c>
      <c r="X579" s="10" t="str">
        <f t="shared" ref="X579:X637" si="360">IFERROR(V579+W579,"NA")</f>
        <v>NA</v>
      </c>
      <c r="Y579" s="10" t="str">
        <f t="shared" ref="Y579:Y637" si="361">IFERROR(P579/R579,"NA")</f>
        <v>NA</v>
      </c>
      <c r="Z579" s="10" t="str">
        <f t="shared" ref="Z579:Z637" si="362">IFERROR(P579/U579,"NA")</f>
        <v>NA</v>
      </c>
      <c r="AA579" s="10" t="str">
        <f t="shared" ref="AA579:AA637" si="363">IFERROR(P579/V579,"NA")</f>
        <v>NA</v>
      </c>
      <c r="AB579" s="10" t="str">
        <f t="shared" ref="AB579:AB637" si="364">IFERROR(Q579/R579,"NA")</f>
        <v>NA</v>
      </c>
      <c r="AC579" s="10" t="str">
        <f t="shared" ref="AC579:AC637" si="365">IFERROR(Q579/S579,"NA")</f>
        <v>NA</v>
      </c>
      <c r="AD579" s="10" t="str">
        <f t="shared" ref="AD579:AD637" si="366">IFERROR(Q579/T579,"NA")</f>
        <v>NA</v>
      </c>
      <c r="AE579" s="10" t="str">
        <f t="shared" ref="AE579:AE637" si="367">IFERROR(Q579/X579,"NA")</f>
        <v>NA</v>
      </c>
      <c r="AF579" s="1" t="s">
        <v>4950</v>
      </c>
    </row>
    <row r="580" spans="1:32" x14ac:dyDescent="0.2">
      <c r="A580" s="1" t="s">
        <v>5584</v>
      </c>
      <c r="B580" s="1" t="s">
        <v>32</v>
      </c>
      <c r="C580" s="1" t="s">
        <v>1575</v>
      </c>
      <c r="D580" s="1" t="s">
        <v>1580</v>
      </c>
      <c r="E580" s="1" t="s">
        <v>1694</v>
      </c>
      <c r="F580" s="1" t="s">
        <v>4719</v>
      </c>
      <c r="G580" s="13">
        <f>3054980370/(3054980370+129389851)</f>
        <v>0.95936720857810087</v>
      </c>
      <c r="H580" s="28">
        <v>39813</v>
      </c>
      <c r="I580" s="29">
        <f t="shared" si="328"/>
        <v>2008</v>
      </c>
      <c r="J580" s="1" t="s">
        <v>4844</v>
      </c>
      <c r="K580" s="1" t="s">
        <v>7</v>
      </c>
      <c r="L580" s="11" t="str">
        <f t="shared" ref="L580" si="368">IF(OR(A580=J580,A580=K580),"ДА","НЕТ")</f>
        <v>НЕТ</v>
      </c>
      <c r="M580" s="10" t="s">
        <v>1575</v>
      </c>
      <c r="N580" s="10" t="s">
        <v>1575</v>
      </c>
      <c r="O580" s="10">
        <v>4.5919999999999996</v>
      </c>
      <c r="P580" s="10">
        <f t="shared" si="358"/>
        <v>4.7864883841567849</v>
      </c>
      <c r="Q580" s="10" t="str">
        <f t="shared" si="359"/>
        <v>NA</v>
      </c>
      <c r="R580" s="10" t="s">
        <v>1575</v>
      </c>
      <c r="S580" s="10" t="s">
        <v>1575</v>
      </c>
      <c r="T580" s="10" t="s">
        <v>1575</v>
      </c>
      <c r="U580" s="10">
        <v>0.31900000000000001</v>
      </c>
      <c r="V580" s="10" t="s">
        <v>1575</v>
      </c>
      <c r="W580" s="10" t="s">
        <v>1575</v>
      </c>
      <c r="X580" s="10" t="str">
        <f t="shared" si="360"/>
        <v>NA</v>
      </c>
      <c r="Y580" s="10" t="str">
        <f t="shared" si="361"/>
        <v>NA</v>
      </c>
      <c r="Z580" s="10">
        <f t="shared" si="362"/>
        <v>15.004665781055753</v>
      </c>
      <c r="AA580" s="10" t="str">
        <f t="shared" si="363"/>
        <v>NA</v>
      </c>
      <c r="AB580" s="10" t="str">
        <f t="shared" si="364"/>
        <v>NA</v>
      </c>
      <c r="AC580" s="10" t="str">
        <f t="shared" si="365"/>
        <v>NA</v>
      </c>
      <c r="AD580" s="10" t="str">
        <f t="shared" si="366"/>
        <v>NA</v>
      </c>
      <c r="AE580" s="10" t="str">
        <f t="shared" si="367"/>
        <v>NA</v>
      </c>
      <c r="AF580" s="1" t="s">
        <v>4951</v>
      </c>
    </row>
    <row r="581" spans="1:32" x14ac:dyDescent="0.2">
      <c r="A581" s="1" t="s">
        <v>5584</v>
      </c>
      <c r="B581" s="1" t="s">
        <v>32</v>
      </c>
      <c r="C581" s="1" t="s">
        <v>1575</v>
      </c>
      <c r="D581" s="1" t="s">
        <v>1580</v>
      </c>
      <c r="E581" s="1" t="s">
        <v>1694</v>
      </c>
      <c r="F581" s="1" t="s">
        <v>4719</v>
      </c>
      <c r="G581" s="13">
        <f>129389851/(3054980370+129389851)</f>
        <v>4.0632791421899184E-2</v>
      </c>
      <c r="H581" s="28">
        <v>39447</v>
      </c>
      <c r="I581" s="29">
        <f t="shared" si="328"/>
        <v>2007</v>
      </c>
      <c r="J581" s="1" t="s">
        <v>4844</v>
      </c>
      <c r="K581" s="1" t="s">
        <v>7</v>
      </c>
      <c r="L581" s="11" t="str">
        <f t="shared" ref="L581" si="369">IF(OR(A581=J581,A581=K581),"ДА","НЕТ")</f>
        <v>НЕТ</v>
      </c>
      <c r="M581" s="10" t="s">
        <v>1575</v>
      </c>
      <c r="N581" s="10" t="s">
        <v>1575</v>
      </c>
      <c r="O581" s="10">
        <f>4.5*129389851/10^9</f>
        <v>0.5822543295</v>
      </c>
      <c r="P581" s="10">
        <f t="shared" si="358"/>
        <v>14.329665994499999</v>
      </c>
      <c r="Q581" s="10" t="str">
        <f t="shared" si="359"/>
        <v>NA</v>
      </c>
      <c r="R581" s="10" t="s">
        <v>1575</v>
      </c>
      <c r="S581" s="10" t="s">
        <v>1575</v>
      </c>
      <c r="T581" s="10" t="s">
        <v>1575</v>
      </c>
      <c r="U581" s="10" t="s">
        <v>1575</v>
      </c>
      <c r="V581" s="10" t="s">
        <v>1575</v>
      </c>
      <c r="W581" s="10" t="s">
        <v>1575</v>
      </c>
      <c r="X581" s="10" t="str">
        <f t="shared" si="360"/>
        <v>NA</v>
      </c>
      <c r="Y581" s="10" t="str">
        <f t="shared" si="361"/>
        <v>NA</v>
      </c>
      <c r="Z581" s="10" t="str">
        <f t="shared" si="362"/>
        <v>NA</v>
      </c>
      <c r="AA581" s="10" t="str">
        <f t="shared" si="363"/>
        <v>NA</v>
      </c>
      <c r="AB581" s="10" t="str">
        <f t="shared" si="364"/>
        <v>NA</v>
      </c>
      <c r="AC581" s="10" t="str">
        <f t="shared" si="365"/>
        <v>NA</v>
      </c>
      <c r="AD581" s="10" t="str">
        <f t="shared" si="366"/>
        <v>NA</v>
      </c>
      <c r="AE581" s="10" t="str">
        <f t="shared" si="367"/>
        <v>NA</v>
      </c>
      <c r="AF581" s="1" t="s">
        <v>4951</v>
      </c>
    </row>
    <row r="582" spans="1:32" x14ac:dyDescent="0.2">
      <c r="A582" s="1" t="s">
        <v>4956</v>
      </c>
      <c r="B582" s="1" t="s">
        <v>5</v>
      </c>
      <c r="C582" s="1" t="s">
        <v>4957</v>
      </c>
      <c r="D582" s="1" t="s">
        <v>1580</v>
      </c>
      <c r="E582" s="1" t="s">
        <v>1694</v>
      </c>
      <c r="F582" s="1" t="s">
        <v>4719</v>
      </c>
      <c r="G582" s="13">
        <f>103010/(56490000+100000)</f>
        <v>1.8202862696589503E-3</v>
      </c>
      <c r="H582" s="28">
        <v>42916</v>
      </c>
      <c r="I582" s="29">
        <f t="shared" si="328"/>
        <v>2017</v>
      </c>
      <c r="J582" s="1" t="s">
        <v>4956</v>
      </c>
      <c r="K582" s="1" t="s">
        <v>7</v>
      </c>
      <c r="L582" s="11" t="str">
        <f t="shared" ref="L582" si="370">IF(OR(A582=J582,A582=K582),"ДА","НЕТ")</f>
        <v>ДА</v>
      </c>
      <c r="M582" s="10" t="s">
        <v>1575</v>
      </c>
      <c r="N582" s="10" t="s">
        <v>1575</v>
      </c>
      <c r="O582" s="10">
        <v>6.7990000000000004E-3</v>
      </c>
      <c r="P582" s="10">
        <f t="shared" si="358"/>
        <v>3.7351267838073978</v>
      </c>
      <c r="Q582" s="10" t="str">
        <f t="shared" si="359"/>
        <v>NA</v>
      </c>
      <c r="R582" s="10" t="s">
        <v>1575</v>
      </c>
      <c r="S582" s="10" t="s">
        <v>1575</v>
      </c>
      <c r="T582" s="10" t="s">
        <v>1575</v>
      </c>
      <c r="U582" s="10">
        <v>8.9938000000000004E-2</v>
      </c>
      <c r="V582" s="10">
        <v>1.267841</v>
      </c>
      <c r="W582" s="10" t="s">
        <v>1575</v>
      </c>
      <c r="X582" s="10" t="str">
        <f t="shared" si="360"/>
        <v>NA</v>
      </c>
      <c r="Y582" s="10" t="str">
        <f t="shared" si="361"/>
        <v>NA</v>
      </c>
      <c r="Z582" s="10">
        <f t="shared" si="362"/>
        <v>41.530018277117541</v>
      </c>
      <c r="AA582" s="10">
        <f t="shared" si="363"/>
        <v>2.9460530017623645</v>
      </c>
      <c r="AB582" s="10" t="str">
        <f t="shared" si="364"/>
        <v>NA</v>
      </c>
      <c r="AC582" s="10" t="str">
        <f t="shared" si="365"/>
        <v>NA</v>
      </c>
      <c r="AD582" s="10" t="str">
        <f t="shared" si="366"/>
        <v>NA</v>
      </c>
      <c r="AE582" s="10" t="str">
        <f t="shared" si="367"/>
        <v>NA</v>
      </c>
      <c r="AF582" s="1" t="s">
        <v>4955</v>
      </c>
    </row>
    <row r="583" spans="1:32" x14ac:dyDescent="0.2">
      <c r="A583" s="1" t="s">
        <v>4754</v>
      </c>
      <c r="B583" s="1" t="s">
        <v>179</v>
      </c>
      <c r="C583" s="1" t="s">
        <v>1575</v>
      </c>
      <c r="D583" s="1" t="s">
        <v>1580</v>
      </c>
      <c r="E583" s="1" t="s">
        <v>1694</v>
      </c>
      <c r="F583" s="1" t="s">
        <v>4719</v>
      </c>
      <c r="G583" s="13">
        <v>1</v>
      </c>
      <c r="H583" s="28">
        <v>42369</v>
      </c>
      <c r="I583" s="29">
        <f t="shared" si="328"/>
        <v>2015</v>
      </c>
      <c r="J583" s="1" t="s">
        <v>4971</v>
      </c>
      <c r="K583" s="1" t="s">
        <v>7</v>
      </c>
      <c r="L583" s="11" t="str">
        <f t="shared" ref="L583" si="371">IF(OR(A583=J583,A583=K583),"ДА","НЕТ")</f>
        <v>НЕТ</v>
      </c>
      <c r="M583" s="10" t="s">
        <v>1575</v>
      </c>
      <c r="N583" s="10" t="s">
        <v>1575</v>
      </c>
      <c r="O583" s="10">
        <f>0.000071+0.250364</f>
        <v>0.25043499999999996</v>
      </c>
      <c r="P583" s="10">
        <f t="shared" si="358"/>
        <v>0.25043499999999996</v>
      </c>
      <c r="Q583" s="10" t="str">
        <f t="shared" si="359"/>
        <v>NA</v>
      </c>
      <c r="R583" s="10" t="s">
        <v>1575</v>
      </c>
      <c r="S583" s="10" t="s">
        <v>1575</v>
      </c>
      <c r="T583" s="10" t="s">
        <v>1575</v>
      </c>
      <c r="U583" s="10" t="s">
        <v>1575</v>
      </c>
      <c r="V583" s="10">
        <v>1.289828</v>
      </c>
      <c r="W583" s="10" t="s">
        <v>1575</v>
      </c>
      <c r="X583" s="10" t="str">
        <f t="shared" si="360"/>
        <v>NA</v>
      </c>
      <c r="Y583" s="10" t="str">
        <f t="shared" si="361"/>
        <v>NA</v>
      </c>
      <c r="Z583" s="10" t="str">
        <f t="shared" si="362"/>
        <v>NA</v>
      </c>
      <c r="AA583" s="10">
        <f t="shared" si="363"/>
        <v>0.19416154712101147</v>
      </c>
      <c r="AB583" s="10" t="str">
        <f t="shared" si="364"/>
        <v>NA</v>
      </c>
      <c r="AC583" s="10" t="str">
        <f t="shared" si="365"/>
        <v>NA</v>
      </c>
      <c r="AD583" s="10" t="str">
        <f t="shared" si="366"/>
        <v>NA</v>
      </c>
      <c r="AE583" s="10" t="str">
        <f t="shared" si="367"/>
        <v>NA</v>
      </c>
      <c r="AF583" s="1" t="s">
        <v>4972</v>
      </c>
    </row>
    <row r="584" spans="1:32" x14ac:dyDescent="0.2">
      <c r="A584" s="1" t="s">
        <v>5589</v>
      </c>
      <c r="B584" s="1" t="s">
        <v>5</v>
      </c>
      <c r="C584" s="1" t="s">
        <v>1575</v>
      </c>
      <c r="D584" s="1" t="s">
        <v>1580</v>
      </c>
      <c r="E584" s="1" t="s">
        <v>2057</v>
      </c>
      <c r="F584" s="1" t="s">
        <v>434</v>
      </c>
      <c r="G584" s="13">
        <v>1</v>
      </c>
      <c r="H584" s="28">
        <v>41729</v>
      </c>
      <c r="I584" s="29">
        <f t="shared" si="328"/>
        <v>2014</v>
      </c>
      <c r="J584" s="1" t="s">
        <v>7</v>
      </c>
      <c r="K584" s="1" t="s">
        <v>4971</v>
      </c>
      <c r="L584" s="11" t="str">
        <f t="shared" ref="L584" si="372">IF(OR(A584=J584,A584=K584),"ДА","НЕТ")</f>
        <v>НЕТ</v>
      </c>
      <c r="M584" s="10" t="s">
        <v>1575</v>
      </c>
      <c r="N584" s="10" t="s">
        <v>1575</v>
      </c>
      <c r="O584" s="10">
        <v>0.35256700000000002</v>
      </c>
      <c r="P584" s="10">
        <f t="shared" si="358"/>
        <v>0.35256700000000002</v>
      </c>
      <c r="Q584" s="10" t="str">
        <f t="shared" si="359"/>
        <v>NA</v>
      </c>
      <c r="R584" s="10" t="s">
        <v>1575</v>
      </c>
      <c r="S584" s="10" t="s">
        <v>1575</v>
      </c>
      <c r="T584" s="10" t="s">
        <v>1575</v>
      </c>
      <c r="U584" s="10" t="s">
        <v>1575</v>
      </c>
      <c r="V584" s="10">
        <v>-4.0711999999999998E-2</v>
      </c>
      <c r="W584" s="10" t="s">
        <v>1575</v>
      </c>
      <c r="X584" s="10" t="str">
        <f t="shared" si="360"/>
        <v>NA</v>
      </c>
      <c r="Y584" s="10" t="str">
        <f t="shared" si="361"/>
        <v>NA</v>
      </c>
      <c r="Z584" s="10" t="str">
        <f t="shared" si="362"/>
        <v>NA</v>
      </c>
      <c r="AA584" s="10">
        <f t="shared" si="363"/>
        <v>-8.660026527805071</v>
      </c>
      <c r="AB584" s="10" t="str">
        <f t="shared" si="364"/>
        <v>NA</v>
      </c>
      <c r="AC584" s="10" t="str">
        <f t="shared" si="365"/>
        <v>NA</v>
      </c>
      <c r="AD584" s="10" t="str">
        <f t="shared" si="366"/>
        <v>NA</v>
      </c>
      <c r="AE584" s="10" t="str">
        <f t="shared" si="367"/>
        <v>NA</v>
      </c>
      <c r="AF584" s="1" t="s">
        <v>4973</v>
      </c>
    </row>
    <row r="585" spans="1:32" x14ac:dyDescent="0.2">
      <c r="A585" s="1" t="s">
        <v>5590</v>
      </c>
      <c r="B585" s="1" t="s">
        <v>5</v>
      </c>
      <c r="C585" s="1" t="s">
        <v>1575</v>
      </c>
      <c r="D585" s="1" t="s">
        <v>1580</v>
      </c>
      <c r="E585" s="1" t="s">
        <v>1694</v>
      </c>
      <c r="F585" s="1" t="s">
        <v>4719</v>
      </c>
      <c r="G585" s="13">
        <v>1</v>
      </c>
      <c r="H585" s="28">
        <v>42004</v>
      </c>
      <c r="I585" s="29">
        <f t="shared" si="328"/>
        <v>2014</v>
      </c>
      <c r="J585" s="1" t="s">
        <v>4971</v>
      </c>
      <c r="K585" s="1" t="s">
        <v>7</v>
      </c>
      <c r="L585" s="11" t="str">
        <f t="shared" ref="L585:L586" si="373">IF(OR(A585=J585,A585=K585),"ДА","НЕТ")</f>
        <v>НЕТ</v>
      </c>
      <c r="M585" s="10" t="s">
        <v>1575</v>
      </c>
      <c r="N585" s="10" t="s">
        <v>1575</v>
      </c>
      <c r="O585" s="10">
        <v>0.97559600000000002</v>
      </c>
      <c r="P585" s="10">
        <f t="shared" si="358"/>
        <v>0.97559600000000002</v>
      </c>
      <c r="Q585" s="10" t="str">
        <f t="shared" si="359"/>
        <v>NA</v>
      </c>
      <c r="R585" s="10" t="s">
        <v>1575</v>
      </c>
      <c r="S585" s="10" t="s">
        <v>1575</v>
      </c>
      <c r="T585" s="10" t="s">
        <v>1575</v>
      </c>
      <c r="U585" s="10" t="s">
        <v>1575</v>
      </c>
      <c r="V585" s="10">
        <v>0.96895900000000001</v>
      </c>
      <c r="W585" s="10" t="s">
        <v>1575</v>
      </c>
      <c r="X585" s="10" t="str">
        <f t="shared" si="360"/>
        <v>NA</v>
      </c>
      <c r="Y585" s="10" t="str">
        <f t="shared" si="361"/>
        <v>NA</v>
      </c>
      <c r="Z585" s="10" t="str">
        <f t="shared" si="362"/>
        <v>NA</v>
      </c>
      <c r="AA585" s="10">
        <f t="shared" si="363"/>
        <v>1.0068496190241281</v>
      </c>
      <c r="AB585" s="10" t="str">
        <f t="shared" si="364"/>
        <v>NA</v>
      </c>
      <c r="AC585" s="10" t="str">
        <f t="shared" si="365"/>
        <v>NA</v>
      </c>
      <c r="AD585" s="10" t="str">
        <f t="shared" si="366"/>
        <v>NA</v>
      </c>
      <c r="AE585" s="10" t="str">
        <f t="shared" si="367"/>
        <v>NA</v>
      </c>
      <c r="AF585" s="1" t="s">
        <v>4974</v>
      </c>
    </row>
    <row r="586" spans="1:32" x14ac:dyDescent="0.2">
      <c r="A586" s="1" t="s">
        <v>5591</v>
      </c>
      <c r="B586" s="1" t="s">
        <v>5</v>
      </c>
      <c r="C586" s="1" t="s">
        <v>1575</v>
      </c>
      <c r="D586" s="1" t="s">
        <v>1580</v>
      </c>
      <c r="E586" s="1" t="s">
        <v>1694</v>
      </c>
      <c r="F586" s="1" t="s">
        <v>4719</v>
      </c>
      <c r="G586" s="13">
        <v>0.93759999999999999</v>
      </c>
      <c r="H586" s="28">
        <v>41182</v>
      </c>
      <c r="I586" s="29">
        <f t="shared" si="328"/>
        <v>2012</v>
      </c>
      <c r="J586" s="1" t="s">
        <v>5592</v>
      </c>
      <c r="K586" s="1" t="s">
        <v>4971</v>
      </c>
      <c r="L586" s="11" t="str">
        <f t="shared" si="373"/>
        <v>НЕТ</v>
      </c>
      <c r="M586" s="10" t="s">
        <v>1575</v>
      </c>
      <c r="N586" s="10" t="s">
        <v>1575</v>
      </c>
      <c r="O586" s="10">
        <v>0.82730800000000004</v>
      </c>
      <c r="P586" s="10">
        <f t="shared" si="358"/>
        <v>0.88236774744027313</v>
      </c>
      <c r="Q586" s="10" t="str">
        <f t="shared" si="359"/>
        <v>NA</v>
      </c>
      <c r="R586" s="10" t="s">
        <v>1575</v>
      </c>
      <c r="S586" s="10" t="s">
        <v>1575</v>
      </c>
      <c r="T586" s="10" t="s">
        <v>1575</v>
      </c>
      <c r="U586" s="10">
        <v>-0.25341000000000002</v>
      </c>
      <c r="V586" s="10">
        <v>1.088355</v>
      </c>
      <c r="W586" s="10" t="s">
        <v>1575</v>
      </c>
      <c r="X586" s="10" t="str">
        <f t="shared" si="360"/>
        <v>NA</v>
      </c>
      <c r="Y586" s="10" t="str">
        <f t="shared" si="361"/>
        <v>NA</v>
      </c>
      <c r="Z586" s="10">
        <f t="shared" si="362"/>
        <v>-3.4819768258564108</v>
      </c>
      <c r="AA586" s="10">
        <f t="shared" si="363"/>
        <v>0.81073523569081152</v>
      </c>
      <c r="AB586" s="10" t="str">
        <f t="shared" si="364"/>
        <v>NA</v>
      </c>
      <c r="AC586" s="10" t="str">
        <f t="shared" si="365"/>
        <v>NA</v>
      </c>
      <c r="AD586" s="10" t="str">
        <f t="shared" si="366"/>
        <v>NA</v>
      </c>
      <c r="AE586" s="10" t="str">
        <f t="shared" si="367"/>
        <v>NA</v>
      </c>
      <c r="AF586" s="1" t="s">
        <v>4975</v>
      </c>
    </row>
    <row r="587" spans="1:32" x14ac:dyDescent="0.2">
      <c r="A587" s="1" t="s">
        <v>4976</v>
      </c>
      <c r="B587" s="1" t="s">
        <v>5</v>
      </c>
      <c r="C587" s="1" t="s">
        <v>1575</v>
      </c>
      <c r="D587" s="1" t="s">
        <v>1580</v>
      </c>
      <c r="E587" s="1" t="s">
        <v>1694</v>
      </c>
      <c r="F587" s="1" t="s">
        <v>4977</v>
      </c>
      <c r="G587" s="13">
        <v>0.99</v>
      </c>
      <c r="H587" s="28">
        <v>40700</v>
      </c>
      <c r="I587" s="29">
        <f t="shared" si="328"/>
        <v>2011</v>
      </c>
      <c r="J587" s="1" t="s">
        <v>4971</v>
      </c>
      <c r="K587" s="1" t="s">
        <v>7</v>
      </c>
      <c r="L587" s="11" t="str">
        <f t="shared" ref="L587" si="374">IF(OR(A587=J587,A587=K587),"ДА","НЕТ")</f>
        <v>НЕТ</v>
      </c>
      <c r="M587" s="10" t="s">
        <v>1575</v>
      </c>
      <c r="N587" s="10" t="s">
        <v>1575</v>
      </c>
      <c r="O587" s="10">
        <v>9.5E-4</v>
      </c>
      <c r="P587" s="10">
        <f t="shared" si="358"/>
        <v>9.595959595959596E-4</v>
      </c>
      <c r="Q587" s="10" t="str">
        <f t="shared" si="359"/>
        <v>NA</v>
      </c>
      <c r="R587" s="10" t="s">
        <v>1575</v>
      </c>
      <c r="S587" s="10" t="s">
        <v>1575</v>
      </c>
      <c r="T587" s="10" t="s">
        <v>1575</v>
      </c>
      <c r="U587" s="10" t="s">
        <v>1575</v>
      </c>
      <c r="V587" s="10" t="s">
        <v>1575</v>
      </c>
      <c r="W587" s="10" t="s">
        <v>1575</v>
      </c>
      <c r="X587" s="10" t="str">
        <f t="shared" si="360"/>
        <v>NA</v>
      </c>
      <c r="Y587" s="10" t="str">
        <f t="shared" si="361"/>
        <v>NA</v>
      </c>
      <c r="Z587" s="10" t="str">
        <f t="shared" si="362"/>
        <v>NA</v>
      </c>
      <c r="AA587" s="10" t="str">
        <f t="shared" si="363"/>
        <v>NA</v>
      </c>
      <c r="AB587" s="10" t="str">
        <f t="shared" si="364"/>
        <v>NA</v>
      </c>
      <c r="AC587" s="10" t="str">
        <f t="shared" si="365"/>
        <v>NA</v>
      </c>
      <c r="AD587" s="10" t="str">
        <f t="shared" si="366"/>
        <v>NA</v>
      </c>
      <c r="AE587" s="10" t="str">
        <f t="shared" si="367"/>
        <v>NA</v>
      </c>
    </row>
    <row r="588" spans="1:32" x14ac:dyDescent="0.2">
      <c r="A588" s="1" t="s">
        <v>4976</v>
      </c>
      <c r="B588" s="1" t="s">
        <v>5</v>
      </c>
      <c r="C588" s="1" t="s">
        <v>1575</v>
      </c>
      <c r="D588" s="1" t="s">
        <v>1580</v>
      </c>
      <c r="E588" s="1" t="s">
        <v>1694</v>
      </c>
      <c r="F588" s="1" t="s">
        <v>4977</v>
      </c>
      <c r="G588" s="13">
        <v>0.01</v>
      </c>
      <c r="H588" s="28">
        <v>40263</v>
      </c>
      <c r="I588" s="29">
        <f t="shared" ref="I588:I613" si="375">YEAR(H588)</f>
        <v>2010</v>
      </c>
      <c r="J588" s="1" t="s">
        <v>4971</v>
      </c>
      <c r="K588" s="1" t="s">
        <v>7</v>
      </c>
      <c r="L588" s="11" t="str">
        <f t="shared" ref="L588" si="376">IF(OR(A588=J588,A588=K588),"ДА","НЕТ")</f>
        <v>НЕТ</v>
      </c>
      <c r="M588" s="10" t="s">
        <v>1575</v>
      </c>
      <c r="N588" s="10" t="s">
        <v>1575</v>
      </c>
      <c r="O588" s="10">
        <v>1.4E-5</v>
      </c>
      <c r="P588" s="10">
        <f t="shared" si="358"/>
        <v>1.4E-3</v>
      </c>
      <c r="Q588" s="10" t="str">
        <f t="shared" si="359"/>
        <v>NA</v>
      </c>
      <c r="R588" s="10" t="s">
        <v>1575</v>
      </c>
      <c r="S588" s="10" t="s">
        <v>1575</v>
      </c>
      <c r="T588" s="10" t="s">
        <v>1575</v>
      </c>
      <c r="U588" s="10" t="s">
        <v>1575</v>
      </c>
      <c r="V588" s="10" t="s">
        <v>1575</v>
      </c>
      <c r="W588" s="10" t="s">
        <v>1575</v>
      </c>
      <c r="X588" s="10" t="str">
        <f t="shared" si="360"/>
        <v>NA</v>
      </c>
      <c r="Y588" s="10" t="str">
        <f t="shared" si="361"/>
        <v>NA</v>
      </c>
      <c r="Z588" s="10" t="str">
        <f t="shared" si="362"/>
        <v>NA</v>
      </c>
      <c r="AA588" s="10" t="str">
        <f t="shared" si="363"/>
        <v>NA</v>
      </c>
      <c r="AB588" s="10" t="str">
        <f t="shared" si="364"/>
        <v>NA</v>
      </c>
      <c r="AC588" s="10" t="str">
        <f t="shared" si="365"/>
        <v>NA</v>
      </c>
      <c r="AD588" s="10" t="str">
        <f t="shared" si="366"/>
        <v>NA</v>
      </c>
      <c r="AE588" s="10" t="str">
        <f t="shared" si="367"/>
        <v>NA</v>
      </c>
    </row>
    <row r="589" spans="1:32" x14ac:dyDescent="0.2">
      <c r="A589" s="1" t="s">
        <v>5591</v>
      </c>
      <c r="B589" s="1" t="s">
        <v>5</v>
      </c>
      <c r="C589" s="1" t="s">
        <v>1575</v>
      </c>
      <c r="D589" s="1" t="s">
        <v>1580</v>
      </c>
      <c r="E589" s="1" t="s">
        <v>1694</v>
      </c>
      <c r="F589" s="1" t="s">
        <v>4719</v>
      </c>
      <c r="G589" s="13">
        <v>0.49759999999999999</v>
      </c>
      <c r="H589" s="28">
        <v>40389</v>
      </c>
      <c r="I589" s="29">
        <f t="shared" si="375"/>
        <v>2010</v>
      </c>
      <c r="J589" s="1" t="s">
        <v>4971</v>
      </c>
      <c r="K589" s="1" t="s">
        <v>7</v>
      </c>
      <c r="L589" s="11" t="str">
        <f t="shared" ref="L589" si="377">IF(OR(A589=J589,A589=K589),"ДА","НЕТ")</f>
        <v>НЕТ</v>
      </c>
      <c r="M589" s="10" t="s">
        <v>1575</v>
      </c>
      <c r="N589" s="10" t="s">
        <v>1575</v>
      </c>
      <c r="O589" s="10">
        <v>5.7340000000000002E-2</v>
      </c>
      <c r="P589" s="10">
        <f t="shared" si="358"/>
        <v>0.1152331189710611</v>
      </c>
      <c r="Q589" s="10" t="str">
        <f t="shared" si="359"/>
        <v>NA</v>
      </c>
      <c r="R589" s="10" t="s">
        <v>1575</v>
      </c>
      <c r="S589" s="10" t="s">
        <v>1575</v>
      </c>
      <c r="T589" s="10" t="s">
        <v>1575</v>
      </c>
      <c r="U589" s="10" t="s">
        <v>1575</v>
      </c>
      <c r="V589" s="10">
        <v>0.35066000000000003</v>
      </c>
      <c r="W589" s="10" t="s">
        <v>1575</v>
      </c>
      <c r="X589" s="10" t="str">
        <f t="shared" si="360"/>
        <v>NA</v>
      </c>
      <c r="Y589" s="10" t="str">
        <f t="shared" si="361"/>
        <v>NA</v>
      </c>
      <c r="Z589" s="10" t="str">
        <f t="shared" si="362"/>
        <v>NA</v>
      </c>
      <c r="AA589" s="10">
        <f t="shared" si="363"/>
        <v>0.32861780348788311</v>
      </c>
      <c r="AB589" s="10" t="str">
        <f t="shared" si="364"/>
        <v>NA</v>
      </c>
      <c r="AC589" s="10" t="str">
        <f t="shared" si="365"/>
        <v>NA</v>
      </c>
      <c r="AD589" s="10" t="str">
        <f t="shared" si="366"/>
        <v>NA</v>
      </c>
      <c r="AE589" s="10" t="str">
        <f t="shared" si="367"/>
        <v>NA</v>
      </c>
      <c r="AF589" s="1" t="s">
        <v>4981</v>
      </c>
    </row>
    <row r="590" spans="1:32" x14ac:dyDescent="0.2">
      <c r="A590" s="1" t="s">
        <v>4979</v>
      </c>
      <c r="B590" s="1" t="s">
        <v>5</v>
      </c>
      <c r="C590" s="1" t="s">
        <v>1575</v>
      </c>
      <c r="D590" s="1" t="s">
        <v>1580</v>
      </c>
      <c r="E590" s="1" t="s">
        <v>1593</v>
      </c>
      <c r="F590" s="1" t="s">
        <v>545</v>
      </c>
      <c r="G590" s="13">
        <v>1</v>
      </c>
      <c r="H590" s="28">
        <v>40268</v>
      </c>
      <c r="I590" s="29">
        <f t="shared" si="375"/>
        <v>2010</v>
      </c>
      <c r="J590" s="1" t="s">
        <v>4971</v>
      </c>
      <c r="K590" s="1" t="s">
        <v>7</v>
      </c>
      <c r="L590" s="11" t="str">
        <f t="shared" ref="L590" si="378">IF(OR(A590=J590,A590=K590),"ДА","НЕТ")</f>
        <v>НЕТ</v>
      </c>
      <c r="M590" s="10" t="s">
        <v>1575</v>
      </c>
      <c r="N590" s="10" t="s">
        <v>1575</v>
      </c>
      <c r="O590" s="10">
        <v>2.0981779999999999</v>
      </c>
      <c r="P590" s="10">
        <f t="shared" si="358"/>
        <v>2.0981779999999999</v>
      </c>
      <c r="Q590" s="10" t="str">
        <f t="shared" si="359"/>
        <v>NA</v>
      </c>
      <c r="R590" s="10" t="s">
        <v>1575</v>
      </c>
      <c r="S590" s="10" t="s">
        <v>1575</v>
      </c>
      <c r="T590" s="10" t="s">
        <v>1575</v>
      </c>
      <c r="U590" s="10" t="s">
        <v>1575</v>
      </c>
      <c r="V590" s="10" t="s">
        <v>1575</v>
      </c>
      <c r="W590" s="10" t="s">
        <v>1575</v>
      </c>
      <c r="X590" s="10" t="str">
        <f t="shared" si="360"/>
        <v>NA</v>
      </c>
      <c r="Y590" s="10" t="str">
        <f t="shared" si="361"/>
        <v>NA</v>
      </c>
      <c r="Z590" s="10" t="str">
        <f t="shared" si="362"/>
        <v>NA</v>
      </c>
      <c r="AA590" s="10" t="str">
        <f t="shared" si="363"/>
        <v>NA</v>
      </c>
      <c r="AB590" s="10" t="str">
        <f t="shared" si="364"/>
        <v>NA</v>
      </c>
      <c r="AC590" s="10" t="str">
        <f t="shared" si="365"/>
        <v>NA</v>
      </c>
      <c r="AD590" s="10" t="str">
        <f t="shared" si="366"/>
        <v>NA</v>
      </c>
      <c r="AE590" s="10" t="str">
        <f t="shared" si="367"/>
        <v>NA</v>
      </c>
      <c r="AF590" s="1" t="s">
        <v>4978</v>
      </c>
    </row>
    <row r="591" spans="1:32" x14ac:dyDescent="0.2">
      <c r="A591" s="1" t="s">
        <v>5591</v>
      </c>
      <c r="B591" s="1" t="s">
        <v>5</v>
      </c>
      <c r="C591" s="1" t="s">
        <v>1575</v>
      </c>
      <c r="D591" s="1" t="s">
        <v>1580</v>
      </c>
      <c r="E591" s="1" t="s">
        <v>1694</v>
      </c>
      <c r="F591" s="1" t="s">
        <v>4719</v>
      </c>
      <c r="G591" s="13">
        <v>0.25369999999999998</v>
      </c>
      <c r="H591" s="28">
        <v>39931</v>
      </c>
      <c r="I591" s="29">
        <f t="shared" si="375"/>
        <v>2009</v>
      </c>
      <c r="J591" s="1" t="s">
        <v>4971</v>
      </c>
      <c r="K591" s="1" t="s">
        <v>7</v>
      </c>
      <c r="L591" s="11" t="str">
        <f t="shared" ref="L591:L592" si="379">IF(OR(A591=J591,A591=K591),"ДА","НЕТ")</f>
        <v>НЕТ</v>
      </c>
      <c r="M591" s="10" t="s">
        <v>1575</v>
      </c>
      <c r="N591" s="10" t="s">
        <v>1575</v>
      </c>
      <c r="O591" s="10">
        <v>0.19889999999999999</v>
      </c>
      <c r="P591" s="10">
        <f t="shared" si="358"/>
        <v>0.78399684666929448</v>
      </c>
      <c r="Q591" s="10" t="str">
        <f t="shared" si="359"/>
        <v>NA</v>
      </c>
      <c r="R591" s="10" t="s">
        <v>1575</v>
      </c>
      <c r="S591" s="10" t="s">
        <v>1575</v>
      </c>
      <c r="T591" s="10" t="s">
        <v>1575</v>
      </c>
      <c r="U591" s="10" t="s">
        <v>1575</v>
      </c>
      <c r="V591" s="10">
        <v>0.35066000000000003</v>
      </c>
      <c r="W591" s="10" t="s">
        <v>1575</v>
      </c>
      <c r="X591" s="10" t="str">
        <f t="shared" si="360"/>
        <v>NA</v>
      </c>
      <c r="Y591" s="10" t="str">
        <f t="shared" si="361"/>
        <v>NA</v>
      </c>
      <c r="Z591" s="10" t="str">
        <f t="shared" si="362"/>
        <v>NA</v>
      </c>
      <c r="AA591" s="10">
        <f t="shared" si="363"/>
        <v>2.2357749577063091</v>
      </c>
      <c r="AB591" s="10" t="str">
        <f t="shared" si="364"/>
        <v>NA</v>
      </c>
      <c r="AC591" s="10" t="str">
        <f t="shared" si="365"/>
        <v>NA</v>
      </c>
      <c r="AD591" s="10" t="str">
        <f t="shared" si="366"/>
        <v>NA</v>
      </c>
      <c r="AE591" s="10" t="str">
        <f t="shared" si="367"/>
        <v>NA</v>
      </c>
      <c r="AF591" s="1" t="s">
        <v>4980</v>
      </c>
    </row>
    <row r="592" spans="1:32" x14ac:dyDescent="0.2">
      <c r="A592" s="1" t="s">
        <v>5589</v>
      </c>
      <c r="B592" s="1" t="s">
        <v>5</v>
      </c>
      <c r="C592" s="1" t="s">
        <v>1575</v>
      </c>
      <c r="D592" s="1" t="s">
        <v>1580</v>
      </c>
      <c r="E592" s="1" t="s">
        <v>2057</v>
      </c>
      <c r="F592" s="1" t="s">
        <v>434</v>
      </c>
      <c r="G592" s="13">
        <v>1</v>
      </c>
      <c r="H592" s="28">
        <v>40263</v>
      </c>
      <c r="I592" s="29">
        <f t="shared" si="375"/>
        <v>2010</v>
      </c>
      <c r="J592" s="1" t="s">
        <v>4971</v>
      </c>
      <c r="K592" s="1" t="s">
        <v>7</v>
      </c>
      <c r="L592" s="11" t="str">
        <f t="shared" si="379"/>
        <v>НЕТ</v>
      </c>
      <c r="M592" s="10" t="s">
        <v>1575</v>
      </c>
      <c r="N592" s="10" t="s">
        <v>1575</v>
      </c>
      <c r="O592" s="10">
        <v>6.0949999999999997E-3</v>
      </c>
      <c r="P592" s="10">
        <f t="shared" si="358"/>
        <v>6.0949999999999997E-3</v>
      </c>
      <c r="Q592" s="10" t="str">
        <f t="shared" si="359"/>
        <v>NA</v>
      </c>
      <c r="R592" s="10" t="s">
        <v>1575</v>
      </c>
      <c r="S592" s="10" t="s">
        <v>1575</v>
      </c>
      <c r="T592" s="10" t="s">
        <v>1575</v>
      </c>
      <c r="U592" s="10" t="s">
        <v>1575</v>
      </c>
      <c r="V592" s="10" t="s">
        <v>1575</v>
      </c>
      <c r="W592" s="10" t="s">
        <v>1575</v>
      </c>
      <c r="X592" s="10" t="str">
        <f t="shared" si="360"/>
        <v>NA</v>
      </c>
      <c r="Y592" s="10" t="str">
        <f t="shared" si="361"/>
        <v>NA</v>
      </c>
      <c r="Z592" s="10" t="str">
        <f t="shared" si="362"/>
        <v>NA</v>
      </c>
      <c r="AA592" s="10" t="str">
        <f t="shared" si="363"/>
        <v>NA</v>
      </c>
      <c r="AB592" s="10" t="str">
        <f t="shared" si="364"/>
        <v>NA</v>
      </c>
      <c r="AC592" s="10" t="str">
        <f t="shared" si="365"/>
        <v>NA</v>
      </c>
      <c r="AD592" s="10" t="str">
        <f t="shared" si="366"/>
        <v>NA</v>
      </c>
      <c r="AE592" s="10" t="str">
        <f t="shared" si="367"/>
        <v>NA</v>
      </c>
    </row>
    <row r="593" spans="1:32" x14ac:dyDescent="0.2">
      <c r="A593" s="1" t="s">
        <v>5593</v>
      </c>
      <c r="B593" s="1" t="s">
        <v>91</v>
      </c>
      <c r="C593" s="1" t="s">
        <v>1575</v>
      </c>
      <c r="D593" s="1" t="s">
        <v>1580</v>
      </c>
      <c r="E593" s="1" t="s">
        <v>1694</v>
      </c>
      <c r="F593" s="1" t="s">
        <v>4719</v>
      </c>
      <c r="G593" s="13">
        <v>0.96479999999999999</v>
      </c>
      <c r="H593" s="28">
        <v>42094</v>
      </c>
      <c r="I593" s="29">
        <f t="shared" si="375"/>
        <v>2015</v>
      </c>
      <c r="J593" s="1" t="s">
        <v>7</v>
      </c>
      <c r="K593" s="1" t="s">
        <v>4983</v>
      </c>
      <c r="L593" s="11" t="str">
        <f t="shared" ref="L593" si="380">IF(OR(A593=J593,A593=K593),"ДА","НЕТ")</f>
        <v>НЕТ</v>
      </c>
      <c r="M593" s="10" t="s">
        <v>1575</v>
      </c>
      <c r="N593" s="10" t="s">
        <v>1575</v>
      </c>
      <c r="O593" s="10">
        <v>3.8600000000000001E-3</v>
      </c>
      <c r="P593" s="10">
        <f t="shared" si="358"/>
        <v>4.0008291873963519E-3</v>
      </c>
      <c r="Q593" s="10" t="str">
        <f t="shared" si="359"/>
        <v>NA</v>
      </c>
      <c r="R593" s="10" t="s">
        <v>1575</v>
      </c>
      <c r="S593" s="10" t="s">
        <v>1575</v>
      </c>
      <c r="T593" s="10" t="s">
        <v>1575</v>
      </c>
      <c r="U593" s="10" t="s">
        <v>1575</v>
      </c>
      <c r="V593" s="10">
        <v>0.47347800000000001</v>
      </c>
      <c r="W593" s="10" t="s">
        <v>1575</v>
      </c>
      <c r="X593" s="10" t="str">
        <f t="shared" si="360"/>
        <v>NA</v>
      </c>
      <c r="Y593" s="10" t="str">
        <f t="shared" si="361"/>
        <v>NA</v>
      </c>
      <c r="Z593" s="10" t="str">
        <f t="shared" si="362"/>
        <v>NA</v>
      </c>
      <c r="AA593" s="10">
        <f t="shared" si="363"/>
        <v>8.4498734627508603E-3</v>
      </c>
      <c r="AB593" s="10" t="str">
        <f t="shared" si="364"/>
        <v>NA</v>
      </c>
      <c r="AC593" s="10" t="str">
        <f t="shared" si="365"/>
        <v>NA</v>
      </c>
      <c r="AD593" s="10" t="str">
        <f t="shared" si="366"/>
        <v>NA</v>
      </c>
      <c r="AE593" s="10" t="str">
        <f t="shared" si="367"/>
        <v>NA</v>
      </c>
      <c r="AF593" s="1" t="s">
        <v>4984</v>
      </c>
    </row>
    <row r="594" spans="1:32" x14ac:dyDescent="0.2">
      <c r="A594" s="1" t="s">
        <v>5594</v>
      </c>
      <c r="B594" s="1" t="s">
        <v>5</v>
      </c>
      <c r="C594" s="1" t="s">
        <v>1575</v>
      </c>
      <c r="D594" s="1" t="s">
        <v>1580</v>
      </c>
      <c r="E594" s="1" t="s">
        <v>1694</v>
      </c>
      <c r="F594" s="1" t="s">
        <v>4719</v>
      </c>
      <c r="G594" s="13">
        <v>1</v>
      </c>
      <c r="H594" s="28">
        <v>41394</v>
      </c>
      <c r="I594" s="29">
        <f t="shared" si="375"/>
        <v>2013</v>
      </c>
      <c r="J594" s="1" t="s">
        <v>7</v>
      </c>
      <c r="K594" s="1" t="s">
        <v>4983</v>
      </c>
      <c r="L594" s="11" t="str">
        <f t="shared" ref="L594:L595" si="381">IF(OR(A594=J594,A594=K594),"ДА","НЕТ")</f>
        <v>НЕТ</v>
      </c>
      <c r="M594" s="10" t="s">
        <v>1575</v>
      </c>
      <c r="N594" s="10" t="s">
        <v>1575</v>
      </c>
      <c r="O594" s="10">
        <v>0.45945000000000003</v>
      </c>
      <c r="P594" s="10">
        <f t="shared" si="358"/>
        <v>0.45945000000000003</v>
      </c>
      <c r="Q594" s="10" t="str">
        <f t="shared" si="359"/>
        <v>NA</v>
      </c>
      <c r="R594" s="10" t="s">
        <v>1575</v>
      </c>
      <c r="S594" s="10" t="s">
        <v>1575</v>
      </c>
      <c r="T594" s="10" t="s">
        <v>1575</v>
      </c>
      <c r="U594" s="10" t="s">
        <v>1575</v>
      </c>
      <c r="V594" s="10" t="s">
        <v>1575</v>
      </c>
      <c r="W594" s="10" t="s">
        <v>1575</v>
      </c>
      <c r="X594" s="10" t="str">
        <f t="shared" si="360"/>
        <v>NA</v>
      </c>
      <c r="Y594" s="10" t="str">
        <f t="shared" si="361"/>
        <v>NA</v>
      </c>
      <c r="Z594" s="10" t="str">
        <f t="shared" si="362"/>
        <v>NA</v>
      </c>
      <c r="AA594" s="10" t="str">
        <f t="shared" si="363"/>
        <v>NA</v>
      </c>
      <c r="AB594" s="10" t="str">
        <f t="shared" si="364"/>
        <v>NA</v>
      </c>
      <c r="AC594" s="10" t="str">
        <f t="shared" si="365"/>
        <v>NA</v>
      </c>
      <c r="AD594" s="10" t="str">
        <f t="shared" si="366"/>
        <v>NA</v>
      </c>
      <c r="AE594" s="10" t="str">
        <f t="shared" si="367"/>
        <v>NA</v>
      </c>
      <c r="AF594" s="1" t="s">
        <v>4985</v>
      </c>
    </row>
    <row r="595" spans="1:32" x14ac:dyDescent="0.2">
      <c r="A595" s="1" t="s">
        <v>5595</v>
      </c>
      <c r="B595" s="1" t="s">
        <v>5</v>
      </c>
      <c r="C595" s="1" t="s">
        <v>1575</v>
      </c>
      <c r="D595" s="1" t="s">
        <v>1580</v>
      </c>
      <c r="E595" s="1" t="s">
        <v>1694</v>
      </c>
      <c r="F595" s="1" t="s">
        <v>4719</v>
      </c>
      <c r="G595" s="13">
        <v>0.86050000000000004</v>
      </c>
      <c r="H595" s="28">
        <v>41394</v>
      </c>
      <c r="I595" s="29">
        <f t="shared" si="375"/>
        <v>2013</v>
      </c>
      <c r="J595" s="1" t="s">
        <v>7</v>
      </c>
      <c r="K595" s="1" t="s">
        <v>4983</v>
      </c>
      <c r="L595" s="11" t="str">
        <f t="shared" si="381"/>
        <v>НЕТ</v>
      </c>
      <c r="M595" s="10" t="s">
        <v>1575</v>
      </c>
      <c r="N595" s="10" t="s">
        <v>1575</v>
      </c>
      <c r="O595" s="10">
        <v>0.78249999999999997</v>
      </c>
      <c r="P595" s="10">
        <f t="shared" si="358"/>
        <v>0.90935502614758856</v>
      </c>
      <c r="Q595" s="10" t="str">
        <f t="shared" si="359"/>
        <v>NA</v>
      </c>
      <c r="R595" s="10" t="s">
        <v>1575</v>
      </c>
      <c r="S595" s="10" t="s">
        <v>1575</v>
      </c>
      <c r="T595" s="10" t="s">
        <v>1575</v>
      </c>
      <c r="U595" s="10" t="s">
        <v>1575</v>
      </c>
      <c r="V595" s="10" t="s">
        <v>1575</v>
      </c>
      <c r="W595" s="10" t="s">
        <v>1575</v>
      </c>
      <c r="X595" s="10" t="str">
        <f t="shared" si="360"/>
        <v>NA</v>
      </c>
      <c r="Y595" s="10" t="str">
        <f t="shared" si="361"/>
        <v>NA</v>
      </c>
      <c r="Z595" s="10" t="str">
        <f t="shared" si="362"/>
        <v>NA</v>
      </c>
      <c r="AA595" s="10" t="str">
        <f t="shared" si="363"/>
        <v>NA</v>
      </c>
      <c r="AB595" s="10" t="str">
        <f t="shared" si="364"/>
        <v>NA</v>
      </c>
      <c r="AC595" s="10" t="str">
        <f t="shared" si="365"/>
        <v>NA</v>
      </c>
      <c r="AD595" s="10" t="str">
        <f t="shared" si="366"/>
        <v>NA</v>
      </c>
      <c r="AE595" s="10" t="str">
        <f t="shared" si="367"/>
        <v>NA</v>
      </c>
      <c r="AF595" s="1" t="s">
        <v>4985</v>
      </c>
    </row>
    <row r="596" spans="1:32" x14ac:dyDescent="0.2">
      <c r="A596" s="1" t="s">
        <v>5595</v>
      </c>
      <c r="B596" s="1" t="s">
        <v>5</v>
      </c>
      <c r="C596" s="1" t="s">
        <v>1575</v>
      </c>
      <c r="D596" s="1" t="s">
        <v>1580</v>
      </c>
      <c r="E596" s="1" t="s">
        <v>1694</v>
      </c>
      <c r="F596" s="1" t="s">
        <v>4719</v>
      </c>
      <c r="G596" s="13">
        <v>1.1999999999999999E-3</v>
      </c>
      <c r="H596" s="28">
        <v>40512</v>
      </c>
      <c r="I596" s="29">
        <f t="shared" si="375"/>
        <v>2010</v>
      </c>
      <c r="J596" s="1" t="s">
        <v>4983</v>
      </c>
      <c r="K596" s="1" t="s">
        <v>7</v>
      </c>
      <c r="L596" s="11" t="str">
        <f t="shared" ref="L596:L597" si="382">IF(OR(A596=J596,A596=K596),"ДА","НЕТ")</f>
        <v>НЕТ</v>
      </c>
      <c r="M596" s="10" t="s">
        <v>1575</v>
      </c>
      <c r="N596" s="10" t="s">
        <v>1575</v>
      </c>
      <c r="O596" s="10" t="s">
        <v>1575</v>
      </c>
      <c r="P596" s="10" t="str">
        <f t="shared" si="358"/>
        <v>NA</v>
      </c>
      <c r="Q596" s="10" t="str">
        <f t="shared" si="359"/>
        <v>NA</v>
      </c>
      <c r="R596" s="10" t="s">
        <v>1575</v>
      </c>
      <c r="S596" s="10" t="s">
        <v>1575</v>
      </c>
      <c r="T596" s="10" t="s">
        <v>1575</v>
      </c>
      <c r="U596" s="10" t="s">
        <v>1575</v>
      </c>
      <c r="V596" s="10" t="s">
        <v>1575</v>
      </c>
      <c r="W596" s="10" t="s">
        <v>1575</v>
      </c>
      <c r="X596" s="10" t="str">
        <f t="shared" si="360"/>
        <v>NA</v>
      </c>
      <c r="Y596" s="10" t="str">
        <f t="shared" si="361"/>
        <v>NA</v>
      </c>
      <c r="Z596" s="10" t="str">
        <f t="shared" si="362"/>
        <v>NA</v>
      </c>
      <c r="AA596" s="10" t="str">
        <f t="shared" si="363"/>
        <v>NA</v>
      </c>
      <c r="AB596" s="10" t="str">
        <f t="shared" si="364"/>
        <v>NA</v>
      </c>
      <c r="AC596" s="10" t="str">
        <f t="shared" si="365"/>
        <v>NA</v>
      </c>
      <c r="AD596" s="10" t="str">
        <f t="shared" si="366"/>
        <v>NA</v>
      </c>
      <c r="AE596" s="10" t="str">
        <f t="shared" si="367"/>
        <v>NA</v>
      </c>
      <c r="AF596" s="1" t="s">
        <v>4986</v>
      </c>
    </row>
    <row r="597" spans="1:32" x14ac:dyDescent="0.2">
      <c r="A597" s="1" t="s">
        <v>5593</v>
      </c>
      <c r="B597" s="1" t="s">
        <v>91</v>
      </c>
      <c r="C597" s="1" t="s">
        <v>1575</v>
      </c>
      <c r="D597" s="1" t="s">
        <v>1580</v>
      </c>
      <c r="E597" s="1" t="s">
        <v>1694</v>
      </c>
      <c r="F597" s="1" t="s">
        <v>4719</v>
      </c>
      <c r="G597" s="13" t="s">
        <v>1575</v>
      </c>
      <c r="H597" s="28">
        <v>40633</v>
      </c>
      <c r="I597" s="29">
        <f t="shared" si="375"/>
        <v>2011</v>
      </c>
      <c r="J597" s="1" t="s">
        <v>4983</v>
      </c>
      <c r="K597" s="1" t="s">
        <v>7</v>
      </c>
      <c r="L597" s="11" t="str">
        <f t="shared" si="382"/>
        <v>НЕТ</v>
      </c>
      <c r="M597" s="10" t="s">
        <v>1575</v>
      </c>
      <c r="N597" s="10" t="s">
        <v>1575</v>
      </c>
      <c r="O597" s="10" t="s">
        <v>1575</v>
      </c>
      <c r="P597" s="10" t="str">
        <f t="shared" si="358"/>
        <v>NA</v>
      </c>
      <c r="Q597" s="10" t="str">
        <f t="shared" si="359"/>
        <v>NA</v>
      </c>
      <c r="R597" s="10" t="s">
        <v>1575</v>
      </c>
      <c r="S597" s="10" t="s">
        <v>1575</v>
      </c>
      <c r="T597" s="10" t="s">
        <v>1575</v>
      </c>
      <c r="U597" s="10" t="s">
        <v>1575</v>
      </c>
      <c r="V597" s="10" t="s">
        <v>1575</v>
      </c>
      <c r="W597" s="10" t="s">
        <v>1575</v>
      </c>
      <c r="X597" s="10" t="str">
        <f t="shared" si="360"/>
        <v>NA</v>
      </c>
      <c r="Y597" s="10" t="str">
        <f t="shared" si="361"/>
        <v>NA</v>
      </c>
      <c r="Z597" s="10" t="str">
        <f t="shared" si="362"/>
        <v>NA</v>
      </c>
      <c r="AA597" s="10" t="str">
        <f t="shared" si="363"/>
        <v>NA</v>
      </c>
      <c r="AB597" s="10" t="str">
        <f t="shared" si="364"/>
        <v>NA</v>
      </c>
      <c r="AC597" s="10" t="str">
        <f t="shared" si="365"/>
        <v>NA</v>
      </c>
      <c r="AD597" s="10" t="str">
        <f t="shared" si="366"/>
        <v>NA</v>
      </c>
      <c r="AE597" s="10" t="str">
        <f t="shared" si="367"/>
        <v>NA</v>
      </c>
      <c r="AF597" s="1" t="s">
        <v>4987</v>
      </c>
    </row>
    <row r="598" spans="1:32" x14ac:dyDescent="0.2">
      <c r="A598" s="1" t="s">
        <v>5593</v>
      </c>
      <c r="B598" s="1" t="s">
        <v>91</v>
      </c>
      <c r="C598" s="1" t="s">
        <v>1575</v>
      </c>
      <c r="D598" s="1" t="s">
        <v>1580</v>
      </c>
      <c r="E598" s="1" t="s">
        <v>1694</v>
      </c>
      <c r="F598" s="1" t="s">
        <v>4719</v>
      </c>
      <c r="G598" s="13" t="s">
        <v>1575</v>
      </c>
      <c r="H598" s="28">
        <v>39659</v>
      </c>
      <c r="I598" s="29">
        <f t="shared" si="375"/>
        <v>2008</v>
      </c>
      <c r="J598" s="1" t="s">
        <v>4983</v>
      </c>
      <c r="K598" s="1" t="s">
        <v>7</v>
      </c>
      <c r="L598" s="11" t="str">
        <f t="shared" ref="L598:L600" si="383">IF(OR(A598=J598,A598=K598),"ДА","НЕТ")</f>
        <v>НЕТ</v>
      </c>
      <c r="M598" s="10" t="s">
        <v>1575</v>
      </c>
      <c r="N598" s="10" t="s">
        <v>1575</v>
      </c>
      <c r="O598" s="10" t="s">
        <v>1575</v>
      </c>
      <c r="P598" s="10" t="str">
        <f t="shared" si="358"/>
        <v>NA</v>
      </c>
      <c r="Q598" s="10" t="str">
        <f t="shared" si="359"/>
        <v>NA</v>
      </c>
      <c r="R598" s="10" t="s">
        <v>1575</v>
      </c>
      <c r="S598" s="10" t="s">
        <v>1575</v>
      </c>
      <c r="T598" s="10" t="s">
        <v>1575</v>
      </c>
      <c r="U598" s="10" t="s">
        <v>1575</v>
      </c>
      <c r="V598" s="10" t="s">
        <v>1575</v>
      </c>
      <c r="W598" s="10" t="s">
        <v>1575</v>
      </c>
      <c r="X598" s="10" t="str">
        <f t="shared" si="360"/>
        <v>NA</v>
      </c>
      <c r="Y598" s="10" t="str">
        <f t="shared" si="361"/>
        <v>NA</v>
      </c>
      <c r="Z598" s="10" t="str">
        <f t="shared" si="362"/>
        <v>NA</v>
      </c>
      <c r="AA598" s="10" t="str">
        <f t="shared" si="363"/>
        <v>NA</v>
      </c>
      <c r="AB598" s="10" t="str">
        <f t="shared" si="364"/>
        <v>NA</v>
      </c>
      <c r="AC598" s="10" t="str">
        <f t="shared" si="365"/>
        <v>NA</v>
      </c>
      <c r="AD598" s="10" t="str">
        <f t="shared" si="366"/>
        <v>NA</v>
      </c>
      <c r="AE598" s="10" t="str">
        <f t="shared" si="367"/>
        <v>NA</v>
      </c>
      <c r="AF598" s="1" t="s">
        <v>4988</v>
      </c>
    </row>
    <row r="599" spans="1:32" x14ac:dyDescent="0.2">
      <c r="A599" s="1" t="s">
        <v>5594</v>
      </c>
      <c r="B599" s="1" t="s">
        <v>5</v>
      </c>
      <c r="C599" s="1" t="s">
        <v>1575</v>
      </c>
      <c r="D599" s="1" t="s">
        <v>1580</v>
      </c>
      <c r="E599" s="1" t="s">
        <v>1694</v>
      </c>
      <c r="F599" s="1" t="s">
        <v>4719</v>
      </c>
      <c r="G599" s="13">
        <f>100%-95%</f>
        <v>5.0000000000000044E-2</v>
      </c>
      <c r="H599" s="28">
        <v>39691</v>
      </c>
      <c r="I599" s="29">
        <f t="shared" si="375"/>
        <v>2008</v>
      </c>
      <c r="J599" s="1" t="s">
        <v>4983</v>
      </c>
      <c r="K599" s="1" t="s">
        <v>7</v>
      </c>
      <c r="L599" s="11" t="str">
        <f t="shared" si="383"/>
        <v>НЕТ</v>
      </c>
      <c r="M599" s="10" t="s">
        <v>1575</v>
      </c>
      <c r="N599" s="10" t="s">
        <v>1575</v>
      </c>
      <c r="O599" s="10" t="s">
        <v>1575</v>
      </c>
      <c r="P599" s="10" t="str">
        <f t="shared" si="358"/>
        <v>NA</v>
      </c>
      <c r="Q599" s="10" t="str">
        <f t="shared" si="359"/>
        <v>NA</v>
      </c>
      <c r="R599" s="10" t="s">
        <v>1575</v>
      </c>
      <c r="S599" s="10" t="s">
        <v>1575</v>
      </c>
      <c r="T599" s="10" t="s">
        <v>1575</v>
      </c>
      <c r="U599" s="10" t="s">
        <v>1575</v>
      </c>
      <c r="V599" s="10" t="s">
        <v>1575</v>
      </c>
      <c r="W599" s="10" t="s">
        <v>1575</v>
      </c>
      <c r="X599" s="10" t="str">
        <f t="shared" si="360"/>
        <v>NA</v>
      </c>
      <c r="Y599" s="10" t="str">
        <f t="shared" si="361"/>
        <v>NA</v>
      </c>
      <c r="Z599" s="10" t="str">
        <f t="shared" si="362"/>
        <v>NA</v>
      </c>
      <c r="AA599" s="10" t="str">
        <f t="shared" si="363"/>
        <v>NA</v>
      </c>
      <c r="AB599" s="10" t="str">
        <f t="shared" si="364"/>
        <v>NA</v>
      </c>
      <c r="AC599" s="10" t="str">
        <f t="shared" si="365"/>
        <v>NA</v>
      </c>
      <c r="AD599" s="10" t="str">
        <f t="shared" si="366"/>
        <v>NA</v>
      </c>
      <c r="AE599" s="10" t="str">
        <f t="shared" si="367"/>
        <v>NA</v>
      </c>
      <c r="AF599" s="1" t="s">
        <v>4989</v>
      </c>
    </row>
    <row r="600" spans="1:32" x14ac:dyDescent="0.2">
      <c r="A600" s="1" t="s">
        <v>5595</v>
      </c>
      <c r="B600" s="1" t="s">
        <v>5</v>
      </c>
      <c r="C600" s="1" t="s">
        <v>1575</v>
      </c>
      <c r="D600" s="1" t="s">
        <v>1580</v>
      </c>
      <c r="E600" s="1" t="s">
        <v>1694</v>
      </c>
      <c r="F600" s="1" t="s">
        <v>4719</v>
      </c>
      <c r="G600" s="13" t="s">
        <v>1575</v>
      </c>
      <c r="H600" s="28">
        <v>39721</v>
      </c>
      <c r="I600" s="29">
        <f t="shared" si="375"/>
        <v>2008</v>
      </c>
      <c r="J600" s="1" t="s">
        <v>4983</v>
      </c>
      <c r="K600" s="1" t="s">
        <v>7</v>
      </c>
      <c r="L600" s="11" t="str">
        <f t="shared" si="383"/>
        <v>НЕТ</v>
      </c>
      <c r="M600" s="10" t="s">
        <v>1575</v>
      </c>
      <c r="N600" s="10" t="s">
        <v>1575</v>
      </c>
      <c r="O600" s="10" t="s">
        <v>1575</v>
      </c>
      <c r="P600" s="10" t="str">
        <f t="shared" si="358"/>
        <v>NA</v>
      </c>
      <c r="Q600" s="10" t="str">
        <f t="shared" si="359"/>
        <v>NA</v>
      </c>
      <c r="R600" s="10" t="s">
        <v>1575</v>
      </c>
      <c r="S600" s="10" t="s">
        <v>1575</v>
      </c>
      <c r="T600" s="10" t="s">
        <v>1575</v>
      </c>
      <c r="U600" s="10" t="s">
        <v>1575</v>
      </c>
      <c r="V600" s="10" t="s">
        <v>1575</v>
      </c>
      <c r="W600" s="10" t="s">
        <v>1575</v>
      </c>
      <c r="X600" s="10" t="str">
        <f t="shared" si="360"/>
        <v>NA</v>
      </c>
      <c r="Y600" s="10" t="str">
        <f t="shared" si="361"/>
        <v>NA</v>
      </c>
      <c r="Z600" s="10" t="str">
        <f t="shared" si="362"/>
        <v>NA</v>
      </c>
      <c r="AA600" s="10" t="str">
        <f t="shared" si="363"/>
        <v>NA</v>
      </c>
      <c r="AB600" s="10" t="str">
        <f t="shared" si="364"/>
        <v>NA</v>
      </c>
      <c r="AC600" s="10" t="str">
        <f t="shared" si="365"/>
        <v>NA</v>
      </c>
      <c r="AD600" s="10" t="str">
        <f t="shared" si="366"/>
        <v>NA</v>
      </c>
      <c r="AE600" s="10" t="str">
        <f t="shared" si="367"/>
        <v>NA</v>
      </c>
      <c r="AF600" s="1" t="s">
        <v>4990</v>
      </c>
    </row>
    <row r="601" spans="1:32" x14ac:dyDescent="0.2">
      <c r="A601" s="1" t="s">
        <v>4991</v>
      </c>
      <c r="B601" s="1" t="s">
        <v>5</v>
      </c>
      <c r="C601" s="1" t="s">
        <v>1575</v>
      </c>
      <c r="D601" s="1" t="s">
        <v>1578</v>
      </c>
      <c r="E601" s="1" t="s">
        <v>4993</v>
      </c>
      <c r="F601" s="1" t="s">
        <v>4992</v>
      </c>
      <c r="G601" s="13">
        <v>0.23230000000000001</v>
      </c>
      <c r="H601" s="28">
        <v>43251</v>
      </c>
      <c r="I601" s="29">
        <f t="shared" si="375"/>
        <v>2018</v>
      </c>
      <c r="J601" s="1" t="s">
        <v>5596</v>
      </c>
      <c r="K601" s="1" t="s">
        <v>7</v>
      </c>
      <c r="L601" s="11" t="str">
        <f t="shared" ref="L601" si="384">IF(OR(A601=J601,A601=K601),"ДА","НЕТ")</f>
        <v>НЕТ</v>
      </c>
      <c r="M601" s="10" t="s">
        <v>1575</v>
      </c>
      <c r="N601" s="10" t="s">
        <v>1575</v>
      </c>
      <c r="O601" s="10" t="s">
        <v>1575</v>
      </c>
      <c r="P601" s="10" t="str">
        <f t="shared" si="358"/>
        <v>NA</v>
      </c>
      <c r="Q601" s="10" t="str">
        <f t="shared" si="359"/>
        <v>NA</v>
      </c>
      <c r="R601" s="10" t="s">
        <v>1575</v>
      </c>
      <c r="S601" s="10" t="s">
        <v>1575</v>
      </c>
      <c r="T601" s="10" t="s">
        <v>1575</v>
      </c>
      <c r="U601" s="10" t="s">
        <v>1575</v>
      </c>
      <c r="V601" s="10" t="s">
        <v>1575</v>
      </c>
      <c r="W601" s="10" t="s">
        <v>1575</v>
      </c>
      <c r="X601" s="10" t="str">
        <f t="shared" si="360"/>
        <v>NA</v>
      </c>
      <c r="Y601" s="10" t="str">
        <f t="shared" si="361"/>
        <v>NA</v>
      </c>
      <c r="Z601" s="10" t="str">
        <f t="shared" si="362"/>
        <v>NA</v>
      </c>
      <c r="AA601" s="10" t="str">
        <f t="shared" si="363"/>
        <v>NA</v>
      </c>
      <c r="AB601" s="10" t="str">
        <f t="shared" si="364"/>
        <v>NA</v>
      </c>
      <c r="AC601" s="10" t="str">
        <f t="shared" si="365"/>
        <v>NA</v>
      </c>
      <c r="AD601" s="10" t="str">
        <f t="shared" si="366"/>
        <v>NA</v>
      </c>
      <c r="AE601" s="10" t="str">
        <f t="shared" si="367"/>
        <v>NA</v>
      </c>
      <c r="AF601" s="1" t="s">
        <v>4994</v>
      </c>
    </row>
    <row r="602" spans="1:32" x14ac:dyDescent="0.2">
      <c r="A602" s="1" t="s">
        <v>4991</v>
      </c>
      <c r="B602" s="1" t="s">
        <v>5</v>
      </c>
      <c r="C602" s="1" t="s">
        <v>1575</v>
      </c>
      <c r="D602" s="1" t="s">
        <v>1578</v>
      </c>
      <c r="E602" s="1" t="s">
        <v>4993</v>
      </c>
      <c r="F602" s="1" t="s">
        <v>4992</v>
      </c>
      <c r="G602" s="13" t="s">
        <v>1575</v>
      </c>
      <c r="H602" s="28">
        <v>42735</v>
      </c>
      <c r="I602" s="29">
        <f t="shared" si="375"/>
        <v>2016</v>
      </c>
      <c r="J602" s="1" t="s">
        <v>5596</v>
      </c>
      <c r="K602" s="1" t="s">
        <v>7</v>
      </c>
      <c r="L602" s="11" t="str">
        <f t="shared" ref="L602" si="385">IF(OR(A602=J602,A602=K602),"ДА","НЕТ")</f>
        <v>НЕТ</v>
      </c>
      <c r="M602" s="10" t="s">
        <v>1575</v>
      </c>
      <c r="N602" s="10" t="s">
        <v>1575</v>
      </c>
      <c r="O602" s="10" t="s">
        <v>1575</v>
      </c>
      <c r="P602" s="10" t="str">
        <f t="shared" si="358"/>
        <v>NA</v>
      </c>
      <c r="Q602" s="10" t="str">
        <f t="shared" si="359"/>
        <v>NA</v>
      </c>
      <c r="R602" s="10" t="s">
        <v>1575</v>
      </c>
      <c r="S602" s="10" t="s">
        <v>1575</v>
      </c>
      <c r="T602" s="10" t="s">
        <v>1575</v>
      </c>
      <c r="U602" s="10" t="s">
        <v>1575</v>
      </c>
      <c r="V602" s="10" t="s">
        <v>1575</v>
      </c>
      <c r="W602" s="10" t="s">
        <v>1575</v>
      </c>
      <c r="X602" s="10" t="str">
        <f t="shared" si="360"/>
        <v>NA</v>
      </c>
      <c r="Y602" s="10" t="str">
        <f t="shared" si="361"/>
        <v>NA</v>
      </c>
      <c r="Z602" s="10" t="str">
        <f t="shared" si="362"/>
        <v>NA</v>
      </c>
      <c r="AA602" s="10" t="str">
        <f t="shared" si="363"/>
        <v>NA</v>
      </c>
      <c r="AB602" s="10" t="str">
        <f t="shared" si="364"/>
        <v>NA</v>
      </c>
      <c r="AC602" s="10" t="str">
        <f t="shared" si="365"/>
        <v>NA</v>
      </c>
      <c r="AD602" s="10" t="str">
        <f t="shared" si="366"/>
        <v>NA</v>
      </c>
      <c r="AE602" s="10" t="str">
        <f t="shared" si="367"/>
        <v>NA</v>
      </c>
      <c r="AF602" s="1" t="s">
        <v>4995</v>
      </c>
    </row>
    <row r="603" spans="1:32" x14ac:dyDescent="0.2">
      <c r="A603" s="1" t="s">
        <v>5597</v>
      </c>
      <c r="B603" s="1" t="s">
        <v>5</v>
      </c>
      <c r="C603" s="1" t="s">
        <v>1575</v>
      </c>
      <c r="D603" s="1" t="s">
        <v>1580</v>
      </c>
      <c r="E603" s="1" t="s">
        <v>1590</v>
      </c>
      <c r="F603" s="1" t="s">
        <v>4998</v>
      </c>
      <c r="G603" s="13">
        <v>0.999</v>
      </c>
      <c r="H603" s="28">
        <v>43190</v>
      </c>
      <c r="I603" s="29">
        <f t="shared" si="375"/>
        <v>2018</v>
      </c>
      <c r="J603" s="1" t="s">
        <v>7</v>
      </c>
      <c r="K603" s="1" t="s">
        <v>4996</v>
      </c>
      <c r="L603" s="11" t="str">
        <f t="shared" ref="L603:L604" si="386">IF(OR(A603=J603,A603=K603),"ДА","НЕТ")</f>
        <v>НЕТ</v>
      </c>
      <c r="M603" s="10" t="s">
        <v>1575</v>
      </c>
      <c r="N603" s="10" t="s">
        <v>1575</v>
      </c>
      <c r="O603" s="10">
        <v>5.55</v>
      </c>
      <c r="P603" s="10">
        <f t="shared" si="358"/>
        <v>5.5555555555555554</v>
      </c>
      <c r="Q603" s="10" t="str">
        <f t="shared" si="359"/>
        <v>NA</v>
      </c>
      <c r="R603" s="10" t="s">
        <v>1575</v>
      </c>
      <c r="S603" s="10" t="s">
        <v>1575</v>
      </c>
      <c r="T603" s="10" t="s">
        <v>1575</v>
      </c>
      <c r="U603" s="10" t="s">
        <v>1575</v>
      </c>
      <c r="V603" s="10">
        <v>-7.6999999999999999E-2</v>
      </c>
      <c r="W603" s="10" t="s">
        <v>1575</v>
      </c>
      <c r="X603" s="10" t="str">
        <f t="shared" si="360"/>
        <v>NA</v>
      </c>
      <c r="Y603" s="10" t="str">
        <f t="shared" si="361"/>
        <v>NA</v>
      </c>
      <c r="Z603" s="10" t="str">
        <f t="shared" si="362"/>
        <v>NA</v>
      </c>
      <c r="AA603" s="10">
        <f t="shared" si="363"/>
        <v>-72.150072150072148</v>
      </c>
      <c r="AB603" s="10" t="str">
        <f t="shared" si="364"/>
        <v>NA</v>
      </c>
      <c r="AC603" s="10" t="str">
        <f t="shared" si="365"/>
        <v>NA</v>
      </c>
      <c r="AD603" s="10" t="str">
        <f t="shared" si="366"/>
        <v>NA</v>
      </c>
      <c r="AE603" s="10" t="str">
        <f t="shared" si="367"/>
        <v>NA</v>
      </c>
      <c r="AF603" s="1" t="s">
        <v>4997</v>
      </c>
    </row>
    <row r="604" spans="1:32" x14ac:dyDescent="0.2">
      <c r="A604" s="1" t="s">
        <v>5597</v>
      </c>
      <c r="B604" s="1" t="s">
        <v>5</v>
      </c>
      <c r="C604" s="1" t="s">
        <v>1575</v>
      </c>
      <c r="D604" s="1" t="s">
        <v>1580</v>
      </c>
      <c r="E604" s="1" t="s">
        <v>1590</v>
      </c>
      <c r="F604" s="1" t="s">
        <v>4998</v>
      </c>
      <c r="G604" s="13">
        <v>8.9999999999999993E-3</v>
      </c>
      <c r="H604" s="28">
        <v>43069</v>
      </c>
      <c r="I604" s="29">
        <f t="shared" ref="I604" si="387">YEAR(H604)</f>
        <v>2017</v>
      </c>
      <c r="J604" s="1" t="s">
        <v>4996</v>
      </c>
      <c r="K604" s="1" t="s">
        <v>7</v>
      </c>
      <c r="L604" s="11" t="str">
        <f t="shared" si="386"/>
        <v>НЕТ</v>
      </c>
      <c r="M604" s="10" t="s">
        <v>1575</v>
      </c>
      <c r="N604" s="10" t="s">
        <v>1575</v>
      </c>
      <c r="O604" s="10">
        <v>1.4999999999999999E-2</v>
      </c>
      <c r="P604" s="10">
        <f t="shared" si="358"/>
        <v>1.6666666666666667</v>
      </c>
      <c r="Q604" s="10" t="str">
        <f t="shared" si="359"/>
        <v>NA</v>
      </c>
      <c r="R604" s="10" t="s">
        <v>1575</v>
      </c>
      <c r="S604" s="10" t="s">
        <v>1575</v>
      </c>
      <c r="T604" s="10" t="s">
        <v>1575</v>
      </c>
      <c r="U604" s="10" t="s">
        <v>1575</v>
      </c>
      <c r="V604" s="10">
        <v>-16.73</v>
      </c>
      <c r="W604" s="10" t="s">
        <v>1575</v>
      </c>
      <c r="X604" s="10" t="str">
        <f t="shared" si="360"/>
        <v>NA</v>
      </c>
      <c r="Y604" s="10" t="str">
        <f t="shared" si="361"/>
        <v>NA</v>
      </c>
      <c r="Z604" s="10" t="str">
        <f t="shared" si="362"/>
        <v>NA</v>
      </c>
      <c r="AA604" s="10">
        <f t="shared" si="363"/>
        <v>-9.9621438533572429E-2</v>
      </c>
      <c r="AB604" s="10" t="str">
        <f t="shared" si="364"/>
        <v>NA</v>
      </c>
      <c r="AC604" s="10" t="str">
        <f t="shared" si="365"/>
        <v>NA</v>
      </c>
      <c r="AD604" s="10" t="str">
        <f t="shared" si="366"/>
        <v>NA</v>
      </c>
      <c r="AE604" s="10" t="str">
        <f t="shared" si="367"/>
        <v>NA</v>
      </c>
      <c r="AF604" s="1" t="s">
        <v>5000</v>
      </c>
    </row>
    <row r="605" spans="1:32" x14ac:dyDescent="0.2">
      <c r="A605" s="1" t="s">
        <v>5597</v>
      </c>
      <c r="B605" s="1" t="s">
        <v>5</v>
      </c>
      <c r="C605" s="1" t="s">
        <v>1575</v>
      </c>
      <c r="D605" s="1" t="s">
        <v>1580</v>
      </c>
      <c r="E605" s="1" t="s">
        <v>1590</v>
      </c>
      <c r="F605" s="1" t="s">
        <v>4998</v>
      </c>
      <c r="G605" s="13">
        <v>0.99</v>
      </c>
      <c r="H605" s="28">
        <v>42977</v>
      </c>
      <c r="I605" s="29">
        <f t="shared" si="375"/>
        <v>2017</v>
      </c>
      <c r="J605" s="1" t="s">
        <v>4996</v>
      </c>
      <c r="K605" s="1" t="s">
        <v>7</v>
      </c>
      <c r="L605" s="11" t="str">
        <f t="shared" ref="L605:L607" si="388">IF(OR(A605=J605,A605=K605),"ДА","НЕТ")</f>
        <v>НЕТ</v>
      </c>
      <c r="M605" s="10" t="s">
        <v>1575</v>
      </c>
      <c r="N605" s="10" t="s">
        <v>1575</v>
      </c>
      <c r="O605" s="10">
        <v>5.3550000000000004</v>
      </c>
      <c r="P605" s="10">
        <f t="shared" si="358"/>
        <v>5.4090909090909092</v>
      </c>
      <c r="Q605" s="10" t="str">
        <f t="shared" si="359"/>
        <v>NA</v>
      </c>
      <c r="R605" s="10" t="s">
        <v>1575</v>
      </c>
      <c r="S605" s="10" t="s">
        <v>1575</v>
      </c>
      <c r="T605" s="10" t="s">
        <v>1575</v>
      </c>
      <c r="U605" s="10" t="s">
        <v>1575</v>
      </c>
      <c r="V605" s="10">
        <v>-16.73</v>
      </c>
      <c r="W605" s="10" t="s">
        <v>1575</v>
      </c>
      <c r="X605" s="10" t="str">
        <f t="shared" si="360"/>
        <v>NA</v>
      </c>
      <c r="Y605" s="10" t="str">
        <f t="shared" si="361"/>
        <v>NA</v>
      </c>
      <c r="Z605" s="10" t="str">
        <f t="shared" si="362"/>
        <v>NA</v>
      </c>
      <c r="AA605" s="10">
        <f t="shared" si="363"/>
        <v>-0.32331685051350323</v>
      </c>
      <c r="AB605" s="10" t="str">
        <f t="shared" si="364"/>
        <v>NA</v>
      </c>
      <c r="AC605" s="10" t="str">
        <f t="shared" si="365"/>
        <v>NA</v>
      </c>
      <c r="AD605" s="10" t="str">
        <f t="shared" si="366"/>
        <v>NA</v>
      </c>
      <c r="AE605" s="10" t="str">
        <f t="shared" si="367"/>
        <v>NA</v>
      </c>
      <c r="AF605" s="1" t="s">
        <v>4999</v>
      </c>
    </row>
    <row r="606" spans="1:32" x14ac:dyDescent="0.2">
      <c r="A606" s="1" t="s">
        <v>5002</v>
      </c>
      <c r="B606" s="1" t="s">
        <v>179</v>
      </c>
      <c r="C606" s="1" t="s">
        <v>1575</v>
      </c>
      <c r="D606" s="1" t="s">
        <v>1580</v>
      </c>
      <c r="E606" s="1" t="s">
        <v>1593</v>
      </c>
      <c r="F606" s="1" t="s">
        <v>5003</v>
      </c>
      <c r="G606" s="13">
        <v>1</v>
      </c>
      <c r="H606" s="28">
        <v>41639</v>
      </c>
      <c r="I606" s="29">
        <f t="shared" si="375"/>
        <v>2013</v>
      </c>
      <c r="J606" s="1" t="s">
        <v>7</v>
      </c>
      <c r="K606" s="1" t="s">
        <v>4996</v>
      </c>
      <c r="L606" s="11" t="str">
        <f t="shared" si="388"/>
        <v>НЕТ</v>
      </c>
      <c r="M606" s="10" t="s">
        <v>1575</v>
      </c>
      <c r="N606" s="10" t="s">
        <v>1575</v>
      </c>
      <c r="O606" s="10">
        <v>0.45200000000000001</v>
      </c>
      <c r="P606" s="10">
        <f t="shared" si="358"/>
        <v>0.45200000000000001</v>
      </c>
      <c r="Q606" s="10" t="str">
        <f t="shared" si="359"/>
        <v>NA</v>
      </c>
      <c r="R606" s="10" t="s">
        <v>1575</v>
      </c>
      <c r="S606" s="10" t="s">
        <v>1575</v>
      </c>
      <c r="T606" s="10" t="s">
        <v>1575</v>
      </c>
      <c r="U606" s="10" t="s">
        <v>1575</v>
      </c>
      <c r="V606" s="10">
        <v>-0.874</v>
      </c>
      <c r="W606" s="10" t="s">
        <v>1575</v>
      </c>
      <c r="X606" s="10" t="str">
        <f t="shared" si="360"/>
        <v>NA</v>
      </c>
      <c r="Y606" s="10" t="str">
        <f t="shared" si="361"/>
        <v>NA</v>
      </c>
      <c r="Z606" s="10" t="str">
        <f t="shared" si="362"/>
        <v>NA</v>
      </c>
      <c r="AA606" s="10">
        <f t="shared" si="363"/>
        <v>-0.51716247139588101</v>
      </c>
      <c r="AB606" s="10" t="str">
        <f t="shared" si="364"/>
        <v>NA</v>
      </c>
      <c r="AC606" s="10" t="str">
        <f t="shared" si="365"/>
        <v>NA</v>
      </c>
      <c r="AD606" s="10" t="str">
        <f t="shared" si="366"/>
        <v>NA</v>
      </c>
      <c r="AE606" s="10" t="str">
        <f t="shared" si="367"/>
        <v>NA</v>
      </c>
      <c r="AF606" s="1" t="s">
        <v>5001</v>
      </c>
    </row>
    <row r="607" spans="1:32" x14ac:dyDescent="0.2">
      <c r="A607" s="1" t="s">
        <v>5006</v>
      </c>
      <c r="B607" s="1" t="s">
        <v>5</v>
      </c>
      <c r="C607" s="1" t="s">
        <v>1575</v>
      </c>
      <c r="D607" s="1" t="s">
        <v>1580</v>
      </c>
      <c r="E607" s="1" t="s">
        <v>2057</v>
      </c>
      <c r="F607" s="1" t="s">
        <v>434</v>
      </c>
      <c r="G607" s="13" t="s">
        <v>11</v>
      </c>
      <c r="H607" s="28">
        <v>41289</v>
      </c>
      <c r="I607" s="29">
        <f t="shared" si="375"/>
        <v>2013</v>
      </c>
      <c r="J607" s="1" t="s">
        <v>7</v>
      </c>
      <c r="K607" s="1" t="s">
        <v>904</v>
      </c>
      <c r="L607" s="11" t="str">
        <f t="shared" si="388"/>
        <v>НЕТ</v>
      </c>
      <c r="M607" s="10" t="s">
        <v>1575</v>
      </c>
      <c r="N607" s="10" t="s">
        <v>1575</v>
      </c>
      <c r="O607" s="10" t="s">
        <v>1575</v>
      </c>
      <c r="P607" s="10" t="str">
        <f t="shared" si="358"/>
        <v>NA</v>
      </c>
      <c r="Q607" s="10" t="str">
        <f t="shared" si="359"/>
        <v>NA</v>
      </c>
      <c r="R607" s="10" t="s">
        <v>1575</v>
      </c>
      <c r="S607" s="10" t="s">
        <v>1575</v>
      </c>
      <c r="T607" s="10" t="s">
        <v>1575</v>
      </c>
      <c r="U607" s="10" t="s">
        <v>1575</v>
      </c>
      <c r="V607" s="10" t="s">
        <v>1575</v>
      </c>
      <c r="W607" s="10" t="s">
        <v>1575</v>
      </c>
      <c r="X607" s="10" t="str">
        <f t="shared" si="360"/>
        <v>NA</v>
      </c>
      <c r="Y607" s="10" t="str">
        <f t="shared" si="361"/>
        <v>NA</v>
      </c>
      <c r="Z607" s="10" t="str">
        <f t="shared" si="362"/>
        <v>NA</v>
      </c>
      <c r="AA607" s="10" t="str">
        <f t="shared" si="363"/>
        <v>NA</v>
      </c>
      <c r="AB607" s="10" t="str">
        <f t="shared" si="364"/>
        <v>NA</v>
      </c>
      <c r="AC607" s="10" t="str">
        <f t="shared" si="365"/>
        <v>NA</v>
      </c>
      <c r="AD607" s="10" t="str">
        <f t="shared" si="366"/>
        <v>NA</v>
      </c>
      <c r="AE607" s="10" t="str">
        <f t="shared" si="367"/>
        <v>NA</v>
      </c>
      <c r="AF607" s="1" t="s">
        <v>5005</v>
      </c>
    </row>
    <row r="608" spans="1:32" x14ac:dyDescent="0.2">
      <c r="A608" s="1" t="s">
        <v>929</v>
      </c>
      <c r="B608" s="1" t="s">
        <v>5</v>
      </c>
      <c r="C608" s="1" t="s">
        <v>1575</v>
      </c>
      <c r="D608" s="1" t="s">
        <v>1584</v>
      </c>
      <c r="E608" s="1" t="s">
        <v>1586</v>
      </c>
      <c r="F608" s="1" t="s">
        <v>66</v>
      </c>
      <c r="G608" s="13">
        <v>0.96360000000000001</v>
      </c>
      <c r="H608" s="28">
        <v>41180</v>
      </c>
      <c r="I608" s="29">
        <f t="shared" si="375"/>
        <v>2012</v>
      </c>
      <c r="J608" s="1" t="s">
        <v>7</v>
      </c>
      <c r="K608" s="1" t="s">
        <v>904</v>
      </c>
      <c r="L608" s="11" t="str">
        <f t="shared" ref="L608" si="389">IF(OR(A608=J608,A608=K608),"ДА","НЕТ")</f>
        <v>НЕТ</v>
      </c>
      <c r="M608" s="10" t="s">
        <v>1575</v>
      </c>
      <c r="N608" s="10" t="s">
        <v>1575</v>
      </c>
      <c r="O608" s="10">
        <v>1.401832</v>
      </c>
      <c r="P608" s="10">
        <f t="shared" si="358"/>
        <v>1.4547862183478621</v>
      </c>
      <c r="Q608" s="10" t="str">
        <f t="shared" si="359"/>
        <v>NA</v>
      </c>
      <c r="R608" s="10" t="s">
        <v>1575</v>
      </c>
      <c r="S608" s="10" t="s">
        <v>1575</v>
      </c>
      <c r="T608" s="10" t="s">
        <v>1575</v>
      </c>
      <c r="U608" s="10" t="s">
        <v>1575</v>
      </c>
      <c r="V608" s="10">
        <v>1.3979889999999999</v>
      </c>
      <c r="W608" s="10" t="s">
        <v>1575</v>
      </c>
      <c r="X608" s="10" t="str">
        <f t="shared" si="360"/>
        <v>NA</v>
      </c>
      <c r="Y608" s="10" t="str">
        <f t="shared" si="361"/>
        <v>NA</v>
      </c>
      <c r="Z608" s="10" t="str">
        <f t="shared" si="362"/>
        <v>NA</v>
      </c>
      <c r="AA608" s="10">
        <f t="shared" si="363"/>
        <v>1.0406278006106358</v>
      </c>
      <c r="AB608" s="10" t="str">
        <f t="shared" si="364"/>
        <v>NA</v>
      </c>
      <c r="AC608" s="10" t="str">
        <f t="shared" si="365"/>
        <v>NA</v>
      </c>
      <c r="AD608" s="10" t="str">
        <f t="shared" si="366"/>
        <v>NA</v>
      </c>
      <c r="AE608" s="10" t="str">
        <f t="shared" si="367"/>
        <v>NA</v>
      </c>
      <c r="AF608" s="1" t="s">
        <v>5004</v>
      </c>
    </row>
    <row r="609" spans="1:32" x14ac:dyDescent="0.2">
      <c r="A609" s="1" t="s">
        <v>5008</v>
      </c>
      <c r="B609" s="1" t="s">
        <v>5</v>
      </c>
      <c r="C609" s="1" t="s">
        <v>1575</v>
      </c>
      <c r="D609" s="1" t="s">
        <v>1580</v>
      </c>
      <c r="E609" s="1" t="s">
        <v>2057</v>
      </c>
      <c r="F609" s="1" t="s">
        <v>434</v>
      </c>
      <c r="G609" s="13">
        <v>0.19</v>
      </c>
      <c r="H609" s="28">
        <v>40816</v>
      </c>
      <c r="I609" s="29">
        <f t="shared" si="375"/>
        <v>2011</v>
      </c>
      <c r="J609" s="1" t="s">
        <v>904</v>
      </c>
      <c r="K609" s="1" t="s">
        <v>7</v>
      </c>
      <c r="L609" s="11" t="str">
        <f t="shared" ref="L609" si="390">IF(OR(A609=J609,A609=K609),"ДА","НЕТ")</f>
        <v>НЕТ</v>
      </c>
      <c r="M609" s="10" t="s">
        <v>1575</v>
      </c>
      <c r="N609" s="10" t="s">
        <v>1575</v>
      </c>
      <c r="O609" s="10">
        <v>6.1071E-2</v>
      </c>
      <c r="P609" s="10">
        <f t="shared" si="358"/>
        <v>0.32142631578947367</v>
      </c>
      <c r="Q609" s="10" t="str">
        <f t="shared" si="359"/>
        <v>NA</v>
      </c>
      <c r="R609" s="10" t="s">
        <v>1575</v>
      </c>
      <c r="S609" s="10" t="s">
        <v>1575</v>
      </c>
      <c r="T609" s="10" t="s">
        <v>1575</v>
      </c>
      <c r="U609" s="10" t="s">
        <v>1575</v>
      </c>
      <c r="V609" s="10" t="s">
        <v>1575</v>
      </c>
      <c r="W609" s="10" t="s">
        <v>1575</v>
      </c>
      <c r="X609" s="10" t="str">
        <f t="shared" si="360"/>
        <v>NA</v>
      </c>
      <c r="Y609" s="10" t="str">
        <f t="shared" si="361"/>
        <v>NA</v>
      </c>
      <c r="Z609" s="10" t="str">
        <f t="shared" si="362"/>
        <v>NA</v>
      </c>
      <c r="AA609" s="10" t="str">
        <f t="shared" si="363"/>
        <v>NA</v>
      </c>
      <c r="AB609" s="10" t="str">
        <f t="shared" si="364"/>
        <v>NA</v>
      </c>
      <c r="AC609" s="10" t="str">
        <f t="shared" si="365"/>
        <v>NA</v>
      </c>
      <c r="AD609" s="10" t="str">
        <f t="shared" si="366"/>
        <v>NA</v>
      </c>
      <c r="AE609" s="10" t="str">
        <f t="shared" si="367"/>
        <v>NA</v>
      </c>
      <c r="AF609" s="1" t="s">
        <v>5007</v>
      </c>
    </row>
    <row r="610" spans="1:32" x14ac:dyDescent="0.2">
      <c r="A610" s="1" t="s">
        <v>5009</v>
      </c>
      <c r="B610" s="1" t="s">
        <v>5</v>
      </c>
      <c r="C610" s="1" t="s">
        <v>1575</v>
      </c>
      <c r="D610" s="1" t="s">
        <v>1580</v>
      </c>
      <c r="E610" s="1" t="s">
        <v>2057</v>
      </c>
      <c r="F610" s="1" t="s">
        <v>434</v>
      </c>
      <c r="G610" s="13">
        <v>0.19</v>
      </c>
      <c r="H610" s="28">
        <v>40816</v>
      </c>
      <c r="I610" s="29">
        <f t="shared" si="375"/>
        <v>2011</v>
      </c>
      <c r="J610" s="1" t="s">
        <v>904</v>
      </c>
      <c r="K610" s="1" t="s">
        <v>7</v>
      </c>
      <c r="L610" s="11" t="str">
        <f t="shared" ref="L610:L611" si="391">IF(OR(A610=J610,A610=K610),"ДА","НЕТ")</f>
        <v>НЕТ</v>
      </c>
      <c r="M610" s="10" t="s">
        <v>1575</v>
      </c>
      <c r="N610" s="10" t="s">
        <v>1575</v>
      </c>
      <c r="O610" s="10">
        <v>0.14375499999999999</v>
      </c>
      <c r="P610" s="10">
        <f t="shared" si="358"/>
        <v>0.75660526315789467</v>
      </c>
      <c r="Q610" s="10" t="str">
        <f t="shared" si="359"/>
        <v>NA</v>
      </c>
      <c r="R610" s="10" t="s">
        <v>1575</v>
      </c>
      <c r="S610" s="10" t="s">
        <v>1575</v>
      </c>
      <c r="T610" s="10" t="s">
        <v>1575</v>
      </c>
      <c r="U610" s="10" t="s">
        <v>1575</v>
      </c>
      <c r="V610" s="10" t="s">
        <v>1575</v>
      </c>
      <c r="W610" s="10" t="s">
        <v>1575</v>
      </c>
      <c r="X610" s="10" t="str">
        <f t="shared" si="360"/>
        <v>NA</v>
      </c>
      <c r="Y610" s="10" t="str">
        <f t="shared" si="361"/>
        <v>NA</v>
      </c>
      <c r="Z610" s="10" t="str">
        <f t="shared" si="362"/>
        <v>NA</v>
      </c>
      <c r="AA610" s="10" t="str">
        <f t="shared" si="363"/>
        <v>NA</v>
      </c>
      <c r="AB610" s="10" t="str">
        <f t="shared" si="364"/>
        <v>NA</v>
      </c>
      <c r="AC610" s="10" t="str">
        <f t="shared" si="365"/>
        <v>NA</v>
      </c>
      <c r="AD610" s="10" t="str">
        <f t="shared" si="366"/>
        <v>NA</v>
      </c>
      <c r="AE610" s="10" t="str">
        <f t="shared" si="367"/>
        <v>NA</v>
      </c>
      <c r="AF610" s="1" t="s">
        <v>5007</v>
      </c>
    </row>
    <row r="611" spans="1:32" x14ac:dyDescent="0.2">
      <c r="A611" s="1" t="s">
        <v>5010</v>
      </c>
      <c r="B611" s="1" t="s">
        <v>5</v>
      </c>
      <c r="C611" s="1" t="s">
        <v>1575</v>
      </c>
      <c r="D611" s="1" t="s">
        <v>1580</v>
      </c>
      <c r="E611" s="1" t="s">
        <v>2057</v>
      </c>
      <c r="F611" s="1" t="s">
        <v>434</v>
      </c>
      <c r="G611" s="13">
        <v>0.19</v>
      </c>
      <c r="H611" s="28">
        <v>40816</v>
      </c>
      <c r="I611" s="29">
        <f t="shared" si="375"/>
        <v>2011</v>
      </c>
      <c r="J611" s="1" t="s">
        <v>904</v>
      </c>
      <c r="K611" s="1" t="s">
        <v>7</v>
      </c>
      <c r="L611" s="11" t="str">
        <f t="shared" si="391"/>
        <v>НЕТ</v>
      </c>
      <c r="M611" s="10" t="s">
        <v>1575</v>
      </c>
      <c r="N611" s="10" t="s">
        <v>1575</v>
      </c>
      <c r="O611" s="10">
        <v>1.6087000000000001E-2</v>
      </c>
      <c r="P611" s="10">
        <f t="shared" si="358"/>
        <v>8.4668421052631587E-2</v>
      </c>
      <c r="Q611" s="10" t="str">
        <f t="shared" si="359"/>
        <v>NA</v>
      </c>
      <c r="R611" s="10" t="s">
        <v>1575</v>
      </c>
      <c r="S611" s="10" t="s">
        <v>1575</v>
      </c>
      <c r="T611" s="10" t="s">
        <v>1575</v>
      </c>
      <c r="U611" s="10" t="s">
        <v>1575</v>
      </c>
      <c r="V611" s="10" t="s">
        <v>1575</v>
      </c>
      <c r="W611" s="10" t="s">
        <v>1575</v>
      </c>
      <c r="X611" s="10" t="str">
        <f t="shared" si="360"/>
        <v>NA</v>
      </c>
      <c r="Y611" s="10" t="str">
        <f t="shared" si="361"/>
        <v>NA</v>
      </c>
      <c r="Z611" s="10" t="str">
        <f t="shared" si="362"/>
        <v>NA</v>
      </c>
      <c r="AA611" s="10" t="str">
        <f t="shared" si="363"/>
        <v>NA</v>
      </c>
      <c r="AB611" s="10" t="str">
        <f t="shared" si="364"/>
        <v>NA</v>
      </c>
      <c r="AC611" s="10" t="str">
        <f t="shared" si="365"/>
        <v>NA</v>
      </c>
      <c r="AD611" s="10" t="str">
        <f t="shared" si="366"/>
        <v>NA</v>
      </c>
      <c r="AE611" s="10" t="str">
        <f t="shared" si="367"/>
        <v>NA</v>
      </c>
      <c r="AF611" s="1" t="s">
        <v>5007</v>
      </c>
    </row>
    <row r="612" spans="1:32" x14ac:dyDescent="0.2">
      <c r="A612" s="1" t="s">
        <v>5011</v>
      </c>
      <c r="B612" s="1" t="s">
        <v>5</v>
      </c>
      <c r="C612" s="1" t="s">
        <v>1575</v>
      </c>
      <c r="D612" s="1" t="s">
        <v>1584</v>
      </c>
      <c r="E612" s="1" t="s">
        <v>1586</v>
      </c>
      <c r="F612" s="1" t="s">
        <v>66</v>
      </c>
      <c r="G612" s="13">
        <v>1</v>
      </c>
      <c r="H612" s="28">
        <v>40847</v>
      </c>
      <c r="I612" s="29">
        <f t="shared" si="375"/>
        <v>2011</v>
      </c>
      <c r="J612" s="1" t="s">
        <v>904</v>
      </c>
      <c r="K612" s="1" t="s">
        <v>7</v>
      </c>
      <c r="L612" s="11" t="str">
        <f t="shared" ref="L612:L613" si="392">IF(OR(A612=J612,A612=K612),"ДА","НЕТ")</f>
        <v>НЕТ</v>
      </c>
      <c r="M612" s="10" t="s">
        <v>1575</v>
      </c>
      <c r="N612" s="10" t="s">
        <v>1575</v>
      </c>
      <c r="O612" s="10">
        <v>2.1347969999999998</v>
      </c>
      <c r="P612" s="10">
        <f t="shared" si="358"/>
        <v>2.1347969999999998</v>
      </c>
      <c r="Q612" s="10" t="str">
        <f t="shared" si="359"/>
        <v>NA</v>
      </c>
      <c r="R612" s="10" t="s">
        <v>1575</v>
      </c>
      <c r="S612" s="10" t="s">
        <v>1575</v>
      </c>
      <c r="T612" s="10" t="s">
        <v>1575</v>
      </c>
      <c r="U612" s="10" t="s">
        <v>1575</v>
      </c>
      <c r="V612" s="10">
        <v>2.1347969999999998</v>
      </c>
      <c r="W612" s="10" t="s">
        <v>1575</v>
      </c>
      <c r="X612" s="10" t="str">
        <f t="shared" si="360"/>
        <v>NA</v>
      </c>
      <c r="Y612" s="10" t="str">
        <f t="shared" si="361"/>
        <v>NA</v>
      </c>
      <c r="Z612" s="10" t="str">
        <f t="shared" si="362"/>
        <v>NA</v>
      </c>
      <c r="AA612" s="10">
        <f t="shared" si="363"/>
        <v>1</v>
      </c>
      <c r="AB612" s="10" t="str">
        <f t="shared" si="364"/>
        <v>NA</v>
      </c>
      <c r="AC612" s="10" t="str">
        <f t="shared" si="365"/>
        <v>NA</v>
      </c>
      <c r="AD612" s="10" t="str">
        <f t="shared" si="366"/>
        <v>NA</v>
      </c>
      <c r="AE612" s="10" t="str">
        <f t="shared" si="367"/>
        <v>NA</v>
      </c>
      <c r="AF612" s="1" t="s">
        <v>5012</v>
      </c>
    </row>
    <row r="613" spans="1:32" x14ac:dyDescent="0.2">
      <c r="A613" s="1" t="s">
        <v>949</v>
      </c>
      <c r="B613" s="1" t="s">
        <v>5</v>
      </c>
      <c r="C613" s="1" t="s">
        <v>1575</v>
      </c>
      <c r="D613" s="1" t="s">
        <v>1580</v>
      </c>
      <c r="E613" s="1" t="s">
        <v>1593</v>
      </c>
      <c r="F613" s="1" t="s">
        <v>2163</v>
      </c>
      <c r="G613" s="13"/>
      <c r="H613" s="28">
        <v>40724</v>
      </c>
      <c r="I613" s="29">
        <f t="shared" si="375"/>
        <v>2011</v>
      </c>
      <c r="J613" s="1" t="s">
        <v>7</v>
      </c>
      <c r="K613" s="1" t="s">
        <v>904</v>
      </c>
      <c r="L613" s="11" t="str">
        <f t="shared" si="392"/>
        <v>НЕТ</v>
      </c>
      <c r="M613" s="10" t="s">
        <v>1575</v>
      </c>
      <c r="N613" s="10" t="s">
        <v>1575</v>
      </c>
      <c r="O613" s="10">
        <v>0.40799999999999997</v>
      </c>
      <c r="P613" s="10" t="str">
        <f t="shared" si="358"/>
        <v>NA</v>
      </c>
      <c r="Q613" s="10" t="str">
        <f t="shared" si="359"/>
        <v>NA</v>
      </c>
      <c r="R613" s="10" t="s">
        <v>1575</v>
      </c>
      <c r="S613" s="10" t="s">
        <v>1575</v>
      </c>
      <c r="T613" s="10" t="s">
        <v>1575</v>
      </c>
      <c r="U613" s="10" t="s">
        <v>1575</v>
      </c>
      <c r="V613" s="10">
        <v>0.43473200000000001</v>
      </c>
      <c r="W613" s="10" t="s">
        <v>1575</v>
      </c>
      <c r="X613" s="10" t="str">
        <f t="shared" si="360"/>
        <v>NA</v>
      </c>
      <c r="Y613" s="10" t="str">
        <f t="shared" si="361"/>
        <v>NA</v>
      </c>
      <c r="Z613" s="10" t="str">
        <f t="shared" si="362"/>
        <v>NA</v>
      </c>
      <c r="AA613" s="10" t="str">
        <f t="shared" si="363"/>
        <v>NA</v>
      </c>
      <c r="AB613" s="10" t="str">
        <f t="shared" si="364"/>
        <v>NA</v>
      </c>
      <c r="AC613" s="10" t="str">
        <f t="shared" si="365"/>
        <v>NA</v>
      </c>
      <c r="AD613" s="10" t="str">
        <f t="shared" si="366"/>
        <v>NA</v>
      </c>
      <c r="AE613" s="10" t="str">
        <f t="shared" si="367"/>
        <v>NA</v>
      </c>
      <c r="AF613" s="1" t="s">
        <v>5013</v>
      </c>
    </row>
    <row r="614" spans="1:32" x14ac:dyDescent="0.2">
      <c r="A614" s="1" t="s">
        <v>4969</v>
      </c>
      <c r="B614" s="1" t="s">
        <v>5</v>
      </c>
      <c r="C614" s="1" t="s">
        <v>1575</v>
      </c>
      <c r="D614" s="1" t="s">
        <v>1580</v>
      </c>
      <c r="E614" s="1" t="s">
        <v>1694</v>
      </c>
      <c r="F614" s="1" t="s">
        <v>4719</v>
      </c>
      <c r="G614" s="13" t="s">
        <v>1575</v>
      </c>
      <c r="H614" s="28">
        <v>44104</v>
      </c>
      <c r="I614" s="29">
        <f t="shared" ref="I614" si="393">YEAR(H614)</f>
        <v>2020</v>
      </c>
      <c r="J614" s="1" t="s">
        <v>7</v>
      </c>
      <c r="K614" s="1" t="s">
        <v>4970</v>
      </c>
      <c r="L614" s="11" t="str">
        <f t="shared" ref="L614" si="394">IF(OR(A614=J614,A614=K614),"ДА","НЕТ")</f>
        <v>НЕТ</v>
      </c>
      <c r="M614" s="10" t="s">
        <v>1575</v>
      </c>
      <c r="N614" s="10" t="s">
        <v>1575</v>
      </c>
      <c r="O614" s="10" t="s">
        <v>1575</v>
      </c>
      <c r="P614" s="10" t="str">
        <f t="shared" si="358"/>
        <v>NA</v>
      </c>
      <c r="Q614" s="10" t="str">
        <f t="shared" si="359"/>
        <v>NA</v>
      </c>
      <c r="R614" s="10" t="s">
        <v>1575</v>
      </c>
      <c r="S614" s="10" t="s">
        <v>1575</v>
      </c>
      <c r="T614" s="10" t="s">
        <v>1575</v>
      </c>
      <c r="U614" s="10" t="s">
        <v>1575</v>
      </c>
      <c r="V614" s="10">
        <f>2.267234-2.301387</f>
        <v>-3.4152999999999878E-2</v>
      </c>
      <c r="W614" s="10" t="s">
        <v>1575</v>
      </c>
      <c r="X614" s="10" t="str">
        <f t="shared" si="360"/>
        <v>NA</v>
      </c>
      <c r="Y614" s="10" t="str">
        <f t="shared" si="361"/>
        <v>NA</v>
      </c>
      <c r="Z614" s="10" t="str">
        <f t="shared" si="362"/>
        <v>NA</v>
      </c>
      <c r="AA614" s="10" t="str">
        <f t="shared" si="363"/>
        <v>NA</v>
      </c>
      <c r="AB614" s="10" t="str">
        <f t="shared" si="364"/>
        <v>NA</v>
      </c>
      <c r="AC614" s="10" t="str">
        <f t="shared" si="365"/>
        <v>NA</v>
      </c>
      <c r="AD614" s="10" t="str">
        <f t="shared" si="366"/>
        <v>NA</v>
      </c>
      <c r="AE614" s="10" t="str">
        <f t="shared" si="367"/>
        <v>NA</v>
      </c>
    </row>
    <row r="615" spans="1:32" x14ac:dyDescent="0.2">
      <c r="A615" s="1" t="s">
        <v>5598</v>
      </c>
      <c r="B615" s="1" t="s">
        <v>5</v>
      </c>
      <c r="C615" s="1" t="s">
        <v>1575</v>
      </c>
      <c r="D615" s="1" t="s">
        <v>1582</v>
      </c>
      <c r="E615" s="1" t="s">
        <v>2162</v>
      </c>
      <c r="F615" s="1" t="s">
        <v>4962</v>
      </c>
      <c r="G615" s="13">
        <v>0.99990000000000001</v>
      </c>
      <c r="H615" s="28">
        <v>43095</v>
      </c>
      <c r="I615" s="29">
        <f t="shared" si="328"/>
        <v>2017</v>
      </c>
      <c r="J615" s="1" t="s">
        <v>7</v>
      </c>
      <c r="K615" s="1" t="s">
        <v>4958</v>
      </c>
      <c r="L615" s="11" t="str">
        <f t="shared" ref="L615" si="395">IF(OR(A615=J615,A615=K615),"ДА","НЕТ")</f>
        <v>НЕТ</v>
      </c>
      <c r="M615" s="10" t="s">
        <v>1575</v>
      </c>
      <c r="N615" s="10" t="s">
        <v>1575</v>
      </c>
      <c r="O615" s="10">
        <v>4.0000000000000001E-3</v>
      </c>
      <c r="P615" s="10">
        <f t="shared" si="358"/>
        <v>4.0004000400040004E-3</v>
      </c>
      <c r="Q615" s="10" t="str">
        <f t="shared" si="359"/>
        <v>NA</v>
      </c>
      <c r="R615" s="10" t="s">
        <v>1575</v>
      </c>
      <c r="S615" s="10" t="s">
        <v>1575</v>
      </c>
      <c r="T615" s="10" t="s">
        <v>1575</v>
      </c>
      <c r="U615" s="10" t="s">
        <v>1575</v>
      </c>
      <c r="V615" s="10">
        <f>0.527-0.049</f>
        <v>0.47800000000000004</v>
      </c>
      <c r="W615" s="10" t="s">
        <v>1575</v>
      </c>
      <c r="X615" s="10" t="str">
        <f t="shared" si="360"/>
        <v>NA</v>
      </c>
      <c r="Y615" s="10" t="str">
        <f t="shared" si="361"/>
        <v>NA</v>
      </c>
      <c r="Z615" s="10" t="str">
        <f t="shared" si="362"/>
        <v>NA</v>
      </c>
      <c r="AA615" s="10">
        <f t="shared" si="363"/>
        <v>8.3690377405941426E-3</v>
      </c>
      <c r="AB615" s="10" t="str">
        <f t="shared" si="364"/>
        <v>NA</v>
      </c>
      <c r="AC615" s="10" t="str">
        <f t="shared" si="365"/>
        <v>NA</v>
      </c>
      <c r="AD615" s="10" t="str">
        <f t="shared" si="366"/>
        <v>NA</v>
      </c>
      <c r="AE615" s="10" t="str">
        <f t="shared" si="367"/>
        <v>NA</v>
      </c>
      <c r="AF615" s="1" t="s">
        <v>4959</v>
      </c>
    </row>
    <row r="616" spans="1:32" x14ac:dyDescent="0.2">
      <c r="A616" s="1" t="s">
        <v>5599</v>
      </c>
      <c r="B616" s="1" t="s">
        <v>5</v>
      </c>
      <c r="C616" s="1" t="s">
        <v>1575</v>
      </c>
      <c r="D616" s="1" t="s">
        <v>1580</v>
      </c>
      <c r="E616" s="1" t="s">
        <v>1694</v>
      </c>
      <c r="F616" s="1" t="s">
        <v>4719</v>
      </c>
      <c r="G616" s="13" t="s">
        <v>11</v>
      </c>
      <c r="H616" s="28">
        <v>42445</v>
      </c>
      <c r="I616" s="29">
        <f t="shared" si="328"/>
        <v>2016</v>
      </c>
      <c r="J616" s="1" t="s">
        <v>5600</v>
      </c>
      <c r="K616" s="1" t="s">
        <v>4958</v>
      </c>
      <c r="L616" s="11" t="str">
        <f t="shared" ref="L616:L617" si="396">IF(OR(A616=J616,A616=K616),"ДА","НЕТ")</f>
        <v>НЕТ</v>
      </c>
      <c r="M616" s="10" t="s">
        <v>1575</v>
      </c>
      <c r="N616" s="10" t="s">
        <v>1575</v>
      </c>
      <c r="O616" s="10">
        <v>0.01</v>
      </c>
      <c r="P616" s="10" t="str">
        <f t="shared" si="358"/>
        <v>NA</v>
      </c>
      <c r="Q616" s="10" t="str">
        <f t="shared" si="359"/>
        <v>NA</v>
      </c>
      <c r="R616" s="10" t="s">
        <v>1575</v>
      </c>
      <c r="S616" s="10" t="s">
        <v>1575</v>
      </c>
      <c r="T616" s="10" t="s">
        <v>1575</v>
      </c>
      <c r="U616" s="10" t="s">
        <v>1575</v>
      </c>
      <c r="V616" s="10" t="s">
        <v>1575</v>
      </c>
      <c r="W616" s="10" t="s">
        <v>1575</v>
      </c>
      <c r="X616" s="10" t="str">
        <f t="shared" si="360"/>
        <v>NA</v>
      </c>
      <c r="Y616" s="10" t="str">
        <f t="shared" si="361"/>
        <v>NA</v>
      </c>
      <c r="Z616" s="10" t="str">
        <f t="shared" si="362"/>
        <v>NA</v>
      </c>
      <c r="AA616" s="10" t="str">
        <f t="shared" si="363"/>
        <v>NA</v>
      </c>
      <c r="AB616" s="10" t="str">
        <f t="shared" si="364"/>
        <v>NA</v>
      </c>
      <c r="AC616" s="10" t="str">
        <f t="shared" si="365"/>
        <v>NA</v>
      </c>
      <c r="AD616" s="10" t="str">
        <f t="shared" si="366"/>
        <v>NA</v>
      </c>
      <c r="AE616" s="10" t="str">
        <f t="shared" si="367"/>
        <v>NA</v>
      </c>
      <c r="AF616" s="1" t="s">
        <v>4961</v>
      </c>
    </row>
    <row r="617" spans="1:32" x14ac:dyDescent="0.2">
      <c r="A617" s="1" t="s">
        <v>5599</v>
      </c>
      <c r="B617" s="1" t="s">
        <v>5</v>
      </c>
      <c r="C617" s="1" t="s">
        <v>1575</v>
      </c>
      <c r="D617" s="1" t="s">
        <v>1580</v>
      </c>
      <c r="E617" s="1" t="s">
        <v>1694</v>
      </c>
      <c r="F617" s="1" t="s">
        <v>4719</v>
      </c>
      <c r="G617" s="13" t="s">
        <v>11</v>
      </c>
      <c r="H617" s="28">
        <v>42425</v>
      </c>
      <c r="I617" s="29">
        <f t="shared" si="328"/>
        <v>2016</v>
      </c>
      <c r="J617" s="1" t="s">
        <v>4958</v>
      </c>
      <c r="K617" s="1" t="s">
        <v>7</v>
      </c>
      <c r="L617" s="11" t="str">
        <f t="shared" si="396"/>
        <v>НЕТ</v>
      </c>
      <c r="M617" s="10" t="s">
        <v>1575</v>
      </c>
      <c r="N617" s="10" t="s">
        <v>1575</v>
      </c>
      <c r="O617" s="10">
        <v>0.01</v>
      </c>
      <c r="P617" s="10" t="str">
        <f t="shared" si="358"/>
        <v>NA</v>
      </c>
      <c r="Q617" s="10" t="str">
        <f t="shared" si="359"/>
        <v>NA</v>
      </c>
      <c r="R617" s="10" t="s">
        <v>1575</v>
      </c>
      <c r="S617" s="10" t="s">
        <v>1575</v>
      </c>
      <c r="T617" s="10" t="s">
        <v>1575</v>
      </c>
      <c r="U617" s="10" t="s">
        <v>1575</v>
      </c>
      <c r="V617" s="10" t="s">
        <v>1575</v>
      </c>
      <c r="W617" s="10" t="s">
        <v>1575</v>
      </c>
      <c r="X617" s="10" t="str">
        <f t="shared" si="360"/>
        <v>NA</v>
      </c>
      <c r="Y617" s="10" t="str">
        <f t="shared" si="361"/>
        <v>NA</v>
      </c>
      <c r="Z617" s="10" t="str">
        <f t="shared" si="362"/>
        <v>NA</v>
      </c>
      <c r="AA617" s="10" t="str">
        <f t="shared" si="363"/>
        <v>NA</v>
      </c>
      <c r="AB617" s="10" t="str">
        <f t="shared" si="364"/>
        <v>NA</v>
      </c>
      <c r="AC617" s="10" t="str">
        <f t="shared" si="365"/>
        <v>NA</v>
      </c>
      <c r="AD617" s="10" t="str">
        <f t="shared" si="366"/>
        <v>NA</v>
      </c>
      <c r="AE617" s="10" t="str">
        <f t="shared" si="367"/>
        <v>NA</v>
      </c>
      <c r="AF617" s="1" t="s">
        <v>4960</v>
      </c>
    </row>
    <row r="618" spans="1:32" x14ac:dyDescent="0.2">
      <c r="A618" s="1" t="s">
        <v>5601</v>
      </c>
      <c r="B618" s="1" t="s">
        <v>5</v>
      </c>
      <c r="C618" s="1" t="s">
        <v>1575</v>
      </c>
      <c r="D618" s="1" t="s">
        <v>1580</v>
      </c>
      <c r="E618" s="1" t="s">
        <v>1694</v>
      </c>
      <c r="F618" s="1" t="s">
        <v>4719</v>
      </c>
      <c r="G618" s="13">
        <v>1</v>
      </c>
      <c r="H618" s="28">
        <v>42735</v>
      </c>
      <c r="I618" s="29">
        <f t="shared" si="328"/>
        <v>2016</v>
      </c>
      <c r="J618" s="1" t="s">
        <v>4958</v>
      </c>
      <c r="K618" s="1" t="s">
        <v>7</v>
      </c>
      <c r="L618" s="11" t="str">
        <f t="shared" ref="L618" si="397">IF(OR(A618=J618,A618=K618),"ДА","НЕТ")</f>
        <v>НЕТ</v>
      </c>
      <c r="M618" s="10" t="s">
        <v>1575</v>
      </c>
      <c r="N618" s="10" t="s">
        <v>1575</v>
      </c>
      <c r="O618" s="10" t="s">
        <v>1575</v>
      </c>
      <c r="P618" s="10" t="str">
        <f t="shared" si="358"/>
        <v>NA</v>
      </c>
      <c r="Q618" s="10" t="str">
        <f t="shared" si="359"/>
        <v>NA</v>
      </c>
      <c r="R618" s="10" t="s">
        <v>1575</v>
      </c>
      <c r="S618" s="10" t="s">
        <v>1575</v>
      </c>
      <c r="T618" s="10" t="s">
        <v>1575</v>
      </c>
      <c r="U618" s="10" t="s">
        <v>1575</v>
      </c>
      <c r="V618" s="10" t="s">
        <v>1575</v>
      </c>
      <c r="W618" s="10" t="s">
        <v>1575</v>
      </c>
      <c r="X618" s="10" t="str">
        <f t="shared" si="360"/>
        <v>NA</v>
      </c>
      <c r="Y618" s="10" t="str">
        <f t="shared" si="361"/>
        <v>NA</v>
      </c>
      <c r="Z618" s="10" t="str">
        <f t="shared" si="362"/>
        <v>NA</v>
      </c>
      <c r="AA618" s="10" t="str">
        <f t="shared" si="363"/>
        <v>NA</v>
      </c>
      <c r="AB618" s="10" t="str">
        <f t="shared" si="364"/>
        <v>NA</v>
      </c>
      <c r="AC618" s="10" t="str">
        <f t="shared" si="365"/>
        <v>NA</v>
      </c>
      <c r="AD618" s="10" t="str">
        <f t="shared" si="366"/>
        <v>NA</v>
      </c>
      <c r="AE618" s="10" t="str">
        <f t="shared" si="367"/>
        <v>NA</v>
      </c>
      <c r="AF618" s="1" t="s">
        <v>4963</v>
      </c>
    </row>
    <row r="619" spans="1:32" x14ac:dyDescent="0.2">
      <c r="A619" s="1" t="s">
        <v>4965</v>
      </c>
      <c r="B619" s="1" t="s">
        <v>21</v>
      </c>
      <c r="C619" s="1" t="s">
        <v>1575</v>
      </c>
      <c r="D619" s="1" t="s">
        <v>1580</v>
      </c>
      <c r="E619" s="1" t="s">
        <v>1694</v>
      </c>
      <c r="F619" s="1" t="s">
        <v>4719</v>
      </c>
      <c r="G619" s="13">
        <f>90.01%+9.99%</f>
        <v>1</v>
      </c>
      <c r="H619" s="28">
        <v>41305</v>
      </c>
      <c r="I619" s="29">
        <f t="shared" si="328"/>
        <v>2013</v>
      </c>
      <c r="J619" s="1" t="s">
        <v>4966</v>
      </c>
      <c r="K619" s="1" t="s">
        <v>7</v>
      </c>
      <c r="L619" s="11" t="str">
        <f t="shared" ref="L619" si="398">IF(OR(A619=J619,A619=K619),"ДА","НЕТ")</f>
        <v>НЕТ</v>
      </c>
      <c r="M619" s="10" t="s">
        <v>1575</v>
      </c>
      <c r="N619" s="10" t="s">
        <v>1575</v>
      </c>
      <c r="O619" s="10">
        <f>1.096+0.685</f>
        <v>1.7810000000000001</v>
      </c>
      <c r="P619" s="10">
        <f t="shared" si="358"/>
        <v>1.7810000000000001</v>
      </c>
      <c r="Q619" s="10" t="str">
        <f t="shared" si="359"/>
        <v>NA</v>
      </c>
      <c r="R619" s="10" t="s">
        <v>1575</v>
      </c>
      <c r="S619" s="10" t="s">
        <v>1575</v>
      </c>
      <c r="T619" s="10" t="s">
        <v>1575</v>
      </c>
      <c r="U619" s="10" t="s">
        <v>1575</v>
      </c>
      <c r="V619" s="10" t="s">
        <v>1575</v>
      </c>
      <c r="W619" s="10" t="s">
        <v>1575</v>
      </c>
      <c r="X619" s="10" t="str">
        <f t="shared" si="360"/>
        <v>NA</v>
      </c>
      <c r="Y619" s="10" t="str">
        <f t="shared" si="361"/>
        <v>NA</v>
      </c>
      <c r="Z619" s="10" t="str">
        <f t="shared" si="362"/>
        <v>NA</v>
      </c>
      <c r="AA619" s="10" t="str">
        <f t="shared" si="363"/>
        <v>NA</v>
      </c>
      <c r="AB619" s="10" t="str">
        <f t="shared" si="364"/>
        <v>NA</v>
      </c>
      <c r="AC619" s="10" t="str">
        <f t="shared" si="365"/>
        <v>NA</v>
      </c>
      <c r="AD619" s="10" t="str">
        <f t="shared" si="366"/>
        <v>NA</v>
      </c>
      <c r="AE619" s="10" t="str">
        <f t="shared" si="367"/>
        <v>NA</v>
      </c>
      <c r="AF619" s="1" t="s">
        <v>4964</v>
      </c>
    </row>
    <row r="620" spans="1:32" x14ac:dyDescent="0.2">
      <c r="A620" s="1" t="s">
        <v>5602</v>
      </c>
      <c r="B620" s="1" t="s">
        <v>5</v>
      </c>
      <c r="C620" s="1" t="s">
        <v>1575</v>
      </c>
      <c r="D620" s="1" t="s">
        <v>1578</v>
      </c>
      <c r="E620" s="1" t="s">
        <v>1579</v>
      </c>
      <c r="F620" s="1" t="s">
        <v>429</v>
      </c>
      <c r="G620" s="13">
        <v>0.88280000000000003</v>
      </c>
      <c r="H620" s="28">
        <v>43564</v>
      </c>
      <c r="I620" s="29">
        <f t="shared" si="328"/>
        <v>2019</v>
      </c>
      <c r="J620" s="1" t="s">
        <v>4967</v>
      </c>
      <c r="K620" s="1" t="s">
        <v>7</v>
      </c>
      <c r="L620" s="11" t="str">
        <f t="shared" ref="L620" si="399">IF(OR(A620=J620,A620=K620),"ДА","НЕТ")</f>
        <v>НЕТ</v>
      </c>
      <c r="M620" s="10" t="s">
        <v>1575</v>
      </c>
      <c r="N620" s="10" t="s">
        <v>1575</v>
      </c>
      <c r="O620" s="10">
        <v>1.141772</v>
      </c>
      <c r="P620" s="10">
        <f t="shared" si="358"/>
        <v>1.2933529678296329</v>
      </c>
      <c r="Q620" s="10" t="str">
        <f t="shared" si="359"/>
        <v>NA</v>
      </c>
      <c r="R620" s="10" t="s">
        <v>1575</v>
      </c>
      <c r="S620" s="10" t="s">
        <v>1575</v>
      </c>
      <c r="T620" s="10" t="s">
        <v>1575</v>
      </c>
      <c r="U620" s="10" t="s">
        <v>1575</v>
      </c>
      <c r="V620" s="10">
        <v>1.206642</v>
      </c>
      <c r="W620" s="10" t="s">
        <v>1575</v>
      </c>
      <c r="X620" s="10" t="str">
        <f t="shared" si="360"/>
        <v>NA</v>
      </c>
      <c r="Y620" s="10" t="str">
        <f t="shared" si="361"/>
        <v>NA</v>
      </c>
      <c r="Z620" s="10" t="str">
        <f t="shared" si="362"/>
        <v>NA</v>
      </c>
      <c r="AA620" s="10">
        <f t="shared" si="363"/>
        <v>1.0718613870805367</v>
      </c>
      <c r="AB620" s="10" t="str">
        <f t="shared" si="364"/>
        <v>NA</v>
      </c>
      <c r="AC620" s="10" t="str">
        <f t="shared" si="365"/>
        <v>NA</v>
      </c>
      <c r="AD620" s="10" t="str">
        <f t="shared" si="366"/>
        <v>NA</v>
      </c>
      <c r="AE620" s="10" t="str">
        <f t="shared" si="367"/>
        <v>NA</v>
      </c>
      <c r="AF620" s="1" t="s">
        <v>4968</v>
      </c>
    </row>
    <row r="621" spans="1:32" x14ac:dyDescent="0.2">
      <c r="A621" s="1" t="s">
        <v>5603</v>
      </c>
      <c r="B621" s="1" t="s">
        <v>5</v>
      </c>
      <c r="C621" s="1" t="s">
        <v>4345</v>
      </c>
      <c r="D621" s="1" t="s">
        <v>1580</v>
      </c>
      <c r="E621" s="1" t="s">
        <v>1590</v>
      </c>
      <c r="F621" s="1" t="s">
        <v>664</v>
      </c>
      <c r="G621" s="13">
        <f>51%-49.99%</f>
        <v>1.0099999999999998E-2</v>
      </c>
      <c r="H621" s="28">
        <v>43496</v>
      </c>
      <c r="I621" s="29">
        <f t="shared" si="181"/>
        <v>2019</v>
      </c>
      <c r="J621" s="1" t="s">
        <v>7</v>
      </c>
      <c r="K621" s="1" t="s">
        <v>4262</v>
      </c>
      <c r="L621" s="11" t="str">
        <f t="shared" ref="L621" si="400">IF(OR(A621=J621,A621=K621),"ДА","НЕТ")</f>
        <v>НЕТ</v>
      </c>
      <c r="M621" s="10" t="s">
        <v>1575</v>
      </c>
      <c r="N621" s="10" t="s">
        <v>1575</v>
      </c>
      <c r="O621" s="10">
        <v>0</v>
      </c>
      <c r="P621" s="10">
        <f t="shared" si="358"/>
        <v>0</v>
      </c>
      <c r="Q621" s="10" t="str">
        <f t="shared" si="359"/>
        <v>NA</v>
      </c>
      <c r="R621" s="10" t="s">
        <v>1575</v>
      </c>
      <c r="S621" s="10" t="s">
        <v>1575</v>
      </c>
      <c r="T621" s="10" t="s">
        <v>1575</v>
      </c>
      <c r="U621" s="10" t="s">
        <v>1575</v>
      </c>
      <c r="V621" s="10">
        <f>271.068246-259.147282</f>
        <v>11.920963999999969</v>
      </c>
      <c r="W621" s="10" t="s">
        <v>1575</v>
      </c>
      <c r="X621" s="10" t="str">
        <f t="shared" si="360"/>
        <v>NA</v>
      </c>
      <c r="Y621" s="10" t="str">
        <f t="shared" si="361"/>
        <v>NA</v>
      </c>
      <c r="Z621" s="10" t="str">
        <f t="shared" si="362"/>
        <v>NA</v>
      </c>
      <c r="AA621" s="10">
        <f t="shared" si="363"/>
        <v>0</v>
      </c>
      <c r="AB621" s="10" t="str">
        <f t="shared" si="364"/>
        <v>NA</v>
      </c>
      <c r="AC621" s="10" t="str">
        <f t="shared" si="365"/>
        <v>NA</v>
      </c>
      <c r="AD621" s="10" t="str">
        <f t="shared" si="366"/>
        <v>NA</v>
      </c>
      <c r="AE621" s="10" t="str">
        <f t="shared" si="367"/>
        <v>NA</v>
      </c>
      <c r="AF621" s="1" t="s">
        <v>4261</v>
      </c>
    </row>
    <row r="622" spans="1:32" x14ac:dyDescent="0.2">
      <c r="A622" s="1" t="s">
        <v>5604</v>
      </c>
      <c r="B622" s="1" t="s">
        <v>5</v>
      </c>
      <c r="C622" s="1" t="s">
        <v>1575</v>
      </c>
      <c r="D622" s="1" t="s">
        <v>1580</v>
      </c>
      <c r="E622" s="1" t="s">
        <v>1593</v>
      </c>
      <c r="F622" s="1" t="s">
        <v>545</v>
      </c>
      <c r="G622" s="4">
        <v>1</v>
      </c>
      <c r="H622" s="28">
        <v>43555</v>
      </c>
      <c r="I622" s="29">
        <f t="shared" si="181"/>
        <v>2019</v>
      </c>
      <c r="J622" s="1" t="s">
        <v>4262</v>
      </c>
      <c r="K622" s="1" t="s">
        <v>7</v>
      </c>
      <c r="L622" s="11" t="str">
        <f t="shared" ref="L622" si="401">IF(OR(A622=J622,A622=K622),"ДА","НЕТ")</f>
        <v>НЕТ</v>
      </c>
      <c r="M622" s="10" t="s">
        <v>1575</v>
      </c>
      <c r="N622" s="10" t="s">
        <v>1575</v>
      </c>
      <c r="O622" s="10">
        <v>5.2729999999999999E-2</v>
      </c>
      <c r="P622" s="10">
        <f t="shared" si="358"/>
        <v>5.2729999999999999E-2</v>
      </c>
      <c r="Q622" s="10" t="str">
        <f t="shared" si="359"/>
        <v>NA</v>
      </c>
      <c r="R622" s="10" t="s">
        <v>1575</v>
      </c>
      <c r="S622" s="10" t="s">
        <v>1575</v>
      </c>
      <c r="T622" s="10" t="s">
        <v>1575</v>
      </c>
      <c r="U622" s="10" t="s">
        <v>1575</v>
      </c>
      <c r="V622" s="10">
        <v>5.7539E-2</v>
      </c>
      <c r="W622" s="10" t="s">
        <v>1575</v>
      </c>
      <c r="X622" s="10" t="str">
        <f t="shared" si="360"/>
        <v>NA</v>
      </c>
      <c r="Y622" s="10" t="str">
        <f t="shared" si="361"/>
        <v>NA</v>
      </c>
      <c r="Z622" s="10" t="str">
        <f t="shared" si="362"/>
        <v>NA</v>
      </c>
      <c r="AA622" s="10">
        <f t="shared" si="363"/>
        <v>0.91642190514259891</v>
      </c>
      <c r="AB622" s="10" t="str">
        <f t="shared" si="364"/>
        <v>NA</v>
      </c>
      <c r="AC622" s="10" t="str">
        <f t="shared" si="365"/>
        <v>NA</v>
      </c>
      <c r="AD622" s="10" t="str">
        <f t="shared" si="366"/>
        <v>NA</v>
      </c>
      <c r="AE622" s="10" t="str">
        <f t="shared" si="367"/>
        <v>NA</v>
      </c>
      <c r="AF622" s="1" t="s">
        <v>4263</v>
      </c>
    </row>
    <row r="623" spans="1:32" x14ac:dyDescent="0.2">
      <c r="A623" s="1" t="s">
        <v>4262</v>
      </c>
      <c r="B623" s="1" t="s">
        <v>5</v>
      </c>
      <c r="C623" s="1" t="s">
        <v>4345</v>
      </c>
      <c r="D623" s="1" t="s">
        <v>1580</v>
      </c>
      <c r="E623" s="1" t="s">
        <v>1590</v>
      </c>
      <c r="F623" s="1" t="s">
        <v>664</v>
      </c>
      <c r="G623" s="13">
        <v>0.66590000000000005</v>
      </c>
      <c r="H623" s="28">
        <v>43657</v>
      </c>
      <c r="I623" s="29">
        <f t="shared" si="181"/>
        <v>2019</v>
      </c>
      <c r="J623" s="1" t="s">
        <v>5605</v>
      </c>
      <c r="K623" s="1" t="s">
        <v>7</v>
      </c>
      <c r="L623" s="11" t="str">
        <f t="shared" ref="L623:L624" si="402">IF(OR(A623=J623,A623=K623),"ДА","НЕТ")</f>
        <v>НЕТ</v>
      </c>
      <c r="M623" s="10" t="s">
        <v>1575</v>
      </c>
      <c r="N623" s="10" t="s">
        <v>1575</v>
      </c>
      <c r="O623" s="10" t="s">
        <v>1575</v>
      </c>
      <c r="P623" s="10" t="str">
        <f t="shared" si="358"/>
        <v>NA</v>
      </c>
      <c r="Q623" s="10" t="str">
        <f t="shared" si="359"/>
        <v>NA</v>
      </c>
      <c r="R623" s="10">
        <v>27.883983000000001</v>
      </c>
      <c r="S623" s="10">
        <v>10.056003999999993</v>
      </c>
      <c r="T623" s="10">
        <v>9.9987619999999922</v>
      </c>
      <c r="U623" s="10">
        <v>-36.287844</v>
      </c>
      <c r="V623" s="10">
        <v>13.277474000000005</v>
      </c>
      <c r="W623" s="10" t="s">
        <v>1575</v>
      </c>
      <c r="X623" s="10" t="str">
        <f t="shared" si="360"/>
        <v>NA</v>
      </c>
      <c r="Y623" s="10" t="str">
        <f t="shared" si="361"/>
        <v>NA</v>
      </c>
      <c r="Z623" s="10" t="str">
        <f t="shared" si="362"/>
        <v>NA</v>
      </c>
      <c r="AA623" s="10" t="str">
        <f t="shared" si="363"/>
        <v>NA</v>
      </c>
      <c r="AB623" s="10" t="str">
        <f t="shared" si="364"/>
        <v>NA</v>
      </c>
      <c r="AC623" s="10" t="str">
        <f t="shared" si="365"/>
        <v>NA</v>
      </c>
      <c r="AD623" s="10" t="str">
        <f t="shared" si="366"/>
        <v>NA</v>
      </c>
      <c r="AE623" s="10" t="str">
        <f t="shared" si="367"/>
        <v>NA</v>
      </c>
      <c r="AF623" s="1" t="s">
        <v>4264</v>
      </c>
    </row>
    <row r="624" spans="1:32" x14ac:dyDescent="0.2">
      <c r="A624" s="1" t="s">
        <v>5603</v>
      </c>
      <c r="B624" s="1" t="s">
        <v>5</v>
      </c>
      <c r="C624" s="1" t="s">
        <v>1575</v>
      </c>
      <c r="D624" s="1" t="s">
        <v>1580</v>
      </c>
      <c r="E624" s="1" t="s">
        <v>1590</v>
      </c>
      <c r="F624" s="1" t="s">
        <v>664</v>
      </c>
      <c r="G624" s="13" t="s">
        <v>1575</v>
      </c>
      <c r="H624" s="28">
        <v>43494</v>
      </c>
      <c r="I624" s="29">
        <f t="shared" ref="I624:I626" si="403">YEAR(H624)</f>
        <v>2019</v>
      </c>
      <c r="J624" s="1" t="s">
        <v>5605</v>
      </c>
      <c r="K624" s="1" t="s">
        <v>7</v>
      </c>
      <c r="L624" s="11" t="str">
        <f t="shared" si="402"/>
        <v>НЕТ</v>
      </c>
      <c r="M624" s="10" t="s">
        <v>1575</v>
      </c>
      <c r="N624" s="10" t="s">
        <v>1575</v>
      </c>
      <c r="O624" s="10" t="s">
        <v>1575</v>
      </c>
      <c r="P624" s="10" t="str">
        <f t="shared" si="358"/>
        <v>NA</v>
      </c>
      <c r="Q624" s="10" t="str">
        <f t="shared" si="359"/>
        <v>NA</v>
      </c>
      <c r="R624" s="10" t="s">
        <v>1575</v>
      </c>
      <c r="S624" s="10" t="s">
        <v>1575</v>
      </c>
      <c r="T624" s="10" t="s">
        <v>1575</v>
      </c>
      <c r="U624" s="10" t="s">
        <v>1575</v>
      </c>
      <c r="V624" s="10" t="s">
        <v>1575</v>
      </c>
      <c r="W624" s="10" t="s">
        <v>1575</v>
      </c>
      <c r="X624" s="10" t="str">
        <f t="shared" si="360"/>
        <v>NA</v>
      </c>
      <c r="Y624" s="10" t="str">
        <f t="shared" si="361"/>
        <v>NA</v>
      </c>
      <c r="Z624" s="10" t="str">
        <f t="shared" si="362"/>
        <v>NA</v>
      </c>
      <c r="AA624" s="10" t="str">
        <f t="shared" si="363"/>
        <v>NA</v>
      </c>
      <c r="AB624" s="10" t="str">
        <f t="shared" si="364"/>
        <v>NA</v>
      </c>
      <c r="AC624" s="10" t="str">
        <f t="shared" si="365"/>
        <v>NA</v>
      </c>
      <c r="AD624" s="10" t="str">
        <f t="shared" si="366"/>
        <v>NA</v>
      </c>
      <c r="AE624" s="10" t="str">
        <f t="shared" si="367"/>
        <v>NA</v>
      </c>
      <c r="AF624" s="1" t="s">
        <v>4266</v>
      </c>
    </row>
    <row r="625" spans="1:32" x14ac:dyDescent="0.2">
      <c r="A625" s="1" t="s">
        <v>5603</v>
      </c>
      <c r="B625" s="1" t="s">
        <v>5</v>
      </c>
      <c r="C625" s="1" t="s">
        <v>1575</v>
      </c>
      <c r="D625" s="1" t="s">
        <v>1580</v>
      </c>
      <c r="E625" s="1" t="s">
        <v>1590</v>
      </c>
      <c r="F625" s="1" t="s">
        <v>664</v>
      </c>
      <c r="G625" s="13">
        <v>0.49</v>
      </c>
      <c r="H625" s="28">
        <v>43465</v>
      </c>
      <c r="I625" s="29">
        <f t="shared" si="403"/>
        <v>2018</v>
      </c>
      <c r="J625" s="1" t="s">
        <v>7</v>
      </c>
      <c r="K625" s="1" t="s">
        <v>4262</v>
      </c>
      <c r="L625" s="11" t="str">
        <f t="shared" ref="L625" si="404">IF(OR(A625=J625,A625=K625),"ДА","НЕТ")</f>
        <v>НЕТ</v>
      </c>
      <c r="M625" s="10" t="s">
        <v>1575</v>
      </c>
      <c r="N625" s="10" t="s">
        <v>1575</v>
      </c>
      <c r="O625" s="10">
        <v>6.0037560000000001</v>
      </c>
      <c r="P625" s="10">
        <f t="shared" si="358"/>
        <v>12.252563265306122</v>
      </c>
      <c r="Q625" s="10" t="str">
        <f t="shared" si="359"/>
        <v>NA</v>
      </c>
      <c r="R625" s="10" t="s">
        <v>1575</v>
      </c>
      <c r="S625" s="10" t="s">
        <v>1575</v>
      </c>
      <c r="T625" s="10" t="s">
        <v>1575</v>
      </c>
      <c r="U625" s="10" t="s">
        <v>1575</v>
      </c>
      <c r="V625" s="10">
        <f>271.068246-259.147282</f>
        <v>11.920963999999969</v>
      </c>
      <c r="W625" s="10" t="s">
        <v>1575</v>
      </c>
      <c r="X625" s="10" t="str">
        <f t="shared" si="360"/>
        <v>NA</v>
      </c>
      <c r="Y625" s="10" t="str">
        <f t="shared" si="361"/>
        <v>NA</v>
      </c>
      <c r="Z625" s="10" t="str">
        <f t="shared" si="362"/>
        <v>NA</v>
      </c>
      <c r="AA625" s="10">
        <f t="shared" si="363"/>
        <v>1.0278164807230483</v>
      </c>
      <c r="AB625" s="10" t="str">
        <f t="shared" si="364"/>
        <v>NA</v>
      </c>
      <c r="AC625" s="10" t="str">
        <f t="shared" si="365"/>
        <v>NA</v>
      </c>
      <c r="AD625" s="10" t="str">
        <f t="shared" si="366"/>
        <v>NA</v>
      </c>
      <c r="AE625" s="10" t="str">
        <f t="shared" si="367"/>
        <v>NA</v>
      </c>
      <c r="AF625" s="1" t="s">
        <v>4265</v>
      </c>
    </row>
    <row r="626" spans="1:32" x14ac:dyDescent="0.2">
      <c r="A626" s="1" t="s">
        <v>5606</v>
      </c>
      <c r="B626" s="1" t="s">
        <v>5</v>
      </c>
      <c r="C626" s="1" t="s">
        <v>1575</v>
      </c>
      <c r="D626" s="1" t="s">
        <v>1580</v>
      </c>
      <c r="E626" s="1" t="s">
        <v>1590</v>
      </c>
      <c r="F626" s="1" t="s">
        <v>664</v>
      </c>
      <c r="G626" s="13">
        <v>1</v>
      </c>
      <c r="H626" s="28">
        <v>43465</v>
      </c>
      <c r="I626" s="29">
        <f t="shared" si="403"/>
        <v>2018</v>
      </c>
      <c r="J626" s="1" t="s">
        <v>7</v>
      </c>
      <c r="K626" s="1" t="s">
        <v>4262</v>
      </c>
      <c r="L626" s="11" t="str">
        <f t="shared" ref="L626:L627" si="405">IF(OR(A626=J626,A626=K626),"ДА","НЕТ")</f>
        <v>НЕТ</v>
      </c>
      <c r="M626" s="10" t="s">
        <v>1575</v>
      </c>
      <c r="N626" s="10" t="s">
        <v>1575</v>
      </c>
      <c r="O626" s="10">
        <v>0.46</v>
      </c>
      <c r="P626" s="10">
        <f t="shared" si="358"/>
        <v>0.46</v>
      </c>
      <c r="Q626" s="10" t="str">
        <f t="shared" si="359"/>
        <v>NA</v>
      </c>
      <c r="R626" s="10" t="s">
        <v>1575</v>
      </c>
      <c r="S626" s="10" t="s">
        <v>1575</v>
      </c>
      <c r="T626" s="10" t="s">
        <v>1575</v>
      </c>
      <c r="U626" s="10" t="s">
        <v>1575</v>
      </c>
      <c r="V626" s="10">
        <v>0.83868500000000001</v>
      </c>
      <c r="W626" s="10" t="s">
        <v>1575</v>
      </c>
      <c r="X626" s="10" t="str">
        <f t="shared" si="360"/>
        <v>NA</v>
      </c>
      <c r="Y626" s="10" t="str">
        <f t="shared" si="361"/>
        <v>NA</v>
      </c>
      <c r="Z626" s="10" t="str">
        <f t="shared" si="362"/>
        <v>NA</v>
      </c>
      <c r="AA626" s="10">
        <f t="shared" si="363"/>
        <v>0.54847767636240063</v>
      </c>
      <c r="AB626" s="10" t="str">
        <f t="shared" si="364"/>
        <v>NA</v>
      </c>
      <c r="AC626" s="10" t="str">
        <f t="shared" si="365"/>
        <v>NA</v>
      </c>
      <c r="AD626" s="10" t="str">
        <f t="shared" si="366"/>
        <v>NA</v>
      </c>
      <c r="AE626" s="10" t="str">
        <f t="shared" si="367"/>
        <v>NA</v>
      </c>
      <c r="AF626" s="1" t="s">
        <v>4267</v>
      </c>
    </row>
    <row r="627" spans="1:32" x14ac:dyDescent="0.2">
      <c r="A627" s="1" t="s">
        <v>5607</v>
      </c>
      <c r="B627" s="1" t="s">
        <v>5</v>
      </c>
      <c r="C627" s="1" t="s">
        <v>1575</v>
      </c>
      <c r="D627" s="1" t="s">
        <v>1580</v>
      </c>
      <c r="E627" s="1" t="s">
        <v>1590</v>
      </c>
      <c r="F627" s="1" t="s">
        <v>664</v>
      </c>
      <c r="G627" s="13">
        <v>1</v>
      </c>
      <c r="H627" s="28">
        <v>43252</v>
      </c>
      <c r="I627" s="29">
        <f t="shared" si="181"/>
        <v>2018</v>
      </c>
      <c r="J627" s="1" t="s">
        <v>4262</v>
      </c>
      <c r="K627" s="1" t="s">
        <v>7</v>
      </c>
      <c r="L627" s="11" t="str">
        <f t="shared" si="405"/>
        <v>НЕТ</v>
      </c>
      <c r="M627" s="10" t="s">
        <v>1575</v>
      </c>
      <c r="N627" s="10" t="s">
        <v>1575</v>
      </c>
      <c r="O627" s="10" t="s">
        <v>1575</v>
      </c>
      <c r="P627" s="10" t="str">
        <f t="shared" si="358"/>
        <v>NA</v>
      </c>
      <c r="Q627" s="10" t="str">
        <f t="shared" si="359"/>
        <v>NA</v>
      </c>
      <c r="R627" s="10" t="s">
        <v>1575</v>
      </c>
      <c r="S627" s="10" t="s">
        <v>1575</v>
      </c>
      <c r="T627" s="10" t="s">
        <v>1575</v>
      </c>
      <c r="U627" s="10" t="s">
        <v>1575</v>
      </c>
      <c r="V627" s="10" t="s">
        <v>1575</v>
      </c>
      <c r="W627" s="10" t="s">
        <v>1575</v>
      </c>
      <c r="X627" s="10" t="str">
        <f t="shared" si="360"/>
        <v>NA</v>
      </c>
      <c r="Y627" s="10" t="str">
        <f t="shared" si="361"/>
        <v>NA</v>
      </c>
      <c r="Z627" s="10" t="str">
        <f t="shared" si="362"/>
        <v>NA</v>
      </c>
      <c r="AA627" s="10" t="str">
        <f t="shared" si="363"/>
        <v>NA</v>
      </c>
      <c r="AB627" s="10" t="str">
        <f t="shared" si="364"/>
        <v>NA</v>
      </c>
      <c r="AC627" s="10" t="str">
        <f t="shared" si="365"/>
        <v>NA</v>
      </c>
      <c r="AD627" s="10" t="str">
        <f t="shared" si="366"/>
        <v>NA</v>
      </c>
      <c r="AE627" s="10" t="str">
        <f t="shared" si="367"/>
        <v>NA</v>
      </c>
      <c r="AF627" s="1" t="s">
        <v>4268</v>
      </c>
    </row>
    <row r="628" spans="1:32" x14ac:dyDescent="0.2">
      <c r="A628" s="1" t="s">
        <v>5608</v>
      </c>
      <c r="B628" s="1" t="s">
        <v>5</v>
      </c>
      <c r="C628" s="1" t="s">
        <v>1575</v>
      </c>
      <c r="D628" s="1" t="s">
        <v>1580</v>
      </c>
      <c r="E628" s="1" t="s">
        <v>1590</v>
      </c>
      <c r="F628" s="1" t="s">
        <v>664</v>
      </c>
      <c r="G628" s="13">
        <v>1</v>
      </c>
      <c r="H628" s="28">
        <v>42570</v>
      </c>
      <c r="I628" s="29">
        <f t="shared" ref="I628:I629" si="406">YEAR(H628)</f>
        <v>2016</v>
      </c>
      <c r="J628" s="1" t="s">
        <v>4262</v>
      </c>
      <c r="K628" s="1" t="s">
        <v>7</v>
      </c>
      <c r="L628" s="11" t="str">
        <f t="shared" ref="L628:L630" si="407">IF(OR(A628=J628,A628=K628),"ДА","НЕТ")</f>
        <v>НЕТ</v>
      </c>
      <c r="M628" s="10" t="s">
        <v>1575</v>
      </c>
      <c r="N628" s="10" t="s">
        <v>1575</v>
      </c>
      <c r="O628" s="10">
        <v>2.1278000000000001</v>
      </c>
      <c r="P628" s="10">
        <f t="shared" si="358"/>
        <v>2.1278000000000001</v>
      </c>
      <c r="Q628" s="10" t="str">
        <f t="shared" si="359"/>
        <v>NA</v>
      </c>
      <c r="R628" s="10" t="s">
        <v>1575</v>
      </c>
      <c r="S628" s="10" t="s">
        <v>1575</v>
      </c>
      <c r="T628" s="10" t="s">
        <v>1575</v>
      </c>
      <c r="U628" s="10" t="s">
        <v>1575</v>
      </c>
      <c r="V628" s="10">
        <v>0.984653</v>
      </c>
      <c r="W628" s="10" t="s">
        <v>1575</v>
      </c>
      <c r="X628" s="10" t="str">
        <f t="shared" si="360"/>
        <v>NA</v>
      </c>
      <c r="Y628" s="10" t="str">
        <f t="shared" si="361"/>
        <v>NA</v>
      </c>
      <c r="Z628" s="10" t="str">
        <f t="shared" si="362"/>
        <v>NA</v>
      </c>
      <c r="AA628" s="10">
        <f t="shared" si="363"/>
        <v>2.160964319409985</v>
      </c>
      <c r="AB628" s="10" t="str">
        <f t="shared" si="364"/>
        <v>NA</v>
      </c>
      <c r="AC628" s="10" t="str">
        <f t="shared" si="365"/>
        <v>NA</v>
      </c>
      <c r="AD628" s="10" t="str">
        <f t="shared" si="366"/>
        <v>NA</v>
      </c>
      <c r="AE628" s="10" t="str">
        <f t="shared" si="367"/>
        <v>NA</v>
      </c>
      <c r="AF628" s="1" t="s">
        <v>4270</v>
      </c>
    </row>
    <row r="629" spans="1:32" x14ac:dyDescent="0.2">
      <c r="A629" s="1" t="s">
        <v>5523</v>
      </c>
      <c r="B629" s="1" t="s">
        <v>5</v>
      </c>
      <c r="C629" s="1" t="s">
        <v>1575</v>
      </c>
      <c r="D629" s="1" t="s">
        <v>1580</v>
      </c>
      <c r="E629" s="1" t="s">
        <v>1590</v>
      </c>
      <c r="F629" s="1" t="s">
        <v>664</v>
      </c>
      <c r="G629" s="13">
        <v>1</v>
      </c>
      <c r="H629" s="28">
        <v>42416</v>
      </c>
      <c r="I629" s="29">
        <f t="shared" si="406"/>
        <v>2016</v>
      </c>
      <c r="J629" s="1" t="s">
        <v>4262</v>
      </c>
      <c r="K629" s="1" t="s">
        <v>7</v>
      </c>
      <c r="L629" s="11" t="str">
        <f t="shared" si="407"/>
        <v>НЕТ</v>
      </c>
      <c r="M629" s="10" t="s">
        <v>1575</v>
      </c>
      <c r="N629" s="10" t="s">
        <v>1575</v>
      </c>
      <c r="O629" s="10">
        <v>1.703918</v>
      </c>
      <c r="P629" s="10">
        <f t="shared" si="358"/>
        <v>1.703918</v>
      </c>
      <c r="Q629" s="10" t="str">
        <f t="shared" si="359"/>
        <v>NA</v>
      </c>
      <c r="R629" s="10" t="s">
        <v>1575</v>
      </c>
      <c r="S629" s="10" t="s">
        <v>1575</v>
      </c>
      <c r="T629" s="10" t="s">
        <v>1575</v>
      </c>
      <c r="U629" s="10" t="s">
        <v>1575</v>
      </c>
      <c r="V629" s="10">
        <v>0.416518</v>
      </c>
      <c r="W629" s="10" t="s">
        <v>1575</v>
      </c>
      <c r="X629" s="10" t="str">
        <f t="shared" si="360"/>
        <v>NA</v>
      </c>
      <c r="Y629" s="10" t="str">
        <f t="shared" si="361"/>
        <v>NA</v>
      </c>
      <c r="Z629" s="10" t="str">
        <f t="shared" si="362"/>
        <v>NA</v>
      </c>
      <c r="AA629" s="10">
        <f t="shared" si="363"/>
        <v>4.0908628198541237</v>
      </c>
      <c r="AB629" s="10" t="str">
        <f t="shared" si="364"/>
        <v>NA</v>
      </c>
      <c r="AC629" s="10" t="str">
        <f t="shared" si="365"/>
        <v>NA</v>
      </c>
      <c r="AD629" s="10" t="str">
        <f t="shared" si="366"/>
        <v>NA</v>
      </c>
      <c r="AE629" s="10" t="str">
        <f t="shared" si="367"/>
        <v>NA</v>
      </c>
      <c r="AF629" s="1" t="s">
        <v>4269</v>
      </c>
    </row>
    <row r="630" spans="1:32" x14ac:dyDescent="0.2">
      <c r="A630" s="1" t="s">
        <v>4262</v>
      </c>
      <c r="B630" s="1" t="s">
        <v>5</v>
      </c>
      <c r="C630" s="1" t="s">
        <v>4345</v>
      </c>
      <c r="D630" s="1" t="s">
        <v>1580</v>
      </c>
      <c r="E630" s="1" t="s">
        <v>1590</v>
      </c>
      <c r="F630" s="1" t="s">
        <v>664</v>
      </c>
      <c r="G630" s="13">
        <v>0.2</v>
      </c>
      <c r="H630" s="28">
        <v>42669</v>
      </c>
      <c r="I630" s="29">
        <f t="shared" ref="I630:I631" si="408">YEAR(H630)</f>
        <v>2016</v>
      </c>
      <c r="J630" s="1" t="s">
        <v>7</v>
      </c>
      <c r="K630" s="1" t="s">
        <v>4262</v>
      </c>
      <c r="L630" s="11" t="str">
        <f t="shared" si="407"/>
        <v>ДА</v>
      </c>
      <c r="M630" s="10" t="s">
        <v>1575</v>
      </c>
      <c r="N630" s="10" t="s">
        <v>1575</v>
      </c>
      <c r="O630" s="10" t="s">
        <v>1575</v>
      </c>
      <c r="P630" s="10" t="str">
        <f t="shared" si="358"/>
        <v>NA</v>
      </c>
      <c r="Q630" s="10" t="str">
        <f t="shared" si="359"/>
        <v>NA</v>
      </c>
      <c r="R630" s="10">
        <v>46.257337999999997</v>
      </c>
      <c r="S630" s="10">
        <v>-16.931153999999996</v>
      </c>
      <c r="T630" s="10">
        <v>-16.931153999999996</v>
      </c>
      <c r="U630" s="10">
        <v>-6.2851400000000002</v>
      </c>
      <c r="V630" s="10">
        <v>46.494624000000002</v>
      </c>
      <c r="W630" s="10" t="s">
        <v>1575</v>
      </c>
      <c r="X630" s="10" t="str">
        <f t="shared" si="360"/>
        <v>NA</v>
      </c>
      <c r="Y630" s="10" t="str">
        <f t="shared" si="361"/>
        <v>NA</v>
      </c>
      <c r="Z630" s="10" t="str">
        <f t="shared" si="362"/>
        <v>NA</v>
      </c>
      <c r="AA630" s="10" t="str">
        <f t="shared" si="363"/>
        <v>NA</v>
      </c>
      <c r="AB630" s="10" t="str">
        <f t="shared" si="364"/>
        <v>NA</v>
      </c>
      <c r="AC630" s="10" t="str">
        <f t="shared" si="365"/>
        <v>NA</v>
      </c>
      <c r="AD630" s="10" t="str">
        <f t="shared" si="366"/>
        <v>NA</v>
      </c>
      <c r="AE630" s="10" t="str">
        <f t="shared" si="367"/>
        <v>NA</v>
      </c>
      <c r="AF630" s="1" t="s">
        <v>4271</v>
      </c>
    </row>
    <row r="631" spans="1:32" x14ac:dyDescent="0.2">
      <c r="A631" s="1" t="s">
        <v>5609</v>
      </c>
      <c r="B631" s="1" t="s">
        <v>5</v>
      </c>
      <c r="C631" s="1" t="s">
        <v>1575</v>
      </c>
      <c r="D631" s="1" t="s">
        <v>1580</v>
      </c>
      <c r="E631" s="1" t="s">
        <v>1590</v>
      </c>
      <c r="F631" s="1" t="s">
        <v>664</v>
      </c>
      <c r="G631" s="13">
        <v>1</v>
      </c>
      <c r="H631" s="28">
        <v>42338</v>
      </c>
      <c r="I631" s="29">
        <f t="shared" si="408"/>
        <v>2015</v>
      </c>
      <c r="J631" s="1" t="s">
        <v>4262</v>
      </c>
      <c r="K631" s="1" t="s">
        <v>7</v>
      </c>
      <c r="L631" s="11" t="str">
        <f t="shared" ref="L631:L635" si="409">IF(OR(A631=J631,A631=K631),"ДА","НЕТ")</f>
        <v>НЕТ</v>
      </c>
      <c r="M631" s="10" t="s">
        <v>1575</v>
      </c>
      <c r="N631" s="10" t="s">
        <v>1575</v>
      </c>
      <c r="O631" s="10">
        <v>13.372899</v>
      </c>
      <c r="P631" s="10">
        <f t="shared" si="358"/>
        <v>13.372899</v>
      </c>
      <c r="Q631" s="10" t="str">
        <f t="shared" si="359"/>
        <v>NA</v>
      </c>
      <c r="R631" s="10" t="s">
        <v>1575</v>
      </c>
      <c r="S631" s="10" t="s">
        <v>1575</v>
      </c>
      <c r="T631" s="10" t="s">
        <v>1575</v>
      </c>
      <c r="U631" s="10" t="s">
        <v>1575</v>
      </c>
      <c r="V631" s="10">
        <v>1.358141</v>
      </c>
      <c r="W631" s="10" t="s">
        <v>1575</v>
      </c>
      <c r="X631" s="10" t="str">
        <f t="shared" si="360"/>
        <v>NA</v>
      </c>
      <c r="Y631" s="10" t="str">
        <f t="shared" si="361"/>
        <v>NA</v>
      </c>
      <c r="Z631" s="10" t="str">
        <f t="shared" si="362"/>
        <v>NA</v>
      </c>
      <c r="AA631" s="10">
        <f t="shared" si="363"/>
        <v>9.8464732306881242</v>
      </c>
      <c r="AB631" s="10" t="str">
        <f t="shared" si="364"/>
        <v>NA</v>
      </c>
      <c r="AC631" s="10" t="str">
        <f t="shared" si="365"/>
        <v>NA</v>
      </c>
      <c r="AD631" s="10" t="str">
        <f t="shared" si="366"/>
        <v>NA</v>
      </c>
      <c r="AE631" s="10" t="str">
        <f t="shared" si="367"/>
        <v>NA</v>
      </c>
      <c r="AF631" s="1" t="s">
        <v>4272</v>
      </c>
    </row>
    <row r="632" spans="1:32" x14ac:dyDescent="0.2">
      <c r="A632" s="1" t="s">
        <v>5610</v>
      </c>
      <c r="B632" s="1" t="s">
        <v>5</v>
      </c>
      <c r="C632" s="1" t="s">
        <v>1575</v>
      </c>
      <c r="D632" s="1" t="s">
        <v>1580</v>
      </c>
      <c r="E632" s="1" t="s">
        <v>1590</v>
      </c>
      <c r="F632" s="1" t="s">
        <v>664</v>
      </c>
      <c r="G632" s="13">
        <v>1</v>
      </c>
      <c r="H632" s="28">
        <v>42338</v>
      </c>
      <c r="I632" s="29">
        <f t="shared" ref="I632:I708" si="410">YEAR(H632)</f>
        <v>2015</v>
      </c>
      <c r="J632" s="1" t="s">
        <v>4262</v>
      </c>
      <c r="K632" s="1" t="s">
        <v>7</v>
      </c>
      <c r="L632" s="11" t="str">
        <f t="shared" si="409"/>
        <v>НЕТ</v>
      </c>
      <c r="M632" s="10" t="s">
        <v>1575</v>
      </c>
      <c r="N632" s="10" t="s">
        <v>1575</v>
      </c>
      <c r="O632" s="10" t="s">
        <v>1575</v>
      </c>
      <c r="P632" s="10" t="str">
        <f t="shared" si="358"/>
        <v>NA</v>
      </c>
      <c r="Q632" s="10" t="str">
        <f t="shared" si="359"/>
        <v>NA</v>
      </c>
      <c r="R632" s="10" t="s">
        <v>1575</v>
      </c>
      <c r="S632" s="10" t="s">
        <v>1575</v>
      </c>
      <c r="T632" s="10" t="s">
        <v>1575</v>
      </c>
      <c r="U632" s="10" t="s">
        <v>1575</v>
      </c>
      <c r="V632" s="10">
        <v>5.590687</v>
      </c>
      <c r="W632" s="10" t="s">
        <v>1575</v>
      </c>
      <c r="X632" s="10" t="str">
        <f t="shared" si="360"/>
        <v>NA</v>
      </c>
      <c r="Y632" s="10" t="str">
        <f t="shared" si="361"/>
        <v>NA</v>
      </c>
      <c r="Z632" s="10" t="str">
        <f t="shared" si="362"/>
        <v>NA</v>
      </c>
      <c r="AA632" s="10" t="str">
        <f t="shared" si="363"/>
        <v>NA</v>
      </c>
      <c r="AB632" s="10" t="str">
        <f t="shared" si="364"/>
        <v>NA</v>
      </c>
      <c r="AC632" s="10" t="str">
        <f t="shared" si="365"/>
        <v>NA</v>
      </c>
      <c r="AD632" s="10" t="str">
        <f t="shared" si="366"/>
        <v>NA</v>
      </c>
      <c r="AE632" s="10" t="str">
        <f t="shared" si="367"/>
        <v>NA</v>
      </c>
      <c r="AF632" s="1" t="s">
        <v>4272</v>
      </c>
    </row>
    <row r="633" spans="1:32" x14ac:dyDescent="0.2">
      <c r="A633" s="1" t="s">
        <v>5014</v>
      </c>
      <c r="B633" s="1" t="s">
        <v>5</v>
      </c>
      <c r="C633" s="1" t="s">
        <v>5015</v>
      </c>
      <c r="D633" s="1" t="s">
        <v>1580</v>
      </c>
      <c r="E633" s="1" t="s">
        <v>5016</v>
      </c>
      <c r="F633" s="1" t="s">
        <v>5024</v>
      </c>
      <c r="G633" s="13">
        <f>2000000/1268545000</f>
        <v>1.5766094226062142E-3</v>
      </c>
      <c r="H633" s="28">
        <v>45412</v>
      </c>
      <c r="I633" s="29">
        <f t="shared" ref="I633" si="411">YEAR(H633)</f>
        <v>2024</v>
      </c>
      <c r="J633" s="1" t="s">
        <v>5611</v>
      </c>
      <c r="K633" s="1" t="s">
        <v>5612</v>
      </c>
      <c r="L633" s="11" t="str">
        <f t="shared" si="409"/>
        <v>НЕТ</v>
      </c>
      <c r="M633" s="10" t="s">
        <v>1575</v>
      </c>
      <c r="N633" s="10" t="s">
        <v>1575</v>
      </c>
      <c r="O633" s="10">
        <v>4.9500000000000004E-3</v>
      </c>
      <c r="P633" s="10">
        <f t="shared" si="358"/>
        <v>3.1396488750000002</v>
      </c>
      <c r="Q633" s="10" t="str">
        <f t="shared" si="359"/>
        <v>NA</v>
      </c>
      <c r="R633" s="10" t="s">
        <v>1575</v>
      </c>
      <c r="S633" s="10" t="s">
        <v>1575</v>
      </c>
      <c r="T633" s="10" t="s">
        <v>1575</v>
      </c>
      <c r="U633" s="10" t="s">
        <v>1575</v>
      </c>
      <c r="V633" s="10" t="s">
        <v>1575</v>
      </c>
      <c r="W633" s="10" t="s">
        <v>1575</v>
      </c>
      <c r="X633" s="10" t="str">
        <f t="shared" si="360"/>
        <v>NA</v>
      </c>
      <c r="Y633" s="10" t="str">
        <f t="shared" si="361"/>
        <v>NA</v>
      </c>
      <c r="Z633" s="10" t="str">
        <f t="shared" si="362"/>
        <v>NA</v>
      </c>
      <c r="AA633" s="10" t="str">
        <f t="shared" si="363"/>
        <v>NA</v>
      </c>
      <c r="AB633" s="10" t="str">
        <f t="shared" si="364"/>
        <v>NA</v>
      </c>
      <c r="AC633" s="10" t="str">
        <f t="shared" si="365"/>
        <v>NA</v>
      </c>
      <c r="AD633" s="10" t="str">
        <f t="shared" si="366"/>
        <v>NA</v>
      </c>
      <c r="AE633" s="10" t="str">
        <f t="shared" si="367"/>
        <v>NA</v>
      </c>
      <c r="AF633" s="1" t="s">
        <v>5020</v>
      </c>
    </row>
    <row r="634" spans="1:32" x14ac:dyDescent="0.2">
      <c r="A634" s="1" t="s">
        <v>5613</v>
      </c>
      <c r="B634" s="1" t="s">
        <v>5</v>
      </c>
      <c r="C634" s="1" t="s">
        <v>5015</v>
      </c>
      <c r="D634" s="1" t="s">
        <v>1580</v>
      </c>
      <c r="E634" s="1" t="s">
        <v>5016</v>
      </c>
      <c r="F634" s="1" t="s">
        <v>5024</v>
      </c>
      <c r="G634" s="13" t="s">
        <v>1575</v>
      </c>
      <c r="H634" s="28">
        <v>45382</v>
      </c>
      <c r="I634" s="29">
        <f t="shared" si="410"/>
        <v>2024</v>
      </c>
      <c r="J634" s="1" t="s">
        <v>7</v>
      </c>
      <c r="K634" s="1" t="s">
        <v>5611</v>
      </c>
      <c r="L634" s="11" t="str">
        <f t="shared" ref="L634" si="412">IF(OR(A634=J634,A634=K634),"ДА","НЕТ")</f>
        <v>НЕТ</v>
      </c>
      <c r="M634" s="10" t="s">
        <v>1575</v>
      </c>
      <c r="N634" s="10" t="s">
        <v>1575</v>
      </c>
      <c r="O634" s="10">
        <v>3.3000000000000003E-5</v>
      </c>
      <c r="P634" s="10" t="str">
        <f t="shared" si="358"/>
        <v>NA</v>
      </c>
      <c r="Q634" s="10" t="str">
        <f t="shared" si="359"/>
        <v>NA</v>
      </c>
      <c r="R634" s="10" t="s">
        <v>1575</v>
      </c>
      <c r="S634" s="10" t="s">
        <v>1575</v>
      </c>
      <c r="T634" s="10" t="s">
        <v>1575</v>
      </c>
      <c r="U634" s="10" t="s">
        <v>1575</v>
      </c>
      <c r="V634" s="10" t="s">
        <v>1575</v>
      </c>
      <c r="W634" s="10" t="s">
        <v>1575</v>
      </c>
      <c r="X634" s="10" t="str">
        <f t="shared" si="360"/>
        <v>NA</v>
      </c>
      <c r="Y634" s="10" t="str">
        <f t="shared" si="361"/>
        <v>NA</v>
      </c>
      <c r="Z634" s="10" t="str">
        <f t="shared" si="362"/>
        <v>NA</v>
      </c>
      <c r="AA634" s="10" t="str">
        <f t="shared" si="363"/>
        <v>NA</v>
      </c>
      <c r="AB634" s="10" t="str">
        <f t="shared" si="364"/>
        <v>NA</v>
      </c>
      <c r="AC634" s="10" t="str">
        <f t="shared" si="365"/>
        <v>NA</v>
      </c>
      <c r="AD634" s="10" t="str">
        <f t="shared" si="366"/>
        <v>NA</v>
      </c>
      <c r="AE634" s="10" t="str">
        <f t="shared" si="367"/>
        <v>NA</v>
      </c>
      <c r="AF634" s="1" t="s">
        <v>5019</v>
      </c>
    </row>
    <row r="635" spans="1:32" x14ac:dyDescent="0.2">
      <c r="A635" s="1" t="s">
        <v>5014</v>
      </c>
      <c r="B635" s="1" t="s">
        <v>5</v>
      </c>
      <c r="C635" s="1" t="s">
        <v>5015</v>
      </c>
      <c r="D635" s="1" t="s">
        <v>1580</v>
      </c>
      <c r="E635" s="1" t="s">
        <v>5016</v>
      </c>
      <c r="F635" s="1" t="s">
        <v>5024</v>
      </c>
      <c r="G635" s="13">
        <f>14091/(87290+27430)</f>
        <v>0.12282949790794979</v>
      </c>
      <c r="H635" s="28">
        <v>45291</v>
      </c>
      <c r="I635" s="29">
        <f t="shared" ref="I635" si="413">YEAR(H635)</f>
        <v>2023</v>
      </c>
      <c r="J635" s="1" t="s">
        <v>7</v>
      </c>
      <c r="K635" s="1" t="s">
        <v>5611</v>
      </c>
      <c r="L635" s="11" t="str">
        <f t="shared" si="409"/>
        <v>НЕТ</v>
      </c>
      <c r="M635" s="10" t="s">
        <v>1575</v>
      </c>
      <c r="N635" s="10" t="s">
        <v>1575</v>
      </c>
      <c r="O635" s="10">
        <v>1.2949999999999999E-3</v>
      </c>
      <c r="P635" s="10">
        <f t="shared" si="358"/>
        <v>1.0543070044709389E-2</v>
      </c>
      <c r="Q635" s="10" t="str">
        <f t="shared" si="359"/>
        <v>NA</v>
      </c>
      <c r="R635" s="10" t="s">
        <v>1575</v>
      </c>
      <c r="S635" s="10" t="s">
        <v>1575</v>
      </c>
      <c r="T635" s="10" t="s">
        <v>1575</v>
      </c>
      <c r="U635" s="10" t="s">
        <v>1575</v>
      </c>
      <c r="V635" s="10" t="s">
        <v>1575</v>
      </c>
      <c r="W635" s="10" t="s">
        <v>1575</v>
      </c>
      <c r="X635" s="10" t="str">
        <f t="shared" si="360"/>
        <v>NA</v>
      </c>
      <c r="Y635" s="10" t="str">
        <f t="shared" si="361"/>
        <v>NA</v>
      </c>
      <c r="Z635" s="10" t="str">
        <f t="shared" si="362"/>
        <v>NA</v>
      </c>
      <c r="AA635" s="10" t="str">
        <f t="shared" si="363"/>
        <v>NA</v>
      </c>
      <c r="AB635" s="10" t="str">
        <f t="shared" si="364"/>
        <v>NA</v>
      </c>
      <c r="AC635" s="10" t="str">
        <f t="shared" si="365"/>
        <v>NA</v>
      </c>
      <c r="AD635" s="10" t="str">
        <f t="shared" si="366"/>
        <v>NA</v>
      </c>
      <c r="AE635" s="10" t="str">
        <f t="shared" si="367"/>
        <v>NA</v>
      </c>
      <c r="AF635" s="1" t="s">
        <v>5018</v>
      </c>
    </row>
    <row r="636" spans="1:32" x14ac:dyDescent="0.2">
      <c r="A636" s="1" t="s">
        <v>5014</v>
      </c>
      <c r="B636" s="1" t="s">
        <v>5</v>
      </c>
      <c r="C636" s="1" t="s">
        <v>5015</v>
      </c>
      <c r="D636" s="1" t="s">
        <v>1580</v>
      </c>
      <c r="E636" s="1" t="s">
        <v>5016</v>
      </c>
      <c r="F636" s="1" t="s">
        <v>5024</v>
      </c>
      <c r="G636" s="13">
        <f>15000/(87290+27430)</f>
        <v>0.1307531380753138</v>
      </c>
      <c r="H636" s="28">
        <v>45137</v>
      </c>
      <c r="I636" s="29">
        <f t="shared" si="410"/>
        <v>2023</v>
      </c>
      <c r="J636" s="1" t="s">
        <v>5611</v>
      </c>
      <c r="K636" s="1" t="s">
        <v>5613</v>
      </c>
      <c r="L636" s="11" t="str">
        <f t="shared" ref="L636" si="414">IF(OR(A636=J636,A636=K636),"ДА","НЕТ")</f>
        <v>НЕТ</v>
      </c>
      <c r="M636" s="10" t="s">
        <v>1575</v>
      </c>
      <c r="N636" s="10" t="s">
        <v>1575</v>
      </c>
      <c r="O636" s="10">
        <v>1.5E-3</v>
      </c>
      <c r="P636" s="10">
        <f t="shared" si="358"/>
        <v>1.1472000000000001E-2</v>
      </c>
      <c r="Q636" s="10" t="str">
        <f t="shared" si="359"/>
        <v>NA</v>
      </c>
      <c r="R636" s="10" t="s">
        <v>1575</v>
      </c>
      <c r="S636" s="10" t="s">
        <v>1575</v>
      </c>
      <c r="T636" s="10" t="s">
        <v>1575</v>
      </c>
      <c r="U636" s="10" t="s">
        <v>1575</v>
      </c>
      <c r="V636" s="10" t="s">
        <v>1575</v>
      </c>
      <c r="W636" s="10" t="s">
        <v>1575</v>
      </c>
      <c r="X636" s="10" t="str">
        <f t="shared" si="360"/>
        <v>NA</v>
      </c>
      <c r="Y636" s="10" t="str">
        <f t="shared" si="361"/>
        <v>NA</v>
      </c>
      <c r="Z636" s="10" t="str">
        <f t="shared" si="362"/>
        <v>NA</v>
      </c>
      <c r="AA636" s="10" t="str">
        <f t="shared" si="363"/>
        <v>NA</v>
      </c>
      <c r="AB636" s="10" t="str">
        <f t="shared" si="364"/>
        <v>NA</v>
      </c>
      <c r="AC636" s="10" t="str">
        <f t="shared" si="365"/>
        <v>NA</v>
      </c>
      <c r="AD636" s="10" t="str">
        <f t="shared" si="366"/>
        <v>NA</v>
      </c>
      <c r="AE636" s="10" t="str">
        <f t="shared" si="367"/>
        <v>NA</v>
      </c>
      <c r="AF636" s="1" t="s">
        <v>5017</v>
      </c>
    </row>
    <row r="637" spans="1:32" x14ac:dyDescent="0.2">
      <c r="A637" s="1" t="s">
        <v>5614</v>
      </c>
      <c r="B637" s="1" t="s">
        <v>5</v>
      </c>
      <c r="C637" s="1" t="s">
        <v>1575</v>
      </c>
      <c r="D637" s="1" t="s">
        <v>1580</v>
      </c>
      <c r="E637" s="1" t="s">
        <v>5016</v>
      </c>
      <c r="F637" s="1" t="s">
        <v>5025</v>
      </c>
      <c r="G637" s="13">
        <v>1</v>
      </c>
      <c r="H637" s="28">
        <v>45107</v>
      </c>
      <c r="I637" s="29">
        <f t="shared" ref="I637:I639" si="415">YEAR(H637)</f>
        <v>2023</v>
      </c>
      <c r="J637" s="1" t="s">
        <v>5014</v>
      </c>
      <c r="K637" s="1" t="s">
        <v>7</v>
      </c>
      <c r="L637" s="11" t="str">
        <f t="shared" ref="L637:L641" si="416">IF(OR(A637=J637,A637=K637),"ДА","НЕТ")</f>
        <v>НЕТ</v>
      </c>
      <c r="M637" s="10" t="s">
        <v>1575</v>
      </c>
      <c r="N637" s="10" t="s">
        <v>1575</v>
      </c>
      <c r="O637" s="10">
        <v>0.01</v>
      </c>
      <c r="P637" s="10">
        <f t="shared" si="358"/>
        <v>0.01</v>
      </c>
      <c r="Q637" s="10" t="str">
        <f t="shared" si="359"/>
        <v>NA</v>
      </c>
      <c r="R637" s="10" t="s">
        <v>1575</v>
      </c>
      <c r="S637" s="10" t="s">
        <v>1575</v>
      </c>
      <c r="T637" s="10" t="s">
        <v>1575</v>
      </c>
      <c r="U637" s="10" t="s">
        <v>1575</v>
      </c>
      <c r="V637" s="10">
        <v>-0.17</v>
      </c>
      <c r="W637" s="10" t="s">
        <v>1575</v>
      </c>
      <c r="X637" s="10" t="str">
        <f t="shared" si="360"/>
        <v>NA</v>
      </c>
      <c r="Y637" s="10" t="str">
        <f t="shared" si="361"/>
        <v>NA</v>
      </c>
      <c r="Z637" s="10" t="str">
        <f t="shared" si="362"/>
        <v>NA</v>
      </c>
      <c r="AA637" s="10">
        <f t="shared" si="363"/>
        <v>-5.8823529411764705E-2</v>
      </c>
      <c r="AB637" s="10" t="str">
        <f t="shared" si="364"/>
        <v>NA</v>
      </c>
      <c r="AC637" s="10" t="str">
        <f t="shared" si="365"/>
        <v>NA</v>
      </c>
      <c r="AD637" s="10" t="str">
        <f t="shared" si="366"/>
        <v>NA</v>
      </c>
      <c r="AE637" s="10" t="str">
        <f t="shared" si="367"/>
        <v>NA</v>
      </c>
      <c r="AF637" s="1" t="s">
        <v>5021</v>
      </c>
    </row>
    <row r="638" spans="1:32" x14ac:dyDescent="0.2">
      <c r="A638" s="1" t="s">
        <v>5014</v>
      </c>
      <c r="B638" s="1" t="s">
        <v>5</v>
      </c>
      <c r="C638" s="1" t="s">
        <v>5015</v>
      </c>
      <c r="D638" s="1" t="s">
        <v>1580</v>
      </c>
      <c r="E638" s="1" t="s">
        <v>5016</v>
      </c>
      <c r="F638" s="1" t="s">
        <v>5024</v>
      </c>
      <c r="G638" s="13">
        <f>(24221+4218)/(87290+27430)</f>
        <v>0.2478992329149233</v>
      </c>
      <c r="H638" s="28">
        <v>44926</v>
      </c>
      <c r="I638" s="29">
        <f t="shared" si="415"/>
        <v>2022</v>
      </c>
      <c r="J638" s="1" t="s">
        <v>7</v>
      </c>
      <c r="K638" s="1" t="s">
        <v>5615</v>
      </c>
      <c r="L638" s="11" t="str">
        <f t="shared" ref="L638:L639" si="417">IF(OR(A638=J638,A638=K638),"ДА","НЕТ")</f>
        <v>НЕТ</v>
      </c>
      <c r="M638" s="10" t="s">
        <v>1575</v>
      </c>
      <c r="N638" s="10" t="s">
        <v>1575</v>
      </c>
      <c r="O638" s="10">
        <v>0.33990300000000001</v>
      </c>
      <c r="P638" s="10">
        <f t="shared" si="358"/>
        <v>1.3711337304405922</v>
      </c>
      <c r="Q638" s="10" t="str">
        <f t="shared" si="359"/>
        <v>NA</v>
      </c>
      <c r="R638" s="10" t="s">
        <v>1575</v>
      </c>
      <c r="S638" s="10" t="s">
        <v>1575</v>
      </c>
      <c r="T638" s="10" t="s">
        <v>1575</v>
      </c>
      <c r="U638" s="10" t="s">
        <v>1575</v>
      </c>
      <c r="V638" s="10" t="s">
        <v>1575</v>
      </c>
      <c r="W638" s="10" t="s">
        <v>1575</v>
      </c>
      <c r="X638" s="10"/>
      <c r="Y638" s="10"/>
      <c r="Z638" s="10"/>
      <c r="AA638" s="10"/>
      <c r="AB638" s="10"/>
      <c r="AC638" s="10"/>
      <c r="AD638" s="10"/>
      <c r="AE638" s="10"/>
      <c r="AF638" s="1" t="s">
        <v>5026</v>
      </c>
    </row>
    <row r="639" spans="1:32" x14ac:dyDescent="0.2">
      <c r="A639" s="1" t="s">
        <v>5014</v>
      </c>
      <c r="B639" s="1" t="s">
        <v>5</v>
      </c>
      <c r="C639" s="1" t="s">
        <v>5015</v>
      </c>
      <c r="D639" s="1" t="s">
        <v>1580</v>
      </c>
      <c r="E639" s="1" t="s">
        <v>5016</v>
      </c>
      <c r="F639" s="1" t="s">
        <v>5024</v>
      </c>
      <c r="G639" s="13">
        <f>(24221+4218)/(87290+27430)</f>
        <v>0.2478992329149233</v>
      </c>
      <c r="H639" s="28">
        <v>44620</v>
      </c>
      <c r="I639" s="29">
        <f t="shared" si="415"/>
        <v>2022</v>
      </c>
      <c r="J639" s="1" t="s">
        <v>5615</v>
      </c>
      <c r="K639" s="1" t="s">
        <v>5616</v>
      </c>
      <c r="L639" s="11" t="str">
        <f t="shared" si="417"/>
        <v>НЕТ</v>
      </c>
      <c r="M639" s="10" t="s">
        <v>1575</v>
      </c>
      <c r="N639" s="10" t="s">
        <v>1575</v>
      </c>
      <c r="O639" s="10">
        <v>0.32245400000000002</v>
      </c>
      <c r="P639" s="10">
        <f t="shared" si="358"/>
        <v>1.3007462597137733</v>
      </c>
      <c r="Q639" s="10" t="str">
        <f t="shared" si="359"/>
        <v>NA</v>
      </c>
      <c r="R639" s="10" t="s">
        <v>1575</v>
      </c>
      <c r="S639" s="10">
        <v>0</v>
      </c>
      <c r="T639" s="10" t="s">
        <v>1575</v>
      </c>
      <c r="U639" s="10">
        <v>-0.10716199999999999</v>
      </c>
      <c r="V639" s="10">
        <v>0.27814</v>
      </c>
      <c r="W639" s="10" t="s">
        <v>1575</v>
      </c>
      <c r="X639" s="10"/>
      <c r="Y639" s="10"/>
      <c r="Z639" s="10"/>
      <c r="AA639" s="10"/>
      <c r="AB639" s="10"/>
      <c r="AC639" s="10"/>
      <c r="AD639" s="10"/>
      <c r="AE639" s="10"/>
      <c r="AF639" s="1" t="s">
        <v>5026</v>
      </c>
    </row>
    <row r="640" spans="1:32" x14ac:dyDescent="0.2">
      <c r="A640" s="1" t="s">
        <v>5617</v>
      </c>
      <c r="B640" s="1" t="s">
        <v>5</v>
      </c>
      <c r="C640" s="1" t="s">
        <v>1575</v>
      </c>
      <c r="D640" s="1" t="s">
        <v>1580</v>
      </c>
      <c r="E640" s="1" t="s">
        <v>5016</v>
      </c>
      <c r="F640" s="1" t="s">
        <v>5024</v>
      </c>
      <c r="G640" s="13">
        <v>1</v>
      </c>
      <c r="H640" s="28">
        <v>44286</v>
      </c>
      <c r="I640" s="29">
        <f t="shared" si="410"/>
        <v>2021</v>
      </c>
      <c r="J640" s="1" t="s">
        <v>5014</v>
      </c>
      <c r="K640" s="1" t="s">
        <v>7</v>
      </c>
      <c r="L640" s="11" t="str">
        <f t="shared" si="416"/>
        <v>НЕТ</v>
      </c>
      <c r="M640" s="10" t="s">
        <v>1575</v>
      </c>
      <c r="N640" s="10" t="s">
        <v>1575</v>
      </c>
      <c r="O640" s="10">
        <v>6.0910000000000001E-3</v>
      </c>
      <c r="P640" s="10">
        <f t="shared" si="358"/>
        <v>6.0910000000000001E-3</v>
      </c>
      <c r="Q640" s="10" t="str">
        <f t="shared" si="359"/>
        <v>NA</v>
      </c>
      <c r="R640" s="10" t="s">
        <v>1575</v>
      </c>
      <c r="S640" s="10" t="s">
        <v>1575</v>
      </c>
      <c r="T640" s="10" t="s">
        <v>1575</v>
      </c>
      <c r="U640" s="10" t="s">
        <v>1575</v>
      </c>
      <c r="V640" s="10">
        <v>3.7680000000000001E-3</v>
      </c>
      <c r="W640" s="10" t="s">
        <v>1575</v>
      </c>
      <c r="X640" s="10" t="str">
        <f t="shared" ref="X640:X757" si="418">IFERROR(V640+W640,"NA")</f>
        <v>NA</v>
      </c>
      <c r="Y640" s="10" t="str">
        <f t="shared" ref="Y640:Y757" si="419">IFERROR(P640/R640,"NA")</f>
        <v>NA</v>
      </c>
      <c r="Z640" s="10" t="str">
        <f t="shared" ref="Z640:Z757" si="420">IFERROR(P640/U640,"NA")</f>
        <v>NA</v>
      </c>
      <c r="AA640" s="10">
        <f t="shared" ref="AA640:AA757" si="421">IFERROR(P640/V640,"NA")</f>
        <v>1.6165074309978769</v>
      </c>
      <c r="AB640" s="10" t="str">
        <f t="shared" ref="AB640:AB757" si="422">IFERROR(Q640/R640,"NA")</f>
        <v>NA</v>
      </c>
      <c r="AC640" s="10" t="str">
        <f t="shared" ref="AC640:AC757" si="423">IFERROR(Q640/S640,"NA")</f>
        <v>NA</v>
      </c>
      <c r="AD640" s="10" t="str">
        <f t="shared" ref="AD640:AD757" si="424">IFERROR(Q640/T640,"NA")</f>
        <v>NA</v>
      </c>
      <c r="AE640" s="10" t="str">
        <f t="shared" ref="AE640:AE757" si="425">IFERROR(Q640/X640,"NA")</f>
        <v>NA</v>
      </c>
      <c r="AF640" s="1" t="s">
        <v>5023</v>
      </c>
    </row>
    <row r="641" spans="1:32" x14ac:dyDescent="0.2">
      <c r="A641" s="1" t="s">
        <v>5618</v>
      </c>
      <c r="B641" s="1" t="s">
        <v>5</v>
      </c>
      <c r="C641" s="1" t="s">
        <v>1575</v>
      </c>
      <c r="D641" s="1" t="s">
        <v>1580</v>
      </c>
      <c r="E641" s="1" t="s">
        <v>5016</v>
      </c>
      <c r="F641" s="1" t="s">
        <v>5027</v>
      </c>
      <c r="G641" s="13">
        <v>1</v>
      </c>
      <c r="H641" s="28">
        <v>44316</v>
      </c>
      <c r="I641" s="29">
        <f t="shared" si="410"/>
        <v>2021</v>
      </c>
      <c r="J641" s="1" t="s">
        <v>5014</v>
      </c>
      <c r="K641" s="1" t="s">
        <v>7</v>
      </c>
      <c r="L641" s="11" t="str">
        <f t="shared" si="416"/>
        <v>НЕТ</v>
      </c>
      <c r="M641" s="10" t="s">
        <v>1575</v>
      </c>
      <c r="N641" s="10" t="s">
        <v>1575</v>
      </c>
      <c r="O641" s="10">
        <v>1.0000000000000001E-5</v>
      </c>
      <c r="P641" s="10">
        <f t="shared" si="358"/>
        <v>1.0000000000000001E-5</v>
      </c>
      <c r="Q641" s="10" t="str">
        <f t="shared" si="359"/>
        <v>NA</v>
      </c>
      <c r="R641" s="10" t="s">
        <v>1575</v>
      </c>
      <c r="S641" s="10" t="s">
        <v>1575</v>
      </c>
      <c r="T641" s="10" t="s">
        <v>1575</v>
      </c>
      <c r="U641" s="10" t="s">
        <v>1575</v>
      </c>
      <c r="V641" s="10">
        <v>1.2E-5</v>
      </c>
      <c r="W641" s="10" t="s">
        <v>1575</v>
      </c>
      <c r="X641" s="10" t="str">
        <f t="shared" ref="X641" si="426">IFERROR(V641+W641,"NA")</f>
        <v>NA</v>
      </c>
      <c r="Y641" s="10" t="str">
        <f t="shared" ref="Y641" si="427">IFERROR(P641/R641,"NA")</f>
        <v>NA</v>
      </c>
      <c r="Z641" s="10" t="str">
        <f t="shared" ref="Z641" si="428">IFERROR(P641/U641,"NA")</f>
        <v>NA</v>
      </c>
      <c r="AA641" s="10">
        <f t="shared" ref="AA641" si="429">IFERROR(P641/V641,"NA")</f>
        <v>0.83333333333333337</v>
      </c>
      <c r="AB641" s="10" t="str">
        <f t="shared" ref="AB641" si="430">IFERROR(Q641/R641,"NA")</f>
        <v>NA</v>
      </c>
      <c r="AC641" s="10" t="str">
        <f t="shared" ref="AC641" si="431">IFERROR(Q641/S641,"NA")</f>
        <v>NA</v>
      </c>
      <c r="AD641" s="10" t="str">
        <f t="shared" ref="AD641" si="432">IFERROR(Q641/T641,"NA")</f>
        <v>NA</v>
      </c>
      <c r="AE641" s="10" t="str">
        <f t="shared" ref="AE641" si="433">IFERROR(Q641/X641,"NA")</f>
        <v>NA</v>
      </c>
      <c r="AF641" s="1" t="s">
        <v>5022</v>
      </c>
    </row>
    <row r="642" spans="1:32" x14ac:dyDescent="0.2">
      <c r="A642" s="1" t="s">
        <v>5619</v>
      </c>
      <c r="B642" s="1" t="s">
        <v>5</v>
      </c>
      <c r="C642" s="1" t="s">
        <v>1575</v>
      </c>
      <c r="D642" s="1" t="s">
        <v>1580</v>
      </c>
      <c r="E642" s="1" t="s">
        <v>5016</v>
      </c>
      <c r="F642" s="1" t="s">
        <v>5027</v>
      </c>
      <c r="G642" s="13">
        <v>1</v>
      </c>
      <c r="H642" s="28">
        <v>44316</v>
      </c>
      <c r="I642" s="29">
        <f t="shared" ref="I642" si="434">YEAR(H642)</f>
        <v>2021</v>
      </c>
      <c r="J642" s="1" t="s">
        <v>5014</v>
      </c>
      <c r="K642" s="1" t="s">
        <v>7</v>
      </c>
      <c r="L642" s="11" t="str">
        <f t="shared" ref="L642" si="435">IF(OR(A642=J642,A642=K642),"ДА","НЕТ")</f>
        <v>НЕТ</v>
      </c>
      <c r="M642" s="10" t="s">
        <v>1575</v>
      </c>
      <c r="N642" s="10" t="s">
        <v>1575</v>
      </c>
      <c r="O642" s="10">
        <v>2.5000000000000001E-5</v>
      </c>
      <c r="P642" s="10">
        <f t="shared" si="358"/>
        <v>2.5000000000000001E-5</v>
      </c>
      <c r="Q642" s="10" t="str">
        <f t="shared" si="359"/>
        <v>NA</v>
      </c>
      <c r="R642" s="10" t="s">
        <v>1575</v>
      </c>
      <c r="S642" s="10" t="s">
        <v>1575</v>
      </c>
      <c r="T642" s="10" t="s">
        <v>1575</v>
      </c>
      <c r="U642" s="10" t="s">
        <v>1575</v>
      </c>
      <c r="V642" s="10">
        <v>-1.725E-3</v>
      </c>
      <c r="W642" s="10" t="s">
        <v>1575</v>
      </c>
      <c r="X642" s="10" t="str">
        <f t="shared" ref="X642" si="436">IFERROR(V642+W642,"NA")</f>
        <v>NA</v>
      </c>
      <c r="Y642" s="10" t="str">
        <f t="shared" ref="Y642" si="437">IFERROR(P642/R642,"NA")</f>
        <v>NA</v>
      </c>
      <c r="Z642" s="10" t="str">
        <f t="shared" ref="Z642" si="438">IFERROR(P642/U642,"NA")</f>
        <v>NA</v>
      </c>
      <c r="AA642" s="10">
        <f t="shared" ref="AA642" si="439">IFERROR(P642/V642,"NA")</f>
        <v>-1.4492753623188406E-2</v>
      </c>
      <c r="AB642" s="10" t="str">
        <f t="shared" ref="AB642" si="440">IFERROR(Q642/R642,"NA")</f>
        <v>NA</v>
      </c>
      <c r="AC642" s="10" t="str">
        <f t="shared" ref="AC642" si="441">IFERROR(Q642/S642,"NA")</f>
        <v>NA</v>
      </c>
      <c r="AD642" s="10" t="str">
        <f t="shared" ref="AD642" si="442">IFERROR(Q642/T642,"NA")</f>
        <v>NA</v>
      </c>
      <c r="AE642" s="10" t="str">
        <f t="shared" ref="AE642" si="443">IFERROR(Q642/X642,"NA")</f>
        <v>NA</v>
      </c>
      <c r="AF642" s="1" t="s">
        <v>5022</v>
      </c>
    </row>
    <row r="643" spans="1:32" x14ac:dyDescent="0.2">
      <c r="A643" s="1" t="s">
        <v>5620</v>
      </c>
      <c r="B643" s="1" t="s">
        <v>5</v>
      </c>
      <c r="C643" s="1" t="s">
        <v>1575</v>
      </c>
      <c r="D643" s="1" t="s">
        <v>1580</v>
      </c>
      <c r="E643" s="1" t="s">
        <v>5016</v>
      </c>
      <c r="F643" s="1" t="s">
        <v>5027</v>
      </c>
      <c r="G643" s="13">
        <v>1</v>
      </c>
      <c r="H643" s="28">
        <v>44316</v>
      </c>
      <c r="I643" s="29">
        <f t="shared" ref="I643:I660" si="444">YEAR(H643)</f>
        <v>2021</v>
      </c>
      <c r="J643" s="1" t="s">
        <v>5014</v>
      </c>
      <c r="K643" s="1" t="s">
        <v>7</v>
      </c>
      <c r="L643" s="11" t="str">
        <f t="shared" ref="L643" si="445">IF(OR(A643=J643,A643=K643),"ДА","НЕТ")</f>
        <v>НЕТ</v>
      </c>
      <c r="M643" s="10" t="s">
        <v>1575</v>
      </c>
      <c r="N643" s="10" t="s">
        <v>1575</v>
      </c>
      <c r="O643" s="10">
        <v>7.9999999999999996E-6</v>
      </c>
      <c r="P643" s="10">
        <f t="shared" ref="P643:P706" si="446">IFERROR(O643/G643,"NA")</f>
        <v>7.9999999999999996E-6</v>
      </c>
      <c r="Q643" s="10" t="str">
        <f t="shared" ref="Q643:Q706" si="447">IFERROR(P643+W643,"NA")</f>
        <v>NA</v>
      </c>
      <c r="R643" s="10" t="s">
        <v>1575</v>
      </c>
      <c r="S643" s="10" t="s">
        <v>1575</v>
      </c>
      <c r="T643" s="10" t="s">
        <v>1575</v>
      </c>
      <c r="U643" s="10" t="s">
        <v>1575</v>
      </c>
      <c r="V643" s="10">
        <v>6.2200000000000005E-4</v>
      </c>
      <c r="W643" s="10" t="s">
        <v>1575</v>
      </c>
      <c r="X643" s="10" t="str">
        <f t="shared" ref="X643:X645" si="448">IFERROR(V643+W643,"NA")</f>
        <v>NA</v>
      </c>
      <c r="Y643" s="10" t="str">
        <f t="shared" ref="Y643:Y645" si="449">IFERROR(P643/R643,"NA")</f>
        <v>NA</v>
      </c>
      <c r="Z643" s="10" t="str">
        <f t="shared" ref="Z643:Z645" si="450">IFERROR(P643/U643,"NA")</f>
        <v>NA</v>
      </c>
      <c r="AA643" s="10">
        <f t="shared" ref="AA643:AA645" si="451">IFERROR(P643/V643,"NA")</f>
        <v>1.2861736334405143E-2</v>
      </c>
      <c r="AB643" s="10" t="str">
        <f t="shared" ref="AB643:AB645" si="452">IFERROR(Q643/R643,"NA")</f>
        <v>NA</v>
      </c>
      <c r="AC643" s="10" t="str">
        <f t="shared" ref="AC643:AC645" si="453">IFERROR(Q643/S643,"NA")</f>
        <v>NA</v>
      </c>
      <c r="AD643" s="10" t="str">
        <f t="shared" ref="AD643:AD645" si="454">IFERROR(Q643/T643,"NA")</f>
        <v>NA</v>
      </c>
      <c r="AE643" s="10" t="str">
        <f t="shared" ref="AE643:AE645" si="455">IFERROR(Q643/X643,"NA")</f>
        <v>NA</v>
      </c>
      <c r="AF643" s="1" t="s">
        <v>5022</v>
      </c>
    </row>
    <row r="644" spans="1:32" x14ac:dyDescent="0.2">
      <c r="A644" s="1" t="s">
        <v>5621</v>
      </c>
      <c r="B644" s="1" t="s">
        <v>5</v>
      </c>
      <c r="C644" s="1" t="s">
        <v>1575</v>
      </c>
      <c r="D644" s="1" t="s">
        <v>1580</v>
      </c>
      <c r="E644" s="1" t="s">
        <v>2057</v>
      </c>
      <c r="F644" s="1" t="s">
        <v>5030</v>
      </c>
      <c r="G644" s="13">
        <v>1</v>
      </c>
      <c r="H644" s="28">
        <v>45449</v>
      </c>
      <c r="I644" s="29">
        <f t="shared" si="444"/>
        <v>2024</v>
      </c>
      <c r="J644" s="1" t="s">
        <v>7</v>
      </c>
      <c r="K644" s="1" t="s">
        <v>5028</v>
      </c>
      <c r="L644" s="11" t="str">
        <f t="shared" ref="L644" si="456">IF(OR(A644=J644,A644=K644),"ДА","НЕТ")</f>
        <v>НЕТ</v>
      </c>
      <c r="M644" s="10" t="s">
        <v>1575</v>
      </c>
      <c r="N644" s="10" t="s">
        <v>1575</v>
      </c>
      <c r="O644" s="10">
        <v>1E-3</v>
      </c>
      <c r="P644" s="10">
        <f t="shared" si="446"/>
        <v>1E-3</v>
      </c>
      <c r="Q644" s="10" t="str">
        <f t="shared" si="447"/>
        <v>NA</v>
      </c>
      <c r="R644" s="10" t="s">
        <v>1575</v>
      </c>
      <c r="S644" s="10" t="s">
        <v>1575</v>
      </c>
      <c r="T644" s="10" t="s">
        <v>1575</v>
      </c>
      <c r="U644" s="10" t="s">
        <v>1575</v>
      </c>
      <c r="V644" s="10" t="s">
        <v>1575</v>
      </c>
      <c r="W644" s="10" t="s">
        <v>1575</v>
      </c>
      <c r="X644" s="10" t="str">
        <f t="shared" si="448"/>
        <v>NA</v>
      </c>
      <c r="Y644" s="10" t="str">
        <f t="shared" si="449"/>
        <v>NA</v>
      </c>
      <c r="Z644" s="10" t="str">
        <f t="shared" si="450"/>
        <v>NA</v>
      </c>
      <c r="AA644" s="10" t="str">
        <f t="shared" si="451"/>
        <v>NA</v>
      </c>
      <c r="AB644" s="10" t="str">
        <f t="shared" si="452"/>
        <v>NA</v>
      </c>
      <c r="AC644" s="10" t="str">
        <f t="shared" si="453"/>
        <v>NA</v>
      </c>
      <c r="AD644" s="10" t="str">
        <f t="shared" si="454"/>
        <v>NA</v>
      </c>
      <c r="AE644" s="10" t="str">
        <f t="shared" si="455"/>
        <v>NA</v>
      </c>
      <c r="AF644" s="1" t="s">
        <v>5029</v>
      </c>
    </row>
    <row r="645" spans="1:32" x14ac:dyDescent="0.2">
      <c r="A645" s="1" t="s">
        <v>5622</v>
      </c>
      <c r="B645" s="1" t="s">
        <v>5</v>
      </c>
      <c r="C645" s="1" t="s">
        <v>1575</v>
      </c>
      <c r="D645" s="1" t="s">
        <v>1615</v>
      </c>
      <c r="E645" s="1" t="s">
        <v>1587</v>
      </c>
      <c r="F645" s="1" t="s">
        <v>5031</v>
      </c>
      <c r="G645" s="13">
        <v>0.5</v>
      </c>
      <c r="H645" s="28">
        <v>45553</v>
      </c>
      <c r="I645" s="29">
        <f t="shared" si="444"/>
        <v>2024</v>
      </c>
      <c r="J645" s="1" t="s">
        <v>5028</v>
      </c>
      <c r="K645" s="1" t="s">
        <v>7</v>
      </c>
      <c r="L645" s="11" t="str">
        <f t="shared" ref="L645" si="457">IF(OR(A645=J645,A645=K645),"ДА","НЕТ")</f>
        <v>НЕТ</v>
      </c>
      <c r="M645" s="10" t="s">
        <v>1575</v>
      </c>
      <c r="N645" s="10" t="s">
        <v>1575</v>
      </c>
      <c r="O645" s="10">
        <v>3.5000000000000003E-2</v>
      </c>
      <c r="P645" s="10">
        <f t="shared" si="446"/>
        <v>7.0000000000000007E-2</v>
      </c>
      <c r="Q645" s="10" t="str">
        <f t="shared" si="447"/>
        <v>NA</v>
      </c>
      <c r="R645" s="10" t="s">
        <v>1575</v>
      </c>
      <c r="S645" s="10" t="s">
        <v>1575</v>
      </c>
      <c r="T645" s="10" t="s">
        <v>1575</v>
      </c>
      <c r="U645" s="10" t="s">
        <v>1575</v>
      </c>
      <c r="V645" s="10" t="s">
        <v>1575</v>
      </c>
      <c r="W645" s="10" t="s">
        <v>1575</v>
      </c>
      <c r="X645" s="10" t="str">
        <f t="shared" si="448"/>
        <v>NA</v>
      </c>
      <c r="Y645" s="10" t="str">
        <f t="shared" si="449"/>
        <v>NA</v>
      </c>
      <c r="Z645" s="10" t="str">
        <f t="shared" si="450"/>
        <v>NA</v>
      </c>
      <c r="AA645" s="10" t="str">
        <f t="shared" si="451"/>
        <v>NA</v>
      </c>
      <c r="AB645" s="10" t="str">
        <f t="shared" si="452"/>
        <v>NA</v>
      </c>
      <c r="AC645" s="10" t="str">
        <f t="shared" si="453"/>
        <v>NA</v>
      </c>
      <c r="AD645" s="10" t="str">
        <f t="shared" si="454"/>
        <v>NA</v>
      </c>
      <c r="AE645" s="10" t="str">
        <f t="shared" si="455"/>
        <v>NA</v>
      </c>
      <c r="AF645" s="1" t="s">
        <v>5032</v>
      </c>
    </row>
    <row r="646" spans="1:32" x14ac:dyDescent="0.2">
      <c r="A646" s="1" t="s">
        <v>5623</v>
      </c>
      <c r="B646" s="1" t="s">
        <v>5</v>
      </c>
      <c r="C646" s="1" t="s">
        <v>1575</v>
      </c>
      <c r="D646" s="1" t="s">
        <v>1580</v>
      </c>
      <c r="E646" s="1" t="s">
        <v>2057</v>
      </c>
      <c r="F646" s="1" t="s">
        <v>434</v>
      </c>
      <c r="G646" s="13">
        <v>0.25</v>
      </c>
      <c r="H646" s="28">
        <v>44922</v>
      </c>
      <c r="I646" s="29">
        <f t="shared" si="444"/>
        <v>2022</v>
      </c>
      <c r="J646" s="1" t="s">
        <v>5028</v>
      </c>
      <c r="K646" s="1" t="s">
        <v>7</v>
      </c>
      <c r="L646" s="11" t="str">
        <f t="shared" ref="L646:L647" si="458">IF(OR(A646=J646,A646=K646),"ДА","НЕТ")</f>
        <v>НЕТ</v>
      </c>
      <c r="M646" s="10" t="s">
        <v>1575</v>
      </c>
      <c r="N646" s="10" t="s">
        <v>1575</v>
      </c>
      <c r="O646" s="10">
        <f>0.019+11.921</f>
        <v>11.94</v>
      </c>
      <c r="P646" s="10">
        <f t="shared" si="446"/>
        <v>47.76</v>
      </c>
      <c r="Q646" s="10" t="str">
        <f t="shared" si="447"/>
        <v>NA</v>
      </c>
      <c r="R646" s="10" t="s">
        <v>1575</v>
      </c>
      <c r="S646" s="10" t="s">
        <v>1575</v>
      </c>
      <c r="T646" s="10" t="s">
        <v>1575</v>
      </c>
      <c r="U646" s="10" t="s">
        <v>1575</v>
      </c>
      <c r="V646" s="10">
        <v>10.804</v>
      </c>
      <c r="W646" s="10" t="s">
        <v>1575</v>
      </c>
      <c r="X646" s="10" t="str">
        <f t="shared" ref="X646:X647" si="459">IFERROR(V646+W646,"NA")</f>
        <v>NA</v>
      </c>
      <c r="Y646" s="10" t="str">
        <f t="shared" ref="Y646:Y647" si="460">IFERROR(P646/R646,"NA")</f>
        <v>NA</v>
      </c>
      <c r="Z646" s="10" t="str">
        <f t="shared" ref="Z646:Z647" si="461">IFERROR(P646/U646,"NA")</f>
        <v>NA</v>
      </c>
      <c r="AA646" s="10">
        <f t="shared" ref="AA646:AA647" si="462">IFERROR(P646/V646,"NA")</f>
        <v>4.4205849685301741</v>
      </c>
      <c r="AB646" s="10" t="str">
        <f t="shared" ref="AB646:AB647" si="463">IFERROR(Q646/R646,"NA")</f>
        <v>NA</v>
      </c>
      <c r="AC646" s="10" t="str">
        <f t="shared" ref="AC646:AC647" si="464">IFERROR(Q646/S646,"NA")</f>
        <v>NA</v>
      </c>
      <c r="AD646" s="10" t="str">
        <f t="shared" ref="AD646:AD647" si="465">IFERROR(Q646/T646,"NA")</f>
        <v>NA</v>
      </c>
      <c r="AE646" s="10" t="str">
        <f t="shared" ref="AE646:AE647" si="466">IFERROR(Q646/X646,"NA")</f>
        <v>NA</v>
      </c>
      <c r="AF646" s="1" t="s">
        <v>5033</v>
      </c>
    </row>
    <row r="647" spans="1:32" x14ac:dyDescent="0.2">
      <c r="A647" s="1" t="s">
        <v>5622</v>
      </c>
      <c r="B647" s="1" t="s">
        <v>5</v>
      </c>
      <c r="C647" s="1" t="s">
        <v>1575</v>
      </c>
      <c r="D647" s="1" t="s">
        <v>1615</v>
      </c>
      <c r="E647" s="1" t="s">
        <v>1587</v>
      </c>
      <c r="F647" s="1" t="s">
        <v>5031</v>
      </c>
      <c r="G647" s="13">
        <v>0.5</v>
      </c>
      <c r="H647" s="28">
        <v>44772</v>
      </c>
      <c r="I647" s="29">
        <f t="shared" si="444"/>
        <v>2022</v>
      </c>
      <c r="J647" s="1" t="s">
        <v>5624</v>
      </c>
      <c r="K647" s="1" t="s">
        <v>5028</v>
      </c>
      <c r="L647" s="11" t="str">
        <f t="shared" si="458"/>
        <v>НЕТ</v>
      </c>
      <c r="M647" s="10" t="s">
        <v>1575</v>
      </c>
      <c r="N647" s="10" t="s">
        <v>1575</v>
      </c>
      <c r="O647" s="10" t="s">
        <v>1575</v>
      </c>
      <c r="P647" s="10" t="str">
        <f t="shared" si="446"/>
        <v>NA</v>
      </c>
      <c r="Q647" s="10" t="str">
        <f t="shared" si="447"/>
        <v>NA</v>
      </c>
      <c r="R647" s="10" t="s">
        <v>1575</v>
      </c>
      <c r="S647" s="10" t="s">
        <v>1575</v>
      </c>
      <c r="T647" s="10" t="s">
        <v>1575</v>
      </c>
      <c r="U647" s="10" t="s">
        <v>1575</v>
      </c>
      <c r="V647" s="10" t="s">
        <v>1575</v>
      </c>
      <c r="W647" s="10" t="s">
        <v>1575</v>
      </c>
      <c r="X647" s="10" t="str">
        <f t="shared" si="459"/>
        <v>NA</v>
      </c>
      <c r="Y647" s="10" t="str">
        <f t="shared" si="460"/>
        <v>NA</v>
      </c>
      <c r="Z647" s="10" t="str">
        <f t="shared" si="461"/>
        <v>NA</v>
      </c>
      <c r="AA647" s="10" t="str">
        <f t="shared" si="462"/>
        <v>NA</v>
      </c>
      <c r="AB647" s="10" t="str">
        <f t="shared" si="463"/>
        <v>NA</v>
      </c>
      <c r="AC647" s="10" t="str">
        <f t="shared" si="464"/>
        <v>NA</v>
      </c>
      <c r="AD647" s="10" t="str">
        <f t="shared" si="465"/>
        <v>NA</v>
      </c>
      <c r="AE647" s="10" t="str">
        <f t="shared" si="466"/>
        <v>NA</v>
      </c>
      <c r="AF647" s="1" t="s">
        <v>5034</v>
      </c>
    </row>
    <row r="648" spans="1:32" x14ac:dyDescent="0.2">
      <c r="A648" s="1" t="s">
        <v>5622</v>
      </c>
      <c r="B648" s="1" t="s">
        <v>5</v>
      </c>
      <c r="C648" s="1" t="s">
        <v>1575</v>
      </c>
      <c r="D648" s="1" t="s">
        <v>1615</v>
      </c>
      <c r="E648" s="1" t="s">
        <v>1587</v>
      </c>
      <c r="F648" s="1" t="s">
        <v>5031</v>
      </c>
      <c r="G648" s="13">
        <v>0.5</v>
      </c>
      <c r="H648" s="28">
        <v>43858</v>
      </c>
      <c r="I648" s="29">
        <f t="shared" si="444"/>
        <v>2020</v>
      </c>
      <c r="J648" s="1" t="s">
        <v>5028</v>
      </c>
      <c r="K648" s="1" t="s">
        <v>7</v>
      </c>
      <c r="L648" s="11" t="str">
        <f t="shared" ref="L648:L650" si="467">IF(OR(A648=J648,A648=K648),"ДА","НЕТ")</f>
        <v>НЕТ</v>
      </c>
      <c r="M648" s="10" t="s">
        <v>1575</v>
      </c>
      <c r="N648" s="10" t="s">
        <v>1575</v>
      </c>
      <c r="O648" s="10">
        <v>5.0000000000000001E-3</v>
      </c>
      <c r="P648" s="10">
        <f t="shared" si="446"/>
        <v>0.01</v>
      </c>
      <c r="Q648" s="10" t="str">
        <f t="shared" si="447"/>
        <v>NA</v>
      </c>
      <c r="R648" s="10" t="s">
        <v>1575</v>
      </c>
      <c r="S648" s="10" t="s">
        <v>1575</v>
      </c>
      <c r="T648" s="10" t="s">
        <v>1575</v>
      </c>
      <c r="U648" s="10" t="s">
        <v>1575</v>
      </c>
      <c r="V648" s="10">
        <v>3.2318E-2</v>
      </c>
      <c r="W648" s="10" t="s">
        <v>1575</v>
      </c>
      <c r="X648" s="10" t="str">
        <f t="shared" ref="X648:X651" si="468">IFERROR(V648+W648,"NA")</f>
        <v>NA</v>
      </c>
      <c r="Y648" s="10" t="str">
        <f t="shared" ref="Y648:Y651" si="469">IFERROR(P648/R648,"NA")</f>
        <v>NA</v>
      </c>
      <c r="Z648" s="10" t="str">
        <f t="shared" ref="Z648:Z651" si="470">IFERROR(P648/U648,"NA")</f>
        <v>NA</v>
      </c>
      <c r="AA648" s="10">
        <f t="shared" ref="AA648:AA651" si="471">IFERROR(P648/V648,"NA")</f>
        <v>0.30942508818615017</v>
      </c>
      <c r="AB648" s="10" t="str">
        <f t="shared" ref="AB648:AB651" si="472">IFERROR(Q648/R648,"NA")</f>
        <v>NA</v>
      </c>
      <c r="AC648" s="10" t="str">
        <f t="shared" ref="AC648:AC651" si="473">IFERROR(Q648/S648,"NA")</f>
        <v>NA</v>
      </c>
      <c r="AD648" s="10" t="str">
        <f t="shared" ref="AD648:AD651" si="474">IFERROR(Q648/T648,"NA")</f>
        <v>NA</v>
      </c>
      <c r="AE648" s="10" t="str">
        <f t="shared" ref="AE648:AE651" si="475">IFERROR(Q648/X648,"NA")</f>
        <v>NA</v>
      </c>
      <c r="AF648" s="1" t="s">
        <v>5035</v>
      </c>
    </row>
    <row r="649" spans="1:32" x14ac:dyDescent="0.2">
      <c r="A649" s="1" t="s">
        <v>5625</v>
      </c>
      <c r="B649" s="1" t="s">
        <v>5</v>
      </c>
      <c r="C649" s="1" t="s">
        <v>1575</v>
      </c>
      <c r="D649" s="1" t="s">
        <v>1580</v>
      </c>
      <c r="E649" s="1" t="s">
        <v>2057</v>
      </c>
      <c r="F649" s="1" t="s">
        <v>5030</v>
      </c>
      <c r="G649" s="13">
        <v>0.1</v>
      </c>
      <c r="H649" s="28">
        <v>44118</v>
      </c>
      <c r="I649" s="29">
        <f t="shared" si="444"/>
        <v>2020</v>
      </c>
      <c r="J649" s="1" t="s">
        <v>5028</v>
      </c>
      <c r="K649" s="1" t="s">
        <v>7</v>
      </c>
      <c r="L649" s="11" t="str">
        <f t="shared" si="467"/>
        <v>НЕТ</v>
      </c>
      <c r="M649" s="10" t="s">
        <v>1575</v>
      </c>
      <c r="N649" s="10" t="s">
        <v>1575</v>
      </c>
      <c r="O649" s="10" t="s">
        <v>1575</v>
      </c>
      <c r="P649" s="10" t="str">
        <f t="shared" si="446"/>
        <v>NA</v>
      </c>
      <c r="Q649" s="10" t="str">
        <f t="shared" si="447"/>
        <v>NA</v>
      </c>
      <c r="R649" s="10" t="s">
        <v>1575</v>
      </c>
      <c r="S649" s="10" t="s">
        <v>1575</v>
      </c>
      <c r="T649" s="10" t="s">
        <v>1575</v>
      </c>
      <c r="U649" s="10" t="s">
        <v>1575</v>
      </c>
      <c r="V649" s="10" t="s">
        <v>1575</v>
      </c>
      <c r="W649" s="10" t="s">
        <v>1575</v>
      </c>
      <c r="X649" s="10" t="str">
        <f t="shared" si="468"/>
        <v>NA</v>
      </c>
      <c r="Y649" s="10" t="str">
        <f t="shared" si="469"/>
        <v>NA</v>
      </c>
      <c r="Z649" s="10" t="str">
        <f t="shared" si="470"/>
        <v>NA</v>
      </c>
      <c r="AA649" s="10" t="str">
        <f t="shared" si="471"/>
        <v>NA</v>
      </c>
      <c r="AB649" s="10" t="str">
        <f t="shared" si="472"/>
        <v>NA</v>
      </c>
      <c r="AC649" s="10" t="str">
        <f t="shared" si="473"/>
        <v>NA</v>
      </c>
      <c r="AD649" s="10" t="str">
        <f t="shared" si="474"/>
        <v>NA</v>
      </c>
      <c r="AE649" s="10" t="str">
        <f t="shared" si="475"/>
        <v>NA</v>
      </c>
      <c r="AF649" s="1" t="s">
        <v>5036</v>
      </c>
    </row>
    <row r="650" spans="1:32" x14ac:dyDescent="0.2">
      <c r="A650" s="1" t="s">
        <v>5626</v>
      </c>
      <c r="B650" s="1" t="s">
        <v>5</v>
      </c>
      <c r="C650" s="1" t="s">
        <v>1575</v>
      </c>
      <c r="D650" s="1" t="s">
        <v>1580</v>
      </c>
      <c r="E650" s="1" t="s">
        <v>2057</v>
      </c>
      <c r="F650" s="1" t="s">
        <v>5030</v>
      </c>
      <c r="G650" s="13">
        <v>0.9</v>
      </c>
      <c r="H650" s="28">
        <v>44140</v>
      </c>
      <c r="I650" s="29">
        <f t="shared" si="444"/>
        <v>2020</v>
      </c>
      <c r="J650" s="1" t="s">
        <v>7</v>
      </c>
      <c r="K650" s="1" t="s">
        <v>5028</v>
      </c>
      <c r="L650" s="11" t="str">
        <f t="shared" si="467"/>
        <v>НЕТ</v>
      </c>
      <c r="M650" s="10" t="s">
        <v>1575</v>
      </c>
      <c r="N650" s="10" t="s">
        <v>1575</v>
      </c>
      <c r="O650" s="10">
        <v>1E-4</v>
      </c>
      <c r="P650" s="10">
        <f t="shared" si="446"/>
        <v>1.1111111111111112E-4</v>
      </c>
      <c r="Q650" s="10" t="str">
        <f t="shared" si="447"/>
        <v>NA</v>
      </c>
      <c r="R650" s="10" t="s">
        <v>1575</v>
      </c>
      <c r="S650" s="10" t="s">
        <v>1575</v>
      </c>
      <c r="T650" s="10" t="s">
        <v>1575</v>
      </c>
      <c r="U650" s="10" t="s">
        <v>1575</v>
      </c>
      <c r="V650" s="10" t="s">
        <v>1575</v>
      </c>
      <c r="W650" s="10" t="s">
        <v>1575</v>
      </c>
      <c r="X650" s="10" t="str">
        <f t="shared" si="468"/>
        <v>NA</v>
      </c>
      <c r="Y650" s="10" t="str">
        <f t="shared" si="469"/>
        <v>NA</v>
      </c>
      <c r="Z650" s="10" t="str">
        <f t="shared" si="470"/>
        <v>NA</v>
      </c>
      <c r="AA650" s="10" t="str">
        <f t="shared" si="471"/>
        <v>NA</v>
      </c>
      <c r="AB650" s="10" t="str">
        <f t="shared" si="472"/>
        <v>NA</v>
      </c>
      <c r="AC650" s="10" t="str">
        <f t="shared" si="473"/>
        <v>NA</v>
      </c>
      <c r="AD650" s="10" t="str">
        <f t="shared" si="474"/>
        <v>NA</v>
      </c>
      <c r="AE650" s="10" t="str">
        <f t="shared" si="475"/>
        <v>NA</v>
      </c>
      <c r="AF650" s="1" t="s">
        <v>5037</v>
      </c>
    </row>
    <row r="651" spans="1:32" x14ac:dyDescent="0.2">
      <c r="A651" s="1" t="s">
        <v>5625</v>
      </c>
      <c r="B651" s="1" t="s">
        <v>5</v>
      </c>
      <c r="C651" s="1" t="s">
        <v>1575</v>
      </c>
      <c r="D651" s="1" t="s">
        <v>1580</v>
      </c>
      <c r="E651" s="1" t="s">
        <v>2057</v>
      </c>
      <c r="F651" s="1" t="s">
        <v>5030</v>
      </c>
      <c r="G651" s="13">
        <v>0.3</v>
      </c>
      <c r="H651" s="28">
        <v>43495</v>
      </c>
      <c r="I651" s="29">
        <f t="shared" si="444"/>
        <v>2019</v>
      </c>
      <c r="J651" s="1" t="s">
        <v>5028</v>
      </c>
      <c r="K651" s="1" t="s">
        <v>7</v>
      </c>
      <c r="L651" s="11" t="str">
        <f t="shared" ref="L651" si="476">IF(OR(A651=J651,A651=K651),"ДА","НЕТ")</f>
        <v>НЕТ</v>
      </c>
      <c r="M651" s="10" t="s">
        <v>1575</v>
      </c>
      <c r="N651" s="10" t="s">
        <v>1575</v>
      </c>
      <c r="O651" s="10">
        <f>0.000767+9.142943</f>
        <v>9.1437100000000004</v>
      </c>
      <c r="P651" s="10">
        <f t="shared" si="446"/>
        <v>30.479033333333337</v>
      </c>
      <c r="Q651" s="10" t="str">
        <f t="shared" si="447"/>
        <v>NA</v>
      </c>
      <c r="R651" s="10" t="s">
        <v>1575</v>
      </c>
      <c r="S651" s="10" t="s">
        <v>1575</v>
      </c>
      <c r="T651" s="10" t="s">
        <v>1575</v>
      </c>
      <c r="U651" s="10" t="s">
        <v>1575</v>
      </c>
      <c r="V651" s="10">
        <v>9.1408159999999992</v>
      </c>
      <c r="W651" s="10" t="s">
        <v>1575</v>
      </c>
      <c r="X651" s="10" t="str">
        <f t="shared" si="468"/>
        <v>NA</v>
      </c>
      <c r="Y651" s="10" t="str">
        <f t="shared" si="469"/>
        <v>NA</v>
      </c>
      <c r="Z651" s="10" t="str">
        <f t="shared" si="470"/>
        <v>NA</v>
      </c>
      <c r="AA651" s="10">
        <f t="shared" si="471"/>
        <v>3.3343886731046046</v>
      </c>
      <c r="AB651" s="10" t="str">
        <f t="shared" si="472"/>
        <v>NA</v>
      </c>
      <c r="AC651" s="10" t="str">
        <f t="shared" si="473"/>
        <v>NA</v>
      </c>
      <c r="AD651" s="10" t="str">
        <f t="shared" si="474"/>
        <v>NA</v>
      </c>
      <c r="AE651" s="10" t="str">
        <f t="shared" si="475"/>
        <v>NA</v>
      </c>
      <c r="AF651" s="1" t="s">
        <v>5039</v>
      </c>
    </row>
    <row r="652" spans="1:32" x14ac:dyDescent="0.2">
      <c r="A652" s="1" t="s">
        <v>5625</v>
      </c>
      <c r="B652" s="1" t="s">
        <v>5</v>
      </c>
      <c r="C652" s="1" t="s">
        <v>1575</v>
      </c>
      <c r="D652" s="1" t="s">
        <v>1580</v>
      </c>
      <c r="E652" s="1" t="s">
        <v>2057</v>
      </c>
      <c r="F652" s="1" t="s">
        <v>5030</v>
      </c>
      <c r="G652" s="13">
        <v>0.1</v>
      </c>
      <c r="H652" s="28">
        <v>43829</v>
      </c>
      <c r="I652" s="29">
        <f t="shared" si="444"/>
        <v>2019</v>
      </c>
      <c r="J652" s="1" t="s">
        <v>5028</v>
      </c>
      <c r="K652" s="1" t="s">
        <v>7</v>
      </c>
      <c r="L652" s="11" t="str">
        <f t="shared" ref="L652:L653" si="477">IF(OR(A652=J652,A652=K652),"ДА","НЕТ")</f>
        <v>НЕТ</v>
      </c>
      <c r="M652" s="10" t="s">
        <v>1575</v>
      </c>
      <c r="N652" s="10" t="s">
        <v>1575</v>
      </c>
      <c r="O652" s="10">
        <v>5.9579999999999998E-3</v>
      </c>
      <c r="P652" s="10">
        <f t="shared" si="446"/>
        <v>5.9579999999999994E-2</v>
      </c>
      <c r="Q652" s="10" t="str">
        <f t="shared" si="447"/>
        <v>NA</v>
      </c>
      <c r="R652" s="10" t="s">
        <v>1575</v>
      </c>
      <c r="S652" s="10" t="s">
        <v>1575</v>
      </c>
      <c r="T652" s="10" t="s">
        <v>1575</v>
      </c>
      <c r="U652" s="10" t="s">
        <v>1575</v>
      </c>
      <c r="V652" s="10">
        <v>9.1408159999999992</v>
      </c>
      <c r="W652" s="10" t="s">
        <v>1575</v>
      </c>
      <c r="X652" s="10" t="str">
        <f t="shared" ref="X652:X654" si="478">IFERROR(V652+W652,"NA")</f>
        <v>NA</v>
      </c>
      <c r="Y652" s="10" t="str">
        <f t="shared" ref="Y652:Y654" si="479">IFERROR(P652/R652,"NA")</f>
        <v>NA</v>
      </c>
      <c r="Z652" s="10" t="str">
        <f t="shared" ref="Z652:Z654" si="480">IFERROR(P652/U652,"NA")</f>
        <v>NA</v>
      </c>
      <c r="AA652" s="10">
        <f t="shared" ref="AA652:AA654" si="481">IFERROR(P652/V652,"NA")</f>
        <v>6.5180176474397911E-3</v>
      </c>
      <c r="AB652" s="10" t="str">
        <f t="shared" ref="AB652:AB654" si="482">IFERROR(Q652/R652,"NA")</f>
        <v>NA</v>
      </c>
      <c r="AC652" s="10" t="str">
        <f t="shared" ref="AC652:AC654" si="483">IFERROR(Q652/S652,"NA")</f>
        <v>NA</v>
      </c>
      <c r="AD652" s="10" t="str">
        <f t="shared" ref="AD652:AD654" si="484">IFERROR(Q652/T652,"NA")</f>
        <v>NA</v>
      </c>
      <c r="AE652" s="10" t="str">
        <f t="shared" ref="AE652:AE654" si="485">IFERROR(Q652/X652,"NA")</f>
        <v>NA</v>
      </c>
      <c r="AF652" s="1" t="s">
        <v>5038</v>
      </c>
    </row>
    <row r="653" spans="1:32" x14ac:dyDescent="0.2">
      <c r="A653" s="1" t="s">
        <v>5627</v>
      </c>
      <c r="B653" s="1" t="s">
        <v>5</v>
      </c>
      <c r="C653" s="1" t="s">
        <v>1575</v>
      </c>
      <c r="D653" s="1" t="s">
        <v>1580</v>
      </c>
      <c r="E653" s="1" t="s">
        <v>2057</v>
      </c>
      <c r="F653" s="1" t="s">
        <v>5030</v>
      </c>
      <c r="G653" s="13">
        <v>0.9</v>
      </c>
      <c r="H653" s="28">
        <v>43609</v>
      </c>
      <c r="I653" s="29">
        <f t="shared" si="444"/>
        <v>2019</v>
      </c>
      <c r="J653" s="1" t="s">
        <v>5028</v>
      </c>
      <c r="K653" s="1" t="s">
        <v>7</v>
      </c>
      <c r="L653" s="11" t="str">
        <f t="shared" si="477"/>
        <v>НЕТ</v>
      </c>
      <c r="M653" s="10" t="s">
        <v>1575</v>
      </c>
      <c r="N653" s="10" t="s">
        <v>1575</v>
      </c>
      <c r="O653" s="10">
        <f>8.139835+0.000009</f>
        <v>8.1398440000000001</v>
      </c>
      <c r="P653" s="10">
        <f t="shared" si="446"/>
        <v>9.0442711111111116</v>
      </c>
      <c r="Q653" s="10" t="str">
        <f t="shared" si="447"/>
        <v>NA</v>
      </c>
      <c r="R653" s="10" t="s">
        <v>1575</v>
      </c>
      <c r="S653" s="10" t="s">
        <v>1575</v>
      </c>
      <c r="T653" s="10" t="s">
        <v>1575</v>
      </c>
      <c r="U653" s="10" t="s">
        <v>1575</v>
      </c>
      <c r="V653" s="10">
        <v>9.1580469999999998</v>
      </c>
      <c r="W653" s="10" t="s">
        <v>1575</v>
      </c>
      <c r="X653" s="10" t="str">
        <f t="shared" si="478"/>
        <v>NA</v>
      </c>
      <c r="Y653" s="10" t="str">
        <f t="shared" si="479"/>
        <v>NA</v>
      </c>
      <c r="Z653" s="10" t="str">
        <f t="shared" si="480"/>
        <v>NA</v>
      </c>
      <c r="AA653" s="10">
        <f t="shared" si="481"/>
        <v>0.9875764026010253</v>
      </c>
      <c r="AB653" s="10" t="str">
        <f t="shared" si="482"/>
        <v>NA</v>
      </c>
      <c r="AC653" s="10" t="str">
        <f t="shared" si="483"/>
        <v>NA</v>
      </c>
      <c r="AD653" s="10" t="str">
        <f t="shared" si="484"/>
        <v>NA</v>
      </c>
      <c r="AE653" s="10" t="str">
        <f t="shared" si="485"/>
        <v>NA</v>
      </c>
      <c r="AF653" s="1" t="s">
        <v>5042</v>
      </c>
    </row>
    <row r="654" spans="1:32" x14ac:dyDescent="0.2">
      <c r="A654" s="1" t="s">
        <v>5628</v>
      </c>
      <c r="B654" s="1" t="s">
        <v>5</v>
      </c>
      <c r="C654" s="1" t="s">
        <v>1575</v>
      </c>
      <c r="D654" s="1" t="s">
        <v>1580</v>
      </c>
      <c r="E654" s="1" t="s">
        <v>2057</v>
      </c>
      <c r="F654" s="1" t="s">
        <v>5030</v>
      </c>
      <c r="G654" s="13">
        <v>1</v>
      </c>
      <c r="H654" s="28">
        <v>43734</v>
      </c>
      <c r="I654" s="29">
        <f t="shared" si="444"/>
        <v>2019</v>
      </c>
      <c r="J654" s="1" t="s">
        <v>5028</v>
      </c>
      <c r="K654" s="1" t="s">
        <v>7</v>
      </c>
      <c r="L654" s="11" t="str">
        <f t="shared" ref="L654:L655" si="486">IF(OR(A654=J654,A654=K654),"ДА","НЕТ")</f>
        <v>НЕТ</v>
      </c>
      <c r="M654" s="10" t="s">
        <v>1575</v>
      </c>
      <c r="N654" s="10" t="s">
        <v>1575</v>
      </c>
      <c r="O654" s="10">
        <f>0.048771+45.502925</f>
        <v>45.551696</v>
      </c>
      <c r="P654" s="10">
        <f t="shared" si="446"/>
        <v>45.551696</v>
      </c>
      <c r="Q654" s="10" t="str">
        <f t="shared" si="447"/>
        <v>NA</v>
      </c>
      <c r="R654" s="10" t="s">
        <v>1575</v>
      </c>
      <c r="S654" s="10" t="s">
        <v>1575</v>
      </c>
      <c r="T654" s="10" t="s">
        <v>1575</v>
      </c>
      <c r="U654" s="10" t="s">
        <v>1575</v>
      </c>
      <c r="V654" s="10">
        <v>52.893171000000002</v>
      </c>
      <c r="W654" s="10" t="s">
        <v>1575</v>
      </c>
      <c r="X654" s="10" t="str">
        <f t="shared" si="478"/>
        <v>NA</v>
      </c>
      <c r="Y654" s="10" t="str">
        <f t="shared" si="479"/>
        <v>NA</v>
      </c>
      <c r="Z654" s="10" t="str">
        <f t="shared" si="480"/>
        <v>NA</v>
      </c>
      <c r="AA654" s="10">
        <f t="shared" si="481"/>
        <v>0.86120183643366732</v>
      </c>
      <c r="AB654" s="10" t="str">
        <f t="shared" si="482"/>
        <v>NA</v>
      </c>
      <c r="AC654" s="10" t="str">
        <f t="shared" si="483"/>
        <v>NA</v>
      </c>
      <c r="AD654" s="10" t="str">
        <f t="shared" si="484"/>
        <v>NA</v>
      </c>
      <c r="AE654" s="10" t="str">
        <f t="shared" si="485"/>
        <v>NA</v>
      </c>
      <c r="AF654" s="1" t="s">
        <v>5043</v>
      </c>
    </row>
    <row r="655" spans="1:32" x14ac:dyDescent="0.2">
      <c r="A655" s="1" t="s">
        <v>5628</v>
      </c>
      <c r="B655" s="1" t="s">
        <v>5</v>
      </c>
      <c r="C655" s="1" t="s">
        <v>1575</v>
      </c>
      <c r="D655" s="1" t="s">
        <v>1580</v>
      </c>
      <c r="E655" s="1" t="s">
        <v>2057</v>
      </c>
      <c r="F655" s="1" t="s">
        <v>5030</v>
      </c>
      <c r="G655" s="13">
        <v>0.25</v>
      </c>
      <c r="H655" s="28">
        <v>43811</v>
      </c>
      <c r="I655" s="29">
        <f t="shared" si="444"/>
        <v>2019</v>
      </c>
      <c r="J655" s="1" t="s">
        <v>5629</v>
      </c>
      <c r="K655" s="1" t="s">
        <v>5028</v>
      </c>
      <c r="L655" s="11" t="str">
        <f t="shared" si="486"/>
        <v>НЕТ</v>
      </c>
      <c r="M655" s="10" t="s">
        <v>1575</v>
      </c>
      <c r="N655" s="10" t="s">
        <v>1575</v>
      </c>
      <c r="O655" s="10">
        <v>3.0000000000000001E-6</v>
      </c>
      <c r="P655" s="10">
        <f t="shared" si="446"/>
        <v>1.2E-5</v>
      </c>
      <c r="Q655" s="10" t="str">
        <f t="shared" si="447"/>
        <v>NA</v>
      </c>
      <c r="R655" s="10" t="s">
        <v>1575</v>
      </c>
      <c r="S655" s="10" t="s">
        <v>1575</v>
      </c>
      <c r="T655" s="10" t="s">
        <v>1575</v>
      </c>
      <c r="U655" s="10" t="s">
        <v>1575</v>
      </c>
      <c r="V655" s="10">
        <v>53.893171000000002</v>
      </c>
      <c r="W655" s="10" t="s">
        <v>1575</v>
      </c>
      <c r="X655" s="10" t="str">
        <f t="shared" ref="X655:X657" si="487">IFERROR(V655+W655,"NA")</f>
        <v>NA</v>
      </c>
      <c r="Y655" s="10" t="str">
        <f t="shared" ref="Y655:Y657" si="488">IFERROR(P655/R655,"NA")</f>
        <v>NA</v>
      </c>
      <c r="Z655" s="10" t="str">
        <f t="shared" ref="Z655:Z657" si="489">IFERROR(P655/U655,"NA")</f>
        <v>NA</v>
      </c>
      <c r="AA655" s="10">
        <f t="shared" ref="AA655:AA657" si="490">IFERROR(P655/V655,"NA")</f>
        <v>2.2266271917827955E-7</v>
      </c>
      <c r="AB655" s="10" t="str">
        <f t="shared" ref="AB655:AB657" si="491">IFERROR(Q655/R655,"NA")</f>
        <v>NA</v>
      </c>
      <c r="AC655" s="10" t="str">
        <f t="shared" ref="AC655:AC657" si="492">IFERROR(Q655/S655,"NA")</f>
        <v>NA</v>
      </c>
      <c r="AD655" s="10" t="str">
        <f t="shared" ref="AD655:AD657" si="493">IFERROR(Q655/T655,"NA")</f>
        <v>NA</v>
      </c>
      <c r="AE655" s="10" t="str">
        <f t="shared" ref="AE655:AE657" si="494">IFERROR(Q655/X655,"NA")</f>
        <v>NA</v>
      </c>
      <c r="AF655" s="1" t="s">
        <v>5044</v>
      </c>
    </row>
    <row r="656" spans="1:32" x14ac:dyDescent="0.2">
      <c r="A656" s="1" t="s">
        <v>5630</v>
      </c>
      <c r="B656" s="1" t="s">
        <v>5</v>
      </c>
      <c r="C656" s="1" t="s">
        <v>1575</v>
      </c>
      <c r="D656" s="1" t="s">
        <v>1580</v>
      </c>
      <c r="E656" s="1" t="s">
        <v>2057</v>
      </c>
      <c r="F656" s="1" t="s">
        <v>5030</v>
      </c>
      <c r="G656" s="13">
        <v>1</v>
      </c>
      <c r="H656" s="28">
        <v>43585</v>
      </c>
      <c r="I656" s="29">
        <f t="shared" si="444"/>
        <v>2019</v>
      </c>
      <c r="J656" s="1" t="s">
        <v>7</v>
      </c>
      <c r="K656" s="1" t="s">
        <v>5028</v>
      </c>
      <c r="L656" s="11" t="str">
        <f t="shared" ref="L656" si="495">IF(OR(A656=J656,A656=K656),"ДА","НЕТ")</f>
        <v>НЕТ</v>
      </c>
      <c r="M656" s="10" t="s">
        <v>1575</v>
      </c>
      <c r="N656" s="10" t="s">
        <v>1575</v>
      </c>
      <c r="O656" s="10">
        <v>2.7300000000000002E-4</v>
      </c>
      <c r="P656" s="10">
        <f t="shared" si="446"/>
        <v>2.7300000000000002E-4</v>
      </c>
      <c r="Q656" s="10" t="str">
        <f t="shared" si="447"/>
        <v>NA</v>
      </c>
      <c r="R656" s="10" t="s">
        <v>1575</v>
      </c>
      <c r="S656" s="10" t="s">
        <v>1575</v>
      </c>
      <c r="T656" s="10" t="s">
        <v>1575</v>
      </c>
      <c r="U656" s="10" t="s">
        <v>1575</v>
      </c>
      <c r="V656" s="10" t="s">
        <v>1575</v>
      </c>
      <c r="W656" s="10" t="s">
        <v>1575</v>
      </c>
      <c r="X656" s="10" t="str">
        <f t="shared" si="487"/>
        <v>NA</v>
      </c>
      <c r="Y656" s="10" t="str">
        <f t="shared" si="488"/>
        <v>NA</v>
      </c>
      <c r="Z656" s="10" t="str">
        <f t="shared" si="489"/>
        <v>NA</v>
      </c>
      <c r="AA656" s="10" t="str">
        <f t="shared" si="490"/>
        <v>NA</v>
      </c>
      <c r="AB656" s="10" t="str">
        <f t="shared" si="491"/>
        <v>NA</v>
      </c>
      <c r="AC656" s="10" t="str">
        <f t="shared" si="492"/>
        <v>NA</v>
      </c>
      <c r="AD656" s="10" t="str">
        <f t="shared" si="493"/>
        <v>NA</v>
      </c>
      <c r="AE656" s="10" t="str">
        <f t="shared" si="494"/>
        <v>NA</v>
      </c>
      <c r="AF656" s="1" t="s">
        <v>5041</v>
      </c>
    </row>
    <row r="657" spans="1:32" x14ac:dyDescent="0.2">
      <c r="A657" s="1" t="s">
        <v>5631</v>
      </c>
      <c r="B657" s="1" t="s">
        <v>5</v>
      </c>
      <c r="C657" s="1" t="s">
        <v>1575</v>
      </c>
      <c r="D657" s="1" t="s">
        <v>1580</v>
      </c>
      <c r="E657" s="1" t="s">
        <v>2057</v>
      </c>
      <c r="F657" s="1" t="s">
        <v>434</v>
      </c>
      <c r="G657" s="13">
        <v>1</v>
      </c>
      <c r="H657" s="28">
        <v>41936</v>
      </c>
      <c r="I657" s="29">
        <f t="shared" si="444"/>
        <v>2014</v>
      </c>
      <c r="J657" s="1" t="s">
        <v>7</v>
      </c>
      <c r="K657" s="1" t="s">
        <v>5028</v>
      </c>
      <c r="L657" s="11" t="str">
        <f t="shared" ref="L657" si="496">IF(OR(A657=J657,A657=K657),"ДА","НЕТ")</f>
        <v>НЕТ</v>
      </c>
      <c r="M657" s="10" t="s">
        <v>1575</v>
      </c>
      <c r="N657" s="10" t="s">
        <v>1575</v>
      </c>
      <c r="O657" s="10">
        <v>1.034E-3</v>
      </c>
      <c r="P657" s="10">
        <f t="shared" si="446"/>
        <v>1.034E-3</v>
      </c>
      <c r="Q657" s="10" t="str">
        <f t="shared" si="447"/>
        <v>NA</v>
      </c>
      <c r="R657" s="10" t="s">
        <v>1575</v>
      </c>
      <c r="S657" s="10" t="s">
        <v>1575</v>
      </c>
      <c r="T657" s="10" t="s">
        <v>1575</v>
      </c>
      <c r="U657" s="10" t="s">
        <v>1575</v>
      </c>
      <c r="V657" s="10">
        <v>-9.1000000000000003E-5</v>
      </c>
      <c r="W657" s="10" t="s">
        <v>1575</v>
      </c>
      <c r="X657" s="10" t="str">
        <f t="shared" si="487"/>
        <v>NA</v>
      </c>
      <c r="Y657" s="10" t="str">
        <f t="shared" si="488"/>
        <v>NA</v>
      </c>
      <c r="Z657" s="10" t="str">
        <f t="shared" si="489"/>
        <v>NA</v>
      </c>
      <c r="AA657" s="10">
        <f t="shared" si="490"/>
        <v>-11.362637362637361</v>
      </c>
      <c r="AB657" s="10" t="str">
        <f t="shared" si="491"/>
        <v>NA</v>
      </c>
      <c r="AC657" s="10" t="str">
        <f t="shared" si="492"/>
        <v>NA</v>
      </c>
      <c r="AD657" s="10" t="str">
        <f t="shared" si="493"/>
        <v>NA</v>
      </c>
      <c r="AE657" s="10" t="str">
        <f t="shared" si="494"/>
        <v>NA</v>
      </c>
      <c r="AF657" s="1" t="s">
        <v>5040</v>
      </c>
    </row>
    <row r="658" spans="1:32" x14ac:dyDescent="0.2">
      <c r="A658" s="1" t="s">
        <v>5047</v>
      </c>
      <c r="B658" s="1" t="s">
        <v>1069</v>
      </c>
      <c r="C658" s="1" t="s">
        <v>1575</v>
      </c>
      <c r="D658" s="1" t="s">
        <v>1580</v>
      </c>
      <c r="E658" s="1" t="s">
        <v>2057</v>
      </c>
      <c r="F658" s="1" t="s">
        <v>434</v>
      </c>
      <c r="G658" s="13">
        <v>1</v>
      </c>
      <c r="H658" s="28">
        <v>44736</v>
      </c>
      <c r="I658" s="29">
        <f t="shared" si="444"/>
        <v>2022</v>
      </c>
      <c r="J658" s="1" t="s">
        <v>7</v>
      </c>
      <c r="K658" s="1" t="s">
        <v>5045</v>
      </c>
      <c r="L658" s="11" t="str">
        <f t="shared" ref="L658:L660" si="497">IF(OR(A658=J658,A658=K658),"ДА","НЕТ")</f>
        <v>НЕТ</v>
      </c>
      <c r="M658" s="10" t="s">
        <v>1575</v>
      </c>
      <c r="N658" s="10" t="s">
        <v>1575</v>
      </c>
      <c r="O658" s="10">
        <v>4.9000000000000002E-2</v>
      </c>
      <c r="P658" s="10">
        <f t="shared" si="446"/>
        <v>4.9000000000000002E-2</v>
      </c>
      <c r="Q658" s="10" t="str">
        <f t="shared" si="447"/>
        <v>NA</v>
      </c>
      <c r="R658" s="10" t="s">
        <v>1575</v>
      </c>
      <c r="S658" s="10" t="s">
        <v>1575</v>
      </c>
      <c r="T658" s="10" t="s">
        <v>1575</v>
      </c>
      <c r="U658" s="10" t="s">
        <v>1575</v>
      </c>
      <c r="V658" s="10">
        <v>5.18</v>
      </c>
      <c r="W658" s="10" t="s">
        <v>1575</v>
      </c>
      <c r="X658" s="10" t="str">
        <f t="shared" ref="X658:X660" si="498">IFERROR(V658+W658,"NA")</f>
        <v>NA</v>
      </c>
      <c r="Y658" s="10" t="str">
        <f t="shared" ref="Y658:Y660" si="499">IFERROR(P658/R658,"NA")</f>
        <v>NA</v>
      </c>
      <c r="Z658" s="10" t="str">
        <f t="shared" ref="Z658:Z660" si="500">IFERROR(P658/U658,"NA")</f>
        <v>NA</v>
      </c>
      <c r="AA658" s="10">
        <f t="shared" ref="AA658:AA660" si="501">IFERROR(P658/V658,"NA")</f>
        <v>9.45945945945946E-3</v>
      </c>
      <c r="AB658" s="10" t="str">
        <f t="shared" ref="AB658:AB660" si="502">IFERROR(Q658/R658,"NA")</f>
        <v>NA</v>
      </c>
      <c r="AC658" s="10" t="str">
        <f t="shared" ref="AC658:AC660" si="503">IFERROR(Q658/S658,"NA")</f>
        <v>NA</v>
      </c>
      <c r="AD658" s="10" t="str">
        <f t="shared" ref="AD658:AD660" si="504">IFERROR(Q658/T658,"NA")</f>
        <v>NA</v>
      </c>
      <c r="AE658" s="10" t="str">
        <f t="shared" ref="AE658:AE660" si="505">IFERROR(Q658/X658,"NA")</f>
        <v>NA</v>
      </c>
      <c r="AF658" s="1" t="s">
        <v>5048</v>
      </c>
    </row>
    <row r="659" spans="1:32" x14ac:dyDescent="0.2">
      <c r="A659" s="1" t="s">
        <v>5632</v>
      </c>
      <c r="B659" s="1" t="s">
        <v>5</v>
      </c>
      <c r="C659" s="1" t="s">
        <v>1575</v>
      </c>
      <c r="D659" s="1" t="s">
        <v>1580</v>
      </c>
      <c r="E659" s="1" t="s">
        <v>1694</v>
      </c>
      <c r="F659" s="1" t="s">
        <v>4719</v>
      </c>
      <c r="G659" s="13">
        <v>0.81320000000000003</v>
      </c>
      <c r="H659" s="28">
        <v>44772</v>
      </c>
      <c r="I659" s="29">
        <f t="shared" si="444"/>
        <v>2022</v>
      </c>
      <c r="J659" s="1" t="s">
        <v>7</v>
      </c>
      <c r="K659" s="1" t="s">
        <v>5045</v>
      </c>
      <c r="L659" s="11" t="str">
        <f t="shared" si="497"/>
        <v>НЕТ</v>
      </c>
      <c r="M659" s="10" t="s">
        <v>1575</v>
      </c>
      <c r="N659" s="10" t="s">
        <v>1575</v>
      </c>
      <c r="O659" s="10">
        <v>3.39</v>
      </c>
      <c r="P659" s="10">
        <f t="shared" si="446"/>
        <v>4.1687161829808161</v>
      </c>
      <c r="Q659" s="10" t="str">
        <f t="shared" si="447"/>
        <v>NA</v>
      </c>
      <c r="R659" s="10" t="s">
        <v>1575</v>
      </c>
      <c r="S659" s="10" t="s">
        <v>1575</v>
      </c>
      <c r="T659" s="10" t="s">
        <v>1575</v>
      </c>
      <c r="U659" s="10" t="s">
        <v>1575</v>
      </c>
      <c r="V659" s="10">
        <v>5.08</v>
      </c>
      <c r="W659" s="10" t="s">
        <v>1575</v>
      </c>
      <c r="X659" s="10" t="str">
        <f t="shared" si="498"/>
        <v>NA</v>
      </c>
      <c r="Y659" s="10" t="str">
        <f t="shared" si="499"/>
        <v>NA</v>
      </c>
      <c r="Z659" s="10" t="str">
        <f t="shared" si="500"/>
        <v>NA</v>
      </c>
      <c r="AA659" s="10">
        <f t="shared" si="501"/>
        <v>0.82061342184661734</v>
      </c>
      <c r="AB659" s="10" t="str">
        <f t="shared" si="502"/>
        <v>NA</v>
      </c>
      <c r="AC659" s="10" t="str">
        <f t="shared" si="503"/>
        <v>NA</v>
      </c>
      <c r="AD659" s="10" t="str">
        <f t="shared" si="504"/>
        <v>NA</v>
      </c>
      <c r="AE659" s="10" t="str">
        <f t="shared" si="505"/>
        <v>NA</v>
      </c>
      <c r="AF659" s="1" t="s">
        <v>5046</v>
      </c>
    </row>
    <row r="660" spans="1:32" x14ac:dyDescent="0.2">
      <c r="A660" s="1" t="s">
        <v>3067</v>
      </c>
      <c r="B660" s="1" t="s">
        <v>5</v>
      </c>
      <c r="C660" s="1" t="s">
        <v>1575</v>
      </c>
      <c r="D660" s="1" t="s">
        <v>1580</v>
      </c>
      <c r="E660" s="1" t="s">
        <v>1694</v>
      </c>
      <c r="F660" s="1" t="s">
        <v>4719</v>
      </c>
      <c r="G660" s="13">
        <v>0.78190000000000004</v>
      </c>
      <c r="H660" s="28">
        <v>43805</v>
      </c>
      <c r="I660" s="29">
        <f t="shared" si="444"/>
        <v>2019</v>
      </c>
      <c r="J660" s="1" t="s">
        <v>5045</v>
      </c>
      <c r="K660" s="1" t="s">
        <v>7</v>
      </c>
      <c r="L660" s="11" t="str">
        <f t="shared" si="497"/>
        <v>НЕТ</v>
      </c>
      <c r="M660" s="10" t="s">
        <v>1575</v>
      </c>
      <c r="N660" s="10" t="s">
        <v>1575</v>
      </c>
      <c r="O660" s="10">
        <v>5.423</v>
      </c>
      <c r="P660" s="10">
        <f t="shared" si="446"/>
        <v>6.9356695229568999</v>
      </c>
      <c r="Q660" s="10" t="str">
        <f t="shared" si="447"/>
        <v>NA</v>
      </c>
      <c r="R660" s="10" t="s">
        <v>1575</v>
      </c>
      <c r="S660" s="10" t="s">
        <v>1575</v>
      </c>
      <c r="T660" s="10" t="s">
        <v>1575</v>
      </c>
      <c r="U660" s="10" t="s">
        <v>1575</v>
      </c>
      <c r="V660" s="10">
        <v>6.9329999999999998</v>
      </c>
      <c r="W660" s="10" t="s">
        <v>1575</v>
      </c>
      <c r="X660" s="10" t="str">
        <f t="shared" si="498"/>
        <v>NA</v>
      </c>
      <c r="Y660" s="10" t="str">
        <f t="shared" si="499"/>
        <v>NA</v>
      </c>
      <c r="Z660" s="10" t="str">
        <f t="shared" si="500"/>
        <v>NA</v>
      </c>
      <c r="AA660" s="10">
        <f t="shared" si="501"/>
        <v>1.0003850458613732</v>
      </c>
      <c r="AB660" s="10" t="str">
        <f t="shared" si="502"/>
        <v>NA</v>
      </c>
      <c r="AC660" s="10" t="str">
        <f t="shared" si="503"/>
        <v>NA</v>
      </c>
      <c r="AD660" s="10" t="str">
        <f t="shared" si="504"/>
        <v>NA</v>
      </c>
      <c r="AE660" s="10" t="str">
        <f t="shared" si="505"/>
        <v>NA</v>
      </c>
      <c r="AF660" s="1" t="s">
        <v>5049</v>
      </c>
    </row>
    <row r="661" spans="1:32" x14ac:dyDescent="0.2">
      <c r="A661" s="1" t="s">
        <v>4277</v>
      </c>
      <c r="B661" s="1" t="s">
        <v>5</v>
      </c>
      <c r="C661" s="1" t="s">
        <v>4278</v>
      </c>
      <c r="D661" s="1" t="s">
        <v>1580</v>
      </c>
      <c r="E661" s="1" t="s">
        <v>1581</v>
      </c>
      <c r="F661" s="1" t="s">
        <v>67</v>
      </c>
      <c r="G661" s="13">
        <f>147272727/556952780</f>
        <v>0.26442587646299209</v>
      </c>
      <c r="H661" s="28">
        <v>44500</v>
      </c>
      <c r="I661" s="29">
        <f t="shared" si="410"/>
        <v>2021</v>
      </c>
      <c r="J661" s="1" t="s">
        <v>7</v>
      </c>
      <c r="K661" s="1" t="s">
        <v>4277</v>
      </c>
      <c r="L661" s="11" t="str">
        <f t="shared" ref="L661" si="506">IF(OR(A661=J661,A661=K661),"ДА","НЕТ")</f>
        <v>ДА</v>
      </c>
      <c r="M661" s="10" t="s">
        <v>1575</v>
      </c>
      <c r="N661" s="10" t="s">
        <v>1575</v>
      </c>
      <c r="O661" s="10">
        <v>1.455055</v>
      </c>
      <c r="P661" s="10">
        <f t="shared" si="446"/>
        <v>5.5026951955802375</v>
      </c>
      <c r="Q661" s="10" t="str">
        <f t="shared" si="447"/>
        <v>NA</v>
      </c>
      <c r="R661" s="10">
        <v>80.492108999999985</v>
      </c>
      <c r="S661" s="10">
        <v>-2.0687280000000197</v>
      </c>
      <c r="T661" s="10">
        <v>-2.8386240000000198</v>
      </c>
      <c r="U661" s="10">
        <v>4.6794819999999788</v>
      </c>
      <c r="V661" s="10">
        <v>30.243651</v>
      </c>
      <c r="W661" s="10" t="s">
        <v>1575</v>
      </c>
      <c r="X661" s="10" t="str">
        <f t="shared" si="418"/>
        <v>NA</v>
      </c>
      <c r="Y661" s="10">
        <f t="shared" si="419"/>
        <v>6.8363163345368905E-2</v>
      </c>
      <c r="Z661" s="10">
        <f t="shared" si="420"/>
        <v>1.1759197269228223</v>
      </c>
      <c r="AA661" s="10">
        <f t="shared" si="421"/>
        <v>0.18194546668919825</v>
      </c>
      <c r="AB661" s="10" t="str">
        <f t="shared" si="422"/>
        <v>NA</v>
      </c>
      <c r="AC661" s="10" t="str">
        <f t="shared" si="423"/>
        <v>NA</v>
      </c>
      <c r="AD661" s="10" t="str">
        <f t="shared" si="424"/>
        <v>NA</v>
      </c>
      <c r="AE661" s="10" t="str">
        <f t="shared" si="425"/>
        <v>NA</v>
      </c>
      <c r="AF661" s="1" t="s">
        <v>4274</v>
      </c>
    </row>
    <row r="662" spans="1:32" x14ac:dyDescent="0.2">
      <c r="A662" s="1" t="s">
        <v>5633</v>
      </c>
      <c r="B662" s="1" t="s">
        <v>5</v>
      </c>
      <c r="C662" s="1" t="s">
        <v>1575</v>
      </c>
      <c r="D662" s="1" t="s">
        <v>1580</v>
      </c>
      <c r="E662" s="1" t="s">
        <v>1590</v>
      </c>
      <c r="F662" s="1" t="s">
        <v>664</v>
      </c>
      <c r="G662" s="13">
        <v>1</v>
      </c>
      <c r="H662" s="28">
        <v>44408</v>
      </c>
      <c r="I662" s="29">
        <f t="shared" si="410"/>
        <v>2021</v>
      </c>
      <c r="J662" s="1" t="s">
        <v>5634</v>
      </c>
      <c r="K662" s="1" t="s">
        <v>4277</v>
      </c>
      <c r="L662" s="11" t="str">
        <f t="shared" ref="L662:L663" si="507">IF(OR(A662=J662,A662=K662),"ДА","НЕТ")</f>
        <v>НЕТ</v>
      </c>
      <c r="M662" s="10" t="s">
        <v>1575</v>
      </c>
      <c r="N662" s="10" t="s">
        <v>1575</v>
      </c>
      <c r="O662" s="10">
        <v>2.5</v>
      </c>
      <c r="P662" s="10">
        <f t="shared" si="446"/>
        <v>2.5</v>
      </c>
      <c r="Q662" s="10" t="str">
        <f t="shared" si="447"/>
        <v>NA</v>
      </c>
      <c r="R662" s="10" t="s">
        <v>1575</v>
      </c>
      <c r="S662" s="10" t="s">
        <v>1575</v>
      </c>
      <c r="T662" s="10" t="s">
        <v>1575</v>
      </c>
      <c r="U662" s="10">
        <v>0.42519000000000001</v>
      </c>
      <c r="V662" s="10">
        <v>1.9804790000000001</v>
      </c>
      <c r="W662" s="10" t="s">
        <v>1575</v>
      </c>
      <c r="X662" s="10" t="str">
        <f t="shared" si="418"/>
        <v>NA</v>
      </c>
      <c r="Y662" s="10" t="str">
        <f t="shared" si="419"/>
        <v>NA</v>
      </c>
      <c r="Z662" s="10">
        <f t="shared" si="420"/>
        <v>5.879724358522072</v>
      </c>
      <c r="AA662" s="10">
        <f t="shared" si="421"/>
        <v>1.2623208829783097</v>
      </c>
      <c r="AB662" s="10" t="str">
        <f t="shared" si="422"/>
        <v>NA</v>
      </c>
      <c r="AC662" s="10" t="str">
        <f t="shared" si="423"/>
        <v>NA</v>
      </c>
      <c r="AD662" s="10" t="str">
        <f t="shared" si="424"/>
        <v>NA</v>
      </c>
      <c r="AE662" s="10" t="str">
        <f t="shared" si="425"/>
        <v>NA</v>
      </c>
      <c r="AF662" s="1" t="s">
        <v>4275</v>
      </c>
    </row>
    <row r="663" spans="1:32" x14ac:dyDescent="0.2">
      <c r="A663" s="1" t="s">
        <v>5635</v>
      </c>
      <c r="B663" s="1" t="s">
        <v>5</v>
      </c>
      <c r="C663" s="1" t="s">
        <v>1575</v>
      </c>
      <c r="D663" s="1" t="s">
        <v>1813</v>
      </c>
      <c r="E663" s="1" t="s">
        <v>1587</v>
      </c>
      <c r="F663" s="1" t="s">
        <v>4279</v>
      </c>
      <c r="G663" s="13">
        <v>0.51</v>
      </c>
      <c r="H663" s="28">
        <v>44561</v>
      </c>
      <c r="I663" s="29">
        <f t="shared" ref="I663" si="508">YEAR(H663)</f>
        <v>2021</v>
      </c>
      <c r="J663" s="1" t="s">
        <v>7</v>
      </c>
      <c r="K663" s="1" t="s">
        <v>4277</v>
      </c>
      <c r="L663" s="11" t="str">
        <f t="shared" si="507"/>
        <v>НЕТ</v>
      </c>
      <c r="M663" s="10" t="s">
        <v>1575</v>
      </c>
      <c r="N663" s="10" t="s">
        <v>1575</v>
      </c>
      <c r="O663" s="10">
        <v>0.41649999999999998</v>
      </c>
      <c r="P663" s="10">
        <f t="shared" si="446"/>
        <v>0.81666666666666665</v>
      </c>
      <c r="Q663" s="10" t="str">
        <f t="shared" si="447"/>
        <v>NA</v>
      </c>
      <c r="R663" s="10" t="s">
        <v>1575</v>
      </c>
      <c r="S663" s="10" t="s">
        <v>1575</v>
      </c>
      <c r="T663" s="10" t="s">
        <v>1575</v>
      </c>
      <c r="U663" s="10" t="s">
        <v>1575</v>
      </c>
      <c r="V663" s="10">
        <v>-0.104175</v>
      </c>
      <c r="W663" s="10" t="s">
        <v>1575</v>
      </c>
      <c r="X663" s="10" t="str">
        <f t="shared" si="418"/>
        <v>NA</v>
      </c>
      <c r="Y663" s="10" t="str">
        <f t="shared" si="419"/>
        <v>NA</v>
      </c>
      <c r="Z663" s="10" t="str">
        <f t="shared" si="420"/>
        <v>NA</v>
      </c>
      <c r="AA663" s="10">
        <f t="shared" si="421"/>
        <v>-7.8393728501719862</v>
      </c>
      <c r="AB663" s="10" t="str">
        <f t="shared" si="422"/>
        <v>NA</v>
      </c>
      <c r="AC663" s="10" t="str">
        <f t="shared" si="423"/>
        <v>NA</v>
      </c>
      <c r="AD663" s="10" t="str">
        <f t="shared" si="424"/>
        <v>NA</v>
      </c>
      <c r="AE663" s="10" t="str">
        <f t="shared" si="425"/>
        <v>NA</v>
      </c>
      <c r="AF663" s="1" t="s">
        <v>4276</v>
      </c>
    </row>
    <row r="664" spans="1:32" x14ac:dyDescent="0.2">
      <c r="A664" s="1" t="s">
        <v>5636</v>
      </c>
      <c r="B664" s="1" t="s">
        <v>5</v>
      </c>
      <c r="C664" s="1" t="s">
        <v>1575</v>
      </c>
      <c r="D664" s="1" t="s">
        <v>1813</v>
      </c>
      <c r="E664" s="1" t="s">
        <v>1587</v>
      </c>
      <c r="F664" s="1" t="s">
        <v>4279</v>
      </c>
      <c r="G664" s="13">
        <v>0.99990000000000001</v>
      </c>
      <c r="H664" s="28">
        <v>44469</v>
      </c>
      <c r="I664" s="29">
        <f t="shared" si="410"/>
        <v>2021</v>
      </c>
      <c r="J664" s="1" t="s">
        <v>4277</v>
      </c>
      <c r="K664" s="1" t="s">
        <v>7</v>
      </c>
      <c r="L664" s="11" t="str">
        <f t="shared" ref="L664:L665" si="509">IF(OR(A664=J664,A664=K664),"ДА","НЕТ")</f>
        <v>НЕТ</v>
      </c>
      <c r="M664" s="10" t="s">
        <v>1575</v>
      </c>
      <c r="N664" s="10" t="s">
        <v>1575</v>
      </c>
      <c r="O664" s="10">
        <v>2E-3</v>
      </c>
      <c r="P664" s="10">
        <f t="shared" si="446"/>
        <v>2.0002000200020002E-3</v>
      </c>
      <c r="Q664" s="10" t="str">
        <f t="shared" si="447"/>
        <v>NA</v>
      </c>
      <c r="R664" s="10" t="s">
        <v>1575</v>
      </c>
      <c r="S664" s="10" t="s">
        <v>1575</v>
      </c>
      <c r="T664" s="10" t="s">
        <v>1575</v>
      </c>
      <c r="U664" s="10" t="s">
        <v>1575</v>
      </c>
      <c r="V664" s="10">
        <v>-7.5351000000000001E-2</v>
      </c>
      <c r="W664" s="10" t="s">
        <v>1575</v>
      </c>
      <c r="X664" s="10" t="str">
        <f t="shared" si="418"/>
        <v>NA</v>
      </c>
      <c r="Y664" s="10" t="str">
        <f t="shared" si="419"/>
        <v>NA</v>
      </c>
      <c r="Z664" s="10" t="str">
        <f t="shared" si="420"/>
        <v>NA</v>
      </c>
      <c r="AA664" s="10">
        <f t="shared" si="421"/>
        <v>-2.6545102520231983E-2</v>
      </c>
      <c r="AB664" s="10" t="str">
        <f t="shared" si="422"/>
        <v>NA</v>
      </c>
      <c r="AC664" s="10" t="str">
        <f t="shared" si="423"/>
        <v>NA</v>
      </c>
      <c r="AD664" s="10" t="str">
        <f t="shared" si="424"/>
        <v>NA</v>
      </c>
      <c r="AE664" s="10" t="str">
        <f t="shared" si="425"/>
        <v>NA</v>
      </c>
      <c r="AF664" s="1" t="s">
        <v>4273</v>
      </c>
    </row>
    <row r="665" spans="1:32" x14ac:dyDescent="0.2">
      <c r="A665" s="1" t="s">
        <v>4281</v>
      </c>
      <c r="B665" s="1" t="s">
        <v>1575</v>
      </c>
      <c r="C665" s="1" t="s">
        <v>1575</v>
      </c>
      <c r="D665" s="1" t="s">
        <v>1575</v>
      </c>
      <c r="E665" s="1" t="s">
        <v>1575</v>
      </c>
      <c r="F665" s="1" t="s">
        <v>1575</v>
      </c>
      <c r="G665" s="13">
        <v>1</v>
      </c>
      <c r="H665" s="28">
        <v>44561</v>
      </c>
      <c r="I665" s="29">
        <f t="shared" si="410"/>
        <v>2021</v>
      </c>
      <c r="J665" s="1" t="s">
        <v>7</v>
      </c>
      <c r="K665" s="1" t="s">
        <v>4277</v>
      </c>
      <c r="L665" s="11" t="str">
        <f t="shared" si="509"/>
        <v>НЕТ</v>
      </c>
      <c r="M665" s="10" t="s">
        <v>1575</v>
      </c>
      <c r="N665" s="10" t="s">
        <v>1575</v>
      </c>
      <c r="O665" s="10">
        <v>0.95099999999999996</v>
      </c>
      <c r="P665" s="10">
        <f t="shared" si="446"/>
        <v>0.95099999999999996</v>
      </c>
      <c r="Q665" s="10" t="str">
        <f t="shared" si="447"/>
        <v>NA</v>
      </c>
      <c r="R665" s="10" t="s">
        <v>1575</v>
      </c>
      <c r="S665" s="10" t="s">
        <v>1575</v>
      </c>
      <c r="T665" s="10" t="s">
        <v>1575</v>
      </c>
      <c r="U665" s="10" t="s">
        <v>1575</v>
      </c>
      <c r="V665" s="10">
        <v>0.95971700000000004</v>
      </c>
      <c r="W665" s="10" t="s">
        <v>1575</v>
      </c>
      <c r="X665" s="10" t="str">
        <f t="shared" si="418"/>
        <v>NA</v>
      </c>
      <c r="Y665" s="10" t="str">
        <f t="shared" si="419"/>
        <v>NA</v>
      </c>
      <c r="Z665" s="10" t="str">
        <f t="shared" si="420"/>
        <v>NA</v>
      </c>
      <c r="AA665" s="10">
        <f t="shared" si="421"/>
        <v>0.9909171141075962</v>
      </c>
      <c r="AB665" s="10" t="str">
        <f t="shared" si="422"/>
        <v>NA</v>
      </c>
      <c r="AC665" s="10" t="str">
        <f t="shared" si="423"/>
        <v>NA</v>
      </c>
      <c r="AD665" s="10" t="str">
        <f t="shared" si="424"/>
        <v>NA</v>
      </c>
      <c r="AE665" s="10" t="str">
        <f t="shared" si="425"/>
        <v>NA</v>
      </c>
      <c r="AF665" s="1" t="s">
        <v>4280</v>
      </c>
    </row>
    <row r="666" spans="1:32" x14ac:dyDescent="0.2">
      <c r="A666" s="1" t="s">
        <v>5052</v>
      </c>
      <c r="B666" s="1" t="s">
        <v>5</v>
      </c>
      <c r="C666" s="1" t="s">
        <v>1575</v>
      </c>
      <c r="D666" s="1" t="s">
        <v>1580</v>
      </c>
      <c r="E666" s="1" t="s">
        <v>1581</v>
      </c>
      <c r="F666" s="1" t="s">
        <v>67</v>
      </c>
      <c r="G666" s="13">
        <v>1</v>
      </c>
      <c r="H666" s="28">
        <v>45291</v>
      </c>
      <c r="I666" s="29">
        <f t="shared" si="410"/>
        <v>2023</v>
      </c>
      <c r="J666" s="1" t="s">
        <v>5050</v>
      </c>
      <c r="K666" s="1" t="s">
        <v>7</v>
      </c>
      <c r="L666" s="11" t="str">
        <f t="shared" ref="L666" si="510">IF(OR(A666=J666,A666=K666),"ДА","НЕТ")</f>
        <v>НЕТ</v>
      </c>
      <c r="M666" s="10" t="s">
        <v>1575</v>
      </c>
      <c r="N666" s="10" t="s">
        <v>1575</v>
      </c>
      <c r="O666" s="10">
        <v>4.3499999999999996</v>
      </c>
      <c r="P666" s="10">
        <f t="shared" si="446"/>
        <v>4.3499999999999996</v>
      </c>
      <c r="Q666" s="10" t="str">
        <f t="shared" si="447"/>
        <v>NA</v>
      </c>
      <c r="R666" s="10" t="s">
        <v>1575</v>
      </c>
      <c r="S666" s="10" t="s">
        <v>1575</v>
      </c>
      <c r="T666" s="10" t="s">
        <v>1575</v>
      </c>
      <c r="U666" s="10" t="s">
        <v>1575</v>
      </c>
      <c r="V666" s="10">
        <v>1.3419179999999999</v>
      </c>
      <c r="W666" s="10" t="s">
        <v>1575</v>
      </c>
      <c r="X666" s="10" t="str">
        <f t="shared" ref="X666:X706" si="511">IFERROR(V666+W666,"NA")</f>
        <v>NA</v>
      </c>
      <c r="Y666" s="10" t="str">
        <f t="shared" ref="Y666:Y706" si="512">IFERROR(P666/R666,"NA")</f>
        <v>NA</v>
      </c>
      <c r="Z666" s="10" t="str">
        <f t="shared" ref="Z666:Z706" si="513">IFERROR(P666/U666,"NA")</f>
        <v>NA</v>
      </c>
      <c r="AA666" s="10">
        <f t="shared" ref="AA666:AA706" si="514">IFERROR(P666/V666,"NA")</f>
        <v>3.2416287731441114</v>
      </c>
      <c r="AB666" s="10" t="str">
        <f t="shared" ref="AB666:AB706" si="515">IFERROR(Q666/R666,"NA")</f>
        <v>NA</v>
      </c>
      <c r="AC666" s="10" t="str">
        <f t="shared" ref="AC666:AC706" si="516">IFERROR(Q666/S666,"NA")</f>
        <v>NA</v>
      </c>
      <c r="AD666" s="10" t="str">
        <f t="shared" ref="AD666:AD706" si="517">IFERROR(Q666/T666,"NA")</f>
        <v>NA</v>
      </c>
      <c r="AE666" s="10" t="str">
        <f t="shared" ref="AE666:AE706" si="518">IFERROR(Q666/X666,"NA")</f>
        <v>NA</v>
      </c>
      <c r="AF666" s="1" t="s">
        <v>5051</v>
      </c>
    </row>
    <row r="667" spans="1:32" x14ac:dyDescent="0.2">
      <c r="A667" s="1" t="s">
        <v>5053</v>
      </c>
      <c r="B667" s="1" t="s">
        <v>5</v>
      </c>
      <c r="C667" s="1" t="s">
        <v>1575</v>
      </c>
      <c r="D667" s="1" t="s">
        <v>1580</v>
      </c>
      <c r="E667" s="1" t="s">
        <v>1581</v>
      </c>
      <c r="F667" s="1" t="s">
        <v>67</v>
      </c>
      <c r="G667" s="13">
        <v>1</v>
      </c>
      <c r="H667" s="28">
        <v>45291</v>
      </c>
      <c r="I667" s="29">
        <f t="shared" ref="I667:I685" si="519">YEAR(H667)</f>
        <v>2023</v>
      </c>
      <c r="J667" s="1" t="s">
        <v>7</v>
      </c>
      <c r="K667" s="1" t="s">
        <v>5050</v>
      </c>
      <c r="L667" s="11" t="str">
        <f t="shared" ref="L667" si="520">IF(OR(A667=J667,A667=K667),"ДА","НЕТ")</f>
        <v>НЕТ</v>
      </c>
      <c r="M667" s="10" t="s">
        <v>1575</v>
      </c>
      <c r="N667" s="10" t="s">
        <v>1575</v>
      </c>
      <c r="O667" s="10">
        <v>4.6952999999999996</v>
      </c>
      <c r="P667" s="10">
        <f t="shared" si="446"/>
        <v>4.6952999999999996</v>
      </c>
      <c r="Q667" s="10" t="str">
        <f t="shared" si="447"/>
        <v>NA</v>
      </c>
      <c r="R667" s="10" t="s">
        <v>1575</v>
      </c>
      <c r="S667" s="10" t="s">
        <v>1575</v>
      </c>
      <c r="T667" s="10" t="s">
        <v>1575</v>
      </c>
      <c r="U667" s="10" t="s">
        <v>1575</v>
      </c>
      <c r="V667" s="10">
        <f>61.64928-56.530504</f>
        <v>5.1187759999999969</v>
      </c>
      <c r="W667" s="10" t="s">
        <v>1575</v>
      </c>
      <c r="X667" s="10" t="str">
        <f t="shared" si="511"/>
        <v>NA</v>
      </c>
      <c r="Y667" s="10" t="str">
        <f t="shared" si="512"/>
        <v>NA</v>
      </c>
      <c r="Z667" s="10" t="str">
        <f t="shared" si="513"/>
        <v>NA</v>
      </c>
      <c r="AA667" s="10">
        <f t="shared" si="514"/>
        <v>0.91727006612518358</v>
      </c>
      <c r="AB667" s="10" t="str">
        <f t="shared" si="515"/>
        <v>NA</v>
      </c>
      <c r="AC667" s="10" t="str">
        <f t="shared" si="516"/>
        <v>NA</v>
      </c>
      <c r="AD667" s="10" t="str">
        <f t="shared" si="517"/>
        <v>NA</v>
      </c>
      <c r="AE667" s="10" t="str">
        <f t="shared" si="518"/>
        <v>NA</v>
      </c>
    </row>
    <row r="668" spans="1:32" x14ac:dyDescent="0.2">
      <c r="A668" s="1" t="s">
        <v>5062</v>
      </c>
      <c r="B668" s="1" t="s">
        <v>5</v>
      </c>
      <c r="C668" s="1" t="s">
        <v>1575</v>
      </c>
      <c r="D668" s="1" t="s">
        <v>1580</v>
      </c>
      <c r="E668" s="1" t="s">
        <v>1581</v>
      </c>
      <c r="F668" s="1" t="s">
        <v>67</v>
      </c>
      <c r="G668" s="13">
        <v>0.49</v>
      </c>
      <c r="H668" s="28">
        <v>42369</v>
      </c>
      <c r="I668" s="29">
        <f t="shared" si="519"/>
        <v>2015</v>
      </c>
      <c r="J668" s="1" t="s">
        <v>5050</v>
      </c>
      <c r="K668" s="1" t="s">
        <v>7</v>
      </c>
      <c r="L668" s="11" t="str">
        <f t="shared" ref="L668:L672" si="521">IF(OR(A668=J668,A668=K668),"ДА","НЕТ")</f>
        <v>НЕТ</v>
      </c>
      <c r="M668" s="10" t="s">
        <v>1575</v>
      </c>
      <c r="N668" s="10" t="s">
        <v>1575</v>
      </c>
      <c r="O668" s="10">
        <v>6.4349629999999998</v>
      </c>
      <c r="P668" s="10">
        <f t="shared" si="446"/>
        <v>13.132577551020407</v>
      </c>
      <c r="Q668" s="10" t="str">
        <f t="shared" si="447"/>
        <v>NA</v>
      </c>
      <c r="R668" s="10" t="s">
        <v>1575</v>
      </c>
      <c r="S668" s="10" t="s">
        <v>1575</v>
      </c>
      <c r="T668" s="10" t="s">
        <v>1575</v>
      </c>
      <c r="U668" s="10" t="s">
        <v>1575</v>
      </c>
      <c r="V668" s="10" t="s">
        <v>1575</v>
      </c>
      <c r="W668" s="10" t="s">
        <v>1575</v>
      </c>
      <c r="X668" s="10" t="str">
        <f t="shared" si="511"/>
        <v>NA</v>
      </c>
      <c r="Y668" s="10" t="str">
        <f t="shared" si="512"/>
        <v>NA</v>
      </c>
      <c r="Z668" s="10" t="str">
        <f t="shared" si="513"/>
        <v>NA</v>
      </c>
      <c r="AA668" s="10" t="str">
        <f t="shared" si="514"/>
        <v>NA</v>
      </c>
      <c r="AB668" s="10" t="str">
        <f t="shared" si="515"/>
        <v>NA</v>
      </c>
      <c r="AC668" s="10" t="str">
        <f t="shared" si="516"/>
        <v>NA</v>
      </c>
      <c r="AD668" s="10" t="str">
        <f t="shared" si="517"/>
        <v>NA</v>
      </c>
      <c r="AE668" s="10" t="str">
        <f t="shared" si="518"/>
        <v>NA</v>
      </c>
      <c r="AF668" s="1" t="s">
        <v>5054</v>
      </c>
    </row>
    <row r="669" spans="1:32" x14ac:dyDescent="0.2">
      <c r="A669" s="1" t="s">
        <v>5060</v>
      </c>
      <c r="B669" s="1" t="s">
        <v>5</v>
      </c>
      <c r="C669" s="1" t="s">
        <v>1575</v>
      </c>
      <c r="D669" s="1" t="s">
        <v>1580</v>
      </c>
      <c r="E669" s="1" t="s">
        <v>1581</v>
      </c>
      <c r="F669" s="1" t="s">
        <v>67</v>
      </c>
      <c r="G669" s="13">
        <v>1</v>
      </c>
      <c r="H669" s="28">
        <v>42490</v>
      </c>
      <c r="I669" s="29">
        <f t="shared" si="519"/>
        <v>2016</v>
      </c>
      <c r="J669" s="1" t="s">
        <v>7</v>
      </c>
      <c r="K669" s="1" t="s">
        <v>5050</v>
      </c>
      <c r="L669" s="11" t="str">
        <f t="shared" si="521"/>
        <v>НЕТ</v>
      </c>
      <c r="M669" s="10" t="s">
        <v>1575</v>
      </c>
      <c r="N669" s="10" t="s">
        <v>1575</v>
      </c>
      <c r="O669" s="10">
        <v>0.13478899999999999</v>
      </c>
      <c r="P669" s="10">
        <f t="shared" si="446"/>
        <v>0.13478899999999999</v>
      </c>
      <c r="Q669" s="10" t="str">
        <f t="shared" si="447"/>
        <v>NA</v>
      </c>
      <c r="R669" s="10" t="s">
        <v>1575</v>
      </c>
      <c r="S669" s="10" t="s">
        <v>1575</v>
      </c>
      <c r="T669" s="10" t="s">
        <v>1575</v>
      </c>
      <c r="U669" s="10" t="s">
        <v>1575</v>
      </c>
      <c r="V669" s="10">
        <v>0.426736</v>
      </c>
      <c r="W669" s="10" t="s">
        <v>1575</v>
      </c>
      <c r="X669" s="10" t="str">
        <f t="shared" si="511"/>
        <v>NA</v>
      </c>
      <c r="Y669" s="10" t="str">
        <f t="shared" si="512"/>
        <v>NA</v>
      </c>
      <c r="Z669" s="10" t="str">
        <f t="shared" si="513"/>
        <v>NA</v>
      </c>
      <c r="AA669" s="10">
        <f t="shared" si="514"/>
        <v>0.31586039143639155</v>
      </c>
      <c r="AB669" s="10" t="str">
        <f t="shared" si="515"/>
        <v>NA</v>
      </c>
      <c r="AC669" s="10" t="str">
        <f t="shared" si="516"/>
        <v>NA</v>
      </c>
      <c r="AD669" s="10" t="str">
        <f t="shared" si="517"/>
        <v>NA</v>
      </c>
      <c r="AE669" s="10" t="str">
        <f t="shared" si="518"/>
        <v>NA</v>
      </c>
      <c r="AF669" s="1" t="s">
        <v>5055</v>
      </c>
    </row>
    <row r="670" spans="1:32" x14ac:dyDescent="0.2">
      <c r="A670" s="1" t="s">
        <v>5061</v>
      </c>
      <c r="B670" s="1" t="s">
        <v>5</v>
      </c>
      <c r="C670" s="1" t="s">
        <v>1575</v>
      </c>
      <c r="D670" s="1" t="s">
        <v>1580</v>
      </c>
      <c r="E670" s="1" t="s">
        <v>1581</v>
      </c>
      <c r="F670" s="1" t="s">
        <v>67</v>
      </c>
      <c r="G670" s="13">
        <v>1</v>
      </c>
      <c r="H670" s="28">
        <v>42490</v>
      </c>
      <c r="I670" s="29">
        <f t="shared" si="519"/>
        <v>2016</v>
      </c>
      <c r="J670" s="1" t="s">
        <v>7</v>
      </c>
      <c r="K670" s="1" t="s">
        <v>5050</v>
      </c>
      <c r="L670" s="11" t="str">
        <f t="shared" si="521"/>
        <v>НЕТ</v>
      </c>
      <c r="M670" s="10" t="s">
        <v>1575</v>
      </c>
      <c r="N670" s="10" t="s">
        <v>1575</v>
      </c>
      <c r="O670" s="10">
        <v>0.42458400000000002</v>
      </c>
      <c r="P670" s="10">
        <f t="shared" si="446"/>
        <v>0.42458400000000002</v>
      </c>
      <c r="Q670" s="10" t="str">
        <f t="shared" si="447"/>
        <v>NA</v>
      </c>
      <c r="R670" s="10" t="s">
        <v>1575</v>
      </c>
      <c r="S670" s="10" t="s">
        <v>1575</v>
      </c>
      <c r="T670" s="10" t="s">
        <v>1575</v>
      </c>
      <c r="U670" s="10" t="s">
        <v>1575</v>
      </c>
      <c r="V670" s="10">
        <v>0.46978300000000001</v>
      </c>
      <c r="W670" s="10" t="s">
        <v>1575</v>
      </c>
      <c r="X670" s="10" t="str">
        <f t="shared" si="511"/>
        <v>NA</v>
      </c>
      <c r="Y670" s="10" t="str">
        <f t="shared" si="512"/>
        <v>NA</v>
      </c>
      <c r="Z670" s="10" t="str">
        <f t="shared" si="513"/>
        <v>NA</v>
      </c>
      <c r="AA670" s="10">
        <f t="shared" si="514"/>
        <v>0.90378749337460063</v>
      </c>
      <c r="AB670" s="10" t="str">
        <f t="shared" si="515"/>
        <v>NA</v>
      </c>
      <c r="AC670" s="10" t="str">
        <f t="shared" si="516"/>
        <v>NA</v>
      </c>
      <c r="AD670" s="10" t="str">
        <f t="shared" si="517"/>
        <v>NA</v>
      </c>
      <c r="AE670" s="10" t="str">
        <f t="shared" si="518"/>
        <v>NA</v>
      </c>
      <c r="AF670" s="1" t="s">
        <v>5055</v>
      </c>
    </row>
    <row r="671" spans="1:32" x14ac:dyDescent="0.2">
      <c r="A671" s="1" t="s">
        <v>5058</v>
      </c>
      <c r="B671" s="1" t="s">
        <v>8</v>
      </c>
      <c r="C671" s="1" t="s">
        <v>1575</v>
      </c>
      <c r="D671" s="1" t="s">
        <v>1580</v>
      </c>
      <c r="E671" s="1" t="s">
        <v>1581</v>
      </c>
      <c r="F671" s="1" t="s">
        <v>67</v>
      </c>
      <c r="G671" s="13">
        <v>1</v>
      </c>
      <c r="H671" s="28">
        <v>42704</v>
      </c>
      <c r="I671" s="29">
        <f t="shared" si="519"/>
        <v>2016</v>
      </c>
      <c r="J671" s="1" t="s">
        <v>7</v>
      </c>
      <c r="K671" s="1" t="s">
        <v>5050</v>
      </c>
      <c r="L671" s="11" t="str">
        <f t="shared" si="521"/>
        <v>НЕТ</v>
      </c>
      <c r="M671" s="10" t="s">
        <v>1575</v>
      </c>
      <c r="N671" s="10" t="s">
        <v>1575</v>
      </c>
      <c r="O671" s="10">
        <v>0.48</v>
      </c>
      <c r="P671" s="10">
        <f t="shared" si="446"/>
        <v>0.48</v>
      </c>
      <c r="Q671" s="10" t="str">
        <f t="shared" si="447"/>
        <v>NA</v>
      </c>
      <c r="R671" s="10" t="s">
        <v>1575</v>
      </c>
      <c r="S671" s="10" t="s">
        <v>1575</v>
      </c>
      <c r="T671" s="10" t="s">
        <v>1575</v>
      </c>
      <c r="U671" s="10" t="s">
        <v>1575</v>
      </c>
      <c r="V671" s="10">
        <v>0.89317100000000005</v>
      </c>
      <c r="W671" s="10" t="s">
        <v>1575</v>
      </c>
      <c r="X671" s="10" t="str">
        <f t="shared" si="511"/>
        <v>NA</v>
      </c>
      <c r="Y671" s="10" t="str">
        <f t="shared" si="512"/>
        <v>NA</v>
      </c>
      <c r="Z671" s="10" t="str">
        <f t="shared" si="513"/>
        <v>NA</v>
      </c>
      <c r="AA671" s="10">
        <f t="shared" si="514"/>
        <v>0.53741108925390546</v>
      </c>
      <c r="AB671" s="10" t="str">
        <f t="shared" si="515"/>
        <v>NA</v>
      </c>
      <c r="AC671" s="10" t="str">
        <f t="shared" si="516"/>
        <v>NA</v>
      </c>
      <c r="AD671" s="10" t="str">
        <f t="shared" si="517"/>
        <v>NA</v>
      </c>
      <c r="AE671" s="10" t="str">
        <f t="shared" si="518"/>
        <v>NA</v>
      </c>
      <c r="AF671" s="1" t="s">
        <v>5056</v>
      </c>
    </row>
    <row r="672" spans="1:32" x14ac:dyDescent="0.2">
      <c r="A672" s="1" t="s">
        <v>5059</v>
      </c>
      <c r="B672" s="1" t="s">
        <v>91</v>
      </c>
      <c r="C672" s="1" t="s">
        <v>1575</v>
      </c>
      <c r="D672" s="1" t="s">
        <v>1580</v>
      </c>
      <c r="E672" s="1" t="s">
        <v>1581</v>
      </c>
      <c r="F672" s="1" t="s">
        <v>67</v>
      </c>
      <c r="G672" s="13">
        <v>0.9</v>
      </c>
      <c r="H672" s="28">
        <v>42278</v>
      </c>
      <c r="I672" s="29">
        <f t="shared" si="519"/>
        <v>2015</v>
      </c>
      <c r="J672" s="1" t="s">
        <v>7</v>
      </c>
      <c r="K672" s="1" t="s">
        <v>5050</v>
      </c>
      <c r="L672" s="11" t="str">
        <f t="shared" si="521"/>
        <v>НЕТ</v>
      </c>
      <c r="M672" s="10" t="s">
        <v>1575</v>
      </c>
      <c r="N672" s="10" t="s">
        <v>1575</v>
      </c>
      <c r="O672" s="10">
        <v>0.81153600000000004</v>
      </c>
      <c r="P672" s="10">
        <f t="shared" si="446"/>
        <v>0.90170666666666666</v>
      </c>
      <c r="Q672" s="10" t="str">
        <f t="shared" si="447"/>
        <v>NA</v>
      </c>
      <c r="R672" s="10" t="s">
        <v>1575</v>
      </c>
      <c r="S672" s="10" t="s">
        <v>1575</v>
      </c>
      <c r="T672" s="10" t="s">
        <v>1575</v>
      </c>
      <c r="U672" s="10" t="s">
        <v>1575</v>
      </c>
      <c r="V672" s="10">
        <v>1.145054</v>
      </c>
      <c r="W672" s="10" t="s">
        <v>1575</v>
      </c>
      <c r="X672" s="10" t="str">
        <f t="shared" si="511"/>
        <v>NA</v>
      </c>
      <c r="Y672" s="10" t="str">
        <f t="shared" si="512"/>
        <v>NA</v>
      </c>
      <c r="Z672" s="10" t="str">
        <f t="shared" si="513"/>
        <v>NA</v>
      </c>
      <c r="AA672" s="10">
        <f t="shared" si="514"/>
        <v>0.78747960067094358</v>
      </c>
      <c r="AB672" s="10" t="str">
        <f t="shared" si="515"/>
        <v>NA</v>
      </c>
      <c r="AC672" s="10" t="str">
        <f t="shared" si="516"/>
        <v>NA</v>
      </c>
      <c r="AD672" s="10" t="str">
        <f t="shared" si="517"/>
        <v>NA</v>
      </c>
      <c r="AE672" s="10" t="str">
        <f t="shared" si="518"/>
        <v>NA</v>
      </c>
      <c r="AF672" s="1" t="s">
        <v>5057</v>
      </c>
    </row>
    <row r="673" spans="1:32" x14ac:dyDescent="0.2">
      <c r="A673" s="1" t="s">
        <v>5065</v>
      </c>
      <c r="B673" s="1" t="s">
        <v>254</v>
      </c>
      <c r="C673" s="1" t="s">
        <v>1575</v>
      </c>
      <c r="D673" s="1" t="s">
        <v>1580</v>
      </c>
      <c r="E673" s="1" t="s">
        <v>1581</v>
      </c>
      <c r="F673" s="1" t="s">
        <v>67</v>
      </c>
      <c r="G673" s="13" t="s">
        <v>11</v>
      </c>
      <c r="H673" s="28">
        <v>45322</v>
      </c>
      <c r="I673" s="29">
        <f t="shared" si="519"/>
        <v>2024</v>
      </c>
      <c r="J673" s="1" t="s">
        <v>7</v>
      </c>
      <c r="K673" s="1" t="s">
        <v>5063</v>
      </c>
      <c r="L673" s="11" t="str">
        <f t="shared" ref="L673" si="522">IF(OR(A673=J673,A673=K673),"ДА","НЕТ")</f>
        <v>НЕТ</v>
      </c>
      <c r="M673" s="10" t="s">
        <v>1575</v>
      </c>
      <c r="N673" s="10" t="s">
        <v>1575</v>
      </c>
      <c r="O673" s="10" t="s">
        <v>1575</v>
      </c>
      <c r="P673" s="10" t="str">
        <f t="shared" si="446"/>
        <v>NA</v>
      </c>
      <c r="Q673" s="10" t="str">
        <f t="shared" si="447"/>
        <v>NA</v>
      </c>
      <c r="R673" s="10" t="s">
        <v>1575</v>
      </c>
      <c r="S673" s="10" t="s">
        <v>1575</v>
      </c>
      <c r="T673" s="10" t="s">
        <v>1575</v>
      </c>
      <c r="U673" s="10" t="s">
        <v>1575</v>
      </c>
      <c r="V673" s="10" t="s">
        <v>1575</v>
      </c>
      <c r="W673" s="10" t="s">
        <v>1575</v>
      </c>
      <c r="X673" s="10" t="str">
        <f t="shared" si="511"/>
        <v>NA</v>
      </c>
      <c r="Y673" s="10" t="str">
        <f t="shared" si="512"/>
        <v>NA</v>
      </c>
      <c r="Z673" s="10" t="str">
        <f t="shared" si="513"/>
        <v>NA</v>
      </c>
      <c r="AA673" s="10" t="str">
        <f t="shared" si="514"/>
        <v>NA</v>
      </c>
      <c r="AB673" s="10" t="str">
        <f t="shared" si="515"/>
        <v>NA</v>
      </c>
      <c r="AC673" s="10" t="str">
        <f t="shared" si="516"/>
        <v>NA</v>
      </c>
      <c r="AD673" s="10" t="str">
        <f t="shared" si="517"/>
        <v>NA</v>
      </c>
      <c r="AE673" s="10" t="str">
        <f t="shared" si="518"/>
        <v>NA</v>
      </c>
      <c r="AF673" s="1" t="s">
        <v>5064</v>
      </c>
    </row>
    <row r="674" spans="1:32" x14ac:dyDescent="0.2">
      <c r="A674" s="1" t="s">
        <v>5637</v>
      </c>
      <c r="B674" s="1" t="s">
        <v>5</v>
      </c>
      <c r="C674" s="1" t="s">
        <v>1575</v>
      </c>
      <c r="D674" s="1" t="s">
        <v>1580</v>
      </c>
      <c r="E674" s="1" t="s">
        <v>1581</v>
      </c>
      <c r="F674" s="1" t="s">
        <v>67</v>
      </c>
      <c r="G674" s="13">
        <v>1</v>
      </c>
      <c r="H674" s="28">
        <v>43799</v>
      </c>
      <c r="I674" s="29">
        <f t="shared" si="519"/>
        <v>2019</v>
      </c>
      <c r="J674" s="1" t="s">
        <v>5063</v>
      </c>
      <c r="K674" s="1" t="s">
        <v>7</v>
      </c>
      <c r="L674" s="11" t="str">
        <f t="shared" ref="L674" si="523">IF(OR(A674=J674,A674=K674),"ДА","НЕТ")</f>
        <v>НЕТ</v>
      </c>
      <c r="M674" s="10" t="s">
        <v>1575</v>
      </c>
      <c r="N674" s="10" t="s">
        <v>1575</v>
      </c>
      <c r="O674" s="10">
        <v>0.251</v>
      </c>
      <c r="P674" s="10">
        <f t="shared" si="446"/>
        <v>0.251</v>
      </c>
      <c r="Q674" s="10" t="str">
        <f t="shared" si="447"/>
        <v>NA</v>
      </c>
      <c r="R674" s="10" t="s">
        <v>1575</v>
      </c>
      <c r="S674" s="10" t="s">
        <v>1575</v>
      </c>
      <c r="T674" s="10" t="s">
        <v>1575</v>
      </c>
      <c r="U674" s="10" t="s">
        <v>1575</v>
      </c>
      <c r="V674" s="10">
        <v>0.24199999999999999</v>
      </c>
      <c r="W674" s="10" t="s">
        <v>1575</v>
      </c>
      <c r="X674" s="10" t="str">
        <f t="shared" si="511"/>
        <v>NA</v>
      </c>
      <c r="Y674" s="10" t="str">
        <f t="shared" si="512"/>
        <v>NA</v>
      </c>
      <c r="Z674" s="10" t="str">
        <f t="shared" si="513"/>
        <v>NA</v>
      </c>
      <c r="AA674" s="10">
        <f t="shared" si="514"/>
        <v>1.0371900826446281</v>
      </c>
      <c r="AB674" s="10" t="str">
        <f t="shared" si="515"/>
        <v>NA</v>
      </c>
      <c r="AC674" s="10" t="str">
        <f t="shared" si="516"/>
        <v>NA</v>
      </c>
      <c r="AD674" s="10" t="str">
        <f t="shared" si="517"/>
        <v>NA</v>
      </c>
      <c r="AE674" s="10" t="str">
        <f t="shared" si="518"/>
        <v>NA</v>
      </c>
      <c r="AF674" s="1" t="s">
        <v>5066</v>
      </c>
    </row>
    <row r="675" spans="1:32" x14ac:dyDescent="0.2">
      <c r="A675" s="1" t="s">
        <v>5638</v>
      </c>
      <c r="B675" s="1" t="s">
        <v>5</v>
      </c>
      <c r="C675" s="1" t="s">
        <v>1575</v>
      </c>
      <c r="D675" s="1" t="s">
        <v>1580</v>
      </c>
      <c r="E675" s="1" t="s">
        <v>1590</v>
      </c>
      <c r="F675" s="1" t="s">
        <v>664</v>
      </c>
      <c r="G675" s="13" t="s">
        <v>11</v>
      </c>
      <c r="H675" s="28">
        <v>43465</v>
      </c>
      <c r="I675" s="29">
        <f t="shared" si="519"/>
        <v>2018</v>
      </c>
      <c r="J675" s="1" t="s">
        <v>5063</v>
      </c>
      <c r="K675" s="1" t="s">
        <v>7</v>
      </c>
      <c r="L675" s="11" t="str">
        <f t="shared" ref="L675" si="524">IF(OR(A675=J675,A675=K675),"ДА","НЕТ")</f>
        <v>НЕТ</v>
      </c>
      <c r="M675" s="10" t="s">
        <v>1575</v>
      </c>
      <c r="N675" s="10" t="s">
        <v>1575</v>
      </c>
      <c r="O675" s="10">
        <v>0.15</v>
      </c>
      <c r="P675" s="10" t="str">
        <f t="shared" si="446"/>
        <v>NA</v>
      </c>
      <c r="Q675" s="10" t="str">
        <f t="shared" si="447"/>
        <v>NA</v>
      </c>
      <c r="R675" s="10" t="s">
        <v>1575</v>
      </c>
      <c r="S675" s="10" t="s">
        <v>1575</v>
      </c>
      <c r="T675" s="10" t="s">
        <v>1575</v>
      </c>
      <c r="U675" s="10" t="s">
        <v>1575</v>
      </c>
      <c r="V675" s="10">
        <v>3.3090000000000002</v>
      </c>
      <c r="W675" s="10" t="s">
        <v>1575</v>
      </c>
      <c r="X675" s="10" t="str">
        <f t="shared" ref="X675:X681" si="525">IFERROR(V675+W675,"NA")</f>
        <v>NA</v>
      </c>
      <c r="Y675" s="10" t="str">
        <f t="shared" ref="Y675:Y681" si="526">IFERROR(P675/R675,"NA")</f>
        <v>NA</v>
      </c>
      <c r="Z675" s="10" t="str">
        <f t="shared" ref="Z675:Z681" si="527">IFERROR(P675/U675,"NA")</f>
        <v>NA</v>
      </c>
      <c r="AA675" s="10" t="str">
        <f t="shared" ref="AA675:AA681" si="528">IFERROR(P675/V675,"NA")</f>
        <v>NA</v>
      </c>
      <c r="AB675" s="10" t="str">
        <f t="shared" ref="AB675:AB681" si="529">IFERROR(Q675/R675,"NA")</f>
        <v>NA</v>
      </c>
      <c r="AC675" s="10" t="str">
        <f t="shared" ref="AC675:AC681" si="530">IFERROR(Q675/S675,"NA")</f>
        <v>NA</v>
      </c>
      <c r="AD675" s="10" t="str">
        <f t="shared" ref="AD675:AD681" si="531">IFERROR(Q675/T675,"NA")</f>
        <v>NA</v>
      </c>
      <c r="AE675" s="10" t="str">
        <f t="shared" ref="AE675:AE681" si="532">IFERROR(Q675/X675,"NA")</f>
        <v>NA</v>
      </c>
      <c r="AF675" s="1" t="s">
        <v>5067</v>
      </c>
    </row>
    <row r="676" spans="1:32" x14ac:dyDescent="0.2">
      <c r="A676" s="1" t="s">
        <v>5639</v>
      </c>
      <c r="B676" s="1" t="s">
        <v>32</v>
      </c>
      <c r="C676" s="1" t="s">
        <v>1575</v>
      </c>
      <c r="D676" s="1" t="s">
        <v>1580</v>
      </c>
      <c r="E676" s="1" t="s">
        <v>1581</v>
      </c>
      <c r="F676" s="1" t="s">
        <v>67</v>
      </c>
      <c r="G676" s="13">
        <v>2.0000000000000001E-4</v>
      </c>
      <c r="H676" s="28">
        <v>43100</v>
      </c>
      <c r="I676" s="29">
        <f t="shared" si="519"/>
        <v>2017</v>
      </c>
      <c r="J676" s="1" t="s">
        <v>5063</v>
      </c>
      <c r="K676" s="1" t="s">
        <v>7</v>
      </c>
      <c r="L676" s="11" t="str">
        <f t="shared" ref="L676:L677" si="533">IF(OR(A676=J676,A676=K676),"ДА","НЕТ")</f>
        <v>НЕТ</v>
      </c>
      <c r="M676" s="10" t="s">
        <v>1575</v>
      </c>
      <c r="N676" s="10" t="s">
        <v>1575</v>
      </c>
      <c r="O676" s="10" t="s">
        <v>1575</v>
      </c>
      <c r="P676" s="10" t="str">
        <f t="shared" si="446"/>
        <v>NA</v>
      </c>
      <c r="Q676" s="10" t="str">
        <f t="shared" si="447"/>
        <v>NA</v>
      </c>
      <c r="R676" s="10" t="s">
        <v>1575</v>
      </c>
      <c r="S676" s="10" t="s">
        <v>1575</v>
      </c>
      <c r="T676" s="10" t="s">
        <v>1575</v>
      </c>
      <c r="U676" s="10" t="s">
        <v>1575</v>
      </c>
      <c r="V676" s="10" t="s">
        <v>1575</v>
      </c>
      <c r="W676" s="10" t="s">
        <v>1575</v>
      </c>
      <c r="X676" s="10" t="str">
        <f t="shared" ref="X676" si="534">IFERROR(V676+W676,"NA")</f>
        <v>NA</v>
      </c>
      <c r="Y676" s="10" t="str">
        <f t="shared" ref="Y676" si="535">IFERROR(P676/R676,"NA")</f>
        <v>NA</v>
      </c>
      <c r="Z676" s="10" t="str">
        <f t="shared" ref="Z676" si="536">IFERROR(P676/U676,"NA")</f>
        <v>NA</v>
      </c>
      <c r="AA676" s="10" t="str">
        <f t="shared" ref="AA676" si="537">IFERROR(P676/V676,"NA")</f>
        <v>NA</v>
      </c>
      <c r="AB676" s="10" t="str">
        <f t="shared" ref="AB676" si="538">IFERROR(Q676/R676,"NA")</f>
        <v>NA</v>
      </c>
      <c r="AC676" s="10" t="str">
        <f t="shared" ref="AC676" si="539">IFERROR(Q676/S676,"NA")</f>
        <v>NA</v>
      </c>
      <c r="AD676" s="10" t="str">
        <f t="shared" ref="AD676" si="540">IFERROR(Q676/T676,"NA")</f>
        <v>NA</v>
      </c>
      <c r="AE676" s="10" t="str">
        <f t="shared" ref="AE676" si="541">IFERROR(Q676/X676,"NA")</f>
        <v>NA</v>
      </c>
      <c r="AF676" s="1" t="s">
        <v>5069</v>
      </c>
    </row>
    <row r="677" spans="1:32" x14ac:dyDescent="0.2">
      <c r="A677" s="1" t="s">
        <v>5640</v>
      </c>
      <c r="B677" s="1" t="s">
        <v>254</v>
      </c>
      <c r="C677" s="1" t="s">
        <v>1575</v>
      </c>
      <c r="D677" s="1" t="s">
        <v>1580</v>
      </c>
      <c r="E677" s="1" t="s">
        <v>1581</v>
      </c>
      <c r="F677" s="1" t="s">
        <v>67</v>
      </c>
      <c r="G677" s="13">
        <v>1.18E-2</v>
      </c>
      <c r="H677" s="28">
        <v>43100</v>
      </c>
      <c r="I677" s="29">
        <f t="shared" si="519"/>
        <v>2017</v>
      </c>
      <c r="J677" s="1" t="s">
        <v>5063</v>
      </c>
      <c r="K677" s="1" t="s">
        <v>7</v>
      </c>
      <c r="L677" s="11" t="str">
        <f t="shared" si="533"/>
        <v>НЕТ</v>
      </c>
      <c r="M677" s="10" t="s">
        <v>1575</v>
      </c>
      <c r="N677" s="10" t="s">
        <v>1575</v>
      </c>
      <c r="O677" s="10" t="s">
        <v>1575</v>
      </c>
      <c r="P677" s="10" t="str">
        <f t="shared" si="446"/>
        <v>NA</v>
      </c>
      <c r="Q677" s="10" t="str">
        <f t="shared" si="447"/>
        <v>NA</v>
      </c>
      <c r="R677" s="10" t="s">
        <v>1575</v>
      </c>
      <c r="S677" s="10" t="s">
        <v>1575</v>
      </c>
      <c r="T677" s="10" t="s">
        <v>1575</v>
      </c>
      <c r="U677" s="10" t="s">
        <v>1575</v>
      </c>
      <c r="V677" s="10" t="s">
        <v>1575</v>
      </c>
      <c r="W677" s="10" t="s">
        <v>1575</v>
      </c>
      <c r="X677" s="10" t="str">
        <f t="shared" si="525"/>
        <v>NA</v>
      </c>
      <c r="Y677" s="10" t="str">
        <f t="shared" si="526"/>
        <v>NA</v>
      </c>
      <c r="Z677" s="10" t="str">
        <f t="shared" si="527"/>
        <v>NA</v>
      </c>
      <c r="AA677" s="10" t="str">
        <f t="shared" si="528"/>
        <v>NA</v>
      </c>
      <c r="AB677" s="10" t="str">
        <f t="shared" si="529"/>
        <v>NA</v>
      </c>
      <c r="AC677" s="10" t="str">
        <f t="shared" si="530"/>
        <v>NA</v>
      </c>
      <c r="AD677" s="10" t="str">
        <f t="shared" si="531"/>
        <v>NA</v>
      </c>
      <c r="AE677" s="10" t="str">
        <f t="shared" si="532"/>
        <v>NA</v>
      </c>
      <c r="AF677" s="1" t="s">
        <v>5070</v>
      </c>
    </row>
    <row r="678" spans="1:32" x14ac:dyDescent="0.2">
      <c r="A678" s="1" t="s">
        <v>5639</v>
      </c>
      <c r="B678" s="1" t="s">
        <v>32</v>
      </c>
      <c r="C678" s="1" t="s">
        <v>1575</v>
      </c>
      <c r="D678" s="1" t="s">
        <v>1580</v>
      </c>
      <c r="E678" s="1" t="s">
        <v>1581</v>
      </c>
      <c r="F678" s="1" t="s">
        <v>67</v>
      </c>
      <c r="G678" s="13">
        <v>2.0000000000000001E-4</v>
      </c>
      <c r="H678" s="28">
        <v>42735</v>
      </c>
      <c r="I678" s="29">
        <f t="shared" si="519"/>
        <v>2016</v>
      </c>
      <c r="J678" s="1" t="s">
        <v>5063</v>
      </c>
      <c r="K678" s="1" t="s">
        <v>7</v>
      </c>
      <c r="L678" s="11" t="str">
        <f t="shared" ref="L678:L679" si="542">IF(OR(A678=J678,A678=K678),"ДА","НЕТ")</f>
        <v>НЕТ</v>
      </c>
      <c r="M678" s="10" t="s">
        <v>1575</v>
      </c>
      <c r="N678" s="10" t="s">
        <v>1575</v>
      </c>
      <c r="O678" s="10" t="s">
        <v>1575</v>
      </c>
      <c r="P678" s="10" t="str">
        <f t="shared" si="446"/>
        <v>NA</v>
      </c>
      <c r="Q678" s="10" t="str">
        <f t="shared" si="447"/>
        <v>NA</v>
      </c>
      <c r="R678" s="10" t="s">
        <v>1575</v>
      </c>
      <c r="S678" s="10" t="s">
        <v>1575</v>
      </c>
      <c r="T678" s="10" t="s">
        <v>1575</v>
      </c>
      <c r="U678" s="10" t="s">
        <v>1575</v>
      </c>
      <c r="V678" s="10" t="s">
        <v>1575</v>
      </c>
      <c r="W678" s="10" t="s">
        <v>1575</v>
      </c>
      <c r="X678" s="10" t="str">
        <f t="shared" si="525"/>
        <v>NA</v>
      </c>
      <c r="Y678" s="10" t="str">
        <f t="shared" si="526"/>
        <v>NA</v>
      </c>
      <c r="Z678" s="10" t="str">
        <f t="shared" si="527"/>
        <v>NA</v>
      </c>
      <c r="AA678" s="10" t="str">
        <f t="shared" si="528"/>
        <v>NA</v>
      </c>
      <c r="AB678" s="10" t="str">
        <f t="shared" si="529"/>
        <v>NA</v>
      </c>
      <c r="AC678" s="10" t="str">
        <f t="shared" si="530"/>
        <v>NA</v>
      </c>
      <c r="AD678" s="10" t="str">
        <f t="shared" si="531"/>
        <v>NA</v>
      </c>
      <c r="AE678" s="10" t="str">
        <f t="shared" si="532"/>
        <v>NA</v>
      </c>
      <c r="AF678" s="1" t="s">
        <v>5071</v>
      </c>
    </row>
    <row r="679" spans="1:32" x14ac:dyDescent="0.2">
      <c r="A679" s="1" t="s">
        <v>5074</v>
      </c>
      <c r="B679" s="1" t="s">
        <v>179</v>
      </c>
      <c r="C679" s="1" t="s">
        <v>1575</v>
      </c>
      <c r="D679" s="1" t="s">
        <v>1582</v>
      </c>
      <c r="E679" s="1" t="s">
        <v>5352</v>
      </c>
      <c r="F679" s="1" t="s">
        <v>1009</v>
      </c>
      <c r="G679" s="13">
        <v>5.0000000000000001E-4</v>
      </c>
      <c r="H679" s="28">
        <v>42735</v>
      </c>
      <c r="I679" s="29">
        <f t="shared" si="519"/>
        <v>2016</v>
      </c>
      <c r="J679" s="1" t="s">
        <v>5063</v>
      </c>
      <c r="K679" s="1" t="s">
        <v>7</v>
      </c>
      <c r="L679" s="11" t="str">
        <f t="shared" si="542"/>
        <v>НЕТ</v>
      </c>
      <c r="M679" s="10" t="s">
        <v>1575</v>
      </c>
      <c r="N679" s="10" t="s">
        <v>1575</v>
      </c>
      <c r="O679" s="10" t="s">
        <v>1575</v>
      </c>
      <c r="P679" s="10" t="str">
        <f t="shared" si="446"/>
        <v>NA</v>
      </c>
      <c r="Q679" s="10" t="str">
        <f t="shared" si="447"/>
        <v>NA</v>
      </c>
      <c r="R679" s="10" t="s">
        <v>1575</v>
      </c>
      <c r="S679" s="10" t="s">
        <v>1575</v>
      </c>
      <c r="T679" s="10" t="s">
        <v>1575</v>
      </c>
      <c r="U679" s="10" t="s">
        <v>1575</v>
      </c>
      <c r="V679" s="10" t="s">
        <v>1575</v>
      </c>
      <c r="W679" s="10" t="s">
        <v>1575</v>
      </c>
      <c r="X679" s="10" t="str">
        <f t="shared" ref="X679" si="543">IFERROR(V679+W679,"NA")</f>
        <v>NA</v>
      </c>
      <c r="Y679" s="10" t="str">
        <f t="shared" ref="Y679" si="544">IFERROR(P679/R679,"NA")</f>
        <v>NA</v>
      </c>
      <c r="Z679" s="10" t="str">
        <f t="shared" ref="Z679" si="545">IFERROR(P679/U679,"NA")</f>
        <v>NA</v>
      </c>
      <c r="AA679" s="10" t="str">
        <f t="shared" ref="AA679" si="546">IFERROR(P679/V679,"NA")</f>
        <v>NA</v>
      </c>
      <c r="AB679" s="10" t="str">
        <f t="shared" ref="AB679" si="547">IFERROR(Q679/R679,"NA")</f>
        <v>NA</v>
      </c>
      <c r="AC679" s="10" t="str">
        <f t="shared" ref="AC679" si="548">IFERROR(Q679/S679,"NA")</f>
        <v>NA</v>
      </c>
      <c r="AD679" s="10" t="str">
        <f t="shared" ref="AD679" si="549">IFERROR(Q679/T679,"NA")</f>
        <v>NA</v>
      </c>
      <c r="AE679" s="10" t="str">
        <f t="shared" ref="AE679" si="550">IFERROR(Q679/X679,"NA")</f>
        <v>NA</v>
      </c>
      <c r="AF679" s="1" t="s">
        <v>5072</v>
      </c>
    </row>
    <row r="680" spans="1:32" x14ac:dyDescent="0.2">
      <c r="A680" s="1" t="s">
        <v>5076</v>
      </c>
      <c r="B680" s="1" t="s">
        <v>5</v>
      </c>
      <c r="C680" s="1" t="s">
        <v>1575</v>
      </c>
      <c r="D680" s="1" t="s">
        <v>1580</v>
      </c>
      <c r="E680" s="1" t="s">
        <v>1694</v>
      </c>
      <c r="F680" s="1" t="s">
        <v>4719</v>
      </c>
      <c r="G680" s="13">
        <v>4.1300000000000003E-2</v>
      </c>
      <c r="H680" s="28">
        <v>42735</v>
      </c>
      <c r="I680" s="29">
        <f t="shared" si="519"/>
        <v>2016</v>
      </c>
      <c r="J680" s="1" t="s">
        <v>7</v>
      </c>
      <c r="K680" s="1" t="s">
        <v>5063</v>
      </c>
      <c r="L680" s="11" t="str">
        <f t="shared" ref="L680" si="551">IF(OR(A680=J680,A680=K680),"ДА","НЕТ")</f>
        <v>НЕТ</v>
      </c>
      <c r="M680" s="10" t="s">
        <v>1575</v>
      </c>
      <c r="N680" s="10" t="s">
        <v>1575</v>
      </c>
      <c r="O680" s="10" t="s">
        <v>1575</v>
      </c>
      <c r="P680" s="10" t="str">
        <f t="shared" si="446"/>
        <v>NA</v>
      </c>
      <c r="Q680" s="10" t="str">
        <f t="shared" si="447"/>
        <v>NA</v>
      </c>
      <c r="R680" s="10" t="s">
        <v>1575</v>
      </c>
      <c r="S680" s="10" t="s">
        <v>1575</v>
      </c>
      <c r="T680" s="10" t="s">
        <v>1575</v>
      </c>
      <c r="U680" s="10" t="s">
        <v>1575</v>
      </c>
      <c r="V680" s="10" t="s">
        <v>1575</v>
      </c>
      <c r="W680" s="10" t="s">
        <v>1575</v>
      </c>
      <c r="X680" s="10" t="str">
        <f t="shared" ref="X680" si="552">IFERROR(V680+W680,"NA")</f>
        <v>NA</v>
      </c>
      <c r="Y680" s="10" t="str">
        <f t="shared" ref="Y680" si="553">IFERROR(P680/R680,"NA")</f>
        <v>NA</v>
      </c>
      <c r="Z680" s="10" t="str">
        <f t="shared" ref="Z680" si="554">IFERROR(P680/U680,"NA")</f>
        <v>NA</v>
      </c>
      <c r="AA680" s="10" t="str">
        <f t="shared" ref="AA680" si="555">IFERROR(P680/V680,"NA")</f>
        <v>NA</v>
      </c>
      <c r="AB680" s="10" t="str">
        <f t="shared" ref="AB680" si="556">IFERROR(Q680/R680,"NA")</f>
        <v>NA</v>
      </c>
      <c r="AC680" s="10" t="str">
        <f t="shared" ref="AC680" si="557">IFERROR(Q680/S680,"NA")</f>
        <v>NA</v>
      </c>
      <c r="AD680" s="10" t="str">
        <f t="shared" ref="AD680" si="558">IFERROR(Q680/T680,"NA")</f>
        <v>NA</v>
      </c>
      <c r="AE680" s="10" t="str">
        <f t="shared" ref="AE680" si="559">IFERROR(Q680/X680,"NA")</f>
        <v>NA</v>
      </c>
      <c r="AF680" s="1" t="s">
        <v>5075</v>
      </c>
    </row>
    <row r="681" spans="1:32" x14ac:dyDescent="0.2">
      <c r="A681" s="1" t="s">
        <v>5641</v>
      </c>
      <c r="B681" s="1" t="s">
        <v>5</v>
      </c>
      <c r="C681" s="1" t="s">
        <v>1575</v>
      </c>
      <c r="D681" s="1" t="s">
        <v>1582</v>
      </c>
      <c r="E681" s="1" t="s">
        <v>5352</v>
      </c>
      <c r="F681" s="1" t="s">
        <v>1009</v>
      </c>
      <c r="G681" s="13">
        <v>1</v>
      </c>
      <c r="H681" s="28">
        <v>42581</v>
      </c>
      <c r="I681" s="29">
        <f t="shared" si="519"/>
        <v>2016</v>
      </c>
      <c r="J681" s="1" t="s">
        <v>5063</v>
      </c>
      <c r="K681" s="1" t="s">
        <v>7</v>
      </c>
      <c r="L681" s="11" t="str">
        <f t="shared" ref="L681" si="560">IF(OR(A681=J681,A681=K681),"ДА","НЕТ")</f>
        <v>НЕТ</v>
      </c>
      <c r="M681" s="10" t="s">
        <v>1575</v>
      </c>
      <c r="N681" s="10" t="s">
        <v>1575</v>
      </c>
      <c r="O681" s="10" t="s">
        <v>1575</v>
      </c>
      <c r="P681" s="10" t="str">
        <f t="shared" si="446"/>
        <v>NA</v>
      </c>
      <c r="Q681" s="10" t="str">
        <f t="shared" si="447"/>
        <v>NA</v>
      </c>
      <c r="R681" s="10" t="s">
        <v>1575</v>
      </c>
      <c r="S681" s="10" t="s">
        <v>1575</v>
      </c>
      <c r="T681" s="10" t="s">
        <v>1575</v>
      </c>
      <c r="U681" s="10" t="s">
        <v>1575</v>
      </c>
      <c r="V681" s="10" t="s">
        <v>1575</v>
      </c>
      <c r="W681" s="10" t="s">
        <v>1575</v>
      </c>
      <c r="X681" s="10" t="str">
        <f t="shared" si="525"/>
        <v>NA</v>
      </c>
      <c r="Y681" s="10" t="str">
        <f t="shared" si="526"/>
        <v>NA</v>
      </c>
      <c r="Z681" s="10" t="str">
        <f t="shared" si="527"/>
        <v>NA</v>
      </c>
      <c r="AA681" s="10" t="str">
        <f t="shared" si="528"/>
        <v>NA</v>
      </c>
      <c r="AB681" s="10" t="str">
        <f t="shared" si="529"/>
        <v>NA</v>
      </c>
      <c r="AC681" s="10" t="str">
        <f t="shared" si="530"/>
        <v>NA</v>
      </c>
      <c r="AD681" s="10" t="str">
        <f t="shared" si="531"/>
        <v>NA</v>
      </c>
      <c r="AE681" s="10" t="str">
        <f t="shared" si="532"/>
        <v>NA</v>
      </c>
      <c r="AF681" s="1" t="s">
        <v>5073</v>
      </c>
    </row>
    <row r="682" spans="1:32" x14ac:dyDescent="0.2">
      <c r="A682" s="1" t="s">
        <v>5642</v>
      </c>
      <c r="B682" s="1" t="s">
        <v>32</v>
      </c>
      <c r="C682" s="1" t="s">
        <v>1575</v>
      </c>
      <c r="D682" s="1" t="s">
        <v>1580</v>
      </c>
      <c r="E682" s="1" t="s">
        <v>1581</v>
      </c>
      <c r="F682" s="1" t="s">
        <v>67</v>
      </c>
      <c r="G682" s="13">
        <v>1.4999999999999999E-2</v>
      </c>
      <c r="H682" s="28">
        <v>42369</v>
      </c>
      <c r="I682" s="29">
        <f t="shared" si="519"/>
        <v>2015</v>
      </c>
      <c r="J682" s="1" t="s">
        <v>5063</v>
      </c>
      <c r="K682" s="1" t="s">
        <v>7</v>
      </c>
      <c r="L682" s="11" t="str">
        <f t="shared" ref="L682:L683" si="561">IF(OR(A682=J682,A682=K682),"ДА","НЕТ")</f>
        <v>НЕТ</v>
      </c>
      <c r="M682" s="10" t="s">
        <v>1575</v>
      </c>
      <c r="N682" s="10" t="s">
        <v>1575</v>
      </c>
      <c r="O682" s="10" t="s">
        <v>1575</v>
      </c>
      <c r="P682" s="10" t="str">
        <f t="shared" si="446"/>
        <v>NA</v>
      </c>
      <c r="Q682" s="10" t="str">
        <f t="shared" si="447"/>
        <v>NA</v>
      </c>
      <c r="R682" s="10" t="s">
        <v>1575</v>
      </c>
      <c r="S682" s="10" t="s">
        <v>1575</v>
      </c>
      <c r="T682" s="10" t="s">
        <v>1575</v>
      </c>
      <c r="U682" s="10" t="s">
        <v>1575</v>
      </c>
      <c r="V682" s="10" t="s">
        <v>1575</v>
      </c>
      <c r="W682" s="10" t="s">
        <v>1575</v>
      </c>
      <c r="X682" s="10" t="str">
        <f t="shared" ref="X682:X693" si="562">IFERROR(V682+W682,"NA")</f>
        <v>NA</v>
      </c>
      <c r="Y682" s="10" t="str">
        <f t="shared" ref="Y682:Y693" si="563">IFERROR(P682/R682,"NA")</f>
        <v>NA</v>
      </c>
      <c r="Z682" s="10" t="str">
        <f t="shared" ref="Z682:Z693" si="564">IFERROR(P682/U682,"NA")</f>
        <v>NA</v>
      </c>
      <c r="AA682" s="10" t="str">
        <f t="shared" ref="AA682:AA693" si="565">IFERROR(P682/V682,"NA")</f>
        <v>NA</v>
      </c>
      <c r="AB682" s="10" t="str">
        <f t="shared" ref="AB682:AB693" si="566">IFERROR(Q682/R682,"NA")</f>
        <v>NA</v>
      </c>
      <c r="AC682" s="10" t="str">
        <f t="shared" ref="AC682:AC693" si="567">IFERROR(Q682/S682,"NA")</f>
        <v>NA</v>
      </c>
      <c r="AD682" s="10" t="str">
        <f t="shared" ref="AD682:AD693" si="568">IFERROR(Q682/T682,"NA")</f>
        <v>NA</v>
      </c>
      <c r="AE682" s="10" t="str">
        <f t="shared" ref="AE682:AE693" si="569">IFERROR(Q682/X682,"NA")</f>
        <v>NA</v>
      </c>
      <c r="AF682" s="1" t="s">
        <v>5068</v>
      </c>
    </row>
    <row r="683" spans="1:32" x14ac:dyDescent="0.2">
      <c r="A683" s="1" t="s">
        <v>5643</v>
      </c>
      <c r="B683" s="1" t="s">
        <v>91</v>
      </c>
      <c r="C683" s="1" t="s">
        <v>1575</v>
      </c>
      <c r="D683" s="1" t="s">
        <v>1580</v>
      </c>
      <c r="E683" s="1" t="s">
        <v>1581</v>
      </c>
      <c r="F683" s="1" t="s">
        <v>67</v>
      </c>
      <c r="G683" s="13">
        <v>1</v>
      </c>
      <c r="H683" s="28">
        <v>42215</v>
      </c>
      <c r="I683" s="29">
        <f t="shared" si="519"/>
        <v>2015</v>
      </c>
      <c r="J683" s="1" t="s">
        <v>7</v>
      </c>
      <c r="K683" s="1" t="s">
        <v>5063</v>
      </c>
      <c r="L683" s="11" t="str">
        <f t="shared" si="561"/>
        <v>НЕТ</v>
      </c>
      <c r="M683" s="10" t="s">
        <v>1575</v>
      </c>
      <c r="N683" s="10" t="s">
        <v>1575</v>
      </c>
      <c r="O683" s="10">
        <v>1.37</v>
      </c>
      <c r="P683" s="10">
        <f t="shared" si="446"/>
        <v>1.37</v>
      </c>
      <c r="Q683" s="10" t="str">
        <f t="shared" si="447"/>
        <v>NA</v>
      </c>
      <c r="R683" s="10" t="s">
        <v>1575</v>
      </c>
      <c r="S683" s="10" t="s">
        <v>1575</v>
      </c>
      <c r="T683" s="10" t="s">
        <v>1575</v>
      </c>
      <c r="U683" s="10" t="s">
        <v>1575</v>
      </c>
      <c r="V683" s="10">
        <f>O683-0.201</f>
        <v>1.169</v>
      </c>
      <c r="W683" s="10" t="s">
        <v>1575</v>
      </c>
      <c r="X683" s="10" t="str">
        <f t="shared" si="562"/>
        <v>NA</v>
      </c>
      <c r="Y683" s="10" t="str">
        <f t="shared" si="563"/>
        <v>NA</v>
      </c>
      <c r="Z683" s="10" t="str">
        <f t="shared" si="564"/>
        <v>NA</v>
      </c>
      <c r="AA683" s="10">
        <f t="shared" si="565"/>
        <v>1.1719418306244653</v>
      </c>
      <c r="AB683" s="10" t="str">
        <f t="shared" si="566"/>
        <v>NA</v>
      </c>
      <c r="AC683" s="10" t="str">
        <f t="shared" si="567"/>
        <v>NA</v>
      </c>
      <c r="AD683" s="10" t="str">
        <f t="shared" si="568"/>
        <v>NA</v>
      </c>
      <c r="AE683" s="10" t="str">
        <f t="shared" si="569"/>
        <v>NA</v>
      </c>
      <c r="AF683" s="1" t="s">
        <v>5077</v>
      </c>
    </row>
    <row r="684" spans="1:32" x14ac:dyDescent="0.2">
      <c r="A684" s="1" t="s">
        <v>5642</v>
      </c>
      <c r="B684" s="1" t="s">
        <v>32</v>
      </c>
      <c r="C684" s="1" t="s">
        <v>1575</v>
      </c>
      <c r="D684" s="1" t="s">
        <v>1580</v>
      </c>
      <c r="E684" s="1" t="s">
        <v>1581</v>
      </c>
      <c r="F684" s="1" t="s">
        <v>67</v>
      </c>
      <c r="G684" s="13">
        <v>2E-3</v>
      </c>
      <c r="H684" s="28">
        <v>41943</v>
      </c>
      <c r="I684" s="29">
        <f t="shared" si="519"/>
        <v>2014</v>
      </c>
      <c r="J684" s="1" t="s">
        <v>5063</v>
      </c>
      <c r="K684" s="1" t="s">
        <v>7</v>
      </c>
      <c r="L684" s="11" t="str">
        <f t="shared" ref="L684" si="570">IF(OR(A684=J684,A684=K684),"ДА","НЕТ")</f>
        <v>НЕТ</v>
      </c>
      <c r="M684" s="10" t="s">
        <v>1575</v>
      </c>
      <c r="N684" s="10" t="s">
        <v>1575</v>
      </c>
      <c r="O684" s="10" t="s">
        <v>1575</v>
      </c>
      <c r="P684" s="10" t="str">
        <f t="shared" si="446"/>
        <v>NA</v>
      </c>
      <c r="Q684" s="10" t="str">
        <f t="shared" si="447"/>
        <v>NA</v>
      </c>
      <c r="R684" s="10" t="s">
        <v>1575</v>
      </c>
      <c r="S684" s="10" t="s">
        <v>1575</v>
      </c>
      <c r="T684" s="10" t="s">
        <v>1575</v>
      </c>
      <c r="U684" s="10" t="s">
        <v>1575</v>
      </c>
      <c r="V684" s="10" t="s">
        <v>1575</v>
      </c>
      <c r="W684" s="10" t="s">
        <v>1575</v>
      </c>
      <c r="X684" s="10" t="str">
        <f t="shared" ref="X684:X691" si="571">IFERROR(V684+W684,"NA")</f>
        <v>NA</v>
      </c>
      <c r="Y684" s="10" t="str">
        <f t="shared" ref="Y684:Y691" si="572">IFERROR(P684/R684,"NA")</f>
        <v>NA</v>
      </c>
      <c r="Z684" s="10" t="str">
        <f t="shared" ref="Z684:Z691" si="573">IFERROR(P684/U684,"NA")</f>
        <v>NA</v>
      </c>
      <c r="AA684" s="10" t="str">
        <f t="shared" ref="AA684:AA691" si="574">IFERROR(P684/V684,"NA")</f>
        <v>NA</v>
      </c>
      <c r="AB684" s="10" t="str">
        <f t="shared" ref="AB684:AB691" si="575">IFERROR(Q684/R684,"NA")</f>
        <v>NA</v>
      </c>
      <c r="AC684" s="10" t="str">
        <f t="shared" ref="AC684:AC691" si="576">IFERROR(Q684/S684,"NA")</f>
        <v>NA</v>
      </c>
      <c r="AD684" s="10" t="str">
        <f t="shared" ref="AD684:AD691" si="577">IFERROR(Q684/T684,"NA")</f>
        <v>NA</v>
      </c>
      <c r="AE684" s="10" t="str">
        <f t="shared" ref="AE684:AE691" si="578">IFERROR(Q684/X684,"NA")</f>
        <v>NA</v>
      </c>
      <c r="AF684" s="1" t="s">
        <v>5078</v>
      </c>
    </row>
    <row r="685" spans="1:32" x14ac:dyDescent="0.2">
      <c r="A685" s="1" t="s">
        <v>5074</v>
      </c>
      <c r="B685" s="1" t="s">
        <v>179</v>
      </c>
      <c r="C685" s="1" t="s">
        <v>1575</v>
      </c>
      <c r="D685" s="1" t="s">
        <v>1582</v>
      </c>
      <c r="E685" s="1" t="s">
        <v>5352</v>
      </c>
      <c r="F685" s="1" t="s">
        <v>1009</v>
      </c>
      <c r="G685" s="13">
        <v>9.1999999999999998E-3</v>
      </c>
      <c r="H685" s="28">
        <v>41639</v>
      </c>
      <c r="I685" s="29">
        <f t="shared" si="519"/>
        <v>2013</v>
      </c>
      <c r="J685" s="1" t="s">
        <v>5063</v>
      </c>
      <c r="K685" s="1" t="s">
        <v>7</v>
      </c>
      <c r="L685" s="11" t="str">
        <f t="shared" ref="L685" si="579">IF(OR(A685=J685,A685=K685),"ДА","НЕТ")</f>
        <v>НЕТ</v>
      </c>
      <c r="M685" s="10" t="s">
        <v>1575</v>
      </c>
      <c r="N685" s="10" t="s">
        <v>1575</v>
      </c>
      <c r="O685" s="10" t="s">
        <v>1575</v>
      </c>
      <c r="P685" s="10" t="str">
        <f t="shared" si="446"/>
        <v>NA</v>
      </c>
      <c r="Q685" s="10" t="str">
        <f t="shared" si="447"/>
        <v>NA</v>
      </c>
      <c r="R685" s="10" t="s">
        <v>1575</v>
      </c>
      <c r="S685" s="10" t="s">
        <v>1575</v>
      </c>
      <c r="T685" s="10" t="s">
        <v>1575</v>
      </c>
      <c r="U685" s="10" t="s">
        <v>1575</v>
      </c>
      <c r="V685" s="10" t="s">
        <v>1575</v>
      </c>
      <c r="W685" s="10" t="s">
        <v>1575</v>
      </c>
      <c r="X685" s="10" t="str">
        <f t="shared" si="571"/>
        <v>NA</v>
      </c>
      <c r="Y685" s="10" t="str">
        <f t="shared" si="572"/>
        <v>NA</v>
      </c>
      <c r="Z685" s="10" t="str">
        <f t="shared" si="573"/>
        <v>NA</v>
      </c>
      <c r="AA685" s="10" t="str">
        <f t="shared" si="574"/>
        <v>NA</v>
      </c>
      <c r="AB685" s="10" t="str">
        <f t="shared" si="575"/>
        <v>NA</v>
      </c>
      <c r="AC685" s="10" t="str">
        <f t="shared" si="576"/>
        <v>NA</v>
      </c>
      <c r="AD685" s="10" t="str">
        <f t="shared" si="577"/>
        <v>NA</v>
      </c>
      <c r="AE685" s="10" t="str">
        <f t="shared" si="578"/>
        <v>NA</v>
      </c>
      <c r="AF685" s="1" t="s">
        <v>5079</v>
      </c>
    </row>
    <row r="686" spans="1:32" x14ac:dyDescent="0.2">
      <c r="A686" s="1" t="s">
        <v>5082</v>
      </c>
      <c r="B686" s="1" t="s">
        <v>5083</v>
      </c>
      <c r="C686" s="1" t="s">
        <v>1575</v>
      </c>
      <c r="D686" s="1" t="s">
        <v>1580</v>
      </c>
      <c r="E686" s="1" t="s">
        <v>1694</v>
      </c>
      <c r="F686" s="1" t="s">
        <v>4719</v>
      </c>
      <c r="G686" s="13">
        <v>9.1999999999999998E-3</v>
      </c>
      <c r="H686" s="28">
        <v>41639</v>
      </c>
      <c r="I686" s="29">
        <f t="shared" ref="I686:I690" si="580">YEAR(H686)</f>
        <v>2013</v>
      </c>
      <c r="J686" s="1" t="s">
        <v>5063</v>
      </c>
      <c r="K686" s="1" t="s">
        <v>7</v>
      </c>
      <c r="L686" s="11" t="str">
        <f t="shared" ref="L686" si="581">IF(OR(A686=J686,A686=K686),"ДА","НЕТ")</f>
        <v>НЕТ</v>
      </c>
      <c r="M686" s="10" t="s">
        <v>1575</v>
      </c>
      <c r="N686" s="10" t="s">
        <v>1575</v>
      </c>
      <c r="O686" s="10" t="s">
        <v>1575</v>
      </c>
      <c r="P686" s="10" t="str">
        <f t="shared" si="446"/>
        <v>NA</v>
      </c>
      <c r="Q686" s="10" t="str">
        <f t="shared" si="447"/>
        <v>NA</v>
      </c>
      <c r="R686" s="10" t="s">
        <v>1575</v>
      </c>
      <c r="S686" s="10" t="s">
        <v>1575</v>
      </c>
      <c r="T686" s="10" t="s">
        <v>1575</v>
      </c>
      <c r="U686" s="10" t="s">
        <v>1575</v>
      </c>
      <c r="V686" s="10" t="s">
        <v>1575</v>
      </c>
      <c r="W686" s="10" t="s">
        <v>1575</v>
      </c>
      <c r="X686" s="10" t="str">
        <f t="shared" si="571"/>
        <v>NA</v>
      </c>
      <c r="Y686" s="10" t="str">
        <f t="shared" si="572"/>
        <v>NA</v>
      </c>
      <c r="Z686" s="10" t="str">
        <f t="shared" si="573"/>
        <v>NA</v>
      </c>
      <c r="AA686" s="10" t="str">
        <f t="shared" si="574"/>
        <v>NA</v>
      </c>
      <c r="AB686" s="10" t="str">
        <f t="shared" si="575"/>
        <v>NA</v>
      </c>
      <c r="AC686" s="10" t="str">
        <f t="shared" si="576"/>
        <v>NA</v>
      </c>
      <c r="AD686" s="10" t="str">
        <f t="shared" si="577"/>
        <v>NA</v>
      </c>
      <c r="AE686" s="10" t="str">
        <f t="shared" si="578"/>
        <v>NA</v>
      </c>
      <c r="AF686" s="1" t="s">
        <v>5080</v>
      </c>
    </row>
    <row r="687" spans="1:32" x14ac:dyDescent="0.2">
      <c r="A687" s="1" t="s">
        <v>5644</v>
      </c>
      <c r="B687" s="1" t="s">
        <v>5</v>
      </c>
      <c r="C687" s="1" t="s">
        <v>1575</v>
      </c>
      <c r="D687" s="1" t="s">
        <v>1580</v>
      </c>
      <c r="E687" s="1" t="s">
        <v>1581</v>
      </c>
      <c r="F687" s="1" t="s">
        <v>5084</v>
      </c>
      <c r="G687" s="13">
        <v>1</v>
      </c>
      <c r="H687" s="28">
        <v>41425</v>
      </c>
      <c r="I687" s="29">
        <f t="shared" si="580"/>
        <v>2013</v>
      </c>
      <c r="J687" s="1" t="s">
        <v>5063</v>
      </c>
      <c r="K687" s="1" t="s">
        <v>7</v>
      </c>
      <c r="L687" s="11" t="str">
        <f t="shared" ref="L687" si="582">IF(OR(A687=J687,A687=K687),"ДА","НЕТ")</f>
        <v>НЕТ</v>
      </c>
      <c r="M687" s="10" t="s">
        <v>1575</v>
      </c>
      <c r="N687" s="10" t="s">
        <v>1575</v>
      </c>
      <c r="O687" s="10" t="s">
        <v>1575</v>
      </c>
      <c r="P687" s="10" t="str">
        <f t="shared" si="446"/>
        <v>NA</v>
      </c>
      <c r="Q687" s="10" t="str">
        <f t="shared" si="447"/>
        <v>NA</v>
      </c>
      <c r="R687" s="10" t="s">
        <v>1575</v>
      </c>
      <c r="S687" s="10" t="s">
        <v>1575</v>
      </c>
      <c r="T687" s="10" t="s">
        <v>1575</v>
      </c>
      <c r="U687" s="10" t="s">
        <v>1575</v>
      </c>
      <c r="V687" s="10" t="s">
        <v>1575</v>
      </c>
      <c r="W687" s="10" t="s">
        <v>1575</v>
      </c>
      <c r="X687" s="10" t="str">
        <f t="shared" si="571"/>
        <v>NA</v>
      </c>
      <c r="Y687" s="10" t="str">
        <f t="shared" si="572"/>
        <v>NA</v>
      </c>
      <c r="Z687" s="10" t="str">
        <f t="shared" si="573"/>
        <v>NA</v>
      </c>
      <c r="AA687" s="10" t="str">
        <f t="shared" si="574"/>
        <v>NA</v>
      </c>
      <c r="AB687" s="10" t="str">
        <f t="shared" si="575"/>
        <v>NA</v>
      </c>
      <c r="AC687" s="10" t="str">
        <f t="shared" si="576"/>
        <v>NA</v>
      </c>
      <c r="AD687" s="10" t="str">
        <f t="shared" si="577"/>
        <v>NA</v>
      </c>
      <c r="AE687" s="10" t="str">
        <f t="shared" si="578"/>
        <v>NA</v>
      </c>
      <c r="AF687" s="1" t="s">
        <v>5081</v>
      </c>
    </row>
    <row r="688" spans="1:32" x14ac:dyDescent="0.2">
      <c r="A688" s="1" t="s">
        <v>5076</v>
      </c>
      <c r="B688" s="1" t="s">
        <v>5</v>
      </c>
      <c r="C688" s="1" t="s">
        <v>1575</v>
      </c>
      <c r="D688" s="1" t="s">
        <v>1580</v>
      </c>
      <c r="E688" s="1" t="s">
        <v>1694</v>
      </c>
      <c r="F688" s="1" t="s">
        <v>4719</v>
      </c>
      <c r="G688" s="13">
        <v>0.5</v>
      </c>
      <c r="H688" s="28">
        <v>41213</v>
      </c>
      <c r="I688" s="29">
        <f t="shared" si="580"/>
        <v>2012</v>
      </c>
      <c r="J688" s="1" t="s">
        <v>5063</v>
      </c>
      <c r="K688" s="1" t="s">
        <v>7</v>
      </c>
      <c r="L688" s="11" t="str">
        <f t="shared" ref="L688:L689" si="583">IF(OR(A688=J688,A688=K688),"ДА","НЕТ")</f>
        <v>НЕТ</v>
      </c>
      <c r="M688" s="10" t="s">
        <v>1575</v>
      </c>
      <c r="N688" s="10" t="s">
        <v>1575</v>
      </c>
      <c r="O688" s="10">
        <v>2.8149999999999999</v>
      </c>
      <c r="P688" s="10">
        <f t="shared" si="446"/>
        <v>5.63</v>
      </c>
      <c r="Q688" s="10" t="str">
        <f t="shared" si="447"/>
        <v>NA</v>
      </c>
      <c r="R688" s="10" t="s">
        <v>1575</v>
      </c>
      <c r="S688" s="10" t="s">
        <v>1575</v>
      </c>
      <c r="T688" s="10" t="s">
        <v>1575</v>
      </c>
      <c r="U688" s="10" t="s">
        <v>1575</v>
      </c>
      <c r="V688" s="10" t="s">
        <v>1575</v>
      </c>
      <c r="W688" s="10" t="s">
        <v>1575</v>
      </c>
      <c r="X688" s="10" t="str">
        <f t="shared" si="571"/>
        <v>NA</v>
      </c>
      <c r="Y688" s="10" t="str">
        <f t="shared" si="572"/>
        <v>NA</v>
      </c>
      <c r="Z688" s="10" t="str">
        <f t="shared" si="573"/>
        <v>NA</v>
      </c>
      <c r="AA688" s="10" t="str">
        <f t="shared" si="574"/>
        <v>NA</v>
      </c>
      <c r="AB688" s="10" t="str">
        <f t="shared" si="575"/>
        <v>NA</v>
      </c>
      <c r="AC688" s="10" t="str">
        <f t="shared" si="576"/>
        <v>NA</v>
      </c>
      <c r="AD688" s="10" t="str">
        <f t="shared" si="577"/>
        <v>NA</v>
      </c>
      <c r="AE688" s="10" t="str">
        <f t="shared" si="578"/>
        <v>NA</v>
      </c>
      <c r="AF688" s="1" t="s">
        <v>5087</v>
      </c>
    </row>
    <row r="689" spans="1:32" x14ac:dyDescent="0.2">
      <c r="A689" s="1" t="s">
        <v>5645</v>
      </c>
      <c r="B689" s="1" t="s">
        <v>5</v>
      </c>
      <c r="C689" s="1" t="s">
        <v>1575</v>
      </c>
      <c r="D689" s="1" t="s">
        <v>1580</v>
      </c>
      <c r="E689" s="1" t="s">
        <v>1581</v>
      </c>
      <c r="F689" s="1" t="s">
        <v>67</v>
      </c>
      <c r="G689" s="13">
        <v>1</v>
      </c>
      <c r="H689" s="28">
        <v>40967</v>
      </c>
      <c r="I689" s="29">
        <f t="shared" si="580"/>
        <v>2012</v>
      </c>
      <c r="J689" s="1" t="s">
        <v>7</v>
      </c>
      <c r="K689" s="1" t="s">
        <v>5063</v>
      </c>
      <c r="L689" s="11" t="str">
        <f t="shared" si="583"/>
        <v>НЕТ</v>
      </c>
      <c r="M689" s="10" t="s">
        <v>1575</v>
      </c>
      <c r="N689" s="10" t="s">
        <v>1575</v>
      </c>
      <c r="O689" s="10" t="s">
        <v>1575</v>
      </c>
      <c r="P689" s="10" t="str">
        <f t="shared" si="446"/>
        <v>NA</v>
      </c>
      <c r="Q689" s="10" t="str">
        <f t="shared" si="447"/>
        <v>NA</v>
      </c>
      <c r="R689" s="10" t="s">
        <v>1575</v>
      </c>
      <c r="S689" s="10" t="s">
        <v>1575</v>
      </c>
      <c r="T689" s="10" t="s">
        <v>1575</v>
      </c>
      <c r="U689" s="10" t="s">
        <v>1575</v>
      </c>
      <c r="V689" s="10" t="s">
        <v>1575</v>
      </c>
      <c r="W689" s="10" t="s">
        <v>1575</v>
      </c>
      <c r="X689" s="10" t="str">
        <f t="shared" si="571"/>
        <v>NA</v>
      </c>
      <c r="Y689" s="10" t="str">
        <f t="shared" si="572"/>
        <v>NA</v>
      </c>
      <c r="Z689" s="10" t="str">
        <f t="shared" si="573"/>
        <v>NA</v>
      </c>
      <c r="AA689" s="10" t="str">
        <f t="shared" si="574"/>
        <v>NA</v>
      </c>
      <c r="AB689" s="10" t="str">
        <f t="shared" si="575"/>
        <v>NA</v>
      </c>
      <c r="AC689" s="10" t="str">
        <f t="shared" si="576"/>
        <v>NA</v>
      </c>
      <c r="AD689" s="10" t="str">
        <f t="shared" si="577"/>
        <v>NA</v>
      </c>
      <c r="AE689" s="10" t="str">
        <f t="shared" si="578"/>
        <v>NA</v>
      </c>
      <c r="AF689" s="1" t="s">
        <v>5085</v>
      </c>
    </row>
    <row r="690" spans="1:32" x14ac:dyDescent="0.2">
      <c r="A690" s="1" t="s">
        <v>5646</v>
      </c>
      <c r="B690" s="1" t="s">
        <v>91</v>
      </c>
      <c r="C690" s="1" t="s">
        <v>1575</v>
      </c>
      <c r="D690" s="1" t="s">
        <v>1580</v>
      </c>
      <c r="E690" s="1" t="s">
        <v>1581</v>
      </c>
      <c r="F690" s="1" t="s">
        <v>5084</v>
      </c>
      <c r="G690" s="13">
        <v>1</v>
      </c>
      <c r="H690" s="28">
        <v>41120</v>
      </c>
      <c r="I690" s="29">
        <f t="shared" si="580"/>
        <v>2012</v>
      </c>
      <c r="J690" s="1" t="s">
        <v>5063</v>
      </c>
      <c r="K690" s="1" t="s">
        <v>7</v>
      </c>
      <c r="L690" s="11" t="str">
        <f t="shared" ref="L690" si="584">IF(OR(A690=J690,A690=K690),"ДА","НЕТ")</f>
        <v>НЕТ</v>
      </c>
      <c r="M690" s="10" t="s">
        <v>1575</v>
      </c>
      <c r="N690" s="10" t="s">
        <v>1575</v>
      </c>
      <c r="O690" s="10" t="s">
        <v>1575</v>
      </c>
      <c r="P690" s="10" t="str">
        <f t="shared" si="446"/>
        <v>NA</v>
      </c>
      <c r="Q690" s="10" t="str">
        <f t="shared" si="447"/>
        <v>NA</v>
      </c>
      <c r="R690" s="10" t="s">
        <v>1575</v>
      </c>
      <c r="S690" s="10" t="s">
        <v>1575</v>
      </c>
      <c r="T690" s="10" t="s">
        <v>1575</v>
      </c>
      <c r="U690" s="10" t="s">
        <v>1575</v>
      </c>
      <c r="V690" s="10" t="s">
        <v>1575</v>
      </c>
      <c r="W690" s="10" t="s">
        <v>1575</v>
      </c>
      <c r="X690" s="10" t="str">
        <f t="shared" si="571"/>
        <v>NA</v>
      </c>
      <c r="Y690" s="10" t="str">
        <f t="shared" si="572"/>
        <v>NA</v>
      </c>
      <c r="Z690" s="10" t="str">
        <f t="shared" si="573"/>
        <v>NA</v>
      </c>
      <c r="AA690" s="10" t="str">
        <f t="shared" si="574"/>
        <v>NA</v>
      </c>
      <c r="AB690" s="10" t="str">
        <f t="shared" si="575"/>
        <v>NA</v>
      </c>
      <c r="AC690" s="10" t="str">
        <f t="shared" si="576"/>
        <v>NA</v>
      </c>
      <c r="AD690" s="10" t="str">
        <f t="shared" si="577"/>
        <v>NA</v>
      </c>
      <c r="AE690" s="10" t="str">
        <f t="shared" si="578"/>
        <v>NA</v>
      </c>
      <c r="AF690" s="1" t="s">
        <v>5088</v>
      </c>
    </row>
    <row r="691" spans="1:32" x14ac:dyDescent="0.2">
      <c r="A691" s="1" t="s">
        <v>5647</v>
      </c>
      <c r="B691" s="1" t="s">
        <v>179</v>
      </c>
      <c r="C691" s="1" t="s">
        <v>1575</v>
      </c>
      <c r="D691" s="1" t="s">
        <v>1582</v>
      </c>
      <c r="E691" s="1" t="s">
        <v>5352</v>
      </c>
      <c r="F691" s="1" t="s">
        <v>1009</v>
      </c>
      <c r="G691" s="13">
        <v>1</v>
      </c>
      <c r="H691" s="28">
        <v>41120</v>
      </c>
      <c r="I691" s="29">
        <f t="shared" ref="I691:I706" si="585">YEAR(H691)</f>
        <v>2012</v>
      </c>
      <c r="J691" s="1" t="s">
        <v>5063</v>
      </c>
      <c r="K691" s="1" t="s">
        <v>7</v>
      </c>
      <c r="L691" s="11" t="str">
        <f t="shared" ref="L691" si="586">IF(OR(A691=J691,A691=K691),"ДА","НЕТ")</f>
        <v>НЕТ</v>
      </c>
      <c r="M691" s="10" t="s">
        <v>1575</v>
      </c>
      <c r="N691" s="10" t="s">
        <v>1575</v>
      </c>
      <c r="O691" s="10" t="s">
        <v>1575</v>
      </c>
      <c r="P691" s="10" t="str">
        <f t="shared" si="446"/>
        <v>NA</v>
      </c>
      <c r="Q691" s="10" t="str">
        <f t="shared" si="447"/>
        <v>NA</v>
      </c>
      <c r="R691" s="10" t="s">
        <v>1575</v>
      </c>
      <c r="S691" s="10" t="s">
        <v>1575</v>
      </c>
      <c r="T691" s="10" t="s">
        <v>1575</v>
      </c>
      <c r="U691" s="10" t="s">
        <v>1575</v>
      </c>
      <c r="V691" s="10" t="s">
        <v>1575</v>
      </c>
      <c r="W691" s="10" t="s">
        <v>1575</v>
      </c>
      <c r="X691" s="10" t="str">
        <f t="shared" si="571"/>
        <v>NA</v>
      </c>
      <c r="Y691" s="10" t="str">
        <f t="shared" si="572"/>
        <v>NA</v>
      </c>
      <c r="Z691" s="10" t="str">
        <f t="shared" si="573"/>
        <v>NA</v>
      </c>
      <c r="AA691" s="10" t="str">
        <f t="shared" si="574"/>
        <v>NA</v>
      </c>
      <c r="AB691" s="10" t="str">
        <f t="shared" si="575"/>
        <v>NA</v>
      </c>
      <c r="AC691" s="10" t="str">
        <f t="shared" si="576"/>
        <v>NA</v>
      </c>
      <c r="AD691" s="10" t="str">
        <f t="shared" si="577"/>
        <v>NA</v>
      </c>
      <c r="AE691" s="10" t="str">
        <f t="shared" si="578"/>
        <v>NA</v>
      </c>
      <c r="AF691" s="1" t="s">
        <v>5086</v>
      </c>
    </row>
    <row r="692" spans="1:32" x14ac:dyDescent="0.2">
      <c r="A692" s="1" t="s">
        <v>5648</v>
      </c>
      <c r="B692" s="1" t="s">
        <v>5</v>
      </c>
      <c r="C692" s="1" t="s">
        <v>1575</v>
      </c>
      <c r="D692" s="1" t="s">
        <v>2160</v>
      </c>
      <c r="E692" s="1" t="s">
        <v>5352</v>
      </c>
      <c r="F692" s="1" t="s">
        <v>1009</v>
      </c>
      <c r="G692" s="13" t="s">
        <v>11</v>
      </c>
      <c r="H692" s="28">
        <v>41274</v>
      </c>
      <c r="I692" s="29">
        <f t="shared" si="585"/>
        <v>2012</v>
      </c>
      <c r="J692" s="1" t="s">
        <v>5063</v>
      </c>
      <c r="K692" s="1" t="s">
        <v>7</v>
      </c>
      <c r="L692" s="11" t="str">
        <f t="shared" ref="L692" si="587">IF(OR(A692=J692,A692=K692),"ДА","НЕТ")</f>
        <v>НЕТ</v>
      </c>
      <c r="M692" s="10" t="s">
        <v>1575</v>
      </c>
      <c r="N692" s="10" t="s">
        <v>1575</v>
      </c>
      <c r="O692" s="10" t="s">
        <v>1575</v>
      </c>
      <c r="P692" s="10" t="str">
        <f t="shared" si="446"/>
        <v>NA</v>
      </c>
      <c r="Q692" s="10" t="str">
        <f t="shared" si="447"/>
        <v>NA</v>
      </c>
      <c r="R692" s="10" t="s">
        <v>1575</v>
      </c>
      <c r="S692" s="10" t="s">
        <v>1575</v>
      </c>
      <c r="T692" s="10" t="s">
        <v>1575</v>
      </c>
      <c r="U692" s="10" t="s">
        <v>1575</v>
      </c>
      <c r="V692" s="10" t="s">
        <v>1575</v>
      </c>
      <c r="W692" s="10" t="s">
        <v>1575</v>
      </c>
      <c r="X692" s="10" t="str">
        <f t="shared" si="562"/>
        <v>NA</v>
      </c>
      <c r="Y692" s="10" t="str">
        <f t="shared" si="563"/>
        <v>NA</v>
      </c>
      <c r="Z692" s="10" t="str">
        <f t="shared" si="564"/>
        <v>NA</v>
      </c>
      <c r="AA692" s="10" t="str">
        <f t="shared" si="565"/>
        <v>NA</v>
      </c>
      <c r="AB692" s="10" t="str">
        <f t="shared" si="566"/>
        <v>NA</v>
      </c>
      <c r="AC692" s="10" t="str">
        <f t="shared" si="567"/>
        <v>NA</v>
      </c>
      <c r="AD692" s="10" t="str">
        <f t="shared" si="568"/>
        <v>NA</v>
      </c>
      <c r="AE692" s="10" t="str">
        <f t="shared" si="569"/>
        <v>NA</v>
      </c>
      <c r="AF692" s="1" t="s">
        <v>5089</v>
      </c>
    </row>
    <row r="693" spans="1:32" x14ac:dyDescent="0.2">
      <c r="A693" s="1" t="s">
        <v>5649</v>
      </c>
      <c r="B693" s="1" t="s">
        <v>5</v>
      </c>
      <c r="C693" s="1" t="s">
        <v>1575</v>
      </c>
      <c r="D693" s="1" t="s">
        <v>1580</v>
      </c>
      <c r="E693" s="1" t="s">
        <v>1581</v>
      </c>
      <c r="F693" s="1" t="s">
        <v>67</v>
      </c>
      <c r="G693" s="13">
        <v>1.9E-3</v>
      </c>
      <c r="H693" s="28">
        <v>41274</v>
      </c>
      <c r="I693" s="29">
        <f t="shared" si="585"/>
        <v>2012</v>
      </c>
      <c r="J693" s="1" t="s">
        <v>5063</v>
      </c>
      <c r="K693" s="1" t="s">
        <v>7</v>
      </c>
      <c r="L693" s="11" t="str">
        <f t="shared" ref="L693:L694" si="588">IF(OR(A693=J693,A693=K693),"ДА","НЕТ")</f>
        <v>НЕТ</v>
      </c>
      <c r="M693" s="10" t="s">
        <v>1575</v>
      </c>
      <c r="N693" s="10" t="s">
        <v>1575</v>
      </c>
      <c r="O693" s="10" t="s">
        <v>1575</v>
      </c>
      <c r="P693" s="10" t="str">
        <f t="shared" si="446"/>
        <v>NA</v>
      </c>
      <c r="Q693" s="10" t="str">
        <f t="shared" si="447"/>
        <v>NA</v>
      </c>
      <c r="R693" s="10" t="s">
        <v>1575</v>
      </c>
      <c r="S693" s="10" t="s">
        <v>1575</v>
      </c>
      <c r="T693" s="10" t="s">
        <v>1575</v>
      </c>
      <c r="U693" s="10" t="s">
        <v>1575</v>
      </c>
      <c r="V693" s="10" t="s">
        <v>1575</v>
      </c>
      <c r="W693" s="10" t="s">
        <v>1575</v>
      </c>
      <c r="X693" s="10" t="str">
        <f t="shared" si="562"/>
        <v>NA</v>
      </c>
      <c r="Y693" s="10" t="str">
        <f t="shared" si="563"/>
        <v>NA</v>
      </c>
      <c r="Z693" s="10" t="str">
        <f t="shared" si="564"/>
        <v>NA</v>
      </c>
      <c r="AA693" s="10" t="str">
        <f t="shared" si="565"/>
        <v>NA</v>
      </c>
      <c r="AB693" s="10" t="str">
        <f t="shared" si="566"/>
        <v>NA</v>
      </c>
      <c r="AC693" s="10" t="str">
        <f t="shared" si="567"/>
        <v>NA</v>
      </c>
      <c r="AD693" s="10" t="str">
        <f t="shared" si="568"/>
        <v>NA</v>
      </c>
      <c r="AE693" s="10" t="str">
        <f t="shared" si="569"/>
        <v>NA</v>
      </c>
      <c r="AF693" s="1" t="s">
        <v>5090</v>
      </c>
    </row>
    <row r="694" spans="1:32" x14ac:dyDescent="0.2">
      <c r="A694" s="1" t="s">
        <v>5650</v>
      </c>
      <c r="B694" s="1" t="s">
        <v>5</v>
      </c>
      <c r="C694" s="1" t="s">
        <v>1575</v>
      </c>
      <c r="D694" s="1" t="s">
        <v>1582</v>
      </c>
      <c r="E694" s="1" t="s">
        <v>5352</v>
      </c>
      <c r="F694" s="1" t="s">
        <v>1009</v>
      </c>
      <c r="G694" s="13">
        <v>0.75</v>
      </c>
      <c r="H694" s="28">
        <v>41274</v>
      </c>
      <c r="I694" s="29">
        <f t="shared" si="585"/>
        <v>2012</v>
      </c>
      <c r="J694" s="1" t="s">
        <v>7</v>
      </c>
      <c r="K694" s="1" t="s">
        <v>5063</v>
      </c>
      <c r="L694" s="11" t="str">
        <f t="shared" si="588"/>
        <v>НЕТ</v>
      </c>
      <c r="M694" s="10" t="s">
        <v>1575</v>
      </c>
      <c r="N694" s="10" t="s">
        <v>1575</v>
      </c>
      <c r="O694" s="10" t="s">
        <v>1575</v>
      </c>
      <c r="P694" s="10" t="str">
        <f t="shared" si="446"/>
        <v>NA</v>
      </c>
      <c r="Q694" s="10" t="str">
        <f t="shared" si="447"/>
        <v>NA</v>
      </c>
      <c r="R694" s="10" t="s">
        <v>1575</v>
      </c>
      <c r="S694" s="10" t="s">
        <v>1575</v>
      </c>
      <c r="T694" s="10" t="s">
        <v>1575</v>
      </c>
      <c r="U694" s="10" t="s">
        <v>1575</v>
      </c>
      <c r="V694" s="10" t="s">
        <v>1575</v>
      </c>
      <c r="W694" s="10" t="s">
        <v>1575</v>
      </c>
      <c r="X694" s="10" t="str">
        <f t="shared" si="511"/>
        <v>NA</v>
      </c>
      <c r="Y694" s="10" t="str">
        <f t="shared" si="512"/>
        <v>NA</v>
      </c>
      <c r="Z694" s="10" t="str">
        <f t="shared" si="513"/>
        <v>NA</v>
      </c>
      <c r="AA694" s="10" t="str">
        <f t="shared" si="514"/>
        <v>NA</v>
      </c>
      <c r="AB694" s="10" t="str">
        <f t="shared" si="515"/>
        <v>NA</v>
      </c>
      <c r="AC694" s="10" t="str">
        <f t="shared" si="516"/>
        <v>NA</v>
      </c>
      <c r="AD694" s="10" t="str">
        <f t="shared" si="517"/>
        <v>NA</v>
      </c>
      <c r="AE694" s="10" t="str">
        <f t="shared" si="518"/>
        <v>NA</v>
      </c>
      <c r="AF694" s="1" t="s">
        <v>5091</v>
      </c>
    </row>
    <row r="695" spans="1:32" x14ac:dyDescent="0.2">
      <c r="A695" s="1" t="s">
        <v>5651</v>
      </c>
      <c r="B695" s="1" t="s">
        <v>5</v>
      </c>
      <c r="C695" s="1" t="s">
        <v>1575</v>
      </c>
      <c r="D695" s="1" t="s">
        <v>1580</v>
      </c>
      <c r="E695" s="1" t="s">
        <v>1581</v>
      </c>
      <c r="F695" s="1" t="s">
        <v>5097</v>
      </c>
      <c r="G695" s="13">
        <v>1</v>
      </c>
      <c r="H695" s="28">
        <v>43646</v>
      </c>
      <c r="I695" s="29">
        <f t="shared" si="585"/>
        <v>2019</v>
      </c>
      <c r="J695" s="1" t="s">
        <v>5094</v>
      </c>
      <c r="K695" s="1" t="s">
        <v>7</v>
      </c>
      <c r="L695" s="11" t="str">
        <f t="shared" ref="L695:L697" si="589">IF(OR(A695=J695,A695=K695),"ДА","НЕТ")</f>
        <v>НЕТ</v>
      </c>
      <c r="M695" s="10" t="s">
        <v>1575</v>
      </c>
      <c r="N695" s="10" t="s">
        <v>1575</v>
      </c>
      <c r="O695" s="10">
        <v>2.4461200000000001</v>
      </c>
      <c r="P695" s="10">
        <f t="shared" si="446"/>
        <v>2.4461200000000001</v>
      </c>
      <c r="Q695" s="10" t="str">
        <f t="shared" si="447"/>
        <v>NA</v>
      </c>
      <c r="R695" s="10" t="s">
        <v>1575</v>
      </c>
      <c r="S695" s="10" t="s">
        <v>1575</v>
      </c>
      <c r="T695" s="10" t="s">
        <v>1575</v>
      </c>
      <c r="U695" s="10" t="s">
        <v>1575</v>
      </c>
      <c r="V695" s="10">
        <v>2.331671</v>
      </c>
      <c r="W695" s="10" t="s">
        <v>1575</v>
      </c>
      <c r="X695" s="10" t="str">
        <f t="shared" si="511"/>
        <v>NA</v>
      </c>
      <c r="Y695" s="10" t="str">
        <f t="shared" si="512"/>
        <v>NA</v>
      </c>
      <c r="Z695" s="10" t="str">
        <f t="shared" si="513"/>
        <v>NA</v>
      </c>
      <c r="AA695" s="10">
        <f t="shared" si="514"/>
        <v>1.0490845406577514</v>
      </c>
      <c r="AB695" s="10" t="str">
        <f t="shared" si="515"/>
        <v>NA</v>
      </c>
      <c r="AC695" s="10" t="str">
        <f t="shared" si="516"/>
        <v>NA</v>
      </c>
      <c r="AD695" s="10" t="str">
        <f t="shared" si="517"/>
        <v>NA</v>
      </c>
      <c r="AE695" s="10" t="str">
        <f t="shared" si="518"/>
        <v>NA</v>
      </c>
      <c r="AF695" s="1" t="s">
        <v>5092</v>
      </c>
    </row>
    <row r="696" spans="1:32" x14ac:dyDescent="0.2">
      <c r="A696" s="1" t="s">
        <v>5652</v>
      </c>
      <c r="B696" s="1" t="s">
        <v>5</v>
      </c>
      <c r="C696" s="1" t="s">
        <v>1575</v>
      </c>
      <c r="D696" s="1" t="s">
        <v>1580</v>
      </c>
      <c r="E696" s="1" t="s">
        <v>1581</v>
      </c>
      <c r="F696" s="1" t="s">
        <v>5096</v>
      </c>
      <c r="G696" s="13">
        <v>1</v>
      </c>
      <c r="H696" s="28">
        <v>43738</v>
      </c>
      <c r="I696" s="29">
        <f t="shared" si="585"/>
        <v>2019</v>
      </c>
      <c r="J696" s="1" t="s">
        <v>5094</v>
      </c>
      <c r="K696" s="1" t="s">
        <v>7</v>
      </c>
      <c r="L696" s="11" t="str">
        <f t="shared" si="589"/>
        <v>НЕТ</v>
      </c>
      <c r="M696" s="10" t="s">
        <v>1575</v>
      </c>
      <c r="N696" s="10" t="s">
        <v>1575</v>
      </c>
      <c r="O696" s="10">
        <f>1.52815</f>
        <v>1.5281499999999999</v>
      </c>
      <c r="P696" s="10">
        <f t="shared" si="446"/>
        <v>1.5281499999999999</v>
      </c>
      <c r="Q696" s="10" t="str">
        <f t="shared" si="447"/>
        <v>NA</v>
      </c>
      <c r="R696" s="10" t="s">
        <v>1575</v>
      </c>
      <c r="S696" s="10" t="s">
        <v>1575</v>
      </c>
      <c r="T696" s="10" t="s">
        <v>1575</v>
      </c>
      <c r="U696" s="10" t="s">
        <v>1575</v>
      </c>
      <c r="V696" s="10">
        <v>0.70899100000000004</v>
      </c>
      <c r="W696" s="10" t="s">
        <v>1575</v>
      </c>
      <c r="X696" s="10" t="str">
        <f t="shared" si="511"/>
        <v>NA</v>
      </c>
      <c r="Y696" s="10" t="str">
        <f t="shared" si="512"/>
        <v>NA</v>
      </c>
      <c r="Z696" s="10" t="str">
        <f t="shared" si="513"/>
        <v>NA</v>
      </c>
      <c r="AA696" s="10">
        <f t="shared" si="514"/>
        <v>2.1553870218380768</v>
      </c>
      <c r="AB696" s="10" t="str">
        <f t="shared" si="515"/>
        <v>NA</v>
      </c>
      <c r="AC696" s="10" t="str">
        <f t="shared" si="516"/>
        <v>NA</v>
      </c>
      <c r="AD696" s="10" t="str">
        <f t="shared" si="517"/>
        <v>NA</v>
      </c>
      <c r="AE696" s="10" t="str">
        <f t="shared" si="518"/>
        <v>NA</v>
      </c>
      <c r="AF696" s="1" t="s">
        <v>5095</v>
      </c>
    </row>
    <row r="697" spans="1:32" x14ac:dyDescent="0.2">
      <c r="A697" s="1" t="s">
        <v>5653</v>
      </c>
      <c r="B697" s="1" t="s">
        <v>5</v>
      </c>
      <c r="C697" s="1" t="s">
        <v>1575</v>
      </c>
      <c r="D697" s="1" t="s">
        <v>1580</v>
      </c>
      <c r="E697" s="1" t="s">
        <v>1581</v>
      </c>
      <c r="F697" s="1" t="s">
        <v>5096</v>
      </c>
      <c r="G697" s="13">
        <v>1</v>
      </c>
      <c r="H697" s="28">
        <v>43616</v>
      </c>
      <c r="I697" s="29">
        <f t="shared" si="585"/>
        <v>2019</v>
      </c>
      <c r="J697" s="1" t="s">
        <v>5094</v>
      </c>
      <c r="K697" s="1" t="s">
        <v>7</v>
      </c>
      <c r="L697" s="11" t="str">
        <f t="shared" si="589"/>
        <v>НЕТ</v>
      </c>
      <c r="M697" s="10" t="s">
        <v>1575</v>
      </c>
      <c r="N697" s="10" t="s">
        <v>1575</v>
      </c>
      <c r="O697" s="10">
        <v>0.43555700000000003</v>
      </c>
      <c r="P697" s="10">
        <f t="shared" si="446"/>
        <v>0.43555700000000003</v>
      </c>
      <c r="Q697" s="10" t="str">
        <f t="shared" si="447"/>
        <v>NA</v>
      </c>
      <c r="R697" s="10" t="s">
        <v>1575</v>
      </c>
      <c r="S697" s="10" t="s">
        <v>1575</v>
      </c>
      <c r="T697" s="10" t="s">
        <v>1575</v>
      </c>
      <c r="U697" s="10" t="s">
        <v>1575</v>
      </c>
      <c r="V697" s="10">
        <v>0.249915</v>
      </c>
      <c r="W697" s="10" t="s">
        <v>1575</v>
      </c>
      <c r="X697" s="10" t="str">
        <f t="shared" ref="X697:X703" si="590">IFERROR(V697+W697,"NA")</f>
        <v>NA</v>
      </c>
      <c r="Y697" s="10" t="str">
        <f t="shared" ref="Y697:Y703" si="591">IFERROR(P697/R697,"NA")</f>
        <v>NA</v>
      </c>
      <c r="Z697" s="10" t="str">
        <f t="shared" ref="Z697:Z703" si="592">IFERROR(P697/U697,"NA")</f>
        <v>NA</v>
      </c>
      <c r="AA697" s="10">
        <f t="shared" ref="AA697:AA703" si="593">IFERROR(P697/V697,"NA")</f>
        <v>1.7428205589900567</v>
      </c>
      <c r="AB697" s="10" t="str">
        <f t="shared" ref="AB697:AB703" si="594">IFERROR(Q697/R697,"NA")</f>
        <v>NA</v>
      </c>
      <c r="AC697" s="10" t="str">
        <f t="shared" ref="AC697:AC703" si="595">IFERROR(Q697/S697,"NA")</f>
        <v>NA</v>
      </c>
      <c r="AD697" s="10" t="str">
        <f t="shared" ref="AD697:AD703" si="596">IFERROR(Q697/T697,"NA")</f>
        <v>NA</v>
      </c>
      <c r="AE697" s="10" t="str">
        <f t="shared" ref="AE697:AE703" si="597">IFERROR(Q697/X697,"NA")</f>
        <v>NA</v>
      </c>
      <c r="AF697" s="1" t="s">
        <v>5093</v>
      </c>
    </row>
    <row r="698" spans="1:32" x14ac:dyDescent="0.2">
      <c r="A698" s="1" t="s">
        <v>5654</v>
      </c>
      <c r="B698" s="1" t="s">
        <v>5</v>
      </c>
      <c r="C698" s="1" t="s">
        <v>1575</v>
      </c>
      <c r="D698" s="1" t="s">
        <v>1580</v>
      </c>
      <c r="E698" s="1" t="s">
        <v>1694</v>
      </c>
      <c r="F698" s="1" t="s">
        <v>4719</v>
      </c>
      <c r="G698" s="13">
        <v>1</v>
      </c>
      <c r="H698" s="28">
        <v>43373</v>
      </c>
      <c r="I698" s="29">
        <f t="shared" si="585"/>
        <v>2018</v>
      </c>
      <c r="J698" s="1" t="s">
        <v>5094</v>
      </c>
      <c r="K698" s="1" t="s">
        <v>7</v>
      </c>
      <c r="L698" s="11" t="str">
        <f t="shared" ref="L698" si="598">IF(OR(A698=J698,A698=K698),"ДА","НЕТ")</f>
        <v>НЕТ</v>
      </c>
      <c r="M698" s="10" t="s">
        <v>1575</v>
      </c>
      <c r="N698" s="10" t="s">
        <v>1575</v>
      </c>
      <c r="O698" s="10">
        <v>3.1549999999999998</v>
      </c>
      <c r="P698" s="10">
        <f t="shared" si="446"/>
        <v>3.1549999999999998</v>
      </c>
      <c r="Q698" s="10" t="str">
        <f t="shared" si="447"/>
        <v>NA</v>
      </c>
      <c r="R698" s="10" t="s">
        <v>1575</v>
      </c>
      <c r="S698" s="10" t="s">
        <v>1575</v>
      </c>
      <c r="T698" s="10" t="s">
        <v>1575</v>
      </c>
      <c r="U698" s="10" t="s">
        <v>1575</v>
      </c>
      <c r="V698" s="10">
        <v>3.2230599999999998</v>
      </c>
      <c r="W698" s="10" t="s">
        <v>1575</v>
      </c>
      <c r="X698" s="10" t="str">
        <f t="shared" si="590"/>
        <v>NA</v>
      </c>
      <c r="Y698" s="10" t="str">
        <f t="shared" si="591"/>
        <v>NA</v>
      </c>
      <c r="Z698" s="10" t="str">
        <f t="shared" si="592"/>
        <v>NA</v>
      </c>
      <c r="AA698" s="10">
        <f t="shared" si="593"/>
        <v>0.97888342134493311</v>
      </c>
      <c r="AB698" s="10" t="str">
        <f t="shared" si="594"/>
        <v>NA</v>
      </c>
      <c r="AC698" s="10" t="str">
        <f t="shared" si="595"/>
        <v>NA</v>
      </c>
      <c r="AD698" s="10" t="str">
        <f t="shared" si="596"/>
        <v>NA</v>
      </c>
      <c r="AE698" s="10" t="str">
        <f t="shared" si="597"/>
        <v>NA</v>
      </c>
      <c r="AF698" s="1" t="s">
        <v>5098</v>
      </c>
    </row>
    <row r="699" spans="1:32" x14ac:dyDescent="0.2">
      <c r="A699" s="1" t="s">
        <v>5655</v>
      </c>
      <c r="B699" s="1" t="s">
        <v>5</v>
      </c>
      <c r="C699" s="1" t="s">
        <v>1575</v>
      </c>
      <c r="D699" s="1" t="s">
        <v>1580</v>
      </c>
      <c r="E699" s="1" t="s">
        <v>1581</v>
      </c>
      <c r="F699" s="1" t="s">
        <v>5096</v>
      </c>
      <c r="G699" s="13">
        <v>1</v>
      </c>
      <c r="H699" s="28">
        <v>43100</v>
      </c>
      <c r="I699" s="29">
        <f t="shared" si="585"/>
        <v>2017</v>
      </c>
      <c r="J699" s="1" t="s">
        <v>5094</v>
      </c>
      <c r="K699" s="1" t="s">
        <v>7</v>
      </c>
      <c r="L699" s="11" t="str">
        <f t="shared" ref="L699:L701" si="599">IF(OR(A699=J699,A699=K699),"ДА","НЕТ")</f>
        <v>НЕТ</v>
      </c>
      <c r="M699" s="10" t="s">
        <v>1575</v>
      </c>
      <c r="N699" s="10" t="s">
        <v>1575</v>
      </c>
      <c r="O699" s="10">
        <v>1.488785</v>
      </c>
      <c r="P699" s="10">
        <f t="shared" si="446"/>
        <v>1.488785</v>
      </c>
      <c r="Q699" s="10" t="str">
        <f t="shared" si="447"/>
        <v>NA</v>
      </c>
      <c r="R699" s="10" t="s">
        <v>1575</v>
      </c>
      <c r="S699" s="10" t="s">
        <v>1575</v>
      </c>
      <c r="T699" s="10" t="s">
        <v>1575</v>
      </c>
      <c r="U699" s="10" t="s">
        <v>1575</v>
      </c>
      <c r="V699" s="10">
        <v>0.74197000000000002</v>
      </c>
      <c r="W699" s="10" t="s">
        <v>1575</v>
      </c>
      <c r="X699" s="10" t="str">
        <f t="shared" si="590"/>
        <v>NA</v>
      </c>
      <c r="Y699" s="10" t="str">
        <f t="shared" si="591"/>
        <v>NA</v>
      </c>
      <c r="Z699" s="10" t="str">
        <f t="shared" si="592"/>
        <v>NA</v>
      </c>
      <c r="AA699" s="10">
        <f t="shared" si="593"/>
        <v>2.0065299136083667</v>
      </c>
      <c r="AB699" s="10" t="str">
        <f t="shared" si="594"/>
        <v>NA</v>
      </c>
      <c r="AC699" s="10" t="str">
        <f t="shared" si="595"/>
        <v>NA</v>
      </c>
      <c r="AD699" s="10" t="str">
        <f t="shared" si="596"/>
        <v>NA</v>
      </c>
      <c r="AE699" s="10" t="str">
        <f t="shared" si="597"/>
        <v>NA</v>
      </c>
      <c r="AF699" s="1" t="s">
        <v>5099</v>
      </c>
    </row>
    <row r="700" spans="1:32" x14ac:dyDescent="0.2">
      <c r="A700" s="1" t="s">
        <v>5656</v>
      </c>
      <c r="B700" s="1" t="s">
        <v>5</v>
      </c>
      <c r="C700" s="1" t="s">
        <v>1575</v>
      </c>
      <c r="D700" s="1" t="s">
        <v>1580</v>
      </c>
      <c r="E700" s="1" t="s">
        <v>1581</v>
      </c>
      <c r="F700" s="1" t="s">
        <v>5097</v>
      </c>
      <c r="G700" s="13">
        <v>1</v>
      </c>
      <c r="H700" s="28">
        <v>42735</v>
      </c>
      <c r="I700" s="29">
        <f t="shared" si="585"/>
        <v>2016</v>
      </c>
      <c r="J700" s="1" t="s">
        <v>5094</v>
      </c>
      <c r="K700" s="1" t="s">
        <v>7</v>
      </c>
      <c r="L700" s="11" t="str">
        <f t="shared" si="599"/>
        <v>НЕТ</v>
      </c>
      <c r="M700" s="10" t="s">
        <v>1575</v>
      </c>
      <c r="N700" s="10" t="s">
        <v>1575</v>
      </c>
      <c r="O700" s="10">
        <v>0.18318400000000001</v>
      </c>
      <c r="P700" s="10">
        <f t="shared" si="446"/>
        <v>0.18318400000000001</v>
      </c>
      <c r="Q700" s="10" t="str">
        <f t="shared" si="447"/>
        <v>NA</v>
      </c>
      <c r="R700" s="10" t="s">
        <v>1575</v>
      </c>
      <c r="S700" s="10" t="s">
        <v>1575</v>
      </c>
      <c r="T700" s="10" t="s">
        <v>1575</v>
      </c>
      <c r="U700" s="10" t="s">
        <v>1575</v>
      </c>
      <c r="V700" s="10">
        <v>0.18318400000000001</v>
      </c>
      <c r="W700" s="10" t="s">
        <v>1575</v>
      </c>
      <c r="X700" s="10" t="str">
        <f t="shared" si="590"/>
        <v>NA</v>
      </c>
      <c r="Y700" s="10" t="str">
        <f t="shared" si="591"/>
        <v>NA</v>
      </c>
      <c r="Z700" s="10" t="str">
        <f t="shared" si="592"/>
        <v>NA</v>
      </c>
      <c r="AA700" s="10">
        <f t="shared" si="593"/>
        <v>1</v>
      </c>
      <c r="AB700" s="10" t="str">
        <f t="shared" si="594"/>
        <v>NA</v>
      </c>
      <c r="AC700" s="10" t="str">
        <f t="shared" si="595"/>
        <v>NA</v>
      </c>
      <c r="AD700" s="10" t="str">
        <f t="shared" si="596"/>
        <v>NA</v>
      </c>
      <c r="AE700" s="10" t="str">
        <f t="shared" si="597"/>
        <v>NA</v>
      </c>
      <c r="AF700" s="1" t="s">
        <v>5100</v>
      </c>
    </row>
    <row r="701" spans="1:32" x14ac:dyDescent="0.2">
      <c r="A701" s="1" t="s">
        <v>5657</v>
      </c>
      <c r="B701" s="1" t="s">
        <v>5</v>
      </c>
      <c r="C701" s="1" t="s">
        <v>1575</v>
      </c>
      <c r="D701" s="1" t="s">
        <v>1580</v>
      </c>
      <c r="E701" s="1" t="s">
        <v>1581</v>
      </c>
      <c r="F701" s="1" t="s">
        <v>5102</v>
      </c>
      <c r="G701" s="13">
        <v>1</v>
      </c>
      <c r="H701" s="28">
        <v>42735</v>
      </c>
      <c r="I701" s="29">
        <f t="shared" si="585"/>
        <v>2016</v>
      </c>
      <c r="J701" s="1" t="s">
        <v>5094</v>
      </c>
      <c r="K701" s="1" t="s">
        <v>7</v>
      </c>
      <c r="L701" s="11" t="str">
        <f t="shared" si="599"/>
        <v>НЕТ</v>
      </c>
      <c r="M701" s="10" t="s">
        <v>1575</v>
      </c>
      <c r="N701" s="10" t="s">
        <v>1575</v>
      </c>
      <c r="O701" s="10">
        <v>1.6304749999999999</v>
      </c>
      <c r="P701" s="10">
        <f t="shared" si="446"/>
        <v>1.6304749999999999</v>
      </c>
      <c r="Q701" s="10" t="str">
        <f t="shared" si="447"/>
        <v>NA</v>
      </c>
      <c r="R701" s="10" t="s">
        <v>1575</v>
      </c>
      <c r="S701" s="10" t="s">
        <v>1575</v>
      </c>
      <c r="T701" s="10" t="s">
        <v>1575</v>
      </c>
      <c r="U701" s="10" t="s">
        <v>1575</v>
      </c>
      <c r="V701" s="10">
        <v>1.426493</v>
      </c>
      <c r="W701" s="10" t="s">
        <v>1575</v>
      </c>
      <c r="X701" s="10" t="str">
        <f t="shared" si="590"/>
        <v>NA</v>
      </c>
      <c r="Y701" s="10" t="str">
        <f t="shared" si="591"/>
        <v>NA</v>
      </c>
      <c r="Z701" s="10" t="str">
        <f t="shared" si="592"/>
        <v>NA</v>
      </c>
      <c r="AA701" s="10">
        <f t="shared" si="593"/>
        <v>1.1429954440715797</v>
      </c>
      <c r="AB701" s="10" t="str">
        <f t="shared" si="594"/>
        <v>NA</v>
      </c>
      <c r="AC701" s="10" t="str">
        <f t="shared" si="595"/>
        <v>NA</v>
      </c>
      <c r="AD701" s="10" t="str">
        <f t="shared" si="596"/>
        <v>NA</v>
      </c>
      <c r="AE701" s="10" t="str">
        <f t="shared" si="597"/>
        <v>NA</v>
      </c>
      <c r="AF701" s="1" t="s">
        <v>5101</v>
      </c>
    </row>
    <row r="702" spans="1:32" x14ac:dyDescent="0.2">
      <c r="A702" s="1" t="s">
        <v>5105</v>
      </c>
      <c r="B702" s="1" t="s">
        <v>5</v>
      </c>
      <c r="C702" s="1" t="s">
        <v>1575</v>
      </c>
      <c r="D702" s="1" t="s">
        <v>1582</v>
      </c>
      <c r="E702" s="1" t="s">
        <v>1587</v>
      </c>
      <c r="F702" s="1" t="s">
        <v>5104</v>
      </c>
      <c r="G702" s="13">
        <v>1</v>
      </c>
      <c r="H702" s="28">
        <v>42369</v>
      </c>
      <c r="I702" s="29">
        <f t="shared" si="585"/>
        <v>2015</v>
      </c>
      <c r="J702" s="1" t="s">
        <v>5094</v>
      </c>
      <c r="K702" s="1" t="s">
        <v>7</v>
      </c>
      <c r="L702" s="11" t="str">
        <f t="shared" ref="L702:L704" si="600">IF(OR(A702=J702,A702=K702),"ДА","НЕТ")</f>
        <v>НЕТ</v>
      </c>
      <c r="M702" s="10" t="s">
        <v>1575</v>
      </c>
      <c r="N702" s="10" t="s">
        <v>1575</v>
      </c>
      <c r="O702" s="10">
        <v>1.2489E-2</v>
      </c>
      <c r="P702" s="10">
        <f t="shared" si="446"/>
        <v>1.2489E-2</v>
      </c>
      <c r="Q702" s="10" t="str">
        <f t="shared" si="447"/>
        <v>NA</v>
      </c>
      <c r="R702" s="10" t="s">
        <v>1575</v>
      </c>
      <c r="S702" s="10" t="s">
        <v>1575</v>
      </c>
      <c r="T702" s="10" t="s">
        <v>1575</v>
      </c>
      <c r="U702" s="10" t="s">
        <v>1575</v>
      </c>
      <c r="V702" s="10">
        <v>1.2489E-2</v>
      </c>
      <c r="W702" s="10" t="s">
        <v>1575</v>
      </c>
      <c r="X702" s="10" t="str">
        <f t="shared" ref="X702" si="601">IFERROR(V702+W702,"NA")</f>
        <v>NA</v>
      </c>
      <c r="Y702" s="10" t="str">
        <f t="shared" ref="Y702" si="602">IFERROR(P702/R702,"NA")</f>
        <v>NA</v>
      </c>
      <c r="Z702" s="10" t="str">
        <f t="shared" ref="Z702" si="603">IFERROR(P702/U702,"NA")</f>
        <v>NA</v>
      </c>
      <c r="AA702" s="10">
        <f t="shared" ref="AA702" si="604">IFERROR(P702/V702,"NA")</f>
        <v>1</v>
      </c>
      <c r="AB702" s="10" t="str">
        <f t="shared" ref="AB702" si="605">IFERROR(Q702/R702,"NA")</f>
        <v>NA</v>
      </c>
      <c r="AC702" s="10" t="str">
        <f t="shared" ref="AC702" si="606">IFERROR(Q702/S702,"NA")</f>
        <v>NA</v>
      </c>
      <c r="AD702" s="10" t="str">
        <f t="shared" ref="AD702" si="607">IFERROR(Q702/T702,"NA")</f>
        <v>NA</v>
      </c>
      <c r="AE702" s="10" t="str">
        <f t="shared" ref="AE702" si="608">IFERROR(Q702/X702,"NA")</f>
        <v>NA</v>
      </c>
      <c r="AF702" s="1" t="s">
        <v>5103</v>
      </c>
    </row>
    <row r="703" spans="1:32" x14ac:dyDescent="0.2">
      <c r="A703" s="1" t="s">
        <v>5106</v>
      </c>
      <c r="B703" s="1" t="s">
        <v>32</v>
      </c>
      <c r="C703" s="1" t="s">
        <v>1575</v>
      </c>
      <c r="D703" s="1" t="s">
        <v>1580</v>
      </c>
      <c r="E703" s="1" t="s">
        <v>2057</v>
      </c>
      <c r="F703" s="1" t="s">
        <v>5108</v>
      </c>
      <c r="G703" s="13">
        <v>1</v>
      </c>
      <c r="H703" s="28">
        <v>42004</v>
      </c>
      <c r="I703" s="29">
        <f t="shared" si="585"/>
        <v>2014</v>
      </c>
      <c r="J703" s="1" t="s">
        <v>5094</v>
      </c>
      <c r="K703" s="1" t="s">
        <v>7</v>
      </c>
      <c r="L703" s="11" t="str">
        <f t="shared" si="600"/>
        <v>НЕТ</v>
      </c>
      <c r="M703" s="10" t="s">
        <v>1575</v>
      </c>
      <c r="N703" s="10" t="s">
        <v>1575</v>
      </c>
      <c r="O703" s="10">
        <v>8.9019999999999992</v>
      </c>
      <c r="P703" s="10">
        <f t="shared" si="446"/>
        <v>8.9019999999999992</v>
      </c>
      <c r="Q703" s="10" t="str">
        <f t="shared" si="447"/>
        <v>NA</v>
      </c>
      <c r="R703" s="10" t="s">
        <v>1575</v>
      </c>
      <c r="S703" s="10" t="s">
        <v>1575</v>
      </c>
      <c r="T703" s="10" t="s">
        <v>1575</v>
      </c>
      <c r="U703" s="10" t="s">
        <v>1575</v>
      </c>
      <c r="V703" s="10">
        <v>2.0429279999999999</v>
      </c>
      <c r="W703" s="10" t="s">
        <v>1575</v>
      </c>
      <c r="X703" s="10" t="str">
        <f t="shared" si="590"/>
        <v>NA</v>
      </c>
      <c r="Y703" s="10" t="str">
        <f t="shared" si="591"/>
        <v>NA</v>
      </c>
      <c r="Z703" s="10" t="str">
        <f t="shared" si="592"/>
        <v>NA</v>
      </c>
      <c r="AA703" s="10">
        <f t="shared" si="593"/>
        <v>4.3574712373612776</v>
      </c>
      <c r="AB703" s="10" t="str">
        <f t="shared" si="594"/>
        <v>NA</v>
      </c>
      <c r="AC703" s="10" t="str">
        <f t="shared" si="595"/>
        <v>NA</v>
      </c>
      <c r="AD703" s="10" t="str">
        <f t="shared" si="596"/>
        <v>NA</v>
      </c>
      <c r="AE703" s="10" t="str">
        <f t="shared" si="597"/>
        <v>NA</v>
      </c>
      <c r="AF703" s="1" t="s">
        <v>5107</v>
      </c>
    </row>
    <row r="704" spans="1:32" x14ac:dyDescent="0.2">
      <c r="A704" s="1" t="s">
        <v>5658</v>
      </c>
      <c r="B704" s="1" t="s">
        <v>5</v>
      </c>
      <c r="C704" s="1" t="s">
        <v>1575</v>
      </c>
      <c r="D704" s="1" t="s">
        <v>1584</v>
      </c>
      <c r="E704" s="1" t="s">
        <v>1586</v>
      </c>
      <c r="F704" s="1" t="s">
        <v>66</v>
      </c>
      <c r="G704" s="13" t="s">
        <v>11</v>
      </c>
      <c r="H704" s="28">
        <v>42004</v>
      </c>
      <c r="I704" s="29">
        <f t="shared" si="585"/>
        <v>2014</v>
      </c>
      <c r="J704" s="1" t="s">
        <v>5094</v>
      </c>
      <c r="K704" s="1" t="s">
        <v>7</v>
      </c>
      <c r="L704" s="11" t="str">
        <f t="shared" si="600"/>
        <v>НЕТ</v>
      </c>
      <c r="M704" s="10" t="s">
        <v>1575</v>
      </c>
      <c r="N704" s="10" t="s">
        <v>1575</v>
      </c>
      <c r="O704" s="10" t="s">
        <v>1575</v>
      </c>
      <c r="P704" s="10" t="str">
        <f t="shared" si="446"/>
        <v>NA</v>
      </c>
      <c r="Q704" s="10" t="str">
        <f t="shared" si="447"/>
        <v>NA</v>
      </c>
      <c r="R704" s="10" t="s">
        <v>1575</v>
      </c>
      <c r="S704" s="10" t="s">
        <v>1575</v>
      </c>
      <c r="T704" s="10" t="s">
        <v>1575</v>
      </c>
      <c r="U704" s="10" t="s">
        <v>1575</v>
      </c>
      <c r="V704" s="10" t="s">
        <v>1575</v>
      </c>
      <c r="W704" s="10" t="s">
        <v>1575</v>
      </c>
      <c r="X704" s="10" t="str">
        <f t="shared" ref="X704:X705" si="609">IFERROR(V704+W704,"NA")</f>
        <v>NA</v>
      </c>
      <c r="Y704" s="10" t="str">
        <f t="shared" ref="Y704:Y705" si="610">IFERROR(P704/R704,"NA")</f>
        <v>NA</v>
      </c>
      <c r="Z704" s="10" t="str">
        <f t="shared" ref="Z704:Z705" si="611">IFERROR(P704/U704,"NA")</f>
        <v>NA</v>
      </c>
      <c r="AA704" s="10" t="str">
        <f t="shared" ref="AA704:AA705" si="612">IFERROR(P704/V704,"NA")</f>
        <v>NA</v>
      </c>
      <c r="AB704" s="10" t="str">
        <f t="shared" ref="AB704:AB705" si="613">IFERROR(Q704/R704,"NA")</f>
        <v>NA</v>
      </c>
      <c r="AC704" s="10" t="str">
        <f t="shared" ref="AC704:AC705" si="614">IFERROR(Q704/S704,"NA")</f>
        <v>NA</v>
      </c>
      <c r="AD704" s="10" t="str">
        <f t="shared" ref="AD704:AD705" si="615">IFERROR(Q704/T704,"NA")</f>
        <v>NA</v>
      </c>
      <c r="AE704" s="10" t="str">
        <f t="shared" ref="AE704:AE705" si="616">IFERROR(Q704/X704,"NA")</f>
        <v>NA</v>
      </c>
      <c r="AF704" s="1" t="s">
        <v>5109</v>
      </c>
    </row>
    <row r="705" spans="1:32" x14ac:dyDescent="0.2">
      <c r="A705" s="1" t="s">
        <v>5112</v>
      </c>
      <c r="B705" s="1" t="s">
        <v>5</v>
      </c>
      <c r="C705" s="1" t="s">
        <v>1575</v>
      </c>
      <c r="D705" s="1" t="s">
        <v>1580</v>
      </c>
      <c r="E705" s="1" t="s">
        <v>1581</v>
      </c>
      <c r="F705" s="1" t="s">
        <v>5096</v>
      </c>
      <c r="G705" s="13">
        <v>1</v>
      </c>
      <c r="H705" s="28">
        <v>41422</v>
      </c>
      <c r="I705" s="29">
        <f t="shared" si="585"/>
        <v>2013</v>
      </c>
      <c r="J705" s="1" t="s">
        <v>5094</v>
      </c>
      <c r="K705" s="1" t="s">
        <v>7</v>
      </c>
      <c r="L705" s="11" t="str">
        <f t="shared" ref="L705:L706" si="617">IF(OR(A705=J705,A705=K705),"ДА","НЕТ")</f>
        <v>НЕТ</v>
      </c>
      <c r="M705" s="10" t="s">
        <v>1575</v>
      </c>
      <c r="N705" s="10" t="s">
        <v>1575</v>
      </c>
      <c r="O705" s="10">
        <v>1.0660000000000001</v>
      </c>
      <c r="P705" s="10">
        <f t="shared" si="446"/>
        <v>1.0660000000000001</v>
      </c>
      <c r="Q705" s="10" t="str">
        <f t="shared" si="447"/>
        <v>NA</v>
      </c>
      <c r="R705" s="10" t="s">
        <v>1575</v>
      </c>
      <c r="S705" s="10" t="s">
        <v>1575</v>
      </c>
      <c r="T705" s="10" t="s">
        <v>1575</v>
      </c>
      <c r="U705" s="10" t="s">
        <v>1575</v>
      </c>
      <c r="V705" s="10">
        <v>0.70762100000000006</v>
      </c>
      <c r="W705" s="10" t="s">
        <v>1575</v>
      </c>
      <c r="X705" s="10" t="str">
        <f t="shared" si="609"/>
        <v>NA</v>
      </c>
      <c r="Y705" s="10" t="str">
        <f t="shared" si="610"/>
        <v>NA</v>
      </c>
      <c r="Z705" s="10" t="str">
        <f t="shared" si="611"/>
        <v>NA</v>
      </c>
      <c r="AA705" s="10">
        <f t="shared" si="612"/>
        <v>1.5064561396566807</v>
      </c>
      <c r="AB705" s="10" t="str">
        <f t="shared" si="613"/>
        <v>NA</v>
      </c>
      <c r="AC705" s="10" t="str">
        <f t="shared" si="614"/>
        <v>NA</v>
      </c>
      <c r="AD705" s="10" t="str">
        <f t="shared" si="615"/>
        <v>NA</v>
      </c>
      <c r="AE705" s="10" t="str">
        <f t="shared" si="616"/>
        <v>NA</v>
      </c>
      <c r="AF705" s="1" t="s">
        <v>5110</v>
      </c>
    </row>
    <row r="706" spans="1:32" x14ac:dyDescent="0.2">
      <c r="A706" s="1" t="s">
        <v>5113</v>
      </c>
      <c r="B706" s="1" t="s">
        <v>32</v>
      </c>
      <c r="C706" s="1" t="s">
        <v>1575</v>
      </c>
      <c r="D706" s="1" t="s">
        <v>1580</v>
      </c>
      <c r="E706" s="1" t="s">
        <v>1581</v>
      </c>
      <c r="F706" s="1" t="s">
        <v>67</v>
      </c>
      <c r="G706" s="13">
        <v>0.98399999999999999</v>
      </c>
      <c r="H706" s="28">
        <v>41486</v>
      </c>
      <c r="I706" s="29">
        <f t="shared" si="585"/>
        <v>2013</v>
      </c>
      <c r="J706" s="1" t="s">
        <v>5094</v>
      </c>
      <c r="K706" s="1" t="s">
        <v>7</v>
      </c>
      <c r="L706" s="11" t="str">
        <f t="shared" si="617"/>
        <v>НЕТ</v>
      </c>
      <c r="M706" s="10" t="s">
        <v>1575</v>
      </c>
      <c r="N706" s="10" t="s">
        <v>1575</v>
      </c>
      <c r="O706" s="10">
        <v>0.95655199999999996</v>
      </c>
      <c r="P706" s="10">
        <f t="shared" si="446"/>
        <v>0.97210569105691058</v>
      </c>
      <c r="Q706" s="10" t="str">
        <f t="shared" si="447"/>
        <v>NA</v>
      </c>
      <c r="R706" s="10" t="s">
        <v>1575</v>
      </c>
      <c r="S706" s="10" t="s">
        <v>1575</v>
      </c>
      <c r="T706" s="10" t="s">
        <v>1575</v>
      </c>
      <c r="U706" s="10" t="s">
        <v>1575</v>
      </c>
      <c r="V706" s="10">
        <v>0.66306799999999999</v>
      </c>
      <c r="W706" s="10" t="s">
        <v>1575</v>
      </c>
      <c r="X706" s="10" t="str">
        <f t="shared" si="511"/>
        <v>NA</v>
      </c>
      <c r="Y706" s="10" t="str">
        <f t="shared" si="512"/>
        <v>NA</v>
      </c>
      <c r="Z706" s="10" t="str">
        <f t="shared" si="513"/>
        <v>NA</v>
      </c>
      <c r="AA706" s="10">
        <f t="shared" si="514"/>
        <v>1.4660723953756034</v>
      </c>
      <c r="AB706" s="10" t="str">
        <f t="shared" si="515"/>
        <v>NA</v>
      </c>
      <c r="AC706" s="10" t="str">
        <f t="shared" si="516"/>
        <v>NA</v>
      </c>
      <c r="AD706" s="10" t="str">
        <f t="shared" si="517"/>
        <v>NA</v>
      </c>
      <c r="AE706" s="10" t="str">
        <f t="shared" si="518"/>
        <v>NA</v>
      </c>
      <c r="AF706" s="1" t="s">
        <v>5111</v>
      </c>
    </row>
    <row r="707" spans="1:32" x14ac:dyDescent="0.2">
      <c r="A707" s="1" t="s">
        <v>5659</v>
      </c>
      <c r="B707" s="1" t="s">
        <v>5</v>
      </c>
      <c r="C707" s="1" t="s">
        <v>4231</v>
      </c>
      <c r="D707" s="1" t="s">
        <v>1580</v>
      </c>
      <c r="E707" s="1" t="s">
        <v>2057</v>
      </c>
      <c r="F707" s="1" t="s">
        <v>434</v>
      </c>
      <c r="G707" s="13">
        <v>0.125</v>
      </c>
      <c r="H707" s="28">
        <v>45382</v>
      </c>
      <c r="I707" s="29">
        <f t="shared" si="410"/>
        <v>2024</v>
      </c>
      <c r="J707" s="1" t="s">
        <v>7</v>
      </c>
      <c r="K707" s="1" t="s">
        <v>4227</v>
      </c>
      <c r="L707" s="11" t="str">
        <f t="shared" si="193"/>
        <v>НЕТ</v>
      </c>
      <c r="M707" s="10" t="s">
        <v>1575</v>
      </c>
      <c r="N707" s="10" t="s">
        <v>1575</v>
      </c>
      <c r="O707" s="10" t="s">
        <v>1575</v>
      </c>
      <c r="P707" s="10" t="str">
        <f t="shared" ref="P707:P770" si="618">IFERROR(O707/G707,"NA")</f>
        <v>NA</v>
      </c>
      <c r="Q707" s="10" t="str">
        <f t="shared" ref="Q707:Q770" si="619">IFERROR(P707+W707,"NA")</f>
        <v>NA</v>
      </c>
      <c r="R707" s="10" t="s">
        <v>1575</v>
      </c>
      <c r="S707" s="10" t="s">
        <v>1575</v>
      </c>
      <c r="T707" s="10" t="s">
        <v>1575</v>
      </c>
      <c r="U707" s="10" t="s">
        <v>1575</v>
      </c>
      <c r="V707" s="10" t="s">
        <v>1575</v>
      </c>
      <c r="W707" s="10" t="s">
        <v>1575</v>
      </c>
      <c r="X707" s="10" t="str">
        <f t="shared" si="418"/>
        <v>NA</v>
      </c>
      <c r="Y707" s="10" t="str">
        <f t="shared" si="419"/>
        <v>NA</v>
      </c>
      <c r="Z707" s="10" t="str">
        <f t="shared" si="420"/>
        <v>NA</v>
      </c>
      <c r="AA707" s="10" t="str">
        <f t="shared" si="421"/>
        <v>NA</v>
      </c>
      <c r="AB707" s="10" t="str">
        <f t="shared" si="422"/>
        <v>NA</v>
      </c>
      <c r="AC707" s="10" t="str">
        <f t="shared" si="423"/>
        <v>NA</v>
      </c>
      <c r="AD707" s="10" t="str">
        <f t="shared" si="424"/>
        <v>NA</v>
      </c>
      <c r="AE707" s="10" t="str">
        <f t="shared" si="425"/>
        <v>NA</v>
      </c>
      <c r="AF707" s="1" t="s">
        <v>4230</v>
      </c>
    </row>
    <row r="708" spans="1:32" x14ac:dyDescent="0.2">
      <c r="A708" s="1" t="s">
        <v>4227</v>
      </c>
      <c r="B708" s="1" t="s">
        <v>5</v>
      </c>
      <c r="C708" s="1" t="s">
        <v>4229</v>
      </c>
      <c r="D708" s="1" t="s">
        <v>1580</v>
      </c>
      <c r="E708" s="1" t="s">
        <v>1593</v>
      </c>
      <c r="F708" s="1" t="s">
        <v>545</v>
      </c>
      <c r="G708" s="13">
        <f>272150/63732232</f>
        <v>4.2702097739178504E-3</v>
      </c>
      <c r="H708" s="28">
        <v>45291</v>
      </c>
      <c r="I708" s="29">
        <f t="shared" si="410"/>
        <v>2023</v>
      </c>
      <c r="J708" s="1" t="s">
        <v>7</v>
      </c>
      <c r="K708" s="1" t="s">
        <v>4227</v>
      </c>
      <c r="L708" s="11" t="str">
        <f t="shared" ref="L708:L709" si="620">IF(OR(A708=J708,A708=K708),"ДА","НЕТ")</f>
        <v>ДА</v>
      </c>
      <c r="M708" s="10" t="s">
        <v>1575</v>
      </c>
      <c r="N708" s="10" t="s">
        <v>1575</v>
      </c>
      <c r="O708" s="10">
        <f>272150*522.72/10^9</f>
        <v>0.142258248</v>
      </c>
      <c r="P708" s="10">
        <f t="shared" si="618"/>
        <v>33.314112311039999</v>
      </c>
      <c r="Q708" s="10" t="str">
        <f t="shared" si="619"/>
        <v>NA</v>
      </c>
      <c r="R708" s="10" t="s">
        <v>1575</v>
      </c>
      <c r="S708" s="10" t="s">
        <v>1575</v>
      </c>
      <c r="T708" s="10" t="s">
        <v>1575</v>
      </c>
      <c r="U708" s="10" t="s">
        <v>1575</v>
      </c>
      <c r="V708" s="10" t="s">
        <v>1575</v>
      </c>
      <c r="W708" s="10" t="s">
        <v>1575</v>
      </c>
      <c r="X708" s="10" t="str">
        <f t="shared" si="418"/>
        <v>NA</v>
      </c>
      <c r="Y708" s="10" t="str">
        <f t="shared" si="419"/>
        <v>NA</v>
      </c>
      <c r="Z708" s="10" t="str">
        <f t="shared" si="420"/>
        <v>NA</v>
      </c>
      <c r="AA708" s="10" t="str">
        <f t="shared" si="421"/>
        <v>NA</v>
      </c>
      <c r="AB708" s="10" t="str">
        <f t="shared" si="422"/>
        <v>NA</v>
      </c>
      <c r="AC708" s="10" t="str">
        <f t="shared" si="423"/>
        <v>NA</v>
      </c>
      <c r="AD708" s="10" t="str">
        <f t="shared" si="424"/>
        <v>NA</v>
      </c>
      <c r="AE708" s="10" t="str">
        <f t="shared" si="425"/>
        <v>NA</v>
      </c>
    </row>
    <row r="709" spans="1:32" x14ac:dyDescent="0.2">
      <c r="A709" s="1" t="s">
        <v>4227</v>
      </c>
      <c r="B709" s="1" t="s">
        <v>5</v>
      </c>
      <c r="C709" s="1" t="s">
        <v>4229</v>
      </c>
      <c r="D709" s="1" t="s">
        <v>1580</v>
      </c>
      <c r="E709" s="1" t="s">
        <v>1593</v>
      </c>
      <c r="F709" s="1" t="s">
        <v>545</v>
      </c>
      <c r="G709" s="13">
        <f>1565398/64004382</f>
        <v>2.445766916396443E-2</v>
      </c>
      <c r="H709" s="28">
        <v>44926</v>
      </c>
      <c r="I709" s="29">
        <f t="shared" si="181"/>
        <v>2022</v>
      </c>
      <c r="J709" s="1" t="s">
        <v>4227</v>
      </c>
      <c r="K709" s="1" t="s">
        <v>7</v>
      </c>
      <c r="L709" s="11" t="str">
        <f t="shared" si="620"/>
        <v>ДА</v>
      </c>
      <c r="M709" s="10" t="s">
        <v>1575</v>
      </c>
      <c r="N709" s="10" t="s">
        <v>1575</v>
      </c>
      <c r="O709" s="10">
        <f>1565398*440.86/10^9</f>
        <v>0.69012136227999998</v>
      </c>
      <c r="P709" s="10">
        <f t="shared" si="618"/>
        <v>28.21697184852</v>
      </c>
      <c r="Q709" s="10" t="str">
        <f t="shared" si="619"/>
        <v>NA</v>
      </c>
      <c r="R709" s="10" t="s">
        <v>1575</v>
      </c>
      <c r="S709" s="10" t="s">
        <v>1575</v>
      </c>
      <c r="T709" s="10" t="s">
        <v>1575</v>
      </c>
      <c r="U709" s="10" t="s">
        <v>1575</v>
      </c>
      <c r="V709" s="10" t="s">
        <v>1575</v>
      </c>
      <c r="W709" s="10" t="s">
        <v>1575</v>
      </c>
      <c r="X709" s="10" t="str">
        <f t="shared" si="418"/>
        <v>NA</v>
      </c>
      <c r="Y709" s="10" t="str">
        <f t="shared" si="419"/>
        <v>NA</v>
      </c>
      <c r="Z709" s="10" t="str">
        <f t="shared" si="420"/>
        <v>NA</v>
      </c>
      <c r="AA709" s="10" t="str">
        <f t="shared" si="421"/>
        <v>NA</v>
      </c>
      <c r="AB709" s="10" t="str">
        <f t="shared" si="422"/>
        <v>NA</v>
      </c>
      <c r="AC709" s="10" t="str">
        <f t="shared" si="423"/>
        <v>NA</v>
      </c>
      <c r="AD709" s="10" t="str">
        <f t="shared" si="424"/>
        <v>NA</v>
      </c>
      <c r="AE709" s="10" t="str">
        <f t="shared" si="425"/>
        <v>NA</v>
      </c>
    </row>
    <row r="710" spans="1:32" x14ac:dyDescent="0.2">
      <c r="A710" s="1" t="s">
        <v>5660</v>
      </c>
      <c r="B710" s="1" t="s">
        <v>5</v>
      </c>
      <c r="C710" s="1" t="s">
        <v>1575</v>
      </c>
      <c r="D710" s="1" t="s">
        <v>1580</v>
      </c>
      <c r="E710" s="1" t="s">
        <v>1581</v>
      </c>
      <c r="F710" s="1" t="s">
        <v>67</v>
      </c>
      <c r="G710" s="13">
        <v>0.245</v>
      </c>
      <c r="H710" s="28">
        <v>44865</v>
      </c>
      <c r="I710" s="29">
        <f t="shared" si="181"/>
        <v>2022</v>
      </c>
      <c r="J710" s="1" t="s">
        <v>5661</v>
      </c>
      <c r="K710" s="1" t="s">
        <v>4227</v>
      </c>
      <c r="L710" s="11" t="str">
        <f t="shared" ref="L710:L711" si="621">IF(OR(A710=J710,A710=K710),"ДА","НЕТ")</f>
        <v>НЕТ</v>
      </c>
      <c r="M710" s="10" t="s">
        <v>1575</v>
      </c>
      <c r="N710" s="10" t="s">
        <v>1575</v>
      </c>
      <c r="O710" s="10">
        <v>0.67600000000000005</v>
      </c>
      <c r="P710" s="10">
        <f t="shared" si="618"/>
        <v>2.759183673469388</v>
      </c>
      <c r="Q710" s="10" t="str">
        <f t="shared" si="619"/>
        <v>NA</v>
      </c>
      <c r="R710" s="10" t="s">
        <v>1575</v>
      </c>
      <c r="S710" s="10" t="s">
        <v>1575</v>
      </c>
      <c r="T710" s="10" t="s">
        <v>1575</v>
      </c>
      <c r="U710" s="10">
        <v>5.3256999999999999E-2</v>
      </c>
      <c r="V710" s="10">
        <v>3.9549080000000001</v>
      </c>
      <c r="W710" s="10" t="s">
        <v>1575</v>
      </c>
      <c r="X710" s="10" t="str">
        <f t="shared" si="418"/>
        <v>NA</v>
      </c>
      <c r="Y710" s="10" t="str">
        <f t="shared" si="419"/>
        <v>NA</v>
      </c>
      <c r="Z710" s="10">
        <f t="shared" si="420"/>
        <v>51.80884528736857</v>
      </c>
      <c r="AA710" s="10">
        <f t="shared" si="421"/>
        <v>0.69766064683916484</v>
      </c>
      <c r="AB710" s="10" t="str">
        <f t="shared" si="422"/>
        <v>NA</v>
      </c>
      <c r="AC710" s="10" t="str">
        <f t="shared" si="423"/>
        <v>NA</v>
      </c>
      <c r="AD710" s="10" t="str">
        <f t="shared" si="424"/>
        <v>NA</v>
      </c>
      <c r="AE710" s="10" t="str">
        <f t="shared" si="425"/>
        <v>NA</v>
      </c>
      <c r="AF710" s="1" t="s">
        <v>4228</v>
      </c>
    </row>
    <row r="711" spans="1:32" x14ac:dyDescent="0.2">
      <c r="A711" s="1" t="s">
        <v>1676</v>
      </c>
      <c r="B711" s="1" t="s">
        <v>5</v>
      </c>
      <c r="C711" s="1" t="s">
        <v>4245</v>
      </c>
      <c r="D711" s="1" t="s">
        <v>1597</v>
      </c>
      <c r="E711" s="1" t="s">
        <v>3028</v>
      </c>
      <c r="F711" s="1" t="s">
        <v>14</v>
      </c>
      <c r="G711" s="13">
        <v>0.111</v>
      </c>
      <c r="H711" s="28">
        <v>44316</v>
      </c>
      <c r="I711" s="29">
        <f t="shared" ref="I711" si="622">YEAR(H711)</f>
        <v>2021</v>
      </c>
      <c r="J711" s="1" t="s">
        <v>4227</v>
      </c>
      <c r="K711" s="1" t="s">
        <v>7</v>
      </c>
      <c r="L711" s="11" t="str">
        <f t="shared" si="621"/>
        <v>НЕТ</v>
      </c>
      <c r="M711" s="10" t="s">
        <v>1575</v>
      </c>
      <c r="N711" s="10" t="s">
        <v>1575</v>
      </c>
      <c r="O711" s="10" t="s">
        <v>1575</v>
      </c>
      <c r="P711" s="10" t="str">
        <f t="shared" si="618"/>
        <v>NA</v>
      </c>
      <c r="Q711" s="10" t="str">
        <f t="shared" si="619"/>
        <v>NA</v>
      </c>
      <c r="R711" s="10">
        <v>133.196</v>
      </c>
      <c r="S711" s="10">
        <v>-4.9969999999999963</v>
      </c>
      <c r="T711" s="10">
        <v>-19.860999999999997</v>
      </c>
      <c r="U711" s="10">
        <v>-21.3</v>
      </c>
      <c r="V711" s="10">
        <v>49.003</v>
      </c>
      <c r="W711" s="10">
        <v>78.537999999999997</v>
      </c>
      <c r="X711" s="10">
        <f t="shared" si="418"/>
        <v>127.541</v>
      </c>
      <c r="Y711" s="10" t="str">
        <f t="shared" si="419"/>
        <v>NA</v>
      </c>
      <c r="Z711" s="10" t="str">
        <f t="shared" si="420"/>
        <v>NA</v>
      </c>
      <c r="AA711" s="10" t="str">
        <f t="shared" si="421"/>
        <v>NA</v>
      </c>
      <c r="AB711" s="10" t="str">
        <f t="shared" si="422"/>
        <v>NA</v>
      </c>
      <c r="AC711" s="10" t="str">
        <f t="shared" si="423"/>
        <v>NA</v>
      </c>
      <c r="AD711" s="10" t="str">
        <f t="shared" si="424"/>
        <v>NA</v>
      </c>
      <c r="AE711" s="10" t="str">
        <f t="shared" si="425"/>
        <v>NA</v>
      </c>
      <c r="AF711" s="1" t="s">
        <v>4244</v>
      </c>
    </row>
    <row r="712" spans="1:32" ht="12" x14ac:dyDescent="0.2">
      <c r="A712" s="1" t="s">
        <v>5662</v>
      </c>
      <c r="B712" s="1" t="s">
        <v>5</v>
      </c>
      <c r="C712" s="1" t="s">
        <v>1575</v>
      </c>
      <c r="D712" s="1" t="s">
        <v>1580</v>
      </c>
      <c r="E712" s="1" t="s">
        <v>1590</v>
      </c>
      <c r="F712" s="1" t="s">
        <v>664</v>
      </c>
      <c r="G712" s="13">
        <v>1</v>
      </c>
      <c r="H712" s="28">
        <v>44278</v>
      </c>
      <c r="I712" s="29">
        <f t="shared" si="181"/>
        <v>2021</v>
      </c>
      <c r="J712" s="1" t="s">
        <v>5663</v>
      </c>
      <c r="K712" s="1" t="s">
        <v>4227</v>
      </c>
      <c r="L712" s="11" t="str">
        <f t="shared" ref="L712:L713" si="623">IF(OR(A712=J712,A712=K712),"ДА","НЕТ")</f>
        <v>НЕТ</v>
      </c>
      <c r="M712" s="10" t="s">
        <v>1575</v>
      </c>
      <c r="N712" s="10" t="s">
        <v>1575</v>
      </c>
      <c r="O712" s="10">
        <f>23.048791-4.709585</f>
        <v>18.339206000000001</v>
      </c>
      <c r="P712" s="10">
        <f t="shared" si="618"/>
        <v>18.339206000000001</v>
      </c>
      <c r="Q712" s="10" t="str">
        <f t="shared" si="619"/>
        <v>NA</v>
      </c>
      <c r="R712" s="10" t="s">
        <v>1575</v>
      </c>
      <c r="S712" s="10" t="s">
        <v>1575</v>
      </c>
      <c r="T712" s="10" t="s">
        <v>1575</v>
      </c>
      <c r="U712" s="10">
        <v>-13.269773000000001</v>
      </c>
      <c r="V712" s="10">
        <v>18.938026000000001</v>
      </c>
      <c r="W712" s="10" t="s">
        <v>1575</v>
      </c>
      <c r="X712" s="10" t="str">
        <f t="shared" si="418"/>
        <v>NA</v>
      </c>
      <c r="Y712" s="10" t="str">
        <f t="shared" si="419"/>
        <v>NA</v>
      </c>
      <c r="Z712" s="10">
        <f t="shared" si="420"/>
        <v>-1.3820286149582213</v>
      </c>
      <c r="AA712" s="10">
        <f t="shared" si="421"/>
        <v>0.96838002017739333</v>
      </c>
      <c r="AB712" s="10" t="str">
        <f t="shared" si="422"/>
        <v>NA</v>
      </c>
      <c r="AC712" s="10" t="str">
        <f t="shared" si="423"/>
        <v>NA</v>
      </c>
      <c r="AD712" s="10" t="str">
        <f t="shared" si="424"/>
        <v>NA</v>
      </c>
      <c r="AE712" s="10" t="str">
        <f t="shared" si="425"/>
        <v>NA</v>
      </c>
      <c r="AF712" s="1" t="s">
        <v>4731</v>
      </c>
    </row>
    <row r="713" spans="1:32" x14ac:dyDescent="0.2">
      <c r="A713" s="1" t="s">
        <v>5664</v>
      </c>
      <c r="B713" s="1" t="s">
        <v>5</v>
      </c>
      <c r="C713" s="1" t="s">
        <v>1575</v>
      </c>
      <c r="D713" s="1" t="s">
        <v>1580</v>
      </c>
      <c r="E713" s="1" t="s">
        <v>1590</v>
      </c>
      <c r="F713" s="1" t="s">
        <v>664</v>
      </c>
      <c r="G713" s="13">
        <v>1</v>
      </c>
      <c r="H713" s="28">
        <v>44468</v>
      </c>
      <c r="I713" s="29">
        <f t="shared" si="181"/>
        <v>2021</v>
      </c>
      <c r="J713" s="1" t="s">
        <v>5665</v>
      </c>
      <c r="K713" s="1" t="s">
        <v>4227</v>
      </c>
      <c r="L713" s="11" t="str">
        <f t="shared" si="623"/>
        <v>НЕТ</v>
      </c>
      <c r="M713" s="10" t="s">
        <v>1575</v>
      </c>
      <c r="N713" s="10" t="s">
        <v>1575</v>
      </c>
      <c r="O713" s="10">
        <v>0.37977899999999998</v>
      </c>
      <c r="P713" s="10">
        <f t="shared" si="618"/>
        <v>0.37977899999999998</v>
      </c>
      <c r="Q713" s="10" t="str">
        <f t="shared" si="619"/>
        <v>NA</v>
      </c>
      <c r="R713" s="10" t="s">
        <v>1575</v>
      </c>
      <c r="S713" s="10" t="s">
        <v>1575</v>
      </c>
      <c r="T713" s="10" t="s">
        <v>1575</v>
      </c>
      <c r="U713" s="10">
        <v>-7.3455999999999994E-2</v>
      </c>
      <c r="V713" s="10">
        <v>0.25340499999999999</v>
      </c>
      <c r="W713" s="10" t="s">
        <v>1575</v>
      </c>
      <c r="X713" s="10" t="str">
        <f t="shared" si="418"/>
        <v>NA</v>
      </c>
      <c r="Y713" s="10" t="str">
        <f t="shared" si="419"/>
        <v>NA</v>
      </c>
      <c r="Z713" s="10">
        <f t="shared" si="420"/>
        <v>-5.1701562840339799</v>
      </c>
      <c r="AA713" s="10">
        <f t="shared" si="421"/>
        <v>1.4987036562025216</v>
      </c>
      <c r="AB713" s="10" t="str">
        <f t="shared" si="422"/>
        <v>NA</v>
      </c>
      <c r="AC713" s="10" t="str">
        <f t="shared" si="423"/>
        <v>NA</v>
      </c>
      <c r="AD713" s="10" t="str">
        <f t="shared" si="424"/>
        <v>NA</v>
      </c>
      <c r="AE713" s="10" t="str">
        <f t="shared" si="425"/>
        <v>NA</v>
      </c>
      <c r="AF713" s="1" t="s">
        <v>4241</v>
      </c>
    </row>
    <row r="714" spans="1:32" x14ac:dyDescent="0.2">
      <c r="A714" s="1" t="s">
        <v>5666</v>
      </c>
      <c r="B714" s="1" t="s">
        <v>5</v>
      </c>
      <c r="C714" s="1" t="s">
        <v>1575</v>
      </c>
      <c r="D714" s="1" t="s">
        <v>1580</v>
      </c>
      <c r="E714" s="1" t="s">
        <v>1587</v>
      </c>
      <c r="F714" s="1" t="s">
        <v>4233</v>
      </c>
      <c r="G714" s="13">
        <v>1</v>
      </c>
      <c r="H714" s="28">
        <v>44362</v>
      </c>
      <c r="I714" s="29">
        <f t="shared" ref="I714" si="624">YEAR(H714)</f>
        <v>2021</v>
      </c>
      <c r="J714" s="1" t="s">
        <v>2283</v>
      </c>
      <c r="K714" s="1" t="s">
        <v>4227</v>
      </c>
      <c r="L714" s="11" t="str">
        <f t="shared" ref="L714:L715" si="625">IF(OR(A714=J714,A714=K714),"ДА","НЕТ")</f>
        <v>НЕТ</v>
      </c>
      <c r="M714" s="10" t="s">
        <v>1575</v>
      </c>
      <c r="N714" s="10" t="s">
        <v>1575</v>
      </c>
      <c r="O714" s="10">
        <v>1.591504</v>
      </c>
      <c r="P714" s="10">
        <f t="shared" si="618"/>
        <v>1.591504</v>
      </c>
      <c r="Q714" s="10" t="str">
        <f t="shared" si="619"/>
        <v>NA</v>
      </c>
      <c r="R714" s="10" t="s">
        <v>1575</v>
      </c>
      <c r="S714" s="10" t="s">
        <v>1575</v>
      </c>
      <c r="T714" s="10" t="s">
        <v>1575</v>
      </c>
      <c r="U714" s="10">
        <v>0.226496</v>
      </c>
      <c r="V714" s="10">
        <v>0.61147200000000002</v>
      </c>
      <c r="W714" s="10" t="s">
        <v>1575</v>
      </c>
      <c r="X714" s="10" t="str">
        <f t="shared" si="418"/>
        <v>NA</v>
      </c>
      <c r="Y714" s="10" t="str">
        <f t="shared" si="419"/>
        <v>NA</v>
      </c>
      <c r="Z714" s="10">
        <f t="shared" si="420"/>
        <v>7.0266318168974289</v>
      </c>
      <c r="AA714" s="10">
        <f t="shared" si="421"/>
        <v>2.6027422351309628</v>
      </c>
      <c r="AB714" s="10" t="str">
        <f t="shared" si="422"/>
        <v>NA</v>
      </c>
      <c r="AC714" s="10" t="str">
        <f t="shared" si="423"/>
        <v>NA</v>
      </c>
      <c r="AD714" s="10" t="str">
        <f t="shared" si="424"/>
        <v>NA</v>
      </c>
      <c r="AE714" s="10" t="str">
        <f t="shared" si="425"/>
        <v>NA</v>
      </c>
      <c r="AF714" s="1" t="s">
        <v>4242</v>
      </c>
    </row>
    <row r="715" spans="1:32" x14ac:dyDescent="0.2">
      <c r="A715" s="1" t="s">
        <v>5666</v>
      </c>
      <c r="B715" s="1" t="s">
        <v>5</v>
      </c>
      <c r="C715" s="1" t="s">
        <v>1575</v>
      </c>
      <c r="D715" s="1" t="s">
        <v>1580</v>
      </c>
      <c r="E715" s="1" t="s">
        <v>1587</v>
      </c>
      <c r="F715" s="1" t="s">
        <v>4233</v>
      </c>
      <c r="G715" s="13">
        <v>0.125</v>
      </c>
      <c r="H715" s="28">
        <v>44362</v>
      </c>
      <c r="I715" s="29">
        <f t="shared" si="181"/>
        <v>2021</v>
      </c>
      <c r="J715" s="1" t="s">
        <v>4227</v>
      </c>
      <c r="K715" s="1" t="s">
        <v>7</v>
      </c>
      <c r="L715" s="11" t="str">
        <f t="shared" si="625"/>
        <v>НЕТ</v>
      </c>
      <c r="M715" s="10" t="s">
        <v>1575</v>
      </c>
      <c r="N715" s="10" t="s">
        <v>1575</v>
      </c>
      <c r="O715" s="10" t="s">
        <v>1575</v>
      </c>
      <c r="P715" s="10" t="str">
        <f t="shared" si="618"/>
        <v>NA</v>
      </c>
      <c r="Q715" s="10" t="str">
        <f t="shared" si="619"/>
        <v>NA</v>
      </c>
      <c r="R715" s="10" t="s">
        <v>1575</v>
      </c>
      <c r="S715" s="10" t="s">
        <v>1575</v>
      </c>
      <c r="T715" s="10" t="s">
        <v>1575</v>
      </c>
      <c r="U715" s="10" t="s">
        <v>1575</v>
      </c>
      <c r="V715" s="10" t="s">
        <v>1575</v>
      </c>
      <c r="W715" s="10" t="s">
        <v>1575</v>
      </c>
      <c r="X715" s="10" t="str">
        <f t="shared" si="418"/>
        <v>NA</v>
      </c>
      <c r="Y715" s="10" t="str">
        <f t="shared" si="419"/>
        <v>NA</v>
      </c>
      <c r="Z715" s="10" t="str">
        <f t="shared" si="420"/>
        <v>NA</v>
      </c>
      <c r="AA715" s="10" t="str">
        <f t="shared" si="421"/>
        <v>NA</v>
      </c>
      <c r="AB715" s="10" t="str">
        <f t="shared" si="422"/>
        <v>NA</v>
      </c>
      <c r="AC715" s="10" t="str">
        <f t="shared" si="423"/>
        <v>NA</v>
      </c>
      <c r="AD715" s="10" t="str">
        <f t="shared" si="424"/>
        <v>NA</v>
      </c>
      <c r="AE715" s="10" t="str">
        <f t="shared" si="425"/>
        <v>NA</v>
      </c>
      <c r="AF715" s="1" t="s">
        <v>4232</v>
      </c>
    </row>
    <row r="716" spans="1:32" x14ac:dyDescent="0.2">
      <c r="A716" s="1" t="s">
        <v>5667</v>
      </c>
      <c r="B716" s="1" t="s">
        <v>179</v>
      </c>
      <c r="C716" s="1" t="s">
        <v>1575</v>
      </c>
      <c r="D716" s="1" t="s">
        <v>1813</v>
      </c>
      <c r="E716" s="1" t="s">
        <v>4235</v>
      </c>
      <c r="F716" s="1" t="s">
        <v>4234</v>
      </c>
      <c r="G716" s="13">
        <v>0.51</v>
      </c>
      <c r="H716" s="28">
        <v>44335</v>
      </c>
      <c r="I716" s="29">
        <f t="shared" si="181"/>
        <v>2021</v>
      </c>
      <c r="J716" s="1" t="s">
        <v>4227</v>
      </c>
      <c r="K716" s="1" t="s">
        <v>7</v>
      </c>
      <c r="L716" s="11" t="str">
        <f t="shared" ref="L716:L720" si="626">IF(OR(A716=J716,A716=K716),"ДА","НЕТ")</f>
        <v>НЕТ</v>
      </c>
      <c r="M716" s="10" t="s">
        <v>1575</v>
      </c>
      <c r="N716" s="10" t="s">
        <v>1575</v>
      </c>
      <c r="O716" s="10">
        <v>2.885E-3</v>
      </c>
      <c r="P716" s="10">
        <f t="shared" si="618"/>
        <v>5.6568627450980392E-3</v>
      </c>
      <c r="Q716" s="10" t="str">
        <f t="shared" si="619"/>
        <v>NA</v>
      </c>
      <c r="R716" s="10" t="s">
        <v>1575</v>
      </c>
      <c r="S716" s="10" t="s">
        <v>1575</v>
      </c>
      <c r="T716" s="10" t="s">
        <v>1575</v>
      </c>
      <c r="U716" s="10" t="s">
        <v>1575</v>
      </c>
      <c r="V716" s="10">
        <v>-0.59164700000000003</v>
      </c>
      <c r="W716" s="10" t="s">
        <v>1575</v>
      </c>
      <c r="X716" s="10" t="str">
        <f t="shared" si="418"/>
        <v>NA</v>
      </c>
      <c r="Y716" s="10" t="str">
        <f t="shared" si="419"/>
        <v>NA</v>
      </c>
      <c r="Z716" s="10" t="str">
        <f t="shared" si="420"/>
        <v>NA</v>
      </c>
      <c r="AA716" s="10">
        <f t="shared" si="421"/>
        <v>-9.5612125897672744E-3</v>
      </c>
      <c r="AB716" s="10" t="str">
        <f t="shared" si="422"/>
        <v>NA</v>
      </c>
      <c r="AC716" s="10" t="str">
        <f t="shared" si="423"/>
        <v>NA</v>
      </c>
      <c r="AD716" s="10" t="str">
        <f t="shared" si="424"/>
        <v>NA</v>
      </c>
      <c r="AE716" s="10" t="str">
        <f t="shared" si="425"/>
        <v>NA</v>
      </c>
      <c r="AF716" s="1" t="s">
        <v>4236</v>
      </c>
    </row>
    <row r="717" spans="1:32" x14ac:dyDescent="0.2">
      <c r="A717" s="1" t="s">
        <v>5660</v>
      </c>
      <c r="B717" s="1" t="s">
        <v>5</v>
      </c>
      <c r="C717" s="1" t="s">
        <v>1575</v>
      </c>
      <c r="D717" s="1" t="s">
        <v>1580</v>
      </c>
      <c r="E717" s="1" t="s">
        <v>1581</v>
      </c>
      <c r="F717" s="1" t="s">
        <v>67</v>
      </c>
      <c r="G717" s="13">
        <v>0.245</v>
      </c>
      <c r="H717" s="28">
        <v>44408</v>
      </c>
      <c r="I717" s="29">
        <f t="shared" ref="I717:I720" si="627">YEAR(H717)</f>
        <v>2021</v>
      </c>
      <c r="J717" s="1" t="s">
        <v>4227</v>
      </c>
      <c r="K717" s="1" t="s">
        <v>7</v>
      </c>
      <c r="L717" s="11" t="str">
        <f t="shared" si="626"/>
        <v>НЕТ</v>
      </c>
      <c r="M717" s="10" t="s">
        <v>1575</v>
      </c>
      <c r="N717" s="10" t="s">
        <v>1575</v>
      </c>
      <c r="O717" s="10">
        <f>V717*G717</f>
        <v>0.683947635</v>
      </c>
      <c r="P717" s="10">
        <f t="shared" si="618"/>
        <v>2.791623</v>
      </c>
      <c r="Q717" s="10" t="str">
        <f t="shared" si="619"/>
        <v>NA</v>
      </c>
      <c r="R717" s="10" t="s">
        <v>1575</v>
      </c>
      <c r="S717" s="10" t="s">
        <v>1575</v>
      </c>
      <c r="T717" s="10" t="s">
        <v>1575</v>
      </c>
      <c r="U717" s="10" t="s">
        <v>1575</v>
      </c>
      <c r="V717" s="10">
        <v>2.791623</v>
      </c>
      <c r="W717" s="10" t="s">
        <v>1575</v>
      </c>
      <c r="X717" s="10" t="str">
        <f t="shared" si="418"/>
        <v>NA</v>
      </c>
      <c r="Y717" s="10" t="str">
        <f t="shared" si="419"/>
        <v>NA</v>
      </c>
      <c r="Z717" s="10" t="str">
        <f t="shared" si="420"/>
        <v>NA</v>
      </c>
      <c r="AA717" s="10">
        <f t="shared" si="421"/>
        <v>1</v>
      </c>
      <c r="AB717" s="10" t="str">
        <f t="shared" si="422"/>
        <v>NA</v>
      </c>
      <c r="AC717" s="10" t="str">
        <f t="shared" si="423"/>
        <v>NA</v>
      </c>
      <c r="AD717" s="10" t="str">
        <f t="shared" si="424"/>
        <v>NA</v>
      </c>
      <c r="AE717" s="10" t="str">
        <f t="shared" si="425"/>
        <v>NA</v>
      </c>
      <c r="AF717" s="1" t="s">
        <v>4240</v>
      </c>
    </row>
    <row r="718" spans="1:32" x14ac:dyDescent="0.2">
      <c r="A718" s="1" t="s">
        <v>4227</v>
      </c>
      <c r="B718" s="1" t="s">
        <v>5</v>
      </c>
      <c r="C718" s="1" t="s">
        <v>4229</v>
      </c>
      <c r="D718" s="1" t="s">
        <v>1580</v>
      </c>
      <c r="E718" s="1" t="s">
        <v>1593</v>
      </c>
      <c r="F718" s="1" t="s">
        <v>545</v>
      </c>
      <c r="G718" s="13">
        <f>9695774/62438984</f>
        <v>0.15528398091807516</v>
      </c>
      <c r="H718" s="28">
        <v>44561</v>
      </c>
      <c r="I718" s="29">
        <f t="shared" ref="I718" si="628">YEAR(H718)</f>
        <v>2021</v>
      </c>
      <c r="J718" s="1" t="s">
        <v>4227</v>
      </c>
      <c r="K718" s="1" t="s">
        <v>7</v>
      </c>
      <c r="L718" s="11" t="str">
        <f t="shared" ref="L718" si="629">IF(OR(A718=J718,A718=K718),"ДА","НЕТ")</f>
        <v>ДА</v>
      </c>
      <c r="M718" s="10" t="s">
        <v>1575</v>
      </c>
      <c r="N718" s="10" t="s">
        <v>1575</v>
      </c>
      <c r="O718" s="10">
        <f>9695774*544.86/10^9</f>
        <v>5.2828394216400003</v>
      </c>
      <c r="P718" s="10">
        <f t="shared" si="618"/>
        <v>34.020504822239999</v>
      </c>
      <c r="Q718" s="10" t="str">
        <f t="shared" si="619"/>
        <v>NA</v>
      </c>
      <c r="R718" s="10" t="s">
        <v>1575</v>
      </c>
      <c r="S718" s="10" t="s">
        <v>1575</v>
      </c>
      <c r="T718" s="10" t="s">
        <v>1575</v>
      </c>
      <c r="U718" s="10">
        <v>4.1183009999999998</v>
      </c>
      <c r="V718" s="10">
        <v>56.977469999999997</v>
      </c>
      <c r="W718" s="10" t="s">
        <v>1575</v>
      </c>
      <c r="X718" s="10" t="str">
        <f t="shared" si="418"/>
        <v>NA</v>
      </c>
      <c r="Y718" s="10" t="str">
        <f t="shared" si="419"/>
        <v>NA</v>
      </c>
      <c r="Z718" s="10">
        <f t="shared" si="420"/>
        <v>8.2608106649416833</v>
      </c>
      <c r="AA718" s="10">
        <f t="shared" si="421"/>
        <v>0.59708696827430208</v>
      </c>
      <c r="AB718" s="10" t="str">
        <f t="shared" si="422"/>
        <v>NA</v>
      </c>
      <c r="AC718" s="10" t="str">
        <f t="shared" si="423"/>
        <v>NA</v>
      </c>
      <c r="AD718" s="10" t="str">
        <f t="shared" si="424"/>
        <v>NA</v>
      </c>
      <c r="AE718" s="10" t="str">
        <f t="shared" si="425"/>
        <v>NA</v>
      </c>
    </row>
    <row r="719" spans="1:32" x14ac:dyDescent="0.2">
      <c r="A719" s="1" t="s">
        <v>4227</v>
      </c>
      <c r="B719" s="1" t="s">
        <v>5</v>
      </c>
      <c r="C719" s="1" t="s">
        <v>4229</v>
      </c>
      <c r="D719" s="1" t="s">
        <v>1580</v>
      </c>
      <c r="E719" s="1" t="s">
        <v>1593</v>
      </c>
      <c r="F719" s="1" t="s">
        <v>545</v>
      </c>
      <c r="G719" s="13">
        <f>1397939/62438984</f>
        <v>2.2388881279682579E-2</v>
      </c>
      <c r="H719" s="28">
        <v>44561</v>
      </c>
      <c r="I719" s="29">
        <f t="shared" si="627"/>
        <v>2021</v>
      </c>
      <c r="J719" s="1" t="s">
        <v>7</v>
      </c>
      <c r="K719" s="1" t="s">
        <v>4227</v>
      </c>
      <c r="L719" s="11" t="str">
        <f t="shared" si="626"/>
        <v>ДА</v>
      </c>
      <c r="M719" s="10" t="s">
        <v>1575</v>
      </c>
      <c r="N719" s="10" t="s">
        <v>1575</v>
      </c>
      <c r="O719" s="10">
        <f>1397939*544.78/10^9</f>
        <v>0.76156920841999998</v>
      </c>
      <c r="P719" s="10">
        <f t="shared" si="618"/>
        <v>34.015509703519996</v>
      </c>
      <c r="Q719" s="10" t="str">
        <f t="shared" si="619"/>
        <v>NA</v>
      </c>
      <c r="R719" s="10" t="s">
        <v>1575</v>
      </c>
      <c r="S719" s="10" t="s">
        <v>1575</v>
      </c>
      <c r="T719" s="10" t="s">
        <v>1575</v>
      </c>
      <c r="U719" s="10">
        <v>4.1183009999999998</v>
      </c>
      <c r="V719" s="10">
        <v>56.977469999999997</v>
      </c>
      <c r="W719" s="10" t="s">
        <v>1575</v>
      </c>
      <c r="X719" s="10" t="str">
        <f t="shared" si="418"/>
        <v>NA</v>
      </c>
      <c r="Y719" s="10" t="str">
        <f t="shared" si="419"/>
        <v>NA</v>
      </c>
      <c r="Z719" s="10">
        <f t="shared" si="420"/>
        <v>8.2595977573081711</v>
      </c>
      <c r="AA719" s="10">
        <f t="shared" si="421"/>
        <v>0.59699929996049317</v>
      </c>
      <c r="AB719" s="10" t="str">
        <f t="shared" si="422"/>
        <v>NA</v>
      </c>
      <c r="AC719" s="10" t="str">
        <f t="shared" si="423"/>
        <v>NA</v>
      </c>
      <c r="AD719" s="10" t="str">
        <f t="shared" si="424"/>
        <v>NA</v>
      </c>
      <c r="AE719" s="10" t="str">
        <f t="shared" si="425"/>
        <v>NA</v>
      </c>
    </row>
    <row r="720" spans="1:32" x14ac:dyDescent="0.2">
      <c r="A720" s="1" t="s">
        <v>4227</v>
      </c>
      <c r="B720" s="1" t="s">
        <v>5</v>
      </c>
      <c r="C720" s="1" t="s">
        <v>4229</v>
      </c>
      <c r="D720" s="1" t="s">
        <v>1580</v>
      </c>
      <c r="E720" s="1" t="s">
        <v>1593</v>
      </c>
      <c r="F720" s="1" t="s">
        <v>545</v>
      </c>
      <c r="G720" s="13">
        <f>12710170/63729062</f>
        <v>0.19944071983987463</v>
      </c>
      <c r="H720" s="28">
        <v>44196</v>
      </c>
      <c r="I720" s="29">
        <f t="shared" si="627"/>
        <v>2020</v>
      </c>
      <c r="J720" s="1" t="s">
        <v>4227</v>
      </c>
      <c r="K720" s="1" t="s">
        <v>7</v>
      </c>
      <c r="L720" s="11" t="str">
        <f t="shared" si="626"/>
        <v>ДА</v>
      </c>
      <c r="M720" s="10" t="s">
        <v>1575</v>
      </c>
      <c r="N720" s="10" t="s">
        <v>1575</v>
      </c>
      <c r="O720" s="10">
        <f>12710170*518.55/10^9</f>
        <v>6.5908586534999989</v>
      </c>
      <c r="P720" s="10">
        <f t="shared" si="618"/>
        <v>33.046705100099992</v>
      </c>
      <c r="Q720" s="10" t="str">
        <f t="shared" si="619"/>
        <v>NA</v>
      </c>
      <c r="R720" s="10" t="s">
        <v>1575</v>
      </c>
      <c r="S720" s="10" t="s">
        <v>1575</v>
      </c>
      <c r="T720" s="10" t="s">
        <v>1575</v>
      </c>
      <c r="U720" s="10">
        <v>-3.6767289999999999</v>
      </c>
      <c r="V720" s="10">
        <v>61.232717999999998</v>
      </c>
      <c r="W720" s="10" t="s">
        <v>1575</v>
      </c>
      <c r="X720" s="10" t="str">
        <f t="shared" si="418"/>
        <v>NA</v>
      </c>
      <c r="Y720" s="10" t="str">
        <f t="shared" si="419"/>
        <v>NA</v>
      </c>
      <c r="Z720" s="10">
        <f t="shared" si="420"/>
        <v>-8.9880720336200994</v>
      </c>
      <c r="AA720" s="10">
        <f t="shared" si="421"/>
        <v>0.53969031882759133</v>
      </c>
      <c r="AB720" s="10" t="str">
        <f t="shared" si="422"/>
        <v>NA</v>
      </c>
      <c r="AC720" s="10" t="str">
        <f t="shared" si="423"/>
        <v>NA</v>
      </c>
      <c r="AD720" s="10" t="str">
        <f t="shared" si="424"/>
        <v>NA</v>
      </c>
      <c r="AE720" s="10" t="str">
        <f t="shared" si="425"/>
        <v>NA</v>
      </c>
    </row>
    <row r="721" spans="1:32" x14ac:dyDescent="0.2">
      <c r="A721" s="1" t="s">
        <v>4227</v>
      </c>
      <c r="B721" s="1" t="s">
        <v>5</v>
      </c>
      <c r="C721" s="1" t="s">
        <v>4229</v>
      </c>
      <c r="D721" s="1" t="s">
        <v>1580</v>
      </c>
      <c r="E721" s="1" t="s">
        <v>1593</v>
      </c>
      <c r="F721" s="1" t="s">
        <v>545</v>
      </c>
      <c r="G721" s="13">
        <f>693780/63729062</f>
        <v>1.0886399049777321E-2</v>
      </c>
      <c r="H721" s="28">
        <v>44196</v>
      </c>
      <c r="I721" s="29">
        <f t="shared" ref="I721" si="630">YEAR(H721)</f>
        <v>2020</v>
      </c>
      <c r="J721" s="1" t="s">
        <v>7</v>
      </c>
      <c r="K721" s="1" t="s">
        <v>4227</v>
      </c>
      <c r="L721" s="11" t="str">
        <f t="shared" ref="L721" si="631">IF(OR(A721=J721,A721=K721),"ДА","НЕТ")</f>
        <v>ДА</v>
      </c>
      <c r="M721" s="10" t="s">
        <v>1575</v>
      </c>
      <c r="N721" s="10" t="s">
        <v>1575</v>
      </c>
      <c r="O721" s="10">
        <f>693780*528.56/10^9</f>
        <v>0.36670435679999996</v>
      </c>
      <c r="P721" s="10">
        <f t="shared" si="618"/>
        <v>33.684633010719999</v>
      </c>
      <c r="Q721" s="10" t="str">
        <f t="shared" si="619"/>
        <v>NA</v>
      </c>
      <c r="R721" s="10" t="s">
        <v>1575</v>
      </c>
      <c r="S721" s="10" t="s">
        <v>1575</v>
      </c>
      <c r="T721" s="10" t="s">
        <v>1575</v>
      </c>
      <c r="U721" s="10">
        <v>-3.6767289999999999</v>
      </c>
      <c r="V721" s="10">
        <v>61.232717999999998</v>
      </c>
      <c r="W721" s="10" t="s">
        <v>1575</v>
      </c>
      <c r="X721" s="10" t="str">
        <f t="shared" si="418"/>
        <v>NA</v>
      </c>
      <c r="Y721" s="10" t="str">
        <f t="shared" si="419"/>
        <v>NA</v>
      </c>
      <c r="Z721" s="10">
        <f t="shared" si="420"/>
        <v>-9.1615762300457817</v>
      </c>
      <c r="AA721" s="10">
        <f t="shared" si="421"/>
        <v>0.55010840790572124</v>
      </c>
      <c r="AB721" s="10" t="str">
        <f t="shared" si="422"/>
        <v>NA</v>
      </c>
      <c r="AC721" s="10" t="str">
        <f t="shared" si="423"/>
        <v>NA</v>
      </c>
      <c r="AD721" s="10" t="str">
        <f t="shared" si="424"/>
        <v>NA</v>
      </c>
      <c r="AE721" s="10" t="str">
        <f t="shared" si="425"/>
        <v>NA</v>
      </c>
    </row>
    <row r="722" spans="1:32" x14ac:dyDescent="0.2">
      <c r="A722" s="1" t="s">
        <v>5664</v>
      </c>
      <c r="B722" s="1" t="s">
        <v>5</v>
      </c>
      <c r="C722" s="1" t="s">
        <v>1575</v>
      </c>
      <c r="D722" s="1" t="s">
        <v>1580</v>
      </c>
      <c r="E722" s="1" t="s">
        <v>1590</v>
      </c>
      <c r="F722" s="1" t="s">
        <v>664</v>
      </c>
      <c r="G722" s="13">
        <v>0.68279999999999996</v>
      </c>
      <c r="H722" s="28">
        <v>43861</v>
      </c>
      <c r="I722" s="29">
        <f t="shared" si="181"/>
        <v>2020</v>
      </c>
      <c r="J722" s="1" t="s">
        <v>4227</v>
      </c>
      <c r="K722" s="1" t="s">
        <v>7</v>
      </c>
      <c r="L722" s="11" t="str">
        <f t="shared" ref="L722:L724" si="632">IF(OR(A722=J722,A722=K722),"ДА","НЕТ")</f>
        <v>НЕТ</v>
      </c>
      <c r="M722" s="10" t="s">
        <v>1575</v>
      </c>
      <c r="N722" s="10" t="s">
        <v>1575</v>
      </c>
      <c r="O722" s="10" t="s">
        <v>1575</v>
      </c>
      <c r="P722" s="10" t="str">
        <f t="shared" si="618"/>
        <v>NA</v>
      </c>
      <c r="Q722" s="10" t="str">
        <f t="shared" si="619"/>
        <v>NA</v>
      </c>
      <c r="R722" s="10" t="s">
        <v>1575</v>
      </c>
      <c r="S722" s="10" t="s">
        <v>1575</v>
      </c>
      <c r="T722" s="10" t="s">
        <v>1575</v>
      </c>
      <c r="U722" s="10" t="s">
        <v>1575</v>
      </c>
      <c r="V722" s="10" t="s">
        <v>1575</v>
      </c>
      <c r="W722" s="10" t="s">
        <v>1575</v>
      </c>
      <c r="X722" s="10" t="str">
        <f t="shared" si="418"/>
        <v>NA</v>
      </c>
      <c r="Y722" s="10" t="str">
        <f t="shared" si="419"/>
        <v>NA</v>
      </c>
      <c r="Z722" s="10" t="str">
        <f t="shared" si="420"/>
        <v>NA</v>
      </c>
      <c r="AA722" s="10" t="str">
        <f t="shared" si="421"/>
        <v>NA</v>
      </c>
      <c r="AB722" s="10" t="str">
        <f t="shared" si="422"/>
        <v>NA</v>
      </c>
      <c r="AC722" s="10" t="str">
        <f t="shared" si="423"/>
        <v>NA</v>
      </c>
      <c r="AD722" s="10" t="str">
        <f t="shared" si="424"/>
        <v>NA</v>
      </c>
      <c r="AE722" s="10" t="str">
        <f t="shared" si="425"/>
        <v>NA</v>
      </c>
      <c r="AF722" s="1" t="s">
        <v>4237</v>
      </c>
    </row>
    <row r="723" spans="1:32" x14ac:dyDescent="0.2">
      <c r="A723" s="1" t="s">
        <v>4239</v>
      </c>
      <c r="B723" s="1" t="s">
        <v>179</v>
      </c>
      <c r="C723" s="1" t="s">
        <v>1575</v>
      </c>
      <c r="D723" s="1" t="s">
        <v>1580</v>
      </c>
      <c r="E723" s="1" t="s">
        <v>1593</v>
      </c>
      <c r="F723" s="1" t="s">
        <v>545</v>
      </c>
      <c r="G723" s="13">
        <v>1</v>
      </c>
      <c r="H723" s="28">
        <v>43868</v>
      </c>
      <c r="I723" s="29">
        <f t="shared" si="181"/>
        <v>2020</v>
      </c>
      <c r="J723" s="1" t="s">
        <v>4227</v>
      </c>
      <c r="K723" s="1" t="s">
        <v>7</v>
      </c>
      <c r="L723" s="11" t="str">
        <f t="shared" si="632"/>
        <v>НЕТ</v>
      </c>
      <c r="M723" s="10" t="s">
        <v>1575</v>
      </c>
      <c r="N723" s="10" t="s">
        <v>1575</v>
      </c>
      <c r="O723" s="10" t="s">
        <v>1575</v>
      </c>
      <c r="P723" s="10" t="str">
        <f t="shared" si="618"/>
        <v>NA</v>
      </c>
      <c r="Q723" s="10" t="str">
        <f t="shared" si="619"/>
        <v>NA</v>
      </c>
      <c r="R723" s="10" t="s">
        <v>1575</v>
      </c>
      <c r="S723" s="10" t="s">
        <v>1575</v>
      </c>
      <c r="T723" s="10" t="s">
        <v>1575</v>
      </c>
      <c r="U723" s="10" t="s">
        <v>1575</v>
      </c>
      <c r="V723" s="10">
        <v>9.9999999999999995E-7</v>
      </c>
      <c r="W723" s="10" t="s">
        <v>1575</v>
      </c>
      <c r="X723" s="10" t="str">
        <f t="shared" si="418"/>
        <v>NA</v>
      </c>
      <c r="Y723" s="10" t="str">
        <f t="shared" si="419"/>
        <v>NA</v>
      </c>
      <c r="Z723" s="10" t="str">
        <f t="shared" si="420"/>
        <v>NA</v>
      </c>
      <c r="AA723" s="10" t="str">
        <f t="shared" si="421"/>
        <v>NA</v>
      </c>
      <c r="AB723" s="10" t="str">
        <f t="shared" si="422"/>
        <v>NA</v>
      </c>
      <c r="AC723" s="10" t="str">
        <f t="shared" si="423"/>
        <v>NA</v>
      </c>
      <c r="AD723" s="10" t="str">
        <f t="shared" si="424"/>
        <v>NA</v>
      </c>
      <c r="AE723" s="10" t="str">
        <f t="shared" si="425"/>
        <v>NA</v>
      </c>
      <c r="AF723" s="1" t="s">
        <v>4238</v>
      </c>
    </row>
    <row r="724" spans="1:32" x14ac:dyDescent="0.2">
      <c r="A724" s="1" t="s">
        <v>5666</v>
      </c>
      <c r="B724" s="1" t="s">
        <v>5</v>
      </c>
      <c r="C724" s="1" t="s">
        <v>1575</v>
      </c>
      <c r="D724" s="1" t="s">
        <v>1580</v>
      </c>
      <c r="E724" s="1" t="s">
        <v>1587</v>
      </c>
      <c r="F724" s="1" t="s">
        <v>4233</v>
      </c>
      <c r="G724" s="13">
        <v>6.25E-2</v>
      </c>
      <c r="H724" s="28">
        <v>44195</v>
      </c>
      <c r="I724" s="29">
        <f t="shared" si="181"/>
        <v>2020</v>
      </c>
      <c r="J724" s="1" t="s">
        <v>7</v>
      </c>
      <c r="K724" s="1" t="s">
        <v>4227</v>
      </c>
      <c r="L724" s="11" t="str">
        <f t="shared" si="632"/>
        <v>НЕТ</v>
      </c>
      <c r="M724" s="10" t="s">
        <v>1575</v>
      </c>
      <c r="N724" s="10" t="s">
        <v>1575</v>
      </c>
      <c r="O724" s="10" t="s">
        <v>1575</v>
      </c>
      <c r="P724" s="10" t="str">
        <f t="shared" si="618"/>
        <v>NA</v>
      </c>
      <c r="Q724" s="10" t="str">
        <f t="shared" si="619"/>
        <v>NA</v>
      </c>
      <c r="R724" s="10" t="s">
        <v>1575</v>
      </c>
      <c r="S724" s="10" t="s">
        <v>1575</v>
      </c>
      <c r="T724" s="10" t="s">
        <v>1575</v>
      </c>
      <c r="U724" s="10" t="s">
        <v>1575</v>
      </c>
      <c r="V724" s="10" t="s">
        <v>1575</v>
      </c>
      <c r="W724" s="10" t="s">
        <v>1575</v>
      </c>
      <c r="X724" s="10" t="str">
        <f t="shared" si="418"/>
        <v>NA</v>
      </c>
      <c r="Y724" s="10" t="str">
        <f t="shared" si="419"/>
        <v>NA</v>
      </c>
      <c r="Z724" s="10" t="str">
        <f t="shared" si="420"/>
        <v>NA</v>
      </c>
      <c r="AA724" s="10" t="str">
        <f t="shared" si="421"/>
        <v>NA</v>
      </c>
      <c r="AB724" s="10" t="str">
        <f t="shared" si="422"/>
        <v>NA</v>
      </c>
      <c r="AC724" s="10" t="str">
        <f t="shared" si="423"/>
        <v>NA</v>
      </c>
      <c r="AD724" s="10" t="str">
        <f t="shared" si="424"/>
        <v>NA</v>
      </c>
      <c r="AE724" s="10" t="str">
        <f t="shared" si="425"/>
        <v>NA</v>
      </c>
      <c r="AF724" s="1" t="s">
        <v>4243</v>
      </c>
    </row>
    <row r="725" spans="1:32" x14ac:dyDescent="0.2">
      <c r="A725" s="1" t="s">
        <v>4227</v>
      </c>
      <c r="B725" s="1" t="s">
        <v>5</v>
      </c>
      <c r="C725" s="1" t="s">
        <v>4229</v>
      </c>
      <c r="D725" s="1" t="s">
        <v>1580</v>
      </c>
      <c r="E725" s="1" t="s">
        <v>1593</v>
      </c>
      <c r="F725" s="1" t="s">
        <v>545</v>
      </c>
      <c r="G725" s="13">
        <f>16.33%-11.52%</f>
        <v>4.8099999999999976E-2</v>
      </c>
      <c r="H725" s="28">
        <v>43921</v>
      </c>
      <c r="I725" s="29">
        <f t="shared" ref="I725" si="633">YEAR(H725)</f>
        <v>2020</v>
      </c>
      <c r="J725" s="1" t="s">
        <v>4253</v>
      </c>
      <c r="K725" s="1" t="s">
        <v>7</v>
      </c>
      <c r="L725" s="11" t="str">
        <f t="shared" ref="L725" si="634">IF(OR(A725=J725,A725=K725),"ДА","НЕТ")</f>
        <v>НЕТ</v>
      </c>
      <c r="M725" s="10" t="s">
        <v>1575</v>
      </c>
      <c r="N725" s="10" t="s">
        <v>1575</v>
      </c>
      <c r="O725" s="10" t="s">
        <v>1575</v>
      </c>
      <c r="P725" s="10" t="str">
        <f t="shared" si="618"/>
        <v>NA</v>
      </c>
      <c r="Q725" s="10" t="str">
        <f t="shared" si="619"/>
        <v>NA</v>
      </c>
      <c r="R725" s="10" t="s">
        <v>1575</v>
      </c>
      <c r="S725" s="10" t="s">
        <v>1575</v>
      </c>
      <c r="T725" s="10" t="s">
        <v>1575</v>
      </c>
      <c r="U725" s="10">
        <v>9.2478990000000003</v>
      </c>
      <c r="V725" s="10">
        <v>88.295643999999996</v>
      </c>
      <c r="W725" s="10" t="s">
        <v>1575</v>
      </c>
      <c r="X725" s="10" t="str">
        <f t="shared" si="418"/>
        <v>NA</v>
      </c>
      <c r="Y725" s="10" t="str">
        <f t="shared" si="419"/>
        <v>NA</v>
      </c>
      <c r="Z725" s="10" t="str">
        <f t="shared" si="420"/>
        <v>NA</v>
      </c>
      <c r="AA725" s="10" t="str">
        <f t="shared" si="421"/>
        <v>NA</v>
      </c>
      <c r="AB725" s="10" t="str">
        <f t="shared" si="422"/>
        <v>NA</v>
      </c>
      <c r="AC725" s="10" t="str">
        <f t="shared" si="423"/>
        <v>NA</v>
      </c>
      <c r="AD725" s="10" t="str">
        <f t="shared" si="424"/>
        <v>NA</v>
      </c>
      <c r="AE725" s="10" t="str">
        <f t="shared" si="425"/>
        <v>NA</v>
      </c>
      <c r="AF725" s="1" t="s">
        <v>4252</v>
      </c>
    </row>
    <row r="726" spans="1:32" x14ac:dyDescent="0.2">
      <c r="A726" s="1" t="s">
        <v>4227</v>
      </c>
      <c r="B726" s="1" t="s">
        <v>5</v>
      </c>
      <c r="C726" s="1" t="s">
        <v>4229</v>
      </c>
      <c r="D726" s="1" t="s">
        <v>1580</v>
      </c>
      <c r="E726" s="1" t="s">
        <v>1593</v>
      </c>
      <c r="F726" s="1" t="s">
        <v>545</v>
      </c>
      <c r="G726" s="13">
        <f>7585880/19707903</f>
        <v>0.3849156351134872</v>
      </c>
      <c r="H726" s="28">
        <v>43830</v>
      </c>
      <c r="I726" s="29">
        <f t="shared" si="181"/>
        <v>2019</v>
      </c>
      <c r="J726" s="1" t="s">
        <v>4227</v>
      </c>
      <c r="K726" s="1" t="s">
        <v>7</v>
      </c>
      <c r="L726" s="11" t="str">
        <f t="shared" ref="L726:L727" si="635">IF(OR(A726=J726,A726=K726),"ДА","НЕТ")</f>
        <v>ДА</v>
      </c>
      <c r="M726" s="10" t="s">
        <v>1575</v>
      </c>
      <c r="N726" s="10" t="s">
        <v>1575</v>
      </c>
      <c r="O726" s="10">
        <f>7585880*520.33/10^9</f>
        <v>3.9471609404000003</v>
      </c>
      <c r="P726" s="10">
        <f t="shared" si="618"/>
        <v>10.254613167990001</v>
      </c>
      <c r="Q726" s="10" t="str">
        <f t="shared" si="619"/>
        <v>NA</v>
      </c>
      <c r="R726" s="10" t="s">
        <v>1575</v>
      </c>
      <c r="S726" s="10" t="s">
        <v>1575</v>
      </c>
      <c r="T726" s="10" t="s">
        <v>1575</v>
      </c>
      <c r="U726" s="10">
        <v>9.2478990000000003</v>
      </c>
      <c r="V726" s="10">
        <v>88.295643999999996</v>
      </c>
      <c r="W726" s="10" t="s">
        <v>1575</v>
      </c>
      <c r="X726" s="10" t="str">
        <f t="shared" si="418"/>
        <v>NA</v>
      </c>
      <c r="Y726" s="10" t="str">
        <f t="shared" si="419"/>
        <v>NA</v>
      </c>
      <c r="Z726" s="10">
        <f t="shared" si="420"/>
        <v>1.1088586897402319</v>
      </c>
      <c r="AA726" s="10">
        <f t="shared" si="421"/>
        <v>0.11613951383592606</v>
      </c>
      <c r="AB726" s="10" t="str">
        <f t="shared" si="422"/>
        <v>NA</v>
      </c>
      <c r="AC726" s="10" t="str">
        <f t="shared" si="423"/>
        <v>NA</v>
      </c>
      <c r="AD726" s="10" t="str">
        <f t="shared" si="424"/>
        <v>NA</v>
      </c>
      <c r="AE726" s="10" t="str">
        <f t="shared" si="425"/>
        <v>NA</v>
      </c>
    </row>
    <row r="727" spans="1:32" x14ac:dyDescent="0.2">
      <c r="A727" s="1" t="s">
        <v>4227</v>
      </c>
      <c r="B727" s="1" t="s">
        <v>5</v>
      </c>
      <c r="C727" s="1" t="s">
        <v>4229</v>
      </c>
      <c r="D727" s="1" t="s">
        <v>1580</v>
      </c>
      <c r="E727" s="1" t="s">
        <v>1593</v>
      </c>
      <c r="F727" s="1" t="s">
        <v>545</v>
      </c>
      <c r="G727" s="13">
        <f>307730/19707903</f>
        <v>1.5614548133304694E-2</v>
      </c>
      <c r="H727" s="28">
        <v>43830</v>
      </c>
      <c r="I727" s="29">
        <f t="shared" si="181"/>
        <v>2019</v>
      </c>
      <c r="J727" s="1" t="s">
        <v>7</v>
      </c>
      <c r="K727" s="1" t="s">
        <v>4227</v>
      </c>
      <c r="L727" s="11" t="str">
        <f t="shared" si="635"/>
        <v>ДА</v>
      </c>
      <c r="M727" s="10" t="s">
        <v>1575</v>
      </c>
      <c r="N727" s="10" t="s">
        <v>1575</v>
      </c>
      <c r="O727" s="10">
        <f>307730*559.24/10^9</f>
        <v>0.1720949252</v>
      </c>
      <c r="P727" s="10">
        <f t="shared" si="618"/>
        <v>11.021447673720001</v>
      </c>
      <c r="Q727" s="10" t="str">
        <f t="shared" si="619"/>
        <v>NA</v>
      </c>
      <c r="R727" s="10" t="s">
        <v>1575</v>
      </c>
      <c r="S727" s="10" t="s">
        <v>1575</v>
      </c>
      <c r="T727" s="10" t="s">
        <v>1575</v>
      </c>
      <c r="U727" s="10">
        <v>9.2478990000000003</v>
      </c>
      <c r="V727" s="10">
        <v>88.295643999999996</v>
      </c>
      <c r="W727" s="10" t="s">
        <v>1575</v>
      </c>
      <c r="X727" s="10" t="str">
        <f t="shared" si="418"/>
        <v>NA</v>
      </c>
      <c r="Y727" s="10" t="str">
        <f t="shared" si="419"/>
        <v>NA</v>
      </c>
      <c r="Z727" s="10">
        <f t="shared" si="420"/>
        <v>1.191778551400702</v>
      </c>
      <c r="AA727" s="10">
        <f t="shared" si="421"/>
        <v>0.12482436476390615</v>
      </c>
      <c r="AB727" s="10" t="str">
        <f t="shared" si="422"/>
        <v>NA</v>
      </c>
      <c r="AC727" s="10" t="str">
        <f t="shared" si="423"/>
        <v>NA</v>
      </c>
      <c r="AD727" s="10" t="str">
        <f t="shared" si="424"/>
        <v>NA</v>
      </c>
      <c r="AE727" s="10" t="str">
        <f t="shared" si="425"/>
        <v>NA</v>
      </c>
    </row>
    <row r="728" spans="1:32" x14ac:dyDescent="0.2">
      <c r="A728" s="1" t="s">
        <v>5666</v>
      </c>
      <c r="B728" s="1" t="s">
        <v>5</v>
      </c>
      <c r="C728" s="1" t="s">
        <v>1575</v>
      </c>
      <c r="D728" s="1" t="s">
        <v>1580</v>
      </c>
      <c r="E728" s="1" t="s">
        <v>1587</v>
      </c>
      <c r="F728" s="1" t="s">
        <v>4233</v>
      </c>
      <c r="G728" s="13">
        <v>6.25E-2</v>
      </c>
      <c r="H728" s="28">
        <v>43803</v>
      </c>
      <c r="I728" s="29">
        <f t="shared" ref="I728" si="636">YEAR(H728)</f>
        <v>2019</v>
      </c>
      <c r="J728" s="1" t="s">
        <v>4227</v>
      </c>
      <c r="K728" s="1" t="s">
        <v>7</v>
      </c>
      <c r="L728" s="11" t="str">
        <f t="shared" ref="L728" si="637">IF(OR(A728=J728,A728=K728),"ДА","НЕТ")</f>
        <v>НЕТ</v>
      </c>
      <c r="M728" s="10" t="s">
        <v>1575</v>
      </c>
      <c r="N728" s="10" t="s">
        <v>1575</v>
      </c>
      <c r="O728" s="10" t="s">
        <v>1575</v>
      </c>
      <c r="P728" s="10" t="str">
        <f t="shared" si="618"/>
        <v>NA</v>
      </c>
      <c r="Q728" s="10" t="str">
        <f t="shared" si="619"/>
        <v>NA</v>
      </c>
      <c r="R728" s="10" t="s">
        <v>1575</v>
      </c>
      <c r="S728" s="10" t="s">
        <v>1575</v>
      </c>
      <c r="T728" s="10" t="s">
        <v>1575</v>
      </c>
      <c r="U728" s="10" t="s">
        <v>1575</v>
      </c>
      <c r="V728" s="10">
        <v>0.19806599999999999</v>
      </c>
      <c r="W728" s="10" t="s">
        <v>1575</v>
      </c>
      <c r="X728" s="10" t="str">
        <f t="shared" si="418"/>
        <v>NA</v>
      </c>
      <c r="Y728" s="10" t="str">
        <f t="shared" si="419"/>
        <v>NA</v>
      </c>
      <c r="Z728" s="10" t="str">
        <f t="shared" si="420"/>
        <v>NA</v>
      </c>
      <c r="AA728" s="10" t="str">
        <f t="shared" si="421"/>
        <v>NA</v>
      </c>
      <c r="AB728" s="10" t="str">
        <f t="shared" si="422"/>
        <v>NA</v>
      </c>
      <c r="AC728" s="10" t="str">
        <f t="shared" si="423"/>
        <v>NA</v>
      </c>
      <c r="AD728" s="10" t="str">
        <f t="shared" si="424"/>
        <v>NA</v>
      </c>
      <c r="AE728" s="10" t="str">
        <f t="shared" si="425"/>
        <v>NA</v>
      </c>
      <c r="AF728" s="1" t="s">
        <v>4246</v>
      </c>
    </row>
    <row r="729" spans="1:32" x14ac:dyDescent="0.2">
      <c r="A729" s="1" t="s">
        <v>5666</v>
      </c>
      <c r="B729" s="1" t="s">
        <v>5</v>
      </c>
      <c r="C729" s="1" t="s">
        <v>1575</v>
      </c>
      <c r="D729" s="1" t="s">
        <v>1580</v>
      </c>
      <c r="E729" s="1" t="s">
        <v>1587</v>
      </c>
      <c r="F729" s="1" t="s">
        <v>4233</v>
      </c>
      <c r="G729" s="13">
        <v>0.75</v>
      </c>
      <c r="H729" s="28">
        <v>43434</v>
      </c>
      <c r="I729" s="29">
        <f t="shared" ref="I729:I730" si="638">YEAR(H729)</f>
        <v>2018</v>
      </c>
      <c r="J729" s="1" t="s">
        <v>4227</v>
      </c>
      <c r="K729" s="1" t="s">
        <v>7</v>
      </c>
      <c r="L729" s="11" t="str">
        <f t="shared" ref="L729:L730" si="639">IF(OR(A729=J729,A729=K729),"ДА","НЕТ")</f>
        <v>НЕТ</v>
      </c>
      <c r="M729" s="10" t="s">
        <v>1575</v>
      </c>
      <c r="N729" s="10" t="s">
        <v>1575</v>
      </c>
      <c r="O729" s="10">
        <v>0.30333599999999999</v>
      </c>
      <c r="P729" s="10">
        <f t="shared" si="618"/>
        <v>0.40444799999999997</v>
      </c>
      <c r="Q729" s="10" t="str">
        <f t="shared" si="619"/>
        <v>NA</v>
      </c>
      <c r="R729" s="10" t="s">
        <v>1575</v>
      </c>
      <c r="S729" s="10" t="s">
        <v>1575</v>
      </c>
      <c r="T729" s="10" t="s">
        <v>1575</v>
      </c>
      <c r="U729" s="10" t="s">
        <v>1575</v>
      </c>
      <c r="V729" s="10">
        <v>0.19806599999999999</v>
      </c>
      <c r="W729" s="10" t="s">
        <v>1575</v>
      </c>
      <c r="X729" s="10" t="str">
        <f t="shared" si="418"/>
        <v>NA</v>
      </c>
      <c r="Y729" s="10" t="str">
        <f t="shared" si="419"/>
        <v>NA</v>
      </c>
      <c r="Z729" s="10" t="str">
        <f t="shared" si="420"/>
        <v>NA</v>
      </c>
      <c r="AA729" s="10">
        <f t="shared" si="421"/>
        <v>2.0419860046651115</v>
      </c>
      <c r="AB729" s="10" t="str">
        <f t="shared" si="422"/>
        <v>NA</v>
      </c>
      <c r="AC729" s="10" t="str">
        <f t="shared" si="423"/>
        <v>NA</v>
      </c>
      <c r="AD729" s="10" t="str">
        <f t="shared" si="424"/>
        <v>NA</v>
      </c>
      <c r="AE729" s="10" t="str">
        <f t="shared" si="425"/>
        <v>NA</v>
      </c>
      <c r="AF729" s="1" t="s">
        <v>4247</v>
      </c>
    </row>
    <row r="730" spans="1:32" x14ac:dyDescent="0.2">
      <c r="A730" s="1" t="s">
        <v>5668</v>
      </c>
      <c r="B730" s="1" t="s">
        <v>5</v>
      </c>
      <c r="C730" s="1" t="s">
        <v>1575</v>
      </c>
      <c r="D730" s="1" t="s">
        <v>1580</v>
      </c>
      <c r="E730" s="1" t="s">
        <v>1593</v>
      </c>
      <c r="F730" s="1" t="s">
        <v>545</v>
      </c>
      <c r="G730" s="13">
        <v>0.99990000000000001</v>
      </c>
      <c r="H730" s="28">
        <v>43216</v>
      </c>
      <c r="I730" s="29">
        <f t="shared" si="638"/>
        <v>2018</v>
      </c>
      <c r="J730" s="1" t="s">
        <v>4227</v>
      </c>
      <c r="K730" s="1" t="s">
        <v>7</v>
      </c>
      <c r="L730" s="11" t="str">
        <f t="shared" si="639"/>
        <v>НЕТ</v>
      </c>
      <c r="M730" s="10" t="s">
        <v>1575</v>
      </c>
      <c r="N730" s="10" t="s">
        <v>1575</v>
      </c>
      <c r="O730" s="10">
        <v>11.955131</v>
      </c>
      <c r="P730" s="10">
        <f t="shared" si="618"/>
        <v>11.956326632663266</v>
      </c>
      <c r="Q730" s="10" t="str">
        <f t="shared" si="619"/>
        <v>NA</v>
      </c>
      <c r="R730" s="10" t="s">
        <v>1575</v>
      </c>
      <c r="S730" s="10" t="s">
        <v>1575</v>
      </c>
      <c r="T730" s="10" t="s">
        <v>1575</v>
      </c>
      <c r="U730" s="10" t="s">
        <v>1575</v>
      </c>
      <c r="V730" s="10">
        <v>4.8714659999999999</v>
      </c>
      <c r="W730" s="10" t="s">
        <v>1575</v>
      </c>
      <c r="X730" s="10" t="str">
        <f t="shared" si="418"/>
        <v>NA</v>
      </c>
      <c r="Y730" s="10" t="str">
        <f t="shared" si="419"/>
        <v>NA</v>
      </c>
      <c r="Z730" s="10" t="str">
        <f t="shared" si="420"/>
        <v>NA</v>
      </c>
      <c r="AA730" s="10">
        <f t="shared" si="421"/>
        <v>2.4543590435945291</v>
      </c>
      <c r="AB730" s="10" t="str">
        <f t="shared" si="422"/>
        <v>NA</v>
      </c>
      <c r="AC730" s="10" t="str">
        <f t="shared" si="423"/>
        <v>NA</v>
      </c>
      <c r="AD730" s="10" t="str">
        <f t="shared" si="424"/>
        <v>NA</v>
      </c>
      <c r="AE730" s="10" t="str">
        <f t="shared" si="425"/>
        <v>NA</v>
      </c>
      <c r="AF730" s="1" t="s">
        <v>4248</v>
      </c>
    </row>
    <row r="731" spans="1:32" x14ac:dyDescent="0.2">
      <c r="A731" s="1" t="s">
        <v>4250</v>
      </c>
      <c r="B731" s="1" t="s">
        <v>179</v>
      </c>
      <c r="C731" s="1" t="s">
        <v>1575</v>
      </c>
      <c r="D731" s="1" t="s">
        <v>1580</v>
      </c>
      <c r="E731" s="1" t="s">
        <v>1593</v>
      </c>
      <c r="F731" s="1" t="s">
        <v>545</v>
      </c>
      <c r="G731" s="13">
        <v>1</v>
      </c>
      <c r="H731" s="28">
        <v>43445</v>
      </c>
      <c r="I731" s="29">
        <f t="shared" si="181"/>
        <v>2018</v>
      </c>
      <c r="J731" s="1" t="s">
        <v>4227</v>
      </c>
      <c r="K731" s="1" t="s">
        <v>7</v>
      </c>
      <c r="L731" s="11" t="str">
        <f t="shared" ref="L731:L734" si="640">IF(OR(A731=J731,A731=K731),"ДА","НЕТ")</f>
        <v>НЕТ</v>
      </c>
      <c r="M731" s="10" t="s">
        <v>1575</v>
      </c>
      <c r="N731" s="10" t="s">
        <v>1575</v>
      </c>
      <c r="O731" s="10" t="s">
        <v>1575</v>
      </c>
      <c r="P731" s="10" t="str">
        <f t="shared" si="618"/>
        <v>NA</v>
      </c>
      <c r="Q731" s="10" t="str">
        <f t="shared" si="619"/>
        <v>NA</v>
      </c>
      <c r="R731" s="10" t="s">
        <v>1575</v>
      </c>
      <c r="S731" s="10" t="s">
        <v>1575</v>
      </c>
      <c r="T731" s="10" t="s">
        <v>1575</v>
      </c>
      <c r="U731" s="10" t="s">
        <v>1575</v>
      </c>
      <c r="V731" s="10" t="s">
        <v>1575</v>
      </c>
      <c r="W731" s="10" t="s">
        <v>1575</v>
      </c>
      <c r="X731" s="10" t="str">
        <f t="shared" si="418"/>
        <v>NA</v>
      </c>
      <c r="Y731" s="10" t="str">
        <f t="shared" si="419"/>
        <v>NA</v>
      </c>
      <c r="Z731" s="10" t="str">
        <f t="shared" si="420"/>
        <v>NA</v>
      </c>
      <c r="AA731" s="10" t="str">
        <f t="shared" si="421"/>
        <v>NA</v>
      </c>
      <c r="AB731" s="10" t="str">
        <f t="shared" si="422"/>
        <v>NA</v>
      </c>
      <c r="AC731" s="10" t="str">
        <f t="shared" si="423"/>
        <v>NA</v>
      </c>
      <c r="AD731" s="10" t="str">
        <f t="shared" si="424"/>
        <v>NA</v>
      </c>
      <c r="AE731" s="10" t="str">
        <f t="shared" si="425"/>
        <v>NA</v>
      </c>
      <c r="AF731" s="1" t="s">
        <v>4249</v>
      </c>
    </row>
    <row r="732" spans="1:32" x14ac:dyDescent="0.2">
      <c r="A732" s="1" t="s">
        <v>5664</v>
      </c>
      <c r="B732" s="1" t="s">
        <v>5</v>
      </c>
      <c r="C732" s="1" t="s">
        <v>1575</v>
      </c>
      <c r="D732" s="1" t="s">
        <v>1580</v>
      </c>
      <c r="E732" s="1" t="s">
        <v>1590</v>
      </c>
      <c r="F732" s="1" t="s">
        <v>664</v>
      </c>
      <c r="G732" s="13">
        <v>1</v>
      </c>
      <c r="H732" s="28">
        <v>43465</v>
      </c>
      <c r="I732" s="29">
        <f t="shared" ref="I732:I734" si="641">YEAR(H732)</f>
        <v>2018</v>
      </c>
      <c r="J732" s="1" t="s">
        <v>4227</v>
      </c>
      <c r="K732" s="1" t="s">
        <v>7</v>
      </c>
      <c r="L732" s="11" t="str">
        <f t="shared" si="640"/>
        <v>НЕТ</v>
      </c>
      <c r="M732" s="10" t="s">
        <v>1575</v>
      </c>
      <c r="N732" s="10" t="s">
        <v>1575</v>
      </c>
      <c r="O732" s="10">
        <v>0.16</v>
      </c>
      <c r="P732" s="10">
        <f t="shared" si="618"/>
        <v>0.16</v>
      </c>
      <c r="Q732" s="10" t="str">
        <f t="shared" si="619"/>
        <v>NA</v>
      </c>
      <c r="R732" s="10" t="s">
        <v>1575</v>
      </c>
      <c r="S732" s="10" t="s">
        <v>1575</v>
      </c>
      <c r="T732" s="10" t="s">
        <v>1575</v>
      </c>
      <c r="U732" s="10" t="s">
        <v>1575</v>
      </c>
      <c r="V732" s="10">
        <v>0.41674899999999998</v>
      </c>
      <c r="W732" s="10" t="s">
        <v>1575</v>
      </c>
      <c r="X732" s="10" t="str">
        <f t="shared" si="418"/>
        <v>NA</v>
      </c>
      <c r="Y732" s="10" t="str">
        <f t="shared" si="419"/>
        <v>NA</v>
      </c>
      <c r="Z732" s="10" t="str">
        <f t="shared" si="420"/>
        <v>NA</v>
      </c>
      <c r="AA732" s="10">
        <f t="shared" si="421"/>
        <v>0.3839241365906097</v>
      </c>
      <c r="AB732" s="10" t="str">
        <f t="shared" si="422"/>
        <v>NA</v>
      </c>
      <c r="AC732" s="10" t="str">
        <f t="shared" si="423"/>
        <v>NA</v>
      </c>
      <c r="AD732" s="10" t="str">
        <f t="shared" si="424"/>
        <v>NA</v>
      </c>
      <c r="AE732" s="10" t="str">
        <f t="shared" si="425"/>
        <v>NA</v>
      </c>
      <c r="AF732" s="1" t="s">
        <v>4251</v>
      </c>
    </row>
    <row r="733" spans="1:32" x14ac:dyDescent="0.2">
      <c r="A733" s="1" t="s">
        <v>4227</v>
      </c>
      <c r="B733" s="1" t="s">
        <v>5</v>
      </c>
      <c r="C733" s="1" t="s">
        <v>4229</v>
      </c>
      <c r="D733" s="1" t="s">
        <v>1580</v>
      </c>
      <c r="E733" s="1" t="s">
        <v>1593</v>
      </c>
      <c r="F733" s="1" t="s">
        <v>545</v>
      </c>
      <c r="G733" s="13">
        <f>7324980/12429753</f>
        <v>0.5893101817872004</v>
      </c>
      <c r="H733" s="28">
        <v>43465</v>
      </c>
      <c r="I733" s="29">
        <f t="shared" si="641"/>
        <v>2018</v>
      </c>
      <c r="J733" s="1" t="s">
        <v>4227</v>
      </c>
      <c r="K733" s="1" t="s">
        <v>7</v>
      </c>
      <c r="L733" s="11" t="str">
        <f t="shared" si="640"/>
        <v>ДА</v>
      </c>
      <c r="M733" s="10" t="s">
        <v>1575</v>
      </c>
      <c r="N733" s="10" t="s">
        <v>1575</v>
      </c>
      <c r="O733" s="10">
        <f>7324980*675/10^9</f>
        <v>4.9443615000000003</v>
      </c>
      <c r="P733" s="10">
        <f t="shared" si="618"/>
        <v>8.3900832750000003</v>
      </c>
      <c r="Q733" s="10" t="str">
        <f t="shared" si="619"/>
        <v>NA</v>
      </c>
      <c r="R733" s="10" t="s">
        <v>1575</v>
      </c>
      <c r="S733" s="10" t="s">
        <v>1575</v>
      </c>
      <c r="T733" s="10" t="s">
        <v>1575</v>
      </c>
      <c r="U733" s="10">
        <v>8.9313359999999999</v>
      </c>
      <c r="V733" s="10">
        <v>83.465637000000001</v>
      </c>
      <c r="W733" s="10" t="s">
        <v>1575</v>
      </c>
      <c r="X733" s="10" t="str">
        <f t="shared" si="418"/>
        <v>NA</v>
      </c>
      <c r="Y733" s="10" t="str">
        <f t="shared" si="419"/>
        <v>NA</v>
      </c>
      <c r="Z733" s="10">
        <f t="shared" si="420"/>
        <v>0.93939845897635033</v>
      </c>
      <c r="AA733" s="10">
        <f t="shared" si="421"/>
        <v>0.10052140709116017</v>
      </c>
      <c r="AB733" s="10" t="str">
        <f t="shared" si="422"/>
        <v>NA</v>
      </c>
      <c r="AC733" s="10" t="str">
        <f t="shared" si="423"/>
        <v>NA</v>
      </c>
      <c r="AD733" s="10" t="str">
        <f t="shared" si="424"/>
        <v>NA</v>
      </c>
      <c r="AE733" s="10" t="str">
        <f t="shared" si="425"/>
        <v>NA</v>
      </c>
    </row>
    <row r="734" spans="1:32" x14ac:dyDescent="0.2">
      <c r="A734" s="1" t="s">
        <v>4227</v>
      </c>
      <c r="B734" s="1" t="s">
        <v>5</v>
      </c>
      <c r="C734" s="1" t="s">
        <v>4229</v>
      </c>
      <c r="D734" s="1" t="s">
        <v>1580</v>
      </c>
      <c r="E734" s="1" t="s">
        <v>1593</v>
      </c>
      <c r="F734" s="1" t="s">
        <v>545</v>
      </c>
      <c r="G734" s="13">
        <f>3883890/12429753</f>
        <v>0.3124671906191539</v>
      </c>
      <c r="H734" s="28">
        <v>43465</v>
      </c>
      <c r="I734" s="29">
        <f t="shared" si="641"/>
        <v>2018</v>
      </c>
      <c r="J734" s="1" t="s">
        <v>7</v>
      </c>
      <c r="K734" s="1" t="s">
        <v>4227</v>
      </c>
      <c r="L734" s="11" t="str">
        <f t="shared" si="640"/>
        <v>ДА</v>
      </c>
      <c r="M734" s="10" t="s">
        <v>1575</v>
      </c>
      <c r="N734" s="10" t="s">
        <v>1575</v>
      </c>
      <c r="O734" s="10">
        <f>3883890*747/10^9</f>
        <v>2.9012658299999998</v>
      </c>
      <c r="P734" s="10">
        <f t="shared" si="618"/>
        <v>9.285025490999999</v>
      </c>
      <c r="Q734" s="10" t="str">
        <f t="shared" si="619"/>
        <v>NA</v>
      </c>
      <c r="R734" s="10" t="s">
        <v>1575</v>
      </c>
      <c r="S734" s="10" t="s">
        <v>1575</v>
      </c>
      <c r="T734" s="10" t="s">
        <v>1575</v>
      </c>
      <c r="U734" s="10">
        <v>8.9313359999999999</v>
      </c>
      <c r="V734" s="10">
        <v>83.465637000000001</v>
      </c>
      <c r="W734" s="10" t="s">
        <v>1575</v>
      </c>
      <c r="X734" s="10" t="str">
        <f t="shared" si="418"/>
        <v>NA</v>
      </c>
      <c r="Y734" s="10" t="str">
        <f t="shared" si="419"/>
        <v>NA</v>
      </c>
      <c r="Z734" s="10">
        <f t="shared" si="420"/>
        <v>1.0396009612671608</v>
      </c>
      <c r="AA734" s="10">
        <f t="shared" si="421"/>
        <v>0.11124369051421723</v>
      </c>
      <c r="AB734" s="10" t="str">
        <f t="shared" si="422"/>
        <v>NA</v>
      </c>
      <c r="AC734" s="10" t="str">
        <f t="shared" si="423"/>
        <v>NA</v>
      </c>
      <c r="AD734" s="10" t="str">
        <f t="shared" si="424"/>
        <v>NA</v>
      </c>
      <c r="AE734" s="10" t="str">
        <f t="shared" si="425"/>
        <v>NA</v>
      </c>
    </row>
    <row r="735" spans="1:32" x14ac:dyDescent="0.2">
      <c r="A735" s="1" t="s">
        <v>4227</v>
      </c>
      <c r="B735" s="1" t="s">
        <v>5</v>
      </c>
      <c r="C735" s="1" t="s">
        <v>4229</v>
      </c>
      <c r="D735" s="1" t="s">
        <v>1580</v>
      </c>
      <c r="E735" s="1" t="s">
        <v>1593</v>
      </c>
      <c r="F735" s="1" t="s">
        <v>545</v>
      </c>
      <c r="G735" s="13">
        <f>1255360/1265750</f>
        <v>0.9917914280071104</v>
      </c>
      <c r="H735" s="28">
        <v>43100</v>
      </c>
      <c r="I735" s="29">
        <f t="shared" ref="I735:I736" si="642">YEAR(H735)</f>
        <v>2017</v>
      </c>
      <c r="J735" s="1" t="s">
        <v>4227</v>
      </c>
      <c r="K735" s="1" t="s">
        <v>7</v>
      </c>
      <c r="L735" s="11" t="str">
        <f t="shared" ref="L735:L736" si="643">IF(OR(A735=J735,A735=K735),"ДА","НЕТ")</f>
        <v>ДА</v>
      </c>
      <c r="M735" s="10" t="s">
        <v>1575</v>
      </c>
      <c r="N735" s="10" t="s">
        <v>1575</v>
      </c>
      <c r="O735" s="10">
        <f>1255360*689/10^9</f>
        <v>0.86494304</v>
      </c>
      <c r="P735" s="10">
        <f t="shared" si="618"/>
        <v>0.87210175000000001</v>
      </c>
      <c r="Q735" s="10" t="str">
        <f t="shared" si="619"/>
        <v>NA</v>
      </c>
      <c r="R735" s="10" t="s">
        <v>1575</v>
      </c>
      <c r="S735" s="10" t="s">
        <v>1575</v>
      </c>
      <c r="T735" s="10" t="s">
        <v>1575</v>
      </c>
      <c r="U735" s="10">
        <v>8.2644020000000005</v>
      </c>
      <c r="V735" s="10">
        <v>84.567954</v>
      </c>
      <c r="W735" s="10" t="s">
        <v>1575</v>
      </c>
      <c r="X735" s="10" t="str">
        <f t="shared" si="418"/>
        <v>NA</v>
      </c>
      <c r="Y735" s="10" t="str">
        <f t="shared" si="419"/>
        <v>NA</v>
      </c>
      <c r="Z735" s="10">
        <f t="shared" si="420"/>
        <v>0.105525088203599</v>
      </c>
      <c r="AA735" s="10">
        <f t="shared" si="421"/>
        <v>1.0312437616736003E-2</v>
      </c>
      <c r="AB735" s="10" t="str">
        <f t="shared" si="422"/>
        <v>NA</v>
      </c>
      <c r="AC735" s="10" t="str">
        <f t="shared" si="423"/>
        <v>NA</v>
      </c>
      <c r="AD735" s="10" t="str">
        <f t="shared" si="424"/>
        <v>NA</v>
      </c>
      <c r="AE735" s="10" t="str">
        <f t="shared" si="425"/>
        <v>NA</v>
      </c>
    </row>
    <row r="736" spans="1:32" x14ac:dyDescent="0.2">
      <c r="A736" s="1" t="s">
        <v>4227</v>
      </c>
      <c r="B736" s="1" t="s">
        <v>5</v>
      </c>
      <c r="C736" s="1" t="s">
        <v>4229</v>
      </c>
      <c r="D736" s="1" t="s">
        <v>1580</v>
      </c>
      <c r="E736" s="1" t="s">
        <v>1593</v>
      </c>
      <c r="F736" s="1" t="s">
        <v>545</v>
      </c>
      <c r="G736" s="13">
        <f>102210/1265750</f>
        <v>8.075054315623148E-2</v>
      </c>
      <c r="H736" s="28">
        <v>43100</v>
      </c>
      <c r="I736" s="29">
        <f t="shared" si="642"/>
        <v>2017</v>
      </c>
      <c r="J736" s="1" t="s">
        <v>7</v>
      </c>
      <c r="K736" s="1" t="s">
        <v>4227</v>
      </c>
      <c r="L736" s="11" t="str">
        <f t="shared" si="643"/>
        <v>ДА</v>
      </c>
      <c r="M736" s="10" t="s">
        <v>1575</v>
      </c>
      <c r="N736" s="10" t="s">
        <v>1575</v>
      </c>
      <c r="O736" s="10">
        <f>102210*731/10^9</f>
        <v>7.4715509999999999E-2</v>
      </c>
      <c r="P736" s="10">
        <f t="shared" si="618"/>
        <v>0.92526324999999998</v>
      </c>
      <c r="Q736" s="10" t="str">
        <f t="shared" si="619"/>
        <v>NA</v>
      </c>
      <c r="R736" s="10" t="s">
        <v>1575</v>
      </c>
      <c r="S736" s="10" t="s">
        <v>1575</v>
      </c>
      <c r="T736" s="10" t="s">
        <v>1575</v>
      </c>
      <c r="U736" s="10">
        <v>8.2644020000000005</v>
      </c>
      <c r="V736" s="10">
        <v>84.567954</v>
      </c>
      <c r="W736" s="10" t="s">
        <v>1575</v>
      </c>
      <c r="X736" s="10" t="str">
        <f t="shared" si="418"/>
        <v>NA</v>
      </c>
      <c r="Y736" s="10" t="str">
        <f t="shared" si="419"/>
        <v>NA</v>
      </c>
      <c r="Z736" s="10">
        <f t="shared" si="420"/>
        <v>0.11195767703458762</v>
      </c>
      <c r="AA736" s="10">
        <f t="shared" si="421"/>
        <v>1.0941062261007283E-2</v>
      </c>
      <c r="AB736" s="10" t="str">
        <f t="shared" si="422"/>
        <v>NA</v>
      </c>
      <c r="AC736" s="10" t="str">
        <f t="shared" si="423"/>
        <v>NA</v>
      </c>
      <c r="AD736" s="10" t="str">
        <f t="shared" si="424"/>
        <v>NA</v>
      </c>
      <c r="AE736" s="10" t="str">
        <f t="shared" si="425"/>
        <v>NA</v>
      </c>
    </row>
    <row r="737" spans="1:32" x14ac:dyDescent="0.2">
      <c r="A737" s="1" t="s">
        <v>5669</v>
      </c>
      <c r="B737" s="1" t="s">
        <v>5</v>
      </c>
      <c r="C737" s="1" t="s">
        <v>1575</v>
      </c>
      <c r="D737" s="1" t="s">
        <v>1580</v>
      </c>
      <c r="E737" s="1" t="s">
        <v>1593</v>
      </c>
      <c r="F737" s="1" t="s">
        <v>545</v>
      </c>
      <c r="G737" s="13">
        <v>1</v>
      </c>
      <c r="H737" s="28">
        <v>42916</v>
      </c>
      <c r="I737" s="29">
        <f t="shared" si="181"/>
        <v>2017</v>
      </c>
      <c r="J737" s="1" t="s">
        <v>7</v>
      </c>
      <c r="K737" s="1" t="s">
        <v>4227</v>
      </c>
      <c r="L737" s="11" t="str">
        <f t="shared" ref="L737:L738" si="644">IF(OR(A737=J737,A737=K737),"ДА","НЕТ")</f>
        <v>НЕТ</v>
      </c>
      <c r="M737" s="10" t="s">
        <v>1575</v>
      </c>
      <c r="N737" s="10" t="s">
        <v>1575</v>
      </c>
      <c r="O737" s="10">
        <v>2</v>
      </c>
      <c r="P737" s="10">
        <f t="shared" si="618"/>
        <v>2</v>
      </c>
      <c r="Q737" s="10" t="str">
        <f t="shared" si="619"/>
        <v>NA</v>
      </c>
      <c r="R737" s="10" t="s">
        <v>1575</v>
      </c>
      <c r="S737" s="10" t="s">
        <v>1575</v>
      </c>
      <c r="T737" s="10" t="s">
        <v>1575</v>
      </c>
      <c r="U737" s="10" t="s">
        <v>1575</v>
      </c>
      <c r="V737" s="10">
        <v>1.045866</v>
      </c>
      <c r="W737" s="10" t="s">
        <v>1575</v>
      </c>
      <c r="X737" s="10" t="str">
        <f t="shared" si="418"/>
        <v>NA</v>
      </c>
      <c r="Y737" s="10" t="str">
        <f t="shared" si="419"/>
        <v>NA</v>
      </c>
      <c r="Z737" s="10" t="str">
        <f t="shared" si="420"/>
        <v>NA</v>
      </c>
      <c r="AA737" s="10">
        <f t="shared" si="421"/>
        <v>1.912290867090048</v>
      </c>
      <c r="AB737" s="10" t="str">
        <f t="shared" si="422"/>
        <v>NA</v>
      </c>
      <c r="AC737" s="10" t="str">
        <f t="shared" si="423"/>
        <v>NA</v>
      </c>
      <c r="AD737" s="10" t="str">
        <f t="shared" si="424"/>
        <v>NA</v>
      </c>
      <c r="AE737" s="10" t="str">
        <f t="shared" si="425"/>
        <v>NA</v>
      </c>
      <c r="AF737" s="1" t="s">
        <v>4254</v>
      </c>
    </row>
    <row r="738" spans="1:32" x14ac:dyDescent="0.2">
      <c r="A738" s="1" t="s">
        <v>5662</v>
      </c>
      <c r="B738" s="1" t="s">
        <v>5</v>
      </c>
      <c r="C738" s="1" t="s">
        <v>1575</v>
      </c>
      <c r="D738" s="1" t="s">
        <v>1580</v>
      </c>
      <c r="E738" s="1" t="s">
        <v>1590</v>
      </c>
      <c r="F738" s="1" t="s">
        <v>664</v>
      </c>
      <c r="G738" s="13">
        <v>1</v>
      </c>
      <c r="H738" s="28">
        <v>42735</v>
      </c>
      <c r="I738" s="29">
        <f t="shared" si="181"/>
        <v>2016</v>
      </c>
      <c r="J738" s="1" t="s">
        <v>4227</v>
      </c>
      <c r="K738" s="1" t="s">
        <v>7</v>
      </c>
      <c r="L738" s="11" t="str">
        <f t="shared" si="644"/>
        <v>НЕТ</v>
      </c>
      <c r="M738" s="10" t="s">
        <v>1575</v>
      </c>
      <c r="N738" s="10" t="s">
        <v>1575</v>
      </c>
      <c r="O738" s="10">
        <v>33.374872000000003</v>
      </c>
      <c r="P738" s="10">
        <f t="shared" si="618"/>
        <v>33.374872000000003</v>
      </c>
      <c r="Q738" s="10" t="str">
        <f t="shared" si="619"/>
        <v>NA</v>
      </c>
      <c r="R738" s="10" t="s">
        <v>1575</v>
      </c>
      <c r="S738" s="10" t="s">
        <v>1575</v>
      </c>
      <c r="T738" s="10" t="s">
        <v>1575</v>
      </c>
      <c r="U738" s="10" t="s">
        <v>1575</v>
      </c>
      <c r="V738" s="10">
        <v>9.1742650000000001</v>
      </c>
      <c r="W738" s="10" t="s">
        <v>1575</v>
      </c>
      <c r="X738" s="10" t="str">
        <f t="shared" si="418"/>
        <v>NA</v>
      </c>
      <c r="Y738" s="10" t="str">
        <f t="shared" si="419"/>
        <v>NA</v>
      </c>
      <c r="Z738" s="10" t="str">
        <f t="shared" si="420"/>
        <v>NA</v>
      </c>
      <c r="AA738" s="10">
        <f t="shared" si="421"/>
        <v>3.6378796557544395</v>
      </c>
      <c r="AB738" s="10" t="str">
        <f t="shared" si="422"/>
        <v>NA</v>
      </c>
      <c r="AC738" s="10" t="str">
        <f t="shared" si="423"/>
        <v>NA</v>
      </c>
      <c r="AD738" s="10" t="str">
        <f t="shared" si="424"/>
        <v>NA</v>
      </c>
      <c r="AE738" s="10" t="str">
        <f t="shared" si="425"/>
        <v>NA</v>
      </c>
      <c r="AF738" s="1" t="s">
        <v>4255</v>
      </c>
    </row>
    <row r="739" spans="1:32" x14ac:dyDescent="0.2">
      <c r="A739" s="1" t="s">
        <v>5670</v>
      </c>
      <c r="B739" s="1" t="s">
        <v>5</v>
      </c>
      <c r="C739" s="1" t="s">
        <v>1575</v>
      </c>
      <c r="D739" s="1" t="s">
        <v>1580</v>
      </c>
      <c r="E739" s="1" t="s">
        <v>1694</v>
      </c>
      <c r="F739" s="1" t="s">
        <v>68</v>
      </c>
      <c r="G739" s="13">
        <v>1</v>
      </c>
      <c r="H739" s="28">
        <v>42369</v>
      </c>
      <c r="I739" s="29">
        <f t="shared" si="181"/>
        <v>2015</v>
      </c>
      <c r="J739" s="1" t="s">
        <v>7</v>
      </c>
      <c r="K739" s="1" t="s">
        <v>4227</v>
      </c>
      <c r="L739" s="11" t="str">
        <f t="shared" ref="L739" si="645">IF(OR(A739=J739,A739=K739),"ДА","НЕТ")</f>
        <v>НЕТ</v>
      </c>
      <c r="M739" s="10" t="s">
        <v>1575</v>
      </c>
      <c r="N739" s="10" t="s">
        <v>1575</v>
      </c>
      <c r="O739" s="10">
        <v>0.63051500000000005</v>
      </c>
      <c r="P739" s="10">
        <f t="shared" si="618"/>
        <v>0.63051500000000005</v>
      </c>
      <c r="Q739" s="10" t="str">
        <f t="shared" si="619"/>
        <v>NA</v>
      </c>
      <c r="R739" s="10" t="s">
        <v>1575</v>
      </c>
      <c r="S739" s="10" t="s">
        <v>1575</v>
      </c>
      <c r="T739" s="10" t="s">
        <v>1575</v>
      </c>
      <c r="U739" s="10">
        <v>-0.52721799999999996</v>
      </c>
      <c r="V739" s="10">
        <v>1.6809670000000001</v>
      </c>
      <c r="W739" s="10" t="s">
        <v>1575</v>
      </c>
      <c r="X739" s="10" t="str">
        <f t="shared" si="418"/>
        <v>NA</v>
      </c>
      <c r="Y739" s="10" t="str">
        <f t="shared" si="419"/>
        <v>NA</v>
      </c>
      <c r="Z739" s="10">
        <f t="shared" si="420"/>
        <v>-1.1959284394690624</v>
      </c>
      <c r="AA739" s="10">
        <f t="shared" si="421"/>
        <v>0.37509064722864877</v>
      </c>
      <c r="AB739" s="10" t="str">
        <f t="shared" si="422"/>
        <v>NA</v>
      </c>
      <c r="AC739" s="10" t="str">
        <f t="shared" si="423"/>
        <v>NA</v>
      </c>
      <c r="AD739" s="10" t="str">
        <f t="shared" si="424"/>
        <v>NA</v>
      </c>
      <c r="AE739" s="10" t="str">
        <f t="shared" si="425"/>
        <v>NA</v>
      </c>
      <c r="AF739" s="1" t="s">
        <v>4256</v>
      </c>
    </row>
    <row r="740" spans="1:32" x14ac:dyDescent="0.2">
      <c r="A740" s="1" t="s">
        <v>5661</v>
      </c>
      <c r="B740" s="1" t="s">
        <v>5</v>
      </c>
      <c r="C740" s="1" t="s">
        <v>1575</v>
      </c>
      <c r="D740" s="1" t="s">
        <v>1580</v>
      </c>
      <c r="E740" s="1" t="s">
        <v>1581</v>
      </c>
      <c r="F740" s="1" t="s">
        <v>67</v>
      </c>
      <c r="G740" s="13">
        <v>0.49</v>
      </c>
      <c r="H740" s="28">
        <v>42735</v>
      </c>
      <c r="I740" s="29">
        <f t="shared" si="181"/>
        <v>2016</v>
      </c>
      <c r="J740" s="1" t="s">
        <v>7</v>
      </c>
      <c r="K740" s="1" t="s">
        <v>4227</v>
      </c>
      <c r="L740" s="11" t="str">
        <f t="shared" ref="L740" si="646">IF(OR(A740=J740,A740=K740),"ДА","НЕТ")</f>
        <v>НЕТ</v>
      </c>
      <c r="M740" s="10" t="s">
        <v>1575</v>
      </c>
      <c r="N740" s="10" t="s">
        <v>1575</v>
      </c>
      <c r="O740" s="10">
        <v>16.071349000000001</v>
      </c>
      <c r="P740" s="10">
        <f t="shared" si="618"/>
        <v>32.798671428571431</v>
      </c>
      <c r="Q740" s="10" t="str">
        <f t="shared" si="619"/>
        <v>NA</v>
      </c>
      <c r="R740" s="10" t="s">
        <v>1575</v>
      </c>
      <c r="S740" s="10" t="s">
        <v>1575</v>
      </c>
      <c r="T740" s="10" t="s">
        <v>1575</v>
      </c>
      <c r="U740" s="10">
        <v>0.40626099999999998</v>
      </c>
      <c r="V740" s="10">
        <v>14.20369</v>
      </c>
      <c r="W740" s="10" t="s">
        <v>1575</v>
      </c>
      <c r="X740" s="10" t="str">
        <f t="shared" si="418"/>
        <v>NA</v>
      </c>
      <c r="Y740" s="10" t="str">
        <f t="shared" si="419"/>
        <v>NA</v>
      </c>
      <c r="Z740" s="10">
        <f t="shared" si="420"/>
        <v>80.733005207419453</v>
      </c>
      <c r="AA740" s="10">
        <f t="shared" si="421"/>
        <v>2.3091655357566543</v>
      </c>
      <c r="AB740" s="10" t="str">
        <f t="shared" si="422"/>
        <v>NA</v>
      </c>
      <c r="AC740" s="10" t="str">
        <f t="shared" si="423"/>
        <v>NA</v>
      </c>
      <c r="AD740" s="10" t="str">
        <f t="shared" si="424"/>
        <v>NA</v>
      </c>
      <c r="AE740" s="10" t="str">
        <f t="shared" si="425"/>
        <v>NA</v>
      </c>
      <c r="AF740" s="1" t="s">
        <v>4257</v>
      </c>
    </row>
    <row r="741" spans="1:32" x14ac:dyDescent="0.2">
      <c r="A741" s="1" t="s">
        <v>5671</v>
      </c>
      <c r="B741" s="1" t="s">
        <v>5</v>
      </c>
      <c r="C741" s="1" t="s">
        <v>1575</v>
      </c>
      <c r="D741" s="1" t="s">
        <v>1580</v>
      </c>
      <c r="E741" s="1" t="s">
        <v>1593</v>
      </c>
      <c r="F741" s="1" t="s">
        <v>545</v>
      </c>
      <c r="G741" s="13">
        <v>1</v>
      </c>
      <c r="H741" s="28">
        <v>42277</v>
      </c>
      <c r="I741" s="29">
        <f t="shared" ref="I741:I748" si="647">YEAR(H741)</f>
        <v>2015</v>
      </c>
      <c r="J741" s="1" t="s">
        <v>5672</v>
      </c>
      <c r="K741" s="1" t="s">
        <v>7</v>
      </c>
      <c r="L741" s="11" t="str">
        <f t="shared" ref="L741" si="648">IF(OR(A741=J741,A741=K741),"ДА","НЕТ")</f>
        <v>НЕТ</v>
      </c>
      <c r="M741" s="10" t="s">
        <v>1575</v>
      </c>
      <c r="N741" s="10" t="s">
        <v>1575</v>
      </c>
      <c r="O741" s="10" t="s">
        <v>1575</v>
      </c>
      <c r="P741" s="10" t="str">
        <f t="shared" si="618"/>
        <v>NA</v>
      </c>
      <c r="Q741" s="10" t="str">
        <f t="shared" si="619"/>
        <v>NA</v>
      </c>
      <c r="R741" s="10" t="s">
        <v>1575</v>
      </c>
      <c r="S741" s="10" t="s">
        <v>1575</v>
      </c>
      <c r="T741" s="10" t="s">
        <v>1575</v>
      </c>
      <c r="U741" s="10" t="s">
        <v>1575</v>
      </c>
      <c r="V741" s="10" t="s">
        <v>1575</v>
      </c>
      <c r="W741" s="10" t="s">
        <v>1575</v>
      </c>
      <c r="X741" s="10" t="str">
        <f t="shared" si="418"/>
        <v>NA</v>
      </c>
      <c r="Y741" s="10" t="str">
        <f t="shared" si="419"/>
        <v>NA</v>
      </c>
      <c r="Z741" s="10" t="str">
        <f t="shared" si="420"/>
        <v>NA</v>
      </c>
      <c r="AA741" s="10" t="str">
        <f t="shared" si="421"/>
        <v>NA</v>
      </c>
      <c r="AB741" s="10" t="str">
        <f t="shared" si="422"/>
        <v>NA</v>
      </c>
      <c r="AC741" s="10" t="str">
        <f t="shared" si="423"/>
        <v>NA</v>
      </c>
      <c r="AD741" s="10" t="str">
        <f t="shared" si="424"/>
        <v>NA</v>
      </c>
      <c r="AE741" s="10" t="str">
        <f t="shared" si="425"/>
        <v>NA</v>
      </c>
      <c r="AF741" s="1" t="s">
        <v>4258</v>
      </c>
    </row>
    <row r="742" spans="1:32" x14ac:dyDescent="0.2">
      <c r="A742" s="1" t="s">
        <v>4260</v>
      </c>
      <c r="B742" s="1" t="s">
        <v>5</v>
      </c>
      <c r="C742" s="1" t="s">
        <v>1575</v>
      </c>
      <c r="D742" s="1" t="s">
        <v>1580</v>
      </c>
      <c r="E742" s="1" t="s">
        <v>1694</v>
      </c>
      <c r="F742" s="1" t="s">
        <v>68</v>
      </c>
      <c r="G742" s="13">
        <v>0.999</v>
      </c>
      <c r="H742" s="28">
        <v>40755</v>
      </c>
      <c r="I742" s="29">
        <f t="shared" si="647"/>
        <v>2011</v>
      </c>
      <c r="J742" s="1" t="s">
        <v>4227</v>
      </c>
      <c r="K742" s="1" t="s">
        <v>7</v>
      </c>
      <c r="L742" s="11" t="str">
        <f t="shared" ref="L742" si="649">IF(OR(A742=J742,A742=K742),"ДА","НЕТ")</f>
        <v>НЕТ</v>
      </c>
      <c r="M742" s="10" t="s">
        <v>1575</v>
      </c>
      <c r="N742" s="10" t="s">
        <v>1575</v>
      </c>
      <c r="O742" s="10">
        <v>1.5697700000000001</v>
      </c>
      <c r="P742" s="10">
        <f t="shared" si="618"/>
        <v>1.5713413413413415</v>
      </c>
      <c r="Q742" s="10" t="str">
        <f t="shared" si="619"/>
        <v>NA</v>
      </c>
      <c r="R742" s="10" t="s">
        <v>1575</v>
      </c>
      <c r="S742" s="10" t="s">
        <v>1575</v>
      </c>
      <c r="T742" s="10" t="s">
        <v>1575</v>
      </c>
      <c r="U742" s="10" t="s">
        <v>1575</v>
      </c>
      <c r="V742" s="10">
        <v>1.401732</v>
      </c>
      <c r="W742" s="10" t="s">
        <v>1575</v>
      </c>
      <c r="X742" s="10" t="str">
        <f t="shared" si="418"/>
        <v>NA</v>
      </c>
      <c r="Y742" s="10" t="str">
        <f t="shared" si="419"/>
        <v>NA</v>
      </c>
      <c r="Z742" s="10" t="str">
        <f t="shared" si="420"/>
        <v>NA</v>
      </c>
      <c r="AA742" s="10">
        <f t="shared" si="421"/>
        <v>1.1209998354473905</v>
      </c>
      <c r="AB742" s="10" t="str">
        <f t="shared" si="422"/>
        <v>NA</v>
      </c>
      <c r="AC742" s="10" t="str">
        <f t="shared" si="423"/>
        <v>NA</v>
      </c>
      <c r="AD742" s="10" t="str">
        <f t="shared" si="424"/>
        <v>NA</v>
      </c>
      <c r="AE742" s="10" t="str">
        <f t="shared" si="425"/>
        <v>NA</v>
      </c>
      <c r="AF742" s="1" t="s">
        <v>4259</v>
      </c>
    </row>
    <row r="743" spans="1:32" x14ac:dyDescent="0.2">
      <c r="A743" s="1" t="s">
        <v>5673</v>
      </c>
      <c r="B743" s="1" t="s">
        <v>5</v>
      </c>
      <c r="C743" s="1" t="s">
        <v>1575</v>
      </c>
      <c r="D743" s="1" t="s">
        <v>1580</v>
      </c>
      <c r="E743" s="1" t="s">
        <v>1827</v>
      </c>
      <c r="F743" s="1" t="s">
        <v>4060</v>
      </c>
      <c r="G743" s="13">
        <v>0.7</v>
      </c>
      <c r="H743" s="28">
        <v>44327</v>
      </c>
      <c r="I743" s="29">
        <f t="shared" si="647"/>
        <v>2021</v>
      </c>
      <c r="J743" s="1" t="s">
        <v>4282</v>
      </c>
      <c r="K743" s="1" t="s">
        <v>7</v>
      </c>
      <c r="L743" s="11" t="str">
        <f t="shared" ref="L743" si="650">IF(OR(A743=J743,A743=K743),"ДА","НЕТ")</f>
        <v>НЕТ</v>
      </c>
      <c r="M743" s="10" t="s">
        <v>1575</v>
      </c>
      <c r="N743" s="10" t="s">
        <v>1575</v>
      </c>
      <c r="O743" s="10">
        <v>0.35</v>
      </c>
      <c r="P743" s="10">
        <f t="shared" si="618"/>
        <v>0.5</v>
      </c>
      <c r="Q743" s="10" t="str">
        <f t="shared" si="619"/>
        <v>NA</v>
      </c>
      <c r="R743" s="10" t="s">
        <v>1575</v>
      </c>
      <c r="S743" s="10" t="s">
        <v>1575</v>
      </c>
      <c r="T743" s="10" t="s">
        <v>1575</v>
      </c>
      <c r="U743" s="10" t="s">
        <v>1575</v>
      </c>
      <c r="V743" s="10">
        <v>0.1066</v>
      </c>
      <c r="W743" s="10" t="s">
        <v>1575</v>
      </c>
      <c r="X743" s="10" t="str">
        <f t="shared" si="418"/>
        <v>NA</v>
      </c>
      <c r="Y743" s="10" t="str">
        <f t="shared" si="419"/>
        <v>NA</v>
      </c>
      <c r="Z743" s="10" t="str">
        <f t="shared" si="420"/>
        <v>NA</v>
      </c>
      <c r="AA743" s="10">
        <f t="shared" si="421"/>
        <v>4.6904315196998123</v>
      </c>
      <c r="AB743" s="10" t="str">
        <f t="shared" si="422"/>
        <v>NA</v>
      </c>
      <c r="AC743" s="10" t="str">
        <f t="shared" si="423"/>
        <v>NA</v>
      </c>
      <c r="AD743" s="10" t="str">
        <f t="shared" si="424"/>
        <v>NA</v>
      </c>
      <c r="AE743" s="10" t="str">
        <f t="shared" si="425"/>
        <v>NA</v>
      </c>
      <c r="AF743" s="1" t="s">
        <v>4283</v>
      </c>
    </row>
    <row r="744" spans="1:32" x14ac:dyDescent="0.2">
      <c r="A744" s="1" t="s">
        <v>4284</v>
      </c>
      <c r="B744" s="1" t="s">
        <v>28</v>
      </c>
      <c r="C744" s="1" t="s">
        <v>1575</v>
      </c>
      <c r="D744" s="1" t="s">
        <v>1813</v>
      </c>
      <c r="E744" s="1" t="s">
        <v>1971</v>
      </c>
      <c r="F744" s="1" t="s">
        <v>4287</v>
      </c>
      <c r="G744" s="13">
        <f>94.99%-24.99%</f>
        <v>0.7</v>
      </c>
      <c r="H744" s="28">
        <v>44561</v>
      </c>
      <c r="I744" s="29">
        <f t="shared" si="647"/>
        <v>2021</v>
      </c>
      <c r="J744" s="1" t="s">
        <v>4282</v>
      </c>
      <c r="K744" s="1" t="s">
        <v>7</v>
      </c>
      <c r="L744" s="11" t="str">
        <f t="shared" ref="L744" si="651">IF(OR(A744=J744,A744=K744),"ДА","НЕТ")</f>
        <v>НЕТ</v>
      </c>
      <c r="M744" s="10" t="s">
        <v>1575</v>
      </c>
      <c r="N744" s="10" t="s">
        <v>1575</v>
      </c>
      <c r="O744" s="10">
        <v>1.0598000000000001</v>
      </c>
      <c r="P744" s="10">
        <f t="shared" si="618"/>
        <v>1.5140000000000002</v>
      </c>
      <c r="Q744" s="10" t="str">
        <f t="shared" si="619"/>
        <v>NA</v>
      </c>
      <c r="R744" s="10" t="s">
        <v>1575</v>
      </c>
      <c r="S744" s="10" t="s">
        <v>1575</v>
      </c>
      <c r="T744" s="10" t="s">
        <v>1575</v>
      </c>
      <c r="U744" s="10" t="s">
        <v>1575</v>
      </c>
      <c r="V744" s="10">
        <v>0.59930000000000005</v>
      </c>
      <c r="W744" s="10" t="s">
        <v>1575</v>
      </c>
      <c r="X744" s="10" t="str">
        <f t="shared" si="418"/>
        <v>NA</v>
      </c>
      <c r="Y744" s="10" t="str">
        <f t="shared" si="419"/>
        <v>NA</v>
      </c>
      <c r="Z744" s="10" t="str">
        <f t="shared" si="420"/>
        <v>NA</v>
      </c>
      <c r="AA744" s="10">
        <f t="shared" si="421"/>
        <v>2.5262806607708996</v>
      </c>
      <c r="AB744" s="10" t="str">
        <f t="shared" si="422"/>
        <v>NA</v>
      </c>
      <c r="AC744" s="10" t="str">
        <f t="shared" si="423"/>
        <v>NA</v>
      </c>
      <c r="AD744" s="10" t="str">
        <f t="shared" si="424"/>
        <v>NA</v>
      </c>
      <c r="AE744" s="10" t="str">
        <f t="shared" si="425"/>
        <v>NA</v>
      </c>
      <c r="AF744" s="1" t="s">
        <v>4285</v>
      </c>
    </row>
    <row r="745" spans="1:32" x14ac:dyDescent="0.2">
      <c r="A745" s="1" t="s">
        <v>5674</v>
      </c>
      <c r="B745" s="1" t="s">
        <v>5</v>
      </c>
      <c r="C745" s="1" t="s">
        <v>1575</v>
      </c>
      <c r="D745" s="1" t="s">
        <v>1580</v>
      </c>
      <c r="E745" s="1" t="s">
        <v>4288</v>
      </c>
      <c r="F745" s="1" t="s">
        <v>4289</v>
      </c>
      <c r="G745" s="13">
        <f>85.08%-65.08%</f>
        <v>0.20000000000000007</v>
      </c>
      <c r="H745" s="28">
        <v>44561</v>
      </c>
      <c r="I745" s="29">
        <f t="shared" si="647"/>
        <v>2021</v>
      </c>
      <c r="J745" s="1" t="s">
        <v>4282</v>
      </c>
      <c r="K745" s="1" t="s">
        <v>7</v>
      </c>
      <c r="L745" s="11" t="str">
        <f t="shared" ref="L745" si="652">IF(OR(A745=J745,A745=K745),"ДА","НЕТ")</f>
        <v>НЕТ</v>
      </c>
      <c r="M745" s="10" t="s">
        <v>1575</v>
      </c>
      <c r="N745" s="10" t="s">
        <v>1575</v>
      </c>
      <c r="O745" s="10" t="s">
        <v>1575</v>
      </c>
      <c r="P745" s="10" t="str">
        <f t="shared" si="618"/>
        <v>NA</v>
      </c>
      <c r="Q745" s="10" t="str">
        <f t="shared" si="619"/>
        <v>NA</v>
      </c>
      <c r="R745" s="10" t="s">
        <v>1575</v>
      </c>
      <c r="S745" s="10" t="s">
        <v>1575</v>
      </c>
      <c r="T745" s="10" t="s">
        <v>1575</v>
      </c>
      <c r="U745" s="10" t="s">
        <v>1575</v>
      </c>
      <c r="V745" s="10">
        <v>0.20380000000000001</v>
      </c>
      <c r="W745" s="10" t="s">
        <v>1575</v>
      </c>
      <c r="X745" s="10" t="str">
        <f t="shared" si="418"/>
        <v>NA</v>
      </c>
      <c r="Y745" s="10" t="str">
        <f t="shared" si="419"/>
        <v>NA</v>
      </c>
      <c r="Z745" s="10" t="str">
        <f t="shared" si="420"/>
        <v>NA</v>
      </c>
      <c r="AA745" s="10" t="str">
        <f t="shared" si="421"/>
        <v>NA</v>
      </c>
      <c r="AB745" s="10" t="str">
        <f t="shared" si="422"/>
        <v>NA</v>
      </c>
      <c r="AC745" s="10" t="str">
        <f t="shared" si="423"/>
        <v>NA</v>
      </c>
      <c r="AD745" s="10" t="str">
        <f t="shared" si="424"/>
        <v>NA</v>
      </c>
      <c r="AE745" s="10" t="str">
        <f t="shared" si="425"/>
        <v>NA</v>
      </c>
      <c r="AF745" s="1" t="s">
        <v>4286</v>
      </c>
    </row>
    <row r="746" spans="1:32" x14ac:dyDescent="0.2">
      <c r="A746" s="1" t="s">
        <v>4282</v>
      </c>
      <c r="B746" s="1" t="s">
        <v>5</v>
      </c>
      <c r="C746" s="1" t="s">
        <v>4290</v>
      </c>
      <c r="D746" s="1" t="s">
        <v>1580</v>
      </c>
      <c r="E746" s="1" t="s">
        <v>4288</v>
      </c>
      <c r="F746" s="1" t="s">
        <v>4291</v>
      </c>
      <c r="G746" s="13">
        <f>2600000/2276401458</f>
        <v>1.1421535471534564E-3</v>
      </c>
      <c r="H746" s="28">
        <v>44561</v>
      </c>
      <c r="I746" s="29">
        <f t="shared" ref="I746:I747" si="653">YEAR(H746)</f>
        <v>2021</v>
      </c>
      <c r="J746" s="1" t="s">
        <v>4282</v>
      </c>
      <c r="K746" s="1" t="s">
        <v>7</v>
      </c>
      <c r="L746" s="11" t="str">
        <f t="shared" ref="L746:L747" si="654">IF(OR(A746=J746,A746=K746),"ДА","НЕТ")</f>
        <v>ДА</v>
      </c>
      <c r="M746" s="10" t="s">
        <v>1575</v>
      </c>
      <c r="N746" s="10" t="s">
        <v>1575</v>
      </c>
      <c r="O746" s="10" t="s">
        <v>1575</v>
      </c>
      <c r="P746" s="10" t="str">
        <f t="shared" si="618"/>
        <v>NA</v>
      </c>
      <c r="Q746" s="10" t="str">
        <f t="shared" si="619"/>
        <v>NA</v>
      </c>
      <c r="R746" s="10" t="s">
        <v>1575</v>
      </c>
      <c r="S746" s="10" t="s">
        <v>1575</v>
      </c>
      <c r="T746" s="10" t="s">
        <v>1575</v>
      </c>
      <c r="U746" s="10">
        <v>28.0975</v>
      </c>
      <c r="V746" s="10">
        <v>140.17099999999999</v>
      </c>
      <c r="W746" s="10" t="s">
        <v>1575</v>
      </c>
      <c r="X746" s="10" t="str">
        <f t="shared" si="418"/>
        <v>NA</v>
      </c>
      <c r="Y746" s="10" t="str">
        <f t="shared" si="419"/>
        <v>NA</v>
      </c>
      <c r="Z746" s="10" t="str">
        <f t="shared" si="420"/>
        <v>NA</v>
      </c>
      <c r="AA746" s="10" t="str">
        <f t="shared" si="421"/>
        <v>NA</v>
      </c>
      <c r="AB746" s="10" t="str">
        <f t="shared" si="422"/>
        <v>NA</v>
      </c>
      <c r="AC746" s="10" t="str">
        <f t="shared" si="423"/>
        <v>NA</v>
      </c>
      <c r="AD746" s="10" t="str">
        <f t="shared" si="424"/>
        <v>NA</v>
      </c>
      <c r="AE746" s="10" t="str">
        <f t="shared" si="425"/>
        <v>NA</v>
      </c>
    </row>
    <row r="747" spans="1:32" x14ac:dyDescent="0.2">
      <c r="A747" s="1" t="s">
        <v>5675</v>
      </c>
      <c r="B747" s="1" t="s">
        <v>5</v>
      </c>
      <c r="C747" s="1" t="s">
        <v>1575</v>
      </c>
      <c r="D747" s="1" t="s">
        <v>1580</v>
      </c>
      <c r="E747" s="1" t="s">
        <v>4288</v>
      </c>
      <c r="F747" s="1" t="s">
        <v>4289</v>
      </c>
      <c r="G747" s="13">
        <f>40.82%+5%</f>
        <v>0.4582</v>
      </c>
      <c r="H747" s="28">
        <v>44074</v>
      </c>
      <c r="I747" s="29">
        <f t="shared" si="653"/>
        <v>2020</v>
      </c>
      <c r="J747" s="1" t="s">
        <v>7</v>
      </c>
      <c r="K747" s="1" t="s">
        <v>4282</v>
      </c>
      <c r="L747" s="11" t="str">
        <f t="shared" si="654"/>
        <v>НЕТ</v>
      </c>
      <c r="M747" s="10" t="s">
        <v>1575</v>
      </c>
      <c r="N747" s="10" t="s">
        <v>1575</v>
      </c>
      <c r="O747" s="10">
        <v>2.8299999999999999E-2</v>
      </c>
      <c r="P747" s="10">
        <f t="shared" si="618"/>
        <v>6.1763422086425136E-2</v>
      </c>
      <c r="Q747" s="10" t="str">
        <f t="shared" si="619"/>
        <v>NA</v>
      </c>
      <c r="R747" s="10" t="s">
        <v>1575</v>
      </c>
      <c r="S747" s="10" t="s">
        <v>1575</v>
      </c>
      <c r="T747" s="10" t="s">
        <v>1575</v>
      </c>
      <c r="U747" s="10" t="s">
        <v>1575</v>
      </c>
      <c r="V747" s="10">
        <f>0.1054-0.0058</f>
        <v>9.9599999999999994E-2</v>
      </c>
      <c r="W747" s="10" t="s">
        <v>1575</v>
      </c>
      <c r="X747" s="10" t="str">
        <f t="shared" si="418"/>
        <v>NA</v>
      </c>
      <c r="Y747" s="10" t="str">
        <f t="shared" si="419"/>
        <v>NA</v>
      </c>
      <c r="Z747" s="10" t="str">
        <f t="shared" si="420"/>
        <v>NA</v>
      </c>
      <c r="AA747" s="10">
        <f t="shared" si="421"/>
        <v>0.62011467958258171</v>
      </c>
      <c r="AB747" s="10" t="str">
        <f t="shared" si="422"/>
        <v>NA</v>
      </c>
      <c r="AC747" s="10" t="str">
        <f t="shared" si="423"/>
        <v>NA</v>
      </c>
      <c r="AD747" s="10" t="str">
        <f t="shared" si="424"/>
        <v>NA</v>
      </c>
      <c r="AE747" s="10" t="str">
        <f t="shared" si="425"/>
        <v>NA</v>
      </c>
      <c r="AF747" s="1" t="s">
        <v>4294</v>
      </c>
    </row>
    <row r="748" spans="1:32" x14ac:dyDescent="0.2">
      <c r="A748" s="1" t="s">
        <v>4284</v>
      </c>
      <c r="B748" s="1" t="s">
        <v>28</v>
      </c>
      <c r="C748" s="1" t="s">
        <v>1575</v>
      </c>
      <c r="D748" s="1" t="s">
        <v>1813</v>
      </c>
      <c r="E748" s="1" t="s">
        <v>1971</v>
      </c>
      <c r="F748" s="1" t="s">
        <v>4287</v>
      </c>
      <c r="G748" s="13">
        <v>7.9994999999999997E-2</v>
      </c>
      <c r="H748" s="28">
        <v>44165</v>
      </c>
      <c r="I748" s="29">
        <f t="shared" si="647"/>
        <v>2020</v>
      </c>
      <c r="J748" s="1" t="s">
        <v>4282</v>
      </c>
      <c r="K748" s="1" t="s">
        <v>7</v>
      </c>
      <c r="L748" s="11" t="str">
        <f t="shared" ref="L748" si="655">IF(OR(A748=J748,A748=K748),"ДА","НЕТ")</f>
        <v>НЕТ</v>
      </c>
      <c r="M748" s="10" t="s">
        <v>1575</v>
      </c>
      <c r="N748" s="10" t="s">
        <v>1575</v>
      </c>
      <c r="O748" s="10" t="s">
        <v>1575</v>
      </c>
      <c r="P748" s="10" t="str">
        <f t="shared" si="618"/>
        <v>NA</v>
      </c>
      <c r="Q748" s="10" t="str">
        <f t="shared" si="619"/>
        <v>NA</v>
      </c>
      <c r="R748" s="10" t="s">
        <v>1575</v>
      </c>
      <c r="S748" s="10" t="s">
        <v>1575</v>
      </c>
      <c r="T748" s="10" t="s">
        <v>1575</v>
      </c>
      <c r="U748" s="10" t="s">
        <v>1575</v>
      </c>
      <c r="V748" s="10" t="s">
        <v>1575</v>
      </c>
      <c r="W748" s="10" t="s">
        <v>1575</v>
      </c>
      <c r="X748" s="10" t="str">
        <f t="shared" si="418"/>
        <v>NA</v>
      </c>
      <c r="Y748" s="10" t="str">
        <f t="shared" si="419"/>
        <v>NA</v>
      </c>
      <c r="Z748" s="10" t="str">
        <f t="shared" si="420"/>
        <v>NA</v>
      </c>
      <c r="AA748" s="10" t="str">
        <f t="shared" si="421"/>
        <v>NA</v>
      </c>
      <c r="AB748" s="10" t="str">
        <f t="shared" si="422"/>
        <v>NA</v>
      </c>
      <c r="AC748" s="10" t="str">
        <f t="shared" si="423"/>
        <v>NA</v>
      </c>
      <c r="AD748" s="10" t="str">
        <f t="shared" si="424"/>
        <v>NA</v>
      </c>
      <c r="AE748" s="10" t="str">
        <f t="shared" si="425"/>
        <v>NA</v>
      </c>
      <c r="AF748" s="1" t="s">
        <v>4292</v>
      </c>
    </row>
    <row r="749" spans="1:32" x14ac:dyDescent="0.2">
      <c r="A749" s="1" t="s">
        <v>4284</v>
      </c>
      <c r="B749" s="1" t="s">
        <v>28</v>
      </c>
      <c r="C749" s="1" t="s">
        <v>1575</v>
      </c>
      <c r="D749" s="1" t="s">
        <v>1813</v>
      </c>
      <c r="E749" s="1" t="s">
        <v>1971</v>
      </c>
      <c r="F749" s="1" t="s">
        <v>4287</v>
      </c>
      <c r="G749" s="13">
        <v>0.17</v>
      </c>
      <c r="H749" s="28">
        <v>44035</v>
      </c>
      <c r="I749" s="29">
        <f t="shared" ref="I749:I756" si="656">YEAR(H749)</f>
        <v>2020</v>
      </c>
      <c r="J749" s="1" t="s">
        <v>4282</v>
      </c>
      <c r="K749" s="1" t="s">
        <v>7</v>
      </c>
      <c r="L749" s="11" t="str">
        <f t="shared" ref="L749:L751" si="657">IF(OR(A749=J749,A749=K749),"ДА","НЕТ")</f>
        <v>НЕТ</v>
      </c>
      <c r="M749" s="10" t="s">
        <v>1575</v>
      </c>
      <c r="N749" s="10" t="s">
        <v>1575</v>
      </c>
      <c r="O749" s="10" t="s">
        <v>1575</v>
      </c>
      <c r="P749" s="10" t="str">
        <f t="shared" si="618"/>
        <v>NA</v>
      </c>
      <c r="Q749" s="10" t="str">
        <f t="shared" si="619"/>
        <v>NA</v>
      </c>
      <c r="R749" s="10" t="s">
        <v>1575</v>
      </c>
      <c r="S749" s="10" t="s">
        <v>1575</v>
      </c>
      <c r="T749" s="10" t="s">
        <v>1575</v>
      </c>
      <c r="U749" s="10" t="s">
        <v>1575</v>
      </c>
      <c r="V749" s="10" t="s">
        <v>1575</v>
      </c>
      <c r="W749" s="10" t="s">
        <v>1575</v>
      </c>
      <c r="X749" s="10" t="str">
        <f t="shared" si="418"/>
        <v>NA</v>
      </c>
      <c r="Y749" s="10" t="str">
        <f t="shared" si="419"/>
        <v>NA</v>
      </c>
      <c r="Z749" s="10" t="str">
        <f t="shared" si="420"/>
        <v>NA</v>
      </c>
      <c r="AA749" s="10" t="str">
        <f t="shared" si="421"/>
        <v>NA</v>
      </c>
      <c r="AB749" s="10" t="str">
        <f t="shared" si="422"/>
        <v>NA</v>
      </c>
      <c r="AC749" s="10" t="str">
        <f t="shared" si="423"/>
        <v>NA</v>
      </c>
      <c r="AD749" s="10" t="str">
        <f t="shared" si="424"/>
        <v>NA</v>
      </c>
      <c r="AE749" s="10" t="str">
        <f t="shared" si="425"/>
        <v>NA</v>
      </c>
      <c r="AF749" s="1" t="s">
        <v>4293</v>
      </c>
    </row>
    <row r="750" spans="1:32" x14ac:dyDescent="0.2">
      <c r="A750" s="1" t="s">
        <v>4282</v>
      </c>
      <c r="B750" s="1" t="s">
        <v>5</v>
      </c>
      <c r="C750" s="1" t="s">
        <v>4290</v>
      </c>
      <c r="D750" s="1" t="s">
        <v>1580</v>
      </c>
      <c r="E750" s="1" t="s">
        <v>4288</v>
      </c>
      <c r="F750" s="1" t="s">
        <v>4291</v>
      </c>
      <c r="G750" s="13">
        <f>2235035/2278636493</f>
        <v>9.8086509492236059E-4</v>
      </c>
      <c r="H750" s="28">
        <v>42735</v>
      </c>
      <c r="I750" s="29">
        <f t="shared" si="656"/>
        <v>2016</v>
      </c>
      <c r="J750" s="1" t="s">
        <v>4282</v>
      </c>
      <c r="K750" s="1" t="s">
        <v>7</v>
      </c>
      <c r="L750" s="11" t="str">
        <f t="shared" si="657"/>
        <v>ДА</v>
      </c>
      <c r="M750" s="10" t="s">
        <v>1575</v>
      </c>
      <c r="N750" s="10" t="s">
        <v>1575</v>
      </c>
      <c r="O750" s="10" t="s">
        <v>1575</v>
      </c>
      <c r="P750" s="10" t="str">
        <f t="shared" si="618"/>
        <v>NA</v>
      </c>
      <c r="Q750" s="10" t="str">
        <f t="shared" si="619"/>
        <v>NA</v>
      </c>
      <c r="R750" s="10" t="s">
        <v>1575</v>
      </c>
      <c r="S750" s="10" t="s">
        <v>1575</v>
      </c>
      <c r="T750" s="10" t="s">
        <v>1575</v>
      </c>
      <c r="U750" s="10">
        <v>25.182599999999997</v>
      </c>
      <c r="V750" s="10">
        <v>123.3836</v>
      </c>
      <c r="W750" s="10" t="s">
        <v>1575</v>
      </c>
      <c r="X750" s="10" t="str">
        <f t="shared" si="418"/>
        <v>NA</v>
      </c>
      <c r="Y750" s="10" t="str">
        <f t="shared" si="419"/>
        <v>NA</v>
      </c>
      <c r="Z750" s="10" t="str">
        <f t="shared" si="420"/>
        <v>NA</v>
      </c>
      <c r="AA750" s="10" t="str">
        <f t="shared" si="421"/>
        <v>NA</v>
      </c>
      <c r="AB750" s="10" t="str">
        <f t="shared" si="422"/>
        <v>NA</v>
      </c>
      <c r="AC750" s="10" t="str">
        <f t="shared" si="423"/>
        <v>NA</v>
      </c>
      <c r="AD750" s="10" t="str">
        <f t="shared" si="424"/>
        <v>NA</v>
      </c>
      <c r="AE750" s="10" t="str">
        <f t="shared" si="425"/>
        <v>NA</v>
      </c>
    </row>
    <row r="751" spans="1:32" x14ac:dyDescent="0.2">
      <c r="A751" s="1" t="s">
        <v>4296</v>
      </c>
      <c r="B751" s="1" t="s">
        <v>91</v>
      </c>
      <c r="C751" s="1" t="s">
        <v>1575</v>
      </c>
      <c r="D751" s="1" t="s">
        <v>1580</v>
      </c>
      <c r="E751" s="1" t="s">
        <v>4288</v>
      </c>
      <c r="F751" s="1" t="s">
        <v>4291</v>
      </c>
      <c r="G751" s="13">
        <v>0.50019999999999998</v>
      </c>
      <c r="H751" s="28">
        <v>42428</v>
      </c>
      <c r="I751" s="29">
        <f t="shared" si="656"/>
        <v>2016</v>
      </c>
      <c r="J751" s="1" t="s">
        <v>7</v>
      </c>
      <c r="K751" s="1" t="s">
        <v>4282</v>
      </c>
      <c r="L751" s="11" t="str">
        <f t="shared" si="657"/>
        <v>НЕТ</v>
      </c>
      <c r="M751" s="10" t="s">
        <v>1575</v>
      </c>
      <c r="N751" s="10" t="s">
        <v>1575</v>
      </c>
      <c r="O751" s="10" t="s">
        <v>1575</v>
      </c>
      <c r="P751" s="10" t="str">
        <f t="shared" si="618"/>
        <v>NA</v>
      </c>
      <c r="Q751" s="10" t="str">
        <f t="shared" si="619"/>
        <v>NA</v>
      </c>
      <c r="R751" s="10" t="s">
        <v>1575</v>
      </c>
      <c r="S751" s="10" t="s">
        <v>1575</v>
      </c>
      <c r="T751" s="10" t="s">
        <v>1575</v>
      </c>
      <c r="U751" s="10" t="s">
        <v>1575</v>
      </c>
      <c r="V751" s="10">
        <f>0.0848-0.0014</f>
        <v>8.3400000000000002E-2</v>
      </c>
      <c r="W751" s="10" t="s">
        <v>1575</v>
      </c>
      <c r="X751" s="10" t="str">
        <f t="shared" si="418"/>
        <v>NA</v>
      </c>
      <c r="Y751" s="10" t="str">
        <f t="shared" si="419"/>
        <v>NA</v>
      </c>
      <c r="Z751" s="10" t="str">
        <f t="shared" si="420"/>
        <v>NA</v>
      </c>
      <c r="AA751" s="10" t="str">
        <f t="shared" si="421"/>
        <v>NA</v>
      </c>
      <c r="AB751" s="10" t="str">
        <f t="shared" si="422"/>
        <v>NA</v>
      </c>
      <c r="AC751" s="10" t="str">
        <f t="shared" si="423"/>
        <v>NA</v>
      </c>
      <c r="AD751" s="10" t="str">
        <f t="shared" si="424"/>
        <v>NA</v>
      </c>
      <c r="AE751" s="10" t="str">
        <f t="shared" si="425"/>
        <v>NA</v>
      </c>
      <c r="AF751" s="1" t="s">
        <v>4295</v>
      </c>
    </row>
    <row r="752" spans="1:32" x14ac:dyDescent="0.2">
      <c r="A752" s="1" t="s">
        <v>4297</v>
      </c>
      <c r="B752" s="1" t="s">
        <v>5</v>
      </c>
      <c r="C752" s="1" t="s">
        <v>1575</v>
      </c>
      <c r="D752" s="1" t="s">
        <v>1813</v>
      </c>
      <c r="E752" s="1" t="s">
        <v>1587</v>
      </c>
      <c r="F752" s="1" t="s">
        <v>4298</v>
      </c>
      <c r="G752" s="13">
        <v>1</v>
      </c>
      <c r="H752" s="28">
        <v>42004</v>
      </c>
      <c r="I752" s="29">
        <f t="shared" si="656"/>
        <v>2014</v>
      </c>
      <c r="J752" s="1" t="s">
        <v>7</v>
      </c>
      <c r="K752" s="1" t="s">
        <v>4282</v>
      </c>
      <c r="L752" s="11" t="str">
        <f t="shared" ref="L752:L757" si="658">IF(OR(A752=J752,A752=K752),"ДА","НЕТ")</f>
        <v>НЕТ</v>
      </c>
      <c r="M752" s="10" t="s">
        <v>1575</v>
      </c>
      <c r="N752" s="10" t="s">
        <v>1575</v>
      </c>
      <c r="O752" s="10" t="s">
        <v>1575</v>
      </c>
      <c r="P752" s="10" t="str">
        <f t="shared" si="618"/>
        <v>NA</v>
      </c>
      <c r="Q752" s="10" t="str">
        <f t="shared" si="619"/>
        <v>NA</v>
      </c>
      <c r="R752" s="10" t="s">
        <v>1575</v>
      </c>
      <c r="S752" s="10" t="s">
        <v>1575</v>
      </c>
      <c r="T752" s="10" t="s">
        <v>1575</v>
      </c>
      <c r="U752" s="10" t="s">
        <v>1575</v>
      </c>
      <c r="V752" s="10">
        <f>2.129777-5.864695</f>
        <v>-3.7349180000000004</v>
      </c>
      <c r="W752" s="10" t="s">
        <v>1575</v>
      </c>
      <c r="X752" s="10" t="str">
        <f t="shared" si="418"/>
        <v>NA</v>
      </c>
      <c r="Y752" s="10" t="str">
        <f t="shared" si="419"/>
        <v>NA</v>
      </c>
      <c r="Z752" s="10" t="str">
        <f t="shared" si="420"/>
        <v>NA</v>
      </c>
      <c r="AA752" s="10" t="str">
        <f t="shared" si="421"/>
        <v>NA</v>
      </c>
      <c r="AB752" s="10" t="str">
        <f t="shared" si="422"/>
        <v>NA</v>
      </c>
      <c r="AC752" s="10" t="str">
        <f t="shared" si="423"/>
        <v>NA</v>
      </c>
      <c r="AD752" s="10" t="str">
        <f t="shared" si="424"/>
        <v>NA</v>
      </c>
      <c r="AE752" s="10" t="str">
        <f t="shared" si="425"/>
        <v>NA</v>
      </c>
      <c r="AF752" s="1" t="s">
        <v>4301</v>
      </c>
    </row>
    <row r="753" spans="1:32" x14ac:dyDescent="0.2">
      <c r="A753" s="1" t="s">
        <v>5674</v>
      </c>
      <c r="B753" s="1" t="s">
        <v>5</v>
      </c>
      <c r="C753" s="1" t="s">
        <v>1575</v>
      </c>
      <c r="D753" s="1" t="s">
        <v>1580</v>
      </c>
      <c r="E753" s="1" t="s">
        <v>4288</v>
      </c>
      <c r="F753" s="1" t="s">
        <v>4289</v>
      </c>
      <c r="G753" s="13">
        <f>61.9%-36.51%</f>
        <v>0.25390000000000001</v>
      </c>
      <c r="H753" s="28">
        <v>42004</v>
      </c>
      <c r="I753" s="29">
        <f t="shared" si="656"/>
        <v>2014</v>
      </c>
      <c r="J753" s="1" t="s">
        <v>4282</v>
      </c>
      <c r="K753" s="1" t="s">
        <v>7</v>
      </c>
      <c r="L753" s="11" t="str">
        <f t="shared" si="658"/>
        <v>НЕТ</v>
      </c>
      <c r="M753" s="10" t="s">
        <v>1575</v>
      </c>
      <c r="N753" s="10" t="s">
        <v>1575</v>
      </c>
      <c r="O753" s="10">
        <v>2.3054000000000002E-2</v>
      </c>
      <c r="P753" s="10">
        <f t="shared" si="618"/>
        <v>9.0799527372981484E-2</v>
      </c>
      <c r="Q753" s="10" t="str">
        <f t="shared" si="619"/>
        <v>NA</v>
      </c>
      <c r="R753" s="10">
        <v>0.12425899999999999</v>
      </c>
      <c r="S753" s="10" t="s">
        <v>1575</v>
      </c>
      <c r="T753" s="10" t="s">
        <v>1575</v>
      </c>
      <c r="U753" s="10">
        <v>4.19E-2</v>
      </c>
      <c r="V753" s="10">
        <v>0.22128999999999999</v>
      </c>
      <c r="W753" s="10" t="s">
        <v>1575</v>
      </c>
      <c r="X753" s="10" t="str">
        <f t="shared" si="418"/>
        <v>NA</v>
      </c>
      <c r="Y753" s="10">
        <f t="shared" si="419"/>
        <v>0.73072797441619108</v>
      </c>
      <c r="Z753" s="10">
        <f t="shared" si="420"/>
        <v>2.1670531592597011</v>
      </c>
      <c r="AA753" s="10">
        <f t="shared" si="421"/>
        <v>0.41031916206327212</v>
      </c>
      <c r="AB753" s="10" t="str">
        <f t="shared" si="422"/>
        <v>NA</v>
      </c>
      <c r="AC753" s="10" t="str">
        <f t="shared" si="423"/>
        <v>NA</v>
      </c>
      <c r="AD753" s="10" t="str">
        <f t="shared" si="424"/>
        <v>NA</v>
      </c>
      <c r="AE753" s="10" t="str">
        <f t="shared" si="425"/>
        <v>NA</v>
      </c>
      <c r="AF753" s="1" t="s">
        <v>4299</v>
      </c>
    </row>
    <row r="754" spans="1:32" x14ac:dyDescent="0.2">
      <c r="A754" s="1" t="s">
        <v>4304</v>
      </c>
      <c r="B754" s="1" t="s">
        <v>5</v>
      </c>
      <c r="C754" s="1" t="s">
        <v>1575</v>
      </c>
      <c r="D754" s="1" t="s">
        <v>1580</v>
      </c>
      <c r="E754" s="1" t="s">
        <v>1587</v>
      </c>
      <c r="F754" s="1" t="s">
        <v>4306</v>
      </c>
      <c r="G754" s="13">
        <v>1</v>
      </c>
      <c r="H754" s="28">
        <v>41670</v>
      </c>
      <c r="I754" s="29">
        <f t="shared" si="656"/>
        <v>2014</v>
      </c>
      <c r="J754" s="1" t="s">
        <v>7</v>
      </c>
      <c r="K754" s="1" t="s">
        <v>4282</v>
      </c>
      <c r="L754" s="11" t="str">
        <f t="shared" ref="L754" si="659">IF(OR(A754=J754,A754=K754),"ДА","НЕТ")</f>
        <v>НЕТ</v>
      </c>
      <c r="M754" s="10" t="s">
        <v>1575</v>
      </c>
      <c r="N754" s="10" t="s">
        <v>1575</v>
      </c>
      <c r="O754" s="10" t="s">
        <v>1575</v>
      </c>
      <c r="P754" s="10" t="str">
        <f t="shared" si="618"/>
        <v>NA</v>
      </c>
      <c r="Q754" s="10" t="str">
        <f t="shared" si="619"/>
        <v>NA</v>
      </c>
      <c r="R754" s="10" t="s">
        <v>1575</v>
      </c>
      <c r="S754" s="10" t="s">
        <v>1575</v>
      </c>
      <c r="T754" s="10" t="s">
        <v>1575</v>
      </c>
      <c r="U754" s="10" t="s">
        <v>1575</v>
      </c>
      <c r="V754" s="10" t="s">
        <v>1575</v>
      </c>
      <c r="W754" s="10" t="s">
        <v>1575</v>
      </c>
      <c r="X754" s="10" t="str">
        <f t="shared" si="418"/>
        <v>NA</v>
      </c>
      <c r="Y754" s="10" t="str">
        <f t="shared" si="419"/>
        <v>NA</v>
      </c>
      <c r="Z754" s="10" t="str">
        <f t="shared" si="420"/>
        <v>NA</v>
      </c>
      <c r="AA754" s="10" t="str">
        <f t="shared" si="421"/>
        <v>NA</v>
      </c>
      <c r="AB754" s="10" t="str">
        <f t="shared" si="422"/>
        <v>NA</v>
      </c>
      <c r="AC754" s="10" t="str">
        <f t="shared" si="423"/>
        <v>NA</v>
      </c>
      <c r="AD754" s="10" t="str">
        <f t="shared" si="424"/>
        <v>NA</v>
      </c>
      <c r="AE754" s="10" t="str">
        <f t="shared" si="425"/>
        <v>NA</v>
      </c>
      <c r="AF754" s="1" t="s">
        <v>4305</v>
      </c>
    </row>
    <row r="755" spans="1:32" x14ac:dyDescent="0.2">
      <c r="A755" s="1" t="s">
        <v>4282</v>
      </c>
      <c r="B755" s="1" t="s">
        <v>5</v>
      </c>
      <c r="C755" s="1" t="s">
        <v>4290</v>
      </c>
      <c r="D755" s="1" t="s">
        <v>1580</v>
      </c>
      <c r="E755" s="1" t="s">
        <v>4288</v>
      </c>
      <c r="F755" s="1" t="s">
        <v>4291</v>
      </c>
      <c r="G755" s="13">
        <f>27943570/2378489153</f>
        <v>1.174845383034631E-2</v>
      </c>
      <c r="H755" s="28">
        <v>41639</v>
      </c>
      <c r="I755" s="29">
        <f t="shared" ref="I755" si="660">YEAR(H755)</f>
        <v>2013</v>
      </c>
      <c r="J755" s="1" t="s">
        <v>7</v>
      </c>
      <c r="K755" s="1" t="s">
        <v>4303</v>
      </c>
      <c r="L755" s="11" t="str">
        <f t="shared" si="658"/>
        <v>НЕТ</v>
      </c>
      <c r="M755" s="10" t="s">
        <v>1575</v>
      </c>
      <c r="N755" s="10" t="s">
        <v>1575</v>
      </c>
      <c r="O755" s="10">
        <v>1.5278959999999999</v>
      </c>
      <c r="P755" s="10">
        <f t="shared" si="618"/>
        <v>130.05081537226945</v>
      </c>
      <c r="Q755" s="10" t="str">
        <f t="shared" si="619"/>
        <v>NA</v>
      </c>
      <c r="R755" s="10" t="s">
        <v>1575</v>
      </c>
      <c r="S755" s="10" t="s">
        <v>1575</v>
      </c>
      <c r="T755" s="10" t="s">
        <v>1575</v>
      </c>
      <c r="U755" s="10">
        <v>11.581700000000001</v>
      </c>
      <c r="V755" s="10">
        <v>81.794099999999929</v>
      </c>
      <c r="W755" s="10" t="s">
        <v>1575</v>
      </c>
      <c r="X755" s="10" t="str">
        <f t="shared" si="418"/>
        <v>NA</v>
      </c>
      <c r="Y755" s="10" t="str">
        <f t="shared" si="419"/>
        <v>NA</v>
      </c>
      <c r="Z755" s="10">
        <f t="shared" si="420"/>
        <v>11.228991889987604</v>
      </c>
      <c r="AA755" s="10">
        <f t="shared" si="421"/>
        <v>1.5899779491707784</v>
      </c>
      <c r="AB755" s="10" t="str">
        <f t="shared" si="422"/>
        <v>NA</v>
      </c>
      <c r="AC755" s="10" t="str">
        <f t="shared" si="423"/>
        <v>NA</v>
      </c>
      <c r="AD755" s="10" t="str">
        <f t="shared" si="424"/>
        <v>NA</v>
      </c>
      <c r="AE755" s="10" t="str">
        <f t="shared" si="425"/>
        <v>NA</v>
      </c>
      <c r="AF755" s="1" t="s">
        <v>4302</v>
      </c>
    </row>
    <row r="756" spans="1:32" x14ac:dyDescent="0.2">
      <c r="A756" s="1" t="s">
        <v>4282</v>
      </c>
      <c r="B756" s="1" t="s">
        <v>5</v>
      </c>
      <c r="C756" s="1" t="s">
        <v>4290</v>
      </c>
      <c r="D756" s="1" t="s">
        <v>1580</v>
      </c>
      <c r="E756" s="1" t="s">
        <v>4288</v>
      </c>
      <c r="F756" s="1" t="s">
        <v>4291</v>
      </c>
      <c r="G756" s="13">
        <f>109090910/2378489153</f>
        <v>4.5865632753634006E-2</v>
      </c>
      <c r="H756" s="28">
        <v>41639</v>
      </c>
      <c r="I756" s="29">
        <f t="shared" si="656"/>
        <v>2013</v>
      </c>
      <c r="J756" s="1" t="s">
        <v>7</v>
      </c>
      <c r="K756" s="1" t="s">
        <v>4282</v>
      </c>
      <c r="L756" s="11" t="str">
        <f t="shared" ref="L756" si="661">IF(OR(A756=J756,A756=K756),"ДА","НЕТ")</f>
        <v>ДА</v>
      </c>
      <c r="M756" s="10" t="s">
        <v>1575</v>
      </c>
      <c r="N756" s="10" t="s">
        <v>1575</v>
      </c>
      <c r="O756" s="10">
        <v>6</v>
      </c>
      <c r="P756" s="10">
        <f t="shared" si="618"/>
        <v>130.81690232485914</v>
      </c>
      <c r="Q756" s="10" t="str">
        <f t="shared" si="619"/>
        <v>NA</v>
      </c>
      <c r="R756" s="10" t="s">
        <v>1575</v>
      </c>
      <c r="S756" s="10" t="s">
        <v>1575</v>
      </c>
      <c r="T756" s="10" t="s">
        <v>1575</v>
      </c>
      <c r="U756" s="10">
        <v>11.581700000000001</v>
      </c>
      <c r="V756" s="10">
        <v>81.794099999999929</v>
      </c>
      <c r="W756" s="10" t="s">
        <v>1575</v>
      </c>
      <c r="X756" s="10" t="str">
        <f t="shared" si="418"/>
        <v>NA</v>
      </c>
      <c r="Y756" s="10" t="str">
        <f t="shared" si="419"/>
        <v>NA</v>
      </c>
      <c r="Z756" s="10">
        <f t="shared" si="420"/>
        <v>11.295138220197305</v>
      </c>
      <c r="AA756" s="10">
        <f t="shared" si="421"/>
        <v>1.5993439908851526</v>
      </c>
      <c r="AB756" s="10" t="str">
        <f t="shared" si="422"/>
        <v>NA</v>
      </c>
      <c r="AC756" s="10" t="str">
        <f t="shared" si="423"/>
        <v>NA</v>
      </c>
      <c r="AD756" s="10" t="str">
        <f t="shared" si="424"/>
        <v>NA</v>
      </c>
      <c r="AE756" s="10" t="str">
        <f t="shared" si="425"/>
        <v>NA</v>
      </c>
      <c r="AF756" s="1" t="s">
        <v>4300</v>
      </c>
    </row>
    <row r="757" spans="1:32" x14ac:dyDescent="0.2">
      <c r="A757" s="1" t="s">
        <v>4282</v>
      </c>
      <c r="B757" s="1" t="s">
        <v>5</v>
      </c>
      <c r="C757" s="1" t="s">
        <v>4290</v>
      </c>
      <c r="D757" s="1" t="s">
        <v>1580</v>
      </c>
      <c r="E757" s="1" t="s">
        <v>4288</v>
      </c>
      <c r="F757" s="1" t="s">
        <v>4291</v>
      </c>
      <c r="G757" s="13">
        <f>27943570/2378489153</f>
        <v>1.174845383034631E-2</v>
      </c>
      <c r="H757" s="28">
        <v>41639</v>
      </c>
      <c r="I757" s="29">
        <f t="shared" ref="I757" si="662">YEAR(H757)</f>
        <v>2013</v>
      </c>
      <c r="J757" s="1" t="s">
        <v>4282</v>
      </c>
      <c r="K757" s="1" t="s">
        <v>7</v>
      </c>
      <c r="L757" s="11" t="str">
        <f t="shared" si="658"/>
        <v>ДА</v>
      </c>
      <c r="M757" s="10" t="s">
        <v>1575</v>
      </c>
      <c r="N757" s="10" t="s">
        <v>1575</v>
      </c>
      <c r="O757" s="10" t="s">
        <v>1575</v>
      </c>
      <c r="P757" s="10" t="str">
        <f t="shared" si="618"/>
        <v>NA</v>
      </c>
      <c r="Q757" s="10" t="str">
        <f t="shared" si="619"/>
        <v>NA</v>
      </c>
      <c r="R757" s="10" t="s">
        <v>1575</v>
      </c>
      <c r="S757" s="10" t="s">
        <v>1575</v>
      </c>
      <c r="T757" s="10" t="s">
        <v>1575</v>
      </c>
      <c r="U757" s="10">
        <v>11.581700000000001</v>
      </c>
      <c r="V757" s="10">
        <v>81.794099999999929</v>
      </c>
      <c r="W757" s="10" t="s">
        <v>1575</v>
      </c>
      <c r="X757" s="10" t="str">
        <f t="shared" si="418"/>
        <v>NA</v>
      </c>
      <c r="Y757" s="10" t="str">
        <f t="shared" si="419"/>
        <v>NA</v>
      </c>
      <c r="Z757" s="10" t="str">
        <f t="shared" si="420"/>
        <v>NA</v>
      </c>
      <c r="AA757" s="10" t="str">
        <f t="shared" si="421"/>
        <v>NA</v>
      </c>
      <c r="AB757" s="10" t="str">
        <f t="shared" si="422"/>
        <v>NA</v>
      </c>
      <c r="AC757" s="10" t="str">
        <f t="shared" si="423"/>
        <v>NA</v>
      </c>
      <c r="AD757" s="10" t="str">
        <f t="shared" si="424"/>
        <v>NA</v>
      </c>
      <c r="AE757" s="10" t="str">
        <f t="shared" si="425"/>
        <v>NA</v>
      </c>
    </row>
    <row r="758" spans="1:32" x14ac:dyDescent="0.2">
      <c r="A758" s="1" t="s">
        <v>4282</v>
      </c>
      <c r="B758" s="1" t="s">
        <v>5</v>
      </c>
      <c r="C758" s="1" t="s">
        <v>4290</v>
      </c>
      <c r="D758" s="1" t="s">
        <v>1580</v>
      </c>
      <c r="E758" s="1" t="s">
        <v>4288</v>
      </c>
      <c r="F758" s="1" t="s">
        <v>4291</v>
      </c>
      <c r="G758" s="13">
        <f>32225118/2378489153</f>
        <v>1.354856630704172E-2</v>
      </c>
      <c r="H758" s="28">
        <v>40967</v>
      </c>
      <c r="I758" s="29">
        <f t="shared" ref="I758" si="663">YEAR(H758)</f>
        <v>2012</v>
      </c>
      <c r="J758" s="1" t="s">
        <v>4282</v>
      </c>
      <c r="K758" s="1" t="s">
        <v>7</v>
      </c>
      <c r="L758" s="11" t="str">
        <f t="shared" ref="L758" si="664">IF(OR(A758=J758,A758=K758),"ДА","НЕТ")</f>
        <v>ДА</v>
      </c>
      <c r="M758" s="10" t="s">
        <v>1575</v>
      </c>
      <c r="N758" s="10" t="s">
        <v>1575</v>
      </c>
      <c r="O758" s="10">
        <v>1.80504</v>
      </c>
      <c r="P758" s="10">
        <f t="shared" si="618"/>
        <v>133.22738060202354</v>
      </c>
      <c r="Q758" s="10" t="str">
        <f t="shared" si="619"/>
        <v>NA</v>
      </c>
      <c r="R758" s="10" t="s">
        <v>1575</v>
      </c>
      <c r="S758" s="10" t="s">
        <v>1575</v>
      </c>
      <c r="T758" s="10" t="s">
        <v>1575</v>
      </c>
      <c r="U758" s="10">
        <v>6.6967639999999999</v>
      </c>
      <c r="V758" s="10">
        <v>29.296697999999999</v>
      </c>
      <c r="W758" s="10" t="s">
        <v>1575</v>
      </c>
      <c r="X758" s="10" t="str">
        <f t="shared" ref="X758:X844" si="665">IFERROR(V758+W758,"NA")</f>
        <v>NA</v>
      </c>
      <c r="Y758" s="10" t="str">
        <f t="shared" ref="Y758:Y844" si="666">IFERROR(P758/R758,"NA")</f>
        <v>NA</v>
      </c>
      <c r="Z758" s="10">
        <f t="shared" ref="Z758:Z844" si="667">IFERROR(P758/U758,"NA")</f>
        <v>19.894292318203767</v>
      </c>
      <c r="AA758" s="10">
        <f t="shared" ref="AA758:AA844" si="668">IFERROR(P758/V758,"NA")</f>
        <v>4.5475220655250483</v>
      </c>
      <c r="AB758" s="10" t="str">
        <f t="shared" ref="AB758:AB844" si="669">IFERROR(Q758/R758,"NA")</f>
        <v>NA</v>
      </c>
      <c r="AC758" s="10" t="str">
        <f t="shared" ref="AC758:AC844" si="670">IFERROR(Q758/S758,"NA")</f>
        <v>NA</v>
      </c>
      <c r="AD758" s="10" t="str">
        <f t="shared" ref="AD758:AD844" si="671">IFERROR(Q758/T758,"NA")</f>
        <v>NA</v>
      </c>
      <c r="AE758" s="10" t="str">
        <f t="shared" ref="AE758:AE844" si="672">IFERROR(Q758/X758,"NA")</f>
        <v>NA</v>
      </c>
    </row>
    <row r="759" spans="1:32" x14ac:dyDescent="0.2">
      <c r="A759" s="1" t="s">
        <v>4282</v>
      </c>
      <c r="B759" s="1" t="s">
        <v>5</v>
      </c>
      <c r="C759" s="1" t="s">
        <v>4290</v>
      </c>
      <c r="D759" s="1" t="s">
        <v>1580</v>
      </c>
      <c r="E759" s="1" t="s">
        <v>4288</v>
      </c>
      <c r="F759" s="1" t="s">
        <v>4291</v>
      </c>
      <c r="G759" s="13">
        <f>165650445/2378489153</f>
        <v>6.9645238781545118E-2</v>
      </c>
      <c r="H759" s="28">
        <v>40967</v>
      </c>
      <c r="I759" s="29">
        <f t="shared" ref="I759:I792" si="673">YEAR(H759)</f>
        <v>2012</v>
      </c>
      <c r="J759" s="1" t="s">
        <v>7</v>
      </c>
      <c r="K759" s="1" t="s">
        <v>4282</v>
      </c>
      <c r="L759" s="11" t="str">
        <f t="shared" ref="L759:L760" si="674">IF(OR(A759=J759,A759=K759),"ДА","НЕТ")</f>
        <v>ДА</v>
      </c>
      <c r="M759" s="10" t="s">
        <v>1575</v>
      </c>
      <c r="N759" s="10" t="s">
        <v>1575</v>
      </c>
      <c r="O759" s="10">
        <v>9.625947</v>
      </c>
      <c r="P759" s="10">
        <f t="shared" si="618"/>
        <v>138.2139995268524</v>
      </c>
      <c r="Q759" s="10" t="str">
        <f t="shared" si="619"/>
        <v>NA</v>
      </c>
      <c r="R759" s="10" t="s">
        <v>1575</v>
      </c>
      <c r="S759" s="10" t="s">
        <v>1575</v>
      </c>
      <c r="T759" s="10" t="s">
        <v>1575</v>
      </c>
      <c r="U759" s="10">
        <v>6.6967639999999999</v>
      </c>
      <c r="V759" s="10">
        <v>29.296697999999999</v>
      </c>
      <c r="W759" s="10" t="s">
        <v>1575</v>
      </c>
      <c r="X759" s="10" t="str">
        <f t="shared" si="665"/>
        <v>NA</v>
      </c>
      <c r="Y759" s="10" t="str">
        <f t="shared" si="666"/>
        <v>NA</v>
      </c>
      <c r="Z759" s="10">
        <f t="shared" si="667"/>
        <v>20.638923445241971</v>
      </c>
      <c r="AA759" s="10">
        <f t="shared" si="668"/>
        <v>4.7177330198390415</v>
      </c>
      <c r="AB759" s="10" t="str">
        <f t="shared" si="669"/>
        <v>NA</v>
      </c>
      <c r="AC759" s="10" t="str">
        <f t="shared" si="670"/>
        <v>NA</v>
      </c>
      <c r="AD759" s="10" t="str">
        <f t="shared" si="671"/>
        <v>NA</v>
      </c>
      <c r="AE759" s="10" t="str">
        <f t="shared" si="672"/>
        <v>NA</v>
      </c>
    </row>
    <row r="760" spans="1:32" x14ac:dyDescent="0.2">
      <c r="A760" s="1" t="s">
        <v>4282</v>
      </c>
      <c r="B760" s="1" t="s">
        <v>5</v>
      </c>
      <c r="C760" s="1" t="s">
        <v>4290</v>
      </c>
      <c r="D760" s="1" t="s">
        <v>1580</v>
      </c>
      <c r="E760" s="1" t="s">
        <v>4288</v>
      </c>
      <c r="F760" s="1" t="s">
        <v>4291</v>
      </c>
      <c r="G760" s="13">
        <f>125543172/2378489153</f>
        <v>5.2782738925528323E-2</v>
      </c>
      <c r="H760" s="28">
        <v>40908</v>
      </c>
      <c r="I760" s="29">
        <f t="shared" si="673"/>
        <v>2011</v>
      </c>
      <c r="J760" s="1" t="s">
        <v>4282</v>
      </c>
      <c r="K760" s="1" t="s">
        <v>7</v>
      </c>
      <c r="L760" s="11" t="str">
        <f t="shared" si="674"/>
        <v>ДА</v>
      </c>
      <c r="M760" s="10" t="s">
        <v>1575</v>
      </c>
      <c r="N760" s="10" t="s">
        <v>1575</v>
      </c>
      <c r="O760" s="10" t="s">
        <v>1575</v>
      </c>
      <c r="P760" s="10" t="str">
        <f t="shared" si="618"/>
        <v>NA</v>
      </c>
      <c r="Q760" s="10" t="str">
        <f t="shared" si="619"/>
        <v>NA</v>
      </c>
      <c r="R760" s="10" t="s">
        <v>1575</v>
      </c>
      <c r="S760" s="10" t="s">
        <v>1575</v>
      </c>
      <c r="T760" s="10" t="s">
        <v>1575</v>
      </c>
      <c r="U760" s="10">
        <v>6.6967639999999999</v>
      </c>
      <c r="V760" s="10">
        <v>29.296697999999999</v>
      </c>
      <c r="W760" s="10" t="s">
        <v>1575</v>
      </c>
      <c r="X760" s="10" t="str">
        <f t="shared" si="665"/>
        <v>NA</v>
      </c>
      <c r="Y760" s="10" t="str">
        <f t="shared" si="666"/>
        <v>NA</v>
      </c>
      <c r="Z760" s="10" t="str">
        <f t="shared" si="667"/>
        <v>NA</v>
      </c>
      <c r="AA760" s="10" t="str">
        <f t="shared" si="668"/>
        <v>NA</v>
      </c>
      <c r="AB760" s="10" t="str">
        <f t="shared" si="669"/>
        <v>NA</v>
      </c>
      <c r="AC760" s="10" t="str">
        <f t="shared" si="670"/>
        <v>NA</v>
      </c>
      <c r="AD760" s="10" t="str">
        <f t="shared" si="671"/>
        <v>NA</v>
      </c>
      <c r="AE760" s="10" t="str">
        <f t="shared" si="672"/>
        <v>NA</v>
      </c>
    </row>
    <row r="761" spans="1:32" x14ac:dyDescent="0.2">
      <c r="A761" s="1" t="s">
        <v>4307</v>
      </c>
      <c r="B761" s="1" t="s">
        <v>5</v>
      </c>
      <c r="C761" s="1" t="s">
        <v>1575</v>
      </c>
      <c r="D761" s="1" t="s">
        <v>1580</v>
      </c>
      <c r="E761" s="1" t="s">
        <v>4288</v>
      </c>
      <c r="F761" s="1" t="s">
        <v>4291</v>
      </c>
      <c r="G761" s="13">
        <v>1</v>
      </c>
      <c r="H761" s="28">
        <v>40723</v>
      </c>
      <c r="I761" s="29">
        <f t="shared" si="673"/>
        <v>2011</v>
      </c>
      <c r="J761" s="1" t="s">
        <v>4282</v>
      </c>
      <c r="K761" s="1" t="s">
        <v>7</v>
      </c>
      <c r="L761" s="11" t="str">
        <f t="shared" ref="L761" si="675">IF(OR(A761=J761,A761=K761),"ДА","НЕТ")</f>
        <v>НЕТ</v>
      </c>
      <c r="M761" s="10" t="s">
        <v>1575</v>
      </c>
      <c r="N761" s="10" t="s">
        <v>1575</v>
      </c>
      <c r="O761" s="10">
        <v>33.536437999999997</v>
      </c>
      <c r="P761" s="10">
        <f t="shared" si="618"/>
        <v>33.536437999999997</v>
      </c>
      <c r="Q761" s="10" t="str">
        <f t="shared" si="619"/>
        <v>NA</v>
      </c>
      <c r="R761" s="10" t="s">
        <v>1575</v>
      </c>
      <c r="S761" s="10" t="s">
        <v>1575</v>
      </c>
      <c r="T761" s="10" t="s">
        <v>1575</v>
      </c>
      <c r="U761" s="10" t="s">
        <v>1575</v>
      </c>
      <c r="V761" s="10">
        <v>20.242874</v>
      </c>
      <c r="W761" s="10" t="s">
        <v>1575</v>
      </c>
      <c r="X761" s="10" t="str">
        <f t="shared" si="665"/>
        <v>NA</v>
      </c>
      <c r="Y761" s="10" t="str">
        <f t="shared" si="666"/>
        <v>NA</v>
      </c>
      <c r="Z761" s="10" t="str">
        <f t="shared" si="667"/>
        <v>NA</v>
      </c>
      <c r="AA761" s="10">
        <f t="shared" si="668"/>
        <v>1.6567033910303446</v>
      </c>
      <c r="AB761" s="10" t="str">
        <f t="shared" si="669"/>
        <v>NA</v>
      </c>
      <c r="AC761" s="10" t="str">
        <f t="shared" si="670"/>
        <v>NA</v>
      </c>
      <c r="AD761" s="10" t="str">
        <f t="shared" si="671"/>
        <v>NA</v>
      </c>
      <c r="AE761" s="10" t="str">
        <f t="shared" si="672"/>
        <v>NA</v>
      </c>
      <c r="AF761" s="1" t="s">
        <v>4308</v>
      </c>
    </row>
    <row r="762" spans="1:32" x14ac:dyDescent="0.2">
      <c r="A762" s="1" t="s">
        <v>5676</v>
      </c>
      <c r="B762" s="1" t="s">
        <v>91</v>
      </c>
      <c r="C762" s="1" t="s">
        <v>1575</v>
      </c>
      <c r="D762" s="1" t="s">
        <v>1580</v>
      </c>
      <c r="E762" s="1" t="s">
        <v>4288</v>
      </c>
      <c r="F762" s="1" t="s">
        <v>4291</v>
      </c>
      <c r="G762" s="13">
        <v>0.50019999999999998</v>
      </c>
      <c r="H762" s="28">
        <v>40298</v>
      </c>
      <c r="I762" s="29">
        <f t="shared" si="673"/>
        <v>2010</v>
      </c>
      <c r="J762" s="1" t="s">
        <v>4282</v>
      </c>
      <c r="K762" s="1" t="s">
        <v>7</v>
      </c>
      <c r="L762" s="11" t="str">
        <f t="shared" ref="L762:L764" si="676">IF(OR(A762=J762,A762=K762),"ДА","НЕТ")</f>
        <v>НЕТ</v>
      </c>
      <c r="M762" s="10" t="s">
        <v>1575</v>
      </c>
      <c r="N762" s="10" t="s">
        <v>1575</v>
      </c>
      <c r="O762" s="10">
        <v>0.30402299999999999</v>
      </c>
      <c r="P762" s="10">
        <f t="shared" si="618"/>
        <v>0.60780287884846063</v>
      </c>
      <c r="Q762" s="10" t="str">
        <f t="shared" si="619"/>
        <v>NA</v>
      </c>
      <c r="R762" s="10" t="s">
        <v>1575</v>
      </c>
      <c r="S762" s="10" t="s">
        <v>1575</v>
      </c>
      <c r="T762" s="10" t="s">
        <v>1575</v>
      </c>
      <c r="U762" s="10" t="s">
        <v>1575</v>
      </c>
      <c r="V762" s="10">
        <v>0.415078</v>
      </c>
      <c r="W762" s="10" t="s">
        <v>1575</v>
      </c>
      <c r="X762" s="10" t="str">
        <f t="shared" si="665"/>
        <v>NA</v>
      </c>
      <c r="Y762" s="10" t="str">
        <f t="shared" si="666"/>
        <v>NA</v>
      </c>
      <c r="Z762" s="10" t="str">
        <f t="shared" si="667"/>
        <v>NA</v>
      </c>
      <c r="AA762" s="10">
        <f t="shared" si="668"/>
        <v>1.4643100305206747</v>
      </c>
      <c r="AB762" s="10" t="str">
        <f t="shared" si="669"/>
        <v>NA</v>
      </c>
      <c r="AC762" s="10" t="str">
        <f t="shared" si="670"/>
        <v>NA</v>
      </c>
      <c r="AD762" s="10" t="str">
        <f t="shared" si="671"/>
        <v>NA</v>
      </c>
      <c r="AE762" s="10" t="str">
        <f t="shared" si="672"/>
        <v>NA</v>
      </c>
      <c r="AF762" s="1" t="s">
        <v>4309</v>
      </c>
    </row>
    <row r="763" spans="1:32" x14ac:dyDescent="0.2">
      <c r="A763" s="1" t="s">
        <v>4310</v>
      </c>
      <c r="B763" s="1" t="s">
        <v>5</v>
      </c>
      <c r="C763" s="1" t="s">
        <v>4311</v>
      </c>
      <c r="D763" s="1" t="s">
        <v>1580</v>
      </c>
      <c r="E763" s="1" t="s">
        <v>4288</v>
      </c>
      <c r="F763" s="1" t="s">
        <v>4291</v>
      </c>
      <c r="G763" s="13">
        <f>18757547/132843907</f>
        <v>0.14119990463695109</v>
      </c>
      <c r="H763" s="28">
        <v>44530</v>
      </c>
      <c r="I763" s="29">
        <f t="shared" ref="I763" si="677">YEAR(H763)</f>
        <v>2021</v>
      </c>
      <c r="J763" s="1" t="s">
        <v>7</v>
      </c>
      <c r="K763" s="1" t="s">
        <v>4310</v>
      </c>
      <c r="L763" s="11" t="str">
        <f t="shared" si="676"/>
        <v>ДА</v>
      </c>
      <c r="M763" s="10" t="s">
        <v>1575</v>
      </c>
      <c r="N763" s="10" t="s">
        <v>1575</v>
      </c>
      <c r="O763" s="10">
        <v>15.689292</v>
      </c>
      <c r="P763" s="10">
        <f t="shared" si="618"/>
        <v>111.11404104938903</v>
      </c>
      <c r="Q763" s="10" t="str">
        <f t="shared" si="619"/>
        <v>NA</v>
      </c>
      <c r="R763" s="10" t="s">
        <v>1575</v>
      </c>
      <c r="S763" s="10" t="s">
        <v>1575</v>
      </c>
      <c r="T763" s="10" t="s">
        <v>1575</v>
      </c>
      <c r="U763" s="10">
        <v>1.2688140000000001</v>
      </c>
      <c r="V763" s="10">
        <v>3.4308100000000001</v>
      </c>
      <c r="W763" s="10" t="s">
        <v>1575</v>
      </c>
      <c r="X763" s="10" t="str">
        <f t="shared" si="665"/>
        <v>NA</v>
      </c>
      <c r="Y763" s="10" t="str">
        <f t="shared" si="666"/>
        <v>NA</v>
      </c>
      <c r="Z763" s="10">
        <f t="shared" si="667"/>
        <v>87.573151816884916</v>
      </c>
      <c r="AA763" s="10">
        <f t="shared" si="668"/>
        <v>32.387115884991893</v>
      </c>
      <c r="AB763" s="10" t="str">
        <f t="shared" si="669"/>
        <v>NA</v>
      </c>
      <c r="AC763" s="10" t="str">
        <f t="shared" si="670"/>
        <v>NA</v>
      </c>
      <c r="AD763" s="10" t="str">
        <f t="shared" si="671"/>
        <v>NA</v>
      </c>
      <c r="AE763" s="10" t="str">
        <f t="shared" si="672"/>
        <v>NA</v>
      </c>
      <c r="AF763" s="1" t="s">
        <v>4315</v>
      </c>
    </row>
    <row r="764" spans="1:32" x14ac:dyDescent="0.2">
      <c r="A764" s="1" t="s">
        <v>5677</v>
      </c>
      <c r="B764" s="1" t="s">
        <v>5</v>
      </c>
      <c r="C764" s="1" t="s">
        <v>1575</v>
      </c>
      <c r="D764" s="1" t="s">
        <v>1580</v>
      </c>
      <c r="E764" s="1" t="s">
        <v>1694</v>
      </c>
      <c r="F764" s="1" t="s">
        <v>68</v>
      </c>
      <c r="G764" s="13">
        <v>0.67490000000000006</v>
      </c>
      <c r="H764" s="28">
        <v>43921</v>
      </c>
      <c r="I764" s="29">
        <f t="shared" ref="I764" si="678">YEAR(H764)</f>
        <v>2020</v>
      </c>
      <c r="J764" s="1" t="s">
        <v>4310</v>
      </c>
      <c r="K764" s="1" t="s">
        <v>4314</v>
      </c>
      <c r="L764" s="11" t="str">
        <f t="shared" si="676"/>
        <v>НЕТ</v>
      </c>
      <c r="M764" s="10" t="s">
        <v>1575</v>
      </c>
      <c r="N764" s="10" t="s">
        <v>1575</v>
      </c>
      <c r="O764" s="10">
        <v>0.50713799999999998</v>
      </c>
      <c r="P764" s="10">
        <f t="shared" si="618"/>
        <v>0.75142687805600816</v>
      </c>
      <c r="Q764" s="10" t="str">
        <f t="shared" si="619"/>
        <v>NA</v>
      </c>
      <c r="R764" s="10" t="s">
        <v>1575</v>
      </c>
      <c r="S764" s="10" t="s">
        <v>1575</v>
      </c>
      <c r="T764" s="10" t="s">
        <v>1575</v>
      </c>
      <c r="U764" s="10">
        <v>7.9099000000000003E-2</v>
      </c>
      <c r="V764" s="10">
        <v>1.1386700000000001</v>
      </c>
      <c r="W764" s="10" t="s">
        <v>1575</v>
      </c>
      <c r="X764" s="10" t="str">
        <f t="shared" si="665"/>
        <v>NA</v>
      </c>
      <c r="Y764" s="10" t="str">
        <f t="shared" si="666"/>
        <v>NA</v>
      </c>
      <c r="Z764" s="10">
        <f t="shared" si="667"/>
        <v>9.4998277861415215</v>
      </c>
      <c r="AA764" s="10">
        <f t="shared" si="668"/>
        <v>0.65991628659401591</v>
      </c>
      <c r="AB764" s="10" t="str">
        <f t="shared" si="669"/>
        <v>NA</v>
      </c>
      <c r="AC764" s="10" t="str">
        <f t="shared" si="670"/>
        <v>NA</v>
      </c>
      <c r="AD764" s="10" t="str">
        <f t="shared" si="671"/>
        <v>NA</v>
      </c>
      <c r="AE764" s="10" t="str">
        <f t="shared" si="672"/>
        <v>NA</v>
      </c>
      <c r="AF764" s="1" t="s">
        <v>4313</v>
      </c>
    </row>
    <row r="765" spans="1:32" x14ac:dyDescent="0.2">
      <c r="A765" s="1" t="s">
        <v>4310</v>
      </c>
      <c r="B765" s="1" t="s">
        <v>5</v>
      </c>
      <c r="C765" s="1" t="s">
        <v>4311</v>
      </c>
      <c r="D765" s="1" t="s">
        <v>1580</v>
      </c>
      <c r="E765" s="1" t="s">
        <v>4288</v>
      </c>
      <c r="F765" s="1" t="s">
        <v>4291</v>
      </c>
      <c r="G765" s="13">
        <f>745154/2852154</f>
        <v>0.2612600862365777</v>
      </c>
      <c r="H765" s="28">
        <v>43921</v>
      </c>
      <c r="I765" s="29">
        <f t="shared" si="673"/>
        <v>2020</v>
      </c>
      <c r="J765" s="1" t="s">
        <v>7</v>
      </c>
      <c r="K765" s="1" t="s">
        <v>4310</v>
      </c>
      <c r="L765" s="11" t="str">
        <f t="shared" ref="L765" si="679">IF(OR(A765=J765,A765=K765),"ДА","НЕТ")</f>
        <v>ДА</v>
      </c>
      <c r="M765" s="10" t="s">
        <v>1575</v>
      </c>
      <c r="N765" s="10" t="s">
        <v>1575</v>
      </c>
      <c r="O765" s="10">
        <v>0.81700099999999998</v>
      </c>
      <c r="P765" s="10">
        <f t="shared" si="618"/>
        <v>3.1271558230298702</v>
      </c>
      <c r="Q765" s="10" t="str">
        <f t="shared" si="619"/>
        <v>NA</v>
      </c>
      <c r="R765" s="10" t="s">
        <v>1575</v>
      </c>
      <c r="S765" s="10" t="s">
        <v>1575</v>
      </c>
      <c r="T765" s="10" t="s">
        <v>1575</v>
      </c>
      <c r="U765" s="10">
        <v>-5.9350000000000002E-3</v>
      </c>
      <c r="V765" s="10">
        <v>1.2872170000000001</v>
      </c>
      <c r="W765" s="10" t="s">
        <v>1575</v>
      </c>
      <c r="X765" s="10" t="str">
        <f t="shared" si="665"/>
        <v>NA</v>
      </c>
      <c r="Y765" s="10" t="str">
        <f t="shared" si="666"/>
        <v>NA</v>
      </c>
      <c r="Z765" s="10">
        <f t="shared" si="667"/>
        <v>-526.90072839593427</v>
      </c>
      <c r="AA765" s="10">
        <f t="shared" si="668"/>
        <v>2.4293928863819154</v>
      </c>
      <c r="AB765" s="10" t="str">
        <f t="shared" si="669"/>
        <v>NA</v>
      </c>
      <c r="AC765" s="10" t="str">
        <f t="shared" si="670"/>
        <v>NA</v>
      </c>
      <c r="AD765" s="10" t="str">
        <f t="shared" si="671"/>
        <v>NA</v>
      </c>
      <c r="AE765" s="10" t="str">
        <f t="shared" si="672"/>
        <v>NA</v>
      </c>
      <c r="AF765" s="1" t="s">
        <v>4312</v>
      </c>
    </row>
    <row r="766" spans="1:32" x14ac:dyDescent="0.2">
      <c r="A766" s="1" t="s">
        <v>4317</v>
      </c>
      <c r="B766" s="1" t="s">
        <v>5</v>
      </c>
      <c r="C766" s="1" t="s">
        <v>1575</v>
      </c>
      <c r="D766" s="1" t="s">
        <v>1580</v>
      </c>
      <c r="E766" s="1" t="s">
        <v>1827</v>
      </c>
      <c r="F766" s="1" t="s">
        <v>4318</v>
      </c>
      <c r="G766" s="13">
        <v>1.9300000000000001E-2</v>
      </c>
      <c r="H766" s="28">
        <v>42185</v>
      </c>
      <c r="I766" s="29">
        <f t="shared" si="673"/>
        <v>2015</v>
      </c>
      <c r="J766" s="1" t="s">
        <v>7</v>
      </c>
      <c r="K766" s="1" t="s">
        <v>4310</v>
      </c>
      <c r="L766" s="11" t="str">
        <f t="shared" ref="L766:L767" si="680">IF(OR(A766=J766,A766=K766),"ДА","НЕТ")</f>
        <v>НЕТ</v>
      </c>
      <c r="M766" s="10" t="s">
        <v>1575</v>
      </c>
      <c r="N766" s="10" t="s">
        <v>1575</v>
      </c>
      <c r="O766" s="10">
        <v>3.86E-4</v>
      </c>
      <c r="P766" s="10">
        <f t="shared" si="618"/>
        <v>0.02</v>
      </c>
      <c r="Q766" s="10" t="str">
        <f t="shared" si="619"/>
        <v>NA</v>
      </c>
      <c r="R766" s="10" t="s">
        <v>1575</v>
      </c>
      <c r="S766" s="10" t="s">
        <v>1575</v>
      </c>
      <c r="T766" s="10" t="s">
        <v>1575</v>
      </c>
      <c r="U766" s="10">
        <v>-3.7100000000000002E-3</v>
      </c>
      <c r="V766" s="10">
        <v>2.0924999999999999E-2</v>
      </c>
      <c r="W766" s="10" t="s">
        <v>1575</v>
      </c>
      <c r="X766" s="10" t="str">
        <f t="shared" si="665"/>
        <v>NA</v>
      </c>
      <c r="Y766" s="10" t="str">
        <f t="shared" si="666"/>
        <v>NA</v>
      </c>
      <c r="Z766" s="10">
        <f t="shared" si="667"/>
        <v>-5.3908355795148246</v>
      </c>
      <c r="AA766" s="10">
        <f t="shared" si="668"/>
        <v>0.95579450418160106</v>
      </c>
      <c r="AB766" s="10" t="str">
        <f t="shared" si="669"/>
        <v>NA</v>
      </c>
      <c r="AC766" s="10" t="str">
        <f t="shared" si="670"/>
        <v>NA</v>
      </c>
      <c r="AD766" s="10" t="str">
        <f t="shared" si="671"/>
        <v>NA</v>
      </c>
      <c r="AE766" s="10" t="str">
        <f t="shared" si="672"/>
        <v>NA</v>
      </c>
      <c r="AF766" s="1" t="s">
        <v>4316</v>
      </c>
    </row>
    <row r="767" spans="1:32" x14ac:dyDescent="0.2">
      <c r="A767" s="1" t="s">
        <v>5678</v>
      </c>
      <c r="B767" s="1" t="s">
        <v>5</v>
      </c>
      <c r="C767" s="1" t="s">
        <v>1575</v>
      </c>
      <c r="D767" s="1" t="s">
        <v>1580</v>
      </c>
      <c r="E767" s="1" t="s">
        <v>4288</v>
      </c>
      <c r="F767" s="1" t="s">
        <v>4322</v>
      </c>
      <c r="G767" s="13">
        <v>2.3599999999999999E-2</v>
      </c>
      <c r="H767" s="28">
        <v>41943</v>
      </c>
      <c r="I767" s="29">
        <f t="shared" ref="I767" si="681">YEAR(H767)</f>
        <v>2014</v>
      </c>
      <c r="J767" s="1" t="s">
        <v>4310</v>
      </c>
      <c r="K767" s="1" t="s">
        <v>7</v>
      </c>
      <c r="L767" s="11" t="str">
        <f t="shared" si="680"/>
        <v>НЕТ</v>
      </c>
      <c r="M767" s="10" t="s">
        <v>1575</v>
      </c>
      <c r="N767" s="10" t="s">
        <v>1575</v>
      </c>
      <c r="O767" s="10">
        <v>5.6959999999999997E-3</v>
      </c>
      <c r="P767" s="10">
        <f t="shared" si="618"/>
        <v>0.24135593220338983</v>
      </c>
      <c r="Q767" s="10" t="str">
        <f t="shared" si="619"/>
        <v>NA</v>
      </c>
      <c r="R767" s="10" t="s">
        <v>1575</v>
      </c>
      <c r="S767" s="10" t="s">
        <v>1575</v>
      </c>
      <c r="T767" s="10" t="s">
        <v>1575</v>
      </c>
      <c r="U767" s="10">
        <v>3.9100000000000002E-4</v>
      </c>
      <c r="V767" s="10">
        <v>0.332453</v>
      </c>
      <c r="W767" s="10" t="s">
        <v>1575</v>
      </c>
      <c r="X767" s="10" t="str">
        <f t="shared" si="665"/>
        <v>NA</v>
      </c>
      <c r="Y767" s="10" t="str">
        <f t="shared" si="666"/>
        <v>NA</v>
      </c>
      <c r="Z767" s="10">
        <f t="shared" si="667"/>
        <v>617.27859898565168</v>
      </c>
      <c r="AA767" s="10">
        <f t="shared" si="668"/>
        <v>0.72598512332085985</v>
      </c>
      <c r="AB767" s="10" t="str">
        <f t="shared" si="669"/>
        <v>NA</v>
      </c>
      <c r="AC767" s="10" t="str">
        <f t="shared" si="670"/>
        <v>NA</v>
      </c>
      <c r="AD767" s="10" t="str">
        <f t="shared" si="671"/>
        <v>NA</v>
      </c>
      <c r="AE767" s="10" t="str">
        <f t="shared" si="672"/>
        <v>NA</v>
      </c>
      <c r="AF767" s="1" t="s">
        <v>4320</v>
      </c>
    </row>
    <row r="768" spans="1:32" x14ac:dyDescent="0.2">
      <c r="A768" s="1" t="s">
        <v>5678</v>
      </c>
      <c r="B768" s="1" t="s">
        <v>5</v>
      </c>
      <c r="C768" s="1" t="s">
        <v>1575</v>
      </c>
      <c r="D768" s="1" t="s">
        <v>1580</v>
      </c>
      <c r="E768" s="1" t="s">
        <v>4288</v>
      </c>
      <c r="F768" s="1" t="s">
        <v>4322</v>
      </c>
      <c r="G768" s="13">
        <f>77.3%+4.44%</f>
        <v>0.81740000000000002</v>
      </c>
      <c r="H768" s="28">
        <v>41820</v>
      </c>
      <c r="I768" s="29">
        <f t="shared" si="673"/>
        <v>2014</v>
      </c>
      <c r="J768" s="1" t="s">
        <v>4310</v>
      </c>
      <c r="K768" s="1" t="s">
        <v>7</v>
      </c>
      <c r="L768" s="11" t="str">
        <f t="shared" ref="L768" si="682">IF(OR(A768=J768,A768=K768),"ДА","НЕТ")</f>
        <v>НЕТ</v>
      </c>
      <c r="M768" s="10" t="s">
        <v>1575</v>
      </c>
      <c r="N768" s="10" t="s">
        <v>1575</v>
      </c>
      <c r="O768" s="10">
        <v>0.19505800000000001</v>
      </c>
      <c r="P768" s="10">
        <f t="shared" si="618"/>
        <v>0.23863224859310009</v>
      </c>
      <c r="Q768" s="10" t="str">
        <f t="shared" si="619"/>
        <v>NA</v>
      </c>
      <c r="R768" s="10" t="s">
        <v>1575</v>
      </c>
      <c r="S768" s="10" t="s">
        <v>1575</v>
      </c>
      <c r="T768" s="10" t="s">
        <v>1575</v>
      </c>
      <c r="U768" s="10">
        <v>3.9100000000000002E-4</v>
      </c>
      <c r="V768" s="10">
        <v>0.332453</v>
      </c>
      <c r="W768" s="10" t="s">
        <v>1575</v>
      </c>
      <c r="X768" s="10" t="str">
        <f t="shared" si="665"/>
        <v>NA</v>
      </c>
      <c r="Y768" s="10" t="str">
        <f t="shared" si="666"/>
        <v>NA</v>
      </c>
      <c r="Z768" s="10">
        <f t="shared" si="667"/>
        <v>610.31265624833782</v>
      </c>
      <c r="AA768" s="10">
        <f t="shared" si="668"/>
        <v>0.71779243560172445</v>
      </c>
      <c r="AB768" s="10" t="str">
        <f t="shared" si="669"/>
        <v>NA</v>
      </c>
      <c r="AC768" s="10" t="str">
        <f t="shared" si="670"/>
        <v>NA</v>
      </c>
      <c r="AD768" s="10" t="str">
        <f t="shared" si="671"/>
        <v>NA</v>
      </c>
      <c r="AE768" s="10" t="str">
        <f t="shared" si="672"/>
        <v>NA</v>
      </c>
      <c r="AF768" s="1" t="s">
        <v>4319</v>
      </c>
    </row>
    <row r="769" spans="1:32" x14ac:dyDescent="0.2">
      <c r="A769" s="1" t="s">
        <v>4317</v>
      </c>
      <c r="B769" s="1" t="s">
        <v>5</v>
      </c>
      <c r="C769" s="1" t="s">
        <v>1575</v>
      </c>
      <c r="D769" s="1" t="s">
        <v>1580</v>
      </c>
      <c r="E769" s="1" t="s">
        <v>1827</v>
      </c>
      <c r="F769" s="1" t="s">
        <v>4318</v>
      </c>
      <c r="G769" s="13">
        <v>0.70720000000000005</v>
      </c>
      <c r="H769" s="28">
        <v>41729</v>
      </c>
      <c r="I769" s="29">
        <f t="shared" si="673"/>
        <v>2014</v>
      </c>
      <c r="J769" s="1" t="s">
        <v>4310</v>
      </c>
      <c r="K769" s="1" t="s">
        <v>7</v>
      </c>
      <c r="L769" s="11" t="str">
        <f t="shared" ref="L769" si="683">IF(OR(A769=J769,A769=K769),"ДА","НЕТ")</f>
        <v>НЕТ</v>
      </c>
      <c r="M769" s="10" t="s">
        <v>1575</v>
      </c>
      <c r="N769" s="10" t="s">
        <v>1575</v>
      </c>
      <c r="O769" s="10">
        <v>1.4142999999999999E-2</v>
      </c>
      <c r="P769" s="10">
        <f t="shared" si="618"/>
        <v>1.9998585972850678E-2</v>
      </c>
      <c r="Q769" s="10" t="str">
        <f t="shared" si="619"/>
        <v>NA</v>
      </c>
      <c r="R769" s="10" t="s">
        <v>1575</v>
      </c>
      <c r="S769" s="10" t="s">
        <v>1575</v>
      </c>
      <c r="T769" s="10" t="s">
        <v>1575</v>
      </c>
      <c r="U769" s="10">
        <v>-1.614E-3</v>
      </c>
      <c r="V769" s="10">
        <v>1.9248999999999999E-2</v>
      </c>
      <c r="W769" s="10" t="s">
        <v>1575</v>
      </c>
      <c r="X769" s="10" t="str">
        <f t="shared" si="665"/>
        <v>NA</v>
      </c>
      <c r="Y769" s="10" t="str">
        <f t="shared" si="666"/>
        <v>NA</v>
      </c>
      <c r="Z769" s="10">
        <f t="shared" si="667"/>
        <v>-12.390697628779851</v>
      </c>
      <c r="AA769" s="10">
        <f t="shared" si="668"/>
        <v>1.038941553995048</v>
      </c>
      <c r="AB769" s="10" t="str">
        <f t="shared" si="669"/>
        <v>NA</v>
      </c>
      <c r="AC769" s="10" t="str">
        <f t="shared" si="670"/>
        <v>NA</v>
      </c>
      <c r="AD769" s="10" t="str">
        <f t="shared" si="671"/>
        <v>NA</v>
      </c>
      <c r="AE769" s="10" t="str">
        <f t="shared" si="672"/>
        <v>NA</v>
      </c>
      <c r="AF769" s="1" t="s">
        <v>4321</v>
      </c>
    </row>
    <row r="770" spans="1:32" x14ac:dyDescent="0.2">
      <c r="A770" s="1" t="s">
        <v>5123</v>
      </c>
      <c r="B770" s="1" t="s">
        <v>5</v>
      </c>
      <c r="C770" s="1" t="s">
        <v>1575</v>
      </c>
      <c r="D770" s="1" t="s">
        <v>1580</v>
      </c>
      <c r="E770" s="1" t="s">
        <v>1593</v>
      </c>
      <c r="F770" s="1" t="s">
        <v>545</v>
      </c>
      <c r="G770" s="13">
        <v>0.38900000000000001</v>
      </c>
      <c r="H770" s="28">
        <v>42338</v>
      </c>
      <c r="I770" s="29">
        <f t="shared" si="673"/>
        <v>2015</v>
      </c>
      <c r="J770" s="1" t="s">
        <v>5122</v>
      </c>
      <c r="K770" s="1" t="s">
        <v>7</v>
      </c>
      <c r="L770" s="11" t="str">
        <f t="shared" ref="L770" si="684">IF(OR(A770=J770,A770=K770),"ДА","НЕТ")</f>
        <v>НЕТ</v>
      </c>
      <c r="M770" s="10" t="s">
        <v>1575</v>
      </c>
      <c r="N770" s="10" t="s">
        <v>1575</v>
      </c>
      <c r="O770" s="10" t="s">
        <v>1575</v>
      </c>
      <c r="P770" s="10" t="str">
        <f t="shared" si="618"/>
        <v>NA</v>
      </c>
      <c r="Q770" s="10" t="str">
        <f t="shared" si="619"/>
        <v>NA</v>
      </c>
      <c r="R770" s="10" t="s">
        <v>1575</v>
      </c>
      <c r="S770" s="10" t="s">
        <v>1575</v>
      </c>
      <c r="T770" s="10" t="s">
        <v>1575</v>
      </c>
      <c r="U770" s="10">
        <v>0.24706</v>
      </c>
      <c r="V770" s="10">
        <f>25.637003+6.373187-30.055933-0.05287</f>
        <v>1.9013870000000019</v>
      </c>
      <c r="W770" s="10" t="s">
        <v>1575</v>
      </c>
      <c r="X770" s="10" t="str">
        <f t="shared" si="665"/>
        <v>NA</v>
      </c>
      <c r="Y770" s="10" t="str">
        <f t="shared" si="666"/>
        <v>NA</v>
      </c>
      <c r="Z770" s="10" t="str">
        <f t="shared" si="667"/>
        <v>NA</v>
      </c>
      <c r="AA770" s="10" t="str">
        <f t="shared" si="668"/>
        <v>NA</v>
      </c>
      <c r="AB770" s="10" t="str">
        <f t="shared" si="669"/>
        <v>NA</v>
      </c>
      <c r="AC770" s="10" t="str">
        <f t="shared" si="670"/>
        <v>NA</v>
      </c>
      <c r="AD770" s="10" t="str">
        <f t="shared" si="671"/>
        <v>NA</v>
      </c>
      <c r="AE770" s="10" t="str">
        <f t="shared" si="672"/>
        <v>NA</v>
      </c>
      <c r="AF770" s="1" t="s">
        <v>5121</v>
      </c>
    </row>
    <row r="771" spans="1:32" x14ac:dyDescent="0.2">
      <c r="A771" s="1" t="s">
        <v>5124</v>
      </c>
      <c r="B771" s="1" t="s">
        <v>5</v>
      </c>
      <c r="C771" s="1" t="s">
        <v>1575</v>
      </c>
      <c r="D771" s="1" t="s">
        <v>1595</v>
      </c>
      <c r="E771" s="1" t="s">
        <v>5352</v>
      </c>
      <c r="F771" s="1" t="s">
        <v>244</v>
      </c>
      <c r="G771" s="13">
        <v>1</v>
      </c>
      <c r="H771" s="28">
        <v>41973</v>
      </c>
      <c r="I771" s="29">
        <f t="shared" si="673"/>
        <v>2014</v>
      </c>
      <c r="J771" s="1" t="s">
        <v>5122</v>
      </c>
      <c r="K771" s="1" t="s">
        <v>7</v>
      </c>
      <c r="L771" s="11" t="str">
        <f t="shared" ref="L771" si="685">IF(OR(A771=J771,A771=K771),"ДА","НЕТ")</f>
        <v>НЕТ</v>
      </c>
      <c r="M771" s="10" t="s">
        <v>1575</v>
      </c>
      <c r="N771" s="10" t="s">
        <v>1575</v>
      </c>
      <c r="O771" s="10" t="s">
        <v>1575</v>
      </c>
      <c r="P771" s="10" t="str">
        <f t="shared" ref="P771:P834" si="686">IFERROR(O771/G771,"NA")</f>
        <v>NA</v>
      </c>
      <c r="Q771" s="10" t="str">
        <f t="shared" ref="Q771:Q834" si="687">IFERROR(P771+W771,"NA")</f>
        <v>NA</v>
      </c>
      <c r="R771" s="10" t="s">
        <v>1575</v>
      </c>
      <c r="S771" s="10" t="s">
        <v>1575</v>
      </c>
      <c r="T771" s="10" t="s">
        <v>1575</v>
      </c>
      <c r="U771" s="10" t="s">
        <v>1575</v>
      </c>
      <c r="V771" s="10" t="s">
        <v>1575</v>
      </c>
      <c r="W771" s="10" t="s">
        <v>1575</v>
      </c>
      <c r="X771" s="10" t="str">
        <f t="shared" si="665"/>
        <v>NA</v>
      </c>
      <c r="Y771" s="10" t="str">
        <f t="shared" si="666"/>
        <v>NA</v>
      </c>
      <c r="Z771" s="10" t="str">
        <f t="shared" si="667"/>
        <v>NA</v>
      </c>
      <c r="AA771" s="10" t="str">
        <f t="shared" si="668"/>
        <v>NA</v>
      </c>
      <c r="AB771" s="10" t="str">
        <f t="shared" si="669"/>
        <v>NA</v>
      </c>
      <c r="AC771" s="10" t="str">
        <f t="shared" si="670"/>
        <v>NA</v>
      </c>
      <c r="AD771" s="10" t="str">
        <f t="shared" si="671"/>
        <v>NA</v>
      </c>
      <c r="AE771" s="10" t="str">
        <f t="shared" si="672"/>
        <v>NA</v>
      </c>
      <c r="AF771" s="1" t="s">
        <v>5125</v>
      </c>
    </row>
    <row r="772" spans="1:32" x14ac:dyDescent="0.2">
      <c r="A772" s="1" t="s">
        <v>5127</v>
      </c>
      <c r="B772" s="1" t="s">
        <v>5</v>
      </c>
      <c r="C772" s="1" t="s">
        <v>1575</v>
      </c>
      <c r="D772" s="1" t="s">
        <v>1580</v>
      </c>
      <c r="E772" s="1" t="s">
        <v>1593</v>
      </c>
      <c r="F772" s="1" t="s">
        <v>545</v>
      </c>
      <c r="G772" s="13">
        <v>1</v>
      </c>
      <c r="H772" s="28">
        <v>41790</v>
      </c>
      <c r="I772" s="29">
        <f t="shared" si="673"/>
        <v>2014</v>
      </c>
      <c r="J772" s="1" t="s">
        <v>7</v>
      </c>
      <c r="K772" s="1" t="s">
        <v>5126</v>
      </c>
      <c r="L772" s="11" t="str">
        <f t="shared" ref="L772" si="688">IF(OR(A772=J772,A772=K772),"ДА","НЕТ")</f>
        <v>НЕТ</v>
      </c>
      <c r="M772" s="10" t="s">
        <v>1575</v>
      </c>
      <c r="N772" s="10" t="s">
        <v>1575</v>
      </c>
      <c r="O772" s="10">
        <v>1.5E-5</v>
      </c>
      <c r="P772" s="10">
        <f t="shared" si="686"/>
        <v>1.5E-5</v>
      </c>
      <c r="Q772" s="10" t="str">
        <f t="shared" si="687"/>
        <v>NA</v>
      </c>
      <c r="R772" s="10" t="s">
        <v>1575</v>
      </c>
      <c r="S772" s="10" t="s">
        <v>1575</v>
      </c>
      <c r="T772" s="10" t="s">
        <v>1575</v>
      </c>
      <c r="U772" s="10" t="s">
        <v>1575</v>
      </c>
      <c r="V772" s="10">
        <v>-6.7739999999999996E-3</v>
      </c>
      <c r="W772" s="10" t="s">
        <v>1575</v>
      </c>
      <c r="X772" s="10" t="str">
        <f t="shared" ref="X772" si="689">IFERROR(V772+W772,"NA")</f>
        <v>NA</v>
      </c>
      <c r="Y772" s="10" t="str">
        <f t="shared" ref="Y772" si="690">IFERROR(P772/R772,"NA")</f>
        <v>NA</v>
      </c>
      <c r="Z772" s="10" t="str">
        <f t="shared" ref="Z772" si="691">IFERROR(P772/U772,"NA")</f>
        <v>NA</v>
      </c>
      <c r="AA772" s="10">
        <f t="shared" ref="AA772" si="692">IFERROR(P772/V772,"NA")</f>
        <v>-2.2143489813994687E-3</v>
      </c>
      <c r="AB772" s="10" t="str">
        <f t="shared" ref="AB772" si="693">IFERROR(Q772/R772,"NA")</f>
        <v>NA</v>
      </c>
      <c r="AC772" s="10" t="str">
        <f t="shared" ref="AC772" si="694">IFERROR(Q772/S772,"NA")</f>
        <v>NA</v>
      </c>
      <c r="AD772" s="10" t="str">
        <f t="shared" ref="AD772" si="695">IFERROR(Q772/T772,"NA")</f>
        <v>NA</v>
      </c>
      <c r="AE772" s="10" t="str">
        <f t="shared" ref="AE772" si="696">IFERROR(Q772/X772,"NA")</f>
        <v>NA</v>
      </c>
      <c r="AF772" s="1" t="s">
        <v>5128</v>
      </c>
    </row>
    <row r="773" spans="1:32" x14ac:dyDescent="0.2">
      <c r="A773" s="1" t="s">
        <v>5129</v>
      </c>
      <c r="B773" s="1" t="s">
        <v>5</v>
      </c>
      <c r="C773" s="1" t="s">
        <v>1575</v>
      </c>
      <c r="D773" s="1" t="s">
        <v>1580</v>
      </c>
      <c r="E773" s="1" t="s">
        <v>1593</v>
      </c>
      <c r="F773" s="1" t="s">
        <v>545</v>
      </c>
      <c r="G773" s="13" t="s">
        <v>11</v>
      </c>
      <c r="H773" s="28">
        <v>42369</v>
      </c>
      <c r="I773" s="29">
        <f t="shared" si="673"/>
        <v>2015</v>
      </c>
      <c r="J773" s="1" t="s">
        <v>7</v>
      </c>
      <c r="K773" s="1" t="s">
        <v>5132</v>
      </c>
      <c r="L773" s="11" t="str">
        <f t="shared" ref="L773" si="697">IF(OR(A773=J773,A773=K773),"ДА","НЕТ")</f>
        <v>НЕТ</v>
      </c>
      <c r="M773" s="10" t="s">
        <v>1575</v>
      </c>
      <c r="N773" s="10" t="s">
        <v>1575</v>
      </c>
      <c r="O773" s="10" t="s">
        <v>1575</v>
      </c>
      <c r="P773" s="10" t="str">
        <f t="shared" si="686"/>
        <v>NA</v>
      </c>
      <c r="Q773" s="10" t="str">
        <f t="shared" si="687"/>
        <v>NA</v>
      </c>
      <c r="R773" s="10" t="s">
        <v>1575</v>
      </c>
      <c r="S773" s="10" t="s">
        <v>1575</v>
      </c>
      <c r="T773" s="10" t="s">
        <v>1575</v>
      </c>
      <c r="U773" s="10" t="s">
        <v>1575</v>
      </c>
      <c r="V773" s="10" t="s">
        <v>1575</v>
      </c>
      <c r="W773" s="10" t="s">
        <v>1575</v>
      </c>
      <c r="X773" s="10" t="str">
        <f t="shared" ref="X773:X791" si="698">IFERROR(V773+W773,"NA")</f>
        <v>NA</v>
      </c>
      <c r="Y773" s="10" t="str">
        <f t="shared" ref="Y773:Y791" si="699">IFERROR(P773/R773,"NA")</f>
        <v>NA</v>
      </c>
      <c r="Z773" s="10" t="str">
        <f t="shared" ref="Z773:Z791" si="700">IFERROR(P773/U773,"NA")</f>
        <v>NA</v>
      </c>
      <c r="AA773" s="10" t="str">
        <f t="shared" ref="AA773:AA791" si="701">IFERROR(P773/V773,"NA")</f>
        <v>NA</v>
      </c>
      <c r="AB773" s="10" t="str">
        <f t="shared" ref="AB773:AB791" si="702">IFERROR(Q773/R773,"NA")</f>
        <v>NA</v>
      </c>
      <c r="AC773" s="10" t="str">
        <f t="shared" ref="AC773:AC791" si="703">IFERROR(Q773/S773,"NA")</f>
        <v>NA</v>
      </c>
      <c r="AD773" s="10" t="str">
        <f t="shared" ref="AD773:AD791" si="704">IFERROR(Q773/T773,"NA")</f>
        <v>NA</v>
      </c>
      <c r="AE773" s="10" t="str">
        <f t="shared" ref="AE773:AE791" si="705">IFERROR(Q773/X773,"NA")</f>
        <v>NA</v>
      </c>
      <c r="AF773" s="1" t="s">
        <v>5130</v>
      </c>
    </row>
    <row r="774" spans="1:32" x14ac:dyDescent="0.2">
      <c r="A774" s="1" t="s">
        <v>5133</v>
      </c>
      <c r="B774" s="1" t="s">
        <v>5</v>
      </c>
      <c r="C774" s="1" t="s">
        <v>1575</v>
      </c>
      <c r="D774" s="1" t="s">
        <v>1580</v>
      </c>
      <c r="E774" s="1" t="s">
        <v>1593</v>
      </c>
      <c r="F774" s="1" t="s">
        <v>5134</v>
      </c>
      <c r="G774" s="13">
        <v>2.8439999999999999E-5</v>
      </c>
      <c r="H774" s="28">
        <v>42369</v>
      </c>
      <c r="I774" s="29">
        <f t="shared" si="673"/>
        <v>2015</v>
      </c>
      <c r="J774" s="1" t="s">
        <v>7</v>
      </c>
      <c r="K774" s="1" t="s">
        <v>5132</v>
      </c>
      <c r="L774" s="11" t="str">
        <f t="shared" ref="L774" si="706">IF(OR(A774=J774,A774=K774),"ДА","НЕТ")</f>
        <v>НЕТ</v>
      </c>
      <c r="M774" s="10" t="s">
        <v>1575</v>
      </c>
      <c r="N774" s="10" t="s">
        <v>1575</v>
      </c>
      <c r="O774" s="10" t="s">
        <v>1575</v>
      </c>
      <c r="P774" s="10" t="str">
        <f t="shared" si="686"/>
        <v>NA</v>
      </c>
      <c r="Q774" s="10" t="str">
        <f t="shared" si="687"/>
        <v>NA</v>
      </c>
      <c r="R774" s="10" t="s">
        <v>1575</v>
      </c>
      <c r="S774" s="10" t="s">
        <v>1575</v>
      </c>
      <c r="T774" s="10" t="s">
        <v>1575</v>
      </c>
      <c r="U774" s="10" t="s">
        <v>1575</v>
      </c>
      <c r="V774" s="10" t="s">
        <v>1575</v>
      </c>
      <c r="W774" s="10" t="s">
        <v>1575</v>
      </c>
      <c r="X774" s="10" t="str">
        <f t="shared" si="698"/>
        <v>NA</v>
      </c>
      <c r="Y774" s="10" t="str">
        <f t="shared" si="699"/>
        <v>NA</v>
      </c>
      <c r="Z774" s="10" t="str">
        <f t="shared" si="700"/>
        <v>NA</v>
      </c>
      <c r="AA774" s="10" t="str">
        <f t="shared" si="701"/>
        <v>NA</v>
      </c>
      <c r="AB774" s="10" t="str">
        <f t="shared" si="702"/>
        <v>NA</v>
      </c>
      <c r="AC774" s="10" t="str">
        <f t="shared" si="703"/>
        <v>NA</v>
      </c>
      <c r="AD774" s="10" t="str">
        <f t="shared" si="704"/>
        <v>NA</v>
      </c>
      <c r="AE774" s="10" t="str">
        <f t="shared" si="705"/>
        <v>NA</v>
      </c>
      <c r="AF774" s="1" t="s">
        <v>5131</v>
      </c>
    </row>
    <row r="775" spans="1:32" x14ac:dyDescent="0.2">
      <c r="A775" s="1" t="s">
        <v>5679</v>
      </c>
      <c r="B775" s="1" t="s">
        <v>5</v>
      </c>
      <c r="C775" s="1" t="s">
        <v>1575</v>
      </c>
      <c r="D775" s="1" t="s">
        <v>1580</v>
      </c>
      <c r="E775" s="1" t="s">
        <v>1593</v>
      </c>
      <c r="F775" s="1" t="s">
        <v>5135</v>
      </c>
      <c r="G775" s="13">
        <v>1</v>
      </c>
      <c r="H775" s="28">
        <v>41360</v>
      </c>
      <c r="I775" s="29">
        <f t="shared" si="673"/>
        <v>2013</v>
      </c>
      <c r="J775" s="1" t="s">
        <v>7</v>
      </c>
      <c r="K775" s="1" t="s">
        <v>5132</v>
      </c>
      <c r="L775" s="11" t="str">
        <f t="shared" ref="L775:L777" si="707">IF(OR(A775=J775,A775=K775),"ДА","НЕТ")</f>
        <v>НЕТ</v>
      </c>
      <c r="M775" s="10" t="s">
        <v>1575</v>
      </c>
      <c r="N775" s="10" t="s">
        <v>1575</v>
      </c>
      <c r="O775" s="10">
        <v>8.0033000000000007E-2</v>
      </c>
      <c r="P775" s="10">
        <f t="shared" si="686"/>
        <v>8.0033000000000007E-2</v>
      </c>
      <c r="Q775" s="10" t="str">
        <f t="shared" si="687"/>
        <v>NA</v>
      </c>
      <c r="R775" s="10" t="s">
        <v>1575</v>
      </c>
      <c r="S775" s="10" t="s">
        <v>1575</v>
      </c>
      <c r="T775" s="10" t="s">
        <v>1575</v>
      </c>
      <c r="U775" s="10" t="s">
        <v>1575</v>
      </c>
      <c r="V775" s="10" t="s">
        <v>1575</v>
      </c>
      <c r="W775" s="10" t="s">
        <v>1575</v>
      </c>
      <c r="X775" s="10" t="str">
        <f t="shared" si="698"/>
        <v>NA</v>
      </c>
      <c r="Y775" s="10" t="str">
        <f t="shared" si="699"/>
        <v>NA</v>
      </c>
      <c r="Z775" s="10" t="str">
        <f t="shared" si="700"/>
        <v>NA</v>
      </c>
      <c r="AA775" s="10" t="str">
        <f t="shared" si="701"/>
        <v>NA</v>
      </c>
      <c r="AB775" s="10" t="str">
        <f t="shared" si="702"/>
        <v>NA</v>
      </c>
      <c r="AC775" s="10" t="str">
        <f t="shared" si="703"/>
        <v>NA</v>
      </c>
      <c r="AD775" s="10" t="str">
        <f t="shared" si="704"/>
        <v>NA</v>
      </c>
      <c r="AE775" s="10" t="str">
        <f t="shared" si="705"/>
        <v>NA</v>
      </c>
      <c r="AF775" s="1" t="s">
        <v>5136</v>
      </c>
    </row>
    <row r="776" spans="1:32" x14ac:dyDescent="0.2">
      <c r="A776" s="1" t="s">
        <v>5680</v>
      </c>
      <c r="B776" s="1" t="s">
        <v>5</v>
      </c>
      <c r="C776" s="1" t="s">
        <v>1575</v>
      </c>
      <c r="D776" s="1" t="s">
        <v>1813</v>
      </c>
      <c r="E776" s="1" t="s">
        <v>1587</v>
      </c>
      <c r="F776" s="1" t="s">
        <v>5137</v>
      </c>
      <c r="G776" s="13">
        <v>0.05</v>
      </c>
      <c r="H776" s="28">
        <v>42735</v>
      </c>
      <c r="I776" s="29">
        <f t="shared" ref="I776" si="708">YEAR(H776)</f>
        <v>2016</v>
      </c>
      <c r="J776" s="1" t="s">
        <v>5138</v>
      </c>
      <c r="K776" s="1" t="s">
        <v>7</v>
      </c>
      <c r="L776" s="11" t="str">
        <f t="shared" ref="L776" si="709">IF(OR(A776=J776,A776=K776),"ДА","НЕТ")</f>
        <v>НЕТ</v>
      </c>
      <c r="M776" s="10" t="s">
        <v>1575</v>
      </c>
      <c r="N776" s="10" t="s">
        <v>1575</v>
      </c>
      <c r="O776" s="10" t="s">
        <v>1575</v>
      </c>
      <c r="P776" s="10" t="str">
        <f t="shared" si="686"/>
        <v>NA</v>
      </c>
      <c r="Q776" s="10" t="str">
        <f t="shared" si="687"/>
        <v>NA</v>
      </c>
      <c r="R776" s="10" t="s">
        <v>1575</v>
      </c>
      <c r="S776" s="10" t="s">
        <v>1575</v>
      </c>
      <c r="T776" s="10" t="s">
        <v>1575</v>
      </c>
      <c r="U776" s="10" t="s">
        <v>1575</v>
      </c>
      <c r="V776" s="10" t="s">
        <v>1575</v>
      </c>
      <c r="W776" s="10" t="s">
        <v>1575</v>
      </c>
      <c r="X776" s="10" t="str">
        <f t="shared" ref="X776" si="710">IFERROR(V776+W776,"NA")</f>
        <v>NA</v>
      </c>
      <c r="Y776" s="10" t="str">
        <f t="shared" ref="Y776" si="711">IFERROR(P776/R776,"NA")</f>
        <v>NA</v>
      </c>
      <c r="Z776" s="10" t="str">
        <f t="shared" ref="Z776" si="712">IFERROR(P776/U776,"NA")</f>
        <v>NA</v>
      </c>
      <c r="AA776" s="10" t="str">
        <f t="shared" ref="AA776" si="713">IFERROR(P776/V776,"NA")</f>
        <v>NA</v>
      </c>
      <c r="AB776" s="10" t="str">
        <f t="shared" ref="AB776" si="714">IFERROR(Q776/R776,"NA")</f>
        <v>NA</v>
      </c>
      <c r="AC776" s="10" t="str">
        <f t="shared" ref="AC776" si="715">IFERROR(Q776/S776,"NA")</f>
        <v>NA</v>
      </c>
      <c r="AD776" s="10" t="str">
        <f t="shared" ref="AD776" si="716">IFERROR(Q776/T776,"NA")</f>
        <v>NA</v>
      </c>
      <c r="AE776" s="10" t="str">
        <f t="shared" ref="AE776" si="717">IFERROR(Q776/X776,"NA")</f>
        <v>NA</v>
      </c>
      <c r="AF776" s="1" t="s">
        <v>5143</v>
      </c>
    </row>
    <row r="777" spans="1:32" x14ac:dyDescent="0.2">
      <c r="A777" s="1" t="s">
        <v>5680</v>
      </c>
      <c r="B777" s="1" t="s">
        <v>5</v>
      </c>
      <c r="C777" s="1" t="s">
        <v>1575</v>
      </c>
      <c r="D777" s="1" t="s">
        <v>1813</v>
      </c>
      <c r="E777" s="1" t="s">
        <v>1587</v>
      </c>
      <c r="F777" s="1" t="s">
        <v>5137</v>
      </c>
      <c r="G777" s="13">
        <v>0.3</v>
      </c>
      <c r="H777" s="28">
        <v>42735</v>
      </c>
      <c r="I777" s="29">
        <f t="shared" si="673"/>
        <v>2016</v>
      </c>
      <c r="J777" s="1" t="s">
        <v>5138</v>
      </c>
      <c r="K777" s="1" t="s">
        <v>7</v>
      </c>
      <c r="L777" s="11" t="str">
        <f t="shared" si="707"/>
        <v>НЕТ</v>
      </c>
      <c r="M777" s="10" t="s">
        <v>1575</v>
      </c>
      <c r="N777" s="10" t="s">
        <v>1575</v>
      </c>
      <c r="O777" s="10">
        <v>6.0000000000000002E-6</v>
      </c>
      <c r="P777" s="10">
        <f t="shared" si="686"/>
        <v>2.0000000000000002E-5</v>
      </c>
      <c r="Q777" s="10" t="str">
        <f t="shared" si="687"/>
        <v>NA</v>
      </c>
      <c r="R777" s="10" t="s">
        <v>1575</v>
      </c>
      <c r="S777" s="10" t="s">
        <v>1575</v>
      </c>
      <c r="T777" s="10" t="s">
        <v>1575</v>
      </c>
      <c r="U777" s="10" t="s">
        <v>1575</v>
      </c>
      <c r="V777" s="10" t="s">
        <v>1575</v>
      </c>
      <c r="W777" s="10" t="s">
        <v>1575</v>
      </c>
      <c r="X777" s="10" t="str">
        <f t="shared" si="698"/>
        <v>NA</v>
      </c>
      <c r="Y777" s="10" t="str">
        <f t="shared" si="699"/>
        <v>NA</v>
      </c>
      <c r="Z777" s="10" t="str">
        <f t="shared" si="700"/>
        <v>NA</v>
      </c>
      <c r="AA777" s="10" t="str">
        <f t="shared" si="701"/>
        <v>NA</v>
      </c>
      <c r="AB777" s="10" t="str">
        <f t="shared" si="702"/>
        <v>NA</v>
      </c>
      <c r="AC777" s="10" t="str">
        <f t="shared" si="703"/>
        <v>NA</v>
      </c>
      <c r="AD777" s="10" t="str">
        <f t="shared" si="704"/>
        <v>NA</v>
      </c>
      <c r="AE777" s="10" t="str">
        <f t="shared" si="705"/>
        <v>NA</v>
      </c>
      <c r="AF777" s="1" t="s">
        <v>5143</v>
      </c>
    </row>
    <row r="778" spans="1:32" x14ac:dyDescent="0.2">
      <c r="A778" s="1" t="s">
        <v>5681</v>
      </c>
      <c r="B778" s="1" t="s">
        <v>5</v>
      </c>
      <c r="C778" s="1" t="s">
        <v>1575</v>
      </c>
      <c r="D778" s="1" t="s">
        <v>1813</v>
      </c>
      <c r="E778" s="1" t="s">
        <v>1587</v>
      </c>
      <c r="F778" s="1" t="s">
        <v>5137</v>
      </c>
      <c r="G778" s="13">
        <v>0.52</v>
      </c>
      <c r="H778" s="28">
        <v>42094</v>
      </c>
      <c r="I778" s="29">
        <f t="shared" si="673"/>
        <v>2015</v>
      </c>
      <c r="J778" s="1" t="s">
        <v>5138</v>
      </c>
      <c r="K778" s="1" t="s">
        <v>7</v>
      </c>
      <c r="L778" s="11" t="str">
        <f t="shared" ref="L778" si="718">IF(OR(A778=J778,A778=K778),"ДА","НЕТ")</f>
        <v>НЕТ</v>
      </c>
      <c r="M778" s="10" t="s">
        <v>1575</v>
      </c>
      <c r="N778" s="10" t="s">
        <v>1575</v>
      </c>
      <c r="O778" s="10" t="s">
        <v>1575</v>
      </c>
      <c r="P778" s="10" t="str">
        <f t="shared" si="686"/>
        <v>NA</v>
      </c>
      <c r="Q778" s="10" t="str">
        <f t="shared" si="687"/>
        <v>NA</v>
      </c>
      <c r="R778" s="10" t="s">
        <v>1575</v>
      </c>
      <c r="S778" s="10" t="s">
        <v>1575</v>
      </c>
      <c r="T778" s="10" t="s">
        <v>1575</v>
      </c>
      <c r="U778" s="10" t="s">
        <v>1575</v>
      </c>
      <c r="V778" s="10">
        <v>8.9569999999999997E-3</v>
      </c>
      <c r="W778" s="10" t="s">
        <v>1575</v>
      </c>
      <c r="X778" s="10" t="str">
        <f t="shared" ref="X778:X788" si="719">IFERROR(V778+W778,"NA")</f>
        <v>NA</v>
      </c>
      <c r="Y778" s="10" t="str">
        <f t="shared" ref="Y778:Y788" si="720">IFERROR(P778/R778,"NA")</f>
        <v>NA</v>
      </c>
      <c r="Z778" s="10" t="str">
        <f t="shared" ref="Z778:Z788" si="721">IFERROR(P778/U778,"NA")</f>
        <v>NA</v>
      </c>
      <c r="AA778" s="10" t="str">
        <f t="shared" ref="AA778:AA788" si="722">IFERROR(P778/V778,"NA")</f>
        <v>NA</v>
      </c>
      <c r="AB778" s="10" t="str">
        <f t="shared" ref="AB778:AB788" si="723">IFERROR(Q778/R778,"NA")</f>
        <v>NA</v>
      </c>
      <c r="AC778" s="10" t="str">
        <f t="shared" ref="AC778:AC788" si="724">IFERROR(Q778/S778,"NA")</f>
        <v>NA</v>
      </c>
      <c r="AD778" s="10" t="str">
        <f t="shared" ref="AD778:AD788" si="725">IFERROR(Q778/T778,"NA")</f>
        <v>NA</v>
      </c>
      <c r="AE778" s="10" t="str">
        <f t="shared" ref="AE778:AE788" si="726">IFERROR(Q778/X778,"NA")</f>
        <v>NA</v>
      </c>
      <c r="AF778" s="1" t="s">
        <v>5139</v>
      </c>
    </row>
    <row r="779" spans="1:32" x14ac:dyDescent="0.2">
      <c r="A779" s="1" t="s">
        <v>5680</v>
      </c>
      <c r="B779" s="1" t="s">
        <v>5</v>
      </c>
      <c r="C779" s="1" t="s">
        <v>1575</v>
      </c>
      <c r="D779" s="1" t="s">
        <v>1813</v>
      </c>
      <c r="E779" s="1" t="s">
        <v>1587</v>
      </c>
      <c r="F779" s="1" t="s">
        <v>5137</v>
      </c>
      <c r="G779" s="13">
        <v>0.17499999999999999</v>
      </c>
      <c r="H779" s="28">
        <v>42004</v>
      </c>
      <c r="I779" s="29">
        <f t="shared" ref="I779:I787" si="727">YEAR(H779)</f>
        <v>2014</v>
      </c>
      <c r="J779" s="1" t="s">
        <v>5138</v>
      </c>
      <c r="K779" s="1" t="s">
        <v>7</v>
      </c>
      <c r="L779" s="11" t="str">
        <f t="shared" ref="L779:L781" si="728">IF(OR(A779=J779,A779=K779),"ДА","НЕТ")</f>
        <v>НЕТ</v>
      </c>
      <c r="M779" s="10" t="s">
        <v>1575</v>
      </c>
      <c r="N779" s="10" t="s">
        <v>1575</v>
      </c>
      <c r="O779" s="10">
        <v>7.8130000000000005E-3</v>
      </c>
      <c r="P779" s="10">
        <f t="shared" si="686"/>
        <v>4.4645714285714289E-2</v>
      </c>
      <c r="Q779" s="10" t="str">
        <f t="shared" si="687"/>
        <v>NA</v>
      </c>
      <c r="R779" s="10" t="s">
        <v>1575</v>
      </c>
      <c r="S779" s="10" t="s">
        <v>1575</v>
      </c>
      <c r="T779" s="10" t="s">
        <v>1575</v>
      </c>
      <c r="U779" s="10" t="s">
        <v>1575</v>
      </c>
      <c r="V779" s="10" t="s">
        <v>1575</v>
      </c>
      <c r="W779" s="10" t="s">
        <v>1575</v>
      </c>
      <c r="X779" s="10" t="str">
        <f t="shared" si="719"/>
        <v>NA</v>
      </c>
      <c r="Y779" s="10" t="str">
        <f t="shared" si="720"/>
        <v>NA</v>
      </c>
      <c r="Z779" s="10" t="str">
        <f t="shared" si="721"/>
        <v>NA</v>
      </c>
      <c r="AA779" s="10" t="str">
        <f t="shared" si="722"/>
        <v>NA</v>
      </c>
      <c r="AB779" s="10" t="str">
        <f t="shared" si="723"/>
        <v>NA</v>
      </c>
      <c r="AC779" s="10" t="str">
        <f t="shared" si="724"/>
        <v>NA</v>
      </c>
      <c r="AD779" s="10" t="str">
        <f t="shared" si="725"/>
        <v>NA</v>
      </c>
      <c r="AE779" s="10" t="str">
        <f t="shared" si="726"/>
        <v>NA</v>
      </c>
      <c r="AF779" s="1" t="s">
        <v>5140</v>
      </c>
    </row>
    <row r="780" spans="1:32" x14ac:dyDescent="0.2">
      <c r="A780" s="1" t="s">
        <v>5682</v>
      </c>
      <c r="B780" s="1" t="s">
        <v>5</v>
      </c>
      <c r="C780" s="1" t="s">
        <v>1575</v>
      </c>
      <c r="D780" s="1" t="s">
        <v>1582</v>
      </c>
      <c r="E780" s="1" t="s">
        <v>5142</v>
      </c>
      <c r="F780" s="1" t="s">
        <v>566</v>
      </c>
      <c r="G780" s="13">
        <v>5.5599999999999997E-2</v>
      </c>
      <c r="H780" s="28">
        <v>42004</v>
      </c>
      <c r="I780" s="29">
        <f t="shared" si="727"/>
        <v>2014</v>
      </c>
      <c r="J780" s="1" t="s">
        <v>5138</v>
      </c>
      <c r="K780" s="1" t="s">
        <v>7</v>
      </c>
      <c r="L780" s="11" t="str">
        <f t="shared" si="728"/>
        <v>НЕТ</v>
      </c>
      <c r="M780" s="10" t="s">
        <v>1575</v>
      </c>
      <c r="N780" s="10" t="s">
        <v>1575</v>
      </c>
      <c r="O780" s="10">
        <v>4.2000000000000003E-2</v>
      </c>
      <c r="P780" s="10">
        <f t="shared" si="686"/>
        <v>0.75539568345323749</v>
      </c>
      <c r="Q780" s="10" t="str">
        <f t="shared" si="687"/>
        <v>NA</v>
      </c>
      <c r="R780" s="10" t="s">
        <v>1575</v>
      </c>
      <c r="S780" s="10" t="s">
        <v>1575</v>
      </c>
      <c r="T780" s="10" t="s">
        <v>1575</v>
      </c>
      <c r="U780" s="10" t="s">
        <v>1575</v>
      </c>
      <c r="V780" s="10" t="s">
        <v>1575</v>
      </c>
      <c r="W780" s="10" t="s">
        <v>1575</v>
      </c>
      <c r="X780" s="10" t="str">
        <f t="shared" si="719"/>
        <v>NA</v>
      </c>
      <c r="Y780" s="10" t="str">
        <f t="shared" si="720"/>
        <v>NA</v>
      </c>
      <c r="Z780" s="10" t="str">
        <f t="shared" si="721"/>
        <v>NA</v>
      </c>
      <c r="AA780" s="10" t="str">
        <f t="shared" si="722"/>
        <v>NA</v>
      </c>
      <c r="AB780" s="10" t="str">
        <f t="shared" si="723"/>
        <v>NA</v>
      </c>
      <c r="AC780" s="10" t="str">
        <f t="shared" si="724"/>
        <v>NA</v>
      </c>
      <c r="AD780" s="10" t="str">
        <f t="shared" si="725"/>
        <v>NA</v>
      </c>
      <c r="AE780" s="10" t="str">
        <f t="shared" si="726"/>
        <v>NA</v>
      </c>
      <c r="AF780" s="1" t="s">
        <v>5141</v>
      </c>
    </row>
    <row r="781" spans="1:32" x14ac:dyDescent="0.2">
      <c r="A781" s="1" t="s">
        <v>5681</v>
      </c>
      <c r="B781" s="1" t="s">
        <v>5</v>
      </c>
      <c r="C781" s="1" t="s">
        <v>1575</v>
      </c>
      <c r="D781" s="1" t="s">
        <v>1813</v>
      </c>
      <c r="E781" s="1" t="s">
        <v>1587</v>
      </c>
      <c r="F781" s="1" t="s">
        <v>5137</v>
      </c>
      <c r="G781" s="13">
        <f>48%-30%</f>
        <v>0.18</v>
      </c>
      <c r="H781" s="28">
        <v>41639</v>
      </c>
      <c r="I781" s="29">
        <f t="shared" si="727"/>
        <v>2013</v>
      </c>
      <c r="J781" s="1" t="s">
        <v>5138</v>
      </c>
      <c r="K781" s="1" t="s">
        <v>7</v>
      </c>
      <c r="L781" s="11" t="str">
        <f t="shared" si="728"/>
        <v>НЕТ</v>
      </c>
      <c r="M781" s="10" t="s">
        <v>1575</v>
      </c>
      <c r="N781" s="10" t="s">
        <v>1575</v>
      </c>
      <c r="O781" s="10">
        <v>1.8700000000000001E-2</v>
      </c>
      <c r="P781" s="10">
        <f t="shared" si="686"/>
        <v>0.10388888888888891</v>
      </c>
      <c r="Q781" s="10" t="str">
        <f t="shared" si="687"/>
        <v>NA</v>
      </c>
      <c r="R781" s="10" t="s">
        <v>1575</v>
      </c>
      <c r="S781" s="10" t="s">
        <v>1575</v>
      </c>
      <c r="T781" s="10" t="s">
        <v>1575</v>
      </c>
      <c r="U781" s="10" t="s">
        <v>1575</v>
      </c>
      <c r="V781" s="10" t="s">
        <v>1575</v>
      </c>
      <c r="W781" s="10" t="s">
        <v>1575</v>
      </c>
      <c r="X781" s="10" t="str">
        <f t="shared" ref="X781:X787" si="729">IFERROR(V781+W781,"NA")</f>
        <v>NA</v>
      </c>
      <c r="Y781" s="10" t="str">
        <f t="shared" ref="Y781:Y787" si="730">IFERROR(P781/R781,"NA")</f>
        <v>NA</v>
      </c>
      <c r="Z781" s="10" t="str">
        <f t="shared" ref="Z781:Z787" si="731">IFERROR(P781/U781,"NA")</f>
        <v>NA</v>
      </c>
      <c r="AA781" s="10" t="str">
        <f t="shared" ref="AA781:AA787" si="732">IFERROR(P781/V781,"NA")</f>
        <v>NA</v>
      </c>
      <c r="AB781" s="10" t="str">
        <f t="shared" ref="AB781:AB787" si="733">IFERROR(Q781/R781,"NA")</f>
        <v>NA</v>
      </c>
      <c r="AC781" s="10" t="str">
        <f t="shared" ref="AC781:AC787" si="734">IFERROR(Q781/S781,"NA")</f>
        <v>NA</v>
      </c>
      <c r="AD781" s="10" t="str">
        <f t="shared" ref="AD781:AD787" si="735">IFERROR(Q781/T781,"NA")</f>
        <v>NA</v>
      </c>
      <c r="AE781" s="10" t="str">
        <f t="shared" ref="AE781:AE787" si="736">IFERROR(Q781/X781,"NA")</f>
        <v>NA</v>
      </c>
      <c r="AF781" s="1" t="s">
        <v>5144</v>
      </c>
    </row>
    <row r="782" spans="1:32" x14ac:dyDescent="0.2">
      <c r="A782" s="1" t="s">
        <v>5682</v>
      </c>
      <c r="B782" s="1" t="s">
        <v>5</v>
      </c>
      <c r="C782" s="1" t="s">
        <v>1575</v>
      </c>
      <c r="D782" s="1" t="s">
        <v>1582</v>
      </c>
      <c r="E782" s="1" t="s">
        <v>5142</v>
      </c>
      <c r="F782" s="1" t="s">
        <v>566</v>
      </c>
      <c r="G782" s="13">
        <v>0.27789999999999998</v>
      </c>
      <c r="H782" s="28">
        <v>41639</v>
      </c>
      <c r="I782" s="29">
        <f t="shared" si="727"/>
        <v>2013</v>
      </c>
      <c r="J782" s="1" t="s">
        <v>5138</v>
      </c>
      <c r="K782" s="1" t="s">
        <v>7</v>
      </c>
      <c r="L782" s="11" t="str">
        <f t="shared" ref="L782" si="737">IF(OR(A782=J782,A782=K782),"ДА","НЕТ")</f>
        <v>НЕТ</v>
      </c>
      <c r="M782" s="10" t="s">
        <v>1575</v>
      </c>
      <c r="N782" s="10" t="s">
        <v>1575</v>
      </c>
      <c r="O782" s="10">
        <v>5.0000000000000001E-3</v>
      </c>
      <c r="P782" s="10">
        <f t="shared" si="686"/>
        <v>1.7992083483267363E-2</v>
      </c>
      <c r="Q782" s="10" t="str">
        <f t="shared" si="687"/>
        <v>NA</v>
      </c>
      <c r="R782" s="10" t="s">
        <v>1575</v>
      </c>
      <c r="S782" s="10" t="s">
        <v>1575</v>
      </c>
      <c r="T782" s="10" t="s">
        <v>1575</v>
      </c>
      <c r="U782" s="10" t="s">
        <v>1575</v>
      </c>
      <c r="V782" s="10">
        <f>0.001456/G782</f>
        <v>5.2392947103274568E-3</v>
      </c>
      <c r="W782" s="10" t="s">
        <v>1575</v>
      </c>
      <c r="X782" s="10" t="str">
        <f t="shared" si="729"/>
        <v>NA</v>
      </c>
      <c r="Y782" s="10" t="str">
        <f t="shared" si="730"/>
        <v>NA</v>
      </c>
      <c r="Z782" s="10" t="str">
        <f t="shared" si="731"/>
        <v>NA</v>
      </c>
      <c r="AA782" s="10">
        <f t="shared" si="732"/>
        <v>3.4340659340659334</v>
      </c>
      <c r="AB782" s="10" t="str">
        <f t="shared" si="733"/>
        <v>NA</v>
      </c>
      <c r="AC782" s="10" t="str">
        <f t="shared" si="734"/>
        <v>NA</v>
      </c>
      <c r="AD782" s="10" t="str">
        <f t="shared" si="735"/>
        <v>NA</v>
      </c>
      <c r="AE782" s="10" t="str">
        <f t="shared" si="736"/>
        <v>NA</v>
      </c>
      <c r="AF782" s="1" t="s">
        <v>5145</v>
      </c>
    </row>
    <row r="783" spans="1:32" x14ac:dyDescent="0.2">
      <c r="A783" s="1" t="s">
        <v>5148</v>
      </c>
      <c r="D783" s="1" t="s">
        <v>1597</v>
      </c>
      <c r="E783" s="1" t="s">
        <v>1699</v>
      </c>
      <c r="F783" s="1" t="s">
        <v>4</v>
      </c>
      <c r="G783" s="13">
        <v>0.38009999999999999</v>
      </c>
      <c r="H783" s="28">
        <v>41274</v>
      </c>
      <c r="I783" s="29">
        <f t="shared" si="727"/>
        <v>2012</v>
      </c>
      <c r="J783" s="1" t="s">
        <v>7</v>
      </c>
      <c r="K783" s="1" t="s">
        <v>5138</v>
      </c>
      <c r="L783" s="11" t="str">
        <f t="shared" ref="L783:L784" si="738">IF(OR(A783=J783,A783=K783),"ДА","НЕТ")</f>
        <v>НЕТ</v>
      </c>
      <c r="M783" s="10" t="s">
        <v>1575</v>
      </c>
      <c r="N783" s="10" t="s">
        <v>1575</v>
      </c>
      <c r="O783" s="10">
        <v>6.5501000000000004E-2</v>
      </c>
      <c r="P783" s="10">
        <f t="shared" si="686"/>
        <v>0.17232570376216785</v>
      </c>
      <c r="Q783" s="10" t="str">
        <f t="shared" si="687"/>
        <v>NA</v>
      </c>
      <c r="R783" s="10" t="s">
        <v>1575</v>
      </c>
      <c r="S783" s="10" t="s">
        <v>1575</v>
      </c>
      <c r="T783" s="10" t="s">
        <v>1575</v>
      </c>
      <c r="U783" s="10" t="s">
        <v>1575</v>
      </c>
      <c r="V783" s="10" t="s">
        <v>1575</v>
      </c>
      <c r="W783" s="10" t="s">
        <v>1575</v>
      </c>
      <c r="X783" s="10" t="str">
        <f t="shared" si="729"/>
        <v>NA</v>
      </c>
      <c r="Y783" s="10" t="str">
        <f t="shared" si="730"/>
        <v>NA</v>
      </c>
      <c r="Z783" s="10" t="str">
        <f t="shared" si="731"/>
        <v>NA</v>
      </c>
      <c r="AA783" s="10" t="str">
        <f t="shared" si="732"/>
        <v>NA</v>
      </c>
      <c r="AB783" s="10" t="str">
        <f t="shared" si="733"/>
        <v>NA</v>
      </c>
      <c r="AC783" s="10" t="str">
        <f t="shared" si="734"/>
        <v>NA</v>
      </c>
      <c r="AD783" s="10" t="str">
        <f t="shared" si="735"/>
        <v>NA</v>
      </c>
      <c r="AE783" s="10" t="str">
        <f t="shared" si="736"/>
        <v>NA</v>
      </c>
      <c r="AF783" s="1" t="s">
        <v>5147</v>
      </c>
    </row>
    <row r="784" spans="1:32" x14ac:dyDescent="0.2">
      <c r="A784" s="1" t="s">
        <v>5146</v>
      </c>
      <c r="B784" s="1" t="s">
        <v>5</v>
      </c>
      <c r="C784" s="1" t="s">
        <v>1575</v>
      </c>
      <c r="D784" s="1" t="s">
        <v>1813</v>
      </c>
      <c r="E784" s="1" t="s">
        <v>1587</v>
      </c>
      <c r="F784" s="1" t="s">
        <v>5137</v>
      </c>
      <c r="G784" s="13">
        <v>0.3</v>
      </c>
      <c r="H784" s="28">
        <v>41274</v>
      </c>
      <c r="I784" s="29">
        <f t="shared" si="727"/>
        <v>2012</v>
      </c>
      <c r="J784" s="1" t="s">
        <v>5138</v>
      </c>
      <c r="K784" s="1" t="s">
        <v>7</v>
      </c>
      <c r="L784" s="11" t="str">
        <f t="shared" si="738"/>
        <v>НЕТ</v>
      </c>
      <c r="M784" s="10" t="s">
        <v>1575</v>
      </c>
      <c r="N784" s="10" t="s">
        <v>1575</v>
      </c>
      <c r="O784" s="10">
        <v>1.8180000000000002E-2</v>
      </c>
      <c r="P784" s="10">
        <f t="shared" si="686"/>
        <v>6.0600000000000008E-2</v>
      </c>
      <c r="Q784" s="10" t="str">
        <f t="shared" si="687"/>
        <v>NA</v>
      </c>
      <c r="R784" s="10" t="s">
        <v>1575</v>
      </c>
      <c r="S784" s="10" t="s">
        <v>1575</v>
      </c>
      <c r="T784" s="10" t="s">
        <v>1575</v>
      </c>
      <c r="U784" s="10" t="s">
        <v>1575</v>
      </c>
      <c r="V784" s="10">
        <f>0.018212</f>
        <v>1.8211999999999999E-2</v>
      </c>
      <c r="W784" s="10" t="s">
        <v>1575</v>
      </c>
      <c r="X784" s="10" t="str">
        <f t="shared" si="729"/>
        <v>NA</v>
      </c>
      <c r="Y784" s="10" t="str">
        <f t="shared" si="730"/>
        <v>NA</v>
      </c>
      <c r="Z784" s="10" t="str">
        <f t="shared" si="731"/>
        <v>NA</v>
      </c>
      <c r="AA784" s="10">
        <f t="shared" si="732"/>
        <v>3.3274763891939387</v>
      </c>
      <c r="AB784" s="10" t="str">
        <f t="shared" si="733"/>
        <v>NA</v>
      </c>
      <c r="AC784" s="10" t="str">
        <f t="shared" si="734"/>
        <v>NA</v>
      </c>
      <c r="AD784" s="10" t="str">
        <f t="shared" si="735"/>
        <v>NA</v>
      </c>
      <c r="AE784" s="10" t="str">
        <f t="shared" si="736"/>
        <v>NA</v>
      </c>
    </row>
    <row r="785" spans="1:32" x14ac:dyDescent="0.2">
      <c r="A785" s="1" t="s">
        <v>5149</v>
      </c>
      <c r="B785" s="1" t="s">
        <v>5</v>
      </c>
      <c r="C785" s="1" t="s">
        <v>1575</v>
      </c>
      <c r="D785" s="1" t="s">
        <v>1813</v>
      </c>
      <c r="E785" s="1" t="s">
        <v>1587</v>
      </c>
      <c r="F785" s="1" t="s">
        <v>5137</v>
      </c>
      <c r="G785" s="13">
        <v>0.25</v>
      </c>
      <c r="H785" s="28">
        <v>41274</v>
      </c>
      <c r="I785" s="29">
        <f t="shared" si="727"/>
        <v>2012</v>
      </c>
      <c r="J785" s="1" t="s">
        <v>5138</v>
      </c>
      <c r="K785" s="1" t="s">
        <v>7</v>
      </c>
      <c r="L785" s="11" t="str">
        <f t="shared" ref="L785:L786" si="739">IF(OR(A785=J785,A785=K785),"ДА","НЕТ")</f>
        <v>НЕТ</v>
      </c>
      <c r="M785" s="10" t="s">
        <v>1575</v>
      </c>
      <c r="N785" s="10" t="s">
        <v>1575</v>
      </c>
      <c r="O785" s="10">
        <v>5.0000000000000001E-3</v>
      </c>
      <c r="P785" s="10">
        <f t="shared" si="686"/>
        <v>0.02</v>
      </c>
      <c r="Q785" s="10" t="str">
        <f t="shared" si="687"/>
        <v>NA</v>
      </c>
      <c r="R785" s="10" t="s">
        <v>1575</v>
      </c>
      <c r="S785" s="10" t="s">
        <v>1575</v>
      </c>
      <c r="T785" s="10" t="s">
        <v>1575</v>
      </c>
      <c r="U785" s="10" t="s">
        <v>1575</v>
      </c>
      <c r="V785" s="10">
        <v>5.0569999999999999E-3</v>
      </c>
      <c r="W785" s="10" t="s">
        <v>1575</v>
      </c>
      <c r="X785" s="10" t="str">
        <f t="shared" si="729"/>
        <v>NA</v>
      </c>
      <c r="Y785" s="10" t="str">
        <f t="shared" si="730"/>
        <v>NA</v>
      </c>
      <c r="Z785" s="10" t="str">
        <f t="shared" si="731"/>
        <v>NA</v>
      </c>
      <c r="AA785" s="10">
        <f t="shared" si="732"/>
        <v>3.9549139806209217</v>
      </c>
      <c r="AB785" s="10" t="str">
        <f t="shared" si="733"/>
        <v>NA</v>
      </c>
      <c r="AC785" s="10" t="str">
        <f t="shared" si="734"/>
        <v>NA</v>
      </c>
      <c r="AD785" s="10" t="str">
        <f t="shared" si="735"/>
        <v>NA</v>
      </c>
      <c r="AE785" s="10" t="str">
        <f t="shared" si="736"/>
        <v>NA</v>
      </c>
    </row>
    <row r="786" spans="1:32" x14ac:dyDescent="0.2">
      <c r="A786" s="1" t="s">
        <v>5681</v>
      </c>
      <c r="B786" s="1" t="s">
        <v>5</v>
      </c>
      <c r="C786" s="1" t="s">
        <v>1575</v>
      </c>
      <c r="D786" s="1" t="s">
        <v>1813</v>
      </c>
      <c r="E786" s="1" t="s">
        <v>1587</v>
      </c>
      <c r="F786" s="1" t="s">
        <v>5137</v>
      </c>
      <c r="G786" s="13">
        <v>0.3</v>
      </c>
      <c r="H786" s="28">
        <v>41274</v>
      </c>
      <c r="I786" s="29">
        <f t="shared" si="727"/>
        <v>2012</v>
      </c>
      <c r="J786" s="1" t="s">
        <v>5138</v>
      </c>
      <c r="K786" s="1" t="s">
        <v>7</v>
      </c>
      <c r="L786" s="11" t="str">
        <f t="shared" si="739"/>
        <v>НЕТ</v>
      </c>
      <c r="M786" s="10" t="s">
        <v>1575</v>
      </c>
      <c r="N786" s="10" t="s">
        <v>1575</v>
      </c>
      <c r="O786" s="10">
        <v>5.0000000000000004E-6</v>
      </c>
      <c r="P786" s="10">
        <f t="shared" si="686"/>
        <v>1.6666666666666667E-5</v>
      </c>
      <c r="Q786" s="10" t="str">
        <f t="shared" si="687"/>
        <v>NA</v>
      </c>
      <c r="R786" s="10" t="s">
        <v>1575</v>
      </c>
      <c r="S786" s="10" t="s">
        <v>1575</v>
      </c>
      <c r="T786" s="10" t="s">
        <v>1575</v>
      </c>
      <c r="U786" s="10" t="s">
        <v>1575</v>
      </c>
      <c r="V786" s="10">
        <v>1.8E-5</v>
      </c>
      <c r="W786" s="10" t="s">
        <v>1575</v>
      </c>
      <c r="X786" s="10" t="str">
        <f t="shared" si="729"/>
        <v>NA</v>
      </c>
      <c r="Y786" s="10" t="str">
        <f t="shared" si="730"/>
        <v>NA</v>
      </c>
      <c r="Z786" s="10" t="str">
        <f t="shared" si="731"/>
        <v>NA</v>
      </c>
      <c r="AA786" s="10">
        <f t="shared" si="732"/>
        <v>0.92592592592592593</v>
      </c>
      <c r="AB786" s="10" t="str">
        <f t="shared" si="733"/>
        <v>NA</v>
      </c>
      <c r="AC786" s="10" t="str">
        <f t="shared" si="734"/>
        <v>NA</v>
      </c>
      <c r="AD786" s="10" t="str">
        <f t="shared" si="735"/>
        <v>NA</v>
      </c>
      <c r="AE786" s="10" t="str">
        <f t="shared" si="736"/>
        <v>NA</v>
      </c>
    </row>
    <row r="787" spans="1:32" x14ac:dyDescent="0.2">
      <c r="A787" s="1" t="s">
        <v>5150</v>
      </c>
      <c r="B787" s="1" t="s">
        <v>5</v>
      </c>
      <c r="C787" s="1" t="s">
        <v>1575</v>
      </c>
      <c r="D787" s="1" t="s">
        <v>1580</v>
      </c>
      <c r="E787" s="1" t="s">
        <v>1593</v>
      </c>
      <c r="F787" s="1" t="s">
        <v>545</v>
      </c>
      <c r="G787" s="13">
        <v>0.57779999999999998</v>
      </c>
      <c r="H787" s="28">
        <v>41115</v>
      </c>
      <c r="I787" s="29">
        <f t="shared" si="727"/>
        <v>2012</v>
      </c>
      <c r="J787" s="1" t="s">
        <v>5138</v>
      </c>
      <c r="K787" s="1" t="s">
        <v>7</v>
      </c>
      <c r="L787" s="11" t="str">
        <f t="shared" ref="L787" si="740">IF(OR(A787=J787,A787=K787),"ДА","НЕТ")</f>
        <v>НЕТ</v>
      </c>
      <c r="M787" s="10" t="s">
        <v>1575</v>
      </c>
      <c r="N787" s="10" t="s">
        <v>1575</v>
      </c>
      <c r="O787" s="10">
        <v>6.9949999999999998E-2</v>
      </c>
      <c r="P787" s="10">
        <f t="shared" si="686"/>
        <v>0.12106265143648322</v>
      </c>
      <c r="Q787" s="10" t="str">
        <f t="shared" si="687"/>
        <v>NA</v>
      </c>
      <c r="R787" s="10" t="s">
        <v>1575</v>
      </c>
      <c r="S787" s="10" t="s">
        <v>1575</v>
      </c>
      <c r="T787" s="10" t="s">
        <v>1575</v>
      </c>
      <c r="U787" s="10" t="s">
        <v>1575</v>
      </c>
      <c r="V787" s="10">
        <v>0.121638</v>
      </c>
      <c r="W787" s="10" t="s">
        <v>1575</v>
      </c>
      <c r="X787" s="10" t="str">
        <f t="shared" si="729"/>
        <v>NA</v>
      </c>
      <c r="Y787" s="10" t="str">
        <f t="shared" si="730"/>
        <v>NA</v>
      </c>
      <c r="Z787" s="10" t="str">
        <f t="shared" si="731"/>
        <v>NA</v>
      </c>
      <c r="AA787" s="10">
        <f t="shared" si="732"/>
        <v>0.99526999322977372</v>
      </c>
      <c r="AB787" s="10" t="str">
        <f t="shared" si="733"/>
        <v>NA</v>
      </c>
      <c r="AC787" s="10" t="str">
        <f t="shared" si="734"/>
        <v>NA</v>
      </c>
      <c r="AD787" s="10" t="str">
        <f t="shared" si="735"/>
        <v>NA</v>
      </c>
      <c r="AE787" s="10" t="str">
        <f t="shared" si="736"/>
        <v>NA</v>
      </c>
      <c r="AF787" s="1" t="s">
        <v>5151</v>
      </c>
    </row>
    <row r="788" spans="1:32" x14ac:dyDescent="0.2">
      <c r="A788" s="1" t="s">
        <v>5683</v>
      </c>
      <c r="B788" s="1" t="s">
        <v>5</v>
      </c>
      <c r="C788" s="1" t="s">
        <v>1575</v>
      </c>
      <c r="D788" s="1" t="s">
        <v>1584</v>
      </c>
      <c r="E788" s="1" t="s">
        <v>1586</v>
      </c>
      <c r="F788" s="1" t="s">
        <v>66</v>
      </c>
      <c r="G788" s="13">
        <v>0.99939999999999996</v>
      </c>
      <c r="H788" s="28">
        <v>38260</v>
      </c>
      <c r="I788" s="29">
        <f t="shared" si="673"/>
        <v>2004</v>
      </c>
      <c r="J788" s="1" t="s">
        <v>5138</v>
      </c>
      <c r="K788" s="1" t="s">
        <v>7</v>
      </c>
      <c r="L788" s="11" t="str">
        <f t="shared" ref="L788" si="741">IF(OR(A788=J788,A788=K788),"ДА","НЕТ")</f>
        <v>НЕТ</v>
      </c>
      <c r="M788" s="10" t="s">
        <v>1575</v>
      </c>
      <c r="N788" s="10" t="s">
        <v>1575</v>
      </c>
      <c r="O788" s="10" t="s">
        <v>1575</v>
      </c>
      <c r="P788" s="10" t="str">
        <f t="shared" si="686"/>
        <v>NA</v>
      </c>
      <c r="Q788" s="10" t="str">
        <f t="shared" si="687"/>
        <v>NA</v>
      </c>
      <c r="R788" s="10" t="s">
        <v>1575</v>
      </c>
      <c r="S788" s="10" t="s">
        <v>1575</v>
      </c>
      <c r="T788" s="10" t="s">
        <v>1575</v>
      </c>
      <c r="U788" s="10" t="s">
        <v>1575</v>
      </c>
      <c r="V788" s="10" t="s">
        <v>1575</v>
      </c>
      <c r="W788" s="10" t="s">
        <v>1575</v>
      </c>
      <c r="X788" s="10" t="str">
        <f t="shared" si="719"/>
        <v>NA</v>
      </c>
      <c r="Y788" s="10" t="str">
        <f t="shared" si="720"/>
        <v>NA</v>
      </c>
      <c r="Z788" s="10" t="str">
        <f t="shared" si="721"/>
        <v>NA</v>
      </c>
      <c r="AA788" s="10" t="str">
        <f t="shared" si="722"/>
        <v>NA</v>
      </c>
      <c r="AB788" s="10" t="str">
        <f t="shared" si="723"/>
        <v>NA</v>
      </c>
      <c r="AC788" s="10" t="str">
        <f t="shared" si="724"/>
        <v>NA</v>
      </c>
      <c r="AD788" s="10" t="str">
        <f t="shared" si="725"/>
        <v>NA</v>
      </c>
      <c r="AE788" s="10" t="str">
        <f t="shared" si="726"/>
        <v>NA</v>
      </c>
      <c r="AF788" s="1" t="s">
        <v>5153</v>
      </c>
    </row>
    <row r="789" spans="1:32" x14ac:dyDescent="0.2">
      <c r="A789" s="1" t="s">
        <v>5684</v>
      </c>
      <c r="B789" s="1" t="s">
        <v>5</v>
      </c>
      <c r="C789" s="1" t="s">
        <v>1575</v>
      </c>
      <c r="D789" s="1" t="s">
        <v>1584</v>
      </c>
      <c r="E789" s="1" t="s">
        <v>1586</v>
      </c>
      <c r="F789" s="1" t="s">
        <v>66</v>
      </c>
      <c r="G789" s="13">
        <v>0.65710000000000002</v>
      </c>
      <c r="H789" s="28">
        <v>36891</v>
      </c>
      <c r="I789" s="29">
        <f t="shared" si="673"/>
        <v>2000</v>
      </c>
      <c r="J789" s="1" t="s">
        <v>5138</v>
      </c>
      <c r="K789" s="1" t="s">
        <v>7</v>
      </c>
      <c r="L789" s="11" t="str">
        <f t="shared" ref="L789" si="742">IF(OR(A789=J789,A789=K789),"ДА","НЕТ")</f>
        <v>НЕТ</v>
      </c>
      <c r="M789" s="10" t="s">
        <v>1575</v>
      </c>
      <c r="N789" s="10" t="s">
        <v>1575</v>
      </c>
      <c r="O789" s="10" t="s">
        <v>1575</v>
      </c>
      <c r="P789" s="10" t="str">
        <f t="shared" si="686"/>
        <v>NA</v>
      </c>
      <c r="Q789" s="10" t="str">
        <f t="shared" si="687"/>
        <v>NA</v>
      </c>
      <c r="R789" s="10" t="s">
        <v>1575</v>
      </c>
      <c r="S789" s="10" t="s">
        <v>1575</v>
      </c>
      <c r="T789" s="10" t="s">
        <v>1575</v>
      </c>
      <c r="U789" s="10" t="s">
        <v>1575</v>
      </c>
      <c r="V789" s="10" t="s">
        <v>1575</v>
      </c>
      <c r="W789" s="10" t="s">
        <v>1575</v>
      </c>
      <c r="X789" s="10" t="str">
        <f t="shared" si="698"/>
        <v>NA</v>
      </c>
      <c r="Y789" s="10" t="str">
        <f t="shared" si="699"/>
        <v>NA</v>
      </c>
      <c r="Z789" s="10" t="str">
        <f t="shared" si="700"/>
        <v>NA</v>
      </c>
      <c r="AA789" s="10" t="str">
        <f t="shared" si="701"/>
        <v>NA</v>
      </c>
      <c r="AB789" s="10" t="str">
        <f t="shared" si="702"/>
        <v>NA</v>
      </c>
      <c r="AC789" s="10" t="str">
        <f t="shared" si="703"/>
        <v>NA</v>
      </c>
      <c r="AD789" s="10" t="str">
        <f t="shared" si="704"/>
        <v>NA</v>
      </c>
      <c r="AE789" s="10" t="str">
        <f t="shared" si="705"/>
        <v>NA</v>
      </c>
      <c r="AF789" s="1" t="s">
        <v>5152</v>
      </c>
    </row>
    <row r="790" spans="1:32" x14ac:dyDescent="0.2">
      <c r="A790" s="1" t="s">
        <v>5685</v>
      </c>
      <c r="B790" s="1" t="s">
        <v>5</v>
      </c>
      <c r="C790" s="1" t="s">
        <v>3656</v>
      </c>
      <c r="D790" s="1" t="s">
        <v>1584</v>
      </c>
      <c r="E790" s="1" t="s">
        <v>3486</v>
      </c>
      <c r="F790" s="1" t="s">
        <v>46</v>
      </c>
      <c r="G790" s="13">
        <f>63.63%-25%</f>
        <v>0.38629999999999998</v>
      </c>
      <c r="H790" s="28">
        <v>42124</v>
      </c>
      <c r="I790" s="29">
        <f t="shared" si="673"/>
        <v>2015</v>
      </c>
      <c r="J790" s="1" t="s">
        <v>5157</v>
      </c>
      <c r="K790" s="1" t="s">
        <v>7</v>
      </c>
      <c r="L790" s="11" t="str">
        <f t="shared" ref="L790:L792" si="743">IF(OR(A790=J790,A790=K790),"ДА","НЕТ")</f>
        <v>НЕТ</v>
      </c>
      <c r="M790" s="10" t="s">
        <v>1575</v>
      </c>
      <c r="N790" s="10" t="s">
        <v>1575</v>
      </c>
      <c r="O790" s="10">
        <v>10.043322</v>
      </c>
      <c r="P790" s="10">
        <f t="shared" si="686"/>
        <v>25.998762619725603</v>
      </c>
      <c r="Q790" s="10" t="str">
        <f t="shared" si="687"/>
        <v>NA</v>
      </c>
      <c r="R790" s="10" t="s">
        <v>1575</v>
      </c>
      <c r="S790" s="10" t="s">
        <v>1575</v>
      </c>
      <c r="T790" s="10" t="s">
        <v>1575</v>
      </c>
      <c r="U790" s="10" t="s">
        <v>1575</v>
      </c>
      <c r="V790" s="10" t="s">
        <v>1575</v>
      </c>
      <c r="W790" s="10" t="s">
        <v>1575</v>
      </c>
      <c r="X790" s="10" t="str">
        <f t="shared" si="698"/>
        <v>NA</v>
      </c>
      <c r="Y790" s="10" t="str">
        <f t="shared" si="699"/>
        <v>NA</v>
      </c>
      <c r="Z790" s="10" t="str">
        <f t="shared" si="700"/>
        <v>NA</v>
      </c>
      <c r="AA790" s="10" t="str">
        <f t="shared" si="701"/>
        <v>NA</v>
      </c>
      <c r="AB790" s="10" t="str">
        <f t="shared" si="702"/>
        <v>NA</v>
      </c>
      <c r="AC790" s="10" t="str">
        <f t="shared" si="703"/>
        <v>NA</v>
      </c>
      <c r="AD790" s="10" t="str">
        <f t="shared" si="704"/>
        <v>NA</v>
      </c>
      <c r="AE790" s="10" t="str">
        <f t="shared" si="705"/>
        <v>NA</v>
      </c>
      <c r="AF790" s="1" t="s">
        <v>5154</v>
      </c>
    </row>
    <row r="791" spans="1:32" x14ac:dyDescent="0.2">
      <c r="A791" s="1" t="s">
        <v>3922</v>
      </c>
      <c r="B791" s="1" t="s">
        <v>5</v>
      </c>
      <c r="C791" s="1" t="s">
        <v>3361</v>
      </c>
      <c r="D791" s="1" t="s">
        <v>1615</v>
      </c>
      <c r="E791" s="1" t="s">
        <v>2176</v>
      </c>
      <c r="F791" s="1" t="s">
        <v>3362</v>
      </c>
      <c r="G791" s="13">
        <v>1.35E-2</v>
      </c>
      <c r="H791" s="28">
        <v>42004</v>
      </c>
      <c r="I791" s="29">
        <f t="shared" si="673"/>
        <v>2014</v>
      </c>
      <c r="J791" s="1" t="s">
        <v>5157</v>
      </c>
      <c r="K791" s="1" t="s">
        <v>7</v>
      </c>
      <c r="L791" s="11" t="str">
        <f t="shared" si="743"/>
        <v>НЕТ</v>
      </c>
      <c r="M791" s="10" t="s">
        <v>1575</v>
      </c>
      <c r="N791" s="10" t="s">
        <v>1575</v>
      </c>
      <c r="O791" s="10">
        <v>0.45998800000000001</v>
      </c>
      <c r="P791" s="10">
        <f t="shared" si="686"/>
        <v>34.073185185185189</v>
      </c>
      <c r="Q791" s="10">
        <f t="shared" si="687"/>
        <v>37.948185185185189</v>
      </c>
      <c r="R791" s="10">
        <v>36.564999999999998</v>
      </c>
      <c r="S791" s="10">
        <v>6.5449999999999999</v>
      </c>
      <c r="T791" s="10">
        <v>4.0830000000000002</v>
      </c>
      <c r="U791" s="10">
        <v>3.6579999999999999</v>
      </c>
      <c r="V791" s="10">
        <v>35.244999999999997</v>
      </c>
      <c r="W791" s="10">
        <v>3.8749999999999991</v>
      </c>
      <c r="X791" s="10">
        <f t="shared" si="698"/>
        <v>39.119999999999997</v>
      </c>
      <c r="Y791" s="10">
        <f t="shared" si="699"/>
        <v>0.93185245959757124</v>
      </c>
      <c r="Z791" s="10">
        <f t="shared" si="700"/>
        <v>9.3147034404552187</v>
      </c>
      <c r="AA791" s="10">
        <f t="shared" si="701"/>
        <v>0.96675231054575661</v>
      </c>
      <c r="AB791" s="10">
        <f t="shared" si="702"/>
        <v>1.0378281193815175</v>
      </c>
      <c r="AC791" s="10">
        <f t="shared" si="703"/>
        <v>5.7980420451008694</v>
      </c>
      <c r="AD791" s="10">
        <f t="shared" si="704"/>
        <v>9.2941918161119741</v>
      </c>
      <c r="AE791" s="10">
        <f t="shared" si="705"/>
        <v>0.97004563356812856</v>
      </c>
      <c r="AF791" s="1" t="s">
        <v>5155</v>
      </c>
    </row>
    <row r="792" spans="1:32" x14ac:dyDescent="0.2">
      <c r="A792" s="1" t="s">
        <v>5685</v>
      </c>
      <c r="B792" s="1" t="s">
        <v>5</v>
      </c>
      <c r="C792" s="1" t="s">
        <v>3656</v>
      </c>
      <c r="D792" s="1" t="s">
        <v>1584</v>
      </c>
      <c r="E792" s="1" t="s">
        <v>3486</v>
      </c>
      <c r="F792" s="1" t="s">
        <v>46</v>
      </c>
      <c r="G792" s="13">
        <v>0.24990000000000001</v>
      </c>
      <c r="H792" s="28">
        <v>41639</v>
      </c>
      <c r="I792" s="29">
        <f t="shared" si="673"/>
        <v>2013</v>
      </c>
      <c r="J792" s="1" t="s">
        <v>5157</v>
      </c>
      <c r="K792" s="1" t="s">
        <v>7</v>
      </c>
      <c r="L792" s="11" t="str">
        <f t="shared" si="743"/>
        <v>НЕТ</v>
      </c>
      <c r="M792" s="10" t="s">
        <v>1575</v>
      </c>
      <c r="N792" s="10" t="s">
        <v>1575</v>
      </c>
      <c r="O792" s="10">
        <v>13.399874069999999</v>
      </c>
      <c r="P792" s="10">
        <f t="shared" si="686"/>
        <v>53.620944657863141</v>
      </c>
      <c r="Q792" s="10" t="str">
        <f t="shared" si="687"/>
        <v>NA</v>
      </c>
      <c r="R792" s="10" t="s">
        <v>1575</v>
      </c>
      <c r="S792" s="10" t="s">
        <v>1575</v>
      </c>
      <c r="T792" s="10" t="s">
        <v>1575</v>
      </c>
      <c r="U792" s="10" t="s">
        <v>1575</v>
      </c>
      <c r="V792" s="10" t="s">
        <v>1575</v>
      </c>
      <c r="W792" s="10" t="s">
        <v>1575</v>
      </c>
      <c r="X792" s="10" t="str">
        <f t="shared" ref="X792" si="744">IFERROR(V792+W792,"NA")</f>
        <v>NA</v>
      </c>
      <c r="Y792" s="10" t="str">
        <f t="shared" ref="Y792" si="745">IFERROR(P792/R792,"NA")</f>
        <v>NA</v>
      </c>
      <c r="Z792" s="10" t="str">
        <f t="shared" ref="Z792" si="746">IFERROR(P792/U792,"NA")</f>
        <v>NA</v>
      </c>
      <c r="AA792" s="10" t="str">
        <f t="shared" ref="AA792" si="747">IFERROR(P792/V792,"NA")</f>
        <v>NA</v>
      </c>
      <c r="AB792" s="10" t="str">
        <f t="shared" ref="AB792" si="748">IFERROR(Q792/R792,"NA")</f>
        <v>NA</v>
      </c>
      <c r="AC792" s="10" t="str">
        <f t="shared" ref="AC792" si="749">IFERROR(Q792/S792,"NA")</f>
        <v>NA</v>
      </c>
      <c r="AD792" s="10" t="str">
        <f t="shared" ref="AD792" si="750">IFERROR(Q792/T792,"NA")</f>
        <v>NA</v>
      </c>
      <c r="AE792" s="10" t="str">
        <f t="shared" ref="AE792" si="751">IFERROR(Q792/X792,"NA")</f>
        <v>NA</v>
      </c>
      <c r="AF792" s="1" t="s">
        <v>5156</v>
      </c>
    </row>
    <row r="793" spans="1:32" x14ac:dyDescent="0.2">
      <c r="A793" s="1" t="s">
        <v>2219</v>
      </c>
      <c r="B793" s="1" t="s">
        <v>5</v>
      </c>
      <c r="C793" s="1" t="s">
        <v>3125</v>
      </c>
      <c r="D793" s="1" t="s">
        <v>1597</v>
      </c>
      <c r="E793" s="1" t="s">
        <v>3028</v>
      </c>
      <c r="F793" s="1" t="s">
        <v>14</v>
      </c>
      <c r="G793" s="13">
        <f>80988983/10598177817</f>
        <v>7.6417837479655871E-3</v>
      </c>
      <c r="H793" s="28">
        <v>44196</v>
      </c>
      <c r="I793" s="29">
        <f t="shared" ref="I793:I795" si="752">YEAR(H793)</f>
        <v>2020</v>
      </c>
      <c r="J793" s="1" t="s">
        <v>2219</v>
      </c>
      <c r="K793" s="1" t="s">
        <v>7</v>
      </c>
      <c r="L793" s="11" t="str">
        <f t="shared" si="56"/>
        <v>ДА</v>
      </c>
      <c r="M793" s="10" t="s">
        <v>1575</v>
      </c>
      <c r="N793" s="10" t="s">
        <v>1575</v>
      </c>
      <c r="O793" s="10">
        <v>28.1</v>
      </c>
      <c r="P793" s="10">
        <f t="shared" si="686"/>
        <v>3677.1519486508432</v>
      </c>
      <c r="Q793" s="10">
        <f t="shared" si="687"/>
        <v>7991.1519486508432</v>
      </c>
      <c r="R793" s="10">
        <v>5757</v>
      </c>
      <c r="S793" s="10">
        <v>1111</v>
      </c>
      <c r="T793" s="10">
        <v>448</v>
      </c>
      <c r="U793" s="10">
        <v>181</v>
      </c>
      <c r="V793" s="10">
        <v>5487</v>
      </c>
      <c r="W793" s="10">
        <v>4314</v>
      </c>
      <c r="X793" s="10">
        <f t="shared" si="665"/>
        <v>9801</v>
      </c>
      <c r="Y793" s="10">
        <f t="shared" si="666"/>
        <v>0.63872710589731518</v>
      </c>
      <c r="Z793" s="10">
        <f t="shared" si="667"/>
        <v>20.315756622380349</v>
      </c>
      <c r="AA793" s="10">
        <f t="shared" si="668"/>
        <v>0.67015708923835304</v>
      </c>
      <c r="AB793" s="10">
        <f t="shared" si="669"/>
        <v>1.3880757249697486</v>
      </c>
      <c r="AC793" s="10">
        <f t="shared" si="670"/>
        <v>7.1927560293886978</v>
      </c>
      <c r="AD793" s="10">
        <f t="shared" si="671"/>
        <v>17.837392742524205</v>
      </c>
      <c r="AE793" s="10">
        <f t="shared" si="672"/>
        <v>0.81534047022251233</v>
      </c>
      <c r="AF793" s="1" t="s">
        <v>3124</v>
      </c>
    </row>
    <row r="794" spans="1:32" x14ac:dyDescent="0.2">
      <c r="A794" s="1" t="s">
        <v>5431</v>
      </c>
      <c r="B794" s="1" t="s">
        <v>5</v>
      </c>
      <c r="C794" s="1" t="s">
        <v>1575</v>
      </c>
      <c r="D794" s="1" t="s">
        <v>1597</v>
      </c>
      <c r="E794" s="1" t="s">
        <v>1660</v>
      </c>
      <c r="F794" s="1" t="s">
        <v>16</v>
      </c>
      <c r="G794" s="4">
        <v>0.1</v>
      </c>
      <c r="H794" s="28">
        <v>44188</v>
      </c>
      <c r="I794" s="29">
        <f t="shared" si="752"/>
        <v>2020</v>
      </c>
      <c r="J794" s="1" t="s">
        <v>7</v>
      </c>
      <c r="K794" s="1" t="s">
        <v>2219</v>
      </c>
      <c r="L794" s="11" t="str">
        <f t="shared" si="56"/>
        <v>НЕТ</v>
      </c>
      <c r="M794" s="10" t="s">
        <v>1575</v>
      </c>
      <c r="N794" s="10">
        <v>7000</v>
      </c>
      <c r="O794" s="10">
        <v>644</v>
      </c>
      <c r="P794" s="10">
        <f t="shared" si="686"/>
        <v>6440</v>
      </c>
      <c r="Q794" s="10" t="str">
        <f t="shared" si="687"/>
        <v>NA</v>
      </c>
      <c r="R794" s="10" t="s">
        <v>1575</v>
      </c>
      <c r="S794" s="10" t="s">
        <v>1575</v>
      </c>
      <c r="T794" s="10" t="s">
        <v>1575</v>
      </c>
      <c r="U794" s="10" t="s">
        <v>1575</v>
      </c>
      <c r="V794" s="10" t="s">
        <v>1575</v>
      </c>
      <c r="W794" s="10" t="s">
        <v>1575</v>
      </c>
      <c r="X794" s="10" t="str">
        <f t="shared" si="665"/>
        <v>NA</v>
      </c>
      <c r="Y794" s="10" t="str">
        <f t="shared" si="666"/>
        <v>NA</v>
      </c>
      <c r="Z794" s="10" t="str">
        <f t="shared" si="667"/>
        <v>NA</v>
      </c>
      <c r="AA794" s="10" t="str">
        <f t="shared" si="668"/>
        <v>NA</v>
      </c>
      <c r="AB794" s="10" t="str">
        <f t="shared" si="669"/>
        <v>NA</v>
      </c>
      <c r="AC794" s="10" t="str">
        <f t="shared" si="670"/>
        <v>NA</v>
      </c>
      <c r="AD794" s="10" t="str">
        <f t="shared" si="671"/>
        <v>NA</v>
      </c>
      <c r="AE794" s="10" t="str">
        <f t="shared" si="672"/>
        <v>NA</v>
      </c>
      <c r="AF794" s="1" t="s">
        <v>736</v>
      </c>
    </row>
    <row r="795" spans="1:32" x14ac:dyDescent="0.2">
      <c r="A795" s="1" t="s">
        <v>5686</v>
      </c>
      <c r="B795" s="1" t="s">
        <v>5</v>
      </c>
      <c r="C795" s="1" t="s">
        <v>1575</v>
      </c>
      <c r="D795" s="1" t="s">
        <v>1597</v>
      </c>
      <c r="E795" s="1" t="s">
        <v>1598</v>
      </c>
      <c r="F795" s="1" t="s">
        <v>6</v>
      </c>
      <c r="G795" s="4">
        <v>1</v>
      </c>
      <c r="H795" s="28">
        <v>44196</v>
      </c>
      <c r="I795" s="29">
        <f t="shared" si="752"/>
        <v>2020</v>
      </c>
      <c r="J795" s="1" t="s">
        <v>2219</v>
      </c>
      <c r="K795" s="1" t="s">
        <v>653</v>
      </c>
      <c r="L795" s="11" t="str">
        <f t="shared" si="56"/>
        <v>НЕТ</v>
      </c>
      <c r="M795" s="10">
        <v>245</v>
      </c>
      <c r="N795" s="10" t="s">
        <v>1575</v>
      </c>
      <c r="O795" s="10">
        <v>18.3</v>
      </c>
      <c r="P795" s="10">
        <f t="shared" si="686"/>
        <v>18.3</v>
      </c>
      <c r="Q795" s="10" t="str">
        <f t="shared" si="687"/>
        <v>NA</v>
      </c>
      <c r="R795" s="10" t="s">
        <v>1575</v>
      </c>
      <c r="S795" s="10" t="s">
        <v>1575</v>
      </c>
      <c r="T795" s="10" t="s">
        <v>1575</v>
      </c>
      <c r="U795" s="10" t="s">
        <v>1575</v>
      </c>
      <c r="V795" s="10" t="s">
        <v>1575</v>
      </c>
      <c r="W795" s="10" t="s">
        <v>1575</v>
      </c>
      <c r="X795" s="10" t="str">
        <f t="shared" si="665"/>
        <v>NA</v>
      </c>
      <c r="Y795" s="10" t="str">
        <f t="shared" si="666"/>
        <v>NA</v>
      </c>
      <c r="Z795" s="10" t="str">
        <f t="shared" si="667"/>
        <v>NA</v>
      </c>
      <c r="AA795" s="10" t="str">
        <f t="shared" si="668"/>
        <v>NA</v>
      </c>
      <c r="AB795" s="10" t="str">
        <f t="shared" si="669"/>
        <v>NA</v>
      </c>
      <c r="AC795" s="10" t="str">
        <f t="shared" si="670"/>
        <v>NA</v>
      </c>
      <c r="AD795" s="10" t="str">
        <f t="shared" si="671"/>
        <v>NA</v>
      </c>
      <c r="AE795" s="10" t="str">
        <f t="shared" si="672"/>
        <v>NA</v>
      </c>
      <c r="AF795" s="1" t="s">
        <v>654</v>
      </c>
    </row>
    <row r="796" spans="1:32" x14ac:dyDescent="0.2">
      <c r="A796" s="1" t="s">
        <v>5687</v>
      </c>
      <c r="B796" s="1" t="s">
        <v>5</v>
      </c>
      <c r="C796" s="1" t="s">
        <v>1575</v>
      </c>
      <c r="D796" s="1" t="s">
        <v>1597</v>
      </c>
      <c r="E796" s="1" t="s">
        <v>1660</v>
      </c>
      <c r="F796" s="1" t="s">
        <v>16</v>
      </c>
      <c r="G796" s="4">
        <v>1</v>
      </c>
      <c r="H796" s="28">
        <v>44196</v>
      </c>
      <c r="I796" s="29">
        <f t="shared" si="42"/>
        <v>2020</v>
      </c>
      <c r="J796" s="1" t="s">
        <v>2219</v>
      </c>
      <c r="K796" s="1" t="s">
        <v>5688</v>
      </c>
      <c r="L796" s="11" t="str">
        <f t="shared" si="56"/>
        <v>НЕТ</v>
      </c>
      <c r="M796" s="10">
        <v>9600</v>
      </c>
      <c r="N796" s="10" t="s">
        <v>1575</v>
      </c>
      <c r="O796" s="10">
        <v>858</v>
      </c>
      <c r="P796" s="10">
        <f t="shared" si="686"/>
        <v>858</v>
      </c>
      <c r="Q796" s="10">
        <f t="shared" si="687"/>
        <v>1169</v>
      </c>
      <c r="R796" s="10">
        <v>5757</v>
      </c>
      <c r="S796" s="10" t="s">
        <v>1575</v>
      </c>
      <c r="T796" s="10">
        <v>378</v>
      </c>
      <c r="U796" s="10">
        <v>166</v>
      </c>
      <c r="V796" s="10">
        <v>1347</v>
      </c>
      <c r="W796" s="10">
        <f>323-12</f>
        <v>311</v>
      </c>
      <c r="X796" s="10">
        <f t="shared" si="665"/>
        <v>1658</v>
      </c>
      <c r="Y796" s="10">
        <f t="shared" si="666"/>
        <v>0.14903595622720167</v>
      </c>
      <c r="Z796" s="10">
        <f t="shared" si="667"/>
        <v>5.168674698795181</v>
      </c>
      <c r="AA796" s="10">
        <f t="shared" si="668"/>
        <v>0.63697104677060135</v>
      </c>
      <c r="AB796" s="10">
        <f t="shared" si="669"/>
        <v>0.20305714782004516</v>
      </c>
      <c r="AC796" s="10" t="str">
        <f t="shared" si="670"/>
        <v>NA</v>
      </c>
      <c r="AD796" s="10">
        <f t="shared" si="671"/>
        <v>3.0925925925925926</v>
      </c>
      <c r="AE796" s="10">
        <f t="shared" si="672"/>
        <v>0.70506634499396859</v>
      </c>
      <c r="AF796" s="1" t="s">
        <v>652</v>
      </c>
    </row>
    <row r="797" spans="1:32" x14ac:dyDescent="0.2">
      <c r="A797" s="1" t="s">
        <v>5689</v>
      </c>
      <c r="B797" s="1" t="s">
        <v>5</v>
      </c>
      <c r="C797" s="1" t="s">
        <v>1575</v>
      </c>
      <c r="D797" s="1" t="s">
        <v>1597</v>
      </c>
      <c r="E797" s="1" t="s">
        <v>1660</v>
      </c>
      <c r="F797" s="1" t="s">
        <v>16</v>
      </c>
      <c r="G797" s="4">
        <v>0.49</v>
      </c>
      <c r="H797" s="28">
        <v>44196</v>
      </c>
      <c r="I797" s="29">
        <f t="shared" si="42"/>
        <v>2020</v>
      </c>
      <c r="J797" s="1" t="s">
        <v>3129</v>
      </c>
      <c r="K797" s="1" t="s">
        <v>2219</v>
      </c>
      <c r="L797" s="11" t="str">
        <f t="shared" si="56"/>
        <v>НЕТ</v>
      </c>
      <c r="M797" s="10" t="s">
        <v>1575</v>
      </c>
      <c r="N797" s="10">
        <v>434</v>
      </c>
      <c r="O797" s="10">
        <v>38</v>
      </c>
      <c r="P797" s="10">
        <f t="shared" si="686"/>
        <v>77.551020408163268</v>
      </c>
      <c r="Q797" s="10" t="str">
        <f t="shared" si="687"/>
        <v>NA</v>
      </c>
      <c r="R797" s="10" t="s">
        <v>1575</v>
      </c>
      <c r="S797" s="10" t="s">
        <v>1575</v>
      </c>
      <c r="T797" s="10" t="s">
        <v>1575</v>
      </c>
      <c r="U797" s="10" t="s">
        <v>1575</v>
      </c>
      <c r="V797" s="10" t="s">
        <v>1575</v>
      </c>
      <c r="W797" s="10" t="s">
        <v>1575</v>
      </c>
      <c r="X797" s="10" t="str">
        <f t="shared" si="665"/>
        <v>NA</v>
      </c>
      <c r="Y797" s="10" t="str">
        <f t="shared" si="666"/>
        <v>NA</v>
      </c>
      <c r="Z797" s="10" t="str">
        <f t="shared" si="667"/>
        <v>NA</v>
      </c>
      <c r="AA797" s="10" t="str">
        <f t="shared" si="668"/>
        <v>NA</v>
      </c>
      <c r="AB797" s="10" t="str">
        <f t="shared" si="669"/>
        <v>NA</v>
      </c>
      <c r="AC797" s="10" t="str">
        <f t="shared" si="670"/>
        <v>NA</v>
      </c>
      <c r="AD797" s="10" t="str">
        <f t="shared" si="671"/>
        <v>NA</v>
      </c>
      <c r="AE797" s="10" t="str">
        <f t="shared" si="672"/>
        <v>NA</v>
      </c>
      <c r="AF797" s="1" t="s">
        <v>3130</v>
      </c>
    </row>
    <row r="798" spans="1:32" x14ac:dyDescent="0.2">
      <c r="A798" s="1" t="s">
        <v>5690</v>
      </c>
      <c r="B798" s="1" t="s">
        <v>5</v>
      </c>
      <c r="C798" s="1" t="s">
        <v>1575</v>
      </c>
      <c r="D798" s="1" t="s">
        <v>1813</v>
      </c>
      <c r="E798" s="1" t="s">
        <v>1587</v>
      </c>
      <c r="F798" s="1" t="s">
        <v>255</v>
      </c>
      <c r="G798" s="4">
        <v>1.4999999999999999E-2</v>
      </c>
      <c r="H798" s="28">
        <v>43843</v>
      </c>
      <c r="I798" s="29">
        <f t="shared" si="42"/>
        <v>2020</v>
      </c>
      <c r="J798" s="1" t="s">
        <v>2219</v>
      </c>
      <c r="K798" s="1" t="s">
        <v>7</v>
      </c>
      <c r="L798" s="11" t="str">
        <f t="shared" ref="L798" si="753">IF(OR(A798=J798,A798=K798),"ДА","НЕТ")</f>
        <v>НЕТ</v>
      </c>
      <c r="M798" s="10" t="s">
        <v>1575</v>
      </c>
      <c r="N798" s="10" t="s">
        <v>1575</v>
      </c>
      <c r="O798" s="10">
        <v>2.5499999999999998E-2</v>
      </c>
      <c r="P798" s="10">
        <f t="shared" si="686"/>
        <v>1.7</v>
      </c>
      <c r="Q798" s="10">
        <f t="shared" si="687"/>
        <v>0.7</v>
      </c>
      <c r="R798" s="10" t="s">
        <v>1575</v>
      </c>
      <c r="S798" s="10" t="s">
        <v>1575</v>
      </c>
      <c r="T798" s="10" t="s">
        <v>1575</v>
      </c>
      <c r="U798" s="10" t="s">
        <v>1575</v>
      </c>
      <c r="V798" s="10">
        <v>1</v>
      </c>
      <c r="W798" s="10">
        <f>1-2</f>
        <v>-1</v>
      </c>
      <c r="X798" s="10">
        <f t="shared" si="665"/>
        <v>0</v>
      </c>
      <c r="Y798" s="10" t="str">
        <f t="shared" si="666"/>
        <v>NA</v>
      </c>
      <c r="Z798" s="10" t="str">
        <f t="shared" si="667"/>
        <v>NA</v>
      </c>
      <c r="AA798" s="10">
        <f t="shared" si="668"/>
        <v>1.7</v>
      </c>
      <c r="AB798" s="10" t="str">
        <f t="shared" si="669"/>
        <v>NA</v>
      </c>
      <c r="AC798" s="10" t="str">
        <f t="shared" si="670"/>
        <v>NA</v>
      </c>
      <c r="AD798" s="10" t="str">
        <f t="shared" si="671"/>
        <v>NA</v>
      </c>
      <c r="AE798" s="10" t="str">
        <f t="shared" si="672"/>
        <v>NA</v>
      </c>
      <c r="AF798" s="1" t="s">
        <v>3131</v>
      </c>
    </row>
    <row r="799" spans="1:32" x14ac:dyDescent="0.2">
      <c r="A799" s="1" t="s">
        <v>5690</v>
      </c>
      <c r="B799" s="1" t="s">
        <v>5</v>
      </c>
      <c r="C799" s="1" t="s">
        <v>1575</v>
      </c>
      <c r="D799" s="1" t="s">
        <v>1813</v>
      </c>
      <c r="E799" s="1" t="s">
        <v>1587</v>
      </c>
      <c r="F799" s="1" t="s">
        <v>255</v>
      </c>
      <c r="G799" s="4">
        <v>0.49513200000000002</v>
      </c>
      <c r="H799" s="28">
        <v>43830</v>
      </c>
      <c r="I799" s="29">
        <f t="shared" si="42"/>
        <v>2019</v>
      </c>
      <c r="J799" s="1" t="s">
        <v>2219</v>
      </c>
      <c r="K799" s="1" t="s">
        <v>7</v>
      </c>
      <c r="L799" s="11" t="str">
        <f t="shared" si="56"/>
        <v>НЕТ</v>
      </c>
      <c r="M799" s="10" t="s">
        <v>1575</v>
      </c>
      <c r="N799" s="10" t="s">
        <v>1575</v>
      </c>
      <c r="O799" s="10">
        <v>0.84199999999999997</v>
      </c>
      <c r="P799" s="10">
        <f t="shared" si="686"/>
        <v>1.7005566192449688</v>
      </c>
      <c r="Q799" s="10">
        <f t="shared" si="687"/>
        <v>0.70055661924496881</v>
      </c>
      <c r="R799" s="10" t="s">
        <v>1575</v>
      </c>
      <c r="S799" s="10" t="s">
        <v>1575</v>
      </c>
      <c r="T799" s="10" t="s">
        <v>1575</v>
      </c>
      <c r="U799" s="10" t="s">
        <v>1575</v>
      </c>
      <c r="V799" s="10">
        <v>1</v>
      </c>
      <c r="W799" s="10">
        <f>1-2</f>
        <v>-1</v>
      </c>
      <c r="X799" s="10">
        <f t="shared" si="665"/>
        <v>0</v>
      </c>
      <c r="Y799" s="10" t="str">
        <f t="shared" si="666"/>
        <v>NA</v>
      </c>
      <c r="Z799" s="10" t="str">
        <f t="shared" si="667"/>
        <v>NA</v>
      </c>
      <c r="AA799" s="10">
        <f t="shared" si="668"/>
        <v>1.7005566192449688</v>
      </c>
      <c r="AB799" s="10" t="str">
        <f t="shared" si="669"/>
        <v>NA</v>
      </c>
      <c r="AC799" s="10" t="str">
        <f t="shared" si="670"/>
        <v>NA</v>
      </c>
      <c r="AD799" s="10" t="str">
        <f t="shared" si="671"/>
        <v>NA</v>
      </c>
      <c r="AE799" s="10" t="str">
        <f t="shared" si="672"/>
        <v>NA</v>
      </c>
      <c r="AF799" s="1" t="s">
        <v>651</v>
      </c>
    </row>
    <row r="800" spans="1:32" x14ac:dyDescent="0.2">
      <c r="A800" s="1" t="s">
        <v>5691</v>
      </c>
      <c r="B800" s="1" t="s">
        <v>5</v>
      </c>
      <c r="C800" s="1" t="s">
        <v>1575</v>
      </c>
      <c r="D800" s="1" t="s">
        <v>1597</v>
      </c>
      <c r="E800" s="1" t="s">
        <v>1699</v>
      </c>
      <c r="F800" s="1" t="s">
        <v>9</v>
      </c>
      <c r="G800" s="4">
        <v>1</v>
      </c>
      <c r="H800" s="28">
        <v>43677</v>
      </c>
      <c r="I800" s="29">
        <f t="shared" si="42"/>
        <v>2019</v>
      </c>
      <c r="J800" s="1" t="s">
        <v>2219</v>
      </c>
      <c r="K800" s="1" t="s">
        <v>7</v>
      </c>
      <c r="L800" s="11" t="str">
        <f t="shared" si="56"/>
        <v>НЕТ</v>
      </c>
      <c r="M800" s="10" t="s">
        <v>1575</v>
      </c>
      <c r="N800" s="10" t="s">
        <v>1575</v>
      </c>
      <c r="O800" s="10">
        <v>13</v>
      </c>
      <c r="P800" s="10">
        <f t="shared" si="686"/>
        <v>13</v>
      </c>
      <c r="Q800" s="10">
        <f t="shared" si="687"/>
        <v>16.378</v>
      </c>
      <c r="R800" s="10" t="s">
        <v>1575</v>
      </c>
      <c r="S800" s="10" t="s">
        <v>1575</v>
      </c>
      <c r="T800" s="10" t="s">
        <v>1575</v>
      </c>
      <c r="U800" s="10" t="s">
        <v>1575</v>
      </c>
      <c r="V800" s="10">
        <v>5.149</v>
      </c>
      <c r="W800" s="10">
        <f>3.033+0.843+0.75+0.073-0.291-0.229-0.801</f>
        <v>3.3779999999999992</v>
      </c>
      <c r="X800" s="10">
        <f t="shared" si="665"/>
        <v>8.5269999999999992</v>
      </c>
      <c r="Y800" s="10" t="str">
        <f t="shared" si="666"/>
        <v>NA</v>
      </c>
      <c r="Z800" s="10" t="str">
        <f t="shared" si="667"/>
        <v>NA</v>
      </c>
      <c r="AA800" s="10">
        <f t="shared" si="668"/>
        <v>2.5247620897261602</v>
      </c>
      <c r="AB800" s="10" t="str">
        <f t="shared" si="669"/>
        <v>NA</v>
      </c>
      <c r="AC800" s="10" t="str">
        <f t="shared" si="670"/>
        <v>NA</v>
      </c>
      <c r="AD800" s="10" t="str">
        <f t="shared" si="671"/>
        <v>NA</v>
      </c>
      <c r="AE800" s="10">
        <f t="shared" si="672"/>
        <v>1.9207224111645365</v>
      </c>
      <c r="AF800" s="1" t="s">
        <v>650</v>
      </c>
    </row>
    <row r="801" spans="1:32" x14ac:dyDescent="0.2">
      <c r="A801" s="1" t="s">
        <v>648</v>
      </c>
      <c r="B801" s="1" t="s">
        <v>5</v>
      </c>
      <c r="C801" s="1" t="s">
        <v>1575</v>
      </c>
      <c r="D801" s="1" t="s">
        <v>1597</v>
      </c>
      <c r="E801" s="1" t="s">
        <v>1660</v>
      </c>
      <c r="F801" s="1" t="s">
        <v>16</v>
      </c>
      <c r="G801" s="4" t="s">
        <v>1575</v>
      </c>
      <c r="H801" s="28">
        <v>43373</v>
      </c>
      <c r="I801" s="29">
        <f t="shared" si="42"/>
        <v>2018</v>
      </c>
      <c r="J801" s="1" t="s">
        <v>2219</v>
      </c>
      <c r="K801" s="1" t="s">
        <v>647</v>
      </c>
      <c r="L801" s="11" t="str">
        <f t="shared" si="56"/>
        <v>НЕТ</v>
      </c>
      <c r="M801" s="10" t="s">
        <v>1575</v>
      </c>
      <c r="N801" s="10" t="s">
        <v>1575</v>
      </c>
      <c r="O801" s="10" t="s">
        <v>1575</v>
      </c>
      <c r="P801" s="10" t="str">
        <f t="shared" si="686"/>
        <v>NA</v>
      </c>
      <c r="Q801" s="10" t="str">
        <f t="shared" si="687"/>
        <v>NA</v>
      </c>
      <c r="R801" s="10" t="s">
        <v>1575</v>
      </c>
      <c r="S801" s="10" t="s">
        <v>1575</v>
      </c>
      <c r="T801" s="10" t="s">
        <v>1575</v>
      </c>
      <c r="U801" s="10" t="s">
        <v>1575</v>
      </c>
      <c r="V801" s="10">
        <v>9</v>
      </c>
      <c r="W801" s="10">
        <f>0-1</f>
        <v>-1</v>
      </c>
      <c r="X801" s="10">
        <f t="shared" si="665"/>
        <v>8</v>
      </c>
      <c r="Y801" s="10" t="str">
        <f t="shared" si="666"/>
        <v>NA</v>
      </c>
      <c r="Z801" s="10" t="str">
        <f t="shared" si="667"/>
        <v>NA</v>
      </c>
      <c r="AA801" s="10" t="str">
        <f t="shared" si="668"/>
        <v>NA</v>
      </c>
      <c r="AB801" s="10" t="str">
        <f t="shared" si="669"/>
        <v>NA</v>
      </c>
      <c r="AC801" s="10" t="str">
        <f t="shared" si="670"/>
        <v>NA</v>
      </c>
      <c r="AD801" s="10" t="str">
        <f t="shared" si="671"/>
        <v>NA</v>
      </c>
      <c r="AE801" s="10" t="str">
        <f t="shared" si="672"/>
        <v>NA</v>
      </c>
      <c r="AF801" s="1" t="s">
        <v>649</v>
      </c>
    </row>
    <row r="802" spans="1:32" x14ac:dyDescent="0.2">
      <c r="A802" s="1" t="s">
        <v>3133</v>
      </c>
      <c r="B802" s="1" t="s">
        <v>5</v>
      </c>
      <c r="C802" s="1" t="s">
        <v>1575</v>
      </c>
      <c r="D802" s="1" t="s">
        <v>1597</v>
      </c>
      <c r="E802" s="1" t="s">
        <v>1598</v>
      </c>
      <c r="F802" s="1" t="s">
        <v>35</v>
      </c>
      <c r="G802" s="4" t="s">
        <v>1575</v>
      </c>
      <c r="H802" s="28">
        <v>43373</v>
      </c>
      <c r="I802" s="29">
        <f t="shared" si="42"/>
        <v>2018</v>
      </c>
      <c r="J802" s="1" t="s">
        <v>2219</v>
      </c>
      <c r="K802" s="1" t="s">
        <v>7</v>
      </c>
      <c r="L802" s="11" t="str">
        <f t="shared" ref="L802" si="754">IF(OR(A802=J802,A802=K802),"ДА","НЕТ")</f>
        <v>НЕТ</v>
      </c>
      <c r="M802" s="10" t="s">
        <v>1575</v>
      </c>
      <c r="N802" s="10" t="s">
        <v>1575</v>
      </c>
      <c r="O802" s="10">
        <v>0</v>
      </c>
      <c r="P802" s="10" t="str">
        <f t="shared" si="686"/>
        <v>NA</v>
      </c>
      <c r="Q802" s="10" t="str">
        <f t="shared" si="687"/>
        <v>NA</v>
      </c>
      <c r="R802" s="10" t="s">
        <v>1575</v>
      </c>
      <c r="S802" s="10" t="s">
        <v>1575</v>
      </c>
      <c r="T802" s="10" t="s">
        <v>1575</v>
      </c>
      <c r="U802" s="10" t="s">
        <v>1575</v>
      </c>
      <c r="V802" s="10">
        <v>2</v>
      </c>
      <c r="W802" s="10">
        <f>0-1</f>
        <v>-1</v>
      </c>
      <c r="X802" s="10">
        <f t="shared" si="665"/>
        <v>1</v>
      </c>
      <c r="Y802" s="10" t="str">
        <f t="shared" si="666"/>
        <v>NA</v>
      </c>
      <c r="Z802" s="10" t="str">
        <f t="shared" si="667"/>
        <v>NA</v>
      </c>
      <c r="AA802" s="10" t="str">
        <f t="shared" si="668"/>
        <v>NA</v>
      </c>
      <c r="AB802" s="10" t="str">
        <f t="shared" si="669"/>
        <v>NA</v>
      </c>
      <c r="AC802" s="10" t="str">
        <f t="shared" si="670"/>
        <v>NA</v>
      </c>
      <c r="AD802" s="10" t="str">
        <f t="shared" si="671"/>
        <v>NA</v>
      </c>
      <c r="AE802" s="10" t="str">
        <f t="shared" si="672"/>
        <v>NA</v>
      </c>
      <c r="AF802" s="1" t="s">
        <v>3132</v>
      </c>
    </row>
    <row r="803" spans="1:32" x14ac:dyDescent="0.2">
      <c r="A803" s="1" t="s">
        <v>3137</v>
      </c>
      <c r="B803" s="1" t="s">
        <v>5</v>
      </c>
      <c r="C803" s="1" t="s">
        <v>1575</v>
      </c>
      <c r="D803" s="1" t="s">
        <v>1597</v>
      </c>
      <c r="E803" s="1" t="s">
        <v>3134</v>
      </c>
      <c r="F803" s="1" t="s">
        <v>3135</v>
      </c>
      <c r="G803" s="4" t="s">
        <v>11</v>
      </c>
      <c r="H803" s="28">
        <v>43281</v>
      </c>
      <c r="I803" s="29">
        <f t="shared" si="42"/>
        <v>2018</v>
      </c>
      <c r="J803" s="1" t="s">
        <v>2219</v>
      </c>
      <c r="K803" s="1" t="s">
        <v>7</v>
      </c>
      <c r="L803" s="11" t="str">
        <f t="shared" ref="L803" si="755">IF(OR(A803=J803,A803=K803),"ДА","НЕТ")</f>
        <v>НЕТ</v>
      </c>
      <c r="M803" s="10" t="s">
        <v>1575</v>
      </c>
      <c r="N803" s="10" t="s">
        <v>1575</v>
      </c>
      <c r="O803" s="10">
        <v>2</v>
      </c>
      <c r="P803" s="10" t="str">
        <f t="shared" si="686"/>
        <v>NA</v>
      </c>
      <c r="Q803" s="10" t="str">
        <f t="shared" si="687"/>
        <v>NA</v>
      </c>
      <c r="R803" s="10" t="s">
        <v>1575</v>
      </c>
      <c r="S803" s="10" t="s">
        <v>1575</v>
      </c>
      <c r="T803" s="10" t="s">
        <v>1575</v>
      </c>
      <c r="U803" s="10" t="s">
        <v>1575</v>
      </c>
      <c r="V803" s="10" t="s">
        <v>1575</v>
      </c>
      <c r="W803" s="10" t="s">
        <v>1575</v>
      </c>
      <c r="X803" s="10" t="str">
        <f t="shared" si="665"/>
        <v>NA</v>
      </c>
      <c r="Y803" s="10" t="str">
        <f t="shared" si="666"/>
        <v>NA</v>
      </c>
      <c r="Z803" s="10" t="str">
        <f t="shared" si="667"/>
        <v>NA</v>
      </c>
      <c r="AA803" s="10" t="str">
        <f t="shared" si="668"/>
        <v>NA</v>
      </c>
      <c r="AB803" s="10" t="str">
        <f t="shared" si="669"/>
        <v>NA</v>
      </c>
      <c r="AC803" s="10" t="str">
        <f t="shared" si="670"/>
        <v>NA</v>
      </c>
      <c r="AD803" s="10" t="str">
        <f t="shared" si="671"/>
        <v>NA</v>
      </c>
      <c r="AE803" s="10" t="str">
        <f t="shared" si="672"/>
        <v>NA</v>
      </c>
      <c r="AF803" s="1" t="s">
        <v>3136</v>
      </c>
    </row>
    <row r="804" spans="1:32" x14ac:dyDescent="0.2">
      <c r="A804" s="1" t="s">
        <v>644</v>
      </c>
      <c r="B804" s="1" t="s">
        <v>643</v>
      </c>
      <c r="C804" s="1" t="s">
        <v>1575</v>
      </c>
      <c r="D804" s="1" t="s">
        <v>1597</v>
      </c>
      <c r="E804" s="1" t="s">
        <v>1660</v>
      </c>
      <c r="F804" s="1" t="s">
        <v>16</v>
      </c>
      <c r="G804" s="4">
        <v>0.3</v>
      </c>
      <c r="H804" s="28">
        <v>43039</v>
      </c>
      <c r="I804" s="29">
        <f t="shared" si="42"/>
        <v>2017</v>
      </c>
      <c r="J804" s="1" t="s">
        <v>2219</v>
      </c>
      <c r="K804" s="1" t="s">
        <v>642</v>
      </c>
      <c r="L804" s="11" t="str">
        <f t="shared" si="56"/>
        <v>НЕТ</v>
      </c>
      <c r="M804" s="10">
        <v>1100</v>
      </c>
      <c r="N804" s="10" t="s">
        <v>1575</v>
      </c>
      <c r="O804" s="10">
        <f>M804*57.8716/1000</f>
        <v>63.658760000000001</v>
      </c>
      <c r="P804" s="10">
        <f t="shared" si="686"/>
        <v>212.19586666666669</v>
      </c>
      <c r="Q804" s="10" t="str">
        <f t="shared" si="687"/>
        <v>NA</v>
      </c>
      <c r="R804" s="10" t="s">
        <v>1575</v>
      </c>
      <c r="S804" s="10" t="s">
        <v>1575</v>
      </c>
      <c r="T804" s="10" t="s">
        <v>1575</v>
      </c>
      <c r="U804" s="10" t="s">
        <v>1575</v>
      </c>
      <c r="V804" s="10" t="s">
        <v>1575</v>
      </c>
      <c r="W804" s="10" t="s">
        <v>1575</v>
      </c>
      <c r="X804" s="10" t="str">
        <f t="shared" si="665"/>
        <v>NA</v>
      </c>
      <c r="Y804" s="10" t="str">
        <f t="shared" si="666"/>
        <v>NA</v>
      </c>
      <c r="Z804" s="10" t="str">
        <f t="shared" si="667"/>
        <v>NA</v>
      </c>
      <c r="AA804" s="10" t="str">
        <f t="shared" si="668"/>
        <v>NA</v>
      </c>
      <c r="AB804" s="10" t="str">
        <f t="shared" si="669"/>
        <v>NA</v>
      </c>
      <c r="AC804" s="10" t="str">
        <f t="shared" si="670"/>
        <v>NA</v>
      </c>
      <c r="AD804" s="10" t="str">
        <f t="shared" si="671"/>
        <v>NA</v>
      </c>
      <c r="AE804" s="10" t="str">
        <f t="shared" si="672"/>
        <v>NA</v>
      </c>
      <c r="AF804" s="1" t="s">
        <v>645</v>
      </c>
    </row>
    <row r="805" spans="1:32" x14ac:dyDescent="0.2">
      <c r="A805" s="1" t="s">
        <v>5692</v>
      </c>
      <c r="B805" s="1" t="s">
        <v>5</v>
      </c>
      <c r="C805" s="1" t="s">
        <v>1575</v>
      </c>
      <c r="D805" s="1" t="s">
        <v>1580</v>
      </c>
      <c r="E805" s="1" t="s">
        <v>1694</v>
      </c>
      <c r="F805" s="1" t="s">
        <v>68</v>
      </c>
      <c r="G805" s="4">
        <v>0.999</v>
      </c>
      <c r="H805" s="28">
        <v>42916</v>
      </c>
      <c r="I805" s="29">
        <f t="shared" si="42"/>
        <v>2017</v>
      </c>
      <c r="J805" s="1" t="s">
        <v>2219</v>
      </c>
      <c r="K805" s="1" t="s">
        <v>7</v>
      </c>
      <c r="L805" s="11" t="str">
        <f t="shared" si="56"/>
        <v>НЕТ</v>
      </c>
      <c r="M805" s="10" t="s">
        <v>1575</v>
      </c>
      <c r="N805" s="10" t="s">
        <v>1575</v>
      </c>
      <c r="O805" s="10">
        <v>0.01</v>
      </c>
      <c r="P805" s="10">
        <f t="shared" si="686"/>
        <v>1.001001001001001E-2</v>
      </c>
      <c r="Q805" s="10" t="str">
        <f t="shared" si="687"/>
        <v>NA</v>
      </c>
      <c r="R805" s="10" t="s">
        <v>1575</v>
      </c>
      <c r="S805" s="10" t="s">
        <v>1575</v>
      </c>
      <c r="T805" s="10" t="s">
        <v>1575</v>
      </c>
      <c r="U805" s="10" t="s">
        <v>1575</v>
      </c>
      <c r="V805" s="10">
        <v>-2</v>
      </c>
      <c r="W805" s="10" t="s">
        <v>1575</v>
      </c>
      <c r="X805" s="10" t="str">
        <f t="shared" si="665"/>
        <v>NA</v>
      </c>
      <c r="Y805" s="10" t="str">
        <f t="shared" si="666"/>
        <v>NA</v>
      </c>
      <c r="Z805" s="10" t="str">
        <f t="shared" si="667"/>
        <v>NA</v>
      </c>
      <c r="AA805" s="10">
        <f t="shared" si="668"/>
        <v>-5.005005005005005E-3</v>
      </c>
      <c r="AB805" s="10" t="str">
        <f t="shared" si="669"/>
        <v>NA</v>
      </c>
      <c r="AC805" s="10" t="str">
        <f t="shared" si="670"/>
        <v>NA</v>
      </c>
      <c r="AD805" s="10" t="str">
        <f t="shared" si="671"/>
        <v>NA</v>
      </c>
      <c r="AE805" s="10" t="str">
        <f t="shared" si="672"/>
        <v>NA</v>
      </c>
      <c r="AF805" s="1" t="s">
        <v>641</v>
      </c>
    </row>
    <row r="806" spans="1:32" x14ac:dyDescent="0.2">
      <c r="A806" s="1" t="s">
        <v>3138</v>
      </c>
      <c r="B806" s="1" t="s">
        <v>1575</v>
      </c>
      <c r="C806" s="1" t="s">
        <v>1575</v>
      </c>
      <c r="D806" s="1" t="s">
        <v>1597</v>
      </c>
      <c r="E806" s="1" t="s">
        <v>1699</v>
      </c>
      <c r="F806" s="1" t="s">
        <v>3140</v>
      </c>
      <c r="G806" s="4" t="s">
        <v>1575</v>
      </c>
      <c r="H806" s="28">
        <v>43100</v>
      </c>
      <c r="I806" s="29">
        <f t="shared" si="42"/>
        <v>2017</v>
      </c>
      <c r="J806" s="1" t="s">
        <v>2219</v>
      </c>
      <c r="K806" s="1" t="s">
        <v>7</v>
      </c>
      <c r="L806" s="11" t="str">
        <f t="shared" ref="L806" si="756">IF(OR(A806=J806,A806=K806),"ДА","НЕТ")</f>
        <v>НЕТ</v>
      </c>
      <c r="M806" s="10" t="s">
        <v>1575</v>
      </c>
      <c r="N806" s="10" t="s">
        <v>1575</v>
      </c>
      <c r="O806" s="10" t="s">
        <v>1575</v>
      </c>
      <c r="P806" s="10" t="str">
        <f t="shared" si="686"/>
        <v>NA</v>
      </c>
      <c r="Q806" s="10" t="str">
        <f t="shared" si="687"/>
        <v>NA</v>
      </c>
      <c r="R806" s="10" t="s">
        <v>1575</v>
      </c>
      <c r="S806" s="10" t="s">
        <v>1575</v>
      </c>
      <c r="T806" s="10" t="s">
        <v>1575</v>
      </c>
      <c r="U806" s="10" t="s">
        <v>1575</v>
      </c>
      <c r="V806" s="10">
        <v>29</v>
      </c>
      <c r="W806" s="10">
        <f>131-11</f>
        <v>120</v>
      </c>
      <c r="X806" s="10">
        <f t="shared" si="665"/>
        <v>149</v>
      </c>
      <c r="Y806" s="10" t="str">
        <f t="shared" si="666"/>
        <v>NA</v>
      </c>
      <c r="Z806" s="10" t="str">
        <f t="shared" si="667"/>
        <v>NA</v>
      </c>
      <c r="AA806" s="10" t="str">
        <f t="shared" si="668"/>
        <v>NA</v>
      </c>
      <c r="AB806" s="10" t="str">
        <f t="shared" si="669"/>
        <v>NA</v>
      </c>
      <c r="AC806" s="10" t="str">
        <f t="shared" si="670"/>
        <v>NA</v>
      </c>
      <c r="AD806" s="10" t="str">
        <f t="shared" si="671"/>
        <v>NA</v>
      </c>
      <c r="AE806" s="10" t="str">
        <f t="shared" si="672"/>
        <v>NA</v>
      </c>
      <c r="AF806" s="1" t="s">
        <v>3139</v>
      </c>
    </row>
    <row r="807" spans="1:32" x14ac:dyDescent="0.2">
      <c r="A807" s="1" t="s">
        <v>639</v>
      </c>
      <c r="B807" s="1" t="s">
        <v>5</v>
      </c>
      <c r="C807" s="1" t="s">
        <v>1575</v>
      </c>
      <c r="D807" s="1" t="s">
        <v>1597</v>
      </c>
      <c r="E807" s="1" t="s">
        <v>1660</v>
      </c>
      <c r="F807" s="1" t="s">
        <v>16</v>
      </c>
      <c r="G807" s="4">
        <v>1</v>
      </c>
      <c r="H807" s="28">
        <v>42928</v>
      </c>
      <c r="I807" s="29">
        <f t="shared" si="42"/>
        <v>2017</v>
      </c>
      <c r="J807" s="1" t="s">
        <v>2219</v>
      </c>
      <c r="K807" s="1" t="s">
        <v>5</v>
      </c>
      <c r="L807" s="11" t="str">
        <f t="shared" si="56"/>
        <v>НЕТ</v>
      </c>
      <c r="M807" s="10" t="s">
        <v>1575</v>
      </c>
      <c r="N807" s="10" t="s">
        <v>1575</v>
      </c>
      <c r="O807" s="10">
        <v>20.07</v>
      </c>
      <c r="P807" s="10">
        <f t="shared" si="686"/>
        <v>20.07</v>
      </c>
      <c r="Q807" s="10" t="str">
        <f t="shared" si="687"/>
        <v>NA</v>
      </c>
      <c r="R807" s="10" t="s">
        <v>1575</v>
      </c>
      <c r="S807" s="10" t="s">
        <v>1575</v>
      </c>
      <c r="T807" s="10" t="s">
        <v>1575</v>
      </c>
      <c r="U807" s="10" t="s">
        <v>1575</v>
      </c>
      <c r="V807" s="10" t="s">
        <v>1575</v>
      </c>
      <c r="W807" s="10" t="s">
        <v>1575</v>
      </c>
      <c r="X807" s="10" t="str">
        <f t="shared" si="665"/>
        <v>NA</v>
      </c>
      <c r="Y807" s="10" t="str">
        <f t="shared" si="666"/>
        <v>NA</v>
      </c>
      <c r="Z807" s="10" t="str">
        <f t="shared" si="667"/>
        <v>NA</v>
      </c>
      <c r="AA807" s="10" t="str">
        <f t="shared" si="668"/>
        <v>NA</v>
      </c>
      <c r="AB807" s="10" t="str">
        <f t="shared" si="669"/>
        <v>NA</v>
      </c>
      <c r="AC807" s="10" t="str">
        <f t="shared" si="670"/>
        <v>NA</v>
      </c>
      <c r="AD807" s="10" t="str">
        <f t="shared" si="671"/>
        <v>NA</v>
      </c>
      <c r="AE807" s="10" t="str">
        <f t="shared" si="672"/>
        <v>NA</v>
      </c>
      <c r="AF807" s="1" t="s">
        <v>3142</v>
      </c>
    </row>
    <row r="808" spans="1:32" x14ac:dyDescent="0.2">
      <c r="A808" s="1" t="s">
        <v>5693</v>
      </c>
      <c r="B808" s="1" t="s">
        <v>5</v>
      </c>
      <c r="C808" s="1" t="s">
        <v>1575</v>
      </c>
      <c r="D808" s="1" t="s">
        <v>1597</v>
      </c>
      <c r="E808" s="1" t="s">
        <v>1660</v>
      </c>
      <c r="F808" s="1" t="s">
        <v>16</v>
      </c>
      <c r="G808" s="4">
        <v>0.2</v>
      </c>
      <c r="H808" s="28">
        <v>42915</v>
      </c>
      <c r="I808" s="29">
        <f t="shared" si="42"/>
        <v>2017</v>
      </c>
      <c r="J808" s="1" t="s">
        <v>646</v>
      </c>
      <c r="K808" s="1" t="s">
        <v>2219</v>
      </c>
      <c r="L808" s="11" t="str">
        <f t="shared" si="56"/>
        <v>НЕТ</v>
      </c>
      <c r="M808" s="10">
        <v>1100</v>
      </c>
      <c r="N808" s="10" t="s">
        <v>1575</v>
      </c>
      <c r="O808" s="10">
        <v>65</v>
      </c>
      <c r="P808" s="10">
        <f t="shared" si="686"/>
        <v>325</v>
      </c>
      <c r="Q808" s="10" t="str">
        <f t="shared" si="687"/>
        <v>NA</v>
      </c>
      <c r="R808" s="10" t="s">
        <v>1575</v>
      </c>
      <c r="S808" s="10" t="s">
        <v>1575</v>
      </c>
      <c r="T808" s="10" t="s">
        <v>1575</v>
      </c>
      <c r="U808" s="10" t="s">
        <v>1575</v>
      </c>
      <c r="V808" s="10" t="s">
        <v>1575</v>
      </c>
      <c r="W808" s="10" t="s">
        <v>1575</v>
      </c>
      <c r="X808" s="10" t="str">
        <f t="shared" si="665"/>
        <v>NA</v>
      </c>
      <c r="Y808" s="10" t="str">
        <f t="shared" si="666"/>
        <v>NA</v>
      </c>
      <c r="Z808" s="10" t="str">
        <f t="shared" si="667"/>
        <v>NA</v>
      </c>
      <c r="AA808" s="10" t="str">
        <f t="shared" si="668"/>
        <v>NA</v>
      </c>
      <c r="AB808" s="10" t="str">
        <f t="shared" si="669"/>
        <v>NA</v>
      </c>
      <c r="AC808" s="10" t="str">
        <f t="shared" si="670"/>
        <v>NA</v>
      </c>
      <c r="AD808" s="10" t="str">
        <f t="shared" si="671"/>
        <v>NA</v>
      </c>
      <c r="AE808" s="10" t="str">
        <f t="shared" si="672"/>
        <v>NA</v>
      </c>
      <c r="AF808" s="1" t="s">
        <v>3141</v>
      </c>
    </row>
    <row r="809" spans="1:32" x14ac:dyDescent="0.2">
      <c r="A809" s="1" t="s">
        <v>5694</v>
      </c>
      <c r="B809" s="1" t="s">
        <v>5</v>
      </c>
      <c r="C809" s="1" t="s">
        <v>1575</v>
      </c>
      <c r="D809" s="1" t="s">
        <v>1597</v>
      </c>
      <c r="E809" s="1" t="s">
        <v>1598</v>
      </c>
      <c r="F809" s="1" t="s">
        <v>6</v>
      </c>
      <c r="G809" s="4">
        <v>1</v>
      </c>
      <c r="H809" s="28">
        <v>42852</v>
      </c>
      <c r="I809" s="29">
        <f t="shared" si="42"/>
        <v>2017</v>
      </c>
      <c r="J809" s="1" t="s">
        <v>2219</v>
      </c>
      <c r="K809" s="1" t="s">
        <v>7</v>
      </c>
      <c r="L809" s="11" t="str">
        <f t="shared" si="56"/>
        <v>НЕТ</v>
      </c>
      <c r="M809" s="10" t="s">
        <v>1575</v>
      </c>
      <c r="N809" s="10" t="s">
        <v>1575</v>
      </c>
      <c r="O809" s="10">
        <v>9</v>
      </c>
      <c r="P809" s="10">
        <f t="shared" si="686"/>
        <v>9</v>
      </c>
      <c r="Q809" s="10" t="str">
        <f t="shared" si="687"/>
        <v>NA</v>
      </c>
      <c r="R809" s="10" t="s">
        <v>1575</v>
      </c>
      <c r="S809" s="10" t="s">
        <v>1575</v>
      </c>
      <c r="T809" s="10" t="s">
        <v>1575</v>
      </c>
      <c r="U809" s="10" t="s">
        <v>1575</v>
      </c>
      <c r="V809" s="10" t="s">
        <v>1575</v>
      </c>
      <c r="W809" s="10" t="s">
        <v>1575</v>
      </c>
      <c r="X809" s="10" t="str">
        <f t="shared" si="665"/>
        <v>NA</v>
      </c>
      <c r="Y809" s="10" t="str">
        <f t="shared" si="666"/>
        <v>NA</v>
      </c>
      <c r="Z809" s="10" t="str">
        <f t="shared" si="667"/>
        <v>NA</v>
      </c>
      <c r="AA809" s="10" t="str">
        <f t="shared" si="668"/>
        <v>NA</v>
      </c>
      <c r="AB809" s="10" t="str">
        <f t="shared" si="669"/>
        <v>NA</v>
      </c>
      <c r="AC809" s="10" t="str">
        <f t="shared" si="670"/>
        <v>NA</v>
      </c>
      <c r="AD809" s="10" t="str">
        <f t="shared" si="671"/>
        <v>NA</v>
      </c>
      <c r="AE809" s="10" t="str">
        <f t="shared" si="672"/>
        <v>NA</v>
      </c>
      <c r="AF809" s="1" t="s">
        <v>638</v>
      </c>
    </row>
    <row r="810" spans="1:32" x14ac:dyDescent="0.2">
      <c r="A810" s="1" t="s">
        <v>5695</v>
      </c>
      <c r="B810" s="1" t="s">
        <v>5</v>
      </c>
      <c r="C810" s="1" t="s">
        <v>1575</v>
      </c>
      <c r="D810" s="1" t="s">
        <v>1597</v>
      </c>
      <c r="E810" s="1" t="s">
        <v>1660</v>
      </c>
      <c r="F810" s="1" t="s">
        <v>16</v>
      </c>
      <c r="G810" s="4">
        <v>1</v>
      </c>
      <c r="H810" s="28">
        <v>42842</v>
      </c>
      <c r="I810" s="29">
        <f t="shared" si="42"/>
        <v>2017</v>
      </c>
      <c r="J810" s="1" t="s">
        <v>2219</v>
      </c>
      <c r="K810" s="1" t="s">
        <v>7</v>
      </c>
      <c r="L810" s="11" t="str">
        <f t="shared" si="56"/>
        <v>НЕТ</v>
      </c>
      <c r="M810" s="10" t="s">
        <v>1575</v>
      </c>
      <c r="N810" s="10" t="s">
        <v>1575</v>
      </c>
      <c r="O810" s="10">
        <v>40</v>
      </c>
      <c r="P810" s="10">
        <f t="shared" si="686"/>
        <v>40</v>
      </c>
      <c r="Q810" s="10">
        <f t="shared" si="687"/>
        <v>94</v>
      </c>
      <c r="R810" s="10" t="s">
        <v>1575</v>
      </c>
      <c r="S810" s="10" t="s">
        <v>1575</v>
      </c>
      <c r="T810" s="10" t="s">
        <v>1575</v>
      </c>
      <c r="U810" s="10" t="s">
        <v>1575</v>
      </c>
      <c r="V810" s="10">
        <v>45</v>
      </c>
      <c r="W810" s="10">
        <f>59-5</f>
        <v>54</v>
      </c>
      <c r="X810" s="10">
        <f t="shared" si="665"/>
        <v>99</v>
      </c>
      <c r="Y810" s="10" t="str">
        <f t="shared" si="666"/>
        <v>NA</v>
      </c>
      <c r="Z810" s="10" t="str">
        <f t="shared" si="667"/>
        <v>NA</v>
      </c>
      <c r="AA810" s="10">
        <f t="shared" si="668"/>
        <v>0.88888888888888884</v>
      </c>
      <c r="AB810" s="10" t="str">
        <f t="shared" si="669"/>
        <v>NA</v>
      </c>
      <c r="AC810" s="10" t="str">
        <f t="shared" si="670"/>
        <v>NA</v>
      </c>
      <c r="AD810" s="10" t="str">
        <f t="shared" si="671"/>
        <v>NA</v>
      </c>
      <c r="AE810" s="10">
        <f t="shared" si="672"/>
        <v>0.9494949494949495</v>
      </c>
      <c r="AF810" s="1" t="s">
        <v>640</v>
      </c>
    </row>
    <row r="811" spans="1:32" x14ac:dyDescent="0.2">
      <c r="A811" s="1" t="s">
        <v>618</v>
      </c>
      <c r="B811" s="1" t="s">
        <v>617</v>
      </c>
      <c r="C811" s="1" t="s">
        <v>1575</v>
      </c>
      <c r="D811" s="1" t="s">
        <v>1597</v>
      </c>
      <c r="E811" s="1" t="s">
        <v>1699</v>
      </c>
      <c r="F811" s="1" t="s">
        <v>4</v>
      </c>
      <c r="G811" s="4">
        <v>0.49</v>
      </c>
      <c r="H811" s="28">
        <v>42674</v>
      </c>
      <c r="I811" s="29">
        <f t="shared" si="42"/>
        <v>2016</v>
      </c>
      <c r="J811" s="1" t="s">
        <v>2219</v>
      </c>
      <c r="K811" s="1" t="s">
        <v>7</v>
      </c>
      <c r="L811" s="11" t="str">
        <f t="shared" si="56"/>
        <v>НЕТ</v>
      </c>
      <c r="M811" s="10">
        <v>3900</v>
      </c>
      <c r="N811" s="10" t="s">
        <v>1575</v>
      </c>
      <c r="O811" s="10">
        <v>230</v>
      </c>
      <c r="P811" s="10">
        <f t="shared" si="686"/>
        <v>469.38775510204084</v>
      </c>
      <c r="Q811" s="10" t="str">
        <f t="shared" si="687"/>
        <v>NA</v>
      </c>
      <c r="R811" s="10" t="s">
        <v>1575</v>
      </c>
      <c r="S811" s="10" t="s">
        <v>1575</v>
      </c>
      <c r="T811" s="10" t="s">
        <v>1575</v>
      </c>
      <c r="U811" s="10" t="s">
        <v>1575</v>
      </c>
      <c r="V811" s="10" t="s">
        <v>1575</v>
      </c>
      <c r="W811" s="10" t="s">
        <v>1575</v>
      </c>
      <c r="X811" s="10" t="str">
        <f t="shared" si="665"/>
        <v>NA</v>
      </c>
      <c r="Y811" s="10" t="str">
        <f t="shared" si="666"/>
        <v>NA</v>
      </c>
      <c r="Z811" s="10" t="str">
        <f t="shared" si="667"/>
        <v>NA</v>
      </c>
      <c r="AA811" s="10" t="str">
        <f t="shared" si="668"/>
        <v>NA</v>
      </c>
      <c r="AB811" s="10" t="str">
        <f t="shared" si="669"/>
        <v>NA</v>
      </c>
      <c r="AC811" s="10" t="str">
        <f t="shared" si="670"/>
        <v>NA</v>
      </c>
      <c r="AD811" s="10" t="str">
        <f t="shared" si="671"/>
        <v>NA</v>
      </c>
      <c r="AE811" s="10" t="str">
        <f t="shared" si="672"/>
        <v>NA</v>
      </c>
      <c r="AF811" s="1" t="s">
        <v>3149</v>
      </c>
    </row>
    <row r="812" spans="1:32" x14ac:dyDescent="0.2">
      <c r="A812" s="1" t="s">
        <v>5696</v>
      </c>
      <c r="B812" s="1" t="s">
        <v>5</v>
      </c>
      <c r="C812" s="1" t="s">
        <v>1575</v>
      </c>
      <c r="D812" s="1" t="s">
        <v>1597</v>
      </c>
      <c r="E812" s="1" t="s">
        <v>1660</v>
      </c>
      <c r="F812" s="1" t="s">
        <v>16</v>
      </c>
      <c r="G812" s="4">
        <v>0.29899999999999999</v>
      </c>
      <c r="H812" s="28">
        <v>42674</v>
      </c>
      <c r="I812" s="29">
        <f t="shared" si="42"/>
        <v>2016</v>
      </c>
      <c r="J812" s="1" t="s">
        <v>613</v>
      </c>
      <c r="K812" s="1" t="s">
        <v>2219</v>
      </c>
      <c r="L812" s="11" t="str">
        <f t="shared" si="56"/>
        <v>НЕТ</v>
      </c>
      <c r="M812" s="10" t="s">
        <v>1575</v>
      </c>
      <c r="N812" s="10" t="s">
        <v>1575</v>
      </c>
      <c r="O812" s="10">
        <v>73</v>
      </c>
      <c r="P812" s="10">
        <f t="shared" si="686"/>
        <v>244.14715719063545</v>
      </c>
      <c r="Q812" s="10">
        <f t="shared" si="687"/>
        <v>271.14715719063543</v>
      </c>
      <c r="R812" s="10">
        <v>25</v>
      </c>
      <c r="S812" s="10" t="s">
        <v>1575</v>
      </c>
      <c r="T812" s="10" t="s">
        <v>1575</v>
      </c>
      <c r="U812" s="10">
        <v>5</v>
      </c>
      <c r="V812" s="10">
        <v>167</v>
      </c>
      <c r="W812" s="10">
        <v>27</v>
      </c>
      <c r="X812" s="10">
        <f t="shared" si="665"/>
        <v>194</v>
      </c>
      <c r="Y812" s="10">
        <f t="shared" si="666"/>
        <v>9.7658862876254187</v>
      </c>
      <c r="Z812" s="10">
        <f t="shared" si="667"/>
        <v>48.829431438127088</v>
      </c>
      <c r="AA812" s="10">
        <f t="shared" si="668"/>
        <v>1.4619590250936254</v>
      </c>
      <c r="AB812" s="10">
        <f t="shared" si="669"/>
        <v>10.845886287625417</v>
      </c>
      <c r="AC812" s="10" t="str">
        <f t="shared" si="670"/>
        <v>NA</v>
      </c>
      <c r="AD812" s="10" t="str">
        <f t="shared" si="671"/>
        <v>NA</v>
      </c>
      <c r="AE812" s="10">
        <f t="shared" si="672"/>
        <v>1.3976657587146155</v>
      </c>
      <c r="AF812" s="1" t="s">
        <v>3152</v>
      </c>
    </row>
    <row r="813" spans="1:32" x14ac:dyDescent="0.2">
      <c r="A813" s="1" t="s">
        <v>5697</v>
      </c>
      <c r="B813" s="1" t="s">
        <v>5</v>
      </c>
      <c r="C813" s="1" t="s">
        <v>1575</v>
      </c>
      <c r="D813" s="1" t="s">
        <v>1597</v>
      </c>
      <c r="E813" s="1" t="s">
        <v>1660</v>
      </c>
      <c r="F813" s="1" t="s">
        <v>16</v>
      </c>
      <c r="G813" s="4">
        <v>0.11</v>
      </c>
      <c r="H813" s="28">
        <v>42674</v>
      </c>
      <c r="I813" s="29">
        <f t="shared" si="42"/>
        <v>2016</v>
      </c>
      <c r="J813" s="1" t="s">
        <v>613</v>
      </c>
      <c r="K813" s="1" t="s">
        <v>2219</v>
      </c>
      <c r="L813" s="11" t="str">
        <f t="shared" si="56"/>
        <v>НЕТ</v>
      </c>
      <c r="M813" s="10" t="s">
        <v>1575</v>
      </c>
      <c r="N813" s="10" t="s">
        <v>1575</v>
      </c>
      <c r="O813" s="10">
        <v>52</v>
      </c>
      <c r="P813" s="10">
        <f t="shared" si="686"/>
        <v>472.72727272727275</v>
      </c>
      <c r="Q813" s="10">
        <f t="shared" si="687"/>
        <v>508.72727272727275</v>
      </c>
      <c r="R813" s="10">
        <v>299</v>
      </c>
      <c r="S813" s="10" t="s">
        <v>1575</v>
      </c>
      <c r="T813" s="10" t="s">
        <v>1575</v>
      </c>
      <c r="U813" s="10">
        <v>81</v>
      </c>
      <c r="V813" s="10">
        <v>294</v>
      </c>
      <c r="W813" s="10">
        <f>36-0</f>
        <v>36</v>
      </c>
      <c r="X813" s="10">
        <f t="shared" si="665"/>
        <v>330</v>
      </c>
      <c r="Y813" s="10">
        <f t="shared" si="666"/>
        <v>1.5810276679841897</v>
      </c>
      <c r="Z813" s="10">
        <f t="shared" si="667"/>
        <v>5.8361391694725029</v>
      </c>
      <c r="AA813" s="10">
        <f t="shared" si="668"/>
        <v>1.6079158936301794</v>
      </c>
      <c r="AB813" s="10">
        <f t="shared" si="669"/>
        <v>1.701429005776832</v>
      </c>
      <c r="AC813" s="10" t="str">
        <f t="shared" si="670"/>
        <v>NA</v>
      </c>
      <c r="AD813" s="10" t="str">
        <f t="shared" si="671"/>
        <v>NA</v>
      </c>
      <c r="AE813" s="10">
        <f t="shared" si="672"/>
        <v>1.5415977961432508</v>
      </c>
      <c r="AF813" s="1" t="s">
        <v>614</v>
      </c>
    </row>
    <row r="814" spans="1:32" x14ac:dyDescent="0.2">
      <c r="A814" s="1" t="s">
        <v>5697</v>
      </c>
      <c r="B814" s="1" t="s">
        <v>5</v>
      </c>
      <c r="C814" s="1" t="s">
        <v>1575</v>
      </c>
      <c r="D814" s="1" t="s">
        <v>1597</v>
      </c>
      <c r="E814" s="1" t="s">
        <v>1660</v>
      </c>
      <c r="F814" s="1" t="s">
        <v>16</v>
      </c>
      <c r="G814" s="4">
        <v>0.23899999999999999</v>
      </c>
      <c r="H814" s="28">
        <v>42521</v>
      </c>
      <c r="I814" s="29">
        <f t="shared" si="42"/>
        <v>2016</v>
      </c>
      <c r="J814" s="1" t="s">
        <v>613</v>
      </c>
      <c r="K814" s="1" t="s">
        <v>2219</v>
      </c>
      <c r="L814" s="11" t="str">
        <f t="shared" si="56"/>
        <v>НЕТ</v>
      </c>
      <c r="M814" s="10" t="s">
        <v>1575</v>
      </c>
      <c r="N814" s="10" t="s">
        <v>1575</v>
      </c>
      <c r="O814" s="10">
        <v>111</v>
      </c>
      <c r="P814" s="10">
        <f t="shared" si="686"/>
        <v>464.43514644351467</v>
      </c>
      <c r="Q814" s="10">
        <f t="shared" si="687"/>
        <v>500.43514644351467</v>
      </c>
      <c r="R814" s="10">
        <v>299</v>
      </c>
      <c r="S814" s="10" t="s">
        <v>1575</v>
      </c>
      <c r="T814" s="10" t="s">
        <v>1575</v>
      </c>
      <c r="U814" s="10">
        <v>81</v>
      </c>
      <c r="V814" s="10">
        <v>294</v>
      </c>
      <c r="W814" s="10">
        <f>36-0</f>
        <v>36</v>
      </c>
      <c r="X814" s="10">
        <f t="shared" si="665"/>
        <v>330</v>
      </c>
      <c r="Y814" s="10">
        <f t="shared" si="666"/>
        <v>1.5532948041589119</v>
      </c>
      <c r="Z814" s="10">
        <f t="shared" si="667"/>
        <v>5.7337672400433908</v>
      </c>
      <c r="AA814" s="10">
        <f t="shared" si="668"/>
        <v>1.5797113824609343</v>
      </c>
      <c r="AB814" s="10">
        <f t="shared" si="669"/>
        <v>1.6736961419515541</v>
      </c>
      <c r="AC814" s="10" t="str">
        <f t="shared" si="670"/>
        <v>NA</v>
      </c>
      <c r="AD814" s="10" t="str">
        <f t="shared" si="671"/>
        <v>NA</v>
      </c>
      <c r="AE814" s="10">
        <f t="shared" si="672"/>
        <v>1.5164701407379233</v>
      </c>
      <c r="AF814" s="1" t="s">
        <v>615</v>
      </c>
    </row>
    <row r="815" spans="1:32" x14ac:dyDescent="0.2">
      <c r="A815" s="1" t="s">
        <v>611</v>
      </c>
      <c r="B815" s="1" t="s">
        <v>5</v>
      </c>
      <c r="C815" s="1" t="s">
        <v>1575</v>
      </c>
      <c r="D815" s="1" t="s">
        <v>1597</v>
      </c>
      <c r="E815" s="1" t="s">
        <v>1660</v>
      </c>
      <c r="F815" s="1" t="s">
        <v>16</v>
      </c>
      <c r="G815" s="4">
        <v>0.15</v>
      </c>
      <c r="H815" s="28">
        <v>42521</v>
      </c>
      <c r="I815" s="29">
        <f t="shared" si="42"/>
        <v>2016</v>
      </c>
      <c r="J815" s="1" t="s">
        <v>613</v>
      </c>
      <c r="K815" s="1" t="s">
        <v>2219</v>
      </c>
      <c r="L815" s="11" t="str">
        <f t="shared" si="56"/>
        <v>НЕТ</v>
      </c>
      <c r="M815" s="10" t="s">
        <v>1575</v>
      </c>
      <c r="N815" s="10" t="s">
        <v>1575</v>
      </c>
      <c r="O815" s="10">
        <v>72</v>
      </c>
      <c r="P815" s="10">
        <f t="shared" si="686"/>
        <v>480</v>
      </c>
      <c r="Q815" s="10" t="str">
        <f t="shared" si="687"/>
        <v>NA</v>
      </c>
      <c r="R815" s="10" t="s">
        <v>1575</v>
      </c>
      <c r="S815" s="10" t="s">
        <v>1575</v>
      </c>
      <c r="T815" s="10" t="s">
        <v>1575</v>
      </c>
      <c r="U815" s="10" t="s">
        <v>1575</v>
      </c>
      <c r="V815" s="10" t="s">
        <v>1575</v>
      </c>
      <c r="W815" s="10" t="s">
        <v>1575</v>
      </c>
      <c r="X815" s="10" t="str">
        <f t="shared" si="665"/>
        <v>NA</v>
      </c>
      <c r="Y815" s="10" t="str">
        <f t="shared" si="666"/>
        <v>NA</v>
      </c>
      <c r="Z815" s="10" t="str">
        <f t="shared" si="667"/>
        <v>NA</v>
      </c>
      <c r="AA815" s="10" t="str">
        <f t="shared" si="668"/>
        <v>NA</v>
      </c>
      <c r="AB815" s="10" t="str">
        <f t="shared" si="669"/>
        <v>NA</v>
      </c>
      <c r="AC815" s="10" t="str">
        <f t="shared" si="670"/>
        <v>NA</v>
      </c>
      <c r="AD815" s="10" t="str">
        <f t="shared" si="671"/>
        <v>NA</v>
      </c>
      <c r="AE815" s="10" t="str">
        <f t="shared" si="672"/>
        <v>NA</v>
      </c>
      <c r="AF815" s="1" t="s">
        <v>612</v>
      </c>
    </row>
    <row r="816" spans="1:32" x14ac:dyDescent="0.2">
      <c r="A816" s="1" t="s">
        <v>620</v>
      </c>
      <c r="B816" s="1" t="s">
        <v>619</v>
      </c>
      <c r="C816" s="1" t="s">
        <v>1575</v>
      </c>
      <c r="D816" s="1" t="s">
        <v>1597</v>
      </c>
      <c r="E816" s="1" t="s">
        <v>1660</v>
      </c>
      <c r="F816" s="1" t="s">
        <v>16</v>
      </c>
      <c r="G816" s="4">
        <f>40%-16.7%</f>
        <v>0.23300000000000004</v>
      </c>
      <c r="H816" s="28">
        <v>42521</v>
      </c>
      <c r="I816" s="29">
        <f t="shared" si="42"/>
        <v>2016</v>
      </c>
      <c r="J816" s="1" t="s">
        <v>2219</v>
      </c>
      <c r="K816" s="1" t="s">
        <v>5698</v>
      </c>
      <c r="L816" s="11" t="str">
        <f t="shared" si="56"/>
        <v>НЕТ</v>
      </c>
      <c r="M816" s="10">
        <v>500</v>
      </c>
      <c r="N816" s="10" t="s">
        <v>1575</v>
      </c>
      <c r="O816" s="10">
        <v>33</v>
      </c>
      <c r="P816" s="10">
        <f t="shared" si="686"/>
        <v>141.63090128755363</v>
      </c>
      <c r="Q816" s="10" t="str">
        <f t="shared" si="687"/>
        <v>NA</v>
      </c>
      <c r="R816" s="10" t="s">
        <v>1575</v>
      </c>
      <c r="S816" s="10" t="s">
        <v>1575</v>
      </c>
      <c r="T816" s="10" t="s">
        <v>1575</v>
      </c>
      <c r="U816" s="10" t="s">
        <v>1575</v>
      </c>
      <c r="V816" s="10" t="s">
        <v>1575</v>
      </c>
      <c r="W816" s="10" t="s">
        <v>1575</v>
      </c>
      <c r="X816" s="10" t="str">
        <f t="shared" si="665"/>
        <v>NA</v>
      </c>
      <c r="Y816" s="10" t="str">
        <f t="shared" si="666"/>
        <v>NA</v>
      </c>
      <c r="Z816" s="10" t="str">
        <f t="shared" si="667"/>
        <v>NA</v>
      </c>
      <c r="AA816" s="10" t="str">
        <f t="shared" si="668"/>
        <v>NA</v>
      </c>
      <c r="AB816" s="10" t="str">
        <f t="shared" si="669"/>
        <v>NA</v>
      </c>
      <c r="AC816" s="10" t="str">
        <f t="shared" si="670"/>
        <v>NA</v>
      </c>
      <c r="AD816" s="10" t="str">
        <f t="shared" si="671"/>
        <v>NA</v>
      </c>
      <c r="AE816" s="10" t="str">
        <f t="shared" si="672"/>
        <v>NA</v>
      </c>
      <c r="AF816" s="1" t="s">
        <v>3150</v>
      </c>
    </row>
    <row r="817" spans="1:32" x14ac:dyDescent="0.2">
      <c r="A817" s="1" t="s">
        <v>3143</v>
      </c>
      <c r="B817" s="1" t="s">
        <v>5</v>
      </c>
      <c r="C817" s="1" t="s">
        <v>1575</v>
      </c>
      <c r="D817" s="1" t="s">
        <v>1584</v>
      </c>
      <c r="E817" s="1" t="s">
        <v>1586</v>
      </c>
      <c r="F817" s="1" t="s">
        <v>3144</v>
      </c>
      <c r="G817" s="4">
        <v>0.15</v>
      </c>
      <c r="H817" s="28">
        <v>42460</v>
      </c>
      <c r="I817" s="29">
        <f t="shared" si="42"/>
        <v>2016</v>
      </c>
      <c r="J817" s="1" t="s">
        <v>7</v>
      </c>
      <c r="K817" s="1" t="s">
        <v>2219</v>
      </c>
      <c r="L817" s="11" t="str">
        <f t="shared" si="56"/>
        <v>НЕТ</v>
      </c>
      <c r="M817" s="10" t="s">
        <v>1575</v>
      </c>
      <c r="N817" s="10" t="s">
        <v>1575</v>
      </c>
      <c r="O817" s="10">
        <v>3</v>
      </c>
      <c r="P817" s="10">
        <f t="shared" si="686"/>
        <v>20</v>
      </c>
      <c r="Q817" s="10" t="str">
        <f t="shared" si="687"/>
        <v>NA</v>
      </c>
      <c r="R817" s="10" t="s">
        <v>1575</v>
      </c>
      <c r="S817" s="10" t="s">
        <v>1575</v>
      </c>
      <c r="T817" s="10" t="s">
        <v>1575</v>
      </c>
      <c r="U817" s="10" t="s">
        <v>1575</v>
      </c>
      <c r="V817" s="10" t="s">
        <v>1575</v>
      </c>
      <c r="W817" s="10" t="s">
        <v>1575</v>
      </c>
      <c r="X817" s="10" t="str">
        <f t="shared" si="665"/>
        <v>NA</v>
      </c>
      <c r="Y817" s="10" t="str">
        <f t="shared" si="666"/>
        <v>NA</v>
      </c>
      <c r="Z817" s="10" t="str">
        <f t="shared" si="667"/>
        <v>NA</v>
      </c>
      <c r="AA817" s="10" t="str">
        <f t="shared" si="668"/>
        <v>NA</v>
      </c>
      <c r="AB817" s="10" t="str">
        <f t="shared" si="669"/>
        <v>NA</v>
      </c>
      <c r="AC817" s="10" t="str">
        <f t="shared" si="670"/>
        <v>NA</v>
      </c>
      <c r="AD817" s="10" t="str">
        <f t="shared" si="671"/>
        <v>NA</v>
      </c>
      <c r="AE817" s="10" t="str">
        <f t="shared" si="672"/>
        <v>NA</v>
      </c>
    </row>
    <row r="818" spans="1:32" x14ac:dyDescent="0.2">
      <c r="A818" s="1" t="s">
        <v>3284</v>
      </c>
      <c r="B818" s="1" t="s">
        <v>5</v>
      </c>
      <c r="C818" s="1" t="s">
        <v>7321</v>
      </c>
      <c r="D818" s="1" t="s">
        <v>1597</v>
      </c>
      <c r="E818" s="1" t="s">
        <v>3028</v>
      </c>
      <c r="F818" s="1" t="s">
        <v>14</v>
      </c>
      <c r="G818" s="4">
        <v>0.50075499999999995</v>
      </c>
      <c r="H818" s="28">
        <v>42655</v>
      </c>
      <c r="I818" s="29">
        <f t="shared" si="42"/>
        <v>2016</v>
      </c>
      <c r="J818" s="1" t="s">
        <v>2219</v>
      </c>
      <c r="K818" s="1" t="s">
        <v>7</v>
      </c>
      <c r="L818" s="11" t="str">
        <f t="shared" si="56"/>
        <v>НЕТ</v>
      </c>
      <c r="M818" s="10" t="s">
        <v>1575</v>
      </c>
      <c r="N818" s="10" t="s">
        <v>1575</v>
      </c>
      <c r="O818" s="10">
        <v>329.69</v>
      </c>
      <c r="P818" s="10">
        <f t="shared" si="686"/>
        <v>658.38583738554792</v>
      </c>
      <c r="Q818" s="10">
        <f t="shared" si="687"/>
        <v>876.38583738554792</v>
      </c>
      <c r="R818" s="10">
        <v>610.29300000000001</v>
      </c>
      <c r="S818" s="10">
        <v>126.00200000000001</v>
      </c>
      <c r="T818" s="10">
        <v>91.909000000000006</v>
      </c>
      <c r="U818" s="10">
        <v>59.564</v>
      </c>
      <c r="V818" s="10">
        <v>588</v>
      </c>
      <c r="W818" s="10">
        <f>245+19-41-5</f>
        <v>218</v>
      </c>
      <c r="X818" s="10">
        <f t="shared" si="665"/>
        <v>806</v>
      </c>
      <c r="Y818" s="10">
        <f t="shared" si="666"/>
        <v>1.078802865812893</v>
      </c>
      <c r="Z818" s="10">
        <f t="shared" si="667"/>
        <v>11.053418799703644</v>
      </c>
      <c r="AA818" s="10">
        <f t="shared" si="668"/>
        <v>1.1197038050774624</v>
      </c>
      <c r="AB818" s="10">
        <f t="shared" si="669"/>
        <v>1.4360083392494227</v>
      </c>
      <c r="AC818" s="10">
        <f t="shared" si="670"/>
        <v>6.9553327517463837</v>
      </c>
      <c r="AD818" s="10">
        <f t="shared" si="671"/>
        <v>9.5353647345259755</v>
      </c>
      <c r="AE818" s="10">
        <f t="shared" si="672"/>
        <v>1.0873273416694142</v>
      </c>
    </row>
    <row r="819" spans="1:32" x14ac:dyDescent="0.2">
      <c r="A819" s="1" t="s">
        <v>5699</v>
      </c>
      <c r="B819" s="1" t="s">
        <v>5</v>
      </c>
      <c r="C819" s="1" t="s">
        <v>1575</v>
      </c>
      <c r="D819" s="1" t="s">
        <v>1597</v>
      </c>
      <c r="E819" s="1" t="s">
        <v>1598</v>
      </c>
      <c r="F819" s="1" t="s">
        <v>6</v>
      </c>
      <c r="G819" s="4">
        <v>1</v>
      </c>
      <c r="H819" s="28">
        <v>42734</v>
      </c>
      <c r="I819" s="29">
        <f t="shared" si="42"/>
        <v>2016</v>
      </c>
      <c r="J819" s="1" t="s">
        <v>2219</v>
      </c>
      <c r="K819" s="1" t="s">
        <v>7</v>
      </c>
      <c r="L819" s="11" t="str">
        <f t="shared" si="56"/>
        <v>НЕТ</v>
      </c>
      <c r="M819" s="10" t="s">
        <v>1575</v>
      </c>
      <c r="N819" s="10" t="s">
        <v>1575</v>
      </c>
      <c r="O819" s="10">
        <v>4</v>
      </c>
      <c r="P819" s="10">
        <f t="shared" si="686"/>
        <v>4</v>
      </c>
      <c r="Q819" s="10">
        <f t="shared" si="687"/>
        <v>6</v>
      </c>
      <c r="R819" s="10" t="s">
        <v>1575</v>
      </c>
      <c r="S819" s="10" t="s">
        <v>1575</v>
      </c>
      <c r="T819" s="10" t="s">
        <v>1575</v>
      </c>
      <c r="U819" s="10" t="s">
        <v>1575</v>
      </c>
      <c r="V819" s="10">
        <v>8</v>
      </c>
      <c r="W819" s="10">
        <f>4-2</f>
        <v>2</v>
      </c>
      <c r="X819" s="10">
        <f t="shared" si="665"/>
        <v>10</v>
      </c>
      <c r="Y819" s="10" t="str">
        <f t="shared" si="666"/>
        <v>NA</v>
      </c>
      <c r="Z819" s="10" t="str">
        <f t="shared" si="667"/>
        <v>NA</v>
      </c>
      <c r="AA819" s="10">
        <f t="shared" si="668"/>
        <v>0.5</v>
      </c>
      <c r="AB819" s="10" t="str">
        <f t="shared" si="669"/>
        <v>NA</v>
      </c>
      <c r="AC819" s="10" t="str">
        <f t="shared" si="670"/>
        <v>NA</v>
      </c>
      <c r="AD819" s="10" t="str">
        <f t="shared" si="671"/>
        <v>NA</v>
      </c>
      <c r="AE819" s="10">
        <f t="shared" si="672"/>
        <v>0.6</v>
      </c>
    </row>
    <row r="820" spans="1:32" x14ac:dyDescent="0.2">
      <c r="A820" s="1" t="s">
        <v>610</v>
      </c>
      <c r="B820" s="1" t="s">
        <v>3</v>
      </c>
      <c r="C820" s="1" t="s">
        <v>1575</v>
      </c>
      <c r="D820" s="1" t="s">
        <v>1597</v>
      </c>
      <c r="E820" s="1" t="s">
        <v>1699</v>
      </c>
      <c r="F820" s="1" t="s">
        <v>4</v>
      </c>
      <c r="G820" s="4" t="s">
        <v>7</v>
      </c>
      <c r="H820" s="28">
        <v>42735</v>
      </c>
      <c r="I820" s="29">
        <f t="shared" si="42"/>
        <v>2016</v>
      </c>
      <c r="J820" s="1" t="s">
        <v>2219</v>
      </c>
      <c r="K820" s="1" t="s">
        <v>7</v>
      </c>
      <c r="L820" s="11" t="str">
        <f t="shared" si="56"/>
        <v>НЕТ</v>
      </c>
      <c r="M820" s="10">
        <v>1522</v>
      </c>
      <c r="N820" s="10" t="s">
        <v>1575</v>
      </c>
      <c r="O820" s="10">
        <v>92</v>
      </c>
      <c r="P820" s="10" t="str">
        <f t="shared" si="686"/>
        <v>NA</v>
      </c>
      <c r="Q820" s="10" t="str">
        <f t="shared" si="687"/>
        <v>NA</v>
      </c>
      <c r="R820" s="10" t="s">
        <v>1575</v>
      </c>
      <c r="S820" s="10" t="s">
        <v>1575</v>
      </c>
      <c r="T820" s="10" t="s">
        <v>1575</v>
      </c>
      <c r="U820" s="10" t="s">
        <v>1575</v>
      </c>
      <c r="V820" s="10">
        <v>92</v>
      </c>
      <c r="W820" s="10">
        <f>46+2-0</f>
        <v>48</v>
      </c>
      <c r="X820" s="10">
        <f t="shared" si="665"/>
        <v>140</v>
      </c>
      <c r="Y820" s="10" t="str">
        <f t="shared" si="666"/>
        <v>NA</v>
      </c>
      <c r="Z820" s="10" t="str">
        <f t="shared" si="667"/>
        <v>NA</v>
      </c>
      <c r="AA820" s="10" t="str">
        <f t="shared" si="668"/>
        <v>NA</v>
      </c>
      <c r="AB820" s="10" t="str">
        <f t="shared" si="669"/>
        <v>NA</v>
      </c>
      <c r="AC820" s="10" t="str">
        <f t="shared" si="670"/>
        <v>NA</v>
      </c>
      <c r="AD820" s="10" t="str">
        <f t="shared" si="671"/>
        <v>NA</v>
      </c>
      <c r="AE820" s="10" t="str">
        <f t="shared" si="672"/>
        <v>NA</v>
      </c>
      <c r="AF820" s="1" t="s">
        <v>3205</v>
      </c>
    </row>
    <row r="821" spans="1:32" x14ac:dyDescent="0.2">
      <c r="A821" s="1" t="s">
        <v>621</v>
      </c>
      <c r="B821" s="1" t="s">
        <v>23</v>
      </c>
      <c r="C821" s="1" t="s">
        <v>1575</v>
      </c>
      <c r="D821" s="1" t="s">
        <v>1597</v>
      </c>
      <c r="E821" s="1" t="s">
        <v>1699</v>
      </c>
      <c r="F821" s="1" t="s">
        <v>4</v>
      </c>
      <c r="G821" s="4">
        <v>0.12</v>
      </c>
      <c r="H821" s="28">
        <v>42035</v>
      </c>
      <c r="I821" s="29">
        <f t="shared" si="42"/>
        <v>2015</v>
      </c>
      <c r="J821" s="1" t="s">
        <v>7</v>
      </c>
      <c r="K821" s="1" t="s">
        <v>2219</v>
      </c>
      <c r="L821" s="11" t="str">
        <f t="shared" ref="L821" si="757">IF(OR(A821=J821,A821=K821),"ДА","НЕТ")</f>
        <v>НЕТ</v>
      </c>
      <c r="M821" s="10" t="s">
        <v>1575</v>
      </c>
      <c r="N821" s="10">
        <v>175</v>
      </c>
      <c r="O821" s="10">
        <v>11</v>
      </c>
      <c r="P821" s="10">
        <f t="shared" si="686"/>
        <v>91.666666666666671</v>
      </c>
      <c r="Q821" s="10" t="str">
        <f t="shared" si="687"/>
        <v>NA</v>
      </c>
      <c r="R821" s="10" t="s">
        <v>1575</v>
      </c>
      <c r="S821" s="10" t="s">
        <v>1575</v>
      </c>
      <c r="T821" s="10" t="s">
        <v>1575</v>
      </c>
      <c r="U821" s="10" t="s">
        <v>1575</v>
      </c>
      <c r="V821" s="10" t="s">
        <v>1575</v>
      </c>
      <c r="W821" s="10" t="s">
        <v>1575</v>
      </c>
      <c r="X821" s="10" t="str">
        <f t="shared" si="665"/>
        <v>NA</v>
      </c>
      <c r="Y821" s="10" t="str">
        <f t="shared" si="666"/>
        <v>NA</v>
      </c>
      <c r="Z821" s="10" t="str">
        <f t="shared" si="667"/>
        <v>NA</v>
      </c>
      <c r="AA821" s="10" t="str">
        <f t="shared" si="668"/>
        <v>NA</v>
      </c>
      <c r="AB821" s="10" t="str">
        <f t="shared" si="669"/>
        <v>NA</v>
      </c>
      <c r="AC821" s="10" t="str">
        <f t="shared" si="670"/>
        <v>NA</v>
      </c>
      <c r="AD821" s="10" t="str">
        <f t="shared" si="671"/>
        <v>NA</v>
      </c>
      <c r="AE821" s="10" t="str">
        <f t="shared" si="672"/>
        <v>NA</v>
      </c>
      <c r="AF821" s="1" t="s">
        <v>3159</v>
      </c>
    </row>
    <row r="822" spans="1:32" x14ac:dyDescent="0.2">
      <c r="A822" s="1" t="s">
        <v>624</v>
      </c>
      <c r="B822" s="1" t="s">
        <v>5</v>
      </c>
      <c r="C822" s="1" t="s">
        <v>1575</v>
      </c>
      <c r="D822" s="1" t="s">
        <v>1597</v>
      </c>
      <c r="E822" s="1" t="s">
        <v>1661</v>
      </c>
      <c r="F822" s="1" t="s">
        <v>16</v>
      </c>
      <c r="G822" s="4">
        <v>0.501</v>
      </c>
      <c r="H822" s="28">
        <v>42369</v>
      </c>
      <c r="I822" s="29">
        <f t="shared" si="42"/>
        <v>2015</v>
      </c>
      <c r="J822" s="1" t="s">
        <v>2219</v>
      </c>
      <c r="K822" s="1" t="s">
        <v>7</v>
      </c>
      <c r="L822" s="11" t="str">
        <f t="shared" si="56"/>
        <v>НЕТ</v>
      </c>
      <c r="M822" s="10" t="s">
        <v>1575</v>
      </c>
      <c r="N822" s="10" t="s">
        <v>1575</v>
      </c>
      <c r="O822" s="10">
        <v>7.5</v>
      </c>
      <c r="P822" s="10">
        <f t="shared" si="686"/>
        <v>14.970059880239521</v>
      </c>
      <c r="Q822" s="10" t="str">
        <f t="shared" si="687"/>
        <v>NA</v>
      </c>
      <c r="R822" s="10" t="s">
        <v>1575</v>
      </c>
      <c r="S822" s="10" t="s">
        <v>1575</v>
      </c>
      <c r="T822" s="10" t="s">
        <v>1575</v>
      </c>
      <c r="U822" s="10" t="s">
        <v>1575</v>
      </c>
      <c r="V822" s="10" t="s">
        <v>1575</v>
      </c>
      <c r="W822" s="10" t="s">
        <v>1575</v>
      </c>
      <c r="X822" s="10" t="str">
        <f t="shared" si="665"/>
        <v>NA</v>
      </c>
      <c r="Y822" s="10" t="str">
        <f t="shared" si="666"/>
        <v>NA</v>
      </c>
      <c r="Z822" s="10" t="str">
        <f t="shared" si="667"/>
        <v>NA</v>
      </c>
      <c r="AA822" s="10" t="str">
        <f t="shared" si="668"/>
        <v>NA</v>
      </c>
      <c r="AB822" s="10" t="str">
        <f t="shared" si="669"/>
        <v>NA</v>
      </c>
      <c r="AC822" s="10" t="str">
        <f t="shared" si="670"/>
        <v>NA</v>
      </c>
      <c r="AD822" s="10" t="str">
        <f t="shared" si="671"/>
        <v>NA</v>
      </c>
      <c r="AE822" s="10" t="str">
        <f t="shared" si="672"/>
        <v>NA</v>
      </c>
      <c r="AF822" s="1" t="s">
        <v>3160</v>
      </c>
    </row>
    <row r="823" spans="1:32" x14ac:dyDescent="0.2">
      <c r="A823" s="1" t="s">
        <v>5700</v>
      </c>
      <c r="B823" s="1" t="s">
        <v>5</v>
      </c>
      <c r="C823" s="1" t="s">
        <v>1575</v>
      </c>
      <c r="D823" s="1" t="s">
        <v>1597</v>
      </c>
      <c r="E823" s="1" t="s">
        <v>1660</v>
      </c>
      <c r="F823" s="1" t="s">
        <v>16</v>
      </c>
      <c r="G823" s="4">
        <v>0.5</v>
      </c>
      <c r="H823" s="28">
        <v>42369</v>
      </c>
      <c r="I823" s="29">
        <f t="shared" si="42"/>
        <v>2015</v>
      </c>
      <c r="J823" s="1" t="s">
        <v>7</v>
      </c>
      <c r="K823" s="1" t="s">
        <v>2219</v>
      </c>
      <c r="L823" s="11" t="str">
        <f t="shared" si="56"/>
        <v>НЕТ</v>
      </c>
      <c r="M823" s="10">
        <v>97.6</v>
      </c>
      <c r="N823" s="10" t="s">
        <v>1575</v>
      </c>
      <c r="O823" s="10">
        <v>6.9</v>
      </c>
      <c r="P823" s="10">
        <f t="shared" si="686"/>
        <v>13.8</v>
      </c>
      <c r="Q823" s="10" t="str">
        <f t="shared" si="687"/>
        <v>NA</v>
      </c>
      <c r="R823" s="10" t="s">
        <v>1575</v>
      </c>
      <c r="S823" s="10" t="s">
        <v>1575</v>
      </c>
      <c r="T823" s="10" t="s">
        <v>1575</v>
      </c>
      <c r="U823" s="10" t="s">
        <v>1575</v>
      </c>
      <c r="V823" s="10" t="s">
        <v>1575</v>
      </c>
      <c r="W823" s="10" t="s">
        <v>1575</v>
      </c>
      <c r="X823" s="10" t="str">
        <f t="shared" si="665"/>
        <v>NA</v>
      </c>
      <c r="Y823" s="10" t="str">
        <f t="shared" si="666"/>
        <v>NA</v>
      </c>
      <c r="Z823" s="10" t="str">
        <f t="shared" si="667"/>
        <v>NA</v>
      </c>
      <c r="AA823" s="10" t="str">
        <f t="shared" si="668"/>
        <v>NA</v>
      </c>
      <c r="AB823" s="10" t="str">
        <f t="shared" si="669"/>
        <v>NA</v>
      </c>
      <c r="AC823" s="10" t="str">
        <f t="shared" si="670"/>
        <v>NA</v>
      </c>
      <c r="AD823" s="10" t="str">
        <f t="shared" si="671"/>
        <v>NA</v>
      </c>
      <c r="AE823" s="10" t="str">
        <f t="shared" si="672"/>
        <v>NA</v>
      </c>
      <c r="AF823" s="1" t="s">
        <v>3161</v>
      </c>
    </row>
    <row r="824" spans="1:32" x14ac:dyDescent="0.2">
      <c r="A824" s="1" t="s">
        <v>621</v>
      </c>
      <c r="B824" s="1" t="s">
        <v>23</v>
      </c>
      <c r="C824" s="1" t="s">
        <v>1575</v>
      </c>
      <c r="D824" s="1" t="s">
        <v>1597</v>
      </c>
      <c r="E824" s="1" t="s">
        <v>1699</v>
      </c>
      <c r="F824" s="1" t="s">
        <v>4</v>
      </c>
      <c r="G824" s="4">
        <v>8.9899999999999994E-2</v>
      </c>
      <c r="H824" s="28">
        <v>42308</v>
      </c>
      <c r="I824" s="29">
        <f t="shared" si="42"/>
        <v>2015</v>
      </c>
      <c r="J824" s="1" t="s">
        <v>7</v>
      </c>
      <c r="K824" s="1" t="s">
        <v>2219</v>
      </c>
      <c r="L824" s="11" t="str">
        <f t="shared" si="56"/>
        <v>НЕТ</v>
      </c>
      <c r="M824" s="10" t="s">
        <v>1575</v>
      </c>
      <c r="N824" s="10">
        <v>162.4</v>
      </c>
      <c r="O824" s="10">
        <v>11.3</v>
      </c>
      <c r="P824" s="10">
        <f t="shared" si="686"/>
        <v>125.69521690767522</v>
      </c>
      <c r="Q824" s="10" t="str">
        <f t="shared" si="687"/>
        <v>NA</v>
      </c>
      <c r="R824" s="10" t="s">
        <v>1575</v>
      </c>
      <c r="S824" s="10" t="s">
        <v>1575</v>
      </c>
      <c r="T824" s="10" t="s">
        <v>1575</v>
      </c>
      <c r="U824" s="10" t="s">
        <v>1575</v>
      </c>
      <c r="V824" s="10" t="s">
        <v>1575</v>
      </c>
      <c r="W824" s="10" t="s">
        <v>1575</v>
      </c>
      <c r="X824" s="10" t="str">
        <f t="shared" si="665"/>
        <v>NA</v>
      </c>
      <c r="Y824" s="10" t="str">
        <f t="shared" si="666"/>
        <v>NA</v>
      </c>
      <c r="Z824" s="10" t="str">
        <f t="shared" si="667"/>
        <v>NA</v>
      </c>
      <c r="AA824" s="10" t="str">
        <f t="shared" si="668"/>
        <v>NA</v>
      </c>
      <c r="AB824" s="10" t="str">
        <f t="shared" si="669"/>
        <v>NA</v>
      </c>
      <c r="AC824" s="10" t="str">
        <f t="shared" si="670"/>
        <v>NA</v>
      </c>
      <c r="AD824" s="10" t="str">
        <f t="shared" si="671"/>
        <v>NA</v>
      </c>
      <c r="AE824" s="10" t="str">
        <f t="shared" si="672"/>
        <v>NA</v>
      </c>
      <c r="AF824" s="1" t="s">
        <v>3158</v>
      </c>
    </row>
    <row r="825" spans="1:32" x14ac:dyDescent="0.2">
      <c r="A825" s="1" t="s">
        <v>5696</v>
      </c>
      <c r="B825" s="1" t="s">
        <v>5</v>
      </c>
      <c r="C825" s="1" t="s">
        <v>1575</v>
      </c>
      <c r="D825" s="1" t="s">
        <v>1597</v>
      </c>
      <c r="E825" s="1" t="s">
        <v>1660</v>
      </c>
      <c r="F825" s="1" t="s">
        <v>16</v>
      </c>
      <c r="G825" s="4">
        <v>0.2</v>
      </c>
      <c r="H825" s="28">
        <v>42338</v>
      </c>
      <c r="I825" s="29">
        <f t="shared" si="42"/>
        <v>2015</v>
      </c>
      <c r="J825" s="1" t="s">
        <v>616</v>
      </c>
      <c r="K825" s="1" t="s">
        <v>2219</v>
      </c>
      <c r="L825" s="11" t="str">
        <f t="shared" si="56"/>
        <v>НЕТ</v>
      </c>
      <c r="M825" s="10" t="s">
        <v>1575</v>
      </c>
      <c r="N825" s="10">
        <v>0</v>
      </c>
      <c r="O825" s="10">
        <v>55</v>
      </c>
      <c r="P825" s="10">
        <f t="shared" si="686"/>
        <v>275</v>
      </c>
      <c r="Q825" s="10">
        <f t="shared" si="687"/>
        <v>300</v>
      </c>
      <c r="R825" s="10">
        <v>22</v>
      </c>
      <c r="S825" s="10" t="s">
        <v>1575</v>
      </c>
      <c r="T825" s="10" t="s">
        <v>1575</v>
      </c>
      <c r="U825" s="10">
        <v>50</v>
      </c>
      <c r="V825" s="10">
        <v>138</v>
      </c>
      <c r="W825" s="10">
        <v>25</v>
      </c>
      <c r="X825" s="10">
        <f t="shared" si="665"/>
        <v>163</v>
      </c>
      <c r="Y825" s="10">
        <f t="shared" si="666"/>
        <v>12.5</v>
      </c>
      <c r="Z825" s="10">
        <f t="shared" si="667"/>
        <v>5.5</v>
      </c>
      <c r="AA825" s="10">
        <f t="shared" si="668"/>
        <v>1.9927536231884058</v>
      </c>
      <c r="AB825" s="10">
        <f t="shared" si="669"/>
        <v>13.636363636363637</v>
      </c>
      <c r="AC825" s="10" t="str">
        <f t="shared" si="670"/>
        <v>NA</v>
      </c>
      <c r="AD825" s="10" t="str">
        <f t="shared" si="671"/>
        <v>NA</v>
      </c>
      <c r="AE825" s="10">
        <f t="shared" si="672"/>
        <v>1.8404907975460123</v>
      </c>
      <c r="AF825" s="1" t="s">
        <v>3151</v>
      </c>
    </row>
    <row r="826" spans="1:32" x14ac:dyDescent="0.2">
      <c r="A826" s="1" t="s">
        <v>2</v>
      </c>
      <c r="B826" s="1" t="s">
        <v>3</v>
      </c>
      <c r="C826" s="1" t="s">
        <v>1575</v>
      </c>
      <c r="D826" s="1" t="s">
        <v>1597</v>
      </c>
      <c r="E826" s="1" t="s">
        <v>1699</v>
      </c>
      <c r="F826" s="1" t="s">
        <v>4</v>
      </c>
      <c r="G826" s="4">
        <v>0.16669999999999999</v>
      </c>
      <c r="H826" s="28">
        <v>42338</v>
      </c>
      <c r="I826" s="29">
        <f t="shared" ref="I826:I888" si="758">YEAR(H826)</f>
        <v>2015</v>
      </c>
      <c r="J826" s="1" t="s">
        <v>2219</v>
      </c>
      <c r="K826" s="1" t="s">
        <v>7</v>
      </c>
      <c r="L826" s="11" t="str">
        <f t="shared" si="56"/>
        <v>НЕТ</v>
      </c>
      <c r="M826" s="10" t="s">
        <v>1575</v>
      </c>
      <c r="N826" s="10">
        <v>321</v>
      </c>
      <c r="O826" s="10">
        <v>23</v>
      </c>
      <c r="P826" s="10">
        <f t="shared" si="686"/>
        <v>137.97240551889624</v>
      </c>
      <c r="Q826" s="10">
        <f t="shared" si="687"/>
        <v>145.97240551889624</v>
      </c>
      <c r="R826" s="10" t="s">
        <v>1575</v>
      </c>
      <c r="S826" s="10" t="s">
        <v>1575</v>
      </c>
      <c r="T826" s="10" t="s">
        <v>1575</v>
      </c>
      <c r="U826" s="10" t="s">
        <v>1575</v>
      </c>
      <c r="V826" s="10">
        <v>23</v>
      </c>
      <c r="W826" s="10">
        <f>8-0</f>
        <v>8</v>
      </c>
      <c r="X826" s="10">
        <f t="shared" si="665"/>
        <v>31</v>
      </c>
      <c r="Y826" s="10" t="str">
        <f t="shared" si="666"/>
        <v>NA</v>
      </c>
      <c r="Z826" s="10" t="str">
        <f t="shared" si="667"/>
        <v>NA</v>
      </c>
      <c r="AA826" s="10">
        <f t="shared" si="668"/>
        <v>5.9988002399520104</v>
      </c>
      <c r="AB826" s="10" t="str">
        <f t="shared" si="669"/>
        <v>NA</v>
      </c>
      <c r="AC826" s="10" t="str">
        <f t="shared" si="670"/>
        <v>NA</v>
      </c>
      <c r="AD826" s="10" t="str">
        <f t="shared" si="671"/>
        <v>NA</v>
      </c>
      <c r="AE826" s="10">
        <f t="shared" si="672"/>
        <v>4.7087872748031048</v>
      </c>
      <c r="AF826" s="1" t="s">
        <v>3145</v>
      </c>
    </row>
    <row r="827" spans="1:32" x14ac:dyDescent="0.2">
      <c r="A827" s="1" t="s">
        <v>5701</v>
      </c>
      <c r="B827" s="1" t="s">
        <v>5</v>
      </c>
      <c r="C827" s="1" t="s">
        <v>1575</v>
      </c>
      <c r="D827" s="1" t="s">
        <v>1597</v>
      </c>
      <c r="E827" s="1" t="s">
        <v>1598</v>
      </c>
      <c r="F827" s="1" t="s">
        <v>6</v>
      </c>
      <c r="G827" s="4">
        <v>1</v>
      </c>
      <c r="H827" s="28">
        <v>42247</v>
      </c>
      <c r="I827" s="29">
        <f t="shared" si="758"/>
        <v>2015</v>
      </c>
      <c r="J827" s="1" t="s">
        <v>2219</v>
      </c>
      <c r="K827" s="1" t="s">
        <v>7</v>
      </c>
      <c r="L827" s="11" t="str">
        <f t="shared" si="56"/>
        <v>НЕТ</v>
      </c>
      <c r="M827" s="10">
        <v>150</v>
      </c>
      <c r="N827" s="10" t="s">
        <v>1575</v>
      </c>
      <c r="O827" s="10">
        <v>10</v>
      </c>
      <c r="P827" s="10">
        <f t="shared" si="686"/>
        <v>10</v>
      </c>
      <c r="Q827" s="10">
        <f t="shared" si="687"/>
        <v>10</v>
      </c>
      <c r="R827" s="10" t="s">
        <v>1575</v>
      </c>
      <c r="S827" s="10" t="s">
        <v>1575</v>
      </c>
      <c r="T827" s="10" t="s">
        <v>1575</v>
      </c>
      <c r="U827" s="10" t="s">
        <v>1575</v>
      </c>
      <c r="V827" s="10">
        <v>9</v>
      </c>
      <c r="W827" s="10">
        <f>1-1</f>
        <v>0</v>
      </c>
      <c r="X827" s="10">
        <f t="shared" si="665"/>
        <v>9</v>
      </c>
      <c r="Y827" s="10" t="str">
        <f t="shared" si="666"/>
        <v>NA</v>
      </c>
      <c r="Z827" s="10" t="str">
        <f t="shared" si="667"/>
        <v>NA</v>
      </c>
      <c r="AA827" s="10">
        <f t="shared" si="668"/>
        <v>1.1111111111111112</v>
      </c>
      <c r="AB827" s="10" t="str">
        <f t="shared" si="669"/>
        <v>NA</v>
      </c>
      <c r="AC827" s="10" t="str">
        <f t="shared" si="670"/>
        <v>NA</v>
      </c>
      <c r="AD827" s="10" t="str">
        <f t="shared" si="671"/>
        <v>NA</v>
      </c>
      <c r="AE827" s="10">
        <f t="shared" si="672"/>
        <v>1.1111111111111112</v>
      </c>
      <c r="AF827" s="1" t="s">
        <v>3146</v>
      </c>
    </row>
    <row r="828" spans="1:32" x14ac:dyDescent="0.2">
      <c r="A828" s="1" t="s">
        <v>5702</v>
      </c>
      <c r="B828" s="1" t="s">
        <v>8</v>
      </c>
      <c r="C828" s="1" t="s">
        <v>1575</v>
      </c>
      <c r="D828" s="1" t="s">
        <v>1597</v>
      </c>
      <c r="E828" s="1" t="s">
        <v>1699</v>
      </c>
      <c r="F828" s="1" t="s">
        <v>9</v>
      </c>
      <c r="G828" s="4">
        <v>1</v>
      </c>
      <c r="H828" s="28">
        <v>42247</v>
      </c>
      <c r="I828" s="29">
        <f t="shared" si="758"/>
        <v>2015</v>
      </c>
      <c r="J828" s="1" t="s">
        <v>2219</v>
      </c>
      <c r="K828" s="1" t="s">
        <v>7</v>
      </c>
      <c r="L828" s="11" t="str">
        <f t="shared" si="56"/>
        <v>НЕТ</v>
      </c>
      <c r="M828" s="10">
        <v>40</v>
      </c>
      <c r="N828" s="10" t="s">
        <v>1575</v>
      </c>
      <c r="O828" s="10">
        <v>2.7</v>
      </c>
      <c r="P828" s="10">
        <f t="shared" si="686"/>
        <v>2.7</v>
      </c>
      <c r="Q828" s="10">
        <f t="shared" si="687"/>
        <v>2.7</v>
      </c>
      <c r="R828" s="10" t="s">
        <v>1575</v>
      </c>
      <c r="S828" s="10" t="s">
        <v>1575</v>
      </c>
      <c r="T828" s="10" t="s">
        <v>1575</v>
      </c>
      <c r="U828" s="10" t="s">
        <v>1575</v>
      </c>
      <c r="V828" s="10">
        <v>1</v>
      </c>
      <c r="W828" s="10">
        <v>0</v>
      </c>
      <c r="X828" s="10">
        <f t="shared" si="665"/>
        <v>1</v>
      </c>
      <c r="Y828" s="10" t="str">
        <f t="shared" si="666"/>
        <v>NA</v>
      </c>
      <c r="Z828" s="10" t="str">
        <f t="shared" si="667"/>
        <v>NA</v>
      </c>
      <c r="AA828" s="10">
        <f t="shared" si="668"/>
        <v>2.7</v>
      </c>
      <c r="AB828" s="10" t="str">
        <f t="shared" si="669"/>
        <v>NA</v>
      </c>
      <c r="AC828" s="10" t="str">
        <f t="shared" si="670"/>
        <v>NA</v>
      </c>
      <c r="AD828" s="10" t="str">
        <f t="shared" si="671"/>
        <v>NA</v>
      </c>
      <c r="AE828" s="10">
        <f t="shared" si="672"/>
        <v>2.7</v>
      </c>
      <c r="AF828" s="1" t="s">
        <v>3147</v>
      </c>
    </row>
    <row r="829" spans="1:32" x14ac:dyDescent="0.2">
      <c r="A829" s="1" t="s">
        <v>5703</v>
      </c>
      <c r="B829" s="1" t="s">
        <v>5</v>
      </c>
      <c r="C829" s="1" t="s">
        <v>1575</v>
      </c>
      <c r="D829" s="1" t="s">
        <v>1597</v>
      </c>
      <c r="E829" s="1" t="s">
        <v>1699</v>
      </c>
      <c r="F829" s="1" t="s">
        <v>4</v>
      </c>
      <c r="G829" s="4">
        <v>1</v>
      </c>
      <c r="H829" s="28">
        <v>42094</v>
      </c>
      <c r="I829" s="29">
        <f t="shared" si="758"/>
        <v>2015</v>
      </c>
      <c r="J829" s="1" t="s">
        <v>2219</v>
      </c>
      <c r="K829" s="1" t="s">
        <v>7</v>
      </c>
      <c r="L829" s="11" t="str">
        <f t="shared" si="56"/>
        <v>НЕТ</v>
      </c>
      <c r="M829" s="10">
        <v>300</v>
      </c>
      <c r="N829" s="10" t="s">
        <v>1575</v>
      </c>
      <c r="O829" s="10">
        <v>18.3</v>
      </c>
      <c r="P829" s="10">
        <f t="shared" si="686"/>
        <v>18.3</v>
      </c>
      <c r="Q829" s="10">
        <f t="shared" si="687"/>
        <v>32.299999999999997</v>
      </c>
      <c r="R829" s="10" t="s">
        <v>1575</v>
      </c>
      <c r="S829" s="10" t="s">
        <v>1575</v>
      </c>
      <c r="T829" s="10" t="s">
        <v>1575</v>
      </c>
      <c r="U829" s="10" t="s">
        <v>1575</v>
      </c>
      <c r="V829" s="10">
        <v>5</v>
      </c>
      <c r="W829" s="10">
        <f>7+7-0</f>
        <v>14</v>
      </c>
      <c r="X829" s="10">
        <f t="shared" si="665"/>
        <v>19</v>
      </c>
      <c r="Y829" s="10" t="str">
        <f t="shared" si="666"/>
        <v>NA</v>
      </c>
      <c r="Z829" s="10" t="str">
        <f t="shared" si="667"/>
        <v>NA</v>
      </c>
      <c r="AA829" s="10">
        <f t="shared" si="668"/>
        <v>3.66</v>
      </c>
      <c r="AB829" s="10" t="str">
        <f t="shared" si="669"/>
        <v>NA</v>
      </c>
      <c r="AC829" s="10" t="str">
        <f t="shared" si="670"/>
        <v>NA</v>
      </c>
      <c r="AD829" s="10" t="str">
        <f t="shared" si="671"/>
        <v>NA</v>
      </c>
      <c r="AE829" s="10">
        <f t="shared" si="672"/>
        <v>1.7</v>
      </c>
      <c r="AF829" s="1" t="s">
        <v>3148</v>
      </c>
    </row>
    <row r="830" spans="1:32" x14ac:dyDescent="0.2">
      <c r="A830" s="1" t="s">
        <v>623</v>
      </c>
      <c r="B830" s="1" t="s">
        <v>379</v>
      </c>
      <c r="C830" s="1" t="s">
        <v>1575</v>
      </c>
      <c r="D830" s="1" t="s">
        <v>1597</v>
      </c>
      <c r="E830" s="1" t="s">
        <v>1699</v>
      </c>
      <c r="F830" s="1" t="s">
        <v>9</v>
      </c>
      <c r="G830" s="4">
        <v>0.49</v>
      </c>
      <c r="H830" s="28">
        <v>42004</v>
      </c>
      <c r="I830" s="29">
        <f t="shared" si="758"/>
        <v>2014</v>
      </c>
      <c r="J830" s="1" t="s">
        <v>2219</v>
      </c>
      <c r="K830" s="1" t="s">
        <v>7</v>
      </c>
      <c r="L830" s="11" t="str">
        <f t="shared" si="56"/>
        <v>НЕТ</v>
      </c>
      <c r="M830" s="10">
        <v>144</v>
      </c>
      <c r="N830" s="10" t="s">
        <v>1575</v>
      </c>
      <c r="O830" s="10">
        <v>9.3000000000000007</v>
      </c>
      <c r="P830" s="10">
        <f t="shared" si="686"/>
        <v>18.979591836734695</v>
      </c>
      <c r="Q830" s="10" t="str">
        <f t="shared" si="687"/>
        <v>NA</v>
      </c>
      <c r="R830" s="10" t="s">
        <v>1575</v>
      </c>
      <c r="S830" s="10" t="s">
        <v>1575</v>
      </c>
      <c r="T830" s="10" t="s">
        <v>1575</v>
      </c>
      <c r="U830" s="10" t="s">
        <v>1575</v>
      </c>
      <c r="V830" s="10" t="s">
        <v>1575</v>
      </c>
      <c r="W830" s="10" t="s">
        <v>1575</v>
      </c>
      <c r="X830" s="10" t="str">
        <f t="shared" si="665"/>
        <v>NA</v>
      </c>
      <c r="Y830" s="10" t="str">
        <f t="shared" si="666"/>
        <v>NA</v>
      </c>
      <c r="Z830" s="10" t="str">
        <f t="shared" si="667"/>
        <v>NA</v>
      </c>
      <c r="AA830" s="10" t="str">
        <f t="shared" si="668"/>
        <v>NA</v>
      </c>
      <c r="AB830" s="10" t="str">
        <f t="shared" si="669"/>
        <v>NA</v>
      </c>
      <c r="AC830" s="10" t="str">
        <f t="shared" si="670"/>
        <v>NA</v>
      </c>
      <c r="AD830" s="10" t="str">
        <f t="shared" si="671"/>
        <v>NA</v>
      </c>
      <c r="AE830" s="10" t="str">
        <f t="shared" si="672"/>
        <v>NA</v>
      </c>
      <c r="AF830" s="1" t="s">
        <v>3162</v>
      </c>
    </row>
    <row r="831" spans="1:32" x14ac:dyDescent="0.2">
      <c r="A831" s="1" t="s">
        <v>5704</v>
      </c>
      <c r="B831" s="1" t="s">
        <v>5</v>
      </c>
      <c r="C831" s="1" t="s">
        <v>1575</v>
      </c>
      <c r="D831" s="1" t="s">
        <v>1597</v>
      </c>
      <c r="E831" s="1" t="s">
        <v>1660</v>
      </c>
      <c r="F831" s="1" t="s">
        <v>16</v>
      </c>
      <c r="G831" s="4">
        <v>0.2</v>
      </c>
      <c r="H831" s="28">
        <v>41996</v>
      </c>
      <c r="I831" s="29">
        <f t="shared" si="758"/>
        <v>2014</v>
      </c>
      <c r="J831" s="1" t="s">
        <v>2219</v>
      </c>
      <c r="K831" s="1" t="s">
        <v>18</v>
      </c>
      <c r="L831" s="11" t="str">
        <f t="shared" si="56"/>
        <v>НЕТ</v>
      </c>
      <c r="M831" s="10" t="s">
        <v>1575</v>
      </c>
      <c r="N831" s="10" t="s">
        <v>1575</v>
      </c>
      <c r="O831" s="10">
        <v>8</v>
      </c>
      <c r="P831" s="10">
        <f t="shared" si="686"/>
        <v>40</v>
      </c>
      <c r="Q831" s="10" t="str">
        <f t="shared" si="687"/>
        <v>NA</v>
      </c>
      <c r="R831" s="10" t="s">
        <v>1575</v>
      </c>
      <c r="S831" s="10" t="s">
        <v>1575</v>
      </c>
      <c r="T831" s="10" t="s">
        <v>1575</v>
      </c>
      <c r="U831" s="10" t="s">
        <v>1575</v>
      </c>
      <c r="V831" s="10" t="s">
        <v>1575</v>
      </c>
      <c r="W831" s="10" t="s">
        <v>1575</v>
      </c>
      <c r="X831" s="10" t="str">
        <f t="shared" si="665"/>
        <v>NA</v>
      </c>
      <c r="Y831" s="10" t="str">
        <f t="shared" si="666"/>
        <v>NA</v>
      </c>
      <c r="Z831" s="10" t="str">
        <f t="shared" si="667"/>
        <v>NA</v>
      </c>
      <c r="AA831" s="10" t="str">
        <f t="shared" si="668"/>
        <v>NA</v>
      </c>
      <c r="AB831" s="10" t="str">
        <f t="shared" si="669"/>
        <v>NA</v>
      </c>
      <c r="AC831" s="10" t="str">
        <f t="shared" si="670"/>
        <v>NA</v>
      </c>
      <c r="AD831" s="10" t="str">
        <f t="shared" si="671"/>
        <v>NA</v>
      </c>
      <c r="AE831" s="10" t="str">
        <f t="shared" si="672"/>
        <v>NA</v>
      </c>
      <c r="AF831" s="1" t="s">
        <v>3156</v>
      </c>
    </row>
    <row r="832" spans="1:32" x14ac:dyDescent="0.2">
      <c r="A832" s="1" t="s">
        <v>5361</v>
      </c>
      <c r="B832" s="1" t="s">
        <v>5</v>
      </c>
      <c r="C832" s="1" t="s">
        <v>1575</v>
      </c>
      <c r="D832" s="1" t="s">
        <v>1597</v>
      </c>
      <c r="E832" s="1" t="s">
        <v>1598</v>
      </c>
      <c r="F832" s="1" t="s">
        <v>6</v>
      </c>
      <c r="G832" s="4">
        <v>1</v>
      </c>
      <c r="H832" s="28">
        <v>41698</v>
      </c>
      <c r="I832" s="29">
        <f t="shared" si="758"/>
        <v>2014</v>
      </c>
      <c r="J832" s="1" t="s">
        <v>2219</v>
      </c>
      <c r="K832" s="1" t="s">
        <v>7</v>
      </c>
      <c r="L832" s="11" t="str">
        <f t="shared" si="56"/>
        <v>НЕТ</v>
      </c>
      <c r="M832" s="10">
        <v>247</v>
      </c>
      <c r="N832" s="10" t="s">
        <v>1575</v>
      </c>
      <c r="O832" s="10">
        <v>8.8000000000000007</v>
      </c>
      <c r="P832" s="10">
        <f t="shared" si="686"/>
        <v>8.8000000000000007</v>
      </c>
      <c r="Q832" s="10">
        <f t="shared" si="687"/>
        <v>11.8</v>
      </c>
      <c r="R832" s="10" t="s">
        <v>1575</v>
      </c>
      <c r="S832" s="10" t="s">
        <v>1575</v>
      </c>
      <c r="T832" s="10" t="s">
        <v>1575</v>
      </c>
      <c r="U832" s="10" t="s">
        <v>1575</v>
      </c>
      <c r="V832" s="10">
        <v>5</v>
      </c>
      <c r="W832" s="10">
        <f>2+1-0</f>
        <v>3</v>
      </c>
      <c r="X832" s="10">
        <f t="shared" si="665"/>
        <v>8</v>
      </c>
      <c r="Y832" s="10" t="str">
        <f t="shared" si="666"/>
        <v>NA</v>
      </c>
      <c r="Z832" s="10" t="str">
        <f t="shared" si="667"/>
        <v>NA</v>
      </c>
      <c r="AA832" s="10">
        <f t="shared" si="668"/>
        <v>1.7600000000000002</v>
      </c>
      <c r="AB832" s="10" t="str">
        <f t="shared" si="669"/>
        <v>NA</v>
      </c>
      <c r="AC832" s="10" t="str">
        <f t="shared" si="670"/>
        <v>NA</v>
      </c>
      <c r="AD832" s="10" t="str">
        <f t="shared" si="671"/>
        <v>NA</v>
      </c>
      <c r="AE832" s="10">
        <f t="shared" si="672"/>
        <v>1.4750000000000001</v>
      </c>
      <c r="AF832" s="1" t="s">
        <v>3153</v>
      </c>
    </row>
    <row r="833" spans="1:32" x14ac:dyDescent="0.2">
      <c r="A833" s="1" t="s">
        <v>10</v>
      </c>
      <c r="B833" s="1" t="s">
        <v>7</v>
      </c>
      <c r="C833" s="1" t="s">
        <v>1575</v>
      </c>
      <c r="D833" s="1" t="s">
        <v>1597</v>
      </c>
      <c r="E833" s="1" t="s">
        <v>1598</v>
      </c>
      <c r="F833" s="1" t="s">
        <v>6</v>
      </c>
      <c r="G833" s="4" t="s">
        <v>11</v>
      </c>
      <c r="H833" s="28">
        <v>41851</v>
      </c>
      <c r="I833" s="29">
        <f t="shared" si="758"/>
        <v>2014</v>
      </c>
      <c r="J833" s="1" t="s">
        <v>2219</v>
      </c>
      <c r="K833" s="1" t="s">
        <v>7</v>
      </c>
      <c r="L833" s="11" t="str">
        <f t="shared" si="56"/>
        <v>НЕТ</v>
      </c>
      <c r="M833" s="10">
        <v>500</v>
      </c>
      <c r="N833" s="10" t="s">
        <v>1575</v>
      </c>
      <c r="O833" s="10">
        <v>18</v>
      </c>
      <c r="P833" s="10" t="str">
        <f t="shared" si="686"/>
        <v>NA</v>
      </c>
      <c r="Q833" s="10" t="str">
        <f t="shared" si="687"/>
        <v>NA</v>
      </c>
      <c r="R833" s="10" t="s">
        <v>1575</v>
      </c>
      <c r="S833" s="10" t="s">
        <v>1575</v>
      </c>
      <c r="T833" s="10" t="s">
        <v>1575</v>
      </c>
      <c r="U833" s="10" t="s">
        <v>1575</v>
      </c>
      <c r="V833" s="10">
        <v>18</v>
      </c>
      <c r="W833" s="10">
        <v>2</v>
      </c>
      <c r="X833" s="10">
        <f t="shared" si="665"/>
        <v>20</v>
      </c>
      <c r="Y833" s="10" t="str">
        <f t="shared" si="666"/>
        <v>NA</v>
      </c>
      <c r="Z833" s="10" t="str">
        <f t="shared" si="667"/>
        <v>NA</v>
      </c>
      <c r="AA833" s="10" t="str">
        <f t="shared" si="668"/>
        <v>NA</v>
      </c>
      <c r="AB833" s="10" t="str">
        <f t="shared" si="669"/>
        <v>NA</v>
      </c>
      <c r="AC833" s="10" t="str">
        <f t="shared" si="670"/>
        <v>NA</v>
      </c>
      <c r="AD833" s="10" t="str">
        <f t="shared" si="671"/>
        <v>NA</v>
      </c>
      <c r="AE833" s="10" t="str">
        <f t="shared" si="672"/>
        <v>NA</v>
      </c>
      <c r="AF833" s="1" t="s">
        <v>3154</v>
      </c>
    </row>
    <row r="834" spans="1:32" x14ac:dyDescent="0.2">
      <c r="A834" s="1" t="s">
        <v>12</v>
      </c>
      <c r="B834" s="1" t="s">
        <v>2395</v>
      </c>
      <c r="C834" s="1" t="s">
        <v>1575</v>
      </c>
      <c r="D834" s="1" t="s">
        <v>1597</v>
      </c>
      <c r="E834" s="1" t="s">
        <v>1699</v>
      </c>
      <c r="F834" s="1" t="s">
        <v>9</v>
      </c>
      <c r="G834" s="4">
        <v>1</v>
      </c>
      <c r="H834" s="28">
        <v>41912</v>
      </c>
      <c r="I834" s="29">
        <f t="shared" si="758"/>
        <v>2014</v>
      </c>
      <c r="J834" s="1" t="s">
        <v>2219</v>
      </c>
      <c r="K834" s="1" t="s">
        <v>7</v>
      </c>
      <c r="L834" s="11" t="str">
        <f t="shared" si="56"/>
        <v>НЕТ</v>
      </c>
      <c r="M834" s="10">
        <v>39</v>
      </c>
      <c r="N834" s="10" t="s">
        <v>1575</v>
      </c>
      <c r="O834" s="10">
        <v>1.5</v>
      </c>
      <c r="P834" s="10">
        <f t="shared" si="686"/>
        <v>1.5</v>
      </c>
      <c r="Q834" s="10" t="str">
        <f t="shared" si="687"/>
        <v>NA</v>
      </c>
      <c r="R834" s="10" t="s">
        <v>1575</v>
      </c>
      <c r="S834" s="10" t="s">
        <v>1575</v>
      </c>
      <c r="T834" s="10" t="s">
        <v>1575</v>
      </c>
      <c r="U834" s="10" t="s">
        <v>1575</v>
      </c>
      <c r="V834" s="10" t="s">
        <v>1575</v>
      </c>
      <c r="W834" s="10" t="s">
        <v>1575</v>
      </c>
      <c r="X834" s="10" t="str">
        <f t="shared" si="665"/>
        <v>NA</v>
      </c>
      <c r="Y834" s="10" t="str">
        <f t="shared" si="666"/>
        <v>NA</v>
      </c>
      <c r="Z834" s="10" t="str">
        <f t="shared" si="667"/>
        <v>NA</v>
      </c>
      <c r="AA834" s="10" t="str">
        <f t="shared" si="668"/>
        <v>NA</v>
      </c>
      <c r="AB834" s="10" t="str">
        <f t="shared" si="669"/>
        <v>NA</v>
      </c>
      <c r="AC834" s="10" t="str">
        <f t="shared" si="670"/>
        <v>NA</v>
      </c>
      <c r="AD834" s="10" t="str">
        <f t="shared" si="671"/>
        <v>NA</v>
      </c>
      <c r="AE834" s="10" t="str">
        <f t="shared" si="672"/>
        <v>NA</v>
      </c>
      <c r="AF834" s="1" t="s">
        <v>3155</v>
      </c>
    </row>
    <row r="835" spans="1:32" x14ac:dyDescent="0.2">
      <c r="A835" s="1" t="s">
        <v>5705</v>
      </c>
      <c r="B835" s="1" t="s">
        <v>5</v>
      </c>
      <c r="C835" s="1" t="s">
        <v>1575</v>
      </c>
      <c r="D835" s="1" t="s">
        <v>1597</v>
      </c>
      <c r="E835" s="1" t="s">
        <v>1666</v>
      </c>
      <c r="F835" s="30" t="s">
        <v>622</v>
      </c>
      <c r="G835" s="4">
        <v>0.49</v>
      </c>
      <c r="H835" s="28">
        <v>41698</v>
      </c>
      <c r="I835" s="29">
        <f t="shared" si="758"/>
        <v>2014</v>
      </c>
      <c r="J835" s="1" t="s">
        <v>5706</v>
      </c>
      <c r="K835" s="1" t="s">
        <v>2219</v>
      </c>
      <c r="L835" s="11" t="str">
        <f t="shared" si="56"/>
        <v>НЕТ</v>
      </c>
      <c r="M835" s="10" t="s">
        <v>1575</v>
      </c>
      <c r="N835" s="10" t="s">
        <v>1575</v>
      </c>
      <c r="O835" s="10">
        <v>56</v>
      </c>
      <c r="P835" s="10">
        <f t="shared" ref="P835:P898" si="759">IFERROR(O835/G835,"NA")</f>
        <v>114.28571428571429</v>
      </c>
      <c r="Q835" s="10" t="str">
        <f t="shared" ref="Q835:Q898" si="760">IFERROR(P835+W835,"NA")</f>
        <v>NA</v>
      </c>
      <c r="R835" s="10" t="s">
        <v>1575</v>
      </c>
      <c r="S835" s="10" t="s">
        <v>1575</v>
      </c>
      <c r="T835" s="10" t="s">
        <v>1575</v>
      </c>
      <c r="U835" s="10" t="s">
        <v>1575</v>
      </c>
      <c r="V835" s="10" t="s">
        <v>1575</v>
      </c>
      <c r="W835" s="10" t="s">
        <v>1575</v>
      </c>
      <c r="X835" s="10" t="str">
        <f t="shared" si="665"/>
        <v>NA</v>
      </c>
      <c r="Y835" s="10" t="str">
        <f t="shared" si="666"/>
        <v>NA</v>
      </c>
      <c r="Z835" s="10" t="str">
        <f t="shared" si="667"/>
        <v>NA</v>
      </c>
      <c r="AA835" s="10" t="str">
        <f t="shared" si="668"/>
        <v>NA</v>
      </c>
      <c r="AB835" s="10" t="str">
        <f t="shared" si="669"/>
        <v>NA</v>
      </c>
      <c r="AC835" s="10" t="str">
        <f t="shared" si="670"/>
        <v>NA</v>
      </c>
      <c r="AD835" s="10" t="str">
        <f t="shared" si="671"/>
        <v>NA</v>
      </c>
      <c r="AE835" s="10" t="str">
        <f t="shared" si="672"/>
        <v>NA</v>
      </c>
      <c r="AF835" s="1" t="s">
        <v>3163</v>
      </c>
    </row>
    <row r="836" spans="1:32" x14ac:dyDescent="0.2">
      <c r="A836" s="1" t="s">
        <v>621</v>
      </c>
      <c r="B836" s="1" t="s">
        <v>23</v>
      </c>
      <c r="C836" s="1" t="s">
        <v>1575</v>
      </c>
      <c r="D836" s="1" t="s">
        <v>1597</v>
      </c>
      <c r="E836" s="1" t="s">
        <v>1699</v>
      </c>
      <c r="F836" s="1" t="s">
        <v>4</v>
      </c>
      <c r="G836" s="4">
        <v>7.2900000000000006E-2</v>
      </c>
      <c r="H836" s="28">
        <v>41439</v>
      </c>
      <c r="I836" s="29">
        <f t="shared" si="758"/>
        <v>2013</v>
      </c>
      <c r="J836" s="1" t="s">
        <v>2219</v>
      </c>
      <c r="K836" s="1" t="s">
        <v>7</v>
      </c>
      <c r="L836" s="11" t="str">
        <f t="shared" si="56"/>
        <v>НЕТ</v>
      </c>
      <c r="M836" s="10" t="s">
        <v>1575</v>
      </c>
      <c r="N836" s="10">
        <v>95</v>
      </c>
      <c r="O836" s="10">
        <v>4</v>
      </c>
      <c r="P836" s="10">
        <f t="shared" si="759"/>
        <v>54.869684499314126</v>
      </c>
      <c r="Q836" s="10" t="str">
        <f t="shared" si="760"/>
        <v>NA</v>
      </c>
      <c r="R836" s="10" t="s">
        <v>1575</v>
      </c>
      <c r="S836" s="10" t="s">
        <v>1575</v>
      </c>
      <c r="T836" s="10" t="s">
        <v>1575</v>
      </c>
      <c r="U836" s="10" t="s">
        <v>1575</v>
      </c>
      <c r="V836" s="10" t="s">
        <v>1575</v>
      </c>
      <c r="W836" s="10" t="s">
        <v>1575</v>
      </c>
      <c r="X836" s="10" t="str">
        <f t="shared" si="665"/>
        <v>NA</v>
      </c>
      <c r="Y836" s="10" t="str">
        <f t="shared" si="666"/>
        <v>NA</v>
      </c>
      <c r="Z836" s="10" t="str">
        <f t="shared" si="667"/>
        <v>NA</v>
      </c>
      <c r="AA836" s="10" t="str">
        <f t="shared" si="668"/>
        <v>NA</v>
      </c>
      <c r="AB836" s="10" t="str">
        <f t="shared" si="669"/>
        <v>NA</v>
      </c>
      <c r="AC836" s="10" t="str">
        <f t="shared" si="670"/>
        <v>NA</v>
      </c>
      <c r="AD836" s="10" t="str">
        <f t="shared" si="671"/>
        <v>NA</v>
      </c>
      <c r="AE836" s="10" t="str">
        <f t="shared" si="672"/>
        <v>NA</v>
      </c>
      <c r="AF836" s="1" t="s">
        <v>3164</v>
      </c>
    </row>
    <row r="837" spans="1:32" x14ac:dyDescent="0.2">
      <c r="A837" s="1" t="s">
        <v>621</v>
      </c>
      <c r="B837" s="1" t="s">
        <v>23</v>
      </c>
      <c r="C837" s="1" t="s">
        <v>1575</v>
      </c>
      <c r="D837" s="1" t="s">
        <v>1597</v>
      </c>
      <c r="E837" s="1" t="s">
        <v>1699</v>
      </c>
      <c r="F837" s="1" t="s">
        <v>4</v>
      </c>
      <c r="G837" s="4">
        <v>0.13700000000000001</v>
      </c>
      <c r="H837" s="28">
        <v>41387</v>
      </c>
      <c r="I837" s="29">
        <f t="shared" si="758"/>
        <v>2013</v>
      </c>
      <c r="J837" s="1" t="s">
        <v>2219</v>
      </c>
      <c r="K837" s="1" t="s">
        <v>625</v>
      </c>
      <c r="L837" s="11" t="str">
        <f t="shared" si="56"/>
        <v>НЕТ</v>
      </c>
      <c r="M837" s="10" t="s">
        <v>1575</v>
      </c>
      <c r="N837" s="10">
        <v>178.5</v>
      </c>
      <c r="O837" s="10">
        <v>7</v>
      </c>
      <c r="P837" s="10">
        <f t="shared" si="759"/>
        <v>51.0948905109489</v>
      </c>
      <c r="Q837" s="10" t="str">
        <f t="shared" si="760"/>
        <v>NA</v>
      </c>
      <c r="R837" s="10" t="s">
        <v>1575</v>
      </c>
      <c r="S837" s="10" t="s">
        <v>1575</v>
      </c>
      <c r="T837" s="10" t="s">
        <v>1575</v>
      </c>
      <c r="U837" s="10" t="s">
        <v>1575</v>
      </c>
      <c r="V837" s="10" t="s">
        <v>1575</v>
      </c>
      <c r="W837" s="10" t="s">
        <v>1575</v>
      </c>
      <c r="X837" s="10" t="str">
        <f t="shared" si="665"/>
        <v>NA</v>
      </c>
      <c r="Y837" s="10" t="str">
        <f t="shared" si="666"/>
        <v>NA</v>
      </c>
      <c r="Z837" s="10" t="str">
        <f t="shared" si="667"/>
        <v>NA</v>
      </c>
      <c r="AA837" s="10" t="str">
        <f t="shared" si="668"/>
        <v>NA</v>
      </c>
      <c r="AB837" s="10" t="str">
        <f t="shared" si="669"/>
        <v>NA</v>
      </c>
      <c r="AC837" s="10" t="str">
        <f t="shared" si="670"/>
        <v>NA</v>
      </c>
      <c r="AD837" s="10" t="str">
        <f t="shared" si="671"/>
        <v>NA</v>
      </c>
      <c r="AE837" s="10" t="str">
        <f t="shared" si="672"/>
        <v>NA</v>
      </c>
      <c r="AF837" s="1" t="s">
        <v>3165</v>
      </c>
    </row>
    <row r="838" spans="1:32" x14ac:dyDescent="0.2">
      <c r="A838" s="1" t="s">
        <v>13</v>
      </c>
      <c r="B838" s="1" t="s">
        <v>5</v>
      </c>
      <c r="C838" s="1" t="s">
        <v>3167</v>
      </c>
      <c r="D838" s="1" t="s">
        <v>1597</v>
      </c>
      <c r="E838" s="1" t="s">
        <v>3028</v>
      </c>
      <c r="F838" s="1" t="s">
        <v>14</v>
      </c>
      <c r="G838" s="4">
        <v>1</v>
      </c>
      <c r="H838" s="28">
        <v>41354</v>
      </c>
      <c r="I838" s="29">
        <f t="shared" si="758"/>
        <v>2013</v>
      </c>
      <c r="J838" s="1" t="s">
        <v>2219</v>
      </c>
      <c r="K838" s="1" t="s">
        <v>7</v>
      </c>
      <c r="L838" s="11" t="str">
        <f t="shared" si="56"/>
        <v>НЕТ</v>
      </c>
      <c r="M838" s="10" t="s">
        <v>1575</v>
      </c>
      <c r="N838" s="10" t="s">
        <v>1575</v>
      </c>
      <c r="O838" s="10">
        <v>1767</v>
      </c>
      <c r="P838" s="10">
        <f t="shared" si="759"/>
        <v>1767</v>
      </c>
      <c r="Q838" s="10">
        <f t="shared" si="760"/>
        <v>2210</v>
      </c>
      <c r="R838" s="10" t="s">
        <v>1575</v>
      </c>
      <c r="S838" s="10" t="s">
        <v>1575</v>
      </c>
      <c r="T838" s="10" t="s">
        <v>1575</v>
      </c>
      <c r="U838" s="10" t="s">
        <v>1575</v>
      </c>
      <c r="V838" s="10">
        <v>2046</v>
      </c>
      <c r="W838" s="10">
        <f>595+31-178-5</f>
        <v>443</v>
      </c>
      <c r="X838" s="10">
        <f t="shared" si="665"/>
        <v>2489</v>
      </c>
      <c r="Y838" s="10" t="str">
        <f t="shared" si="666"/>
        <v>NA</v>
      </c>
      <c r="Z838" s="10" t="str">
        <f t="shared" si="667"/>
        <v>NA</v>
      </c>
      <c r="AA838" s="10">
        <f t="shared" si="668"/>
        <v>0.86363636363636365</v>
      </c>
      <c r="AB838" s="10" t="str">
        <f t="shared" si="669"/>
        <v>NA</v>
      </c>
      <c r="AC838" s="10" t="str">
        <f t="shared" si="670"/>
        <v>NA</v>
      </c>
      <c r="AD838" s="10" t="str">
        <f t="shared" si="671"/>
        <v>NA</v>
      </c>
      <c r="AE838" s="10">
        <f t="shared" si="672"/>
        <v>0.88790678987545202</v>
      </c>
      <c r="AF838" s="1" t="s">
        <v>3166</v>
      </c>
    </row>
    <row r="839" spans="1:32" x14ac:dyDescent="0.2">
      <c r="A839" s="1" t="s">
        <v>5707</v>
      </c>
      <c r="B839" s="1" t="s">
        <v>5</v>
      </c>
      <c r="C839" s="1" t="s">
        <v>1575</v>
      </c>
      <c r="D839" s="1" t="s">
        <v>1597</v>
      </c>
      <c r="E839" s="1" t="s">
        <v>1699</v>
      </c>
      <c r="F839" s="1" t="s">
        <v>9</v>
      </c>
      <c r="G839" s="4">
        <v>1</v>
      </c>
      <c r="H839" s="28">
        <v>41425</v>
      </c>
      <c r="I839" s="29">
        <f t="shared" si="758"/>
        <v>2013</v>
      </c>
      <c r="J839" s="1" t="s">
        <v>2219</v>
      </c>
      <c r="K839" s="1" t="s">
        <v>7</v>
      </c>
      <c r="L839" s="11" t="str">
        <f t="shared" si="56"/>
        <v>НЕТ</v>
      </c>
      <c r="M839" s="10" t="s">
        <v>1575</v>
      </c>
      <c r="N839" s="10" t="s">
        <v>1575</v>
      </c>
      <c r="O839" s="10">
        <v>6</v>
      </c>
      <c r="P839" s="10">
        <f t="shared" si="759"/>
        <v>6</v>
      </c>
      <c r="Q839" s="10">
        <f t="shared" si="760"/>
        <v>6</v>
      </c>
      <c r="R839" s="10" t="s">
        <v>1575</v>
      </c>
      <c r="S839" s="10" t="s">
        <v>1575</v>
      </c>
      <c r="T839" s="10" t="s">
        <v>1575</v>
      </c>
      <c r="U839" s="10" t="s">
        <v>1575</v>
      </c>
      <c r="V839" s="10">
        <v>1</v>
      </c>
      <c r="W839" s="10">
        <v>0</v>
      </c>
      <c r="X839" s="10">
        <f t="shared" si="665"/>
        <v>1</v>
      </c>
      <c r="Y839" s="10" t="str">
        <f t="shared" si="666"/>
        <v>NA</v>
      </c>
      <c r="Z839" s="10" t="str">
        <f t="shared" si="667"/>
        <v>NA</v>
      </c>
      <c r="AA839" s="10">
        <f t="shared" si="668"/>
        <v>6</v>
      </c>
      <c r="AB839" s="10" t="str">
        <f t="shared" si="669"/>
        <v>NA</v>
      </c>
      <c r="AC839" s="10" t="str">
        <f t="shared" si="670"/>
        <v>NA</v>
      </c>
      <c r="AD839" s="10" t="str">
        <f t="shared" si="671"/>
        <v>NA</v>
      </c>
      <c r="AE839" s="10">
        <f t="shared" si="672"/>
        <v>6</v>
      </c>
      <c r="AF839" s="1" t="s">
        <v>3168</v>
      </c>
    </row>
    <row r="840" spans="1:32" x14ac:dyDescent="0.2">
      <c r="A840" s="1" t="s">
        <v>5708</v>
      </c>
      <c r="B840" s="1" t="s">
        <v>5</v>
      </c>
      <c r="C840" s="1" t="s">
        <v>1575</v>
      </c>
      <c r="D840" s="1" t="s">
        <v>1597</v>
      </c>
      <c r="E840" s="1" t="s">
        <v>1662</v>
      </c>
      <c r="F840" s="1" t="s">
        <v>15</v>
      </c>
      <c r="G840" s="4">
        <v>0.49</v>
      </c>
      <c r="H840" s="28">
        <v>41457</v>
      </c>
      <c r="I840" s="29">
        <f t="shared" si="758"/>
        <v>2013</v>
      </c>
      <c r="J840" s="1" t="s">
        <v>2219</v>
      </c>
      <c r="K840" s="1" t="s">
        <v>7</v>
      </c>
      <c r="L840" s="11" t="str">
        <f t="shared" si="56"/>
        <v>НЕТ</v>
      </c>
      <c r="M840" s="10" t="s">
        <v>1575</v>
      </c>
      <c r="N840" s="10" t="s">
        <v>1575</v>
      </c>
      <c r="O840" s="10">
        <v>95</v>
      </c>
      <c r="P840" s="10">
        <f t="shared" si="759"/>
        <v>193.87755102040816</v>
      </c>
      <c r="Q840" s="10">
        <f t="shared" si="760"/>
        <v>230.87755102040816</v>
      </c>
      <c r="R840" s="10" t="s">
        <v>1575</v>
      </c>
      <c r="S840" s="10" t="s">
        <v>1575</v>
      </c>
      <c r="T840" s="10" t="s">
        <v>1575</v>
      </c>
      <c r="U840" s="10" t="s">
        <v>1575</v>
      </c>
      <c r="V840" s="10">
        <v>182</v>
      </c>
      <c r="W840" s="10">
        <f>26+12-1</f>
        <v>37</v>
      </c>
      <c r="X840" s="10">
        <f t="shared" si="665"/>
        <v>219</v>
      </c>
      <c r="Y840" s="10" t="str">
        <f t="shared" si="666"/>
        <v>NA</v>
      </c>
      <c r="Z840" s="10" t="str">
        <f t="shared" si="667"/>
        <v>NA</v>
      </c>
      <c r="AA840" s="10">
        <f t="shared" si="668"/>
        <v>1.065261269342902</v>
      </c>
      <c r="AB840" s="10" t="str">
        <f t="shared" si="669"/>
        <v>NA</v>
      </c>
      <c r="AC840" s="10" t="str">
        <f t="shared" si="670"/>
        <v>NA</v>
      </c>
      <c r="AD840" s="10" t="str">
        <f t="shared" si="671"/>
        <v>NA</v>
      </c>
      <c r="AE840" s="10">
        <f t="shared" si="672"/>
        <v>1.0542353927872519</v>
      </c>
      <c r="AF840" s="1" t="s">
        <v>3169</v>
      </c>
    </row>
    <row r="841" spans="1:32" x14ac:dyDescent="0.2">
      <c r="A841" s="1" t="s">
        <v>5709</v>
      </c>
      <c r="B841" s="1" t="s">
        <v>5</v>
      </c>
      <c r="C841" s="1" t="s">
        <v>1575</v>
      </c>
      <c r="D841" s="1" t="s">
        <v>1597</v>
      </c>
      <c r="E841" s="1" t="s">
        <v>1699</v>
      </c>
      <c r="F841" s="1" t="s">
        <v>2224</v>
      </c>
      <c r="G841" s="4">
        <v>0.5</v>
      </c>
      <c r="H841" s="28">
        <v>41547</v>
      </c>
      <c r="I841" s="29">
        <f t="shared" si="758"/>
        <v>2013</v>
      </c>
      <c r="J841" s="1" t="s">
        <v>2219</v>
      </c>
      <c r="K841" s="1" t="s">
        <v>7</v>
      </c>
      <c r="L841" s="11" t="str">
        <f t="shared" si="56"/>
        <v>НЕТ</v>
      </c>
      <c r="M841" s="10">
        <v>300</v>
      </c>
      <c r="N841" s="10" t="s">
        <v>1575</v>
      </c>
      <c r="O841" s="10">
        <v>9.6999999999999993</v>
      </c>
      <c r="P841" s="10">
        <f t="shared" si="759"/>
        <v>19.399999999999999</v>
      </c>
      <c r="Q841" s="10">
        <f t="shared" si="760"/>
        <v>18.399999999999999</v>
      </c>
      <c r="R841" s="10" t="s">
        <v>1575</v>
      </c>
      <c r="S841" s="10" t="s">
        <v>1575</v>
      </c>
      <c r="T841" s="10" t="s">
        <v>1575</v>
      </c>
      <c r="U841" s="10" t="s">
        <v>1575</v>
      </c>
      <c r="V841" s="10">
        <v>6</v>
      </c>
      <c r="W841" s="10">
        <f>2-3</f>
        <v>-1</v>
      </c>
      <c r="X841" s="10">
        <f t="shared" si="665"/>
        <v>5</v>
      </c>
      <c r="Y841" s="10" t="str">
        <f t="shared" si="666"/>
        <v>NA</v>
      </c>
      <c r="Z841" s="10" t="str">
        <f t="shared" si="667"/>
        <v>NA</v>
      </c>
      <c r="AA841" s="10">
        <f t="shared" si="668"/>
        <v>3.2333333333333329</v>
      </c>
      <c r="AB841" s="10" t="str">
        <f t="shared" si="669"/>
        <v>NA</v>
      </c>
      <c r="AC841" s="10" t="str">
        <f t="shared" si="670"/>
        <v>NA</v>
      </c>
      <c r="AD841" s="10" t="str">
        <f t="shared" si="671"/>
        <v>NA</v>
      </c>
      <c r="AE841" s="10">
        <f t="shared" si="672"/>
        <v>3.6799999999999997</v>
      </c>
      <c r="AF841" s="1" t="s">
        <v>3170</v>
      </c>
    </row>
    <row r="842" spans="1:32" x14ac:dyDescent="0.2">
      <c r="A842" s="1" t="s">
        <v>5710</v>
      </c>
      <c r="B842" s="1" t="s">
        <v>5</v>
      </c>
      <c r="C842" s="1" t="s">
        <v>1575</v>
      </c>
      <c r="D842" s="1" t="s">
        <v>1597</v>
      </c>
      <c r="E842" s="1" t="s">
        <v>1660</v>
      </c>
      <c r="F842" s="1" t="s">
        <v>16</v>
      </c>
      <c r="G842" s="4">
        <v>0.65</v>
      </c>
      <c r="H842" s="28">
        <v>41578</v>
      </c>
      <c r="I842" s="29">
        <f t="shared" si="758"/>
        <v>2013</v>
      </c>
      <c r="J842" s="1" t="s">
        <v>2219</v>
      </c>
      <c r="K842" s="1" t="s">
        <v>7</v>
      </c>
      <c r="L842" s="11" t="str">
        <f t="shared" si="56"/>
        <v>НЕТ</v>
      </c>
      <c r="M842" s="10">
        <v>3193</v>
      </c>
      <c r="N842" s="10" t="s">
        <v>1575</v>
      </c>
      <c r="O842" s="10">
        <v>101</v>
      </c>
      <c r="P842" s="10">
        <f t="shared" si="759"/>
        <v>155.38461538461539</v>
      </c>
      <c r="Q842" s="10">
        <f t="shared" si="760"/>
        <v>179.38461538461539</v>
      </c>
      <c r="R842" s="10">
        <v>0</v>
      </c>
      <c r="S842" s="10" t="s">
        <v>1575</v>
      </c>
      <c r="T842" s="10">
        <v>0</v>
      </c>
      <c r="U842" s="10">
        <v>23</v>
      </c>
      <c r="V842" s="10">
        <v>120</v>
      </c>
      <c r="W842" s="10">
        <f>24-0</f>
        <v>24</v>
      </c>
      <c r="X842" s="10">
        <f t="shared" si="665"/>
        <v>144</v>
      </c>
      <c r="Y842" s="10" t="str">
        <f t="shared" si="666"/>
        <v>NA</v>
      </c>
      <c r="Z842" s="10">
        <f t="shared" si="667"/>
        <v>6.7558528428093645</v>
      </c>
      <c r="AA842" s="10">
        <f t="shared" si="668"/>
        <v>1.2948717948717949</v>
      </c>
      <c r="AB842" s="10" t="str">
        <f t="shared" si="669"/>
        <v>NA</v>
      </c>
      <c r="AC842" s="10" t="str">
        <f t="shared" si="670"/>
        <v>NA</v>
      </c>
      <c r="AD842" s="10" t="str">
        <f t="shared" si="671"/>
        <v>NA</v>
      </c>
      <c r="AE842" s="10">
        <f t="shared" si="672"/>
        <v>1.2457264957264957</v>
      </c>
      <c r="AF842" s="1" t="s">
        <v>3171</v>
      </c>
    </row>
    <row r="843" spans="1:32" x14ac:dyDescent="0.2">
      <c r="A843" s="1" t="s">
        <v>5711</v>
      </c>
      <c r="B843" s="1" t="s">
        <v>5</v>
      </c>
      <c r="C843" s="1" t="s">
        <v>1575</v>
      </c>
      <c r="D843" s="1" t="s">
        <v>1597</v>
      </c>
      <c r="E843" s="1" t="s">
        <v>1660</v>
      </c>
      <c r="F843" s="1" t="s">
        <v>16</v>
      </c>
      <c r="G843" s="4">
        <v>1</v>
      </c>
      <c r="H843" s="28">
        <v>41628</v>
      </c>
      <c r="I843" s="29">
        <f t="shared" si="758"/>
        <v>2013</v>
      </c>
      <c r="J843" s="1" t="s">
        <v>2219</v>
      </c>
      <c r="K843" s="1" t="s">
        <v>5712</v>
      </c>
      <c r="L843" s="11" t="str">
        <f t="shared" si="56"/>
        <v>НЕТ</v>
      </c>
      <c r="M843" s="10" t="s">
        <v>1575</v>
      </c>
      <c r="N843" s="10" t="s">
        <v>1575</v>
      </c>
      <c r="O843" s="10">
        <v>115</v>
      </c>
      <c r="P843" s="10">
        <f t="shared" si="759"/>
        <v>115</v>
      </c>
      <c r="Q843" s="10">
        <f t="shared" si="760"/>
        <v>117</v>
      </c>
      <c r="R843" s="10">
        <v>0</v>
      </c>
      <c r="S843" s="10" t="s">
        <v>1575</v>
      </c>
      <c r="T843" s="10">
        <v>0</v>
      </c>
      <c r="U843" s="10">
        <v>-19</v>
      </c>
      <c r="V843" s="10">
        <v>100</v>
      </c>
      <c r="W843" s="10">
        <f>4-2</f>
        <v>2</v>
      </c>
      <c r="X843" s="10">
        <f t="shared" si="665"/>
        <v>102</v>
      </c>
      <c r="Y843" s="10" t="str">
        <f t="shared" si="666"/>
        <v>NA</v>
      </c>
      <c r="Z843" s="10">
        <f t="shared" si="667"/>
        <v>-6.0526315789473681</v>
      </c>
      <c r="AA843" s="10">
        <f t="shared" si="668"/>
        <v>1.1499999999999999</v>
      </c>
      <c r="AB843" s="10" t="str">
        <f t="shared" si="669"/>
        <v>NA</v>
      </c>
      <c r="AC843" s="10" t="str">
        <f t="shared" si="670"/>
        <v>NA</v>
      </c>
      <c r="AD843" s="10" t="str">
        <f t="shared" si="671"/>
        <v>NA</v>
      </c>
      <c r="AE843" s="10">
        <f t="shared" si="672"/>
        <v>1.1470588235294117</v>
      </c>
      <c r="AF843" s="1" t="s">
        <v>3172</v>
      </c>
    </row>
    <row r="844" spans="1:32" x14ac:dyDescent="0.2">
      <c r="A844" s="1" t="s">
        <v>5704</v>
      </c>
      <c r="B844" s="1" t="s">
        <v>5</v>
      </c>
      <c r="C844" s="1" t="s">
        <v>1575</v>
      </c>
      <c r="D844" s="1" t="s">
        <v>1597</v>
      </c>
      <c r="E844" s="1" t="s">
        <v>1660</v>
      </c>
      <c r="F844" s="1" t="s">
        <v>16</v>
      </c>
      <c r="G844" s="4">
        <v>0.2</v>
      </c>
      <c r="H844" s="28">
        <v>41305</v>
      </c>
      <c r="I844" s="29">
        <f t="shared" si="758"/>
        <v>2013</v>
      </c>
      <c r="J844" s="1" t="s">
        <v>2219</v>
      </c>
      <c r="K844" s="1" t="s">
        <v>7</v>
      </c>
      <c r="L844" s="11" t="str">
        <f t="shared" si="56"/>
        <v>НЕТ</v>
      </c>
      <c r="M844" s="10" t="s">
        <v>1575</v>
      </c>
      <c r="N844" s="10" t="s">
        <v>1575</v>
      </c>
      <c r="O844" s="10">
        <v>6</v>
      </c>
      <c r="P844" s="10">
        <f t="shared" si="759"/>
        <v>30</v>
      </c>
      <c r="Q844" s="10" t="str">
        <f t="shared" si="760"/>
        <v>NA</v>
      </c>
      <c r="R844" s="10" t="s">
        <v>1575</v>
      </c>
      <c r="S844" s="10" t="s">
        <v>1575</v>
      </c>
      <c r="T844" s="10" t="s">
        <v>1575</v>
      </c>
      <c r="U844" s="10" t="s">
        <v>1575</v>
      </c>
      <c r="V844" s="10" t="s">
        <v>1575</v>
      </c>
      <c r="W844" s="10" t="s">
        <v>1575</v>
      </c>
      <c r="X844" s="10" t="str">
        <f t="shared" si="665"/>
        <v>NA</v>
      </c>
      <c r="Y844" s="10" t="str">
        <f t="shared" si="666"/>
        <v>NA</v>
      </c>
      <c r="Z844" s="10" t="str">
        <f t="shared" si="667"/>
        <v>NA</v>
      </c>
      <c r="AA844" s="10" t="str">
        <f t="shared" si="668"/>
        <v>NA</v>
      </c>
      <c r="AB844" s="10" t="str">
        <f t="shared" si="669"/>
        <v>NA</v>
      </c>
      <c r="AC844" s="10" t="str">
        <f t="shared" si="670"/>
        <v>NA</v>
      </c>
      <c r="AD844" s="10" t="str">
        <f t="shared" si="671"/>
        <v>NA</v>
      </c>
      <c r="AE844" s="10" t="str">
        <f t="shared" si="672"/>
        <v>NA</v>
      </c>
      <c r="AF844" s="1" t="s">
        <v>3157</v>
      </c>
    </row>
    <row r="845" spans="1:32" x14ac:dyDescent="0.2">
      <c r="A845" s="1" t="s">
        <v>5713</v>
      </c>
      <c r="B845" s="1" t="s">
        <v>5</v>
      </c>
      <c r="C845" s="1" t="s">
        <v>3173</v>
      </c>
      <c r="D845" s="1" t="s">
        <v>1597</v>
      </c>
      <c r="E845" s="1" t="s">
        <v>3028</v>
      </c>
      <c r="F845" s="1" t="s">
        <v>14</v>
      </c>
      <c r="G845" s="4">
        <v>9.9900000000000003E-2</v>
      </c>
      <c r="H845" s="28">
        <v>41547</v>
      </c>
      <c r="I845" s="29">
        <f t="shared" si="758"/>
        <v>2013</v>
      </c>
      <c r="J845" s="1" t="s">
        <v>7</v>
      </c>
      <c r="K845" s="1" t="s">
        <v>2219</v>
      </c>
      <c r="L845" s="11" t="str">
        <f t="shared" ref="L845" si="761">IF(OR(A845=J845,A845=K845),"ДА","НЕТ")</f>
        <v>НЕТ</v>
      </c>
      <c r="M845" s="10" t="s">
        <v>1575</v>
      </c>
      <c r="N845" s="10" t="s">
        <v>1575</v>
      </c>
      <c r="O845" s="10">
        <v>97</v>
      </c>
      <c r="P845" s="10">
        <f t="shared" si="759"/>
        <v>970.97097097097094</v>
      </c>
      <c r="Q845" s="10">
        <f t="shared" si="760"/>
        <v>962.97097097097094</v>
      </c>
      <c r="R845" s="10">
        <v>1723</v>
      </c>
      <c r="S845" s="10">
        <v>409</v>
      </c>
      <c r="T845" s="10">
        <v>343</v>
      </c>
      <c r="U845" s="10">
        <v>280</v>
      </c>
      <c r="V845" s="10">
        <v>898</v>
      </c>
      <c r="W845" s="10">
        <v>-8</v>
      </c>
      <c r="X845" s="10">
        <f t="shared" ref="X845:X908" si="762">IFERROR(V845+W845,"NA")</f>
        <v>890</v>
      </c>
      <c r="Y845" s="10">
        <f t="shared" ref="Y845:Y908" si="763">IFERROR(P845/R845,"NA")</f>
        <v>0.56353509632673882</v>
      </c>
      <c r="Z845" s="10">
        <f t="shared" ref="Z845:Z908" si="764">IFERROR(P845/U845,"NA")</f>
        <v>3.4677534677534676</v>
      </c>
      <c r="AA845" s="10">
        <f t="shared" ref="AA845:AA908" si="765">IFERROR(P845/V845,"NA")</f>
        <v>1.0812594331525289</v>
      </c>
      <c r="AB845" s="10">
        <f t="shared" ref="AB845:AB908" si="766">IFERROR(Q845/R845,"NA")</f>
        <v>0.55889203190421988</v>
      </c>
      <c r="AC845" s="10">
        <f t="shared" ref="AC845:AC908" si="767">IFERROR(Q845/S845,"NA")</f>
        <v>2.3544522517627651</v>
      </c>
      <c r="AD845" s="10">
        <f t="shared" ref="AD845:AD908" si="768">IFERROR(Q845/T845,"NA")</f>
        <v>2.8074955421894194</v>
      </c>
      <c r="AE845" s="10">
        <f t="shared" ref="AE845:AE908" si="769">IFERROR(Q845/X845,"NA")</f>
        <v>1.0819898550235629</v>
      </c>
      <c r="AF845" s="1" t="s">
        <v>3174</v>
      </c>
    </row>
    <row r="846" spans="1:32" x14ac:dyDescent="0.2">
      <c r="A846" s="1" t="s">
        <v>5713</v>
      </c>
      <c r="B846" s="1" t="s">
        <v>5</v>
      </c>
      <c r="C846" s="1" t="s">
        <v>3173</v>
      </c>
      <c r="D846" s="1" t="s">
        <v>1597</v>
      </c>
      <c r="E846" s="1" t="s">
        <v>3028</v>
      </c>
      <c r="F846" s="1" t="s">
        <v>14</v>
      </c>
      <c r="G846" s="4">
        <v>0.14879999999999999</v>
      </c>
      <c r="H846" s="28">
        <v>41584</v>
      </c>
      <c r="I846" s="29">
        <f t="shared" si="758"/>
        <v>2013</v>
      </c>
      <c r="J846" s="1" t="s">
        <v>2219</v>
      </c>
      <c r="K846" s="1" t="s">
        <v>7</v>
      </c>
      <c r="L846" s="11" t="str">
        <f t="shared" ref="L846:L847" si="770">IF(OR(A846=J846,A846=K846),"ДА","НЕТ")</f>
        <v>НЕТ</v>
      </c>
      <c r="M846" s="10">
        <f>(1873812294*2.07+424213339*1.7)/10^6</f>
        <v>4599.9541248800006</v>
      </c>
      <c r="N846" s="10" t="s">
        <v>1575</v>
      </c>
      <c r="O846" s="10">
        <f>(1873812294*67+424213339*55)/10^9</f>
        <v>148.87715734299999</v>
      </c>
      <c r="P846" s="10">
        <f t="shared" si="759"/>
        <v>1000.5185305309141</v>
      </c>
      <c r="Q846" s="10">
        <f t="shared" si="760"/>
        <v>992.51853053091406</v>
      </c>
      <c r="R846" s="10">
        <v>1723</v>
      </c>
      <c r="S846" s="10">
        <v>409</v>
      </c>
      <c r="T846" s="10">
        <v>343</v>
      </c>
      <c r="U846" s="10">
        <v>280</v>
      </c>
      <c r="V846" s="10">
        <v>898</v>
      </c>
      <c r="W846" s="10">
        <v>-8</v>
      </c>
      <c r="X846" s="10">
        <f t="shared" si="762"/>
        <v>890</v>
      </c>
      <c r="Y846" s="10">
        <f t="shared" si="763"/>
        <v>0.58068399914736746</v>
      </c>
      <c r="Z846" s="10">
        <f t="shared" si="764"/>
        <v>3.5732804661818358</v>
      </c>
      <c r="AA846" s="10">
        <f t="shared" si="765"/>
        <v>1.1141631743105946</v>
      </c>
      <c r="AB846" s="10">
        <f t="shared" si="766"/>
        <v>0.57604093472484852</v>
      </c>
      <c r="AC846" s="10">
        <f t="shared" si="767"/>
        <v>2.4266956736697165</v>
      </c>
      <c r="AD846" s="10">
        <f t="shared" si="768"/>
        <v>2.8936400307023735</v>
      </c>
      <c r="AE846" s="10">
        <f t="shared" si="769"/>
        <v>1.1151893601470944</v>
      </c>
      <c r="AF846" s="1" t="s">
        <v>3175</v>
      </c>
    </row>
    <row r="847" spans="1:32" x14ac:dyDescent="0.2">
      <c r="A847" s="1" t="s">
        <v>2219</v>
      </c>
      <c r="B847" s="1" t="s">
        <v>5</v>
      </c>
      <c r="C847" s="1" t="s">
        <v>3125</v>
      </c>
      <c r="D847" s="1" t="s">
        <v>1597</v>
      </c>
      <c r="E847" s="1" t="s">
        <v>3028</v>
      </c>
      <c r="F847" s="1" t="s">
        <v>14</v>
      </c>
      <c r="G847" s="4">
        <f>28513639/10598177817</f>
        <v>2.6904284389588856E-3</v>
      </c>
      <c r="H847" s="28">
        <v>41243</v>
      </c>
      <c r="I847" s="29">
        <f t="shared" si="758"/>
        <v>2012</v>
      </c>
      <c r="J847" s="1" t="s">
        <v>2219</v>
      </c>
      <c r="K847" s="1" t="s">
        <v>7</v>
      </c>
      <c r="L847" s="11" t="str">
        <f t="shared" si="770"/>
        <v>ДА</v>
      </c>
      <c r="M847" s="10" t="s">
        <v>1575</v>
      </c>
      <c r="N847" s="10" t="s">
        <v>1575</v>
      </c>
      <c r="O847" s="10">
        <f>28513639*249/10^9</f>
        <v>7.0998961109999996</v>
      </c>
      <c r="P847" s="10">
        <f t="shared" si="759"/>
        <v>2638.9462764329996</v>
      </c>
      <c r="Q847" s="10">
        <f t="shared" si="760"/>
        <v>3233.9462764329996</v>
      </c>
      <c r="R847" s="10">
        <v>2718</v>
      </c>
      <c r="S847" s="10">
        <v>639</v>
      </c>
      <c r="T847" s="10">
        <v>446</v>
      </c>
      <c r="U847" s="10">
        <v>335</v>
      </c>
      <c r="V847" s="10">
        <v>2104</v>
      </c>
      <c r="W847" s="10">
        <v>595</v>
      </c>
      <c r="X847" s="10">
        <f t="shared" si="762"/>
        <v>2699</v>
      </c>
      <c r="Y847" s="10">
        <f t="shared" si="763"/>
        <v>0.97091474482450313</v>
      </c>
      <c r="Z847" s="10">
        <f t="shared" si="764"/>
        <v>7.8774515714417896</v>
      </c>
      <c r="AA847" s="10">
        <f t="shared" si="765"/>
        <v>1.25425203252519</v>
      </c>
      <c r="AB847" s="10">
        <f t="shared" si="766"/>
        <v>1.1898257087685797</v>
      </c>
      <c r="AC847" s="10">
        <f t="shared" si="767"/>
        <v>5.0609487894100154</v>
      </c>
      <c r="AD847" s="10">
        <f t="shared" si="768"/>
        <v>7.2510006198049322</v>
      </c>
      <c r="AE847" s="10">
        <f t="shared" si="769"/>
        <v>1.1982016585524267</v>
      </c>
      <c r="AF847" s="1" t="s">
        <v>3191</v>
      </c>
    </row>
    <row r="848" spans="1:32" x14ac:dyDescent="0.2">
      <c r="A848" s="1" t="s">
        <v>2219</v>
      </c>
      <c r="B848" s="1" t="s">
        <v>5</v>
      </c>
      <c r="C848" s="1" t="s">
        <v>3125</v>
      </c>
      <c r="D848" s="1" t="s">
        <v>1597</v>
      </c>
      <c r="E848" s="1" t="s">
        <v>3028</v>
      </c>
      <c r="F848" s="1" t="s">
        <v>14</v>
      </c>
      <c r="G848" s="4">
        <f>321963949/10598177817</f>
        <v>3.0379179757066724E-2</v>
      </c>
      <c r="H848" s="28">
        <v>41090</v>
      </c>
      <c r="I848" s="29">
        <f t="shared" si="758"/>
        <v>2012</v>
      </c>
      <c r="J848" s="1" t="s">
        <v>2219</v>
      </c>
      <c r="K848" s="1" t="s">
        <v>7</v>
      </c>
      <c r="L848" s="11" t="str">
        <f t="shared" ref="L848" si="771">IF(OR(A848=J848,A848=K848),"ДА","НЕТ")</f>
        <v>ДА</v>
      </c>
      <c r="M848" s="10" t="s">
        <v>1575</v>
      </c>
      <c r="N848" s="10" t="s">
        <v>1575</v>
      </c>
      <c r="O848" s="10">
        <f>321963949*212/10^9</f>
        <v>68.256357187999996</v>
      </c>
      <c r="P848" s="10">
        <f t="shared" si="759"/>
        <v>2246.8136972039997</v>
      </c>
      <c r="Q848" s="10">
        <f t="shared" si="760"/>
        <v>2841.8136972039997</v>
      </c>
      <c r="R848" s="10">
        <v>2718</v>
      </c>
      <c r="S848" s="10">
        <v>639</v>
      </c>
      <c r="T848" s="10">
        <v>446</v>
      </c>
      <c r="U848" s="10">
        <v>335</v>
      </c>
      <c r="V848" s="10">
        <v>2104</v>
      </c>
      <c r="W848" s="10">
        <v>595</v>
      </c>
      <c r="X848" s="10">
        <f t="shared" si="762"/>
        <v>2699</v>
      </c>
      <c r="Y848" s="10">
        <f t="shared" si="763"/>
        <v>0.82664227270198665</v>
      </c>
      <c r="Z848" s="10">
        <f t="shared" si="764"/>
        <v>6.7069065588179093</v>
      </c>
      <c r="AA848" s="10">
        <f t="shared" si="765"/>
        <v>1.0678772325114068</v>
      </c>
      <c r="AB848" s="10">
        <f t="shared" si="766"/>
        <v>1.0455532366460631</v>
      </c>
      <c r="AC848" s="10">
        <f t="shared" si="767"/>
        <v>4.4472827812269164</v>
      </c>
      <c r="AD848" s="10">
        <f t="shared" si="768"/>
        <v>6.3717795901434968</v>
      </c>
      <c r="AE848" s="10">
        <f t="shared" si="769"/>
        <v>1.0529135595420525</v>
      </c>
      <c r="AF848" s="1" t="s">
        <v>3192</v>
      </c>
    </row>
    <row r="849" spans="1:32" x14ac:dyDescent="0.2">
      <c r="A849" s="1" t="s">
        <v>626</v>
      </c>
      <c r="B849" s="1" t="s">
        <v>5</v>
      </c>
      <c r="C849" s="1" t="s">
        <v>1575</v>
      </c>
      <c r="D849" s="1" t="s">
        <v>1597</v>
      </c>
      <c r="E849" s="1" t="s">
        <v>1699</v>
      </c>
      <c r="F849" s="1" t="s">
        <v>9</v>
      </c>
      <c r="G849" s="4">
        <v>0.5</v>
      </c>
      <c r="H849" s="28">
        <v>41029</v>
      </c>
      <c r="I849" s="29">
        <f t="shared" si="758"/>
        <v>2012</v>
      </c>
      <c r="J849" s="1" t="s">
        <v>2219</v>
      </c>
      <c r="K849" s="1" t="s">
        <v>7</v>
      </c>
      <c r="L849" s="11" t="str">
        <f t="shared" si="56"/>
        <v>НЕТ</v>
      </c>
      <c r="M849" s="10" t="s">
        <v>1575</v>
      </c>
      <c r="N849" s="10" t="s">
        <v>1575</v>
      </c>
      <c r="O849" s="10">
        <v>16</v>
      </c>
      <c r="P849" s="10">
        <f t="shared" si="759"/>
        <v>32</v>
      </c>
      <c r="Q849" s="10" t="str">
        <f t="shared" si="760"/>
        <v>NA</v>
      </c>
      <c r="R849" s="10" t="s">
        <v>1575</v>
      </c>
      <c r="S849" s="10" t="s">
        <v>1575</v>
      </c>
      <c r="T849" s="10" t="s">
        <v>1575</v>
      </c>
      <c r="U849" s="10" t="s">
        <v>1575</v>
      </c>
      <c r="V849" s="10" t="s">
        <v>1575</v>
      </c>
      <c r="W849" s="10" t="s">
        <v>1575</v>
      </c>
      <c r="X849" s="10" t="str">
        <f t="shared" si="762"/>
        <v>NA</v>
      </c>
      <c r="Y849" s="10" t="str">
        <f t="shared" si="763"/>
        <v>NA</v>
      </c>
      <c r="Z849" s="10" t="str">
        <f t="shared" si="764"/>
        <v>NA</v>
      </c>
      <c r="AA849" s="10" t="str">
        <f t="shared" si="765"/>
        <v>NA</v>
      </c>
      <c r="AB849" s="10" t="str">
        <f t="shared" si="766"/>
        <v>NA</v>
      </c>
      <c r="AC849" s="10" t="str">
        <f t="shared" si="767"/>
        <v>NA</v>
      </c>
      <c r="AD849" s="10" t="str">
        <f t="shared" si="768"/>
        <v>NA</v>
      </c>
      <c r="AE849" s="10" t="str">
        <f t="shared" si="769"/>
        <v>NA</v>
      </c>
      <c r="AF849" s="1" t="s">
        <v>3188</v>
      </c>
    </row>
    <row r="850" spans="1:32" x14ac:dyDescent="0.2">
      <c r="A850" s="1" t="s">
        <v>5710</v>
      </c>
      <c r="B850" s="1" t="s">
        <v>5</v>
      </c>
      <c r="C850" s="1" t="s">
        <v>1575</v>
      </c>
      <c r="D850" s="1" t="s">
        <v>1597</v>
      </c>
      <c r="E850" s="1" t="s">
        <v>1660</v>
      </c>
      <c r="F850" s="1" t="s">
        <v>16</v>
      </c>
      <c r="G850" s="4">
        <v>0.35299999999999998</v>
      </c>
      <c r="H850" s="28">
        <v>40999</v>
      </c>
      <c r="I850" s="29">
        <f t="shared" si="758"/>
        <v>2012</v>
      </c>
      <c r="J850" s="1" t="s">
        <v>2219</v>
      </c>
      <c r="K850" s="1" t="s">
        <v>5714</v>
      </c>
      <c r="L850" s="11" t="str">
        <f t="shared" si="56"/>
        <v>НЕТ</v>
      </c>
      <c r="M850" s="10" t="s">
        <v>1575</v>
      </c>
      <c r="N850" s="10" t="s">
        <v>1575</v>
      </c>
      <c r="O850" s="10">
        <v>13</v>
      </c>
      <c r="P850" s="10">
        <f t="shared" si="759"/>
        <v>36.827195467422101</v>
      </c>
      <c r="Q850" s="10" t="str">
        <f t="shared" si="760"/>
        <v>NA</v>
      </c>
      <c r="R850" s="10" t="s">
        <v>1575</v>
      </c>
      <c r="S850" s="10" t="s">
        <v>1575</v>
      </c>
      <c r="T850" s="10" t="s">
        <v>1575</v>
      </c>
      <c r="U850" s="10" t="s">
        <v>1575</v>
      </c>
      <c r="V850" s="10" t="s">
        <v>1575</v>
      </c>
      <c r="W850" s="10" t="s">
        <v>1575</v>
      </c>
      <c r="X850" s="10" t="str">
        <f t="shared" si="762"/>
        <v>NA</v>
      </c>
      <c r="Y850" s="10" t="str">
        <f t="shared" si="763"/>
        <v>NA</v>
      </c>
      <c r="Z850" s="10" t="str">
        <f t="shared" si="764"/>
        <v>NA</v>
      </c>
      <c r="AA850" s="10" t="str">
        <f t="shared" si="765"/>
        <v>NA</v>
      </c>
      <c r="AB850" s="10" t="str">
        <f t="shared" si="766"/>
        <v>NA</v>
      </c>
      <c r="AC850" s="10" t="str">
        <f t="shared" si="767"/>
        <v>NA</v>
      </c>
      <c r="AD850" s="10" t="str">
        <f t="shared" si="768"/>
        <v>NA</v>
      </c>
      <c r="AE850" s="10" t="str">
        <f t="shared" si="769"/>
        <v>NA</v>
      </c>
      <c r="AF850" s="1" t="s">
        <v>3189</v>
      </c>
    </row>
    <row r="851" spans="1:32" x14ac:dyDescent="0.2">
      <c r="A851" s="1" t="s">
        <v>5715</v>
      </c>
      <c r="B851" s="1" t="s">
        <v>5</v>
      </c>
      <c r="C851" s="1" t="s">
        <v>1575</v>
      </c>
      <c r="D851" s="1" t="s">
        <v>1597</v>
      </c>
      <c r="E851" s="1" t="s">
        <v>1660</v>
      </c>
      <c r="F851" s="1" t="s">
        <v>16</v>
      </c>
      <c r="G851" s="4">
        <v>0.5</v>
      </c>
      <c r="H851" s="28">
        <v>40967</v>
      </c>
      <c r="I851" s="29">
        <f t="shared" si="758"/>
        <v>2012</v>
      </c>
      <c r="J851" s="1" t="s">
        <v>2219</v>
      </c>
      <c r="K851" s="1" t="s">
        <v>7</v>
      </c>
      <c r="L851" s="11" t="str">
        <f t="shared" si="56"/>
        <v>НЕТ</v>
      </c>
      <c r="M851" s="10" t="s">
        <v>1575</v>
      </c>
      <c r="N851" s="10" t="s">
        <v>1575</v>
      </c>
      <c r="O851" s="10">
        <v>3</v>
      </c>
      <c r="P851" s="10">
        <f t="shared" si="759"/>
        <v>6</v>
      </c>
      <c r="Q851" s="10" t="str">
        <f t="shared" si="760"/>
        <v>NA</v>
      </c>
      <c r="R851" s="10" t="s">
        <v>1575</v>
      </c>
      <c r="S851" s="10" t="s">
        <v>1575</v>
      </c>
      <c r="T851" s="10" t="s">
        <v>1575</v>
      </c>
      <c r="U851" s="10" t="s">
        <v>1575</v>
      </c>
      <c r="V851" s="10" t="s">
        <v>1575</v>
      </c>
      <c r="W851" s="10" t="s">
        <v>1575</v>
      </c>
      <c r="X851" s="10" t="str">
        <f t="shared" si="762"/>
        <v>NA</v>
      </c>
      <c r="Y851" s="10" t="str">
        <f t="shared" si="763"/>
        <v>NA</v>
      </c>
      <c r="Z851" s="10" t="str">
        <f t="shared" si="764"/>
        <v>NA</v>
      </c>
      <c r="AA851" s="10" t="str">
        <f t="shared" si="765"/>
        <v>NA</v>
      </c>
      <c r="AB851" s="10" t="str">
        <f t="shared" si="766"/>
        <v>NA</v>
      </c>
      <c r="AC851" s="10" t="str">
        <f t="shared" si="767"/>
        <v>NA</v>
      </c>
      <c r="AD851" s="10" t="str">
        <f t="shared" si="768"/>
        <v>NA</v>
      </c>
      <c r="AE851" s="10" t="str">
        <f t="shared" si="769"/>
        <v>NA</v>
      </c>
      <c r="AF851" s="1" t="s">
        <v>3190</v>
      </c>
    </row>
    <row r="852" spans="1:32" x14ac:dyDescent="0.2">
      <c r="A852" s="1" t="s">
        <v>5716</v>
      </c>
      <c r="B852" s="1" t="s">
        <v>5</v>
      </c>
      <c r="C852" s="1" t="s">
        <v>1575</v>
      </c>
      <c r="D852" s="1" t="s">
        <v>1597</v>
      </c>
      <c r="E852" s="1" t="s">
        <v>3134</v>
      </c>
      <c r="F852" s="1" t="s">
        <v>3178</v>
      </c>
      <c r="G852" s="4">
        <v>1</v>
      </c>
      <c r="H852" s="28">
        <v>40967</v>
      </c>
      <c r="I852" s="29">
        <f t="shared" si="758"/>
        <v>2012</v>
      </c>
      <c r="J852" s="1" t="s">
        <v>2219</v>
      </c>
      <c r="K852" s="1" t="s">
        <v>7</v>
      </c>
      <c r="L852" s="11" t="str">
        <f t="shared" si="56"/>
        <v>НЕТ</v>
      </c>
      <c r="M852" s="10" t="s">
        <v>1575</v>
      </c>
      <c r="N852" s="10" t="s">
        <v>1575</v>
      </c>
      <c r="O852" s="10">
        <v>4</v>
      </c>
      <c r="P852" s="10">
        <f t="shared" si="759"/>
        <v>4</v>
      </c>
      <c r="Q852" s="10">
        <f t="shared" si="760"/>
        <v>5</v>
      </c>
      <c r="R852" s="10" t="s">
        <v>1575</v>
      </c>
      <c r="S852" s="10" t="s">
        <v>1575</v>
      </c>
      <c r="T852" s="10" t="s">
        <v>1575</v>
      </c>
      <c r="U852" s="10" t="s">
        <v>1575</v>
      </c>
      <c r="V852" s="10">
        <v>2</v>
      </c>
      <c r="W852" s="10">
        <f>1-0</f>
        <v>1</v>
      </c>
      <c r="X852" s="10">
        <f t="shared" si="762"/>
        <v>3</v>
      </c>
      <c r="Y852" s="10" t="str">
        <f t="shared" si="763"/>
        <v>NA</v>
      </c>
      <c r="Z852" s="10" t="str">
        <f t="shared" si="764"/>
        <v>NA</v>
      </c>
      <c r="AA852" s="10">
        <f t="shared" si="765"/>
        <v>2</v>
      </c>
      <c r="AB852" s="10" t="str">
        <f t="shared" si="766"/>
        <v>NA</v>
      </c>
      <c r="AC852" s="10" t="str">
        <f t="shared" si="767"/>
        <v>NA</v>
      </c>
      <c r="AD852" s="10" t="str">
        <f t="shared" si="768"/>
        <v>NA</v>
      </c>
      <c r="AE852" s="10">
        <f t="shared" si="769"/>
        <v>1.6666666666666667</v>
      </c>
      <c r="AF852" s="1" t="s">
        <v>3176</v>
      </c>
    </row>
    <row r="853" spans="1:32" x14ac:dyDescent="0.2">
      <c r="A853" s="1" t="s">
        <v>5717</v>
      </c>
      <c r="B853" s="1" t="s">
        <v>5</v>
      </c>
      <c r="C853" s="1" t="s">
        <v>1575</v>
      </c>
      <c r="D853" s="1" t="s">
        <v>1615</v>
      </c>
      <c r="E853" s="1" t="s">
        <v>1616</v>
      </c>
      <c r="F853" s="1" t="s">
        <v>3179</v>
      </c>
      <c r="G853" s="4">
        <v>1</v>
      </c>
      <c r="H853" s="28">
        <v>41090</v>
      </c>
      <c r="I853" s="29">
        <f t="shared" si="758"/>
        <v>2012</v>
      </c>
      <c r="J853" s="1" t="s">
        <v>2219</v>
      </c>
      <c r="K853" s="1" t="s">
        <v>7</v>
      </c>
      <c r="L853" s="11" t="str">
        <f t="shared" ref="L853:L932" si="772">IF(OR(A853=J853,A853=K853),"ДА","НЕТ")</f>
        <v>НЕТ</v>
      </c>
      <c r="M853" s="10" t="s">
        <v>1575</v>
      </c>
      <c r="N853" s="10" t="s">
        <v>1575</v>
      </c>
      <c r="O853" s="10">
        <v>1</v>
      </c>
      <c r="P853" s="10">
        <f t="shared" si="759"/>
        <v>1</v>
      </c>
      <c r="Q853" s="10" t="str">
        <f t="shared" si="760"/>
        <v>NA</v>
      </c>
      <c r="R853" s="10" t="s">
        <v>1575</v>
      </c>
      <c r="S853" s="10" t="s">
        <v>1575</v>
      </c>
      <c r="T853" s="10" t="s">
        <v>1575</v>
      </c>
      <c r="U853" s="10" t="s">
        <v>1575</v>
      </c>
      <c r="V853" s="10" t="s">
        <v>1575</v>
      </c>
      <c r="W853" s="10" t="s">
        <v>1575</v>
      </c>
      <c r="X853" s="10" t="str">
        <f t="shared" si="762"/>
        <v>NA</v>
      </c>
      <c r="Y853" s="10" t="str">
        <f t="shared" si="763"/>
        <v>NA</v>
      </c>
      <c r="Z853" s="10" t="str">
        <f t="shared" si="764"/>
        <v>NA</v>
      </c>
      <c r="AA853" s="10" t="str">
        <f t="shared" si="765"/>
        <v>NA</v>
      </c>
      <c r="AB853" s="10" t="str">
        <f t="shared" si="766"/>
        <v>NA</v>
      </c>
      <c r="AC853" s="10" t="str">
        <f t="shared" si="767"/>
        <v>NA</v>
      </c>
      <c r="AD853" s="10" t="str">
        <f t="shared" si="768"/>
        <v>NA</v>
      </c>
      <c r="AE853" s="10" t="str">
        <f t="shared" si="769"/>
        <v>NA</v>
      </c>
      <c r="AF853" s="1" t="s">
        <v>3177</v>
      </c>
    </row>
    <row r="854" spans="1:32" x14ac:dyDescent="0.2">
      <c r="A854" s="1" t="s">
        <v>5708</v>
      </c>
      <c r="B854" s="1" t="s">
        <v>5</v>
      </c>
      <c r="C854" s="1" t="s">
        <v>1575</v>
      </c>
      <c r="D854" s="1" t="s">
        <v>1597</v>
      </c>
      <c r="E854" s="1" t="s">
        <v>1662</v>
      </c>
      <c r="F854" s="1" t="s">
        <v>15</v>
      </c>
      <c r="G854" s="4">
        <v>0.51</v>
      </c>
      <c r="H854" s="28">
        <v>41152</v>
      </c>
      <c r="I854" s="29">
        <f t="shared" si="758"/>
        <v>2012</v>
      </c>
      <c r="J854" s="1" t="s">
        <v>2219</v>
      </c>
      <c r="K854" s="1" t="s">
        <v>7</v>
      </c>
      <c r="L854" s="11" t="str">
        <f t="shared" si="772"/>
        <v>НЕТ</v>
      </c>
      <c r="M854" s="10" t="s">
        <v>1575</v>
      </c>
      <c r="N854" s="10" t="s">
        <v>1575</v>
      </c>
      <c r="O854" s="10">
        <f>7+86</f>
        <v>93</v>
      </c>
      <c r="P854" s="10">
        <f t="shared" si="759"/>
        <v>182.35294117647058</v>
      </c>
      <c r="Q854" s="10" t="str">
        <f t="shared" si="760"/>
        <v>NA</v>
      </c>
      <c r="R854" s="10" t="s">
        <v>1575</v>
      </c>
      <c r="S854" s="10" t="s">
        <v>1575</v>
      </c>
      <c r="T854" s="10" t="s">
        <v>1575</v>
      </c>
      <c r="U854" s="10" t="s">
        <v>1575</v>
      </c>
      <c r="V854" s="10" t="s">
        <v>1575</v>
      </c>
      <c r="W854" s="10" t="s">
        <v>1575</v>
      </c>
      <c r="X854" s="10" t="str">
        <f t="shared" si="762"/>
        <v>NA</v>
      </c>
      <c r="Y854" s="10" t="str">
        <f t="shared" si="763"/>
        <v>NA</v>
      </c>
      <c r="Z854" s="10" t="str">
        <f t="shared" si="764"/>
        <v>NA</v>
      </c>
      <c r="AA854" s="10" t="str">
        <f t="shared" si="765"/>
        <v>NA</v>
      </c>
      <c r="AB854" s="10" t="str">
        <f t="shared" si="766"/>
        <v>NA</v>
      </c>
      <c r="AC854" s="10" t="str">
        <f t="shared" si="767"/>
        <v>NA</v>
      </c>
      <c r="AD854" s="10" t="str">
        <f t="shared" si="768"/>
        <v>NA</v>
      </c>
      <c r="AE854" s="10" t="str">
        <f t="shared" si="769"/>
        <v>NA</v>
      </c>
      <c r="AF854" s="1" t="s">
        <v>3183</v>
      </c>
    </row>
    <row r="855" spans="1:32" x14ac:dyDescent="0.2">
      <c r="A855" s="1" t="s">
        <v>2219</v>
      </c>
      <c r="B855" s="1" t="s">
        <v>5</v>
      </c>
      <c r="C855" s="1" t="s">
        <v>3125</v>
      </c>
      <c r="D855" s="1" t="s">
        <v>1597</v>
      </c>
      <c r="E855" s="1" t="s">
        <v>3028</v>
      </c>
      <c r="F855" s="1" t="s">
        <v>14</v>
      </c>
      <c r="G855" s="4">
        <f>11296701/10598177817</f>
        <v>1.0659097436428679E-3</v>
      </c>
      <c r="H855" s="28">
        <v>40663</v>
      </c>
      <c r="I855" s="29">
        <f t="shared" si="758"/>
        <v>2011</v>
      </c>
      <c r="J855" s="1" t="s">
        <v>2219</v>
      </c>
      <c r="K855" s="1" t="s">
        <v>7</v>
      </c>
      <c r="L855" s="11" t="str">
        <f t="shared" si="772"/>
        <v>ДА</v>
      </c>
      <c r="M855" s="10" t="s">
        <v>1575</v>
      </c>
      <c r="N855" s="10" t="s">
        <v>1575</v>
      </c>
      <c r="O855" s="10">
        <f>11296701*258/10^9</f>
        <v>2.9145488579999999</v>
      </c>
      <c r="P855" s="10">
        <f t="shared" si="759"/>
        <v>2734.3298767860001</v>
      </c>
      <c r="Q855" s="10">
        <f t="shared" si="760"/>
        <v>3334.3298767860001</v>
      </c>
      <c r="R855" s="10" t="s">
        <v>1575</v>
      </c>
      <c r="S855" s="10" t="s">
        <v>1575</v>
      </c>
      <c r="T855" s="10" t="s">
        <v>1575</v>
      </c>
      <c r="U855" s="10" t="s">
        <v>1575</v>
      </c>
      <c r="V855" s="10">
        <v>1791</v>
      </c>
      <c r="W855" s="10">
        <v>600</v>
      </c>
      <c r="X855" s="10">
        <f t="shared" si="762"/>
        <v>2391</v>
      </c>
      <c r="Y855" s="10" t="str">
        <f t="shared" si="763"/>
        <v>NA</v>
      </c>
      <c r="Z855" s="10" t="str">
        <f t="shared" si="764"/>
        <v>NA</v>
      </c>
      <c r="AA855" s="10">
        <f t="shared" si="765"/>
        <v>1.5267056821809046</v>
      </c>
      <c r="AB855" s="10" t="str">
        <f t="shared" si="766"/>
        <v>NA</v>
      </c>
      <c r="AC855" s="10" t="str">
        <f t="shared" si="767"/>
        <v>NA</v>
      </c>
      <c r="AD855" s="10" t="str">
        <f t="shared" si="768"/>
        <v>NA</v>
      </c>
      <c r="AE855" s="10">
        <f t="shared" si="769"/>
        <v>1.3945336163889586</v>
      </c>
      <c r="AF855" s="1" t="s">
        <v>3193</v>
      </c>
    </row>
    <row r="856" spans="1:32" x14ac:dyDescent="0.2">
      <c r="A856" s="1" t="s">
        <v>3185</v>
      </c>
      <c r="B856" s="1" t="s">
        <v>3186</v>
      </c>
      <c r="C856" s="1" t="s">
        <v>1575</v>
      </c>
      <c r="D856" s="1" t="s">
        <v>1597</v>
      </c>
      <c r="E856" s="1" t="s">
        <v>1699</v>
      </c>
      <c r="F856" s="1" t="s">
        <v>3187</v>
      </c>
      <c r="G856" s="4">
        <v>0.5</v>
      </c>
      <c r="H856" s="28">
        <v>40694</v>
      </c>
      <c r="I856" s="29">
        <f t="shared" si="758"/>
        <v>2011</v>
      </c>
      <c r="J856" s="1" t="s">
        <v>2219</v>
      </c>
      <c r="K856" s="1" t="s">
        <v>7</v>
      </c>
      <c r="L856" s="11" t="str">
        <f t="shared" ref="L856:L857" si="773">IF(OR(A856=J856,A856=K856),"ДА","НЕТ")</f>
        <v>НЕТ</v>
      </c>
      <c r="M856" s="10" t="s">
        <v>1575</v>
      </c>
      <c r="N856" s="10" t="s">
        <v>1575</v>
      </c>
      <c r="O856" s="10" t="s">
        <v>1575</v>
      </c>
      <c r="P856" s="10" t="str">
        <f t="shared" si="759"/>
        <v>NA</v>
      </c>
      <c r="Q856" s="10" t="str">
        <f t="shared" si="760"/>
        <v>NA</v>
      </c>
      <c r="R856" s="10" t="s">
        <v>1575</v>
      </c>
      <c r="S856" s="10" t="s">
        <v>1575</v>
      </c>
      <c r="T856" s="10" t="s">
        <v>1575</v>
      </c>
      <c r="U856" s="10" t="s">
        <v>1575</v>
      </c>
      <c r="V856" s="10" t="s">
        <v>1575</v>
      </c>
      <c r="W856" s="10" t="s">
        <v>1575</v>
      </c>
      <c r="X856" s="10" t="str">
        <f t="shared" si="762"/>
        <v>NA</v>
      </c>
      <c r="Y856" s="10" t="str">
        <f t="shared" si="763"/>
        <v>NA</v>
      </c>
      <c r="Z856" s="10" t="str">
        <f t="shared" si="764"/>
        <v>NA</v>
      </c>
      <c r="AA856" s="10" t="str">
        <f t="shared" si="765"/>
        <v>NA</v>
      </c>
      <c r="AB856" s="10" t="str">
        <f t="shared" si="766"/>
        <v>NA</v>
      </c>
      <c r="AC856" s="10" t="str">
        <f t="shared" si="767"/>
        <v>NA</v>
      </c>
      <c r="AD856" s="10" t="str">
        <f t="shared" si="768"/>
        <v>NA</v>
      </c>
      <c r="AE856" s="10" t="str">
        <f t="shared" si="769"/>
        <v>NA</v>
      </c>
      <c r="AF856" s="1" t="s">
        <v>3184</v>
      </c>
    </row>
    <row r="857" spans="1:32" x14ac:dyDescent="0.2">
      <c r="A857" s="1" t="s">
        <v>2219</v>
      </c>
      <c r="B857" s="1" t="s">
        <v>5</v>
      </c>
      <c r="C857" s="1" t="s">
        <v>3125</v>
      </c>
      <c r="D857" s="1" t="s">
        <v>1597</v>
      </c>
      <c r="E857" s="1" t="s">
        <v>3028</v>
      </c>
      <c r="F857" s="1" t="s">
        <v>14</v>
      </c>
      <c r="G857" s="4">
        <f>1807513/10598177817</f>
        <v>1.7054941247547856E-4</v>
      </c>
      <c r="H857" s="28">
        <v>40543</v>
      </c>
      <c r="I857" s="29">
        <f t="shared" si="758"/>
        <v>2010</v>
      </c>
      <c r="J857" s="1" t="s">
        <v>7</v>
      </c>
      <c r="K857" s="1" t="s">
        <v>2219</v>
      </c>
      <c r="L857" s="11" t="str">
        <f t="shared" si="773"/>
        <v>ДА</v>
      </c>
      <c r="M857" s="10" t="s">
        <v>1575</v>
      </c>
      <c r="N857" s="10" t="s">
        <v>1575</v>
      </c>
      <c r="O857" s="10">
        <f>1807513*217/10^9</f>
        <v>0.39223032099999999</v>
      </c>
      <c r="P857" s="10">
        <f t="shared" si="759"/>
        <v>2299.8045862889999</v>
      </c>
      <c r="Q857" s="10">
        <f t="shared" si="760"/>
        <v>2899.8045862889999</v>
      </c>
      <c r="R857" s="10" t="s">
        <v>1575</v>
      </c>
      <c r="S857" s="10" t="s">
        <v>1575</v>
      </c>
      <c r="T857" s="10" t="s">
        <v>1575</v>
      </c>
      <c r="U857" s="10" t="s">
        <v>1575</v>
      </c>
      <c r="V857" s="10">
        <v>1791</v>
      </c>
      <c r="W857" s="10">
        <v>600</v>
      </c>
      <c r="X857" s="10">
        <f t="shared" si="762"/>
        <v>2391</v>
      </c>
      <c r="Y857" s="10" t="str">
        <f t="shared" si="763"/>
        <v>NA</v>
      </c>
      <c r="Z857" s="10" t="str">
        <f t="shared" si="764"/>
        <v>NA</v>
      </c>
      <c r="AA857" s="10">
        <f t="shared" si="765"/>
        <v>1.2840896629195979</v>
      </c>
      <c r="AB857" s="10" t="str">
        <f t="shared" si="766"/>
        <v>NA</v>
      </c>
      <c r="AC857" s="10" t="str">
        <f t="shared" si="767"/>
        <v>NA</v>
      </c>
      <c r="AD857" s="10" t="str">
        <f t="shared" si="768"/>
        <v>NA</v>
      </c>
      <c r="AE857" s="10">
        <f t="shared" si="769"/>
        <v>1.2127999106185696</v>
      </c>
      <c r="AF857" s="1" t="s">
        <v>3194</v>
      </c>
    </row>
    <row r="858" spans="1:32" x14ac:dyDescent="0.2">
      <c r="A858" s="1" t="s">
        <v>2219</v>
      </c>
      <c r="B858" s="1" t="s">
        <v>5</v>
      </c>
      <c r="C858" s="1" t="s">
        <v>3125</v>
      </c>
      <c r="D858" s="1" t="s">
        <v>1597</v>
      </c>
      <c r="E858" s="1" t="s">
        <v>3028</v>
      </c>
      <c r="F858" s="1" t="s">
        <v>14</v>
      </c>
      <c r="G858" s="4">
        <f>747112/10598177817</f>
        <v>7.0494382421249391E-5</v>
      </c>
      <c r="H858" s="28">
        <v>40178</v>
      </c>
      <c r="I858" s="29">
        <f t="shared" si="758"/>
        <v>2009</v>
      </c>
      <c r="J858" s="1" t="s">
        <v>2219</v>
      </c>
      <c r="K858" s="1" t="s">
        <v>7</v>
      </c>
      <c r="L858" s="11" t="str">
        <f t="shared" ref="L858" si="774">IF(OR(A858=J858,A858=K858),"ДА","НЕТ")</f>
        <v>ДА</v>
      </c>
      <c r="M858" s="10" t="s">
        <v>1575</v>
      </c>
      <c r="N858" s="10" t="s">
        <v>1575</v>
      </c>
      <c r="O858" s="10">
        <f>747112*157/10^9</f>
        <v>0.117296584</v>
      </c>
      <c r="P858" s="10">
        <f t="shared" si="759"/>
        <v>1663.9139172689997</v>
      </c>
      <c r="Q858" s="10" t="str">
        <f t="shared" si="760"/>
        <v>NA</v>
      </c>
      <c r="R858" s="10" t="s">
        <v>1575</v>
      </c>
      <c r="S858" s="10" t="s">
        <v>1575</v>
      </c>
      <c r="T858" s="10" t="s">
        <v>1575</v>
      </c>
      <c r="U858" s="10" t="s">
        <v>1575</v>
      </c>
      <c r="V858" s="10" t="s">
        <v>1575</v>
      </c>
      <c r="W858" s="10" t="s">
        <v>1575</v>
      </c>
      <c r="X858" s="10" t="str">
        <f t="shared" si="762"/>
        <v>NA</v>
      </c>
      <c r="Y858" s="10" t="str">
        <f t="shared" si="763"/>
        <v>NA</v>
      </c>
      <c r="Z858" s="10" t="str">
        <f t="shared" si="764"/>
        <v>NA</v>
      </c>
      <c r="AA858" s="10" t="str">
        <f t="shared" si="765"/>
        <v>NA</v>
      </c>
      <c r="AB858" s="10" t="str">
        <f t="shared" si="766"/>
        <v>NA</v>
      </c>
      <c r="AC858" s="10" t="str">
        <f t="shared" si="767"/>
        <v>NA</v>
      </c>
      <c r="AD858" s="10" t="str">
        <f t="shared" si="768"/>
        <v>NA</v>
      </c>
      <c r="AE858" s="10" t="str">
        <f t="shared" si="769"/>
        <v>NA</v>
      </c>
      <c r="AF858" s="1" t="s">
        <v>3195</v>
      </c>
    </row>
    <row r="859" spans="1:32" x14ac:dyDescent="0.2">
      <c r="A859" s="1" t="s">
        <v>5718</v>
      </c>
      <c r="B859" s="1" t="s">
        <v>5</v>
      </c>
      <c r="C859" s="1" t="s">
        <v>1575</v>
      </c>
      <c r="D859" s="1" t="s">
        <v>1597</v>
      </c>
      <c r="E859" s="1" t="s">
        <v>1660</v>
      </c>
      <c r="F859" s="1" t="s">
        <v>16</v>
      </c>
      <c r="G859" s="4">
        <v>0.96860000000000002</v>
      </c>
      <c r="H859" s="28">
        <v>39082</v>
      </c>
      <c r="I859" s="29">
        <f t="shared" si="758"/>
        <v>2006</v>
      </c>
      <c r="J859" s="1" t="s">
        <v>2219</v>
      </c>
      <c r="K859" s="1" t="s">
        <v>7</v>
      </c>
      <c r="L859" s="11" t="str">
        <f t="shared" si="772"/>
        <v>НЕТ</v>
      </c>
      <c r="M859" s="10" t="s">
        <v>1575</v>
      </c>
      <c r="N859" s="10" t="s">
        <v>1575</v>
      </c>
      <c r="O859" s="10" t="s">
        <v>1575</v>
      </c>
      <c r="P859" s="10" t="str">
        <f t="shared" si="759"/>
        <v>NA</v>
      </c>
      <c r="Q859" s="10" t="str">
        <f t="shared" si="760"/>
        <v>NA</v>
      </c>
      <c r="R859" s="10" t="s">
        <v>1575</v>
      </c>
      <c r="S859" s="10" t="s">
        <v>1575</v>
      </c>
      <c r="T859" s="10" t="s">
        <v>1575</v>
      </c>
      <c r="U859" s="10" t="s">
        <v>1575</v>
      </c>
      <c r="V859" s="10" t="s">
        <v>1575</v>
      </c>
      <c r="W859" s="10" t="s">
        <v>1575</v>
      </c>
      <c r="X859" s="10" t="str">
        <f t="shared" si="762"/>
        <v>NA</v>
      </c>
      <c r="Y859" s="10" t="str">
        <f t="shared" si="763"/>
        <v>NA</v>
      </c>
      <c r="Z859" s="10" t="str">
        <f t="shared" si="764"/>
        <v>NA</v>
      </c>
      <c r="AA859" s="10" t="str">
        <f t="shared" si="765"/>
        <v>NA</v>
      </c>
      <c r="AB859" s="10" t="str">
        <f t="shared" si="766"/>
        <v>NA</v>
      </c>
      <c r="AC859" s="10" t="str">
        <f t="shared" si="767"/>
        <v>NA</v>
      </c>
      <c r="AD859" s="10" t="str">
        <f t="shared" si="768"/>
        <v>NA</v>
      </c>
      <c r="AE859" s="10" t="str">
        <f t="shared" si="769"/>
        <v>NA</v>
      </c>
      <c r="AF859" s="1" t="s">
        <v>3181</v>
      </c>
    </row>
    <row r="860" spans="1:32" x14ac:dyDescent="0.2">
      <c r="A860" s="1" t="s">
        <v>3180</v>
      </c>
      <c r="B860" s="1" t="s">
        <v>5</v>
      </c>
      <c r="C860" s="1" t="s">
        <v>1575</v>
      </c>
      <c r="D860" s="1" t="s">
        <v>1597</v>
      </c>
      <c r="E860" s="1" t="s">
        <v>1660</v>
      </c>
      <c r="F860" s="1" t="s">
        <v>16</v>
      </c>
      <c r="G860" s="4">
        <v>0.51</v>
      </c>
      <c r="H860" s="28">
        <v>39051</v>
      </c>
      <c r="I860" s="29">
        <f t="shared" si="758"/>
        <v>2006</v>
      </c>
      <c r="J860" s="1" t="s">
        <v>2219</v>
      </c>
      <c r="K860" s="1" t="s">
        <v>7</v>
      </c>
      <c r="L860" s="11" t="str">
        <f t="shared" si="772"/>
        <v>НЕТ</v>
      </c>
      <c r="M860" s="10" t="s">
        <v>1575</v>
      </c>
      <c r="N860" s="10" t="s">
        <v>1575</v>
      </c>
      <c r="O860" s="10" t="s">
        <v>1575</v>
      </c>
      <c r="P860" s="10" t="str">
        <f t="shared" si="759"/>
        <v>NA</v>
      </c>
      <c r="Q860" s="10" t="str">
        <f t="shared" si="760"/>
        <v>NA</v>
      </c>
      <c r="R860" s="10" t="s">
        <v>1575</v>
      </c>
      <c r="S860" s="10" t="s">
        <v>1575</v>
      </c>
      <c r="T860" s="10" t="s">
        <v>1575</v>
      </c>
      <c r="U860" s="10" t="s">
        <v>1575</v>
      </c>
      <c r="V860" s="10" t="s">
        <v>1575</v>
      </c>
      <c r="W860" s="10" t="s">
        <v>1575</v>
      </c>
      <c r="X860" s="10" t="str">
        <f t="shared" si="762"/>
        <v>NA</v>
      </c>
      <c r="Y860" s="10" t="str">
        <f t="shared" si="763"/>
        <v>NA</v>
      </c>
      <c r="Z860" s="10" t="str">
        <f t="shared" si="764"/>
        <v>NA</v>
      </c>
      <c r="AA860" s="10" t="str">
        <f t="shared" si="765"/>
        <v>NA</v>
      </c>
      <c r="AB860" s="10" t="str">
        <f t="shared" si="766"/>
        <v>NA</v>
      </c>
      <c r="AC860" s="10" t="str">
        <f t="shared" si="767"/>
        <v>NA</v>
      </c>
      <c r="AD860" s="10" t="str">
        <f t="shared" si="768"/>
        <v>NA</v>
      </c>
      <c r="AE860" s="10" t="str">
        <f t="shared" si="769"/>
        <v>NA</v>
      </c>
      <c r="AF860" s="1" t="s">
        <v>3182</v>
      </c>
    </row>
    <row r="861" spans="1:32" x14ac:dyDescent="0.2">
      <c r="A861" s="1" t="s">
        <v>2228</v>
      </c>
      <c r="B861" s="1" t="s">
        <v>5</v>
      </c>
      <c r="C861" s="1" t="s">
        <v>1575</v>
      </c>
      <c r="D861" s="1" t="s">
        <v>1597</v>
      </c>
      <c r="E861" s="1" t="s">
        <v>1699</v>
      </c>
      <c r="F861" s="1" t="s">
        <v>2224</v>
      </c>
      <c r="G861" s="4">
        <v>1</v>
      </c>
      <c r="H861" s="28">
        <v>40999</v>
      </c>
      <c r="I861" s="29">
        <f t="shared" si="758"/>
        <v>2012</v>
      </c>
      <c r="J861" s="1" t="s">
        <v>2220</v>
      </c>
      <c r="K861" s="1" t="s">
        <v>7</v>
      </c>
      <c r="L861" s="11" t="str">
        <f t="shared" si="772"/>
        <v>НЕТ</v>
      </c>
      <c r="M861" s="10" t="s">
        <v>1575</v>
      </c>
      <c r="N861" s="10" t="s">
        <v>1575</v>
      </c>
      <c r="O861" s="10">
        <v>1</v>
      </c>
      <c r="P861" s="10">
        <f t="shared" si="759"/>
        <v>1</v>
      </c>
      <c r="Q861" s="10" t="str">
        <f t="shared" si="760"/>
        <v>NA</v>
      </c>
      <c r="R861" s="10" t="s">
        <v>1575</v>
      </c>
      <c r="S861" s="10" t="s">
        <v>1575</v>
      </c>
      <c r="T861" s="10" t="s">
        <v>1575</v>
      </c>
      <c r="U861" s="10" t="s">
        <v>1575</v>
      </c>
      <c r="V861" s="10" t="s">
        <v>1575</v>
      </c>
      <c r="W861" s="10" t="s">
        <v>1575</v>
      </c>
      <c r="X861" s="10" t="str">
        <f t="shared" si="762"/>
        <v>NA</v>
      </c>
      <c r="Y861" s="10" t="str">
        <f t="shared" si="763"/>
        <v>NA</v>
      </c>
      <c r="Z861" s="10" t="str">
        <f t="shared" si="764"/>
        <v>NA</v>
      </c>
      <c r="AA861" s="10" t="str">
        <f t="shared" si="765"/>
        <v>NA</v>
      </c>
      <c r="AB861" s="10" t="str">
        <f t="shared" si="766"/>
        <v>NA</v>
      </c>
      <c r="AC861" s="10" t="str">
        <f t="shared" si="767"/>
        <v>NA</v>
      </c>
      <c r="AD861" s="10" t="str">
        <f t="shared" si="768"/>
        <v>NA</v>
      </c>
      <c r="AE861" s="10" t="str">
        <f t="shared" si="769"/>
        <v>NA</v>
      </c>
      <c r="AF861" s="1" t="s">
        <v>2227</v>
      </c>
    </row>
    <row r="862" spans="1:32" x14ac:dyDescent="0.2">
      <c r="A862" s="1" t="s">
        <v>5719</v>
      </c>
      <c r="B862" s="1" t="s">
        <v>5</v>
      </c>
      <c r="C862" s="1" t="s">
        <v>1575</v>
      </c>
      <c r="D862" s="1" t="s">
        <v>1597</v>
      </c>
      <c r="E862" s="1" t="s">
        <v>1699</v>
      </c>
      <c r="F862" s="1" t="s">
        <v>2224</v>
      </c>
      <c r="G862" s="4">
        <v>1</v>
      </c>
      <c r="H862" s="28">
        <v>40999</v>
      </c>
      <c r="I862" s="29">
        <f t="shared" si="758"/>
        <v>2012</v>
      </c>
      <c r="J862" s="1" t="s">
        <v>2220</v>
      </c>
      <c r="K862" s="1" t="s">
        <v>7</v>
      </c>
      <c r="L862" s="11" t="str">
        <f t="shared" si="772"/>
        <v>НЕТ</v>
      </c>
      <c r="M862" s="10">
        <v>112</v>
      </c>
      <c r="N862" s="10" t="s">
        <v>1575</v>
      </c>
      <c r="O862" s="10">
        <v>3</v>
      </c>
      <c r="P862" s="10">
        <f t="shared" si="759"/>
        <v>3</v>
      </c>
      <c r="Q862" s="10" t="str">
        <f t="shared" si="760"/>
        <v>NA</v>
      </c>
      <c r="R862" s="10" t="s">
        <v>1575</v>
      </c>
      <c r="S862" s="10" t="s">
        <v>1575</v>
      </c>
      <c r="T862" s="10" t="s">
        <v>1575</v>
      </c>
      <c r="U862" s="10" t="s">
        <v>1575</v>
      </c>
      <c r="V862" s="10" t="s">
        <v>1575</v>
      </c>
      <c r="W862" s="10" t="s">
        <v>1575</v>
      </c>
      <c r="X862" s="10" t="str">
        <f t="shared" si="762"/>
        <v>NA</v>
      </c>
      <c r="Y862" s="10" t="str">
        <f t="shared" si="763"/>
        <v>NA</v>
      </c>
      <c r="Z862" s="10" t="str">
        <f t="shared" si="764"/>
        <v>NA</v>
      </c>
      <c r="AA862" s="10" t="str">
        <f t="shared" si="765"/>
        <v>NA</v>
      </c>
      <c r="AB862" s="10" t="str">
        <f t="shared" si="766"/>
        <v>NA</v>
      </c>
      <c r="AC862" s="10" t="str">
        <f t="shared" si="767"/>
        <v>NA</v>
      </c>
      <c r="AD862" s="10" t="str">
        <f t="shared" si="768"/>
        <v>NA</v>
      </c>
      <c r="AE862" s="10" t="str">
        <f t="shared" si="769"/>
        <v>NA</v>
      </c>
      <c r="AF862" s="1" t="s">
        <v>2229</v>
      </c>
    </row>
    <row r="863" spans="1:32" x14ac:dyDescent="0.2">
      <c r="A863" s="1" t="s">
        <v>5720</v>
      </c>
      <c r="B863" s="1" t="s">
        <v>5</v>
      </c>
      <c r="C863" s="1" t="s">
        <v>1575</v>
      </c>
      <c r="D863" s="1" t="s">
        <v>1597</v>
      </c>
      <c r="E863" s="1" t="s">
        <v>1699</v>
      </c>
      <c r="F863" s="1" t="s">
        <v>2231</v>
      </c>
      <c r="G863" s="4">
        <v>1</v>
      </c>
      <c r="H863" s="28">
        <v>40999</v>
      </c>
      <c r="I863" s="29">
        <f t="shared" si="758"/>
        <v>2012</v>
      </c>
      <c r="J863" s="1" t="s">
        <v>2220</v>
      </c>
      <c r="K863" s="1" t="s">
        <v>7</v>
      </c>
      <c r="L863" s="11" t="str">
        <f t="shared" si="772"/>
        <v>НЕТ</v>
      </c>
      <c r="M863" s="10" t="s">
        <v>1575</v>
      </c>
      <c r="N863" s="10" t="s">
        <v>1575</v>
      </c>
      <c r="O863" s="10">
        <v>1</v>
      </c>
      <c r="P863" s="10">
        <f t="shared" si="759"/>
        <v>1</v>
      </c>
      <c r="Q863" s="10" t="str">
        <f t="shared" si="760"/>
        <v>NA</v>
      </c>
      <c r="R863" s="10" t="s">
        <v>1575</v>
      </c>
      <c r="S863" s="10" t="s">
        <v>1575</v>
      </c>
      <c r="T863" s="10" t="s">
        <v>1575</v>
      </c>
      <c r="U863" s="10" t="s">
        <v>1575</v>
      </c>
      <c r="V863" s="10" t="s">
        <v>1575</v>
      </c>
      <c r="W863" s="10" t="s">
        <v>1575</v>
      </c>
      <c r="X863" s="10" t="str">
        <f t="shared" si="762"/>
        <v>NA</v>
      </c>
      <c r="Y863" s="10" t="str">
        <f t="shared" si="763"/>
        <v>NA</v>
      </c>
      <c r="Z863" s="10" t="str">
        <f t="shared" si="764"/>
        <v>NA</v>
      </c>
      <c r="AA863" s="10" t="str">
        <f t="shared" si="765"/>
        <v>NA</v>
      </c>
      <c r="AB863" s="10" t="str">
        <f t="shared" si="766"/>
        <v>NA</v>
      </c>
      <c r="AC863" s="10" t="str">
        <f t="shared" si="767"/>
        <v>NA</v>
      </c>
      <c r="AD863" s="10" t="str">
        <f t="shared" si="768"/>
        <v>NA</v>
      </c>
      <c r="AE863" s="10" t="str">
        <f t="shared" si="769"/>
        <v>NA</v>
      </c>
      <c r="AF863" s="1" t="s">
        <v>2230</v>
      </c>
    </row>
    <row r="864" spans="1:32" x14ac:dyDescent="0.2">
      <c r="A864" s="1" t="s">
        <v>2225</v>
      </c>
      <c r="B864" s="1" t="s">
        <v>5</v>
      </c>
      <c r="C864" s="1" t="s">
        <v>1575</v>
      </c>
      <c r="D864" s="1" t="s">
        <v>1597</v>
      </c>
      <c r="E864" s="1" t="s">
        <v>1699</v>
      </c>
      <c r="F864" s="1" t="s">
        <v>2224</v>
      </c>
      <c r="G864" s="4" t="s">
        <v>2223</v>
      </c>
      <c r="H864" s="28">
        <v>41152</v>
      </c>
      <c r="I864" s="29">
        <f t="shared" si="758"/>
        <v>2012</v>
      </c>
      <c r="J864" s="1" t="s">
        <v>2220</v>
      </c>
      <c r="K864" s="1" t="s">
        <v>7</v>
      </c>
      <c r="L864" s="11" t="str">
        <f t="shared" si="772"/>
        <v>НЕТ</v>
      </c>
      <c r="M864" s="10">
        <v>188</v>
      </c>
      <c r="N864" s="10" t="s">
        <v>1575</v>
      </c>
      <c r="O864" s="10">
        <v>6</v>
      </c>
      <c r="P864" s="10" t="str">
        <f t="shared" si="759"/>
        <v>NA</v>
      </c>
      <c r="Q864" s="10" t="str">
        <f t="shared" si="760"/>
        <v>NA</v>
      </c>
      <c r="R864" s="10" t="s">
        <v>1575</v>
      </c>
      <c r="S864" s="10" t="s">
        <v>1575</v>
      </c>
      <c r="T864" s="10" t="s">
        <v>1575</v>
      </c>
      <c r="U864" s="10" t="s">
        <v>1575</v>
      </c>
      <c r="V864" s="10" t="s">
        <v>1575</v>
      </c>
      <c r="W864" s="10" t="s">
        <v>1575</v>
      </c>
      <c r="X864" s="10" t="str">
        <f t="shared" si="762"/>
        <v>NA</v>
      </c>
      <c r="Y864" s="10" t="str">
        <f t="shared" si="763"/>
        <v>NA</v>
      </c>
      <c r="Z864" s="10" t="str">
        <f t="shared" si="764"/>
        <v>NA</v>
      </c>
      <c r="AA864" s="10" t="str">
        <f t="shared" si="765"/>
        <v>NA</v>
      </c>
      <c r="AB864" s="10" t="str">
        <f t="shared" si="766"/>
        <v>NA</v>
      </c>
      <c r="AC864" s="10" t="str">
        <f t="shared" si="767"/>
        <v>NA</v>
      </c>
      <c r="AD864" s="10" t="str">
        <f t="shared" si="768"/>
        <v>NA</v>
      </c>
      <c r="AE864" s="10" t="str">
        <f t="shared" si="769"/>
        <v>NA</v>
      </c>
      <c r="AF864" s="1" t="s">
        <v>2232</v>
      </c>
    </row>
    <row r="865" spans="1:32" x14ac:dyDescent="0.2">
      <c r="A865" s="1" t="s">
        <v>5721</v>
      </c>
      <c r="B865" s="1" t="s">
        <v>5</v>
      </c>
      <c r="C865" s="1" t="s">
        <v>1575</v>
      </c>
      <c r="D865" s="1" t="s">
        <v>1597</v>
      </c>
      <c r="E865" s="1" t="s">
        <v>1660</v>
      </c>
      <c r="F865" s="1" t="s">
        <v>16</v>
      </c>
      <c r="G865" s="4">
        <v>1</v>
      </c>
      <c r="H865" s="28">
        <v>41243</v>
      </c>
      <c r="I865" s="29">
        <f t="shared" si="758"/>
        <v>2012</v>
      </c>
      <c r="J865" s="1" t="s">
        <v>2220</v>
      </c>
      <c r="K865" s="1" t="s">
        <v>7</v>
      </c>
      <c r="L865" s="11" t="str">
        <f t="shared" si="772"/>
        <v>НЕТ</v>
      </c>
      <c r="M865" s="10" t="s">
        <v>1575</v>
      </c>
      <c r="N865" s="10" t="s">
        <v>1575</v>
      </c>
      <c r="O865" s="10">
        <v>1</v>
      </c>
      <c r="P865" s="10">
        <f t="shared" si="759"/>
        <v>1</v>
      </c>
      <c r="Q865" s="10" t="str">
        <f t="shared" si="760"/>
        <v>NA</v>
      </c>
      <c r="R865" s="10" t="s">
        <v>1575</v>
      </c>
      <c r="S865" s="10" t="s">
        <v>1575</v>
      </c>
      <c r="T865" s="10" t="s">
        <v>1575</v>
      </c>
      <c r="U865" s="10" t="s">
        <v>1575</v>
      </c>
      <c r="V865" s="10" t="s">
        <v>1575</v>
      </c>
      <c r="W865" s="10" t="s">
        <v>1575</v>
      </c>
      <c r="X865" s="10" t="str">
        <f t="shared" si="762"/>
        <v>NA</v>
      </c>
      <c r="Y865" s="10" t="str">
        <f t="shared" si="763"/>
        <v>NA</v>
      </c>
      <c r="Z865" s="10" t="str">
        <f t="shared" si="764"/>
        <v>NA</v>
      </c>
      <c r="AA865" s="10" t="str">
        <f t="shared" si="765"/>
        <v>NA</v>
      </c>
      <c r="AB865" s="10" t="str">
        <f t="shared" si="766"/>
        <v>NA</v>
      </c>
      <c r="AC865" s="10" t="str">
        <f t="shared" si="767"/>
        <v>NA</v>
      </c>
      <c r="AD865" s="10" t="str">
        <f t="shared" si="768"/>
        <v>NA</v>
      </c>
      <c r="AE865" s="10" t="str">
        <f t="shared" si="769"/>
        <v>NA</v>
      </c>
      <c r="AF865" s="1" t="s">
        <v>2233</v>
      </c>
    </row>
    <row r="866" spans="1:32" x14ac:dyDescent="0.2">
      <c r="A866" s="1" t="s">
        <v>5722</v>
      </c>
      <c r="B866" s="1" t="s">
        <v>5</v>
      </c>
      <c r="C866" s="1" t="s">
        <v>1575</v>
      </c>
      <c r="D866" s="1" t="s">
        <v>1597</v>
      </c>
      <c r="E866" s="1" t="s">
        <v>1660</v>
      </c>
      <c r="F866" s="1" t="s">
        <v>16</v>
      </c>
      <c r="G866" s="4" t="s">
        <v>11</v>
      </c>
      <c r="H866" s="28">
        <v>41152</v>
      </c>
      <c r="I866" s="29">
        <f t="shared" si="758"/>
        <v>2012</v>
      </c>
      <c r="J866" s="1" t="s">
        <v>7</v>
      </c>
      <c r="K866" s="1" t="s">
        <v>2220</v>
      </c>
      <c r="L866" s="11" t="str">
        <f t="shared" si="772"/>
        <v>НЕТ</v>
      </c>
      <c r="M866" s="10">
        <v>290</v>
      </c>
      <c r="N866" s="10" t="s">
        <v>1575</v>
      </c>
      <c r="O866" s="10">
        <v>9</v>
      </c>
      <c r="P866" s="10" t="str">
        <f t="shared" si="759"/>
        <v>NA</v>
      </c>
      <c r="Q866" s="10" t="str">
        <f t="shared" si="760"/>
        <v>NA</v>
      </c>
      <c r="R866" s="10" t="s">
        <v>1575</v>
      </c>
      <c r="S866" s="10" t="s">
        <v>1575</v>
      </c>
      <c r="T866" s="10" t="s">
        <v>1575</v>
      </c>
      <c r="U866" s="10" t="s">
        <v>1575</v>
      </c>
      <c r="V866" s="10">
        <f>7.2-1.3</f>
        <v>5.9</v>
      </c>
      <c r="W866" s="10" t="s">
        <v>1575</v>
      </c>
      <c r="X866" s="10" t="str">
        <f t="shared" si="762"/>
        <v>NA</v>
      </c>
      <c r="Y866" s="10" t="str">
        <f t="shared" si="763"/>
        <v>NA</v>
      </c>
      <c r="Z866" s="10" t="str">
        <f t="shared" si="764"/>
        <v>NA</v>
      </c>
      <c r="AA866" s="10" t="str">
        <f t="shared" si="765"/>
        <v>NA</v>
      </c>
      <c r="AB866" s="10" t="str">
        <f t="shared" si="766"/>
        <v>NA</v>
      </c>
      <c r="AC866" s="10" t="str">
        <f t="shared" si="767"/>
        <v>NA</v>
      </c>
      <c r="AD866" s="10" t="str">
        <f t="shared" si="768"/>
        <v>NA</v>
      </c>
      <c r="AE866" s="10" t="str">
        <f t="shared" si="769"/>
        <v>NA</v>
      </c>
      <c r="AF866" s="1" t="s">
        <v>2234</v>
      </c>
    </row>
    <row r="867" spans="1:32" x14ac:dyDescent="0.2">
      <c r="A867" s="1" t="s">
        <v>2236</v>
      </c>
      <c r="B867" s="1" t="s">
        <v>5</v>
      </c>
      <c r="C867" s="1" t="s">
        <v>1575</v>
      </c>
      <c r="D867" s="1" t="s">
        <v>1584</v>
      </c>
      <c r="E867" s="1" t="s">
        <v>1586</v>
      </c>
      <c r="F867" s="1" t="s">
        <v>66</v>
      </c>
      <c r="G867" s="4" t="s">
        <v>11</v>
      </c>
      <c r="H867" s="28">
        <v>40574</v>
      </c>
      <c r="I867" s="29">
        <f t="shared" si="758"/>
        <v>2011</v>
      </c>
      <c r="J867" s="1" t="s">
        <v>7</v>
      </c>
      <c r="K867" s="1" t="s">
        <v>2220</v>
      </c>
      <c r="L867" s="11" t="str">
        <f t="shared" si="772"/>
        <v>НЕТ</v>
      </c>
      <c r="M867" s="10">
        <v>238</v>
      </c>
      <c r="N867" s="10" t="s">
        <v>1575</v>
      </c>
      <c r="O867" s="10">
        <f>M867*29.6684/1000</f>
        <v>7.0610791999999991</v>
      </c>
      <c r="P867" s="10" t="str">
        <f t="shared" si="759"/>
        <v>NA</v>
      </c>
      <c r="Q867" s="10" t="str">
        <f t="shared" si="760"/>
        <v>NA</v>
      </c>
      <c r="R867" s="10" t="s">
        <v>1575</v>
      </c>
      <c r="S867" s="10" t="s">
        <v>1575</v>
      </c>
      <c r="T867" s="10" t="s">
        <v>1575</v>
      </c>
      <c r="U867" s="10" t="s">
        <v>1575</v>
      </c>
      <c r="V867" s="10" t="s">
        <v>1575</v>
      </c>
      <c r="W867" s="10" t="s">
        <v>1575</v>
      </c>
      <c r="X867" s="10" t="str">
        <f t="shared" si="762"/>
        <v>NA</v>
      </c>
      <c r="Y867" s="10" t="str">
        <f t="shared" si="763"/>
        <v>NA</v>
      </c>
      <c r="Z867" s="10" t="str">
        <f t="shared" si="764"/>
        <v>NA</v>
      </c>
      <c r="AA867" s="10" t="str">
        <f t="shared" si="765"/>
        <v>NA</v>
      </c>
      <c r="AB867" s="10" t="str">
        <f t="shared" si="766"/>
        <v>NA</v>
      </c>
      <c r="AC867" s="10" t="str">
        <f t="shared" si="767"/>
        <v>NA</v>
      </c>
      <c r="AD867" s="10" t="str">
        <f t="shared" si="768"/>
        <v>NA</v>
      </c>
      <c r="AE867" s="10" t="str">
        <f t="shared" si="769"/>
        <v>NA</v>
      </c>
      <c r="AF867" s="1" t="s">
        <v>2235</v>
      </c>
    </row>
    <row r="868" spans="1:32" x14ac:dyDescent="0.2">
      <c r="A868" s="1" t="s">
        <v>2225</v>
      </c>
      <c r="B868" s="1" t="s">
        <v>1575</v>
      </c>
      <c r="C868" s="1" t="s">
        <v>1575</v>
      </c>
      <c r="D868" s="1" t="s">
        <v>1597</v>
      </c>
      <c r="E868" s="1" t="s">
        <v>1699</v>
      </c>
      <c r="F868" s="1" t="s">
        <v>2224</v>
      </c>
      <c r="G868" s="4" t="s">
        <v>2223</v>
      </c>
      <c r="H868" s="28">
        <v>40574</v>
      </c>
      <c r="I868" s="29">
        <f t="shared" si="758"/>
        <v>2011</v>
      </c>
      <c r="J868" s="1" t="s">
        <v>2220</v>
      </c>
      <c r="K868" s="1" t="s">
        <v>2222</v>
      </c>
      <c r="L868" s="11" t="str">
        <f t="shared" si="772"/>
        <v>НЕТ</v>
      </c>
      <c r="M868" s="10" t="s">
        <v>1575</v>
      </c>
      <c r="N868" s="10" t="s">
        <v>1575</v>
      </c>
      <c r="O868" s="10">
        <v>2</v>
      </c>
      <c r="P868" s="10" t="str">
        <f t="shared" si="759"/>
        <v>NA</v>
      </c>
      <c r="Q868" s="10" t="str">
        <f t="shared" si="760"/>
        <v>NA</v>
      </c>
      <c r="R868" s="10" t="s">
        <v>1575</v>
      </c>
      <c r="S868" s="10" t="s">
        <v>1575</v>
      </c>
      <c r="T868" s="10" t="s">
        <v>1575</v>
      </c>
      <c r="U868" s="10" t="s">
        <v>1575</v>
      </c>
      <c r="V868" s="10" t="s">
        <v>1575</v>
      </c>
      <c r="W868" s="10" t="s">
        <v>1575</v>
      </c>
      <c r="X868" s="10" t="str">
        <f t="shared" si="762"/>
        <v>NA</v>
      </c>
      <c r="Y868" s="10" t="str">
        <f t="shared" si="763"/>
        <v>NA</v>
      </c>
      <c r="Z868" s="10" t="str">
        <f t="shared" si="764"/>
        <v>NA</v>
      </c>
      <c r="AA868" s="10" t="str">
        <f t="shared" si="765"/>
        <v>NA</v>
      </c>
      <c r="AB868" s="10" t="str">
        <f t="shared" si="766"/>
        <v>NA</v>
      </c>
      <c r="AC868" s="10" t="str">
        <f t="shared" si="767"/>
        <v>NA</v>
      </c>
      <c r="AD868" s="10" t="str">
        <f t="shared" si="768"/>
        <v>NA</v>
      </c>
      <c r="AE868" s="10" t="str">
        <f t="shared" si="769"/>
        <v>NA</v>
      </c>
      <c r="AF868" s="1" t="s">
        <v>2221</v>
      </c>
    </row>
    <row r="869" spans="1:32" x14ac:dyDescent="0.2">
      <c r="A869" s="1" t="s">
        <v>5723</v>
      </c>
      <c r="B869" s="1" t="s">
        <v>5</v>
      </c>
      <c r="C869" s="1" t="s">
        <v>1575</v>
      </c>
      <c r="D869" s="1" t="s">
        <v>1597</v>
      </c>
      <c r="E869" s="1" t="s">
        <v>1660</v>
      </c>
      <c r="F869" s="1" t="s">
        <v>16</v>
      </c>
      <c r="G869" s="4">
        <v>1</v>
      </c>
      <c r="H869" s="28">
        <v>40602</v>
      </c>
      <c r="I869" s="29">
        <f t="shared" si="758"/>
        <v>2011</v>
      </c>
      <c r="J869" s="1" t="s">
        <v>2220</v>
      </c>
      <c r="K869" s="1" t="s">
        <v>2222</v>
      </c>
      <c r="L869" s="11" t="str">
        <f t="shared" si="772"/>
        <v>НЕТ</v>
      </c>
      <c r="M869" s="10" t="s">
        <v>1575</v>
      </c>
      <c r="N869" s="10" t="s">
        <v>1575</v>
      </c>
      <c r="O869" s="10">
        <v>4</v>
      </c>
      <c r="P869" s="10">
        <f t="shared" si="759"/>
        <v>4</v>
      </c>
      <c r="Q869" s="10" t="str">
        <f t="shared" si="760"/>
        <v>NA</v>
      </c>
      <c r="R869" s="10" t="s">
        <v>1575</v>
      </c>
      <c r="S869" s="10" t="s">
        <v>1575</v>
      </c>
      <c r="T869" s="10" t="s">
        <v>1575</v>
      </c>
      <c r="U869" s="10" t="s">
        <v>1575</v>
      </c>
      <c r="V869" s="10" t="s">
        <v>1575</v>
      </c>
      <c r="W869" s="10" t="s">
        <v>1575</v>
      </c>
      <c r="X869" s="10" t="str">
        <f t="shared" si="762"/>
        <v>NA</v>
      </c>
      <c r="Y869" s="10" t="str">
        <f t="shared" si="763"/>
        <v>NA</v>
      </c>
      <c r="Z869" s="10" t="str">
        <f t="shared" si="764"/>
        <v>NA</v>
      </c>
      <c r="AA869" s="10" t="str">
        <f t="shared" si="765"/>
        <v>NA</v>
      </c>
      <c r="AB869" s="10" t="str">
        <f t="shared" si="766"/>
        <v>NA</v>
      </c>
      <c r="AC869" s="10" t="str">
        <f t="shared" si="767"/>
        <v>NA</v>
      </c>
      <c r="AD869" s="10" t="str">
        <f t="shared" si="768"/>
        <v>NA</v>
      </c>
      <c r="AE869" s="10" t="str">
        <f t="shared" si="769"/>
        <v>NA</v>
      </c>
      <c r="AF869" s="1" t="s">
        <v>2226</v>
      </c>
    </row>
    <row r="870" spans="1:32" x14ac:dyDescent="0.2">
      <c r="A870" s="1" t="s">
        <v>2240</v>
      </c>
      <c r="B870" s="1" t="s">
        <v>1575</v>
      </c>
      <c r="C870" s="1" t="s">
        <v>1575</v>
      </c>
      <c r="D870" s="1" t="s">
        <v>1597</v>
      </c>
      <c r="E870" s="1" t="s">
        <v>1699</v>
      </c>
      <c r="F870" s="1" t="s">
        <v>2224</v>
      </c>
      <c r="G870" s="4">
        <v>1</v>
      </c>
      <c r="H870" s="28">
        <v>40451</v>
      </c>
      <c r="I870" s="29">
        <f t="shared" si="758"/>
        <v>2010</v>
      </c>
      <c r="J870" s="1" t="s">
        <v>2220</v>
      </c>
      <c r="K870" s="1" t="s">
        <v>2222</v>
      </c>
      <c r="L870" s="11" t="str">
        <f t="shared" si="772"/>
        <v>НЕТ</v>
      </c>
      <c r="M870" s="10">
        <v>1156</v>
      </c>
      <c r="N870" s="10" t="s">
        <v>1575</v>
      </c>
      <c r="O870" s="10">
        <f>M870*30.403/1000</f>
        <v>35.145867999999993</v>
      </c>
      <c r="P870" s="10">
        <f t="shared" si="759"/>
        <v>35.145867999999993</v>
      </c>
      <c r="Q870" s="10" t="str">
        <f t="shared" si="760"/>
        <v>NA</v>
      </c>
      <c r="R870" s="10" t="s">
        <v>1575</v>
      </c>
      <c r="S870" s="10" t="s">
        <v>1575</v>
      </c>
      <c r="T870" s="10" t="s">
        <v>1575</v>
      </c>
      <c r="U870" s="10" t="s">
        <v>1575</v>
      </c>
      <c r="V870" s="10">
        <f>0.000367*30.4769</f>
        <v>1.11850223E-2</v>
      </c>
      <c r="W870" s="10" t="s">
        <v>1575</v>
      </c>
      <c r="X870" s="10" t="str">
        <f t="shared" si="762"/>
        <v>NA</v>
      </c>
      <c r="Y870" s="10" t="str">
        <f t="shared" si="763"/>
        <v>NA</v>
      </c>
      <c r="Z870" s="10" t="str">
        <f t="shared" si="764"/>
        <v>NA</v>
      </c>
      <c r="AA870" s="10">
        <f t="shared" si="765"/>
        <v>3142.2260105820255</v>
      </c>
      <c r="AB870" s="10" t="str">
        <f t="shared" si="766"/>
        <v>NA</v>
      </c>
      <c r="AC870" s="10" t="str">
        <f t="shared" si="767"/>
        <v>NA</v>
      </c>
      <c r="AD870" s="10" t="str">
        <f t="shared" si="768"/>
        <v>NA</v>
      </c>
      <c r="AE870" s="10" t="str">
        <f t="shared" si="769"/>
        <v>NA</v>
      </c>
      <c r="AF870" s="1" t="s">
        <v>2237</v>
      </c>
    </row>
    <row r="871" spans="1:32" x14ac:dyDescent="0.2">
      <c r="A871" s="1" t="s">
        <v>5724</v>
      </c>
      <c r="B871" s="1" t="s">
        <v>5</v>
      </c>
      <c r="C871" s="1" t="s">
        <v>1575</v>
      </c>
      <c r="D871" s="1" t="s">
        <v>1597</v>
      </c>
      <c r="E871" s="1" t="s">
        <v>1660</v>
      </c>
      <c r="F871" s="1" t="s">
        <v>16</v>
      </c>
      <c r="G871" s="4" t="s">
        <v>11</v>
      </c>
      <c r="H871" s="28">
        <v>40512</v>
      </c>
      <c r="I871" s="29">
        <f t="shared" si="758"/>
        <v>2010</v>
      </c>
      <c r="J871" s="1" t="s">
        <v>7</v>
      </c>
      <c r="K871" s="1" t="s">
        <v>2220</v>
      </c>
      <c r="L871" s="11" t="str">
        <f t="shared" si="772"/>
        <v>НЕТ</v>
      </c>
      <c r="M871" s="10">
        <v>33</v>
      </c>
      <c r="N871" s="10" t="s">
        <v>1575</v>
      </c>
      <c r="O871" s="10">
        <f>M871*31.3061/1000</f>
        <v>1.0331013</v>
      </c>
      <c r="P871" s="10" t="str">
        <f t="shared" si="759"/>
        <v>NA</v>
      </c>
      <c r="Q871" s="10" t="str">
        <f t="shared" si="760"/>
        <v>NA</v>
      </c>
      <c r="R871" s="10" t="s">
        <v>1575</v>
      </c>
      <c r="S871" s="10" t="s">
        <v>1575</v>
      </c>
      <c r="T871" s="10" t="s">
        <v>1575</v>
      </c>
      <c r="U871" s="10" t="s">
        <v>1575</v>
      </c>
      <c r="V871" s="10" t="s">
        <v>1575</v>
      </c>
      <c r="W871" s="10" t="s">
        <v>1575</v>
      </c>
      <c r="X871" s="10" t="str">
        <f t="shared" si="762"/>
        <v>NA</v>
      </c>
      <c r="Y871" s="10" t="str">
        <f t="shared" si="763"/>
        <v>NA</v>
      </c>
      <c r="Z871" s="10" t="str">
        <f t="shared" si="764"/>
        <v>NA</v>
      </c>
      <c r="AA871" s="10" t="str">
        <f t="shared" si="765"/>
        <v>NA</v>
      </c>
      <c r="AB871" s="10" t="str">
        <f t="shared" si="766"/>
        <v>NA</v>
      </c>
      <c r="AC871" s="10" t="str">
        <f t="shared" si="767"/>
        <v>NA</v>
      </c>
      <c r="AD871" s="10" t="str">
        <f t="shared" si="768"/>
        <v>NA</v>
      </c>
      <c r="AE871" s="10" t="str">
        <f t="shared" si="769"/>
        <v>NA</v>
      </c>
      <c r="AF871" s="1" t="s">
        <v>2238</v>
      </c>
    </row>
    <row r="872" spans="1:32" x14ac:dyDescent="0.2">
      <c r="A872" s="1" t="s">
        <v>5725</v>
      </c>
      <c r="B872" s="1" t="s">
        <v>5</v>
      </c>
      <c r="C872" s="1" t="s">
        <v>1575</v>
      </c>
      <c r="D872" s="1" t="s">
        <v>1597</v>
      </c>
      <c r="E872" s="1" t="s">
        <v>1660</v>
      </c>
      <c r="F872" s="1" t="s">
        <v>16</v>
      </c>
      <c r="G872" s="4">
        <v>1</v>
      </c>
      <c r="H872" s="28">
        <v>40268</v>
      </c>
      <c r="I872" s="29">
        <f t="shared" si="758"/>
        <v>2010</v>
      </c>
      <c r="J872" s="1" t="s">
        <v>2220</v>
      </c>
      <c r="K872" s="1" t="s">
        <v>7</v>
      </c>
      <c r="L872" s="11" t="str">
        <f t="shared" si="772"/>
        <v>НЕТ</v>
      </c>
      <c r="M872" s="10">
        <v>50</v>
      </c>
      <c r="N872" s="10" t="s">
        <v>1575</v>
      </c>
      <c r="O872" s="10">
        <f>M872*29.3638/1000</f>
        <v>1.4681900000000001</v>
      </c>
      <c r="P872" s="10">
        <f t="shared" si="759"/>
        <v>1.4681900000000001</v>
      </c>
      <c r="Q872" s="10" t="str">
        <f t="shared" si="760"/>
        <v>NA</v>
      </c>
      <c r="R872" s="10" t="s">
        <v>1575</v>
      </c>
      <c r="S872" s="10" t="s">
        <v>1575</v>
      </c>
      <c r="T872" s="10" t="s">
        <v>1575</v>
      </c>
      <c r="U872" s="10" t="s">
        <v>1575</v>
      </c>
      <c r="V872" s="10" t="s">
        <v>1575</v>
      </c>
      <c r="W872" s="10" t="s">
        <v>1575</v>
      </c>
      <c r="X872" s="10" t="str">
        <f t="shared" si="762"/>
        <v>NA</v>
      </c>
      <c r="Y872" s="10" t="str">
        <f t="shared" si="763"/>
        <v>NA</v>
      </c>
      <c r="Z872" s="10" t="str">
        <f t="shared" si="764"/>
        <v>NA</v>
      </c>
      <c r="AA872" s="10" t="str">
        <f t="shared" si="765"/>
        <v>NA</v>
      </c>
      <c r="AB872" s="10" t="str">
        <f t="shared" si="766"/>
        <v>NA</v>
      </c>
      <c r="AC872" s="10" t="str">
        <f t="shared" si="767"/>
        <v>NA</v>
      </c>
      <c r="AD872" s="10" t="str">
        <f t="shared" si="768"/>
        <v>NA</v>
      </c>
      <c r="AE872" s="10" t="str">
        <f t="shared" si="769"/>
        <v>NA</v>
      </c>
      <c r="AF872" s="1" t="s">
        <v>2239</v>
      </c>
    </row>
    <row r="873" spans="1:32" x14ac:dyDescent="0.2">
      <c r="A873" s="1" t="s">
        <v>2242</v>
      </c>
      <c r="B873" s="1" t="s">
        <v>5</v>
      </c>
      <c r="C873" s="1" t="s">
        <v>1575</v>
      </c>
      <c r="D873" s="1" t="s">
        <v>1597</v>
      </c>
      <c r="E873" s="1" t="s">
        <v>1699</v>
      </c>
      <c r="F873" s="1" t="s">
        <v>2224</v>
      </c>
      <c r="G873" s="4" t="s">
        <v>11</v>
      </c>
      <c r="H873" s="28">
        <v>40512</v>
      </c>
      <c r="I873" s="29">
        <f t="shared" si="758"/>
        <v>2010</v>
      </c>
      <c r="J873" s="1" t="s">
        <v>2220</v>
      </c>
      <c r="K873" s="1" t="s">
        <v>7</v>
      </c>
      <c r="L873" s="11" t="str">
        <f t="shared" si="772"/>
        <v>НЕТ</v>
      </c>
      <c r="M873" s="10">
        <v>46</v>
      </c>
      <c r="N873" s="10" t="s">
        <v>1575</v>
      </c>
      <c r="O873" s="10">
        <f>M873*31.3061/1000</f>
        <v>1.4400805999999999</v>
      </c>
      <c r="P873" s="10" t="str">
        <f t="shared" si="759"/>
        <v>NA</v>
      </c>
      <c r="Q873" s="10" t="str">
        <f t="shared" si="760"/>
        <v>NA</v>
      </c>
      <c r="R873" s="10" t="s">
        <v>1575</v>
      </c>
      <c r="S873" s="10" t="s">
        <v>1575</v>
      </c>
      <c r="T873" s="10" t="s">
        <v>1575</v>
      </c>
      <c r="U873" s="10" t="s">
        <v>1575</v>
      </c>
      <c r="V873" s="10" t="s">
        <v>1575</v>
      </c>
      <c r="W873" s="10" t="s">
        <v>1575</v>
      </c>
      <c r="X873" s="10" t="str">
        <f t="shared" si="762"/>
        <v>NA</v>
      </c>
      <c r="Y873" s="10" t="str">
        <f t="shared" si="763"/>
        <v>NA</v>
      </c>
      <c r="Z873" s="10" t="str">
        <f t="shared" si="764"/>
        <v>NA</v>
      </c>
      <c r="AA873" s="10" t="str">
        <f t="shared" si="765"/>
        <v>NA</v>
      </c>
      <c r="AB873" s="10" t="str">
        <f t="shared" si="766"/>
        <v>NA</v>
      </c>
      <c r="AC873" s="10" t="str">
        <f t="shared" si="767"/>
        <v>NA</v>
      </c>
      <c r="AD873" s="10" t="str">
        <f t="shared" si="768"/>
        <v>NA</v>
      </c>
      <c r="AE873" s="10" t="str">
        <f t="shared" si="769"/>
        <v>NA</v>
      </c>
      <c r="AF873" s="1" t="s">
        <v>2241</v>
      </c>
    </row>
    <row r="874" spans="1:32" x14ac:dyDescent="0.2">
      <c r="A874" s="1" t="s">
        <v>5726</v>
      </c>
      <c r="B874" s="1" t="s">
        <v>5</v>
      </c>
      <c r="C874" s="1" t="s">
        <v>1575</v>
      </c>
      <c r="D874" s="1" t="s">
        <v>1597</v>
      </c>
      <c r="E874" s="1" t="s">
        <v>1660</v>
      </c>
      <c r="F874" s="1" t="s">
        <v>16</v>
      </c>
      <c r="G874" s="4">
        <v>0.05</v>
      </c>
      <c r="H874" s="28">
        <v>40512</v>
      </c>
      <c r="I874" s="29">
        <f t="shared" si="758"/>
        <v>2010</v>
      </c>
      <c r="J874" s="1" t="s">
        <v>2220</v>
      </c>
      <c r="K874" s="1" t="s">
        <v>2222</v>
      </c>
      <c r="L874" s="11" t="str">
        <f t="shared" si="772"/>
        <v>НЕТ</v>
      </c>
      <c r="M874" s="10">
        <v>49</v>
      </c>
      <c r="N874" s="10" t="s">
        <v>1575</v>
      </c>
      <c r="O874" s="10">
        <f>M874*31.3061/1000</f>
        <v>1.5339989000000001</v>
      </c>
      <c r="P874" s="10">
        <f t="shared" si="759"/>
        <v>30.679977999999998</v>
      </c>
      <c r="Q874" s="10" t="str">
        <f t="shared" si="760"/>
        <v>NA</v>
      </c>
      <c r="R874" s="10" t="s">
        <v>1575</v>
      </c>
      <c r="S874" s="10" t="s">
        <v>1575</v>
      </c>
      <c r="T874" s="10" t="s">
        <v>1575</v>
      </c>
      <c r="U874" s="10" t="s">
        <v>1575</v>
      </c>
      <c r="V874" s="10" t="s">
        <v>1575</v>
      </c>
      <c r="W874" s="10" t="s">
        <v>1575</v>
      </c>
      <c r="X874" s="10" t="str">
        <f t="shared" si="762"/>
        <v>NA</v>
      </c>
      <c r="Y874" s="10" t="str">
        <f t="shared" si="763"/>
        <v>NA</v>
      </c>
      <c r="Z874" s="10" t="str">
        <f t="shared" si="764"/>
        <v>NA</v>
      </c>
      <c r="AA874" s="10" t="str">
        <f t="shared" si="765"/>
        <v>NA</v>
      </c>
      <c r="AB874" s="10" t="str">
        <f t="shared" si="766"/>
        <v>NA</v>
      </c>
      <c r="AC874" s="10" t="str">
        <f t="shared" si="767"/>
        <v>NA</v>
      </c>
      <c r="AD874" s="10" t="str">
        <f t="shared" si="768"/>
        <v>NA</v>
      </c>
      <c r="AE874" s="10" t="str">
        <f t="shared" si="769"/>
        <v>NA</v>
      </c>
      <c r="AF874" s="1" t="s">
        <v>2243</v>
      </c>
    </row>
    <row r="875" spans="1:32" x14ac:dyDescent="0.2">
      <c r="A875" s="1" t="s">
        <v>5727</v>
      </c>
      <c r="B875" s="1" t="s">
        <v>5</v>
      </c>
      <c r="C875" s="1" t="s">
        <v>1575</v>
      </c>
      <c r="D875" s="1" t="s">
        <v>1597</v>
      </c>
      <c r="E875" s="1" t="s">
        <v>1699</v>
      </c>
      <c r="F875" s="1" t="s">
        <v>2224</v>
      </c>
      <c r="G875" s="4">
        <v>0.26</v>
      </c>
      <c r="H875" s="28">
        <v>40543</v>
      </c>
      <c r="I875" s="29">
        <f t="shared" si="758"/>
        <v>2010</v>
      </c>
      <c r="J875" s="1" t="s">
        <v>2220</v>
      </c>
      <c r="K875" s="1" t="s">
        <v>2222</v>
      </c>
      <c r="L875" s="11" t="str">
        <f t="shared" si="772"/>
        <v>НЕТ</v>
      </c>
      <c r="M875" s="10">
        <v>22</v>
      </c>
      <c r="N875" s="10" t="s">
        <v>1575</v>
      </c>
      <c r="O875" s="10">
        <f>M875*30.4769/1000</f>
        <v>0.67049179999999997</v>
      </c>
      <c r="P875" s="10">
        <f t="shared" si="759"/>
        <v>2.5788146153846152</v>
      </c>
      <c r="Q875" s="10" t="str">
        <f t="shared" si="760"/>
        <v>NA</v>
      </c>
      <c r="R875" s="10" t="s">
        <v>1575</v>
      </c>
      <c r="S875" s="10" t="s">
        <v>1575</v>
      </c>
      <c r="T875" s="10" t="s">
        <v>1575</v>
      </c>
      <c r="U875" s="10" t="s">
        <v>1575</v>
      </c>
      <c r="V875" s="10" t="s">
        <v>1575</v>
      </c>
      <c r="W875" s="10" t="s">
        <v>1575</v>
      </c>
      <c r="X875" s="10" t="str">
        <f t="shared" si="762"/>
        <v>NA</v>
      </c>
      <c r="Y875" s="10" t="str">
        <f t="shared" si="763"/>
        <v>NA</v>
      </c>
      <c r="Z875" s="10" t="str">
        <f t="shared" si="764"/>
        <v>NA</v>
      </c>
      <c r="AA875" s="10" t="str">
        <f t="shared" si="765"/>
        <v>NA</v>
      </c>
      <c r="AB875" s="10" t="str">
        <f t="shared" si="766"/>
        <v>NA</v>
      </c>
      <c r="AC875" s="10" t="str">
        <f t="shared" si="767"/>
        <v>NA</v>
      </c>
      <c r="AD875" s="10" t="str">
        <f t="shared" si="768"/>
        <v>NA</v>
      </c>
      <c r="AE875" s="10" t="str">
        <f t="shared" si="769"/>
        <v>NA</v>
      </c>
      <c r="AF875" s="1" t="s">
        <v>2244</v>
      </c>
    </row>
    <row r="876" spans="1:32" x14ac:dyDescent="0.2">
      <c r="A876" s="1" t="s">
        <v>2246</v>
      </c>
      <c r="B876" s="1" t="s">
        <v>1575</v>
      </c>
      <c r="C876" s="1" t="s">
        <v>1575</v>
      </c>
      <c r="D876" s="1" t="s">
        <v>1597</v>
      </c>
      <c r="E876" s="1" t="s">
        <v>1699</v>
      </c>
      <c r="F876" s="1" t="s">
        <v>2224</v>
      </c>
      <c r="G876" s="4">
        <v>1</v>
      </c>
      <c r="H876" s="28">
        <v>40178</v>
      </c>
      <c r="I876" s="29">
        <f t="shared" si="758"/>
        <v>2009</v>
      </c>
      <c r="J876" s="1" t="s">
        <v>2220</v>
      </c>
      <c r="K876" s="1" t="s">
        <v>2222</v>
      </c>
      <c r="L876" s="11" t="str">
        <f t="shared" si="772"/>
        <v>НЕТ</v>
      </c>
      <c r="M876" s="10">
        <v>719</v>
      </c>
      <c r="N876" s="10" t="s">
        <v>1575</v>
      </c>
      <c r="O876" s="10">
        <f>M876*30.2442/1000</f>
        <v>21.745579799999998</v>
      </c>
      <c r="P876" s="10">
        <f t="shared" si="759"/>
        <v>21.745579799999998</v>
      </c>
      <c r="Q876" s="10" t="str">
        <f t="shared" si="760"/>
        <v>NA</v>
      </c>
      <c r="R876" s="10" t="s">
        <v>1575</v>
      </c>
      <c r="S876" s="10" t="s">
        <v>1575</v>
      </c>
      <c r="T876" s="10" t="s">
        <v>1575</v>
      </c>
      <c r="U876" s="10" t="s">
        <v>1575</v>
      </c>
      <c r="V876" s="10" t="s">
        <v>1575</v>
      </c>
      <c r="W876" s="10" t="s">
        <v>1575</v>
      </c>
      <c r="X876" s="10" t="str">
        <f t="shared" si="762"/>
        <v>NA</v>
      </c>
      <c r="Y876" s="10" t="str">
        <f t="shared" si="763"/>
        <v>NA</v>
      </c>
      <c r="Z876" s="10" t="str">
        <f t="shared" si="764"/>
        <v>NA</v>
      </c>
      <c r="AA876" s="10" t="str">
        <f t="shared" si="765"/>
        <v>NA</v>
      </c>
      <c r="AB876" s="10" t="str">
        <f t="shared" si="766"/>
        <v>NA</v>
      </c>
      <c r="AC876" s="10" t="str">
        <f t="shared" si="767"/>
        <v>NA</v>
      </c>
      <c r="AD876" s="10" t="str">
        <f t="shared" si="768"/>
        <v>NA</v>
      </c>
      <c r="AE876" s="10" t="str">
        <f t="shared" si="769"/>
        <v>NA</v>
      </c>
      <c r="AF876" s="1" t="s">
        <v>2245</v>
      </c>
    </row>
    <row r="877" spans="1:32" x14ac:dyDescent="0.2">
      <c r="A877" s="1" t="s">
        <v>2249</v>
      </c>
      <c r="B877" s="1" t="s">
        <v>1575</v>
      </c>
      <c r="C877" s="1" t="s">
        <v>1575</v>
      </c>
      <c r="D877" s="1" t="s">
        <v>1597</v>
      </c>
      <c r="E877" s="1" t="s">
        <v>1598</v>
      </c>
      <c r="F877" s="1" t="s">
        <v>6</v>
      </c>
      <c r="G877" s="4" t="s">
        <v>11</v>
      </c>
      <c r="H877" s="28">
        <v>40021</v>
      </c>
      <c r="I877" s="29">
        <f t="shared" si="758"/>
        <v>2009</v>
      </c>
      <c r="J877" s="1" t="s">
        <v>2248</v>
      </c>
      <c r="K877" s="1" t="s">
        <v>2247</v>
      </c>
      <c r="L877" s="11" t="str">
        <f t="shared" si="772"/>
        <v>НЕТ</v>
      </c>
      <c r="M877" s="10">
        <v>495</v>
      </c>
      <c r="N877" s="10" t="s">
        <v>1575</v>
      </c>
      <c r="O877" s="10">
        <f>M877*31.1372/1000</f>
        <v>15.412914000000001</v>
      </c>
      <c r="P877" s="10" t="str">
        <f t="shared" si="759"/>
        <v>NA</v>
      </c>
      <c r="Q877" s="10" t="str">
        <f t="shared" si="760"/>
        <v>NA</v>
      </c>
      <c r="R877" s="10" t="s">
        <v>1575</v>
      </c>
      <c r="S877" s="10" t="s">
        <v>1575</v>
      </c>
      <c r="T877" s="10" t="s">
        <v>1575</v>
      </c>
      <c r="U877" s="10" t="s">
        <v>1575</v>
      </c>
      <c r="V877" s="10" t="s">
        <v>1575</v>
      </c>
      <c r="W877" s="10" t="s">
        <v>1575</v>
      </c>
      <c r="X877" s="10" t="str">
        <f t="shared" si="762"/>
        <v>NA</v>
      </c>
      <c r="Y877" s="10" t="str">
        <f t="shared" si="763"/>
        <v>NA</v>
      </c>
      <c r="Z877" s="10" t="str">
        <f t="shared" si="764"/>
        <v>NA</v>
      </c>
      <c r="AA877" s="10" t="str">
        <f t="shared" si="765"/>
        <v>NA</v>
      </c>
      <c r="AB877" s="10" t="str">
        <f t="shared" si="766"/>
        <v>NA</v>
      </c>
      <c r="AC877" s="10" t="str">
        <f t="shared" si="767"/>
        <v>NA</v>
      </c>
      <c r="AD877" s="10" t="str">
        <f t="shared" si="768"/>
        <v>NA</v>
      </c>
      <c r="AE877" s="10" t="str">
        <f t="shared" si="769"/>
        <v>NA</v>
      </c>
      <c r="AF877" s="1" t="s">
        <v>3204</v>
      </c>
    </row>
    <row r="878" spans="1:32" x14ac:dyDescent="0.2">
      <c r="A878" s="1" t="s">
        <v>5728</v>
      </c>
      <c r="B878" s="1" t="s">
        <v>5</v>
      </c>
      <c r="C878" s="1" t="s">
        <v>1575</v>
      </c>
      <c r="D878" s="1" t="s">
        <v>1597</v>
      </c>
      <c r="E878" s="1" t="s">
        <v>1699</v>
      </c>
      <c r="F878" s="1" t="s">
        <v>2224</v>
      </c>
      <c r="G878" s="4" t="s">
        <v>11</v>
      </c>
      <c r="H878" s="28">
        <v>40178</v>
      </c>
      <c r="I878" s="29">
        <f t="shared" si="758"/>
        <v>2009</v>
      </c>
      <c r="J878" s="1" t="s">
        <v>2220</v>
      </c>
      <c r="K878" s="1" t="s">
        <v>5729</v>
      </c>
      <c r="L878" s="11" t="str">
        <f t="shared" si="772"/>
        <v>НЕТ</v>
      </c>
      <c r="M878" s="10">
        <f>20+9</f>
        <v>29</v>
      </c>
      <c r="N878" s="10" t="s">
        <v>1575</v>
      </c>
      <c r="O878" s="10">
        <f>M878*30.2442/1000</f>
        <v>0.87708179999999991</v>
      </c>
      <c r="P878" s="10" t="str">
        <f t="shared" si="759"/>
        <v>NA</v>
      </c>
      <c r="Q878" s="10" t="str">
        <f t="shared" si="760"/>
        <v>NA</v>
      </c>
      <c r="R878" s="10" t="s">
        <v>1575</v>
      </c>
      <c r="S878" s="10" t="s">
        <v>1575</v>
      </c>
      <c r="T878" s="10" t="s">
        <v>1575</v>
      </c>
      <c r="U878" s="10" t="s">
        <v>1575</v>
      </c>
      <c r="V878" s="10" t="s">
        <v>1575</v>
      </c>
      <c r="W878" s="10" t="s">
        <v>1575</v>
      </c>
      <c r="X878" s="10" t="str">
        <f t="shared" si="762"/>
        <v>NA</v>
      </c>
      <c r="Y878" s="10" t="str">
        <f t="shared" si="763"/>
        <v>NA</v>
      </c>
      <c r="Z878" s="10" t="str">
        <f t="shared" si="764"/>
        <v>NA</v>
      </c>
      <c r="AA878" s="10" t="str">
        <f t="shared" si="765"/>
        <v>NA</v>
      </c>
      <c r="AB878" s="10" t="str">
        <f t="shared" si="766"/>
        <v>NA</v>
      </c>
      <c r="AC878" s="10" t="str">
        <f t="shared" si="767"/>
        <v>NA</v>
      </c>
      <c r="AD878" s="10" t="str">
        <f t="shared" si="768"/>
        <v>NA</v>
      </c>
      <c r="AE878" s="10" t="str">
        <f t="shared" si="769"/>
        <v>NA</v>
      </c>
      <c r="AF878" s="1" t="s">
        <v>2250</v>
      </c>
    </row>
    <row r="879" spans="1:32" x14ac:dyDescent="0.2">
      <c r="A879" s="1" t="s">
        <v>5730</v>
      </c>
      <c r="B879" s="1" t="s">
        <v>5</v>
      </c>
      <c r="C879" s="1" t="s">
        <v>1575</v>
      </c>
      <c r="D879" s="1" t="s">
        <v>1597</v>
      </c>
      <c r="E879" s="1" t="s">
        <v>1660</v>
      </c>
      <c r="F879" s="1" t="s">
        <v>16</v>
      </c>
      <c r="G879" s="4">
        <v>0.5</v>
      </c>
      <c r="H879" s="28">
        <v>44561</v>
      </c>
      <c r="I879" s="29">
        <f t="shared" si="758"/>
        <v>2021</v>
      </c>
      <c r="J879" s="1" t="s">
        <v>2397</v>
      </c>
      <c r="K879" s="1" t="s">
        <v>5731</v>
      </c>
      <c r="L879" s="11" t="str">
        <f t="shared" si="772"/>
        <v>НЕТ</v>
      </c>
      <c r="M879" s="10" t="s">
        <v>1575</v>
      </c>
      <c r="N879" s="10" t="s">
        <v>1575</v>
      </c>
      <c r="O879" s="10">
        <v>52</v>
      </c>
      <c r="P879" s="10">
        <f t="shared" si="759"/>
        <v>104</v>
      </c>
      <c r="Q879" s="10" t="str">
        <f t="shared" si="760"/>
        <v>NA</v>
      </c>
      <c r="R879" s="10" t="s">
        <v>1575</v>
      </c>
      <c r="S879" s="10" t="s">
        <v>1575</v>
      </c>
      <c r="T879" s="10" t="s">
        <v>1575</v>
      </c>
      <c r="U879" s="10" t="s">
        <v>1575</v>
      </c>
      <c r="V879" s="10" t="s">
        <v>1575</v>
      </c>
      <c r="W879" s="10" t="s">
        <v>1575</v>
      </c>
      <c r="X879" s="10" t="str">
        <f t="shared" si="762"/>
        <v>NA</v>
      </c>
      <c r="Y879" s="10" t="str">
        <f t="shared" si="763"/>
        <v>NA</v>
      </c>
      <c r="Z879" s="10" t="str">
        <f t="shared" si="764"/>
        <v>NA</v>
      </c>
      <c r="AA879" s="10" t="str">
        <f t="shared" si="765"/>
        <v>NA</v>
      </c>
      <c r="AB879" s="10" t="str">
        <f t="shared" si="766"/>
        <v>NA</v>
      </c>
      <c r="AC879" s="10" t="str">
        <f t="shared" si="767"/>
        <v>NA</v>
      </c>
      <c r="AD879" s="10" t="str">
        <f t="shared" si="768"/>
        <v>NA</v>
      </c>
      <c r="AE879" s="10" t="str">
        <f t="shared" si="769"/>
        <v>NA</v>
      </c>
      <c r="AF879" s="1" t="s">
        <v>1248</v>
      </c>
    </row>
    <row r="880" spans="1:32" x14ac:dyDescent="0.2">
      <c r="A880" s="1" t="s">
        <v>1251</v>
      </c>
      <c r="B880" s="1" t="s">
        <v>770</v>
      </c>
      <c r="C880" s="1" t="s">
        <v>1575</v>
      </c>
      <c r="D880" s="1" t="s">
        <v>1597</v>
      </c>
      <c r="E880" s="1" t="s">
        <v>1661</v>
      </c>
      <c r="F880" s="1" t="s">
        <v>16</v>
      </c>
      <c r="G880" s="4">
        <v>9.9900000000000003E-2</v>
      </c>
      <c r="H880" s="28">
        <v>44500</v>
      </c>
      <c r="I880" s="29">
        <f t="shared" si="758"/>
        <v>2021</v>
      </c>
      <c r="J880" s="1" t="s">
        <v>2397</v>
      </c>
      <c r="K880" s="1" t="s">
        <v>1249</v>
      </c>
      <c r="L880" s="11" t="str">
        <f t="shared" si="772"/>
        <v>НЕТ</v>
      </c>
      <c r="M880" s="10">
        <v>1450</v>
      </c>
      <c r="N880" s="10" t="s">
        <v>1575</v>
      </c>
      <c r="O880" s="10">
        <f>M880*70.52/1000</f>
        <v>102.254</v>
      </c>
      <c r="P880" s="10">
        <f t="shared" si="759"/>
        <v>1023.5635635635635</v>
      </c>
      <c r="Q880" s="10" t="str">
        <f t="shared" si="760"/>
        <v>NA</v>
      </c>
      <c r="R880" s="10" t="s">
        <v>1575</v>
      </c>
      <c r="S880" s="10" t="s">
        <v>1575</v>
      </c>
      <c r="T880" s="10" t="s">
        <v>1575</v>
      </c>
      <c r="U880" s="10" t="s">
        <v>1575</v>
      </c>
      <c r="V880" s="10" t="s">
        <v>1575</v>
      </c>
      <c r="W880" s="10" t="s">
        <v>1575</v>
      </c>
      <c r="X880" s="10" t="str">
        <f t="shared" si="762"/>
        <v>NA</v>
      </c>
      <c r="Y880" s="10" t="str">
        <f t="shared" si="763"/>
        <v>NA</v>
      </c>
      <c r="Z880" s="10" t="str">
        <f t="shared" si="764"/>
        <v>NA</v>
      </c>
      <c r="AA880" s="10" t="str">
        <f t="shared" si="765"/>
        <v>NA</v>
      </c>
      <c r="AB880" s="10" t="str">
        <f t="shared" si="766"/>
        <v>NA</v>
      </c>
      <c r="AC880" s="10" t="str">
        <f t="shared" si="767"/>
        <v>NA</v>
      </c>
      <c r="AD880" s="10" t="str">
        <f t="shared" si="768"/>
        <v>NA</v>
      </c>
      <c r="AE880" s="10" t="str">
        <f t="shared" si="769"/>
        <v>NA</v>
      </c>
      <c r="AF880" s="1" t="s">
        <v>1250</v>
      </c>
    </row>
    <row r="881" spans="1:32" x14ac:dyDescent="0.2">
      <c r="A881" s="1" t="s">
        <v>978</v>
      </c>
      <c r="B881" s="1" t="s">
        <v>977</v>
      </c>
      <c r="C881" s="1" t="s">
        <v>1575</v>
      </c>
      <c r="D881" s="1" t="s">
        <v>1597</v>
      </c>
      <c r="E881" s="1" t="s">
        <v>1660</v>
      </c>
      <c r="F881" s="1" t="s">
        <v>16</v>
      </c>
      <c r="G881" s="4">
        <v>0.5</v>
      </c>
      <c r="H881" s="28">
        <v>44408</v>
      </c>
      <c r="I881" s="29">
        <f t="shared" si="758"/>
        <v>2021</v>
      </c>
      <c r="J881" s="1" t="s">
        <v>2397</v>
      </c>
      <c r="K881" s="1" t="s">
        <v>7</v>
      </c>
      <c r="L881" s="11" t="str">
        <f t="shared" si="772"/>
        <v>НЕТ</v>
      </c>
      <c r="M881" s="10">
        <v>435</v>
      </c>
      <c r="N881" s="10" t="s">
        <v>1575</v>
      </c>
      <c r="O881" s="10">
        <f>M881*73.1388/1000</f>
        <v>31.815377999999999</v>
      </c>
      <c r="P881" s="10">
        <f t="shared" si="759"/>
        <v>63.630755999999998</v>
      </c>
      <c r="Q881" s="10" t="str">
        <f t="shared" si="760"/>
        <v>NA</v>
      </c>
      <c r="R881" s="10" t="s">
        <v>1575</v>
      </c>
      <c r="S881" s="10" t="s">
        <v>1575</v>
      </c>
      <c r="T881" s="10" t="s">
        <v>1575</v>
      </c>
      <c r="U881" s="10" t="s">
        <v>1575</v>
      </c>
      <c r="V881" s="10" t="s">
        <v>1575</v>
      </c>
      <c r="W881" s="10" t="s">
        <v>1575</v>
      </c>
      <c r="X881" s="10" t="str">
        <f t="shared" si="762"/>
        <v>NA</v>
      </c>
      <c r="Y881" s="10" t="str">
        <f t="shared" si="763"/>
        <v>NA</v>
      </c>
      <c r="Z881" s="10" t="str">
        <f t="shared" si="764"/>
        <v>NA</v>
      </c>
      <c r="AA881" s="10" t="str">
        <f t="shared" si="765"/>
        <v>NA</v>
      </c>
      <c r="AB881" s="10" t="str">
        <f t="shared" si="766"/>
        <v>NA</v>
      </c>
      <c r="AC881" s="10" t="str">
        <f t="shared" si="767"/>
        <v>NA</v>
      </c>
      <c r="AD881" s="10" t="str">
        <f t="shared" si="768"/>
        <v>NA</v>
      </c>
      <c r="AE881" s="10" t="str">
        <f t="shared" si="769"/>
        <v>NA</v>
      </c>
      <c r="AF881" s="1" t="s">
        <v>1247</v>
      </c>
    </row>
    <row r="882" spans="1:32" x14ac:dyDescent="0.2">
      <c r="A882" s="1" t="s">
        <v>979</v>
      </c>
      <c r="B882" s="1" t="s">
        <v>980</v>
      </c>
      <c r="C882" s="1" t="s">
        <v>1575</v>
      </c>
      <c r="D882" s="1" t="s">
        <v>1597</v>
      </c>
      <c r="E882" s="1" t="s">
        <v>1660</v>
      </c>
      <c r="F882" s="1" t="s">
        <v>16</v>
      </c>
      <c r="G882" s="4">
        <v>0.05</v>
      </c>
      <c r="H882" s="28">
        <v>43769</v>
      </c>
      <c r="I882" s="29">
        <f t="shared" si="758"/>
        <v>2019</v>
      </c>
      <c r="J882" s="1" t="s">
        <v>2397</v>
      </c>
      <c r="K882" s="1" t="s">
        <v>981</v>
      </c>
      <c r="L882" s="11" t="str">
        <f t="shared" si="772"/>
        <v>НЕТ</v>
      </c>
      <c r="M882" s="10">
        <v>214</v>
      </c>
      <c r="N882" s="10" t="s">
        <v>1575</v>
      </c>
      <c r="O882" s="10">
        <v>13.8</v>
      </c>
      <c r="P882" s="10">
        <f t="shared" si="759"/>
        <v>276</v>
      </c>
      <c r="Q882" s="10" t="str">
        <f t="shared" si="760"/>
        <v>NA</v>
      </c>
      <c r="R882" s="10" t="s">
        <v>1575</v>
      </c>
      <c r="S882" s="10" t="s">
        <v>1575</v>
      </c>
      <c r="T882" s="10" t="s">
        <v>1575</v>
      </c>
      <c r="U882" s="10" t="s">
        <v>1575</v>
      </c>
      <c r="V882" s="10" t="s">
        <v>1575</v>
      </c>
      <c r="W882" s="10" t="s">
        <v>1575</v>
      </c>
      <c r="X882" s="10" t="str">
        <f t="shared" si="762"/>
        <v>NA</v>
      </c>
      <c r="Y882" s="10" t="str">
        <f t="shared" si="763"/>
        <v>NA</v>
      </c>
      <c r="Z882" s="10" t="str">
        <f t="shared" si="764"/>
        <v>NA</v>
      </c>
      <c r="AA882" s="10" t="str">
        <f t="shared" si="765"/>
        <v>NA</v>
      </c>
      <c r="AB882" s="10" t="str">
        <f t="shared" si="766"/>
        <v>NA</v>
      </c>
      <c r="AC882" s="10" t="str">
        <f t="shared" si="767"/>
        <v>NA</v>
      </c>
      <c r="AD882" s="10" t="str">
        <f t="shared" si="768"/>
        <v>NA</v>
      </c>
      <c r="AE882" s="10" t="str">
        <f t="shared" si="769"/>
        <v>NA</v>
      </c>
      <c r="AF882" s="1" t="s">
        <v>1663</v>
      </c>
    </row>
    <row r="883" spans="1:32" x14ac:dyDescent="0.2">
      <c r="A883" s="1" t="s">
        <v>976</v>
      </c>
      <c r="B883" s="1" t="s">
        <v>974</v>
      </c>
      <c r="C883" s="1" t="s">
        <v>1575</v>
      </c>
      <c r="D883" s="1" t="s">
        <v>1597</v>
      </c>
      <c r="E883" s="1" t="s">
        <v>1660</v>
      </c>
      <c r="F883" s="1" t="s">
        <v>16</v>
      </c>
      <c r="G883" s="4">
        <v>0.25</v>
      </c>
      <c r="H883" s="28">
        <v>43738</v>
      </c>
      <c r="I883" s="29">
        <f t="shared" si="758"/>
        <v>2019</v>
      </c>
      <c r="J883" s="1" t="s">
        <v>2397</v>
      </c>
      <c r="K883" s="1" t="s">
        <v>973</v>
      </c>
      <c r="L883" s="11" t="str">
        <f t="shared" si="772"/>
        <v>НЕТ</v>
      </c>
      <c r="M883" s="10" t="s">
        <v>1575</v>
      </c>
      <c r="N883" s="10" t="s">
        <v>1575</v>
      </c>
      <c r="O883" s="10">
        <v>51.4</v>
      </c>
      <c r="P883" s="10">
        <f t="shared" si="759"/>
        <v>205.6</v>
      </c>
      <c r="Q883" s="10" t="str">
        <f t="shared" si="760"/>
        <v>NA</v>
      </c>
      <c r="R883" s="10" t="s">
        <v>1575</v>
      </c>
      <c r="S883" s="10" t="s">
        <v>1575</v>
      </c>
      <c r="T883" s="10" t="s">
        <v>1575</v>
      </c>
      <c r="U883" s="10" t="s">
        <v>1575</v>
      </c>
      <c r="V883" s="10" t="s">
        <v>1575</v>
      </c>
      <c r="W883" s="10" t="s">
        <v>1575</v>
      </c>
      <c r="X883" s="10" t="str">
        <f t="shared" si="762"/>
        <v>NA</v>
      </c>
      <c r="Y883" s="10" t="str">
        <f t="shared" si="763"/>
        <v>NA</v>
      </c>
      <c r="Z883" s="10" t="str">
        <f t="shared" si="764"/>
        <v>NA</v>
      </c>
      <c r="AA883" s="10" t="str">
        <f t="shared" si="765"/>
        <v>NA</v>
      </c>
      <c r="AB883" s="10" t="str">
        <f t="shared" si="766"/>
        <v>NA</v>
      </c>
      <c r="AC883" s="10" t="str">
        <f t="shared" si="767"/>
        <v>NA</v>
      </c>
      <c r="AD883" s="10" t="str">
        <f t="shared" si="768"/>
        <v>NA</v>
      </c>
      <c r="AE883" s="10" t="str">
        <f t="shared" si="769"/>
        <v>NA</v>
      </c>
      <c r="AF883" s="1" t="s">
        <v>975</v>
      </c>
    </row>
    <row r="884" spans="1:32" x14ac:dyDescent="0.2">
      <c r="A884" s="1" t="s">
        <v>5732</v>
      </c>
      <c r="B884" s="1" t="s">
        <v>5</v>
      </c>
      <c r="C884" s="1" t="s">
        <v>1575</v>
      </c>
      <c r="D884" s="1" t="s">
        <v>1597</v>
      </c>
      <c r="E884" s="1" t="s">
        <v>1660</v>
      </c>
      <c r="F884" s="1" t="s">
        <v>16</v>
      </c>
      <c r="G884" s="4">
        <v>1</v>
      </c>
      <c r="H884" s="28">
        <v>42879</v>
      </c>
      <c r="I884" s="29">
        <f t="shared" si="758"/>
        <v>2017</v>
      </c>
      <c r="J884" s="1" t="s">
        <v>630</v>
      </c>
      <c r="K884" s="1" t="s">
        <v>2397</v>
      </c>
      <c r="L884" s="11" t="str">
        <f t="shared" si="772"/>
        <v>НЕТ</v>
      </c>
      <c r="M884" s="10">
        <v>1450</v>
      </c>
      <c r="N884" s="10" t="s">
        <v>1575</v>
      </c>
      <c r="O884" s="10">
        <f>M884*56.5552/1000</f>
        <v>82.005039999999994</v>
      </c>
      <c r="P884" s="10">
        <f t="shared" si="759"/>
        <v>82.005039999999994</v>
      </c>
      <c r="Q884" s="10" t="str">
        <f t="shared" si="760"/>
        <v>NA</v>
      </c>
      <c r="R884" s="10" t="s">
        <v>1575</v>
      </c>
      <c r="S884" s="10" t="s">
        <v>1575</v>
      </c>
      <c r="T884" s="10" t="s">
        <v>1575</v>
      </c>
      <c r="U884" s="10" t="s">
        <v>1575</v>
      </c>
      <c r="V884" s="10" t="s">
        <v>1575</v>
      </c>
      <c r="W884" s="10" t="s">
        <v>1575</v>
      </c>
      <c r="X884" s="10" t="str">
        <f t="shared" si="762"/>
        <v>NA</v>
      </c>
      <c r="Y884" s="10" t="str">
        <f t="shared" si="763"/>
        <v>NA</v>
      </c>
      <c r="Z884" s="10" t="str">
        <f t="shared" si="764"/>
        <v>NA</v>
      </c>
      <c r="AA884" s="10" t="str">
        <f t="shared" si="765"/>
        <v>NA</v>
      </c>
      <c r="AB884" s="10" t="str">
        <f t="shared" si="766"/>
        <v>NA</v>
      </c>
      <c r="AC884" s="10" t="str">
        <f t="shared" si="767"/>
        <v>NA</v>
      </c>
      <c r="AD884" s="10" t="str">
        <f t="shared" si="768"/>
        <v>NA</v>
      </c>
      <c r="AE884" s="10" t="str">
        <f t="shared" si="769"/>
        <v>NA</v>
      </c>
      <c r="AF884" s="1" t="s">
        <v>631</v>
      </c>
    </row>
    <row r="885" spans="1:32" x14ac:dyDescent="0.2">
      <c r="A885" s="1" t="s">
        <v>20</v>
      </c>
      <c r="B885" s="1" t="s">
        <v>21</v>
      </c>
      <c r="C885" s="1" t="s">
        <v>1575</v>
      </c>
      <c r="D885" s="1" t="s">
        <v>1597</v>
      </c>
      <c r="E885" s="1" t="s">
        <v>1660</v>
      </c>
      <c r="F885" s="1" t="s">
        <v>16</v>
      </c>
      <c r="G885" s="4">
        <v>0.5</v>
      </c>
      <c r="H885" s="28">
        <v>42236</v>
      </c>
      <c r="I885" s="29">
        <f t="shared" si="758"/>
        <v>2015</v>
      </c>
      <c r="J885" s="1" t="s">
        <v>19</v>
      </c>
      <c r="K885" s="1" t="s">
        <v>2397</v>
      </c>
      <c r="L885" s="11" t="str">
        <f t="shared" si="772"/>
        <v>НЕТ</v>
      </c>
      <c r="M885" s="10">
        <v>1067</v>
      </c>
      <c r="N885" s="10" t="s">
        <v>1575</v>
      </c>
      <c r="O885" s="10">
        <f>M885*65.7222/1000</f>
        <v>70.125587400000001</v>
      </c>
      <c r="P885" s="10">
        <f t="shared" si="759"/>
        <v>140.2511748</v>
      </c>
      <c r="Q885" s="10" t="str">
        <f t="shared" si="760"/>
        <v>NA</v>
      </c>
      <c r="R885" s="10" t="s">
        <v>1575</v>
      </c>
      <c r="S885" s="10" t="s">
        <v>1575</v>
      </c>
      <c r="T885" s="10" t="s">
        <v>1575</v>
      </c>
      <c r="U885" s="10" t="s">
        <v>1575</v>
      </c>
      <c r="V885" s="10" t="s">
        <v>1575</v>
      </c>
      <c r="W885" s="10" t="s">
        <v>1575</v>
      </c>
      <c r="X885" s="10" t="str">
        <f t="shared" si="762"/>
        <v>NA</v>
      </c>
      <c r="Y885" s="10" t="str">
        <f t="shared" si="763"/>
        <v>NA</v>
      </c>
      <c r="Z885" s="10" t="str">
        <f t="shared" si="764"/>
        <v>NA</v>
      </c>
      <c r="AA885" s="10" t="str">
        <f t="shared" si="765"/>
        <v>NA</v>
      </c>
      <c r="AB885" s="10" t="str">
        <f t="shared" si="766"/>
        <v>NA</v>
      </c>
      <c r="AC885" s="10" t="str">
        <f t="shared" si="767"/>
        <v>NA</v>
      </c>
      <c r="AD885" s="10" t="str">
        <f t="shared" si="768"/>
        <v>NA</v>
      </c>
      <c r="AE885" s="10" t="str">
        <f t="shared" si="769"/>
        <v>NA</v>
      </c>
      <c r="AF885" s="1" t="s">
        <v>3824</v>
      </c>
    </row>
    <row r="886" spans="1:32" x14ac:dyDescent="0.2">
      <c r="A886" s="1" t="s">
        <v>22</v>
      </c>
      <c r="B886" s="1" t="s">
        <v>23</v>
      </c>
      <c r="C886" s="1" t="s">
        <v>1575</v>
      </c>
      <c r="D886" s="1" t="s">
        <v>1597</v>
      </c>
      <c r="E886" s="1" t="s">
        <v>1699</v>
      </c>
      <c r="F886" s="1" t="s">
        <v>4</v>
      </c>
      <c r="G886" s="4">
        <v>0.2</v>
      </c>
      <c r="H886" s="28">
        <v>41639</v>
      </c>
      <c r="I886" s="29">
        <f t="shared" si="758"/>
        <v>2013</v>
      </c>
      <c r="J886" s="1" t="s">
        <v>2397</v>
      </c>
      <c r="K886" s="1" t="s">
        <v>24</v>
      </c>
      <c r="L886" s="11" t="str">
        <f t="shared" si="772"/>
        <v>НЕТ</v>
      </c>
      <c r="M886" s="10">
        <v>613</v>
      </c>
      <c r="N886" s="10">
        <v>446</v>
      </c>
      <c r="O886" s="10">
        <f>M886*32.7292/1000</f>
        <v>20.062999599999998</v>
      </c>
      <c r="P886" s="10">
        <f t="shared" si="759"/>
        <v>100.31499799999999</v>
      </c>
      <c r="Q886" s="10" t="str">
        <f t="shared" si="760"/>
        <v>NA</v>
      </c>
      <c r="R886" s="10" t="s">
        <v>1575</v>
      </c>
      <c r="S886" s="10" t="s">
        <v>1575</v>
      </c>
      <c r="T886" s="10" t="s">
        <v>1575</v>
      </c>
      <c r="U886" s="10" t="s">
        <v>1575</v>
      </c>
      <c r="V886" s="10" t="s">
        <v>1575</v>
      </c>
      <c r="W886" s="10" t="s">
        <v>1575</v>
      </c>
      <c r="X886" s="10" t="str">
        <f t="shared" si="762"/>
        <v>NA</v>
      </c>
      <c r="Y886" s="10" t="str">
        <f t="shared" si="763"/>
        <v>NA</v>
      </c>
      <c r="Z886" s="10" t="str">
        <f t="shared" si="764"/>
        <v>NA</v>
      </c>
      <c r="AA886" s="10" t="str">
        <f t="shared" si="765"/>
        <v>NA</v>
      </c>
      <c r="AB886" s="10" t="str">
        <f t="shared" si="766"/>
        <v>NA</v>
      </c>
      <c r="AC886" s="10" t="str">
        <f t="shared" si="767"/>
        <v>NA</v>
      </c>
      <c r="AD886" s="10" t="str">
        <f t="shared" si="768"/>
        <v>NA</v>
      </c>
      <c r="AE886" s="10" t="str">
        <f t="shared" si="769"/>
        <v>NA</v>
      </c>
      <c r="AF886" s="1" t="s">
        <v>3825</v>
      </c>
    </row>
    <row r="887" spans="1:32" x14ac:dyDescent="0.2">
      <c r="A887" s="1" t="s">
        <v>22</v>
      </c>
      <c r="B887" s="1" t="s">
        <v>23</v>
      </c>
      <c r="C887" s="1" t="s">
        <v>1575</v>
      </c>
      <c r="D887" s="1" t="s">
        <v>1597</v>
      </c>
      <c r="E887" s="1" t="s">
        <v>1699</v>
      </c>
      <c r="F887" s="1" t="s">
        <v>4</v>
      </c>
      <c r="G887" s="4">
        <v>0.2</v>
      </c>
      <c r="H887" s="28">
        <v>41182</v>
      </c>
      <c r="I887" s="29">
        <f t="shared" si="758"/>
        <v>2012</v>
      </c>
      <c r="J887" s="1" t="s">
        <v>2397</v>
      </c>
      <c r="K887" s="1" t="s">
        <v>24</v>
      </c>
      <c r="L887" s="11" t="str">
        <f t="shared" si="772"/>
        <v>НЕТ</v>
      </c>
      <c r="M887" s="10">
        <v>621</v>
      </c>
      <c r="N887" s="10">
        <v>494</v>
      </c>
      <c r="O887" s="10">
        <f>M887*30.9169/1000</f>
        <v>19.199394899999998</v>
      </c>
      <c r="P887" s="10">
        <f t="shared" si="759"/>
        <v>95.996974499999979</v>
      </c>
      <c r="Q887" s="10" t="str">
        <f t="shared" si="760"/>
        <v>NA</v>
      </c>
      <c r="R887" s="10" t="s">
        <v>1575</v>
      </c>
      <c r="S887" s="10" t="s">
        <v>1575</v>
      </c>
      <c r="T887" s="10" t="s">
        <v>1575</v>
      </c>
      <c r="U887" s="10" t="s">
        <v>1575</v>
      </c>
      <c r="V887" s="10" t="s">
        <v>1575</v>
      </c>
      <c r="W887" s="10" t="s">
        <v>1575</v>
      </c>
      <c r="X887" s="10" t="str">
        <f t="shared" si="762"/>
        <v>NA</v>
      </c>
      <c r="Y887" s="10" t="str">
        <f t="shared" si="763"/>
        <v>NA</v>
      </c>
      <c r="Z887" s="10" t="str">
        <f t="shared" si="764"/>
        <v>NA</v>
      </c>
      <c r="AA887" s="10" t="str">
        <f t="shared" si="765"/>
        <v>NA</v>
      </c>
      <c r="AB887" s="10" t="str">
        <f t="shared" si="766"/>
        <v>NA</v>
      </c>
      <c r="AC887" s="10" t="str">
        <f t="shared" si="767"/>
        <v>NA</v>
      </c>
      <c r="AD887" s="10" t="str">
        <f t="shared" si="768"/>
        <v>NA</v>
      </c>
      <c r="AE887" s="10" t="str">
        <f t="shared" si="769"/>
        <v>NA</v>
      </c>
      <c r="AF887" s="1" t="s">
        <v>3825</v>
      </c>
    </row>
    <row r="888" spans="1:32" x14ac:dyDescent="0.2">
      <c r="A888" s="1" t="s">
        <v>5733</v>
      </c>
      <c r="B888" s="1" t="s">
        <v>5</v>
      </c>
      <c r="C888" s="1" t="s">
        <v>1575</v>
      </c>
      <c r="D888" s="1" t="s">
        <v>1597</v>
      </c>
      <c r="E888" s="1" t="s">
        <v>1660</v>
      </c>
      <c r="F888" s="1" t="s">
        <v>16</v>
      </c>
      <c r="G888" s="4">
        <v>1</v>
      </c>
      <c r="H888" s="28">
        <v>41394</v>
      </c>
      <c r="I888" s="29">
        <f t="shared" si="758"/>
        <v>2013</v>
      </c>
      <c r="J888" s="1" t="s">
        <v>2397</v>
      </c>
      <c r="K888" s="1" t="s">
        <v>7</v>
      </c>
      <c r="L888" s="11" t="str">
        <f t="shared" si="772"/>
        <v>НЕТ</v>
      </c>
      <c r="M888" s="10">
        <v>2100</v>
      </c>
      <c r="N888" s="10" t="s">
        <v>1575</v>
      </c>
      <c r="O888" s="10">
        <f>M888*31.2559/1000</f>
        <v>65.637389999999996</v>
      </c>
      <c r="P888" s="10">
        <f t="shared" si="759"/>
        <v>65.637389999999996</v>
      </c>
      <c r="Q888" s="10" t="str">
        <f t="shared" si="760"/>
        <v>NA</v>
      </c>
      <c r="R888" s="10" t="s">
        <v>1575</v>
      </c>
      <c r="S888" s="10" t="s">
        <v>1575</v>
      </c>
      <c r="T888" s="10" t="s">
        <v>1575</v>
      </c>
      <c r="U888" s="10" t="s">
        <v>1575</v>
      </c>
      <c r="V888" s="10" t="s">
        <v>1575</v>
      </c>
      <c r="W888" s="10" t="s">
        <v>1575</v>
      </c>
      <c r="X888" s="10" t="str">
        <f t="shared" si="762"/>
        <v>NA</v>
      </c>
      <c r="Y888" s="10" t="str">
        <f t="shared" si="763"/>
        <v>NA</v>
      </c>
      <c r="Z888" s="10" t="str">
        <f t="shared" si="764"/>
        <v>NA</v>
      </c>
      <c r="AA888" s="10" t="str">
        <f t="shared" si="765"/>
        <v>NA</v>
      </c>
      <c r="AB888" s="10" t="str">
        <f t="shared" si="766"/>
        <v>NA</v>
      </c>
      <c r="AC888" s="10" t="str">
        <f t="shared" si="767"/>
        <v>NA</v>
      </c>
      <c r="AD888" s="10" t="str">
        <f t="shared" si="768"/>
        <v>NA</v>
      </c>
      <c r="AE888" s="10" t="str">
        <f t="shared" si="769"/>
        <v>NA</v>
      </c>
      <c r="AF888" s="1" t="s">
        <v>3826</v>
      </c>
    </row>
    <row r="889" spans="1:32" x14ac:dyDescent="0.2">
      <c r="A889" s="1" t="s">
        <v>5734</v>
      </c>
      <c r="B889" s="1" t="s">
        <v>5</v>
      </c>
      <c r="C889" s="1" t="s">
        <v>1575</v>
      </c>
      <c r="D889" s="1" t="s">
        <v>1597</v>
      </c>
      <c r="E889" s="1" t="s">
        <v>1660</v>
      </c>
      <c r="F889" s="1" t="s">
        <v>16</v>
      </c>
      <c r="G889" s="4">
        <v>0.5</v>
      </c>
      <c r="H889" s="28">
        <v>41394</v>
      </c>
      <c r="I889" s="29">
        <f t="shared" ref="I889:I972" si="775">YEAR(H889)</f>
        <v>2013</v>
      </c>
      <c r="J889" s="1" t="s">
        <v>2397</v>
      </c>
      <c r="K889" s="1" t="s">
        <v>7</v>
      </c>
      <c r="L889" s="11" t="str">
        <f t="shared" si="772"/>
        <v>НЕТ</v>
      </c>
      <c r="M889" s="10">
        <v>400</v>
      </c>
      <c r="N889" s="10" t="s">
        <v>1575</v>
      </c>
      <c r="O889" s="10">
        <f>M889*31.2559/1000</f>
        <v>12.502360000000001</v>
      </c>
      <c r="P889" s="10">
        <f t="shared" si="759"/>
        <v>25.004720000000002</v>
      </c>
      <c r="Q889" s="10" t="str">
        <f t="shared" si="760"/>
        <v>NA</v>
      </c>
      <c r="R889" s="10" t="s">
        <v>1575</v>
      </c>
      <c r="S889" s="10" t="s">
        <v>1575</v>
      </c>
      <c r="T889" s="10" t="s">
        <v>1575</v>
      </c>
      <c r="U889" s="10" t="s">
        <v>1575</v>
      </c>
      <c r="V889" s="10" t="s">
        <v>1575</v>
      </c>
      <c r="W889" s="10" t="s">
        <v>1575</v>
      </c>
      <c r="X889" s="10" t="str">
        <f t="shared" si="762"/>
        <v>NA</v>
      </c>
      <c r="Y889" s="10" t="str">
        <f t="shared" si="763"/>
        <v>NA</v>
      </c>
      <c r="Z889" s="10" t="str">
        <f t="shared" si="764"/>
        <v>NA</v>
      </c>
      <c r="AA889" s="10" t="str">
        <f t="shared" si="765"/>
        <v>NA</v>
      </c>
      <c r="AB889" s="10" t="str">
        <f t="shared" si="766"/>
        <v>NA</v>
      </c>
      <c r="AC889" s="10" t="str">
        <f t="shared" si="767"/>
        <v>NA</v>
      </c>
      <c r="AD889" s="10" t="str">
        <f t="shared" si="768"/>
        <v>NA</v>
      </c>
      <c r="AE889" s="10" t="str">
        <f t="shared" si="769"/>
        <v>NA</v>
      </c>
      <c r="AF889" s="1" t="s">
        <v>3827</v>
      </c>
    </row>
    <row r="890" spans="1:32" x14ac:dyDescent="0.2">
      <c r="A890" s="1" t="s">
        <v>658</v>
      </c>
      <c r="B890" s="1" t="s">
        <v>3</v>
      </c>
      <c r="C890" s="1" t="s">
        <v>1575</v>
      </c>
      <c r="D890" s="1" t="s">
        <v>1597</v>
      </c>
      <c r="E890" s="1" t="s">
        <v>1666</v>
      </c>
      <c r="F890" s="1" t="s">
        <v>629</v>
      </c>
      <c r="G890" s="4">
        <v>1</v>
      </c>
      <c r="H890" s="28">
        <v>44377</v>
      </c>
      <c r="I890" s="29">
        <f t="shared" si="775"/>
        <v>2021</v>
      </c>
      <c r="J890" s="1" t="s">
        <v>2396</v>
      </c>
      <c r="K890" s="1" t="s">
        <v>5735</v>
      </c>
      <c r="L890" s="11" t="str">
        <f t="shared" si="772"/>
        <v>НЕТ</v>
      </c>
      <c r="M890" s="10" t="s">
        <v>1575</v>
      </c>
      <c r="N890" s="10" t="s">
        <v>1575</v>
      </c>
      <c r="O890" s="10">
        <v>16.867999999999999</v>
      </c>
      <c r="P890" s="10">
        <f t="shared" si="759"/>
        <v>16.867999999999999</v>
      </c>
      <c r="Q890" s="10" t="str">
        <f t="shared" si="760"/>
        <v>NA</v>
      </c>
      <c r="R890" s="10" t="s">
        <v>1575</v>
      </c>
      <c r="S890" s="10" t="s">
        <v>1575</v>
      </c>
      <c r="T890" s="10" t="s">
        <v>1575</v>
      </c>
      <c r="U890" s="10" t="s">
        <v>1575</v>
      </c>
      <c r="V890" s="10" t="s">
        <v>1575</v>
      </c>
      <c r="W890" s="10" t="s">
        <v>1575</v>
      </c>
      <c r="X890" s="10" t="str">
        <f t="shared" si="762"/>
        <v>NA</v>
      </c>
      <c r="Y890" s="10" t="str">
        <f t="shared" si="763"/>
        <v>NA</v>
      </c>
      <c r="Z890" s="10" t="str">
        <f t="shared" si="764"/>
        <v>NA</v>
      </c>
      <c r="AA890" s="10" t="str">
        <f t="shared" si="765"/>
        <v>NA</v>
      </c>
      <c r="AB890" s="10" t="str">
        <f t="shared" si="766"/>
        <v>NA</v>
      </c>
      <c r="AC890" s="10" t="str">
        <f t="shared" si="767"/>
        <v>NA</v>
      </c>
      <c r="AD890" s="10" t="str">
        <f t="shared" si="768"/>
        <v>NA</v>
      </c>
      <c r="AE890" s="10" t="str">
        <f t="shared" si="769"/>
        <v>NA</v>
      </c>
      <c r="AF890" s="1" t="s">
        <v>657</v>
      </c>
    </row>
    <row r="891" spans="1:32" x14ac:dyDescent="0.2">
      <c r="A891" s="1" t="s">
        <v>5735</v>
      </c>
      <c r="B891" s="1" t="s">
        <v>5</v>
      </c>
      <c r="C891" s="1" t="s">
        <v>3822</v>
      </c>
      <c r="D891" s="1" t="s">
        <v>1580</v>
      </c>
      <c r="E891" s="1" t="s">
        <v>1694</v>
      </c>
      <c r="F891" s="1" t="s">
        <v>68</v>
      </c>
      <c r="G891" s="4">
        <f>49.88%-47.87%</f>
        <v>2.0100000000000062E-2</v>
      </c>
      <c r="H891" s="28">
        <v>43921</v>
      </c>
      <c r="I891" s="29">
        <f t="shared" si="775"/>
        <v>2020</v>
      </c>
      <c r="J891" s="1" t="s">
        <v>2396</v>
      </c>
      <c r="K891" s="1" t="s">
        <v>7</v>
      </c>
      <c r="L891" s="11" t="str">
        <f t="shared" si="772"/>
        <v>НЕТ</v>
      </c>
      <c r="M891" s="10" t="s">
        <v>1575</v>
      </c>
      <c r="N891" s="10" t="s">
        <v>1575</v>
      </c>
      <c r="O891" s="10" t="s">
        <v>1575</v>
      </c>
      <c r="P891" s="10" t="str">
        <f t="shared" si="759"/>
        <v>NA</v>
      </c>
      <c r="Q891" s="10" t="str">
        <f t="shared" si="760"/>
        <v>NA</v>
      </c>
      <c r="R891" s="10" t="s">
        <v>1575</v>
      </c>
      <c r="S891" s="10" t="s">
        <v>1575</v>
      </c>
      <c r="T891" s="10" t="s">
        <v>1575</v>
      </c>
      <c r="U891" s="10">
        <v>92.661000000000001</v>
      </c>
      <c r="V891" s="10">
        <v>731.822</v>
      </c>
      <c r="W891" s="10" t="s">
        <v>1575</v>
      </c>
      <c r="X891" s="10" t="str">
        <f t="shared" si="762"/>
        <v>NA</v>
      </c>
      <c r="Y891" s="10" t="str">
        <f t="shared" si="763"/>
        <v>NA</v>
      </c>
      <c r="Z891" s="10" t="str">
        <f t="shared" si="764"/>
        <v>NA</v>
      </c>
      <c r="AA891" s="10" t="str">
        <f t="shared" si="765"/>
        <v>NA</v>
      </c>
      <c r="AB891" s="10" t="str">
        <f t="shared" si="766"/>
        <v>NA</v>
      </c>
      <c r="AC891" s="10" t="str">
        <f t="shared" si="767"/>
        <v>NA</v>
      </c>
      <c r="AD891" s="10" t="str">
        <f t="shared" si="768"/>
        <v>NA</v>
      </c>
      <c r="AE891" s="10" t="str">
        <f t="shared" si="769"/>
        <v>NA</v>
      </c>
      <c r="AF891" s="1" t="s">
        <v>3828</v>
      </c>
    </row>
    <row r="892" spans="1:32" x14ac:dyDescent="0.2">
      <c r="A892" s="1" t="s">
        <v>5736</v>
      </c>
      <c r="B892" s="1" t="s">
        <v>5</v>
      </c>
      <c r="C892" s="1" t="s">
        <v>1575</v>
      </c>
      <c r="D892" s="1" t="s">
        <v>2160</v>
      </c>
      <c r="E892" s="1" t="s">
        <v>2882</v>
      </c>
      <c r="F892" s="1" t="s">
        <v>656</v>
      </c>
      <c r="G892" s="4">
        <v>1</v>
      </c>
      <c r="H892" s="28">
        <v>43830</v>
      </c>
      <c r="I892" s="29">
        <f t="shared" si="775"/>
        <v>2019</v>
      </c>
      <c r="J892" s="1" t="s">
        <v>2396</v>
      </c>
      <c r="K892" s="1" t="s">
        <v>7</v>
      </c>
      <c r="L892" s="11" t="str">
        <f t="shared" si="772"/>
        <v>НЕТ</v>
      </c>
      <c r="M892" s="10" t="s">
        <v>1575</v>
      </c>
      <c r="N892" s="10" t="s">
        <v>1575</v>
      </c>
      <c r="O892" s="10">
        <v>10</v>
      </c>
      <c r="P892" s="10">
        <f t="shared" si="759"/>
        <v>10</v>
      </c>
      <c r="Q892" s="10">
        <f t="shared" si="760"/>
        <v>45.881</v>
      </c>
      <c r="R892" s="10" t="s">
        <v>1575</v>
      </c>
      <c r="S892" s="10" t="s">
        <v>1575</v>
      </c>
      <c r="T892" s="10" t="s">
        <v>1575</v>
      </c>
      <c r="U892" s="10" t="s">
        <v>1575</v>
      </c>
      <c r="V892" s="10">
        <v>-4.4749999999999996</v>
      </c>
      <c r="W892" s="10">
        <f>33.744+5.397-3.26</f>
        <v>35.881</v>
      </c>
      <c r="X892" s="10">
        <f t="shared" si="762"/>
        <v>31.405999999999999</v>
      </c>
      <c r="Y892" s="10" t="str">
        <f t="shared" si="763"/>
        <v>NA</v>
      </c>
      <c r="Z892" s="10" t="str">
        <f t="shared" si="764"/>
        <v>NA</v>
      </c>
      <c r="AA892" s="10">
        <f t="shared" si="765"/>
        <v>-2.2346368715083802</v>
      </c>
      <c r="AB892" s="10" t="str">
        <f t="shared" si="766"/>
        <v>NA</v>
      </c>
      <c r="AC892" s="10" t="str">
        <f t="shared" si="767"/>
        <v>NA</v>
      </c>
      <c r="AD892" s="10" t="str">
        <f t="shared" si="768"/>
        <v>NA</v>
      </c>
      <c r="AE892" s="10">
        <f t="shared" si="769"/>
        <v>1.4608991912373432</v>
      </c>
      <c r="AF892" s="1" t="s">
        <v>3829</v>
      </c>
    </row>
    <row r="893" spans="1:32" x14ac:dyDescent="0.2">
      <c r="A893" s="1" t="s">
        <v>5735</v>
      </c>
      <c r="B893" s="1" t="s">
        <v>5</v>
      </c>
      <c r="C893" s="1" t="s">
        <v>3822</v>
      </c>
      <c r="D893" s="1" t="s">
        <v>1580</v>
      </c>
      <c r="E893" s="1" t="s">
        <v>1694</v>
      </c>
      <c r="F893" s="1" t="s">
        <v>68</v>
      </c>
      <c r="G893" s="4">
        <v>0.16</v>
      </c>
      <c r="H893" s="28">
        <v>42914</v>
      </c>
      <c r="I893" s="29">
        <f t="shared" si="775"/>
        <v>2017</v>
      </c>
      <c r="J893" s="1" t="s">
        <v>2396</v>
      </c>
      <c r="K893" s="1" t="s">
        <v>7</v>
      </c>
      <c r="L893" s="11" t="str">
        <f t="shared" si="772"/>
        <v>НЕТ</v>
      </c>
      <c r="M893" s="10" t="s">
        <v>1575</v>
      </c>
      <c r="N893" s="10" t="s">
        <v>1575</v>
      </c>
      <c r="O893" s="10">
        <v>60</v>
      </c>
      <c r="P893" s="10">
        <f t="shared" si="759"/>
        <v>375</v>
      </c>
      <c r="Q893" s="10" t="str">
        <f t="shared" si="760"/>
        <v>NA</v>
      </c>
      <c r="R893" s="10" t="s">
        <v>1575</v>
      </c>
      <c r="S893" s="10" t="s">
        <v>1575</v>
      </c>
      <c r="T893" s="10" t="s">
        <v>1575</v>
      </c>
      <c r="U893" s="10">
        <v>44.582000000000001</v>
      </c>
      <c r="V893" s="10">
        <v>522.35900000000004</v>
      </c>
      <c r="W893" s="10" t="s">
        <v>1575</v>
      </c>
      <c r="X893" s="10" t="str">
        <f t="shared" si="762"/>
        <v>NA</v>
      </c>
      <c r="Y893" s="10" t="str">
        <f t="shared" si="763"/>
        <v>NA</v>
      </c>
      <c r="Z893" s="10">
        <f t="shared" si="764"/>
        <v>8.4114665111479976</v>
      </c>
      <c r="AA893" s="10">
        <f t="shared" si="765"/>
        <v>0.71789707844604955</v>
      </c>
      <c r="AB893" s="10" t="str">
        <f t="shared" si="766"/>
        <v>NA</v>
      </c>
      <c r="AC893" s="10" t="str">
        <f t="shared" si="767"/>
        <v>NA</v>
      </c>
      <c r="AD893" s="10" t="str">
        <f t="shared" si="768"/>
        <v>NA</v>
      </c>
      <c r="AE893" s="10" t="str">
        <f t="shared" si="769"/>
        <v>NA</v>
      </c>
      <c r="AF893" s="1" t="s">
        <v>655</v>
      </c>
    </row>
    <row r="894" spans="1:32" x14ac:dyDescent="0.2">
      <c r="A894" s="1" t="s">
        <v>5737</v>
      </c>
      <c r="B894" s="1" t="s">
        <v>5</v>
      </c>
      <c r="C894" s="1" t="s">
        <v>1575</v>
      </c>
      <c r="D894" s="1" t="s">
        <v>1597</v>
      </c>
      <c r="E894" s="1" t="s">
        <v>1666</v>
      </c>
      <c r="F894" s="1" t="s">
        <v>16</v>
      </c>
      <c r="G894" s="4">
        <v>0.25</v>
      </c>
      <c r="H894" s="28">
        <v>42400</v>
      </c>
      <c r="I894" s="29">
        <f t="shared" si="775"/>
        <v>2016</v>
      </c>
      <c r="J894" s="1" t="s">
        <v>627</v>
      </c>
      <c r="K894" s="1" t="s">
        <v>2396</v>
      </c>
      <c r="L894" s="11" t="str">
        <f t="shared" si="772"/>
        <v>НЕТ</v>
      </c>
      <c r="M894" s="10" t="s">
        <v>1575</v>
      </c>
      <c r="N894" s="10">
        <v>251</v>
      </c>
      <c r="O894" s="10">
        <f>N894*81.9077/1000</f>
        <v>20.558832700000004</v>
      </c>
      <c r="P894" s="10">
        <f t="shared" si="759"/>
        <v>82.235330800000014</v>
      </c>
      <c r="Q894" s="10" t="str">
        <f t="shared" si="760"/>
        <v>NA</v>
      </c>
      <c r="R894" s="10" t="s">
        <v>1575</v>
      </c>
      <c r="S894" s="10" t="s">
        <v>1575</v>
      </c>
      <c r="T894" s="10" t="s">
        <v>1575</v>
      </c>
      <c r="U894" s="10" t="s">
        <v>1575</v>
      </c>
      <c r="V894" s="10" t="s">
        <v>1575</v>
      </c>
      <c r="W894" s="10" t="s">
        <v>1575</v>
      </c>
      <c r="X894" s="10" t="str">
        <f t="shared" si="762"/>
        <v>NA</v>
      </c>
      <c r="Y894" s="10" t="str">
        <f t="shared" si="763"/>
        <v>NA</v>
      </c>
      <c r="Z894" s="10" t="str">
        <f t="shared" si="764"/>
        <v>NA</v>
      </c>
      <c r="AA894" s="10" t="str">
        <f t="shared" si="765"/>
        <v>NA</v>
      </c>
      <c r="AB894" s="10" t="str">
        <f t="shared" si="766"/>
        <v>NA</v>
      </c>
      <c r="AC894" s="10" t="str">
        <f t="shared" si="767"/>
        <v>NA</v>
      </c>
      <c r="AD894" s="10" t="str">
        <f t="shared" si="768"/>
        <v>NA</v>
      </c>
      <c r="AE894" s="10" t="str">
        <f t="shared" si="769"/>
        <v>NA</v>
      </c>
      <c r="AF894" s="1" t="s">
        <v>3830</v>
      </c>
    </row>
    <row r="895" spans="1:32" x14ac:dyDescent="0.2">
      <c r="A895" s="1" t="s">
        <v>5738</v>
      </c>
      <c r="B895" s="1" t="s">
        <v>5</v>
      </c>
      <c r="C895" s="1" t="s">
        <v>1575</v>
      </c>
      <c r="D895" s="1" t="s">
        <v>1597</v>
      </c>
      <c r="E895" s="1" t="s">
        <v>1661</v>
      </c>
      <c r="F895" s="1" t="s">
        <v>16</v>
      </c>
      <c r="G895" s="4" t="s">
        <v>7</v>
      </c>
      <c r="H895" s="28">
        <v>42277</v>
      </c>
      <c r="I895" s="29">
        <f t="shared" si="775"/>
        <v>2015</v>
      </c>
      <c r="J895" s="1" t="s">
        <v>25</v>
      </c>
      <c r="K895" s="1" t="s">
        <v>2396</v>
      </c>
      <c r="L895" s="11" t="str">
        <f t="shared" si="772"/>
        <v>НЕТ</v>
      </c>
      <c r="M895" s="10" t="s">
        <v>1575</v>
      </c>
      <c r="N895" s="10">
        <v>29</v>
      </c>
      <c r="O895" s="10">
        <v>2.17</v>
      </c>
      <c r="P895" s="10" t="str">
        <f t="shared" si="759"/>
        <v>NA</v>
      </c>
      <c r="Q895" s="10" t="str">
        <f t="shared" si="760"/>
        <v>NA</v>
      </c>
      <c r="R895" s="10" t="s">
        <v>1575</v>
      </c>
      <c r="S895" s="10" t="s">
        <v>1575</v>
      </c>
      <c r="T895" s="10" t="s">
        <v>1575</v>
      </c>
      <c r="U895" s="10" t="s">
        <v>1575</v>
      </c>
      <c r="V895" s="10" t="s">
        <v>1575</v>
      </c>
      <c r="W895" s="10" t="s">
        <v>1575</v>
      </c>
      <c r="X895" s="10" t="str">
        <f t="shared" si="762"/>
        <v>NA</v>
      </c>
      <c r="Y895" s="10" t="str">
        <f t="shared" si="763"/>
        <v>NA</v>
      </c>
      <c r="Z895" s="10" t="str">
        <f t="shared" si="764"/>
        <v>NA</v>
      </c>
      <c r="AA895" s="10" t="str">
        <f t="shared" si="765"/>
        <v>NA</v>
      </c>
      <c r="AB895" s="10" t="str">
        <f t="shared" si="766"/>
        <v>NA</v>
      </c>
      <c r="AC895" s="10" t="str">
        <f t="shared" si="767"/>
        <v>NA</v>
      </c>
      <c r="AD895" s="10" t="str">
        <f t="shared" si="768"/>
        <v>NA</v>
      </c>
      <c r="AE895" s="10" t="str">
        <f t="shared" si="769"/>
        <v>NA</v>
      </c>
      <c r="AF895" s="1" t="s">
        <v>1665</v>
      </c>
    </row>
    <row r="896" spans="1:32" x14ac:dyDescent="0.2">
      <c r="A896" s="1" t="s">
        <v>5739</v>
      </c>
      <c r="B896" s="1" t="s">
        <v>3</v>
      </c>
      <c r="C896" s="1" t="s">
        <v>1575</v>
      </c>
      <c r="D896" s="1" t="s">
        <v>1597</v>
      </c>
      <c r="E896" s="1" t="s">
        <v>1666</v>
      </c>
      <c r="F896" s="1" t="s">
        <v>629</v>
      </c>
      <c r="G896" s="4" t="s">
        <v>7</v>
      </c>
      <c r="H896" s="28">
        <v>42277</v>
      </c>
      <c r="I896" s="29">
        <f t="shared" si="775"/>
        <v>2015</v>
      </c>
      <c r="J896" s="1" t="s">
        <v>2396</v>
      </c>
      <c r="K896" s="1" t="s">
        <v>5740</v>
      </c>
      <c r="L896" s="11" t="str">
        <f t="shared" si="772"/>
        <v>НЕТ</v>
      </c>
      <c r="M896" s="10" t="s">
        <v>1575</v>
      </c>
      <c r="N896" s="10" t="s">
        <v>1575</v>
      </c>
      <c r="O896" s="10">
        <f>64.059+87.774</f>
        <v>151.833</v>
      </c>
      <c r="P896" s="10" t="str">
        <f t="shared" si="759"/>
        <v>NA</v>
      </c>
      <c r="Q896" s="10" t="str">
        <f t="shared" si="760"/>
        <v>NA</v>
      </c>
      <c r="R896" s="10" t="s">
        <v>1575</v>
      </c>
      <c r="S896" s="10" t="s">
        <v>1575</v>
      </c>
      <c r="T896" s="10" t="s">
        <v>1575</v>
      </c>
      <c r="U896" s="10" t="s">
        <v>1575</v>
      </c>
      <c r="V896" s="10" t="s">
        <v>1575</v>
      </c>
      <c r="W896" s="10" t="s">
        <v>1575</v>
      </c>
      <c r="X896" s="10" t="str">
        <f t="shared" si="762"/>
        <v>NA</v>
      </c>
      <c r="Y896" s="10" t="str">
        <f t="shared" si="763"/>
        <v>NA</v>
      </c>
      <c r="Z896" s="10" t="str">
        <f t="shared" si="764"/>
        <v>NA</v>
      </c>
      <c r="AA896" s="10" t="str">
        <f t="shared" si="765"/>
        <v>NA</v>
      </c>
      <c r="AB896" s="10" t="str">
        <f t="shared" si="766"/>
        <v>NA</v>
      </c>
      <c r="AC896" s="10" t="str">
        <f t="shared" si="767"/>
        <v>NA</v>
      </c>
      <c r="AD896" s="10" t="str">
        <f t="shared" si="768"/>
        <v>NA</v>
      </c>
      <c r="AE896" s="10" t="str">
        <f t="shared" si="769"/>
        <v>NA</v>
      </c>
      <c r="AF896" s="1" t="s">
        <v>628</v>
      </c>
    </row>
    <row r="897" spans="1:32" x14ac:dyDescent="0.2">
      <c r="A897" s="1" t="s">
        <v>26</v>
      </c>
      <c r="B897" s="1" t="s">
        <v>28</v>
      </c>
      <c r="C897" s="1" t="s">
        <v>1575</v>
      </c>
      <c r="D897" s="1" t="s">
        <v>1597</v>
      </c>
      <c r="E897" s="1" t="s">
        <v>1661</v>
      </c>
      <c r="F897" s="1" t="s">
        <v>16</v>
      </c>
      <c r="G897" s="4">
        <v>0.25</v>
      </c>
      <c r="H897" s="28">
        <v>42215</v>
      </c>
      <c r="I897" s="29">
        <f t="shared" si="775"/>
        <v>2015</v>
      </c>
      <c r="J897" s="1" t="s">
        <v>2396</v>
      </c>
      <c r="K897" s="1" t="s">
        <v>7</v>
      </c>
      <c r="L897" s="11" t="str">
        <f t="shared" si="772"/>
        <v>НЕТ</v>
      </c>
      <c r="M897" s="10" t="s">
        <v>1575</v>
      </c>
      <c r="N897" s="10" t="s">
        <v>1575</v>
      </c>
      <c r="O897" s="10">
        <v>2E-3</v>
      </c>
      <c r="P897" s="10">
        <f t="shared" si="759"/>
        <v>8.0000000000000002E-3</v>
      </c>
      <c r="Q897" s="10">
        <f t="shared" si="760"/>
        <v>-1.4239999999999999</v>
      </c>
      <c r="R897" s="10" t="s">
        <v>1575</v>
      </c>
      <c r="S897" s="10" t="s">
        <v>1575</v>
      </c>
      <c r="T897" s="10" t="s">
        <v>1575</v>
      </c>
      <c r="U897" s="10">
        <v>-0.68</v>
      </c>
      <c r="V897" s="10">
        <v>1.94</v>
      </c>
      <c r="W897" s="10">
        <f>0.335-1.767</f>
        <v>-1.4319999999999999</v>
      </c>
      <c r="X897" s="10">
        <f t="shared" si="762"/>
        <v>0.50800000000000001</v>
      </c>
      <c r="Y897" s="10" t="str">
        <f t="shared" si="763"/>
        <v>NA</v>
      </c>
      <c r="Z897" s="10">
        <f t="shared" si="764"/>
        <v>-1.1764705882352941E-2</v>
      </c>
      <c r="AA897" s="10">
        <f t="shared" si="765"/>
        <v>4.1237113402061857E-3</v>
      </c>
      <c r="AB897" s="10" t="str">
        <f t="shared" si="766"/>
        <v>NA</v>
      </c>
      <c r="AC897" s="10" t="str">
        <f t="shared" si="767"/>
        <v>NA</v>
      </c>
      <c r="AD897" s="10" t="str">
        <f t="shared" si="768"/>
        <v>NA</v>
      </c>
      <c r="AE897" s="10">
        <f t="shared" si="769"/>
        <v>-2.8031496062992125</v>
      </c>
      <c r="AF897" s="1" t="s">
        <v>3831</v>
      </c>
    </row>
    <row r="898" spans="1:32" x14ac:dyDescent="0.2">
      <c r="A898" s="1" t="s">
        <v>27</v>
      </c>
      <c r="B898" s="1" t="s">
        <v>30</v>
      </c>
      <c r="C898" s="1" t="s">
        <v>1575</v>
      </c>
      <c r="D898" s="1" t="s">
        <v>1597</v>
      </c>
      <c r="E898" s="1" t="s">
        <v>1666</v>
      </c>
      <c r="F898" s="1" t="s">
        <v>29</v>
      </c>
      <c r="G898" s="4">
        <v>0.5</v>
      </c>
      <c r="H898" s="28">
        <v>42004</v>
      </c>
      <c r="I898" s="29">
        <f t="shared" si="775"/>
        <v>2014</v>
      </c>
      <c r="J898" s="1" t="s">
        <v>2396</v>
      </c>
      <c r="K898" s="1" t="s">
        <v>5741</v>
      </c>
      <c r="L898" s="11" t="str">
        <f t="shared" si="772"/>
        <v>НЕТ</v>
      </c>
      <c r="M898" s="10" t="s">
        <v>1575</v>
      </c>
      <c r="N898" s="10">
        <v>883</v>
      </c>
      <c r="O898" s="10">
        <f>N898*68.3427/1000</f>
        <v>60.346604099999993</v>
      </c>
      <c r="P898" s="10">
        <f t="shared" si="759"/>
        <v>120.69320819999999</v>
      </c>
      <c r="Q898" s="10" t="str">
        <f t="shared" si="760"/>
        <v>NA</v>
      </c>
      <c r="R898" s="10">
        <v>1.2999999999999999E-2</v>
      </c>
      <c r="S898" s="10" t="s">
        <v>1575</v>
      </c>
      <c r="T898" s="10" t="s">
        <v>1575</v>
      </c>
      <c r="U898" s="10">
        <v>-5.5810000000000004</v>
      </c>
      <c r="V898" s="10" t="s">
        <v>1575</v>
      </c>
      <c r="W898" s="10" t="s">
        <v>1575</v>
      </c>
      <c r="X898" s="10" t="str">
        <f t="shared" si="762"/>
        <v>NA</v>
      </c>
      <c r="Y898" s="10">
        <f t="shared" si="763"/>
        <v>9284.0929384615374</v>
      </c>
      <c r="Z898" s="10">
        <f t="shared" si="764"/>
        <v>-21.625731625156778</v>
      </c>
      <c r="AA898" s="10" t="str">
        <f t="shared" si="765"/>
        <v>NA</v>
      </c>
      <c r="AB898" s="10" t="str">
        <f t="shared" si="766"/>
        <v>NA</v>
      </c>
      <c r="AC898" s="10" t="str">
        <f t="shared" si="767"/>
        <v>NA</v>
      </c>
      <c r="AD898" s="10" t="str">
        <f t="shared" si="768"/>
        <v>NA</v>
      </c>
      <c r="AE898" s="10" t="str">
        <f t="shared" si="769"/>
        <v>NA</v>
      </c>
      <c r="AF898" s="1" t="s">
        <v>3832</v>
      </c>
    </row>
    <row r="899" spans="1:32" x14ac:dyDescent="0.2">
      <c r="A899" s="1" t="s">
        <v>3833</v>
      </c>
      <c r="B899" s="1" t="s">
        <v>5</v>
      </c>
      <c r="C899" s="1" t="s">
        <v>1575</v>
      </c>
      <c r="D899" s="1" t="s">
        <v>1601</v>
      </c>
      <c r="E899" s="1" t="s">
        <v>1617</v>
      </c>
      <c r="F899" s="1" t="s">
        <v>31</v>
      </c>
      <c r="G899" s="31">
        <v>0.89980000000000004</v>
      </c>
      <c r="H899" s="28">
        <v>41547</v>
      </c>
      <c r="I899" s="29">
        <f t="shared" si="775"/>
        <v>2013</v>
      </c>
      <c r="J899" s="1" t="s">
        <v>2396</v>
      </c>
      <c r="K899" s="1" t="s">
        <v>7</v>
      </c>
      <c r="L899" s="11" t="str">
        <f t="shared" si="772"/>
        <v>НЕТ</v>
      </c>
      <c r="M899" s="10" t="s">
        <v>1575</v>
      </c>
      <c r="N899" s="10" t="s">
        <v>1575</v>
      </c>
      <c r="O899" s="10">
        <v>99.866</v>
      </c>
      <c r="P899" s="10">
        <f t="shared" ref="P899:P962" si="776">IFERROR(O899/G899,"NA")</f>
        <v>110.98688597466104</v>
      </c>
      <c r="Q899" s="10">
        <f t="shared" ref="Q899:Q962" si="777">IFERROR(P899+W899,"NA")</f>
        <v>437.81688597466109</v>
      </c>
      <c r="R899" s="10">
        <v>732.375</v>
      </c>
      <c r="S899" s="10">
        <v>327.923</v>
      </c>
      <c r="T899" s="10">
        <v>243.726</v>
      </c>
      <c r="U899" s="10">
        <v>184.39</v>
      </c>
      <c r="V899" s="10">
        <v>1173.33</v>
      </c>
      <c r="W899" s="10">
        <v>326.83000000000004</v>
      </c>
      <c r="X899" s="10">
        <f t="shared" si="762"/>
        <v>1500.1599999999999</v>
      </c>
      <c r="Y899" s="10">
        <f t="shared" si="763"/>
        <v>0.15154379378687288</v>
      </c>
      <c r="Z899" s="10">
        <f t="shared" si="764"/>
        <v>0.60191380212951373</v>
      </c>
      <c r="AA899" s="10">
        <f t="shared" si="765"/>
        <v>9.4591364726599542E-2</v>
      </c>
      <c r="AB899" s="10">
        <f t="shared" si="766"/>
        <v>0.59780424778926244</v>
      </c>
      <c r="AC899" s="10">
        <f t="shared" si="767"/>
        <v>1.3351210069884121</v>
      </c>
      <c r="AD899" s="10">
        <f t="shared" si="768"/>
        <v>1.796348711153759</v>
      </c>
      <c r="AE899" s="10">
        <f t="shared" si="769"/>
        <v>0.29184679365845051</v>
      </c>
      <c r="AF899" s="1" t="s">
        <v>3834</v>
      </c>
    </row>
    <row r="900" spans="1:32" x14ac:dyDescent="0.2">
      <c r="A900" s="1" t="s">
        <v>5742</v>
      </c>
      <c r="B900" s="1" t="s">
        <v>5</v>
      </c>
      <c r="C900" s="1" t="s">
        <v>3836</v>
      </c>
      <c r="D900" s="1" t="s">
        <v>1597</v>
      </c>
      <c r="E900" s="1" t="s">
        <v>1660</v>
      </c>
      <c r="F900" s="1" t="s">
        <v>4</v>
      </c>
      <c r="G900" s="31">
        <v>0.18479999999999999</v>
      </c>
      <c r="H900" s="28">
        <v>41060</v>
      </c>
      <c r="I900" s="29">
        <f t="shared" si="775"/>
        <v>2012</v>
      </c>
      <c r="J900" s="1" t="s">
        <v>2396</v>
      </c>
      <c r="K900" s="1" t="s">
        <v>7</v>
      </c>
      <c r="L900" s="11" t="str">
        <f t="shared" si="772"/>
        <v>НЕТ</v>
      </c>
      <c r="M900" s="10" t="s">
        <v>1575</v>
      </c>
      <c r="N900" s="10" t="s">
        <v>1575</v>
      </c>
      <c r="O900" s="10">
        <v>18.399999999999999</v>
      </c>
      <c r="P900" s="10">
        <f t="shared" si="776"/>
        <v>99.567099567099561</v>
      </c>
      <c r="Q900" s="10">
        <f t="shared" si="777"/>
        <v>141.36109956709956</v>
      </c>
      <c r="R900" s="10" t="s">
        <v>1575</v>
      </c>
      <c r="S900" s="10" t="s">
        <v>1575</v>
      </c>
      <c r="T900" s="10" t="s">
        <v>1575</v>
      </c>
      <c r="U900" s="10" t="s">
        <v>1575</v>
      </c>
      <c r="V900" s="10">
        <v>21.298999999999999</v>
      </c>
      <c r="W900" s="10">
        <f>24.378+24.612-7.196</f>
        <v>41.793999999999997</v>
      </c>
      <c r="X900" s="10">
        <f t="shared" si="762"/>
        <v>63.092999999999996</v>
      </c>
      <c r="Y900" s="10" t="str">
        <f t="shared" si="763"/>
        <v>NA</v>
      </c>
      <c r="Z900" s="10" t="str">
        <f t="shared" si="764"/>
        <v>NA</v>
      </c>
      <c r="AA900" s="10">
        <f t="shared" si="765"/>
        <v>4.674731187713018</v>
      </c>
      <c r="AB900" s="10" t="str">
        <f t="shared" si="766"/>
        <v>NA</v>
      </c>
      <c r="AC900" s="10" t="str">
        <f t="shared" si="767"/>
        <v>NA</v>
      </c>
      <c r="AD900" s="10" t="str">
        <f t="shared" si="768"/>
        <v>NA</v>
      </c>
      <c r="AE900" s="10">
        <f t="shared" si="769"/>
        <v>2.2405195436435035</v>
      </c>
      <c r="AF900" s="1" t="s">
        <v>3835</v>
      </c>
    </row>
    <row r="901" spans="1:32" x14ac:dyDescent="0.2">
      <c r="A901" s="1" t="s">
        <v>5742</v>
      </c>
      <c r="B901" s="1" t="s">
        <v>5</v>
      </c>
      <c r="C901" s="1" t="s">
        <v>3836</v>
      </c>
      <c r="D901" s="1" t="s">
        <v>1597</v>
      </c>
      <c r="E901" s="1" t="s">
        <v>1660</v>
      </c>
      <c r="F901" s="1" t="s">
        <v>4</v>
      </c>
      <c r="G901" s="31">
        <v>0.1903</v>
      </c>
      <c r="H901" s="28">
        <v>40908</v>
      </c>
      <c r="I901" s="29">
        <f t="shared" ref="I901:I910" si="778">YEAR(H901)</f>
        <v>2011</v>
      </c>
      <c r="J901" s="1" t="s">
        <v>2396</v>
      </c>
      <c r="K901" s="1" t="s">
        <v>7</v>
      </c>
      <c r="L901" s="11" t="str">
        <f t="shared" ref="L901:L902" si="779">IF(OR(A901=J901,A901=K901),"ДА","НЕТ")</f>
        <v>НЕТ</v>
      </c>
      <c r="M901" s="10" t="s">
        <v>1575</v>
      </c>
      <c r="N901" s="10" t="s">
        <v>1575</v>
      </c>
      <c r="O901" s="10">
        <v>19.007999999999999</v>
      </c>
      <c r="P901" s="10">
        <f t="shared" si="776"/>
        <v>99.884393063583815</v>
      </c>
      <c r="Q901" s="10" t="str">
        <f t="shared" si="777"/>
        <v>NA</v>
      </c>
      <c r="R901" s="10" t="s">
        <v>1575</v>
      </c>
      <c r="S901" s="10" t="s">
        <v>1575</v>
      </c>
      <c r="T901" s="10" t="s">
        <v>1575</v>
      </c>
      <c r="U901" s="10" t="s">
        <v>1575</v>
      </c>
      <c r="V901" s="10" t="s">
        <v>1575</v>
      </c>
      <c r="W901" s="10" t="s">
        <v>1575</v>
      </c>
      <c r="X901" s="10" t="str">
        <f t="shared" si="762"/>
        <v>NA</v>
      </c>
      <c r="Y901" s="10" t="str">
        <f t="shared" si="763"/>
        <v>NA</v>
      </c>
      <c r="Z901" s="10" t="str">
        <f t="shared" si="764"/>
        <v>NA</v>
      </c>
      <c r="AA901" s="10" t="str">
        <f t="shared" si="765"/>
        <v>NA</v>
      </c>
      <c r="AB901" s="10" t="str">
        <f t="shared" si="766"/>
        <v>NA</v>
      </c>
      <c r="AC901" s="10" t="str">
        <f t="shared" si="767"/>
        <v>NA</v>
      </c>
      <c r="AD901" s="10" t="str">
        <f t="shared" si="768"/>
        <v>NA</v>
      </c>
      <c r="AE901" s="10" t="str">
        <f t="shared" si="769"/>
        <v>NA</v>
      </c>
      <c r="AF901" s="1" t="s">
        <v>3838</v>
      </c>
    </row>
    <row r="902" spans="1:32" x14ac:dyDescent="0.2">
      <c r="A902" s="1" t="s">
        <v>3841</v>
      </c>
      <c r="B902" s="1" t="s">
        <v>5</v>
      </c>
      <c r="C902" s="1" t="s">
        <v>1575</v>
      </c>
      <c r="D902" s="1" t="s">
        <v>1597</v>
      </c>
      <c r="E902" s="1" t="s">
        <v>1660</v>
      </c>
      <c r="F902" s="1" t="s">
        <v>16</v>
      </c>
      <c r="G902" s="31">
        <v>0.22389999999999999</v>
      </c>
      <c r="H902" s="28">
        <v>40589</v>
      </c>
      <c r="I902" s="29">
        <f t="shared" si="778"/>
        <v>2011</v>
      </c>
      <c r="J902" s="1" t="s">
        <v>2396</v>
      </c>
      <c r="K902" s="1" t="s">
        <v>5743</v>
      </c>
      <c r="L902" s="11" t="str">
        <f t="shared" si="779"/>
        <v>НЕТ</v>
      </c>
      <c r="M902" s="10">
        <v>740</v>
      </c>
      <c r="N902" s="10" t="s">
        <v>1575</v>
      </c>
      <c r="O902" s="10">
        <f>M902*29.9484/1000</f>
        <v>22.161815999999998</v>
      </c>
      <c r="P902" s="10">
        <f t="shared" si="776"/>
        <v>98.980866458240286</v>
      </c>
      <c r="Q902" s="10" t="str">
        <f t="shared" si="777"/>
        <v>NA</v>
      </c>
      <c r="R902" s="10" t="s">
        <v>1575</v>
      </c>
      <c r="S902" s="10" t="s">
        <v>1575</v>
      </c>
      <c r="T902" s="10" t="s">
        <v>1575</v>
      </c>
      <c r="U902" s="10" t="s">
        <v>1575</v>
      </c>
      <c r="V902" s="10" t="s">
        <v>1575</v>
      </c>
      <c r="W902" s="10" t="s">
        <v>1575</v>
      </c>
      <c r="X902" s="10" t="str">
        <f t="shared" si="762"/>
        <v>NA</v>
      </c>
      <c r="Y902" s="10" t="str">
        <f t="shared" si="763"/>
        <v>NA</v>
      </c>
      <c r="Z902" s="10" t="str">
        <f t="shared" si="764"/>
        <v>NA</v>
      </c>
      <c r="AA902" s="10" t="str">
        <f t="shared" si="765"/>
        <v>NA</v>
      </c>
      <c r="AB902" s="10" t="str">
        <f t="shared" si="766"/>
        <v>NA</v>
      </c>
      <c r="AC902" s="10" t="str">
        <f t="shared" si="767"/>
        <v>NA</v>
      </c>
      <c r="AD902" s="10" t="str">
        <f t="shared" si="768"/>
        <v>NA</v>
      </c>
      <c r="AE902" s="10" t="str">
        <f t="shared" si="769"/>
        <v>NA</v>
      </c>
      <c r="AF902" s="1" t="s">
        <v>3842</v>
      </c>
    </row>
    <row r="903" spans="1:32" x14ac:dyDescent="0.2">
      <c r="A903" s="1" t="s">
        <v>5744</v>
      </c>
      <c r="B903" s="1" t="s">
        <v>32</v>
      </c>
      <c r="C903" s="1" t="s">
        <v>1575</v>
      </c>
      <c r="D903" s="1" t="s">
        <v>1597</v>
      </c>
      <c r="E903" s="1" t="s">
        <v>1666</v>
      </c>
      <c r="F903" s="1" t="s">
        <v>34</v>
      </c>
      <c r="G903" s="4">
        <v>0.5</v>
      </c>
      <c r="H903" s="28">
        <v>40908</v>
      </c>
      <c r="I903" s="29">
        <f t="shared" si="778"/>
        <v>2011</v>
      </c>
      <c r="J903" s="1" t="s">
        <v>2396</v>
      </c>
      <c r="K903" s="1" t="s">
        <v>33</v>
      </c>
      <c r="L903" s="11" t="str">
        <f t="shared" si="772"/>
        <v>НЕТ</v>
      </c>
      <c r="M903" s="10">
        <v>2500</v>
      </c>
      <c r="N903" s="10" t="s">
        <v>1575</v>
      </c>
      <c r="O903" s="10">
        <v>78.3</v>
      </c>
      <c r="P903" s="10">
        <f t="shared" si="776"/>
        <v>156.6</v>
      </c>
      <c r="Q903" s="10">
        <f t="shared" si="777"/>
        <v>167.01999999999998</v>
      </c>
      <c r="R903" s="10" t="s">
        <v>1575</v>
      </c>
      <c r="S903" s="10" t="s">
        <v>1575</v>
      </c>
      <c r="T903" s="10" t="s">
        <v>1575</v>
      </c>
      <c r="U903" s="10" t="s">
        <v>1575</v>
      </c>
      <c r="V903" s="10">
        <v>68.602000000000004</v>
      </c>
      <c r="W903" s="10">
        <f>8.98+9.627-8.187</f>
        <v>10.42</v>
      </c>
      <c r="X903" s="10">
        <f t="shared" si="762"/>
        <v>79.022000000000006</v>
      </c>
      <c r="Y903" s="10" t="str">
        <f t="shared" si="763"/>
        <v>NA</v>
      </c>
      <c r="Z903" s="10" t="str">
        <f t="shared" si="764"/>
        <v>NA</v>
      </c>
      <c r="AA903" s="10">
        <f t="shared" si="765"/>
        <v>2.2827322818576716</v>
      </c>
      <c r="AB903" s="10" t="str">
        <f t="shared" si="766"/>
        <v>NA</v>
      </c>
      <c r="AC903" s="10" t="str">
        <f t="shared" si="767"/>
        <v>NA</v>
      </c>
      <c r="AD903" s="10" t="str">
        <f t="shared" si="768"/>
        <v>NA</v>
      </c>
      <c r="AE903" s="10">
        <f t="shared" si="769"/>
        <v>2.1135886208903845</v>
      </c>
      <c r="AF903" s="1" t="s">
        <v>3840</v>
      </c>
    </row>
    <row r="904" spans="1:32" x14ac:dyDescent="0.2">
      <c r="A904" s="1" t="s">
        <v>5744</v>
      </c>
      <c r="B904" s="1" t="s">
        <v>32</v>
      </c>
      <c r="C904" s="1" t="s">
        <v>1575</v>
      </c>
      <c r="D904" s="1" t="s">
        <v>1597</v>
      </c>
      <c r="E904" s="1" t="s">
        <v>1666</v>
      </c>
      <c r="F904" s="1" t="s">
        <v>34</v>
      </c>
      <c r="G904" s="4">
        <v>0.5</v>
      </c>
      <c r="H904" s="28">
        <v>40237</v>
      </c>
      <c r="I904" s="29">
        <f t="shared" si="778"/>
        <v>2010</v>
      </c>
      <c r="J904" s="1" t="s">
        <v>2396</v>
      </c>
      <c r="K904" s="1" t="s">
        <v>33</v>
      </c>
      <c r="L904" s="11" t="str">
        <f t="shared" ref="L904" si="780">IF(OR(A904=J904,A904=K904),"ДА","НЕТ")</f>
        <v>НЕТ</v>
      </c>
      <c r="M904" s="10">
        <f>4*625</f>
        <v>2500</v>
      </c>
      <c r="N904" s="10" t="s">
        <v>1575</v>
      </c>
      <c r="O904" s="10">
        <f>M904*29.9484/1000</f>
        <v>74.870999999999995</v>
      </c>
      <c r="P904" s="10">
        <f t="shared" si="776"/>
        <v>149.74199999999999</v>
      </c>
      <c r="Q904" s="10" t="str">
        <f t="shared" si="777"/>
        <v>NA</v>
      </c>
      <c r="R904" s="10" t="s">
        <v>1575</v>
      </c>
      <c r="S904" s="10" t="s">
        <v>1575</v>
      </c>
      <c r="T904" s="10" t="s">
        <v>1575</v>
      </c>
      <c r="U904" s="10" t="s">
        <v>1575</v>
      </c>
      <c r="V904" s="10" t="s">
        <v>1575</v>
      </c>
      <c r="W904" s="10" t="s">
        <v>1575</v>
      </c>
      <c r="X904" s="10" t="str">
        <f t="shared" si="762"/>
        <v>NA</v>
      </c>
      <c r="Y904" s="10" t="str">
        <f t="shared" si="763"/>
        <v>NA</v>
      </c>
      <c r="Z904" s="10" t="str">
        <f t="shared" si="764"/>
        <v>NA</v>
      </c>
      <c r="AA904" s="10" t="str">
        <f t="shared" si="765"/>
        <v>NA</v>
      </c>
      <c r="AB904" s="10" t="str">
        <f t="shared" si="766"/>
        <v>NA</v>
      </c>
      <c r="AC904" s="10" t="str">
        <f t="shared" si="767"/>
        <v>NA</v>
      </c>
      <c r="AD904" s="10" t="str">
        <f t="shared" si="768"/>
        <v>NA</v>
      </c>
      <c r="AE904" s="10" t="str">
        <f t="shared" si="769"/>
        <v>NA</v>
      </c>
      <c r="AF904" s="1" t="s">
        <v>3839</v>
      </c>
    </row>
    <row r="905" spans="1:32" x14ac:dyDescent="0.2">
      <c r="A905" s="1" t="s">
        <v>5712</v>
      </c>
      <c r="B905" s="1" t="s">
        <v>5</v>
      </c>
      <c r="C905" s="1" t="s">
        <v>1664</v>
      </c>
      <c r="D905" s="1" t="s">
        <v>1597</v>
      </c>
      <c r="E905" s="1" t="s">
        <v>1662</v>
      </c>
      <c r="F905" s="1" t="s">
        <v>15</v>
      </c>
      <c r="G905" s="4">
        <v>9.4E-2</v>
      </c>
      <c r="H905" s="28">
        <v>40543</v>
      </c>
      <c r="I905" s="29">
        <f t="shared" si="778"/>
        <v>2010</v>
      </c>
      <c r="J905" s="1" t="s">
        <v>7</v>
      </c>
      <c r="K905" s="1" t="s">
        <v>2396</v>
      </c>
      <c r="L905" s="11" t="str">
        <f t="shared" si="772"/>
        <v>НЕТ</v>
      </c>
      <c r="M905" s="10" t="s">
        <v>1575</v>
      </c>
      <c r="N905" s="10" t="s">
        <v>1575</v>
      </c>
      <c r="O905" s="10">
        <v>57.462000000000003</v>
      </c>
      <c r="P905" s="10">
        <f t="shared" si="776"/>
        <v>611.29787234042556</v>
      </c>
      <c r="Q905" s="10">
        <f t="shared" si="777"/>
        <v>619.34587234042556</v>
      </c>
      <c r="R905" s="10" t="s">
        <v>1575</v>
      </c>
      <c r="S905" s="10" t="s">
        <v>1575</v>
      </c>
      <c r="T905" s="10" t="s">
        <v>1575</v>
      </c>
      <c r="U905" s="10" t="s">
        <v>1575</v>
      </c>
      <c r="V905" s="10">
        <v>168.499</v>
      </c>
      <c r="W905" s="10">
        <v>8.0479999999999983</v>
      </c>
      <c r="X905" s="10">
        <f t="shared" si="762"/>
        <v>176.547</v>
      </c>
      <c r="Y905" s="10" t="str">
        <f t="shared" si="763"/>
        <v>NA</v>
      </c>
      <c r="Z905" s="10" t="str">
        <f t="shared" si="764"/>
        <v>NA</v>
      </c>
      <c r="AA905" s="10">
        <f t="shared" si="765"/>
        <v>3.6279020785905294</v>
      </c>
      <c r="AB905" s="10" t="str">
        <f t="shared" si="766"/>
        <v>NA</v>
      </c>
      <c r="AC905" s="10" t="str">
        <f t="shared" si="767"/>
        <v>NA</v>
      </c>
      <c r="AD905" s="10" t="str">
        <f t="shared" si="768"/>
        <v>NA</v>
      </c>
      <c r="AE905" s="10">
        <f t="shared" si="769"/>
        <v>3.5081075993385644</v>
      </c>
      <c r="AF905" s="1" t="s">
        <v>3843</v>
      </c>
    </row>
    <row r="906" spans="1:32" x14ac:dyDescent="0.2">
      <c r="A906" s="1" t="s">
        <v>5745</v>
      </c>
      <c r="B906" s="1" t="s">
        <v>5</v>
      </c>
      <c r="C906" s="1" t="s">
        <v>1575</v>
      </c>
      <c r="D906" s="1" t="s">
        <v>1597</v>
      </c>
      <c r="E906" s="1" t="s">
        <v>1661</v>
      </c>
      <c r="F906" s="1" t="s">
        <v>15</v>
      </c>
      <c r="G906" s="4">
        <v>0.51</v>
      </c>
      <c r="H906" s="28">
        <v>40512</v>
      </c>
      <c r="I906" s="29">
        <f t="shared" si="778"/>
        <v>2010</v>
      </c>
      <c r="J906" s="1" t="s">
        <v>5712</v>
      </c>
      <c r="K906" s="1" t="s">
        <v>2396</v>
      </c>
      <c r="L906" s="11" t="str">
        <f t="shared" si="772"/>
        <v>НЕТ</v>
      </c>
      <c r="M906" s="10" t="s">
        <v>1575</v>
      </c>
      <c r="N906" s="10" t="s">
        <v>1575</v>
      </c>
      <c r="O906" s="10">
        <v>56.247</v>
      </c>
      <c r="P906" s="10">
        <f t="shared" si="776"/>
        <v>110.28823529411764</v>
      </c>
      <c r="Q906" s="10" t="str">
        <f t="shared" si="777"/>
        <v>NA</v>
      </c>
      <c r="R906" s="10" t="s">
        <v>1575</v>
      </c>
      <c r="S906" s="10" t="s">
        <v>1575</v>
      </c>
      <c r="T906" s="10" t="s">
        <v>1575</v>
      </c>
      <c r="U906" s="10" t="s">
        <v>1575</v>
      </c>
      <c r="V906" s="10">
        <v>95.52</v>
      </c>
      <c r="W906" s="10" t="s">
        <v>1575</v>
      </c>
      <c r="X906" s="10" t="str">
        <f t="shared" si="762"/>
        <v>NA</v>
      </c>
      <c r="Y906" s="10" t="str">
        <f t="shared" si="763"/>
        <v>NA</v>
      </c>
      <c r="Z906" s="10" t="str">
        <f t="shared" si="764"/>
        <v>NA</v>
      </c>
      <c r="AA906" s="10">
        <f t="shared" si="765"/>
        <v>1.1546088284560054</v>
      </c>
      <c r="AB906" s="10" t="str">
        <f t="shared" si="766"/>
        <v>NA</v>
      </c>
      <c r="AC906" s="10" t="str">
        <f t="shared" si="767"/>
        <v>NA</v>
      </c>
      <c r="AD906" s="10" t="str">
        <f t="shared" si="768"/>
        <v>NA</v>
      </c>
      <c r="AE906" s="10" t="str">
        <f t="shared" si="769"/>
        <v>NA</v>
      </c>
      <c r="AF906" s="1" t="s">
        <v>4388</v>
      </c>
    </row>
    <row r="907" spans="1:32" x14ac:dyDescent="0.2">
      <c r="A907" s="1" t="s">
        <v>5742</v>
      </c>
      <c r="B907" s="1" t="s">
        <v>5</v>
      </c>
      <c r="C907" s="1" t="s">
        <v>3836</v>
      </c>
      <c r="D907" s="1" t="s">
        <v>1597</v>
      </c>
      <c r="E907" s="1" t="s">
        <v>1660</v>
      </c>
      <c r="F907" s="1" t="s">
        <v>4</v>
      </c>
      <c r="G907" s="32" t="s">
        <v>3725</v>
      </c>
      <c r="H907" s="28">
        <v>39813</v>
      </c>
      <c r="I907" s="29">
        <f t="shared" si="778"/>
        <v>2008</v>
      </c>
      <c r="J907" s="1" t="s">
        <v>2396</v>
      </c>
      <c r="K907" s="1" t="s">
        <v>7</v>
      </c>
      <c r="L907" s="11" t="str">
        <f t="shared" ref="L907" si="781">IF(OR(A907=J907,A907=K907),"ДА","НЕТ")</f>
        <v>НЕТ</v>
      </c>
      <c r="M907" s="10" t="s">
        <v>1575</v>
      </c>
      <c r="N907" s="10" t="s">
        <v>1575</v>
      </c>
      <c r="O907" s="10">
        <v>20.959</v>
      </c>
      <c r="P907" s="10" t="str">
        <f t="shared" si="776"/>
        <v>NA</v>
      </c>
      <c r="Q907" s="10" t="str">
        <f t="shared" si="777"/>
        <v>NA</v>
      </c>
      <c r="R907" s="10" t="s">
        <v>1575</v>
      </c>
      <c r="S907" s="10" t="s">
        <v>1575</v>
      </c>
      <c r="T907" s="10" t="s">
        <v>1575</v>
      </c>
      <c r="U907" s="10" t="s">
        <v>1575</v>
      </c>
      <c r="V907" s="10" t="s">
        <v>1575</v>
      </c>
      <c r="W907" s="10" t="s">
        <v>1575</v>
      </c>
      <c r="X907" s="10" t="str">
        <f t="shared" si="762"/>
        <v>NA</v>
      </c>
      <c r="Y907" s="10" t="str">
        <f t="shared" si="763"/>
        <v>NA</v>
      </c>
      <c r="Z907" s="10" t="str">
        <f t="shared" si="764"/>
        <v>NA</v>
      </c>
      <c r="AA907" s="10" t="str">
        <f t="shared" si="765"/>
        <v>NA</v>
      </c>
      <c r="AB907" s="10" t="str">
        <f t="shared" si="766"/>
        <v>NA</v>
      </c>
      <c r="AC907" s="10" t="str">
        <f t="shared" si="767"/>
        <v>NA</v>
      </c>
      <c r="AD907" s="10" t="str">
        <f t="shared" si="768"/>
        <v>NA</v>
      </c>
      <c r="AE907" s="10" t="str">
        <f t="shared" si="769"/>
        <v>NA</v>
      </c>
      <c r="AF907" s="1" t="s">
        <v>3837</v>
      </c>
    </row>
    <row r="908" spans="1:32" x14ac:dyDescent="0.2">
      <c r="A908" s="1" t="s">
        <v>5746</v>
      </c>
      <c r="B908" s="1" t="s">
        <v>5</v>
      </c>
      <c r="C908" s="1" t="s">
        <v>1575</v>
      </c>
      <c r="D908" s="1" t="s">
        <v>1580</v>
      </c>
      <c r="E908" s="1" t="s">
        <v>1581</v>
      </c>
      <c r="F908" s="1" t="s">
        <v>67</v>
      </c>
      <c r="G908" s="4">
        <v>1</v>
      </c>
      <c r="H908" s="28">
        <v>43677</v>
      </c>
      <c r="I908" s="29">
        <f t="shared" si="778"/>
        <v>2019</v>
      </c>
      <c r="J908" s="1" t="s">
        <v>7</v>
      </c>
      <c r="K908" s="1" t="s">
        <v>5747</v>
      </c>
      <c r="L908" s="11" t="str">
        <f>IF(OR(A908=J908,A908=K908),"ДА","НЕТ")</f>
        <v>НЕТ</v>
      </c>
      <c r="M908" s="10" t="s">
        <v>1575</v>
      </c>
      <c r="N908" s="10" t="s">
        <v>1575</v>
      </c>
      <c r="O908" s="10" t="s">
        <v>1575</v>
      </c>
      <c r="P908" s="10" t="str">
        <f t="shared" si="776"/>
        <v>NA</v>
      </c>
      <c r="Q908" s="10" t="str">
        <f t="shared" si="777"/>
        <v>NA</v>
      </c>
      <c r="R908" s="10" t="s">
        <v>1575</v>
      </c>
      <c r="S908" s="10" t="s">
        <v>1575</v>
      </c>
      <c r="T908" s="10" t="s">
        <v>1575</v>
      </c>
      <c r="U908" s="10" t="s">
        <v>1575</v>
      </c>
      <c r="V908" s="10" t="s">
        <v>1575</v>
      </c>
      <c r="W908" s="10" t="s">
        <v>1575</v>
      </c>
      <c r="X908" s="10" t="str">
        <f t="shared" si="762"/>
        <v>NA</v>
      </c>
      <c r="Y908" s="10" t="str">
        <f t="shared" si="763"/>
        <v>NA</v>
      </c>
      <c r="Z908" s="10" t="str">
        <f t="shared" si="764"/>
        <v>NA</v>
      </c>
      <c r="AA908" s="10" t="str">
        <f t="shared" si="765"/>
        <v>NA</v>
      </c>
      <c r="AB908" s="10" t="str">
        <f t="shared" si="766"/>
        <v>NA</v>
      </c>
      <c r="AC908" s="10" t="str">
        <f t="shared" si="767"/>
        <v>NA</v>
      </c>
      <c r="AD908" s="10" t="str">
        <f t="shared" si="768"/>
        <v>NA</v>
      </c>
      <c r="AE908" s="10" t="str">
        <f t="shared" si="769"/>
        <v>NA</v>
      </c>
      <c r="AF908" s="1" t="s">
        <v>982</v>
      </c>
    </row>
    <row r="909" spans="1:32" x14ac:dyDescent="0.2">
      <c r="A909" s="1" t="s">
        <v>5748</v>
      </c>
      <c r="B909" s="1" t="s">
        <v>5</v>
      </c>
      <c r="C909" s="1" t="s">
        <v>1575</v>
      </c>
      <c r="D909" s="1" t="s">
        <v>1578</v>
      </c>
      <c r="E909" s="1" t="s">
        <v>1579</v>
      </c>
      <c r="F909" s="1" t="s">
        <v>429</v>
      </c>
      <c r="G909" s="4">
        <v>0.94999599999999995</v>
      </c>
      <c r="H909" s="28">
        <v>43281</v>
      </c>
      <c r="I909" s="29">
        <f t="shared" si="778"/>
        <v>2018</v>
      </c>
      <c r="J909" s="1" t="s">
        <v>7</v>
      </c>
      <c r="K909" s="1" t="s">
        <v>5747</v>
      </c>
      <c r="L909" s="11" t="str">
        <f>IF(OR(A909=J909,A909=K909),"ДА","НЕТ")</f>
        <v>НЕТ</v>
      </c>
      <c r="M909" s="10" t="s">
        <v>1575</v>
      </c>
      <c r="N909" s="10" t="s">
        <v>1575</v>
      </c>
      <c r="O909" s="10" t="s">
        <v>1575</v>
      </c>
      <c r="P909" s="10" t="str">
        <f t="shared" si="776"/>
        <v>NA</v>
      </c>
      <c r="Q909" s="10" t="str">
        <f t="shared" si="777"/>
        <v>NA</v>
      </c>
      <c r="R909" s="10" t="s">
        <v>1575</v>
      </c>
      <c r="S909" s="10" t="s">
        <v>1575</v>
      </c>
      <c r="T909" s="10" t="s">
        <v>1575</v>
      </c>
      <c r="U909" s="10" t="s">
        <v>1575</v>
      </c>
      <c r="V909" s="10" t="s">
        <v>1575</v>
      </c>
      <c r="W909" s="10" t="s">
        <v>1575</v>
      </c>
      <c r="X909" s="10" t="str">
        <f t="shared" ref="X909:X972" si="782">IFERROR(V909+W909,"NA")</f>
        <v>NA</v>
      </c>
      <c r="Y909" s="10" t="str">
        <f t="shared" ref="Y909:Y972" si="783">IFERROR(P909/R909,"NA")</f>
        <v>NA</v>
      </c>
      <c r="Z909" s="10" t="str">
        <f t="shared" ref="Z909:Z972" si="784">IFERROR(P909/U909,"NA")</f>
        <v>NA</v>
      </c>
      <c r="AA909" s="10" t="str">
        <f t="shared" ref="AA909:AA972" si="785">IFERROR(P909/V909,"NA")</f>
        <v>NA</v>
      </c>
      <c r="AB909" s="10" t="str">
        <f t="shared" ref="AB909:AB972" si="786">IFERROR(Q909/R909,"NA")</f>
        <v>NA</v>
      </c>
      <c r="AC909" s="10" t="str">
        <f t="shared" ref="AC909:AC972" si="787">IFERROR(Q909/S909,"NA")</f>
        <v>NA</v>
      </c>
      <c r="AD909" s="10" t="str">
        <f t="shared" ref="AD909:AD972" si="788">IFERROR(Q909/T909,"NA")</f>
        <v>NA</v>
      </c>
      <c r="AE909" s="10" t="str">
        <f t="shared" ref="AE909:AE972" si="789">IFERROR(Q909/X909,"NA")</f>
        <v>NA</v>
      </c>
      <c r="AF909" s="1" t="s">
        <v>983</v>
      </c>
    </row>
    <row r="910" spans="1:32" x14ac:dyDescent="0.2">
      <c r="A910" s="1" t="s">
        <v>5749</v>
      </c>
      <c r="B910" s="1" t="s">
        <v>5</v>
      </c>
      <c r="C910" s="1" t="s">
        <v>1575</v>
      </c>
      <c r="D910" s="1" t="s">
        <v>1584</v>
      </c>
      <c r="E910" s="1" t="s">
        <v>3486</v>
      </c>
      <c r="F910" s="1" t="s">
        <v>632</v>
      </c>
      <c r="G910" s="4">
        <v>1</v>
      </c>
      <c r="H910" s="28">
        <v>42735</v>
      </c>
      <c r="I910" s="29">
        <f t="shared" si="778"/>
        <v>2016</v>
      </c>
      <c r="J910" s="1" t="s">
        <v>5747</v>
      </c>
      <c r="K910" s="1" t="s">
        <v>7</v>
      </c>
      <c r="L910" s="11" t="str">
        <f t="shared" ref="L910" si="790">IF(OR(A910=J910,A910=K910),"ДА","НЕТ")</f>
        <v>НЕТ</v>
      </c>
      <c r="M910" s="10" t="s">
        <v>1575</v>
      </c>
      <c r="N910" s="10" t="s">
        <v>1575</v>
      </c>
      <c r="O910" s="10" t="s">
        <v>1575</v>
      </c>
      <c r="P910" s="10" t="str">
        <f t="shared" si="776"/>
        <v>NA</v>
      </c>
      <c r="Q910" s="10" t="str">
        <f t="shared" si="777"/>
        <v>NA</v>
      </c>
      <c r="R910" s="10" t="s">
        <v>1575</v>
      </c>
      <c r="S910" s="10" t="s">
        <v>1575</v>
      </c>
      <c r="T910" s="10" t="s">
        <v>1575</v>
      </c>
      <c r="U910" s="10" t="s">
        <v>1575</v>
      </c>
      <c r="V910" s="10" t="s">
        <v>1575</v>
      </c>
      <c r="W910" s="10" t="s">
        <v>1575</v>
      </c>
      <c r="X910" s="10" t="str">
        <f t="shared" si="782"/>
        <v>NA</v>
      </c>
      <c r="Y910" s="10" t="str">
        <f t="shared" si="783"/>
        <v>NA</v>
      </c>
      <c r="Z910" s="10" t="str">
        <f t="shared" si="784"/>
        <v>NA</v>
      </c>
      <c r="AA910" s="10" t="str">
        <f t="shared" si="785"/>
        <v>NA</v>
      </c>
      <c r="AB910" s="10" t="str">
        <f t="shared" si="786"/>
        <v>NA</v>
      </c>
      <c r="AC910" s="10" t="str">
        <f t="shared" si="787"/>
        <v>NA</v>
      </c>
      <c r="AD910" s="10" t="str">
        <f t="shared" si="788"/>
        <v>NA</v>
      </c>
      <c r="AE910" s="10" t="str">
        <f t="shared" si="789"/>
        <v>NA</v>
      </c>
      <c r="AF910" s="1" t="s">
        <v>3844</v>
      </c>
    </row>
    <row r="911" spans="1:32" x14ac:dyDescent="0.2">
      <c r="A911" s="1" t="s">
        <v>5747</v>
      </c>
      <c r="B911" s="1" t="s">
        <v>5</v>
      </c>
      <c r="C911" s="1" t="s">
        <v>3197</v>
      </c>
      <c r="D911" s="1" t="s">
        <v>1597</v>
      </c>
      <c r="E911" s="1" t="s">
        <v>3028</v>
      </c>
      <c r="F911" s="1" t="s">
        <v>14</v>
      </c>
      <c r="G911" s="4">
        <f>2590/(35725995+7701998)</f>
        <v>5.9638952230649943E-5</v>
      </c>
      <c r="H911" s="28">
        <v>42004</v>
      </c>
      <c r="I911" s="29">
        <f t="shared" si="775"/>
        <v>2014</v>
      </c>
      <c r="J911" s="1" t="s">
        <v>7</v>
      </c>
      <c r="K911" s="1" t="s">
        <v>5747</v>
      </c>
      <c r="L911" s="11" t="str">
        <f t="shared" ref="L911" si="791">IF(OR(A911=J911,A911=K911),"ДА","НЕТ")</f>
        <v>ДА</v>
      </c>
      <c r="M911" s="10" t="s">
        <v>1575</v>
      </c>
      <c r="N911" s="10" t="s">
        <v>1575</v>
      </c>
      <c r="O911" s="10">
        <v>8.5000000000000006E-2</v>
      </c>
      <c r="P911" s="10">
        <f t="shared" si="776"/>
        <v>1425.2430135135135</v>
      </c>
      <c r="Q911" s="10" t="str">
        <f t="shared" si="777"/>
        <v>NA</v>
      </c>
      <c r="R911" s="10" t="s">
        <v>1575</v>
      </c>
      <c r="S911" s="10" t="s">
        <v>1575</v>
      </c>
      <c r="T911" s="10" t="s">
        <v>1575</v>
      </c>
      <c r="U911" s="10" t="s">
        <v>1575</v>
      </c>
      <c r="V911" s="10" t="s">
        <v>1575</v>
      </c>
      <c r="W911" s="10" t="s">
        <v>1575</v>
      </c>
      <c r="X911" s="10" t="str">
        <f t="shared" si="782"/>
        <v>NA</v>
      </c>
      <c r="Y911" s="10" t="str">
        <f t="shared" si="783"/>
        <v>NA</v>
      </c>
      <c r="Z911" s="10" t="str">
        <f t="shared" si="784"/>
        <v>NA</v>
      </c>
      <c r="AA911" s="10" t="str">
        <f t="shared" si="785"/>
        <v>NA</v>
      </c>
      <c r="AB911" s="10" t="str">
        <f t="shared" si="786"/>
        <v>NA</v>
      </c>
      <c r="AC911" s="10" t="str">
        <f t="shared" si="787"/>
        <v>NA</v>
      </c>
      <c r="AD911" s="10" t="str">
        <f t="shared" si="788"/>
        <v>NA</v>
      </c>
      <c r="AE911" s="10" t="str">
        <f t="shared" si="789"/>
        <v>NA</v>
      </c>
      <c r="AF911" s="1" t="s">
        <v>3196</v>
      </c>
    </row>
    <row r="912" spans="1:32" x14ac:dyDescent="0.2">
      <c r="A912" s="1" t="s">
        <v>5750</v>
      </c>
      <c r="B912" s="1" t="s">
        <v>3846</v>
      </c>
      <c r="C912" s="1" t="s">
        <v>1575</v>
      </c>
      <c r="D912" s="1" t="s">
        <v>1597</v>
      </c>
      <c r="E912" s="1" t="s">
        <v>1660</v>
      </c>
      <c r="F912" s="1" t="s">
        <v>35</v>
      </c>
      <c r="G912" s="4">
        <v>0.2</v>
      </c>
      <c r="H912" s="28">
        <v>41305</v>
      </c>
      <c r="I912" s="29">
        <f t="shared" si="775"/>
        <v>2013</v>
      </c>
      <c r="J912" s="1" t="s">
        <v>7</v>
      </c>
      <c r="K912" s="1" t="s">
        <v>5747</v>
      </c>
      <c r="L912" s="11" t="str">
        <f t="shared" si="772"/>
        <v>НЕТ</v>
      </c>
      <c r="M912" s="10" t="s">
        <v>1575</v>
      </c>
      <c r="N912" s="10" t="s">
        <v>1575</v>
      </c>
      <c r="O912" s="10">
        <f>2.4+3.607</f>
        <v>6.0069999999999997</v>
      </c>
      <c r="P912" s="10">
        <f t="shared" si="776"/>
        <v>30.034999999999997</v>
      </c>
      <c r="Q912" s="10" t="str">
        <f t="shared" si="777"/>
        <v>NA</v>
      </c>
      <c r="R912" s="10" t="s">
        <v>1575</v>
      </c>
      <c r="S912" s="10" t="s">
        <v>1575</v>
      </c>
      <c r="T912" s="10" t="s">
        <v>1575</v>
      </c>
      <c r="U912" s="10" t="s">
        <v>1575</v>
      </c>
      <c r="V912" s="10" t="s">
        <v>1575</v>
      </c>
      <c r="W912" s="10" t="s">
        <v>1575</v>
      </c>
      <c r="X912" s="10" t="str">
        <f t="shared" si="782"/>
        <v>NA</v>
      </c>
      <c r="Y912" s="10" t="str">
        <f t="shared" si="783"/>
        <v>NA</v>
      </c>
      <c r="Z912" s="10" t="str">
        <f t="shared" si="784"/>
        <v>NA</v>
      </c>
      <c r="AA912" s="10" t="str">
        <f t="shared" si="785"/>
        <v>NA</v>
      </c>
      <c r="AB912" s="10" t="str">
        <f t="shared" si="786"/>
        <v>NA</v>
      </c>
      <c r="AC912" s="10" t="str">
        <f t="shared" si="787"/>
        <v>NA</v>
      </c>
      <c r="AD912" s="10" t="str">
        <f t="shared" si="788"/>
        <v>NA</v>
      </c>
      <c r="AE912" s="10" t="str">
        <f t="shared" si="789"/>
        <v>NA</v>
      </c>
      <c r="AF912" s="1" t="s">
        <v>3845</v>
      </c>
    </row>
    <row r="913" spans="1:32" x14ac:dyDescent="0.2">
      <c r="A913" s="1" t="s">
        <v>5751</v>
      </c>
      <c r="B913" s="1" t="s">
        <v>5</v>
      </c>
      <c r="C913" s="1" t="s">
        <v>1575</v>
      </c>
      <c r="D913" s="1" t="s">
        <v>1597</v>
      </c>
      <c r="E913" s="1" t="s">
        <v>1699</v>
      </c>
      <c r="F913" s="1" t="s">
        <v>4</v>
      </c>
      <c r="G913" s="4">
        <v>0.51</v>
      </c>
      <c r="H913" s="28">
        <v>43634</v>
      </c>
      <c r="I913" s="29">
        <f t="shared" si="775"/>
        <v>2019</v>
      </c>
      <c r="J913" s="1" t="s">
        <v>3284</v>
      </c>
      <c r="K913" s="1" t="s">
        <v>7</v>
      </c>
      <c r="L913" s="11" t="str">
        <f t="shared" si="772"/>
        <v>НЕТ</v>
      </c>
      <c r="M913" s="10" t="s">
        <v>1575</v>
      </c>
      <c r="N913" s="10" t="s">
        <v>1575</v>
      </c>
      <c r="O913" s="10">
        <v>1.5</v>
      </c>
      <c r="P913" s="10">
        <f t="shared" si="776"/>
        <v>2.9411764705882351</v>
      </c>
      <c r="Q913" s="10">
        <f t="shared" si="777"/>
        <v>3.1771764705882353</v>
      </c>
      <c r="R913" s="10" t="s">
        <v>1575</v>
      </c>
      <c r="S913" s="10" t="s">
        <v>1575</v>
      </c>
      <c r="T913" s="10" t="s">
        <v>1575</v>
      </c>
      <c r="U913" s="10" t="s">
        <v>1575</v>
      </c>
      <c r="V913" s="10">
        <f>1.3-0.243</f>
        <v>1.0569999999999999</v>
      </c>
      <c r="W913" s="10">
        <f>0.237-0.001</f>
        <v>0.23599999999999999</v>
      </c>
      <c r="X913" s="10">
        <f t="shared" si="782"/>
        <v>1.2929999999999999</v>
      </c>
      <c r="Y913" s="10" t="str">
        <f t="shared" si="783"/>
        <v>NA</v>
      </c>
      <c r="Z913" s="10" t="str">
        <f t="shared" si="784"/>
        <v>NA</v>
      </c>
      <c r="AA913" s="10">
        <f t="shared" si="785"/>
        <v>2.7825699816350382</v>
      </c>
      <c r="AB913" s="10" t="str">
        <f t="shared" si="786"/>
        <v>NA</v>
      </c>
      <c r="AC913" s="10" t="str">
        <f t="shared" si="787"/>
        <v>NA</v>
      </c>
      <c r="AD913" s="10" t="str">
        <f t="shared" si="788"/>
        <v>NA</v>
      </c>
      <c r="AE913" s="10">
        <f t="shared" si="789"/>
        <v>2.4572130476320462</v>
      </c>
      <c r="AF913" s="1" t="s">
        <v>984</v>
      </c>
    </row>
    <row r="914" spans="1:32" x14ac:dyDescent="0.2">
      <c r="A914" s="1" t="s">
        <v>5752</v>
      </c>
      <c r="B914" s="1" t="s">
        <v>5</v>
      </c>
      <c r="C914" s="1" t="s">
        <v>3848</v>
      </c>
      <c r="D914" s="1" t="s">
        <v>1597</v>
      </c>
      <c r="E914" s="1" t="s">
        <v>1699</v>
      </c>
      <c r="F914" s="1" t="s">
        <v>4323</v>
      </c>
      <c r="G914" s="4">
        <v>0.19042999999999999</v>
      </c>
      <c r="H914" s="28">
        <v>42453</v>
      </c>
      <c r="I914" s="29">
        <f t="shared" si="775"/>
        <v>2016</v>
      </c>
      <c r="J914" s="1" t="s">
        <v>3284</v>
      </c>
      <c r="K914" s="1" t="s">
        <v>7</v>
      </c>
      <c r="L914" s="11" t="str">
        <f t="shared" si="772"/>
        <v>НЕТ</v>
      </c>
      <c r="M914" s="10" t="s">
        <v>1575</v>
      </c>
      <c r="N914" s="10" t="s">
        <v>1575</v>
      </c>
      <c r="O914" s="10">
        <v>3.55</v>
      </c>
      <c r="P914" s="10">
        <f t="shared" si="776"/>
        <v>18.642020690017329</v>
      </c>
      <c r="Q914" s="10" t="str">
        <f t="shared" si="777"/>
        <v>NA</v>
      </c>
      <c r="R914" s="10" t="s">
        <v>1575</v>
      </c>
      <c r="S914" s="10" t="s">
        <v>1575</v>
      </c>
      <c r="T914" s="10" t="s">
        <v>1575</v>
      </c>
      <c r="U914" s="10" t="s">
        <v>1575</v>
      </c>
      <c r="V914" s="10" t="s">
        <v>1575</v>
      </c>
      <c r="W914" s="10" t="s">
        <v>1575</v>
      </c>
      <c r="X914" s="10" t="str">
        <f t="shared" si="782"/>
        <v>NA</v>
      </c>
      <c r="Y914" s="10" t="str">
        <f t="shared" si="783"/>
        <v>NA</v>
      </c>
      <c r="Z914" s="10" t="str">
        <f t="shared" si="784"/>
        <v>NA</v>
      </c>
      <c r="AA914" s="10" t="str">
        <f t="shared" si="785"/>
        <v>NA</v>
      </c>
      <c r="AB914" s="10" t="str">
        <f t="shared" si="786"/>
        <v>NA</v>
      </c>
      <c r="AC914" s="10" t="str">
        <f t="shared" si="787"/>
        <v>NA</v>
      </c>
      <c r="AD914" s="10" t="str">
        <f t="shared" si="788"/>
        <v>NA</v>
      </c>
      <c r="AE914" s="10" t="str">
        <f t="shared" si="789"/>
        <v>NA</v>
      </c>
      <c r="AF914" s="1" t="s">
        <v>4324</v>
      </c>
    </row>
    <row r="915" spans="1:32" x14ac:dyDescent="0.2">
      <c r="A915" s="1" t="s">
        <v>5753</v>
      </c>
      <c r="B915" s="1" t="s">
        <v>5</v>
      </c>
      <c r="C915" s="1" t="s">
        <v>1575</v>
      </c>
      <c r="D915" s="1" t="s">
        <v>1597</v>
      </c>
      <c r="E915" s="1" t="s">
        <v>1660</v>
      </c>
      <c r="F915" s="1" t="s">
        <v>16</v>
      </c>
      <c r="G915" s="4">
        <v>1</v>
      </c>
      <c r="H915" s="28">
        <v>41724</v>
      </c>
      <c r="I915" s="29">
        <f t="shared" si="775"/>
        <v>2014</v>
      </c>
      <c r="J915" s="1" t="s">
        <v>3284</v>
      </c>
      <c r="K915" s="1" t="s">
        <v>7</v>
      </c>
      <c r="L915" s="11" t="str">
        <f t="shared" si="772"/>
        <v>НЕТ</v>
      </c>
      <c r="M915" s="10" t="s">
        <v>1575</v>
      </c>
      <c r="N915" s="10" t="s">
        <v>1575</v>
      </c>
      <c r="O915" s="10">
        <v>35.953000000000003</v>
      </c>
      <c r="P915" s="10">
        <f t="shared" si="776"/>
        <v>35.953000000000003</v>
      </c>
      <c r="Q915" s="10">
        <f t="shared" si="777"/>
        <v>41.624000000000002</v>
      </c>
      <c r="R915" s="10" t="s">
        <v>1575</v>
      </c>
      <c r="S915" s="10" t="s">
        <v>1575</v>
      </c>
      <c r="T915" s="10" t="s">
        <v>1575</v>
      </c>
      <c r="U915" s="10" t="s">
        <v>1575</v>
      </c>
      <c r="V915" s="10">
        <v>35.953000000000003</v>
      </c>
      <c r="W915" s="10">
        <f>0.363+5.516-0.208</f>
        <v>5.6709999999999994</v>
      </c>
      <c r="X915" s="10">
        <f t="shared" si="782"/>
        <v>41.624000000000002</v>
      </c>
      <c r="Y915" s="10" t="str">
        <f t="shared" si="783"/>
        <v>NA</v>
      </c>
      <c r="Z915" s="10" t="str">
        <f t="shared" si="784"/>
        <v>NA</v>
      </c>
      <c r="AA915" s="10">
        <f t="shared" si="785"/>
        <v>1</v>
      </c>
      <c r="AB915" s="10" t="str">
        <f t="shared" si="786"/>
        <v>NA</v>
      </c>
      <c r="AC915" s="10" t="str">
        <f t="shared" si="787"/>
        <v>NA</v>
      </c>
      <c r="AD915" s="10" t="str">
        <f t="shared" si="788"/>
        <v>NA</v>
      </c>
      <c r="AE915" s="10">
        <f t="shared" si="789"/>
        <v>1</v>
      </c>
      <c r="AF915" s="1" t="s">
        <v>4325</v>
      </c>
    </row>
    <row r="916" spans="1:32" x14ac:dyDescent="0.2">
      <c r="A916" s="1" t="s">
        <v>5754</v>
      </c>
      <c r="B916" s="1" t="s">
        <v>5</v>
      </c>
      <c r="C916" s="1" t="s">
        <v>1575</v>
      </c>
      <c r="D916" s="1" t="s">
        <v>1597</v>
      </c>
      <c r="E916" s="1" t="s">
        <v>1699</v>
      </c>
      <c r="F916" s="1" t="s">
        <v>9</v>
      </c>
      <c r="G916" s="4">
        <v>1</v>
      </c>
      <c r="H916" s="28">
        <v>41882</v>
      </c>
      <c r="I916" s="29">
        <f t="shared" si="775"/>
        <v>2014</v>
      </c>
      <c r="J916" s="1" t="s">
        <v>3284</v>
      </c>
      <c r="K916" s="1" t="s">
        <v>7</v>
      </c>
      <c r="L916" s="11" t="str">
        <f t="shared" si="772"/>
        <v>НЕТ</v>
      </c>
      <c r="M916" s="10" t="s">
        <v>1575</v>
      </c>
      <c r="N916" s="10" t="s">
        <v>1575</v>
      </c>
      <c r="O916" s="10">
        <v>7.7149999999999999</v>
      </c>
      <c r="P916" s="10">
        <f t="shared" si="776"/>
        <v>7.7149999999999999</v>
      </c>
      <c r="Q916" s="10">
        <f t="shared" si="777"/>
        <v>10.504</v>
      </c>
      <c r="R916" s="10" t="s">
        <v>1575</v>
      </c>
      <c r="S916" s="10" t="s">
        <v>1575</v>
      </c>
      <c r="T916" s="10" t="s">
        <v>1575</v>
      </c>
      <c r="U916" s="10" t="s">
        <v>1575</v>
      </c>
      <c r="V916" s="10">
        <v>7.7149999999999999</v>
      </c>
      <c r="W916" s="10">
        <f>1.848+0.949-0.008</f>
        <v>2.7890000000000001</v>
      </c>
      <c r="X916" s="10">
        <f t="shared" si="782"/>
        <v>10.504</v>
      </c>
      <c r="Y916" s="10" t="str">
        <f t="shared" si="783"/>
        <v>NA</v>
      </c>
      <c r="Z916" s="10" t="str">
        <f t="shared" si="784"/>
        <v>NA</v>
      </c>
      <c r="AA916" s="10">
        <f t="shared" si="785"/>
        <v>1</v>
      </c>
      <c r="AB916" s="10" t="str">
        <f t="shared" si="786"/>
        <v>NA</v>
      </c>
      <c r="AC916" s="10" t="str">
        <f t="shared" si="787"/>
        <v>NA</v>
      </c>
      <c r="AD916" s="10" t="str">
        <f t="shared" si="788"/>
        <v>NA</v>
      </c>
      <c r="AE916" s="10">
        <f t="shared" si="789"/>
        <v>1</v>
      </c>
      <c r="AF916" s="1" t="s">
        <v>4326</v>
      </c>
    </row>
    <row r="917" spans="1:32" x14ac:dyDescent="0.2">
      <c r="A917" s="1" t="s">
        <v>5755</v>
      </c>
      <c r="B917" s="1" t="s">
        <v>5</v>
      </c>
      <c r="C917" s="1" t="s">
        <v>1575</v>
      </c>
      <c r="D917" s="1" t="s">
        <v>1580</v>
      </c>
      <c r="E917" s="1" t="s">
        <v>2165</v>
      </c>
      <c r="F917" s="1" t="s">
        <v>36</v>
      </c>
      <c r="G917" s="4">
        <v>0.98</v>
      </c>
      <c r="H917" s="28">
        <v>41534</v>
      </c>
      <c r="I917" s="29">
        <f t="shared" si="775"/>
        <v>2013</v>
      </c>
      <c r="J917" s="1" t="s">
        <v>7</v>
      </c>
      <c r="K917" s="1" t="s">
        <v>3284</v>
      </c>
      <c r="L917" s="11" t="str">
        <f t="shared" si="772"/>
        <v>НЕТ</v>
      </c>
      <c r="M917" s="10" t="s">
        <v>1575</v>
      </c>
      <c r="N917" s="10" t="s">
        <v>1575</v>
      </c>
      <c r="O917" s="10">
        <v>6.2</v>
      </c>
      <c r="P917" s="10">
        <f t="shared" si="776"/>
        <v>6.3265306122448983</v>
      </c>
      <c r="Q917" s="10">
        <f t="shared" si="777"/>
        <v>2.982530612244898</v>
      </c>
      <c r="R917" s="10" t="s">
        <v>1575</v>
      </c>
      <c r="S917" s="10" t="s">
        <v>1575</v>
      </c>
      <c r="T917" s="10" t="s">
        <v>1575</v>
      </c>
      <c r="U917" s="10" t="s">
        <v>1575</v>
      </c>
      <c r="V917" s="10">
        <v>18.811</v>
      </c>
      <c r="W917" s="10">
        <f>1.468-1.24-3.572</f>
        <v>-3.3440000000000003</v>
      </c>
      <c r="X917" s="10">
        <f t="shared" si="782"/>
        <v>15.466999999999999</v>
      </c>
      <c r="Y917" s="10" t="str">
        <f t="shared" si="783"/>
        <v>NA</v>
      </c>
      <c r="Z917" s="10" t="str">
        <f t="shared" si="784"/>
        <v>NA</v>
      </c>
      <c r="AA917" s="10">
        <f t="shared" si="785"/>
        <v>0.33632080230954753</v>
      </c>
      <c r="AB917" s="10" t="str">
        <f t="shared" si="786"/>
        <v>NA</v>
      </c>
      <c r="AC917" s="10" t="str">
        <f t="shared" si="787"/>
        <v>NA</v>
      </c>
      <c r="AD917" s="10" t="str">
        <f t="shared" si="788"/>
        <v>NA</v>
      </c>
      <c r="AE917" s="10">
        <f t="shared" si="789"/>
        <v>0.19283187510473254</v>
      </c>
      <c r="AF917" s="1" t="s">
        <v>4327</v>
      </c>
    </row>
    <row r="918" spans="1:32" x14ac:dyDescent="0.2">
      <c r="A918" s="1" t="s">
        <v>37</v>
      </c>
      <c r="B918" s="1" t="s">
        <v>5</v>
      </c>
      <c r="C918" s="1" t="s">
        <v>1575</v>
      </c>
      <c r="D918" s="1" t="s">
        <v>1597</v>
      </c>
      <c r="E918" s="1" t="s">
        <v>1699</v>
      </c>
      <c r="F918" s="1" t="s">
        <v>9</v>
      </c>
      <c r="G918" s="4">
        <v>1</v>
      </c>
      <c r="H918" s="28">
        <v>41975</v>
      </c>
      <c r="I918" s="29">
        <f t="shared" si="775"/>
        <v>2014</v>
      </c>
      <c r="J918" s="1" t="s">
        <v>3284</v>
      </c>
      <c r="K918" s="1" t="s">
        <v>7</v>
      </c>
      <c r="L918" s="11" t="str">
        <f t="shared" si="772"/>
        <v>НЕТ</v>
      </c>
      <c r="M918" s="10" t="s">
        <v>1575</v>
      </c>
      <c r="N918" s="10" t="s">
        <v>1575</v>
      </c>
      <c r="O918" s="10">
        <v>1.1910000000000001</v>
      </c>
      <c r="P918" s="10">
        <f t="shared" si="776"/>
        <v>1.1910000000000001</v>
      </c>
      <c r="Q918" s="10" t="str">
        <f t="shared" si="777"/>
        <v>NA</v>
      </c>
      <c r="R918" s="10" t="s">
        <v>1575</v>
      </c>
      <c r="S918" s="10" t="s">
        <v>1575</v>
      </c>
      <c r="T918" s="10" t="s">
        <v>1575</v>
      </c>
      <c r="U918" s="10" t="s">
        <v>1575</v>
      </c>
      <c r="V918" s="10" t="s">
        <v>1575</v>
      </c>
      <c r="W918" s="10" t="s">
        <v>1575</v>
      </c>
      <c r="X918" s="10" t="str">
        <f t="shared" si="782"/>
        <v>NA</v>
      </c>
      <c r="Y918" s="10" t="str">
        <f t="shared" si="783"/>
        <v>NA</v>
      </c>
      <c r="Z918" s="10" t="str">
        <f t="shared" si="784"/>
        <v>NA</v>
      </c>
      <c r="AA918" s="10" t="str">
        <f t="shared" si="785"/>
        <v>NA</v>
      </c>
      <c r="AB918" s="10" t="str">
        <f t="shared" si="786"/>
        <v>NA</v>
      </c>
      <c r="AC918" s="10" t="str">
        <f t="shared" si="787"/>
        <v>NA</v>
      </c>
      <c r="AD918" s="10" t="str">
        <f t="shared" si="788"/>
        <v>NA</v>
      </c>
      <c r="AE918" s="10" t="str">
        <f t="shared" si="789"/>
        <v>NA</v>
      </c>
      <c r="AF918" s="1" t="s">
        <v>4328</v>
      </c>
    </row>
    <row r="919" spans="1:32" x14ac:dyDescent="0.2">
      <c r="A919" s="1" t="s">
        <v>5756</v>
      </c>
      <c r="B919" s="1" t="s">
        <v>5</v>
      </c>
      <c r="C919" s="1" t="s">
        <v>1575</v>
      </c>
      <c r="D919" s="1" t="s">
        <v>1597</v>
      </c>
      <c r="E919" s="1" t="s">
        <v>1598</v>
      </c>
      <c r="F919" s="1" t="s">
        <v>6</v>
      </c>
      <c r="G919" s="4">
        <v>1</v>
      </c>
      <c r="H919" s="28">
        <v>41547</v>
      </c>
      <c r="I919" s="29">
        <f t="shared" si="775"/>
        <v>2013</v>
      </c>
      <c r="J919" s="1" t="s">
        <v>7</v>
      </c>
      <c r="K919" s="1" t="s">
        <v>3284</v>
      </c>
      <c r="L919" s="11" t="str">
        <f t="shared" si="772"/>
        <v>НЕТ</v>
      </c>
      <c r="M919" s="10" t="s">
        <v>1575</v>
      </c>
      <c r="N919" s="10" t="s">
        <v>1575</v>
      </c>
      <c r="O919" s="10">
        <v>4.0999999999999996</v>
      </c>
      <c r="P919" s="10">
        <f t="shared" si="776"/>
        <v>4.0999999999999996</v>
      </c>
      <c r="Q919" s="10">
        <f t="shared" si="777"/>
        <v>3.3129999999999997</v>
      </c>
      <c r="R919" s="10" t="s">
        <v>1575</v>
      </c>
      <c r="S919" s="10" t="s">
        <v>1575</v>
      </c>
      <c r="T919" s="10" t="s">
        <v>1575</v>
      </c>
      <c r="U919" s="10" t="s">
        <v>1575</v>
      </c>
      <c r="V919" s="10">
        <v>9.2370000000000001</v>
      </c>
      <c r="W919" s="10">
        <f>0.338-1.125</f>
        <v>-0.78699999999999992</v>
      </c>
      <c r="X919" s="10">
        <f t="shared" si="782"/>
        <v>8.4499999999999993</v>
      </c>
      <c r="Y919" s="10" t="str">
        <f t="shared" si="783"/>
        <v>NA</v>
      </c>
      <c r="Z919" s="10" t="str">
        <f t="shared" si="784"/>
        <v>NA</v>
      </c>
      <c r="AA919" s="10">
        <f t="shared" si="785"/>
        <v>0.4438670564035942</v>
      </c>
      <c r="AB919" s="10" t="str">
        <f t="shared" si="786"/>
        <v>NA</v>
      </c>
      <c r="AC919" s="10" t="str">
        <f t="shared" si="787"/>
        <v>NA</v>
      </c>
      <c r="AD919" s="10" t="str">
        <f t="shared" si="788"/>
        <v>NA</v>
      </c>
      <c r="AE919" s="10">
        <f t="shared" si="789"/>
        <v>0.39207100591715977</v>
      </c>
      <c r="AF919" s="1" t="s">
        <v>4329</v>
      </c>
    </row>
    <row r="920" spans="1:32" x14ac:dyDescent="0.2">
      <c r="A920" s="1" t="s">
        <v>3284</v>
      </c>
      <c r="B920" s="1" t="s">
        <v>5</v>
      </c>
      <c r="C920" s="1" t="s">
        <v>3029</v>
      </c>
      <c r="D920" s="1" t="s">
        <v>1597</v>
      </c>
      <c r="E920" s="1" t="s">
        <v>3028</v>
      </c>
      <c r="F920" s="1" t="s">
        <v>14</v>
      </c>
      <c r="G920" s="4">
        <v>4.5199999999999997E-2</v>
      </c>
      <c r="H920" s="28">
        <v>41090</v>
      </c>
      <c r="I920" s="29">
        <f t="shared" si="775"/>
        <v>2012</v>
      </c>
      <c r="J920" s="1" t="s">
        <v>3284</v>
      </c>
      <c r="K920" s="1" t="s">
        <v>7</v>
      </c>
      <c r="L920" s="11" t="str">
        <f t="shared" si="772"/>
        <v>ДА</v>
      </c>
      <c r="M920" s="10" t="s">
        <v>1575</v>
      </c>
      <c r="N920" s="10" t="s">
        <v>1575</v>
      </c>
      <c r="O920" s="10">
        <v>11.07</v>
      </c>
      <c r="P920" s="10">
        <f t="shared" si="776"/>
        <v>244.91150442477877</v>
      </c>
      <c r="Q920" s="10" t="str">
        <f t="shared" si="777"/>
        <v>NA</v>
      </c>
      <c r="R920" s="10" t="s">
        <v>1575</v>
      </c>
      <c r="S920" s="10" t="s">
        <v>1575</v>
      </c>
      <c r="T920" s="10" t="s">
        <v>1575</v>
      </c>
      <c r="U920" s="10" t="s">
        <v>1575</v>
      </c>
      <c r="V920" s="10" t="s">
        <v>1575</v>
      </c>
      <c r="W920" s="10" t="s">
        <v>1575</v>
      </c>
      <c r="X920" s="10" t="str">
        <f t="shared" si="782"/>
        <v>NA</v>
      </c>
      <c r="Y920" s="10" t="str">
        <f t="shared" si="783"/>
        <v>NA</v>
      </c>
      <c r="Z920" s="10" t="str">
        <f t="shared" si="784"/>
        <v>NA</v>
      </c>
      <c r="AA920" s="10" t="str">
        <f t="shared" si="785"/>
        <v>NA</v>
      </c>
      <c r="AB920" s="10" t="str">
        <f t="shared" si="786"/>
        <v>NA</v>
      </c>
      <c r="AC920" s="10" t="str">
        <f t="shared" si="787"/>
        <v>NA</v>
      </c>
      <c r="AD920" s="10" t="str">
        <f t="shared" si="788"/>
        <v>NA</v>
      </c>
      <c r="AE920" s="10" t="str">
        <f t="shared" si="789"/>
        <v>NA</v>
      </c>
      <c r="AF920" s="1" t="s">
        <v>4336</v>
      </c>
    </row>
    <row r="921" spans="1:32" x14ac:dyDescent="0.2">
      <c r="A921" s="1" t="s">
        <v>3284</v>
      </c>
      <c r="B921" s="1" t="s">
        <v>5</v>
      </c>
      <c r="C921" s="1" t="s">
        <v>3029</v>
      </c>
      <c r="D921" s="1" t="s">
        <v>1597</v>
      </c>
      <c r="E921" s="1" t="s">
        <v>3028</v>
      </c>
      <c r="F921" s="1" t="s">
        <v>14</v>
      </c>
      <c r="G921" s="4">
        <f>(2596805+133640)/(188710587+38673878)</f>
        <v>1.2008054288141452E-2</v>
      </c>
      <c r="H921" s="28">
        <v>41243</v>
      </c>
      <c r="I921" s="29">
        <f t="shared" si="775"/>
        <v>2012</v>
      </c>
      <c r="J921" s="1" t="s">
        <v>4339</v>
      </c>
      <c r="K921" s="1" t="s">
        <v>7</v>
      </c>
      <c r="L921" s="11" t="str">
        <f t="shared" si="772"/>
        <v>НЕТ</v>
      </c>
      <c r="M921" s="10" t="s">
        <v>1575</v>
      </c>
      <c r="N921" s="10" t="s">
        <v>1575</v>
      </c>
      <c r="O921" s="10">
        <v>4.6269999999999998</v>
      </c>
      <c r="P921" s="10">
        <f t="shared" si="776"/>
        <v>385.32470698182897</v>
      </c>
      <c r="Q921" s="10" t="str">
        <f t="shared" si="777"/>
        <v>NA</v>
      </c>
      <c r="R921" s="10" t="s">
        <v>1575</v>
      </c>
      <c r="S921" s="10" t="s">
        <v>1575</v>
      </c>
      <c r="T921" s="10" t="s">
        <v>1575</v>
      </c>
      <c r="U921" s="10" t="s">
        <v>1575</v>
      </c>
      <c r="V921" s="10" t="s">
        <v>1575</v>
      </c>
      <c r="W921" s="10" t="s">
        <v>1575</v>
      </c>
      <c r="X921" s="10" t="str">
        <f t="shared" si="782"/>
        <v>NA</v>
      </c>
      <c r="Y921" s="10" t="str">
        <f t="shared" si="783"/>
        <v>NA</v>
      </c>
      <c r="Z921" s="10" t="str">
        <f t="shared" si="784"/>
        <v>NA</v>
      </c>
      <c r="AA921" s="10" t="str">
        <f t="shared" si="785"/>
        <v>NA</v>
      </c>
      <c r="AB921" s="10" t="str">
        <f t="shared" si="786"/>
        <v>NA</v>
      </c>
      <c r="AC921" s="10" t="str">
        <f t="shared" si="787"/>
        <v>NA</v>
      </c>
      <c r="AD921" s="10" t="str">
        <f t="shared" si="788"/>
        <v>NA</v>
      </c>
      <c r="AE921" s="10" t="str">
        <f t="shared" si="789"/>
        <v>NA</v>
      </c>
      <c r="AF921" s="1" t="s">
        <v>4337</v>
      </c>
    </row>
    <row r="922" spans="1:32" x14ac:dyDescent="0.2">
      <c r="A922" s="1" t="s">
        <v>3284</v>
      </c>
      <c r="B922" s="1" t="s">
        <v>5</v>
      </c>
      <c r="C922" s="1" t="s">
        <v>3029</v>
      </c>
      <c r="D922" s="1" t="s">
        <v>1597</v>
      </c>
      <c r="E922" s="1" t="s">
        <v>3028</v>
      </c>
      <c r="F922" s="1" t="s">
        <v>14</v>
      </c>
      <c r="G922" s="4">
        <f>2131226/(188710587+38673878)</f>
        <v>9.3727863071032588E-3</v>
      </c>
      <c r="H922" s="28">
        <v>41243</v>
      </c>
      <c r="I922" s="29">
        <f t="shared" si="775"/>
        <v>2012</v>
      </c>
      <c r="J922" s="1" t="s">
        <v>5757</v>
      </c>
      <c r="K922" s="1" t="s">
        <v>3284</v>
      </c>
      <c r="L922" s="11" t="str">
        <f t="shared" si="772"/>
        <v>ДА</v>
      </c>
      <c r="M922" s="10" t="s">
        <v>1575</v>
      </c>
      <c r="N922" s="10" t="s">
        <v>1575</v>
      </c>
      <c r="O922" s="10">
        <v>2.617</v>
      </c>
      <c r="P922" s="10">
        <f t="shared" si="776"/>
        <v>279.21259636706759</v>
      </c>
      <c r="Q922" s="10" t="str">
        <f t="shared" si="777"/>
        <v>NA</v>
      </c>
      <c r="R922" s="10" t="s">
        <v>1575</v>
      </c>
      <c r="S922" s="10" t="s">
        <v>1575</v>
      </c>
      <c r="T922" s="10" t="s">
        <v>1575</v>
      </c>
      <c r="U922" s="10" t="s">
        <v>1575</v>
      </c>
      <c r="V922" s="10" t="s">
        <v>1575</v>
      </c>
      <c r="W922" s="10" t="s">
        <v>1575</v>
      </c>
      <c r="X922" s="10" t="str">
        <f t="shared" si="782"/>
        <v>NA</v>
      </c>
      <c r="Y922" s="10" t="str">
        <f t="shared" si="783"/>
        <v>NA</v>
      </c>
      <c r="Z922" s="10" t="str">
        <f t="shared" si="784"/>
        <v>NA</v>
      </c>
      <c r="AA922" s="10" t="str">
        <f t="shared" si="785"/>
        <v>NA</v>
      </c>
      <c r="AB922" s="10" t="str">
        <f t="shared" si="786"/>
        <v>NA</v>
      </c>
      <c r="AC922" s="10" t="str">
        <f t="shared" si="787"/>
        <v>NA</v>
      </c>
      <c r="AD922" s="10" t="str">
        <f t="shared" si="788"/>
        <v>NA</v>
      </c>
      <c r="AE922" s="10" t="str">
        <f t="shared" si="789"/>
        <v>NA</v>
      </c>
      <c r="AF922" s="1" t="s">
        <v>4338</v>
      </c>
    </row>
    <row r="923" spans="1:32" x14ac:dyDescent="0.2">
      <c r="A923" s="1" t="s">
        <v>38</v>
      </c>
      <c r="B923" s="1" t="s">
        <v>5</v>
      </c>
      <c r="C923" s="1" t="s">
        <v>1575</v>
      </c>
      <c r="D923" s="1" t="s">
        <v>1597</v>
      </c>
      <c r="E923" s="1" t="s">
        <v>1699</v>
      </c>
      <c r="F923" s="1" t="s">
        <v>9</v>
      </c>
      <c r="G923" s="4">
        <v>0.94</v>
      </c>
      <c r="H923" s="28">
        <v>40663</v>
      </c>
      <c r="I923" s="29">
        <f t="shared" si="775"/>
        <v>2011</v>
      </c>
      <c r="J923" s="1" t="s">
        <v>3284</v>
      </c>
      <c r="K923" s="1" t="s">
        <v>39</v>
      </c>
      <c r="L923" s="11" t="str">
        <f t="shared" si="772"/>
        <v>НЕТ</v>
      </c>
      <c r="M923" s="10" t="s">
        <v>1575</v>
      </c>
      <c r="N923" s="10" t="s">
        <v>1575</v>
      </c>
      <c r="O923" s="10">
        <v>3.3929999999999998</v>
      </c>
      <c r="P923" s="10">
        <f t="shared" si="776"/>
        <v>3.6095744680851065</v>
      </c>
      <c r="Q923" s="10">
        <f t="shared" si="777"/>
        <v>3.9385744680851067</v>
      </c>
      <c r="R923" s="10" t="s">
        <v>1575</v>
      </c>
      <c r="S923" s="10" t="s">
        <v>1575</v>
      </c>
      <c r="T923" s="10" t="s">
        <v>1575</v>
      </c>
      <c r="U923" s="10" t="s">
        <v>1575</v>
      </c>
      <c r="V923" s="10">
        <v>3.58</v>
      </c>
      <c r="W923" s="10">
        <f>0.577-0.248</f>
        <v>0.32899999999999996</v>
      </c>
      <c r="X923" s="10">
        <f t="shared" si="782"/>
        <v>3.9089999999999998</v>
      </c>
      <c r="Y923" s="10" t="str">
        <f t="shared" si="783"/>
        <v>NA</v>
      </c>
      <c r="Z923" s="10" t="str">
        <f t="shared" si="784"/>
        <v>NA</v>
      </c>
      <c r="AA923" s="10">
        <f t="shared" si="785"/>
        <v>1.0082610246047783</v>
      </c>
      <c r="AB923" s="10" t="str">
        <f t="shared" si="786"/>
        <v>NA</v>
      </c>
      <c r="AC923" s="10" t="str">
        <f t="shared" si="787"/>
        <v>NA</v>
      </c>
      <c r="AD923" s="10" t="str">
        <f t="shared" si="788"/>
        <v>NA</v>
      </c>
      <c r="AE923" s="10">
        <f t="shared" si="789"/>
        <v>1.0075657375505518</v>
      </c>
      <c r="AF923" s="1" t="s">
        <v>4330</v>
      </c>
    </row>
    <row r="924" spans="1:32" x14ac:dyDescent="0.2">
      <c r="A924" s="1" t="s">
        <v>40</v>
      </c>
      <c r="B924" s="1" t="s">
        <v>5</v>
      </c>
      <c r="C924" s="1" t="s">
        <v>1575</v>
      </c>
      <c r="D924" s="1" t="s">
        <v>1597</v>
      </c>
      <c r="E924" s="1" t="s">
        <v>1699</v>
      </c>
      <c r="F924" s="1" t="s">
        <v>9</v>
      </c>
      <c r="G924" s="4">
        <v>1</v>
      </c>
      <c r="H924" s="28">
        <v>40908</v>
      </c>
      <c r="I924" s="29">
        <f t="shared" si="775"/>
        <v>2011</v>
      </c>
      <c r="J924" s="1" t="s">
        <v>3284</v>
      </c>
      <c r="K924" s="1" t="s">
        <v>7</v>
      </c>
      <c r="L924" s="11" t="str">
        <f t="shared" si="772"/>
        <v>НЕТ</v>
      </c>
      <c r="M924" s="10" t="s">
        <v>1575</v>
      </c>
      <c r="N924" s="10" t="s">
        <v>1575</v>
      </c>
      <c r="O924" s="10">
        <v>1.202</v>
      </c>
      <c r="P924" s="10">
        <f t="shared" si="776"/>
        <v>1.202</v>
      </c>
      <c r="Q924" s="10" t="str">
        <f t="shared" si="777"/>
        <v>NA</v>
      </c>
      <c r="R924" s="10" t="s">
        <v>1575</v>
      </c>
      <c r="S924" s="10" t="s">
        <v>1575</v>
      </c>
      <c r="T924" s="10" t="s">
        <v>1575</v>
      </c>
      <c r="U924" s="10" t="s">
        <v>1575</v>
      </c>
      <c r="V924" s="10" t="s">
        <v>1575</v>
      </c>
      <c r="W924" s="10" t="s">
        <v>1575</v>
      </c>
      <c r="X924" s="10" t="str">
        <f t="shared" si="782"/>
        <v>NA</v>
      </c>
      <c r="Y924" s="10" t="str">
        <f t="shared" si="783"/>
        <v>NA</v>
      </c>
      <c r="Z924" s="10" t="str">
        <f t="shared" si="784"/>
        <v>NA</v>
      </c>
      <c r="AA924" s="10" t="str">
        <f t="shared" si="785"/>
        <v>NA</v>
      </c>
      <c r="AB924" s="10" t="str">
        <f t="shared" si="786"/>
        <v>NA</v>
      </c>
      <c r="AC924" s="10" t="str">
        <f t="shared" si="787"/>
        <v>NA</v>
      </c>
      <c r="AD924" s="10" t="str">
        <f t="shared" si="788"/>
        <v>NA</v>
      </c>
      <c r="AE924" s="10" t="str">
        <f t="shared" si="789"/>
        <v>NA</v>
      </c>
      <c r="AF924" s="1" t="s">
        <v>4331</v>
      </c>
    </row>
    <row r="925" spans="1:32" x14ac:dyDescent="0.2">
      <c r="A925" s="1" t="s">
        <v>41</v>
      </c>
      <c r="B925" s="1" t="s">
        <v>5</v>
      </c>
      <c r="C925" s="1" t="s">
        <v>1575</v>
      </c>
      <c r="D925" s="1" t="s">
        <v>1597</v>
      </c>
      <c r="E925" s="1" t="s">
        <v>1699</v>
      </c>
      <c r="F925" s="1" t="s">
        <v>9</v>
      </c>
      <c r="G925" s="4">
        <v>0.49990000000000001</v>
      </c>
      <c r="H925" s="28">
        <v>40390</v>
      </c>
      <c r="I925" s="29">
        <f t="shared" si="775"/>
        <v>2010</v>
      </c>
      <c r="J925" s="1" t="s">
        <v>3284</v>
      </c>
      <c r="K925" s="1" t="s">
        <v>7</v>
      </c>
      <c r="L925" s="11" t="str">
        <f t="shared" si="772"/>
        <v>НЕТ</v>
      </c>
      <c r="M925" s="10" t="s">
        <v>1575</v>
      </c>
      <c r="N925" s="10" t="s">
        <v>1575</v>
      </c>
      <c r="O925" s="10">
        <v>3.6989999999999998</v>
      </c>
      <c r="P925" s="10">
        <f t="shared" si="776"/>
        <v>7.3994798959791952</v>
      </c>
      <c r="Q925" s="10">
        <f t="shared" si="777"/>
        <v>7.4914798959791948</v>
      </c>
      <c r="R925" s="10" t="s">
        <v>1575</v>
      </c>
      <c r="S925" s="10" t="s">
        <v>1575</v>
      </c>
      <c r="T925" s="10" t="s">
        <v>1575</v>
      </c>
      <c r="U925" s="10" t="s">
        <v>1575</v>
      </c>
      <c r="V925" s="10">
        <v>2.8519999999999999</v>
      </c>
      <c r="W925" s="10">
        <f>0.247-0.155</f>
        <v>9.1999999999999998E-2</v>
      </c>
      <c r="X925" s="10">
        <f t="shared" si="782"/>
        <v>2.944</v>
      </c>
      <c r="Y925" s="10" t="str">
        <f t="shared" si="783"/>
        <v>NA</v>
      </c>
      <c r="Z925" s="10" t="str">
        <f t="shared" si="784"/>
        <v>NA</v>
      </c>
      <c r="AA925" s="10">
        <f t="shared" si="785"/>
        <v>2.5944880420684417</v>
      </c>
      <c r="AB925" s="10" t="str">
        <f t="shared" si="786"/>
        <v>NA</v>
      </c>
      <c r="AC925" s="10" t="str">
        <f t="shared" si="787"/>
        <v>NA</v>
      </c>
      <c r="AD925" s="10" t="str">
        <f t="shared" si="788"/>
        <v>NA</v>
      </c>
      <c r="AE925" s="10">
        <f t="shared" si="789"/>
        <v>2.5446602907538027</v>
      </c>
      <c r="AF925" s="1" t="s">
        <v>4335</v>
      </c>
    </row>
    <row r="926" spans="1:32" x14ac:dyDescent="0.2">
      <c r="A926" s="1" t="s">
        <v>5758</v>
      </c>
      <c r="B926" s="1" t="s">
        <v>5</v>
      </c>
      <c r="C926" s="1" t="s">
        <v>1575</v>
      </c>
      <c r="D926" s="1" t="s">
        <v>1580</v>
      </c>
      <c r="E926" s="1" t="s">
        <v>1593</v>
      </c>
      <c r="F926" s="1" t="s">
        <v>545</v>
      </c>
      <c r="G926" s="4">
        <v>0.25</v>
      </c>
      <c r="H926" s="28">
        <v>40277</v>
      </c>
      <c r="I926" s="29">
        <f t="shared" si="775"/>
        <v>2010</v>
      </c>
      <c r="J926" s="1" t="s">
        <v>3284</v>
      </c>
      <c r="K926" s="1" t="s">
        <v>7</v>
      </c>
      <c r="L926" s="11" t="str">
        <f t="shared" ref="L926:L928" si="792">IF(OR(A926=J926,A926=K926),"ДА","НЕТ")</f>
        <v>НЕТ</v>
      </c>
      <c r="M926" s="10" t="s">
        <v>1575</v>
      </c>
      <c r="N926" s="10" t="s">
        <v>1575</v>
      </c>
      <c r="O926" s="10">
        <v>5.9390000000000001</v>
      </c>
      <c r="P926" s="10">
        <f t="shared" si="776"/>
        <v>23.756</v>
      </c>
      <c r="Q926" s="10" t="str">
        <f t="shared" si="777"/>
        <v>NA</v>
      </c>
      <c r="R926" s="10" t="s">
        <v>1575</v>
      </c>
      <c r="S926" s="10" t="s">
        <v>1575</v>
      </c>
      <c r="T926" s="10" t="s">
        <v>1575</v>
      </c>
      <c r="U926" s="10" t="s">
        <v>1575</v>
      </c>
      <c r="V926" s="10" t="s">
        <v>1575</v>
      </c>
      <c r="W926" s="10" t="s">
        <v>1575</v>
      </c>
      <c r="X926" s="10" t="str">
        <f t="shared" si="782"/>
        <v>NA</v>
      </c>
      <c r="Y926" s="10" t="str">
        <f t="shared" si="783"/>
        <v>NA</v>
      </c>
      <c r="Z926" s="10" t="str">
        <f t="shared" si="784"/>
        <v>NA</v>
      </c>
      <c r="AA926" s="10" t="str">
        <f t="shared" si="785"/>
        <v>NA</v>
      </c>
      <c r="AB926" s="10" t="str">
        <f t="shared" si="786"/>
        <v>NA</v>
      </c>
      <c r="AC926" s="10" t="str">
        <f t="shared" si="787"/>
        <v>NA</v>
      </c>
      <c r="AD926" s="10" t="str">
        <f t="shared" si="788"/>
        <v>NA</v>
      </c>
      <c r="AE926" s="10" t="str">
        <f t="shared" si="789"/>
        <v>NA</v>
      </c>
      <c r="AF926" s="1" t="s">
        <v>4332</v>
      </c>
    </row>
    <row r="927" spans="1:32" x14ac:dyDescent="0.2">
      <c r="A927" s="1" t="s">
        <v>4334</v>
      </c>
      <c r="B927" s="1" t="s">
        <v>5</v>
      </c>
      <c r="C927" s="1" t="s">
        <v>1575</v>
      </c>
      <c r="D927" s="1" t="s">
        <v>1597</v>
      </c>
      <c r="E927" s="1" t="s">
        <v>1699</v>
      </c>
      <c r="F927" s="1" t="s">
        <v>9</v>
      </c>
      <c r="G927" s="4" t="s">
        <v>1575</v>
      </c>
      <c r="H927" s="28">
        <v>40359</v>
      </c>
      <c r="I927" s="29">
        <f t="shared" si="775"/>
        <v>2010</v>
      </c>
      <c r="J927" s="1" t="s">
        <v>3284</v>
      </c>
      <c r="K927" s="1" t="s">
        <v>7</v>
      </c>
      <c r="L927" s="11" t="str">
        <f t="shared" si="792"/>
        <v>НЕТ</v>
      </c>
      <c r="M927" s="10">
        <v>129</v>
      </c>
      <c r="N927" s="10" t="s">
        <v>1575</v>
      </c>
      <c r="O927" s="10">
        <f>M927*31.1954/1000</f>
        <v>4.0242066000000003</v>
      </c>
      <c r="P927" s="10" t="str">
        <f t="shared" si="776"/>
        <v>NA</v>
      </c>
      <c r="Q927" s="10" t="str">
        <f t="shared" si="777"/>
        <v>NA</v>
      </c>
      <c r="R927" s="10" t="s">
        <v>1575</v>
      </c>
      <c r="S927" s="10" t="s">
        <v>1575</v>
      </c>
      <c r="T927" s="10" t="s">
        <v>1575</v>
      </c>
      <c r="U927" s="10" t="s">
        <v>1575</v>
      </c>
      <c r="V927" s="10" t="s">
        <v>1575</v>
      </c>
      <c r="W927" s="10" t="s">
        <v>1575</v>
      </c>
      <c r="X927" s="10" t="str">
        <f t="shared" si="782"/>
        <v>NA</v>
      </c>
      <c r="Y927" s="10" t="str">
        <f t="shared" si="783"/>
        <v>NA</v>
      </c>
      <c r="Z927" s="10" t="str">
        <f t="shared" si="784"/>
        <v>NA</v>
      </c>
      <c r="AA927" s="10" t="str">
        <f t="shared" si="785"/>
        <v>NA</v>
      </c>
      <c r="AB927" s="10" t="str">
        <f t="shared" si="786"/>
        <v>NA</v>
      </c>
      <c r="AC927" s="10" t="str">
        <f t="shared" si="787"/>
        <v>NA</v>
      </c>
      <c r="AD927" s="10" t="str">
        <f t="shared" si="788"/>
        <v>NA</v>
      </c>
      <c r="AE927" s="10" t="str">
        <f t="shared" si="789"/>
        <v>NA</v>
      </c>
      <c r="AF927" s="1" t="s">
        <v>4333</v>
      </c>
    </row>
    <row r="928" spans="1:32" x14ac:dyDescent="0.2">
      <c r="A928" s="1" t="s">
        <v>5759</v>
      </c>
      <c r="B928" s="1" t="s">
        <v>5</v>
      </c>
      <c r="C928" s="1" t="s">
        <v>1575</v>
      </c>
      <c r="D928" s="1" t="s">
        <v>1597</v>
      </c>
      <c r="E928" s="1" t="s">
        <v>1598</v>
      </c>
      <c r="F928" s="1" t="s">
        <v>6</v>
      </c>
      <c r="G928" s="4">
        <v>1</v>
      </c>
      <c r="H928" s="28">
        <v>44834</v>
      </c>
      <c r="I928" s="29">
        <f t="shared" si="775"/>
        <v>2022</v>
      </c>
      <c r="J928" s="1" t="s">
        <v>3285</v>
      </c>
      <c r="K928" s="1" t="s">
        <v>7</v>
      </c>
      <c r="L928" s="11" t="str">
        <f t="shared" si="792"/>
        <v>НЕТ</v>
      </c>
      <c r="M928" s="10" t="s">
        <v>1575</v>
      </c>
      <c r="N928" s="10" t="s">
        <v>1575</v>
      </c>
      <c r="O928" s="10">
        <v>26.632999999999999</v>
      </c>
      <c r="P928" s="10">
        <f t="shared" si="776"/>
        <v>26.632999999999999</v>
      </c>
      <c r="Q928" s="10">
        <f t="shared" si="777"/>
        <v>28.245999999999999</v>
      </c>
      <c r="R928" s="10" t="s">
        <v>1575</v>
      </c>
      <c r="S928" s="10" t="s">
        <v>1575</v>
      </c>
      <c r="T928" s="10" t="s">
        <v>1575</v>
      </c>
      <c r="U928" s="10" t="s">
        <v>1575</v>
      </c>
      <c r="V928" s="10">
        <v>25.632999999999999</v>
      </c>
      <c r="W928" s="10">
        <f>1.364+1.427-1.178</f>
        <v>1.6130000000000004</v>
      </c>
      <c r="X928" s="10">
        <f t="shared" si="782"/>
        <v>27.245999999999999</v>
      </c>
      <c r="Y928" s="10" t="str">
        <f t="shared" si="783"/>
        <v>NA</v>
      </c>
      <c r="Z928" s="10" t="str">
        <f t="shared" si="784"/>
        <v>NA</v>
      </c>
      <c r="AA928" s="10">
        <f t="shared" si="785"/>
        <v>1.0390122108219872</v>
      </c>
      <c r="AB928" s="10" t="str">
        <f t="shared" si="786"/>
        <v>NA</v>
      </c>
      <c r="AC928" s="10" t="str">
        <f t="shared" si="787"/>
        <v>NA</v>
      </c>
      <c r="AD928" s="10" t="str">
        <f t="shared" si="788"/>
        <v>NA</v>
      </c>
      <c r="AE928" s="10">
        <f t="shared" si="789"/>
        <v>1.0367026352492108</v>
      </c>
      <c r="AF928" s="1" t="s">
        <v>4340</v>
      </c>
    </row>
    <row r="929" spans="1:32" x14ac:dyDescent="0.2">
      <c r="A929" s="1" t="s">
        <v>4343</v>
      </c>
      <c r="B929" s="1" t="s">
        <v>5</v>
      </c>
      <c r="C929" s="1" t="s">
        <v>1575</v>
      </c>
      <c r="D929" s="1" t="s">
        <v>1689</v>
      </c>
      <c r="E929" s="1" t="s">
        <v>1697</v>
      </c>
      <c r="F929" s="1" t="s">
        <v>4342</v>
      </c>
      <c r="G929" s="4" t="s">
        <v>1575</v>
      </c>
      <c r="H929" s="28">
        <v>44834</v>
      </c>
      <c r="I929" s="29">
        <f t="shared" ref="I929" si="793">YEAR(H929)</f>
        <v>2022</v>
      </c>
      <c r="J929" s="1" t="s">
        <v>7</v>
      </c>
      <c r="K929" s="1" t="s">
        <v>3285</v>
      </c>
      <c r="L929" s="11" t="str">
        <f t="shared" ref="L929" si="794">IF(OR(A929=J929,A929=K929),"ДА","НЕТ")</f>
        <v>НЕТ</v>
      </c>
      <c r="M929" s="10" t="s">
        <v>1575</v>
      </c>
      <c r="N929" s="10" t="s">
        <v>1575</v>
      </c>
      <c r="O929" s="10">
        <v>12.115</v>
      </c>
      <c r="P929" s="10" t="str">
        <f t="shared" si="776"/>
        <v>NA</v>
      </c>
      <c r="Q929" s="10" t="str">
        <f t="shared" si="777"/>
        <v>NA</v>
      </c>
      <c r="R929" s="10" t="s">
        <v>1575</v>
      </c>
      <c r="S929" s="10" t="s">
        <v>1575</v>
      </c>
      <c r="T929" s="10" t="s">
        <v>1575</v>
      </c>
      <c r="U929" s="10" t="s">
        <v>1575</v>
      </c>
      <c r="V929" s="10">
        <v>30.675000000000001</v>
      </c>
      <c r="W929" s="10">
        <f>17.211-3.747</f>
        <v>13.463999999999999</v>
      </c>
      <c r="X929" s="10">
        <f t="shared" si="782"/>
        <v>44.138999999999996</v>
      </c>
      <c r="Y929" s="10" t="str">
        <f t="shared" si="783"/>
        <v>NA</v>
      </c>
      <c r="Z929" s="10" t="str">
        <f t="shared" si="784"/>
        <v>NA</v>
      </c>
      <c r="AA929" s="10" t="str">
        <f t="shared" si="785"/>
        <v>NA</v>
      </c>
      <c r="AB929" s="10" t="str">
        <f t="shared" si="786"/>
        <v>NA</v>
      </c>
      <c r="AC929" s="10" t="str">
        <f t="shared" si="787"/>
        <v>NA</v>
      </c>
      <c r="AD929" s="10" t="str">
        <f t="shared" si="788"/>
        <v>NA</v>
      </c>
      <c r="AE929" s="10" t="str">
        <f t="shared" si="789"/>
        <v>NA</v>
      </c>
      <c r="AF929" s="1" t="s">
        <v>4341</v>
      </c>
    </row>
    <row r="930" spans="1:32" x14ac:dyDescent="0.2">
      <c r="A930" s="1" t="s">
        <v>5760</v>
      </c>
      <c r="B930" s="1" t="s">
        <v>5</v>
      </c>
      <c r="C930" s="1" t="s">
        <v>1575</v>
      </c>
      <c r="D930" s="1" t="s">
        <v>1597</v>
      </c>
      <c r="E930" s="1" t="s">
        <v>1598</v>
      </c>
      <c r="F930" s="1" t="s">
        <v>6</v>
      </c>
      <c r="G930" s="4">
        <v>1</v>
      </c>
      <c r="H930" s="28">
        <v>44469</v>
      </c>
      <c r="I930" s="29">
        <f t="shared" si="775"/>
        <v>2021</v>
      </c>
      <c r="J930" s="1" t="s">
        <v>3285</v>
      </c>
      <c r="K930" s="1" t="s">
        <v>5761</v>
      </c>
      <c r="L930" s="11" t="str">
        <f t="shared" si="772"/>
        <v>НЕТ</v>
      </c>
      <c r="M930" s="10" t="s">
        <v>1575</v>
      </c>
      <c r="N930" s="10" t="s">
        <v>1575</v>
      </c>
      <c r="O930" s="10" t="s">
        <v>1575</v>
      </c>
      <c r="P930" s="10" t="str">
        <f t="shared" si="776"/>
        <v>NA</v>
      </c>
      <c r="Q930" s="10" t="str">
        <f t="shared" si="777"/>
        <v>NA</v>
      </c>
      <c r="R930" s="10" t="s">
        <v>1575</v>
      </c>
      <c r="S930" s="10" t="s">
        <v>1575</v>
      </c>
      <c r="T930" s="10" t="s">
        <v>1575</v>
      </c>
      <c r="U930" s="10" t="s">
        <v>1575</v>
      </c>
      <c r="V930" s="10" t="s">
        <v>1575</v>
      </c>
      <c r="W930" s="10" t="s">
        <v>1575</v>
      </c>
      <c r="X930" s="10" t="str">
        <f t="shared" si="782"/>
        <v>NA</v>
      </c>
      <c r="Y930" s="10" t="str">
        <f t="shared" si="783"/>
        <v>NA</v>
      </c>
      <c r="Z930" s="10" t="str">
        <f t="shared" si="784"/>
        <v>NA</v>
      </c>
      <c r="AA930" s="10" t="str">
        <f t="shared" si="785"/>
        <v>NA</v>
      </c>
      <c r="AB930" s="10" t="str">
        <f t="shared" si="786"/>
        <v>NA</v>
      </c>
      <c r="AC930" s="10" t="str">
        <f t="shared" si="787"/>
        <v>NA</v>
      </c>
      <c r="AD930" s="10" t="str">
        <f t="shared" si="788"/>
        <v>NA</v>
      </c>
      <c r="AE930" s="10" t="str">
        <f t="shared" si="789"/>
        <v>NA</v>
      </c>
      <c r="AF930" s="1" t="s">
        <v>1253</v>
      </c>
    </row>
    <row r="931" spans="1:32" x14ac:dyDescent="0.2">
      <c r="A931" s="1" t="s">
        <v>5762</v>
      </c>
      <c r="B931" s="1" t="s">
        <v>5</v>
      </c>
      <c r="C931" s="1" t="s">
        <v>1575</v>
      </c>
      <c r="D931" s="1" t="s">
        <v>1689</v>
      </c>
      <c r="E931" s="1" t="s">
        <v>1698</v>
      </c>
      <c r="F931" s="1" t="s">
        <v>1252</v>
      </c>
      <c r="G931" s="4">
        <v>1</v>
      </c>
      <c r="H931" s="28">
        <v>44377</v>
      </c>
      <c r="I931" s="29">
        <f t="shared" si="775"/>
        <v>2021</v>
      </c>
      <c r="J931" s="1" t="s">
        <v>3285</v>
      </c>
      <c r="K931" s="1" t="s">
        <v>5763</v>
      </c>
      <c r="L931" s="11" t="str">
        <f t="shared" si="772"/>
        <v>НЕТ</v>
      </c>
      <c r="M931" s="10" t="s">
        <v>1575</v>
      </c>
      <c r="N931" s="10" t="s">
        <v>1575</v>
      </c>
      <c r="O931" s="10">
        <v>6.45</v>
      </c>
      <c r="P931" s="10">
        <f t="shared" si="776"/>
        <v>6.45</v>
      </c>
      <c r="Q931" s="10">
        <f t="shared" si="777"/>
        <v>6.9110000000000005</v>
      </c>
      <c r="R931" s="10" t="s">
        <v>1575</v>
      </c>
      <c r="S931" s="10" t="s">
        <v>1575</v>
      </c>
      <c r="T931" s="10" t="s">
        <v>1575</v>
      </c>
      <c r="U931" s="10" t="s">
        <v>1575</v>
      </c>
      <c r="V931" s="10">
        <v>6.45</v>
      </c>
      <c r="W931" s="10">
        <f>1.455-0.994</f>
        <v>0.46100000000000008</v>
      </c>
      <c r="X931" s="10">
        <f t="shared" si="782"/>
        <v>6.9110000000000005</v>
      </c>
      <c r="Y931" s="10" t="str">
        <f t="shared" si="783"/>
        <v>NA</v>
      </c>
      <c r="Z931" s="10" t="str">
        <f t="shared" si="784"/>
        <v>NA</v>
      </c>
      <c r="AA931" s="10">
        <f t="shared" si="785"/>
        <v>1</v>
      </c>
      <c r="AB931" s="10" t="str">
        <f t="shared" si="786"/>
        <v>NA</v>
      </c>
      <c r="AC931" s="10" t="str">
        <f t="shared" si="787"/>
        <v>NA</v>
      </c>
      <c r="AD931" s="10" t="str">
        <f t="shared" si="788"/>
        <v>NA</v>
      </c>
      <c r="AE931" s="10">
        <f t="shared" si="789"/>
        <v>1</v>
      </c>
      <c r="AF931" s="1" t="s">
        <v>4344</v>
      </c>
    </row>
    <row r="932" spans="1:32" x14ac:dyDescent="0.2">
      <c r="A932" s="1" t="s">
        <v>5764</v>
      </c>
      <c r="B932" s="1" t="s">
        <v>5</v>
      </c>
      <c r="C932" s="1" t="s">
        <v>1575</v>
      </c>
      <c r="D932" s="1" t="s">
        <v>1689</v>
      </c>
      <c r="E932" s="1" t="s">
        <v>1698</v>
      </c>
      <c r="F932" s="1" t="s">
        <v>54</v>
      </c>
      <c r="G932" s="4">
        <v>1</v>
      </c>
      <c r="H932" s="28">
        <v>43830</v>
      </c>
      <c r="I932" s="29">
        <f t="shared" si="775"/>
        <v>2019</v>
      </c>
      <c r="J932" s="1" t="s">
        <v>3285</v>
      </c>
      <c r="K932" s="1" t="s">
        <v>5765</v>
      </c>
      <c r="L932" s="11" t="str">
        <f t="shared" si="772"/>
        <v>НЕТ</v>
      </c>
      <c r="M932" s="10" t="s">
        <v>1575</v>
      </c>
      <c r="N932" s="10" t="s">
        <v>1575</v>
      </c>
      <c r="O932" s="10">
        <v>12.801</v>
      </c>
      <c r="P932" s="10">
        <f t="shared" si="776"/>
        <v>12.801</v>
      </c>
      <c r="Q932" s="10">
        <f t="shared" si="777"/>
        <v>12.531000000000001</v>
      </c>
      <c r="R932" s="10" t="s">
        <v>1575</v>
      </c>
      <c r="S932" s="10" t="s">
        <v>1575</v>
      </c>
      <c r="T932" s="10" t="s">
        <v>1575</v>
      </c>
      <c r="U932" s="10" t="s">
        <v>1575</v>
      </c>
      <c r="V932" s="10">
        <v>12.801</v>
      </c>
      <c r="W932" s="10">
        <f>1.232-1.502</f>
        <v>-0.27</v>
      </c>
      <c r="X932" s="10">
        <f t="shared" si="782"/>
        <v>12.531000000000001</v>
      </c>
      <c r="Y932" s="10" t="str">
        <f t="shared" si="783"/>
        <v>NA</v>
      </c>
      <c r="Z932" s="10" t="str">
        <f t="shared" si="784"/>
        <v>NA</v>
      </c>
      <c r="AA932" s="10">
        <f t="shared" si="785"/>
        <v>1</v>
      </c>
      <c r="AB932" s="10" t="str">
        <f t="shared" si="786"/>
        <v>NA</v>
      </c>
      <c r="AC932" s="10" t="str">
        <f t="shared" si="787"/>
        <v>NA</v>
      </c>
      <c r="AD932" s="10" t="str">
        <f t="shared" si="788"/>
        <v>NA</v>
      </c>
      <c r="AE932" s="10">
        <f t="shared" si="789"/>
        <v>1</v>
      </c>
      <c r="AF932" s="1" t="s">
        <v>4347</v>
      </c>
    </row>
    <row r="933" spans="1:32" x14ac:dyDescent="0.2">
      <c r="A933" s="1" t="s">
        <v>5766</v>
      </c>
      <c r="B933" s="1" t="s">
        <v>5</v>
      </c>
      <c r="C933" s="1" t="s">
        <v>1575</v>
      </c>
      <c r="D933" s="1" t="s">
        <v>1597</v>
      </c>
      <c r="E933" s="1" t="s">
        <v>1699</v>
      </c>
      <c r="F933" s="1" t="s">
        <v>9</v>
      </c>
      <c r="G933" s="4">
        <v>1</v>
      </c>
      <c r="H933" s="28">
        <v>43830</v>
      </c>
      <c r="I933" s="29">
        <f t="shared" si="775"/>
        <v>2019</v>
      </c>
      <c r="J933" s="1" t="s">
        <v>3285</v>
      </c>
      <c r="K933" s="1" t="s">
        <v>985</v>
      </c>
      <c r="L933" s="11" t="str">
        <f t="shared" ref="L933:L1018" si="795">IF(OR(A933=J933,A933=K933),"ДА","НЕТ")</f>
        <v>НЕТ</v>
      </c>
      <c r="M933" s="10" t="s">
        <v>1575</v>
      </c>
      <c r="N933" s="10" t="s">
        <v>1575</v>
      </c>
      <c r="O933" s="10">
        <v>10.862</v>
      </c>
      <c r="P933" s="10">
        <f t="shared" si="776"/>
        <v>10.862</v>
      </c>
      <c r="Q933" s="10">
        <f t="shared" si="777"/>
        <v>10.242000000000001</v>
      </c>
      <c r="R933" s="10" t="s">
        <v>1575</v>
      </c>
      <c r="S933" s="10" t="s">
        <v>1575</v>
      </c>
      <c r="T933" s="10" t="s">
        <v>1575</v>
      </c>
      <c r="U933" s="10" t="s">
        <v>1575</v>
      </c>
      <c r="V933" s="10">
        <v>9.32</v>
      </c>
      <c r="W933" s="10">
        <f>1.073-1.693</f>
        <v>-0.62000000000000011</v>
      </c>
      <c r="X933" s="10">
        <f t="shared" si="782"/>
        <v>8.6999999999999993</v>
      </c>
      <c r="Y933" s="10" t="str">
        <f t="shared" si="783"/>
        <v>NA</v>
      </c>
      <c r="Z933" s="10" t="str">
        <f t="shared" si="784"/>
        <v>NA</v>
      </c>
      <c r="AA933" s="10">
        <f t="shared" si="785"/>
        <v>1.1654506437768239</v>
      </c>
      <c r="AB933" s="10" t="str">
        <f t="shared" si="786"/>
        <v>NA</v>
      </c>
      <c r="AC933" s="10" t="str">
        <f t="shared" si="787"/>
        <v>NA</v>
      </c>
      <c r="AD933" s="10" t="str">
        <f t="shared" si="788"/>
        <v>NA</v>
      </c>
      <c r="AE933" s="10">
        <f t="shared" si="789"/>
        <v>1.1772413793103451</v>
      </c>
      <c r="AF933" s="1" t="s">
        <v>4346</v>
      </c>
    </row>
    <row r="934" spans="1:32" x14ac:dyDescent="0.2">
      <c r="A934" s="1" t="s">
        <v>4722</v>
      </c>
      <c r="B934" s="1" t="s">
        <v>5</v>
      </c>
      <c r="C934" s="1" t="s">
        <v>3823</v>
      </c>
      <c r="D934" s="1" t="s">
        <v>1580</v>
      </c>
      <c r="E934" s="1" t="s">
        <v>1694</v>
      </c>
      <c r="F934" s="1" t="s">
        <v>68</v>
      </c>
      <c r="G934" s="4">
        <v>1.6400000000000001E-2</v>
      </c>
      <c r="H934" s="28">
        <v>42674</v>
      </c>
      <c r="I934" s="29">
        <f t="shared" si="775"/>
        <v>2016</v>
      </c>
      <c r="J934" s="1" t="s">
        <v>3285</v>
      </c>
      <c r="K934" s="1" t="s">
        <v>7</v>
      </c>
      <c r="L934" s="11" t="str">
        <f t="shared" si="795"/>
        <v>НЕТ</v>
      </c>
      <c r="M934" s="10" t="s">
        <v>1575</v>
      </c>
      <c r="N934" s="10" t="s">
        <v>1575</v>
      </c>
      <c r="O934" s="10">
        <f>7.605-6.7</f>
        <v>0.90500000000000025</v>
      </c>
      <c r="P934" s="10">
        <f t="shared" si="776"/>
        <v>55.182926829268304</v>
      </c>
      <c r="Q934" s="10" t="str">
        <f t="shared" si="777"/>
        <v>NA</v>
      </c>
      <c r="R934" s="10" t="s">
        <v>1575</v>
      </c>
      <c r="S934" s="10" t="s">
        <v>1575</v>
      </c>
      <c r="T934" s="10" t="s">
        <v>1575</v>
      </c>
      <c r="U934" s="10">
        <v>-11.092874</v>
      </c>
      <c r="V934" s="10">
        <v>14.919</v>
      </c>
      <c r="W934" s="10" t="s">
        <v>1575</v>
      </c>
      <c r="X934" s="10" t="str">
        <f t="shared" si="782"/>
        <v>NA</v>
      </c>
      <c r="Y934" s="10" t="str">
        <f t="shared" si="783"/>
        <v>NA</v>
      </c>
      <c r="Z934" s="10">
        <f t="shared" si="784"/>
        <v>-4.9746284713292788</v>
      </c>
      <c r="AA934" s="10">
        <f t="shared" si="785"/>
        <v>3.6988355003196127</v>
      </c>
      <c r="AB934" s="10" t="str">
        <f t="shared" si="786"/>
        <v>NA</v>
      </c>
      <c r="AC934" s="10" t="str">
        <f t="shared" si="787"/>
        <v>NA</v>
      </c>
      <c r="AD934" s="10" t="str">
        <f t="shared" si="788"/>
        <v>NA</v>
      </c>
      <c r="AE934" s="10" t="str">
        <f t="shared" si="789"/>
        <v>NA</v>
      </c>
      <c r="AF934" s="1" t="s">
        <v>636</v>
      </c>
    </row>
    <row r="935" spans="1:32" x14ac:dyDescent="0.2">
      <c r="A935" s="1" t="s">
        <v>4722</v>
      </c>
      <c r="B935" s="1" t="s">
        <v>5</v>
      </c>
      <c r="C935" s="1" t="s">
        <v>3823</v>
      </c>
      <c r="D935" s="1" t="s">
        <v>1580</v>
      </c>
      <c r="E935" s="1" t="s">
        <v>1694</v>
      </c>
      <c r="F935" s="1" t="s">
        <v>68</v>
      </c>
      <c r="G935" s="4">
        <f>48.79%-24.56%</f>
        <v>0.24230000000000002</v>
      </c>
      <c r="H935" s="28">
        <v>42551</v>
      </c>
      <c r="I935" s="29">
        <f t="shared" si="775"/>
        <v>2016</v>
      </c>
      <c r="J935" s="1" t="s">
        <v>3285</v>
      </c>
      <c r="K935" s="1" t="s">
        <v>7</v>
      </c>
      <c r="L935" s="11" t="str">
        <f t="shared" si="795"/>
        <v>НЕТ</v>
      </c>
      <c r="M935" s="10" t="s">
        <v>1575</v>
      </c>
      <c r="N935" s="10" t="s">
        <v>1575</v>
      </c>
      <c r="O935" s="10">
        <v>6.7</v>
      </c>
      <c r="P935" s="10">
        <f t="shared" si="776"/>
        <v>27.651671481634338</v>
      </c>
      <c r="Q935" s="10" t="str">
        <f t="shared" si="777"/>
        <v>NA</v>
      </c>
      <c r="R935" s="10" t="s">
        <v>1575</v>
      </c>
      <c r="S935" s="10" t="s">
        <v>1575</v>
      </c>
      <c r="T935" s="10" t="s">
        <v>1575</v>
      </c>
      <c r="U935" s="10">
        <v>-11.092874</v>
      </c>
      <c r="V935" s="10">
        <v>14.919</v>
      </c>
      <c r="W935" s="10" t="s">
        <v>1575</v>
      </c>
      <c r="X935" s="10" t="str">
        <f t="shared" si="782"/>
        <v>NA</v>
      </c>
      <c r="Y935" s="10" t="str">
        <f t="shared" si="783"/>
        <v>NA</v>
      </c>
      <c r="Z935" s="10">
        <f t="shared" si="784"/>
        <v>-2.4927418702884698</v>
      </c>
      <c r="AA935" s="10">
        <f t="shared" si="785"/>
        <v>1.8534534138772261</v>
      </c>
      <c r="AB935" s="10" t="str">
        <f t="shared" si="786"/>
        <v>NA</v>
      </c>
      <c r="AC935" s="10" t="str">
        <f t="shared" si="787"/>
        <v>NA</v>
      </c>
      <c r="AD935" s="10" t="str">
        <f t="shared" si="788"/>
        <v>NA</v>
      </c>
      <c r="AE935" s="10" t="str">
        <f t="shared" si="789"/>
        <v>NA</v>
      </c>
      <c r="AF935" s="1" t="s">
        <v>635</v>
      </c>
    </row>
    <row r="936" spans="1:32" x14ac:dyDescent="0.2">
      <c r="A936" s="1" t="s">
        <v>634</v>
      </c>
      <c r="B936" s="1" t="s">
        <v>5</v>
      </c>
      <c r="C936" s="1" t="s">
        <v>3847</v>
      </c>
      <c r="D936" s="1" t="s">
        <v>1689</v>
      </c>
      <c r="E936" s="1" t="s">
        <v>1698</v>
      </c>
      <c r="F936" s="1" t="s">
        <v>54</v>
      </c>
      <c r="G936" s="6" t="s">
        <v>633</v>
      </c>
      <c r="H936" s="28">
        <v>42730</v>
      </c>
      <c r="I936" s="29">
        <f t="shared" si="775"/>
        <v>2016</v>
      </c>
      <c r="J936" s="1" t="s">
        <v>7</v>
      </c>
      <c r="K936" s="1" t="s">
        <v>3285</v>
      </c>
      <c r="L936" s="11" t="str">
        <f t="shared" si="795"/>
        <v>НЕТ</v>
      </c>
      <c r="M936" s="10" t="s">
        <v>1575</v>
      </c>
      <c r="N936" s="10" t="s">
        <v>1575</v>
      </c>
      <c r="O936" s="10">
        <v>32</v>
      </c>
      <c r="P936" s="10" t="str">
        <f t="shared" si="776"/>
        <v>NA</v>
      </c>
      <c r="Q936" s="10" t="str">
        <f t="shared" si="777"/>
        <v>NA</v>
      </c>
      <c r="R936" s="10" t="s">
        <v>1575</v>
      </c>
      <c r="S936" s="10" t="s">
        <v>1575</v>
      </c>
      <c r="T936" s="10" t="s">
        <v>1575</v>
      </c>
      <c r="U936" s="10" t="s">
        <v>1575</v>
      </c>
      <c r="V936" s="10" t="s">
        <v>1575</v>
      </c>
      <c r="W936" s="10" t="s">
        <v>1575</v>
      </c>
      <c r="X936" s="10" t="str">
        <f t="shared" si="782"/>
        <v>NA</v>
      </c>
      <c r="Y936" s="10" t="str">
        <f t="shared" si="783"/>
        <v>NA</v>
      </c>
      <c r="Z936" s="10" t="str">
        <f t="shared" si="784"/>
        <v>NA</v>
      </c>
      <c r="AA936" s="10" t="str">
        <f t="shared" si="785"/>
        <v>NA</v>
      </c>
      <c r="AB936" s="10" t="str">
        <f t="shared" si="786"/>
        <v>NA</v>
      </c>
      <c r="AC936" s="10" t="str">
        <f t="shared" si="787"/>
        <v>NA</v>
      </c>
      <c r="AD936" s="10" t="str">
        <f t="shared" si="788"/>
        <v>NA</v>
      </c>
      <c r="AE936" s="10" t="str">
        <f t="shared" si="789"/>
        <v>NA</v>
      </c>
      <c r="AF936" s="1" t="s">
        <v>4348</v>
      </c>
    </row>
    <row r="937" spans="1:32" x14ac:dyDescent="0.2">
      <c r="A937" s="1" t="s">
        <v>634</v>
      </c>
      <c r="B937" s="1" t="s">
        <v>5</v>
      </c>
      <c r="C937" s="1" t="s">
        <v>3847</v>
      </c>
      <c r="D937" s="1" t="s">
        <v>1689</v>
      </c>
      <c r="E937" s="1" t="s">
        <v>1698</v>
      </c>
      <c r="F937" s="1" t="s">
        <v>54</v>
      </c>
      <c r="G937" s="6" t="s">
        <v>633</v>
      </c>
      <c r="H937" s="28">
        <v>42446</v>
      </c>
      <c r="I937" s="29">
        <f t="shared" si="775"/>
        <v>2016</v>
      </c>
      <c r="J937" s="1" t="s">
        <v>3285</v>
      </c>
      <c r="K937" s="1" t="s">
        <v>7</v>
      </c>
      <c r="L937" s="11" t="str">
        <f t="shared" si="795"/>
        <v>НЕТ</v>
      </c>
      <c r="M937" s="10" t="s">
        <v>1575</v>
      </c>
      <c r="N937" s="10" t="s">
        <v>1575</v>
      </c>
      <c r="O937" s="10">
        <v>19.850000000000001</v>
      </c>
      <c r="P937" s="10" t="str">
        <f t="shared" si="776"/>
        <v>NA</v>
      </c>
      <c r="Q937" s="10" t="str">
        <f t="shared" si="777"/>
        <v>NA</v>
      </c>
      <c r="R937" s="10" t="s">
        <v>1575</v>
      </c>
      <c r="S937" s="10" t="s">
        <v>1575</v>
      </c>
      <c r="T937" s="10" t="s">
        <v>1575</v>
      </c>
      <c r="U937" s="10" t="s">
        <v>1575</v>
      </c>
      <c r="V937" s="10" t="s">
        <v>1575</v>
      </c>
      <c r="W937" s="10" t="s">
        <v>1575</v>
      </c>
      <c r="X937" s="10" t="str">
        <f t="shared" si="782"/>
        <v>NA</v>
      </c>
      <c r="Y937" s="10" t="str">
        <f t="shared" si="783"/>
        <v>NA</v>
      </c>
      <c r="Z937" s="10" t="str">
        <f t="shared" si="784"/>
        <v>NA</v>
      </c>
      <c r="AA937" s="10" t="str">
        <f t="shared" si="785"/>
        <v>NA</v>
      </c>
      <c r="AB937" s="10" t="str">
        <f t="shared" si="786"/>
        <v>NA</v>
      </c>
      <c r="AC937" s="10" t="str">
        <f t="shared" si="787"/>
        <v>NA</v>
      </c>
      <c r="AD937" s="10" t="str">
        <f t="shared" si="788"/>
        <v>NA</v>
      </c>
      <c r="AE937" s="10" t="str">
        <f t="shared" si="789"/>
        <v>NA</v>
      </c>
      <c r="AF937" s="1" t="s">
        <v>4349</v>
      </c>
    </row>
    <row r="938" spans="1:32" x14ac:dyDescent="0.2">
      <c r="A938" s="1" t="s">
        <v>5767</v>
      </c>
      <c r="B938" s="1" t="s">
        <v>5</v>
      </c>
      <c r="C938" s="1" t="s">
        <v>1575</v>
      </c>
      <c r="D938" s="1" t="s">
        <v>1597</v>
      </c>
      <c r="E938" s="1" t="s">
        <v>1660</v>
      </c>
      <c r="F938" s="1" t="s">
        <v>16</v>
      </c>
      <c r="G938" s="4">
        <v>0.49</v>
      </c>
      <c r="H938" s="28">
        <v>44408</v>
      </c>
      <c r="I938" s="29">
        <f t="shared" si="775"/>
        <v>2021</v>
      </c>
      <c r="J938" s="1" t="s">
        <v>5712</v>
      </c>
      <c r="K938" s="1" t="s">
        <v>5731</v>
      </c>
      <c r="L938" s="11" t="str">
        <f t="shared" si="795"/>
        <v>НЕТ</v>
      </c>
      <c r="M938" s="10">
        <v>0</v>
      </c>
      <c r="N938" s="10" t="s">
        <v>1575</v>
      </c>
      <c r="O938" s="10">
        <v>1.655</v>
      </c>
      <c r="P938" s="10">
        <f t="shared" si="776"/>
        <v>3.3775510204081636</v>
      </c>
      <c r="Q938" s="10" t="str">
        <f t="shared" si="777"/>
        <v>NA</v>
      </c>
      <c r="R938" s="10" t="s">
        <v>1575</v>
      </c>
      <c r="S938" s="10" t="s">
        <v>1575</v>
      </c>
      <c r="T938" s="10" t="s">
        <v>1575</v>
      </c>
      <c r="U938" s="10" t="s">
        <v>1575</v>
      </c>
      <c r="V938" s="10" t="s">
        <v>1575</v>
      </c>
      <c r="W938" s="10" t="s">
        <v>1575</v>
      </c>
      <c r="X938" s="10" t="str">
        <f t="shared" si="782"/>
        <v>NA</v>
      </c>
      <c r="Y938" s="10" t="str">
        <f t="shared" si="783"/>
        <v>NA</v>
      </c>
      <c r="Z938" s="10" t="str">
        <f t="shared" si="784"/>
        <v>NA</v>
      </c>
      <c r="AA938" s="10" t="str">
        <f t="shared" si="785"/>
        <v>NA</v>
      </c>
      <c r="AB938" s="10" t="str">
        <f t="shared" si="786"/>
        <v>NA</v>
      </c>
      <c r="AC938" s="10" t="str">
        <f t="shared" si="787"/>
        <v>NA</v>
      </c>
      <c r="AD938" s="10" t="str">
        <f t="shared" si="788"/>
        <v>NA</v>
      </c>
      <c r="AE938" s="10" t="str">
        <f t="shared" si="789"/>
        <v>NA</v>
      </c>
      <c r="AF938" s="1" t="s">
        <v>1023</v>
      </c>
    </row>
    <row r="939" spans="1:32" x14ac:dyDescent="0.2">
      <c r="A939" s="1" t="s">
        <v>5768</v>
      </c>
      <c r="B939" s="1" t="s">
        <v>5</v>
      </c>
      <c r="C939" s="1" t="s">
        <v>1575</v>
      </c>
      <c r="D939" s="1" t="s">
        <v>1615</v>
      </c>
      <c r="E939" s="1" t="s">
        <v>1616</v>
      </c>
      <c r="F939" s="1" t="s">
        <v>49</v>
      </c>
      <c r="G939" s="4">
        <v>0.1</v>
      </c>
      <c r="H939" s="28">
        <v>44408</v>
      </c>
      <c r="I939" s="29">
        <f t="shared" si="775"/>
        <v>2021</v>
      </c>
      <c r="J939" s="1" t="s">
        <v>5769</v>
      </c>
      <c r="K939" s="1" t="s">
        <v>5712</v>
      </c>
      <c r="L939" s="11" t="str">
        <f t="shared" si="795"/>
        <v>НЕТ</v>
      </c>
      <c r="M939" s="10">
        <v>5</v>
      </c>
      <c r="N939" s="10" t="s">
        <v>1575</v>
      </c>
      <c r="O939" s="10">
        <v>0.36799999999999999</v>
      </c>
      <c r="P939" s="10">
        <f t="shared" si="776"/>
        <v>3.6799999999999997</v>
      </c>
      <c r="Q939" s="10">
        <f t="shared" si="777"/>
        <v>7.7490000000000006</v>
      </c>
      <c r="R939" s="10" t="s">
        <v>1575</v>
      </c>
      <c r="S939" s="10" t="s">
        <v>1575</v>
      </c>
      <c r="T939" s="10" t="s">
        <v>1575</v>
      </c>
      <c r="U939" s="10" t="s">
        <v>1575</v>
      </c>
      <c r="V939" s="10">
        <v>0.23</v>
      </c>
      <c r="W939" s="10">
        <f>4.091+0.115-0.137</f>
        <v>4.0690000000000008</v>
      </c>
      <c r="X939" s="10">
        <f t="shared" si="782"/>
        <v>4.2990000000000013</v>
      </c>
      <c r="Y939" s="10" t="str">
        <f t="shared" si="783"/>
        <v>NA</v>
      </c>
      <c r="Z939" s="10" t="str">
        <f t="shared" si="784"/>
        <v>NA</v>
      </c>
      <c r="AA939" s="10">
        <f t="shared" si="785"/>
        <v>15.999999999999998</v>
      </c>
      <c r="AB939" s="10" t="str">
        <f t="shared" si="786"/>
        <v>NA</v>
      </c>
      <c r="AC939" s="10" t="str">
        <f t="shared" si="787"/>
        <v>NA</v>
      </c>
      <c r="AD939" s="10" t="str">
        <f t="shared" si="788"/>
        <v>NA</v>
      </c>
      <c r="AE939" s="10">
        <f t="shared" si="789"/>
        <v>1.8025122121423582</v>
      </c>
      <c r="AF939" s="1" t="s">
        <v>986</v>
      </c>
    </row>
    <row r="940" spans="1:32" x14ac:dyDescent="0.2">
      <c r="A940" s="1" t="s">
        <v>5712</v>
      </c>
      <c r="B940" s="1" t="s">
        <v>5</v>
      </c>
      <c r="C940" s="1" t="s">
        <v>1664</v>
      </c>
      <c r="D940" s="1" t="s">
        <v>1597</v>
      </c>
      <c r="E940" s="1" t="s">
        <v>3028</v>
      </c>
      <c r="F940" s="1" t="s">
        <v>14</v>
      </c>
      <c r="G940" s="4">
        <f>7.2/3036.306</f>
        <v>2.3713024971791382E-3</v>
      </c>
      <c r="H940" s="28">
        <v>44561</v>
      </c>
      <c r="I940" s="29">
        <f t="shared" si="775"/>
        <v>2021</v>
      </c>
      <c r="J940" s="1" t="s">
        <v>5712</v>
      </c>
      <c r="K940" s="1" t="s">
        <v>7</v>
      </c>
      <c r="L940" s="11" t="str">
        <f t="shared" ref="L940" si="796">IF(OR(A940=J940,A940=K940),"ДА","НЕТ")</f>
        <v>ДА</v>
      </c>
      <c r="M940" s="10" t="s">
        <v>1575</v>
      </c>
      <c r="N940" s="10" t="s">
        <v>1575</v>
      </c>
      <c r="O940" s="10">
        <v>12.907</v>
      </c>
      <c r="P940" s="10">
        <f t="shared" si="776"/>
        <v>5443.0002141666664</v>
      </c>
      <c r="Q940" s="10">
        <f t="shared" si="777"/>
        <v>4728.748214166666</v>
      </c>
      <c r="R940" s="10">
        <v>1156.7239999999999</v>
      </c>
      <c r="S940" s="10">
        <v>587.52200000000005</v>
      </c>
      <c r="T940" s="10">
        <v>530.923</v>
      </c>
      <c r="U940" s="10">
        <v>451.62099999999998</v>
      </c>
      <c r="V940" s="10">
        <v>1911.4690000000001</v>
      </c>
      <c r="W940" s="10">
        <v>-714.25199999999995</v>
      </c>
      <c r="X940" s="10">
        <f t="shared" si="782"/>
        <v>1197.2170000000001</v>
      </c>
      <c r="Y940" s="10">
        <f t="shared" si="783"/>
        <v>4.7055306314787853</v>
      </c>
      <c r="Z940" s="10">
        <f t="shared" si="784"/>
        <v>12.052141539402877</v>
      </c>
      <c r="AA940" s="10">
        <f t="shared" si="785"/>
        <v>2.847548254335627</v>
      </c>
      <c r="AB940" s="10">
        <f t="shared" si="786"/>
        <v>4.0880523047560748</v>
      </c>
      <c r="AC940" s="10">
        <f t="shared" si="787"/>
        <v>8.0486317349251024</v>
      </c>
      <c r="AD940" s="10">
        <f t="shared" si="788"/>
        <v>8.9066554173894641</v>
      </c>
      <c r="AE940" s="10">
        <f t="shared" si="789"/>
        <v>3.9497837185461497</v>
      </c>
      <c r="AF940" s="1" t="s">
        <v>4350</v>
      </c>
    </row>
    <row r="941" spans="1:32" x14ac:dyDescent="0.2">
      <c r="A941" s="1" t="s">
        <v>5712</v>
      </c>
      <c r="B941" s="1" t="s">
        <v>5</v>
      </c>
      <c r="C941" s="1" t="s">
        <v>1664</v>
      </c>
      <c r="D941" s="1" t="s">
        <v>1597</v>
      </c>
      <c r="E941" s="1" t="s">
        <v>3028</v>
      </c>
      <c r="F941" s="1" t="s">
        <v>14</v>
      </c>
      <c r="G941" s="4">
        <f>8.4/3036.306</f>
        <v>2.7665195800423278E-3</v>
      </c>
      <c r="H941" s="28">
        <v>44196</v>
      </c>
      <c r="I941" s="29">
        <f t="shared" ref="I941" si="797">YEAR(H941)</f>
        <v>2020</v>
      </c>
      <c r="J941" s="1" t="s">
        <v>5712</v>
      </c>
      <c r="K941" s="1" t="s">
        <v>7</v>
      </c>
      <c r="L941" s="11" t="str">
        <f t="shared" ref="L941" si="798">IF(OR(A941=J941,A941=K941),"ДА","НЕТ")</f>
        <v>ДА</v>
      </c>
      <c r="M941" s="10" t="s">
        <v>1575</v>
      </c>
      <c r="N941" s="10" t="s">
        <v>1575</v>
      </c>
      <c r="O941" s="10">
        <v>8.0779999999999994</v>
      </c>
      <c r="P941" s="10">
        <f t="shared" si="776"/>
        <v>2919.9142699999998</v>
      </c>
      <c r="Q941" s="10">
        <f t="shared" si="777"/>
        <v>2213.3512699999997</v>
      </c>
      <c r="R941" s="10">
        <v>711.81200000000001</v>
      </c>
      <c r="S941" s="10">
        <v>0.87199999999998568</v>
      </c>
      <c r="T941" s="10">
        <v>-38.366000000000014</v>
      </c>
      <c r="U941" s="10">
        <v>78.585999999999999</v>
      </c>
      <c r="V941" s="10">
        <v>1638.4269999999999</v>
      </c>
      <c r="W941" s="10">
        <v>-706.56299999999999</v>
      </c>
      <c r="X941" s="10">
        <f t="shared" si="782"/>
        <v>931.86399999999992</v>
      </c>
      <c r="Y941" s="10">
        <f t="shared" si="783"/>
        <v>4.1020863233550431</v>
      </c>
      <c r="Z941" s="10">
        <f t="shared" si="784"/>
        <v>37.155654569516194</v>
      </c>
      <c r="AA941" s="10">
        <f t="shared" si="785"/>
        <v>1.782144868218114</v>
      </c>
      <c r="AB941" s="10">
        <f t="shared" si="786"/>
        <v>3.1094604614701629</v>
      </c>
      <c r="AC941" s="10">
        <f t="shared" si="787"/>
        <v>2538.2468692660964</v>
      </c>
      <c r="AD941" s="10">
        <f t="shared" si="788"/>
        <v>-57.690436063180911</v>
      </c>
      <c r="AE941" s="10">
        <f t="shared" si="789"/>
        <v>2.3751870122678844</v>
      </c>
      <c r="AF941" s="1" t="s">
        <v>4351</v>
      </c>
    </row>
    <row r="942" spans="1:32" x14ac:dyDescent="0.2">
      <c r="A942" s="1" t="s">
        <v>5770</v>
      </c>
      <c r="B942" s="1" t="s">
        <v>5</v>
      </c>
      <c r="C942" s="1" t="s">
        <v>1575</v>
      </c>
      <c r="D942" s="1" t="s">
        <v>1597</v>
      </c>
      <c r="E942" s="1" t="s">
        <v>1660</v>
      </c>
      <c r="F942" s="1" t="s">
        <v>16</v>
      </c>
      <c r="G942" s="4">
        <v>1</v>
      </c>
      <c r="H942" s="28">
        <v>44196</v>
      </c>
      <c r="I942" s="29">
        <f t="shared" si="775"/>
        <v>2020</v>
      </c>
      <c r="J942" s="1" t="s">
        <v>5771</v>
      </c>
      <c r="K942" s="1" t="s">
        <v>5712</v>
      </c>
      <c r="L942" s="11" t="str">
        <f t="shared" si="795"/>
        <v>НЕТ</v>
      </c>
      <c r="M942" s="10" t="s">
        <v>1575</v>
      </c>
      <c r="N942" s="10" t="s">
        <v>1575</v>
      </c>
      <c r="O942" s="10">
        <v>0.73</v>
      </c>
      <c r="P942" s="10">
        <f t="shared" si="776"/>
        <v>0.73</v>
      </c>
      <c r="Q942" s="10" t="str">
        <f t="shared" si="777"/>
        <v>NA</v>
      </c>
      <c r="R942" s="10" t="s">
        <v>1575</v>
      </c>
      <c r="S942" s="10" t="s">
        <v>1575</v>
      </c>
      <c r="T942" s="10" t="s">
        <v>1575</v>
      </c>
      <c r="U942" s="10" t="s">
        <v>1575</v>
      </c>
      <c r="V942" s="10" t="s">
        <v>1575</v>
      </c>
      <c r="W942" s="10" t="s">
        <v>1575</v>
      </c>
      <c r="X942" s="10" t="str">
        <f t="shared" si="782"/>
        <v>NA</v>
      </c>
      <c r="Y942" s="10" t="str">
        <f t="shared" si="783"/>
        <v>NA</v>
      </c>
      <c r="Z942" s="10" t="str">
        <f t="shared" si="784"/>
        <v>NA</v>
      </c>
      <c r="AA942" s="10" t="str">
        <f t="shared" si="785"/>
        <v>NA</v>
      </c>
      <c r="AB942" s="10" t="str">
        <f t="shared" si="786"/>
        <v>NA</v>
      </c>
      <c r="AC942" s="10" t="str">
        <f t="shared" si="787"/>
        <v>NA</v>
      </c>
      <c r="AD942" s="10" t="str">
        <f t="shared" si="788"/>
        <v>NA</v>
      </c>
      <c r="AE942" s="10" t="str">
        <f t="shared" si="789"/>
        <v>NA</v>
      </c>
      <c r="AF942" s="1" t="s">
        <v>990</v>
      </c>
    </row>
    <row r="943" spans="1:32" x14ac:dyDescent="0.2">
      <c r="A943" s="1" t="s">
        <v>5772</v>
      </c>
      <c r="B943" s="1" t="s">
        <v>5</v>
      </c>
      <c r="C943" s="1" t="s">
        <v>1575</v>
      </c>
      <c r="D943" s="1" t="s">
        <v>1597</v>
      </c>
      <c r="E943" s="1" t="s">
        <v>1666</v>
      </c>
      <c r="F943" s="1" t="s">
        <v>987</v>
      </c>
      <c r="G943" s="4">
        <v>0.3</v>
      </c>
      <c r="H943" s="28">
        <v>43646</v>
      </c>
      <c r="I943" s="29">
        <f t="shared" si="775"/>
        <v>2019</v>
      </c>
      <c r="J943" s="1" t="s">
        <v>5773</v>
      </c>
      <c r="K943" s="1" t="s">
        <v>5712</v>
      </c>
      <c r="L943" s="11" t="str">
        <f t="shared" si="795"/>
        <v>НЕТ</v>
      </c>
      <c r="M943" s="10" t="s">
        <v>1575</v>
      </c>
      <c r="N943" s="10" t="s">
        <v>1575</v>
      </c>
      <c r="O943" s="10">
        <v>440.07299999999998</v>
      </c>
      <c r="P943" s="10">
        <f t="shared" si="776"/>
        <v>1466.91</v>
      </c>
      <c r="Q943" s="10">
        <f t="shared" si="777"/>
        <v>1512.7950000000001</v>
      </c>
      <c r="R943" s="10" t="s">
        <v>1575</v>
      </c>
      <c r="S943" s="10" t="s">
        <v>1575</v>
      </c>
      <c r="T943" s="10" t="s">
        <v>1575</v>
      </c>
      <c r="U943" s="10" t="s">
        <v>1575</v>
      </c>
      <c r="V943" s="10">
        <v>33.820999999999998</v>
      </c>
      <c r="W943" s="10">
        <f>58.329+3.546-15.99</f>
        <v>45.884999999999998</v>
      </c>
      <c r="X943" s="10">
        <f t="shared" si="782"/>
        <v>79.705999999999989</v>
      </c>
      <c r="Y943" s="10" t="str">
        <f t="shared" si="783"/>
        <v>NA</v>
      </c>
      <c r="Z943" s="10" t="str">
        <f t="shared" si="784"/>
        <v>NA</v>
      </c>
      <c r="AA943" s="10">
        <f t="shared" si="785"/>
        <v>43.372756571360995</v>
      </c>
      <c r="AB943" s="10" t="str">
        <f t="shared" si="786"/>
        <v>NA</v>
      </c>
      <c r="AC943" s="10" t="str">
        <f t="shared" si="787"/>
        <v>NA</v>
      </c>
      <c r="AD943" s="10" t="str">
        <f t="shared" si="788"/>
        <v>NA</v>
      </c>
      <c r="AE943" s="10">
        <f t="shared" si="789"/>
        <v>18.979687852859261</v>
      </c>
      <c r="AF943" s="1" t="s">
        <v>989</v>
      </c>
    </row>
    <row r="944" spans="1:32" x14ac:dyDescent="0.2">
      <c r="A944" s="1" t="s">
        <v>5772</v>
      </c>
      <c r="B944" s="1" t="s">
        <v>5</v>
      </c>
      <c r="C944" s="1" t="s">
        <v>1575</v>
      </c>
      <c r="D944" s="1" t="s">
        <v>1597</v>
      </c>
      <c r="E944" s="1" t="s">
        <v>1666</v>
      </c>
      <c r="F944" s="1" t="s">
        <v>987</v>
      </c>
      <c r="G944" s="4">
        <v>0.1</v>
      </c>
      <c r="H944" s="28">
        <v>43555</v>
      </c>
      <c r="I944" s="29">
        <f t="shared" si="775"/>
        <v>2019</v>
      </c>
      <c r="J944" s="1" t="s">
        <v>5774</v>
      </c>
      <c r="K944" s="1" t="s">
        <v>5712</v>
      </c>
      <c r="L944" s="11" t="str">
        <f t="shared" si="795"/>
        <v>НЕТ</v>
      </c>
      <c r="M944" s="10">
        <f>1300+800+363</f>
        <v>2463</v>
      </c>
      <c r="N944" s="10" t="s">
        <v>1575</v>
      </c>
      <c r="O944" s="10">
        <v>161.79599999999999</v>
      </c>
      <c r="P944" s="10">
        <f t="shared" si="776"/>
        <v>1617.9599999999998</v>
      </c>
      <c r="Q944" s="10">
        <f t="shared" si="777"/>
        <v>1663.8449999999998</v>
      </c>
      <c r="R944" s="10" t="s">
        <v>1575</v>
      </c>
      <c r="S944" s="10" t="s">
        <v>1575</v>
      </c>
      <c r="T944" s="10" t="s">
        <v>1575</v>
      </c>
      <c r="U944" s="10" t="s">
        <v>1575</v>
      </c>
      <c r="V944" s="10">
        <v>33.820999999999998</v>
      </c>
      <c r="W944" s="10">
        <f>58.329+3.546-15.99</f>
        <v>45.884999999999998</v>
      </c>
      <c r="X944" s="10">
        <f t="shared" si="782"/>
        <v>79.705999999999989</v>
      </c>
      <c r="Y944" s="10" t="str">
        <f t="shared" si="783"/>
        <v>NA</v>
      </c>
      <c r="Z944" s="10" t="str">
        <f t="shared" si="784"/>
        <v>NA</v>
      </c>
      <c r="AA944" s="10">
        <f t="shared" si="785"/>
        <v>47.838916649418998</v>
      </c>
      <c r="AB944" s="10" t="str">
        <f t="shared" si="786"/>
        <v>NA</v>
      </c>
      <c r="AC944" s="10" t="str">
        <f t="shared" si="787"/>
        <v>NA</v>
      </c>
      <c r="AD944" s="10" t="str">
        <f t="shared" si="788"/>
        <v>NA</v>
      </c>
      <c r="AE944" s="10">
        <f t="shared" si="789"/>
        <v>20.874777306601761</v>
      </c>
      <c r="AF944" s="1" t="s">
        <v>988</v>
      </c>
    </row>
    <row r="945" spans="1:32" x14ac:dyDescent="0.2">
      <c r="A945" s="1" t="s">
        <v>5712</v>
      </c>
      <c r="B945" s="1" t="s">
        <v>5</v>
      </c>
      <c r="C945" s="1" t="s">
        <v>1664</v>
      </c>
      <c r="D945" s="1" t="s">
        <v>1597</v>
      </c>
      <c r="E945" s="1" t="s">
        <v>3028</v>
      </c>
      <c r="F945" s="1" t="s">
        <v>14</v>
      </c>
      <c r="G945" s="4">
        <f>1.7/3036.306</f>
        <v>5.5989086738951867E-4</v>
      </c>
      <c r="H945" s="28">
        <v>43830</v>
      </c>
      <c r="I945" s="29">
        <f t="shared" si="775"/>
        <v>2019</v>
      </c>
      <c r="J945" s="1" t="s">
        <v>5712</v>
      </c>
      <c r="K945" s="1" t="s">
        <v>7</v>
      </c>
      <c r="L945" s="11" t="str">
        <f t="shared" si="795"/>
        <v>ДА</v>
      </c>
      <c r="M945" s="10" t="s">
        <v>1575</v>
      </c>
      <c r="N945" s="10" t="s">
        <v>1575</v>
      </c>
      <c r="O945" s="10">
        <v>1.863</v>
      </c>
      <c r="P945" s="10">
        <f t="shared" si="776"/>
        <v>3327.4341635294118</v>
      </c>
      <c r="Q945" s="10">
        <f t="shared" si="777"/>
        <v>2617.0751635294118</v>
      </c>
      <c r="R945" s="10">
        <v>862.803</v>
      </c>
      <c r="S945" s="10">
        <v>1063.884</v>
      </c>
      <c r="T945" s="10">
        <v>1031.654</v>
      </c>
      <c r="U945" s="10">
        <v>883.46100000000001</v>
      </c>
      <c r="V945" s="10">
        <v>1667.076</v>
      </c>
      <c r="W945" s="10">
        <v>-710.35900000000004</v>
      </c>
      <c r="X945" s="10">
        <f t="shared" si="782"/>
        <v>956.71699999999998</v>
      </c>
      <c r="Y945" s="10">
        <f t="shared" si="783"/>
        <v>3.8565398631314585</v>
      </c>
      <c r="Z945" s="10">
        <f t="shared" si="784"/>
        <v>3.766362254281074</v>
      </c>
      <c r="AA945" s="10">
        <f t="shared" si="785"/>
        <v>1.9959702878149597</v>
      </c>
      <c r="AB945" s="10">
        <f t="shared" si="786"/>
        <v>3.0332244597311457</v>
      </c>
      <c r="AC945" s="10">
        <f t="shared" si="787"/>
        <v>2.4599252959245668</v>
      </c>
      <c r="AD945" s="10">
        <f t="shared" si="788"/>
        <v>2.5367760543063973</v>
      </c>
      <c r="AE945" s="10">
        <f t="shared" si="789"/>
        <v>2.7354747156467503</v>
      </c>
      <c r="AF945" s="1" t="s">
        <v>4352</v>
      </c>
    </row>
    <row r="946" spans="1:32" x14ac:dyDescent="0.2">
      <c r="A946" s="1" t="s">
        <v>5712</v>
      </c>
      <c r="B946" s="1" t="s">
        <v>5</v>
      </c>
      <c r="C946" s="1" t="s">
        <v>1664</v>
      </c>
      <c r="D946" s="1" t="s">
        <v>1597</v>
      </c>
      <c r="E946" s="1" t="s">
        <v>3028</v>
      </c>
      <c r="F946" s="1" t="s">
        <v>14</v>
      </c>
      <c r="G946" s="4">
        <f>2.7/3036.306</f>
        <v>8.8923843644217687E-4</v>
      </c>
      <c r="H946" s="28">
        <v>43465</v>
      </c>
      <c r="I946" s="29">
        <f t="shared" ref="I946" si="799">YEAR(H946)</f>
        <v>2018</v>
      </c>
      <c r="J946" s="1" t="s">
        <v>5712</v>
      </c>
      <c r="K946" s="1" t="s">
        <v>7</v>
      </c>
      <c r="L946" s="11" t="str">
        <f t="shared" ref="L946" si="800">IF(OR(A946=J946,A946=K946),"ДА","НЕТ")</f>
        <v>ДА</v>
      </c>
      <c r="M946" s="10" t="s">
        <v>1575</v>
      </c>
      <c r="N946" s="10" t="s">
        <v>1575</v>
      </c>
      <c r="O946" s="10">
        <v>2.0920000000000001</v>
      </c>
      <c r="P946" s="10">
        <f t="shared" si="776"/>
        <v>2352.574871111111</v>
      </c>
      <c r="Q946" s="10">
        <f t="shared" si="777"/>
        <v>2033.0898711111108</v>
      </c>
      <c r="R946" s="10">
        <v>831.75800000000004</v>
      </c>
      <c r="S946" s="10">
        <v>226.512</v>
      </c>
      <c r="T946" s="10">
        <v>193.41800000000001</v>
      </c>
      <c r="U946" s="10">
        <v>182.947</v>
      </c>
      <c r="V946" s="10">
        <v>886.59500000000003</v>
      </c>
      <c r="W946" s="10">
        <v>-319.48500000000001</v>
      </c>
      <c r="X946" s="10">
        <f t="shared" si="782"/>
        <v>567.11</v>
      </c>
      <c r="Y946" s="10">
        <f t="shared" si="783"/>
        <v>2.8284367221128153</v>
      </c>
      <c r="Z946" s="10">
        <f t="shared" si="784"/>
        <v>12.859324673873367</v>
      </c>
      <c r="AA946" s="10">
        <f t="shared" si="785"/>
        <v>2.6534944039963126</v>
      </c>
      <c r="AB946" s="10">
        <f t="shared" si="786"/>
        <v>2.4443286041265737</v>
      </c>
      <c r="AC946" s="10">
        <f t="shared" si="787"/>
        <v>8.9756386907144474</v>
      </c>
      <c r="AD946" s="10">
        <f t="shared" si="788"/>
        <v>10.511378832947868</v>
      </c>
      <c r="AE946" s="10">
        <f t="shared" si="789"/>
        <v>3.5850009188889471</v>
      </c>
      <c r="AF946" s="1" t="s">
        <v>4353</v>
      </c>
    </row>
    <row r="947" spans="1:32" x14ac:dyDescent="0.2">
      <c r="A947" s="1" t="s">
        <v>5775</v>
      </c>
      <c r="B947" s="1" t="s">
        <v>5</v>
      </c>
      <c r="C947" s="1" t="s">
        <v>1575</v>
      </c>
      <c r="D947" s="1" t="s">
        <v>1597</v>
      </c>
      <c r="E947" s="1" t="s">
        <v>1661</v>
      </c>
      <c r="F947" s="1" t="s">
        <v>16</v>
      </c>
      <c r="G947" s="4">
        <v>1</v>
      </c>
      <c r="H947" s="28">
        <v>43159</v>
      </c>
      <c r="I947" s="29">
        <f t="shared" si="775"/>
        <v>2018</v>
      </c>
      <c r="J947" s="1" t="s">
        <v>5712</v>
      </c>
      <c r="K947" s="1" t="s">
        <v>4655</v>
      </c>
      <c r="L947" s="11" t="str">
        <f t="shared" si="795"/>
        <v>НЕТ</v>
      </c>
      <c r="M947" s="10" t="s">
        <v>1575</v>
      </c>
      <c r="N947" s="10" t="s">
        <v>1575</v>
      </c>
      <c r="O947" s="10">
        <v>30.3</v>
      </c>
      <c r="P947" s="10">
        <f t="shared" si="776"/>
        <v>30.3</v>
      </c>
      <c r="Q947" s="10">
        <f t="shared" si="777"/>
        <v>31.3</v>
      </c>
      <c r="R947" s="10" t="s">
        <v>1575</v>
      </c>
      <c r="S947" s="10" t="s">
        <v>1575</v>
      </c>
      <c r="T947" s="10" t="s">
        <v>1575</v>
      </c>
      <c r="U947" s="10" t="s">
        <v>1575</v>
      </c>
      <c r="V947" s="10">
        <v>30.3</v>
      </c>
      <c r="W947" s="10">
        <f>1.007+0.417-0.424</f>
        <v>1</v>
      </c>
      <c r="X947" s="10">
        <f t="shared" si="782"/>
        <v>31.3</v>
      </c>
      <c r="Y947" s="10" t="str">
        <f t="shared" si="783"/>
        <v>NA</v>
      </c>
      <c r="Z947" s="10" t="str">
        <f t="shared" si="784"/>
        <v>NA</v>
      </c>
      <c r="AA947" s="10">
        <f t="shared" si="785"/>
        <v>1</v>
      </c>
      <c r="AB947" s="10" t="str">
        <f t="shared" si="786"/>
        <v>NA</v>
      </c>
      <c r="AC947" s="10" t="str">
        <f t="shared" si="787"/>
        <v>NA</v>
      </c>
      <c r="AD947" s="10" t="str">
        <f t="shared" si="788"/>
        <v>NA</v>
      </c>
      <c r="AE947" s="10">
        <f t="shared" si="789"/>
        <v>1</v>
      </c>
      <c r="AF947" s="1" t="s">
        <v>991</v>
      </c>
    </row>
    <row r="948" spans="1:32" x14ac:dyDescent="0.2">
      <c r="A948" s="1" t="s">
        <v>5712</v>
      </c>
      <c r="B948" s="1" t="s">
        <v>5</v>
      </c>
      <c r="C948" s="1" t="s">
        <v>1664</v>
      </c>
      <c r="D948" s="1" t="s">
        <v>1597</v>
      </c>
      <c r="E948" s="1" t="s">
        <v>3028</v>
      </c>
      <c r="F948" s="1" t="s">
        <v>14</v>
      </c>
      <c r="G948" s="4">
        <f>2.1/3036.306</f>
        <v>6.9162989501058195E-4</v>
      </c>
      <c r="H948" s="28">
        <v>43100</v>
      </c>
      <c r="I948" s="29">
        <f t="shared" si="775"/>
        <v>2017</v>
      </c>
      <c r="J948" s="1" t="s">
        <v>5712</v>
      </c>
      <c r="K948" s="1" t="s">
        <v>7</v>
      </c>
      <c r="L948" s="11" t="str">
        <f t="shared" si="795"/>
        <v>ДА</v>
      </c>
      <c r="M948" s="10" t="s">
        <v>1575</v>
      </c>
      <c r="N948" s="10" t="s">
        <v>1575</v>
      </c>
      <c r="O948" s="10">
        <v>1.44</v>
      </c>
      <c r="P948" s="10">
        <f t="shared" si="776"/>
        <v>2082.0383999999999</v>
      </c>
      <c r="Q948" s="10">
        <f t="shared" si="777"/>
        <v>1719.2353999999998</v>
      </c>
      <c r="R948" s="10">
        <v>583.18600000000004</v>
      </c>
      <c r="S948" s="10">
        <v>213.52599999999998</v>
      </c>
      <c r="T948" s="10">
        <v>179.00299999999999</v>
      </c>
      <c r="U948" s="10">
        <v>166.47</v>
      </c>
      <c r="V948" s="10">
        <v>775.65899999999999</v>
      </c>
      <c r="W948" s="10">
        <v>-362.80300000000005</v>
      </c>
      <c r="X948" s="10">
        <f t="shared" si="782"/>
        <v>412.85599999999994</v>
      </c>
      <c r="Y948" s="10">
        <f t="shared" si="783"/>
        <v>3.5701103935965537</v>
      </c>
      <c r="Z948" s="10">
        <f t="shared" si="784"/>
        <v>12.506988646602991</v>
      </c>
      <c r="AA948" s="10">
        <f t="shared" si="785"/>
        <v>2.6842187095102359</v>
      </c>
      <c r="AB948" s="10">
        <f t="shared" si="786"/>
        <v>2.9480052676161632</v>
      </c>
      <c r="AC948" s="10">
        <f t="shared" si="787"/>
        <v>8.0516442962449535</v>
      </c>
      <c r="AD948" s="10">
        <f t="shared" si="788"/>
        <v>9.6045060697306752</v>
      </c>
      <c r="AE948" s="10">
        <f t="shared" si="789"/>
        <v>4.1642495204138976</v>
      </c>
      <c r="AF948" s="1" t="s">
        <v>4354</v>
      </c>
    </row>
    <row r="949" spans="1:32" x14ac:dyDescent="0.2">
      <c r="A949" s="1" t="s">
        <v>5776</v>
      </c>
      <c r="B949" s="1" t="s">
        <v>5</v>
      </c>
      <c r="C949" s="1" t="s">
        <v>1575</v>
      </c>
      <c r="D949" s="1" t="s">
        <v>1597</v>
      </c>
      <c r="E949" s="1" t="s">
        <v>1660</v>
      </c>
      <c r="F949" s="1" t="s">
        <v>16</v>
      </c>
      <c r="G949" s="4">
        <v>1</v>
      </c>
      <c r="H949" s="28">
        <v>43100</v>
      </c>
      <c r="I949" s="29">
        <f t="shared" si="775"/>
        <v>2017</v>
      </c>
      <c r="J949" s="1" t="s">
        <v>5712</v>
      </c>
      <c r="K949" s="1" t="s">
        <v>7</v>
      </c>
      <c r="L949" s="11" t="str">
        <f t="shared" si="795"/>
        <v>НЕТ</v>
      </c>
      <c r="M949" s="10" t="s">
        <v>1575</v>
      </c>
      <c r="N949" s="10" t="s">
        <v>1575</v>
      </c>
      <c r="O949" s="10">
        <v>5.4119999999999999</v>
      </c>
      <c r="P949" s="10">
        <f t="shared" si="776"/>
        <v>5.4119999999999999</v>
      </c>
      <c r="Q949" s="10">
        <f t="shared" si="777"/>
        <v>3.0859999999999999</v>
      </c>
      <c r="R949" s="10" t="s">
        <v>1575</v>
      </c>
      <c r="S949" s="10" t="s">
        <v>1575</v>
      </c>
      <c r="T949" s="10" t="s">
        <v>1575</v>
      </c>
      <c r="U949" s="10" t="s">
        <v>1575</v>
      </c>
      <c r="V949" s="10">
        <v>5.4119999999999999</v>
      </c>
      <c r="W949" s="10">
        <f>0.375-2.701</f>
        <v>-2.3260000000000001</v>
      </c>
      <c r="X949" s="10">
        <f t="shared" si="782"/>
        <v>3.0859999999999999</v>
      </c>
      <c r="Y949" s="10" t="str">
        <f t="shared" si="783"/>
        <v>NA</v>
      </c>
      <c r="Z949" s="10" t="str">
        <f t="shared" si="784"/>
        <v>NA</v>
      </c>
      <c r="AA949" s="10">
        <f t="shared" si="785"/>
        <v>1</v>
      </c>
      <c r="AB949" s="10" t="str">
        <f t="shared" si="786"/>
        <v>NA</v>
      </c>
      <c r="AC949" s="10" t="str">
        <f t="shared" si="787"/>
        <v>NA</v>
      </c>
      <c r="AD949" s="10" t="str">
        <f t="shared" si="788"/>
        <v>NA</v>
      </c>
      <c r="AE949" s="10">
        <f t="shared" si="789"/>
        <v>1</v>
      </c>
      <c r="AF949" s="1" t="s">
        <v>1668</v>
      </c>
    </row>
    <row r="950" spans="1:32" x14ac:dyDescent="0.2">
      <c r="A950" s="1" t="s">
        <v>5777</v>
      </c>
      <c r="B950" s="1" t="s">
        <v>5</v>
      </c>
      <c r="C950" s="1" t="s">
        <v>1575</v>
      </c>
      <c r="D950" s="1" t="s">
        <v>1597</v>
      </c>
      <c r="E950" s="1" t="s">
        <v>1660</v>
      </c>
      <c r="F950" s="1" t="s">
        <v>16</v>
      </c>
      <c r="G950" s="4">
        <v>1</v>
      </c>
      <c r="H950" s="28">
        <v>43069</v>
      </c>
      <c r="I950" s="29">
        <f t="shared" si="775"/>
        <v>2017</v>
      </c>
      <c r="J950" s="1" t="s">
        <v>5712</v>
      </c>
      <c r="K950" s="1" t="s">
        <v>7</v>
      </c>
      <c r="L950" s="11" t="str">
        <f t="shared" si="795"/>
        <v>НЕТ</v>
      </c>
      <c r="M950" s="10" t="s">
        <v>1575</v>
      </c>
      <c r="N950" s="10" t="s">
        <v>1575</v>
      </c>
      <c r="O950" s="10">
        <v>13.061999999999999</v>
      </c>
      <c r="P950" s="10">
        <f t="shared" si="776"/>
        <v>13.061999999999999</v>
      </c>
      <c r="Q950" s="10">
        <f t="shared" si="777"/>
        <v>13.139999999999999</v>
      </c>
      <c r="R950" s="10" t="s">
        <v>1575</v>
      </c>
      <c r="S950" s="10" t="s">
        <v>1575</v>
      </c>
      <c r="T950" s="10" t="s">
        <v>1575</v>
      </c>
      <c r="U950" s="10" t="s">
        <v>1575</v>
      </c>
      <c r="V950" s="10">
        <v>13.061999999999999</v>
      </c>
      <c r="W950" s="10">
        <f>0.145-0.067</f>
        <v>7.7999999999999986E-2</v>
      </c>
      <c r="X950" s="10">
        <f t="shared" si="782"/>
        <v>13.139999999999999</v>
      </c>
      <c r="Y950" s="10" t="str">
        <f t="shared" si="783"/>
        <v>NA</v>
      </c>
      <c r="Z950" s="10" t="str">
        <f t="shared" si="784"/>
        <v>NA</v>
      </c>
      <c r="AA950" s="10">
        <f t="shared" si="785"/>
        <v>1</v>
      </c>
      <c r="AB950" s="10" t="str">
        <f t="shared" si="786"/>
        <v>NA</v>
      </c>
      <c r="AC950" s="10" t="str">
        <f t="shared" si="787"/>
        <v>NA</v>
      </c>
      <c r="AD950" s="10" t="str">
        <f t="shared" si="788"/>
        <v>NA</v>
      </c>
      <c r="AE950" s="10">
        <f t="shared" si="789"/>
        <v>1</v>
      </c>
      <c r="AF950" s="1" t="s">
        <v>1667</v>
      </c>
    </row>
    <row r="951" spans="1:32" x14ac:dyDescent="0.2">
      <c r="A951" s="1" t="s">
        <v>5778</v>
      </c>
      <c r="B951" s="1" t="s">
        <v>5</v>
      </c>
      <c r="C951" s="1" t="s">
        <v>1575</v>
      </c>
      <c r="D951" s="1" t="s">
        <v>1597</v>
      </c>
      <c r="E951" s="1" t="s">
        <v>1666</v>
      </c>
      <c r="F951" s="1" t="s">
        <v>987</v>
      </c>
      <c r="G951" s="4">
        <v>0.51</v>
      </c>
      <c r="H951" s="28">
        <v>42946</v>
      </c>
      <c r="I951" s="29">
        <f t="shared" si="775"/>
        <v>2017</v>
      </c>
      <c r="J951" s="1" t="s">
        <v>5712</v>
      </c>
      <c r="K951" s="1" t="s">
        <v>7</v>
      </c>
      <c r="L951" s="11" t="str">
        <f t="shared" si="795"/>
        <v>НЕТ</v>
      </c>
      <c r="M951" s="10" t="s">
        <v>1575</v>
      </c>
      <c r="N951" s="10" t="s">
        <v>1575</v>
      </c>
      <c r="O951" s="10">
        <v>1.583</v>
      </c>
      <c r="P951" s="10">
        <f t="shared" si="776"/>
        <v>3.1039215686274511</v>
      </c>
      <c r="Q951" s="10">
        <f t="shared" si="777"/>
        <v>15.855921568627451</v>
      </c>
      <c r="R951" s="10" t="s">
        <v>1575</v>
      </c>
      <c r="S951" s="10" t="s">
        <v>1575</v>
      </c>
      <c r="T951" s="10" t="s">
        <v>1575</v>
      </c>
      <c r="U951" s="10" t="s">
        <v>1575</v>
      </c>
      <c r="V951" s="10">
        <v>3.1030000000000002</v>
      </c>
      <c r="W951" s="10">
        <f>13.199-0.447</f>
        <v>12.752000000000001</v>
      </c>
      <c r="X951" s="10">
        <f t="shared" si="782"/>
        <v>15.855</v>
      </c>
      <c r="Y951" s="10" t="str">
        <f t="shared" si="783"/>
        <v>NA</v>
      </c>
      <c r="Z951" s="10" t="str">
        <f t="shared" si="784"/>
        <v>NA</v>
      </c>
      <c r="AA951" s="10">
        <f t="shared" si="785"/>
        <v>1.000296992790026</v>
      </c>
      <c r="AB951" s="10" t="str">
        <f t="shared" si="786"/>
        <v>NA</v>
      </c>
      <c r="AC951" s="10" t="str">
        <f t="shared" si="787"/>
        <v>NA</v>
      </c>
      <c r="AD951" s="10" t="str">
        <f t="shared" si="788"/>
        <v>NA</v>
      </c>
      <c r="AE951" s="10">
        <f t="shared" si="789"/>
        <v>1.0000581247951719</v>
      </c>
      <c r="AF951" s="1" t="s">
        <v>992</v>
      </c>
    </row>
    <row r="952" spans="1:32" x14ac:dyDescent="0.2">
      <c r="A952" s="1" t="s">
        <v>637</v>
      </c>
      <c r="B952" s="1" t="s">
        <v>51</v>
      </c>
      <c r="C952" s="1" t="s">
        <v>1575</v>
      </c>
      <c r="D952" s="1" t="s">
        <v>1597</v>
      </c>
      <c r="E952" s="1" t="s">
        <v>1666</v>
      </c>
      <c r="F952" s="1" t="s">
        <v>622</v>
      </c>
      <c r="G952" s="4">
        <v>1</v>
      </c>
      <c r="H952" s="28">
        <v>42735</v>
      </c>
      <c r="I952" s="29">
        <f t="shared" si="775"/>
        <v>2016</v>
      </c>
      <c r="J952" s="1" t="s">
        <v>5712</v>
      </c>
      <c r="K952" s="1" t="s">
        <v>7</v>
      </c>
      <c r="L952" s="11" t="str">
        <f t="shared" si="795"/>
        <v>НЕТ</v>
      </c>
      <c r="M952" s="10" t="s">
        <v>1575</v>
      </c>
      <c r="N952" s="10" t="s">
        <v>1575</v>
      </c>
      <c r="O952" s="10">
        <v>2.5999999999999999E-2</v>
      </c>
      <c r="P952" s="10">
        <f t="shared" si="776"/>
        <v>2.5999999999999999E-2</v>
      </c>
      <c r="Q952" s="10" t="str">
        <f t="shared" si="777"/>
        <v>NA</v>
      </c>
      <c r="R952" s="10" t="s">
        <v>1575</v>
      </c>
      <c r="S952" s="10" t="s">
        <v>1575</v>
      </c>
      <c r="T952" s="10" t="s">
        <v>1575</v>
      </c>
      <c r="U952" s="10" t="s">
        <v>1575</v>
      </c>
      <c r="V952" s="10" t="s">
        <v>1575</v>
      </c>
      <c r="W952" s="10" t="s">
        <v>1575</v>
      </c>
      <c r="X952" s="10" t="str">
        <f t="shared" si="782"/>
        <v>NA</v>
      </c>
      <c r="Y952" s="10" t="str">
        <f t="shared" si="783"/>
        <v>NA</v>
      </c>
      <c r="Z952" s="10" t="str">
        <f t="shared" si="784"/>
        <v>NA</v>
      </c>
      <c r="AA952" s="10" t="str">
        <f t="shared" si="785"/>
        <v>NA</v>
      </c>
      <c r="AB952" s="10" t="str">
        <f t="shared" si="786"/>
        <v>NA</v>
      </c>
      <c r="AC952" s="10" t="str">
        <f t="shared" si="787"/>
        <v>NA</v>
      </c>
      <c r="AD952" s="10" t="str">
        <f t="shared" si="788"/>
        <v>NA</v>
      </c>
      <c r="AE952" s="10" t="str">
        <f t="shared" si="789"/>
        <v>NA</v>
      </c>
      <c r="AF952" s="1" t="s">
        <v>4357</v>
      </c>
    </row>
    <row r="953" spans="1:32" x14ac:dyDescent="0.2">
      <c r="A953" s="1" t="s">
        <v>5779</v>
      </c>
      <c r="B953" s="1" t="s">
        <v>5</v>
      </c>
      <c r="C953" s="1" t="s">
        <v>1575</v>
      </c>
      <c r="D953" s="1" t="s">
        <v>1597</v>
      </c>
      <c r="E953" s="1" t="s">
        <v>1660</v>
      </c>
      <c r="F953" s="1" t="s">
        <v>15</v>
      </c>
      <c r="G953" s="4">
        <v>1</v>
      </c>
      <c r="H953" s="28">
        <v>42490</v>
      </c>
      <c r="I953" s="29">
        <f t="shared" si="775"/>
        <v>2016</v>
      </c>
      <c r="J953" s="1" t="s">
        <v>5712</v>
      </c>
      <c r="K953" s="1" t="s">
        <v>7</v>
      </c>
      <c r="L953" s="11" t="str">
        <f t="shared" si="795"/>
        <v>НЕТ</v>
      </c>
      <c r="M953" s="10" t="s">
        <v>1575</v>
      </c>
      <c r="N953" s="10" t="s">
        <v>1575</v>
      </c>
      <c r="O953" s="10">
        <v>6.0000000000000001E-3</v>
      </c>
      <c r="P953" s="10">
        <f t="shared" si="776"/>
        <v>6.0000000000000001E-3</v>
      </c>
      <c r="Q953" s="10" t="str">
        <f t="shared" si="777"/>
        <v>NA</v>
      </c>
      <c r="R953" s="10" t="s">
        <v>1575</v>
      </c>
      <c r="S953" s="10" t="s">
        <v>1575</v>
      </c>
      <c r="T953" s="10" t="s">
        <v>1575</v>
      </c>
      <c r="U953" s="10" t="s">
        <v>1575</v>
      </c>
      <c r="V953" s="10" t="s">
        <v>1575</v>
      </c>
      <c r="W953" s="10" t="s">
        <v>1575</v>
      </c>
      <c r="X953" s="10" t="str">
        <f t="shared" si="782"/>
        <v>NA</v>
      </c>
      <c r="Y953" s="10" t="str">
        <f t="shared" si="783"/>
        <v>NA</v>
      </c>
      <c r="Z953" s="10" t="str">
        <f t="shared" si="784"/>
        <v>NA</v>
      </c>
      <c r="AA953" s="10" t="str">
        <f t="shared" si="785"/>
        <v>NA</v>
      </c>
      <c r="AB953" s="10" t="str">
        <f t="shared" si="786"/>
        <v>NA</v>
      </c>
      <c r="AC953" s="10" t="str">
        <f t="shared" si="787"/>
        <v>NA</v>
      </c>
      <c r="AD953" s="10" t="str">
        <f t="shared" si="788"/>
        <v>NA</v>
      </c>
      <c r="AE953" s="10" t="str">
        <f t="shared" si="789"/>
        <v>NA</v>
      </c>
      <c r="AF953" s="1" t="s">
        <v>4356</v>
      </c>
    </row>
    <row r="954" spans="1:32" x14ac:dyDescent="0.2">
      <c r="A954" s="1" t="s">
        <v>43</v>
      </c>
      <c r="B954" s="1" t="s">
        <v>5</v>
      </c>
      <c r="C954" s="1" t="s">
        <v>1575</v>
      </c>
      <c r="D954" s="1" t="s">
        <v>1597</v>
      </c>
      <c r="E954" s="1" t="s">
        <v>1661</v>
      </c>
      <c r="F954" s="1" t="s">
        <v>15</v>
      </c>
      <c r="G954" s="4">
        <v>9.9000000000000005E-2</v>
      </c>
      <c r="H954" s="28">
        <v>42460</v>
      </c>
      <c r="I954" s="29">
        <f t="shared" si="775"/>
        <v>2016</v>
      </c>
      <c r="J954" s="1" t="s">
        <v>42</v>
      </c>
      <c r="K954" s="1" t="s">
        <v>5712</v>
      </c>
      <c r="L954" s="11" t="str">
        <f t="shared" si="795"/>
        <v>НЕТ</v>
      </c>
      <c r="M954" s="10" t="s">
        <v>1575</v>
      </c>
      <c r="N954" s="10">
        <v>1087</v>
      </c>
      <c r="O954" s="10">
        <v>84.977999999999994</v>
      </c>
      <c r="P954" s="10">
        <f t="shared" si="776"/>
        <v>858.36363636363626</v>
      </c>
      <c r="Q954" s="10" t="str">
        <f t="shared" si="777"/>
        <v>NA</v>
      </c>
      <c r="R954" s="10" t="s">
        <v>1575</v>
      </c>
      <c r="S954" s="10" t="s">
        <v>1575</v>
      </c>
      <c r="T954" s="10" t="s">
        <v>1575</v>
      </c>
      <c r="U954" s="10" t="s">
        <v>1575</v>
      </c>
      <c r="V954" s="10">
        <v>7.9870000000000001</v>
      </c>
      <c r="W954" s="10" t="s">
        <v>1575</v>
      </c>
      <c r="X954" s="10" t="str">
        <f t="shared" si="782"/>
        <v>NA</v>
      </c>
      <c r="Y954" s="10" t="str">
        <f t="shared" si="783"/>
        <v>NA</v>
      </c>
      <c r="Z954" s="10" t="str">
        <f t="shared" si="784"/>
        <v>NA</v>
      </c>
      <c r="AA954" s="10">
        <f t="shared" si="785"/>
        <v>107.47009344730641</v>
      </c>
      <c r="AB954" s="10" t="str">
        <f t="shared" si="786"/>
        <v>NA</v>
      </c>
      <c r="AC954" s="10" t="str">
        <f t="shared" si="787"/>
        <v>NA</v>
      </c>
      <c r="AD954" s="10" t="str">
        <f t="shared" si="788"/>
        <v>NA</v>
      </c>
      <c r="AE954" s="10" t="str">
        <f t="shared" si="789"/>
        <v>NA</v>
      </c>
      <c r="AF954" s="1" t="s">
        <v>4355</v>
      </c>
    </row>
    <row r="955" spans="1:32" x14ac:dyDescent="0.2">
      <c r="A955" s="1" t="s">
        <v>5712</v>
      </c>
      <c r="B955" s="1" t="s">
        <v>5</v>
      </c>
      <c r="C955" s="1" t="s">
        <v>1664</v>
      </c>
      <c r="D955" s="1" t="s">
        <v>1597</v>
      </c>
      <c r="E955" s="1" t="s">
        <v>3028</v>
      </c>
      <c r="F955" s="1" t="s">
        <v>14</v>
      </c>
      <c r="G955" s="4">
        <f>1.4/3036.306</f>
        <v>4.6108659667372127E-4</v>
      </c>
      <c r="H955" s="28">
        <v>42735</v>
      </c>
      <c r="I955" s="29">
        <f t="shared" ref="I955" si="801">YEAR(H955)</f>
        <v>2016</v>
      </c>
      <c r="J955" s="1" t="s">
        <v>5712</v>
      </c>
      <c r="K955" s="1" t="s">
        <v>7</v>
      </c>
      <c r="L955" s="11" t="str">
        <f t="shared" ref="L955" si="802">IF(OR(A955=J955,A955=K955),"ДА","НЕТ")</f>
        <v>ДА</v>
      </c>
      <c r="M955" s="10" t="s">
        <v>1575</v>
      </c>
      <c r="N955" s="10" t="s">
        <v>1575</v>
      </c>
      <c r="O955" s="10">
        <v>0.91600000000000004</v>
      </c>
      <c r="P955" s="10">
        <f t="shared" si="776"/>
        <v>1986.6116400000003</v>
      </c>
      <c r="Q955" s="10">
        <f t="shared" si="777"/>
        <v>1722.3076400000004</v>
      </c>
      <c r="R955" s="10">
        <v>537.47199999999998</v>
      </c>
      <c r="S955" s="10">
        <v>361.12299999999993</v>
      </c>
      <c r="T955" s="10">
        <v>326.49199999999996</v>
      </c>
      <c r="U955" s="10">
        <v>265.07299999999998</v>
      </c>
      <c r="V955" s="10">
        <v>657.72</v>
      </c>
      <c r="W955" s="10">
        <v>-264.30399999999997</v>
      </c>
      <c r="X955" s="10">
        <f t="shared" si="782"/>
        <v>393.41600000000005</v>
      </c>
      <c r="Y955" s="10">
        <f t="shared" si="783"/>
        <v>3.6962142027863782</v>
      </c>
      <c r="Z955" s="10">
        <f t="shared" si="784"/>
        <v>7.4945831525655215</v>
      </c>
      <c r="AA955" s="10">
        <f t="shared" si="785"/>
        <v>3.0204519248312356</v>
      </c>
      <c r="AB955" s="10">
        <f t="shared" si="786"/>
        <v>3.2044602137413678</v>
      </c>
      <c r="AC955" s="10">
        <f t="shared" si="787"/>
        <v>4.7693102903996722</v>
      </c>
      <c r="AD955" s="10">
        <f t="shared" si="788"/>
        <v>5.2751909388285183</v>
      </c>
      <c r="AE955" s="10">
        <f t="shared" si="789"/>
        <v>4.3778281513715767</v>
      </c>
      <c r="AF955" s="1" t="s">
        <v>4358</v>
      </c>
    </row>
    <row r="956" spans="1:32" x14ac:dyDescent="0.2">
      <c r="A956" s="1" t="s">
        <v>5712</v>
      </c>
      <c r="B956" s="1" t="s">
        <v>5</v>
      </c>
      <c r="C956" s="1" t="s">
        <v>1664</v>
      </c>
      <c r="D956" s="1" t="s">
        <v>1597</v>
      </c>
      <c r="E956" s="1" t="s">
        <v>3028</v>
      </c>
      <c r="F956" s="1" t="s">
        <v>14</v>
      </c>
      <c r="G956" s="4">
        <f>1.3/3036.306</f>
        <v>4.281518397684555E-4</v>
      </c>
      <c r="H956" s="28">
        <v>42369</v>
      </c>
      <c r="I956" s="29">
        <f t="shared" ref="I956" si="803">YEAR(H956)</f>
        <v>2015</v>
      </c>
      <c r="J956" s="1" t="s">
        <v>5712</v>
      </c>
      <c r="K956" s="1" t="s">
        <v>7</v>
      </c>
      <c r="L956" s="11" t="str">
        <f t="shared" ref="L956" si="804">IF(OR(A956=J956,A956=K956),"ДА","НЕТ")</f>
        <v>ДА</v>
      </c>
      <c r="M956" s="10" t="s">
        <v>1575</v>
      </c>
      <c r="N956" s="10" t="s">
        <v>1575</v>
      </c>
      <c r="O956" s="10">
        <v>0.77500000000000002</v>
      </c>
      <c r="P956" s="10">
        <f t="shared" si="776"/>
        <v>1810.1054999999999</v>
      </c>
      <c r="Q956" s="10">
        <f t="shared" si="777"/>
        <v>1784.2275</v>
      </c>
      <c r="R956" s="10">
        <v>475.32499999999999</v>
      </c>
      <c r="S956" s="10">
        <v>118.598</v>
      </c>
      <c r="T956" s="10">
        <v>98.617999999999995</v>
      </c>
      <c r="U956" s="10">
        <v>74.119</v>
      </c>
      <c r="V956" s="10">
        <v>428.17099999999999</v>
      </c>
      <c r="W956" s="10">
        <v>-25.878000000000043</v>
      </c>
      <c r="X956" s="10">
        <f t="shared" si="782"/>
        <v>402.29299999999995</v>
      </c>
      <c r="Y956" s="10">
        <f t="shared" si="783"/>
        <v>3.8081428496292009</v>
      </c>
      <c r="Z956" s="10">
        <f t="shared" si="784"/>
        <v>24.42161254199328</v>
      </c>
      <c r="AA956" s="10">
        <f t="shared" si="785"/>
        <v>4.2275294216563006</v>
      </c>
      <c r="AB956" s="10">
        <f t="shared" si="786"/>
        <v>3.7537000999316259</v>
      </c>
      <c r="AC956" s="10">
        <f t="shared" si="787"/>
        <v>15.044330427157288</v>
      </c>
      <c r="AD956" s="10">
        <f t="shared" si="788"/>
        <v>18.0923107343487</v>
      </c>
      <c r="AE956" s="10">
        <f t="shared" si="789"/>
        <v>4.4351442853840366</v>
      </c>
      <c r="AF956" s="1" t="s">
        <v>4359</v>
      </c>
    </row>
    <row r="957" spans="1:32" x14ac:dyDescent="0.2">
      <c r="A957" s="1" t="s">
        <v>5712</v>
      </c>
      <c r="B957" s="1" t="s">
        <v>5</v>
      </c>
      <c r="C957" s="1" t="s">
        <v>1664</v>
      </c>
      <c r="D957" s="1" t="s">
        <v>1597</v>
      </c>
      <c r="E957" s="1" t="s">
        <v>3028</v>
      </c>
      <c r="F957" s="1" t="s">
        <v>14</v>
      </c>
      <c r="G957" s="4">
        <f>7.7/3036.306</f>
        <v>2.5359762817054672E-3</v>
      </c>
      <c r="H957" s="28">
        <v>42004</v>
      </c>
      <c r="I957" s="29">
        <f t="shared" ref="I957" si="805">YEAR(H957)</f>
        <v>2014</v>
      </c>
      <c r="J957" s="1" t="s">
        <v>5712</v>
      </c>
      <c r="K957" s="1" t="s">
        <v>7</v>
      </c>
      <c r="L957" s="11" t="str">
        <f t="shared" ref="L957" si="806">IF(OR(A957=J957,A957=K957),"ДА","НЕТ")</f>
        <v>ДА</v>
      </c>
      <c r="M957" s="10" t="s">
        <v>1575</v>
      </c>
      <c r="N957" s="10" t="s">
        <v>1575</v>
      </c>
      <c r="O957" s="10">
        <v>2.8159999999999998</v>
      </c>
      <c r="P957" s="10">
        <f t="shared" si="776"/>
        <v>1110.4204799999998</v>
      </c>
      <c r="Q957" s="10">
        <f t="shared" si="777"/>
        <v>1080.8884799999998</v>
      </c>
      <c r="R957" s="10">
        <v>357.64299999999997</v>
      </c>
      <c r="S957" s="10">
        <v>96.38300000000001</v>
      </c>
      <c r="T957" s="10">
        <v>79.38300000000001</v>
      </c>
      <c r="U957" s="10">
        <v>36.914999999999999</v>
      </c>
      <c r="V957" s="10">
        <v>387.02699999999999</v>
      </c>
      <c r="W957" s="10">
        <v>-29.531999999999982</v>
      </c>
      <c r="X957" s="10">
        <f t="shared" si="782"/>
        <v>357.495</v>
      </c>
      <c r="Y957" s="10">
        <f t="shared" si="783"/>
        <v>3.104829340990876</v>
      </c>
      <c r="Z957" s="10">
        <f t="shared" si="784"/>
        <v>30.080468102397393</v>
      </c>
      <c r="AA957" s="10">
        <f t="shared" si="785"/>
        <v>2.8691033958871079</v>
      </c>
      <c r="AB957" s="10">
        <f t="shared" si="786"/>
        <v>3.0222553775692518</v>
      </c>
      <c r="AC957" s="10">
        <f t="shared" si="787"/>
        <v>11.214513762800491</v>
      </c>
      <c r="AD957" s="10">
        <f t="shared" si="788"/>
        <v>13.616120328029927</v>
      </c>
      <c r="AE957" s="10">
        <f t="shared" si="789"/>
        <v>3.0235065665254055</v>
      </c>
      <c r="AF957" s="1" t="s">
        <v>4365</v>
      </c>
    </row>
    <row r="958" spans="1:32" x14ac:dyDescent="0.2">
      <c r="A958" s="1" t="s">
        <v>5780</v>
      </c>
      <c r="B958" s="1" t="s">
        <v>5</v>
      </c>
      <c r="C958" s="1" t="s">
        <v>1575</v>
      </c>
      <c r="D958" s="1" t="s">
        <v>1597</v>
      </c>
      <c r="E958" s="1" t="s">
        <v>1661</v>
      </c>
      <c r="F958" s="1" t="s">
        <v>15</v>
      </c>
      <c r="G958" s="4">
        <v>0.2</v>
      </c>
      <c r="H958" s="28">
        <v>41729</v>
      </c>
      <c r="I958" s="29">
        <f t="shared" si="775"/>
        <v>2014</v>
      </c>
      <c r="J958" s="1" t="s">
        <v>44</v>
      </c>
      <c r="K958" s="1" t="s">
        <v>5712</v>
      </c>
      <c r="L958" s="11" t="str">
        <f t="shared" si="795"/>
        <v>НЕТ</v>
      </c>
      <c r="M958" s="10">
        <v>980</v>
      </c>
      <c r="N958" s="10" t="s">
        <v>1575</v>
      </c>
      <c r="O958" s="10">
        <v>34.972000000000001</v>
      </c>
      <c r="P958" s="10">
        <f t="shared" si="776"/>
        <v>174.85999999999999</v>
      </c>
      <c r="Q958" s="10" t="str">
        <f t="shared" si="777"/>
        <v>NA</v>
      </c>
      <c r="R958" s="10" t="s">
        <v>1575</v>
      </c>
      <c r="S958" s="10" t="s">
        <v>1575</v>
      </c>
      <c r="T958" s="10" t="s">
        <v>1575</v>
      </c>
      <c r="U958" s="10" t="s">
        <v>1575</v>
      </c>
      <c r="V958" s="10">
        <f>29.726/0.2</f>
        <v>148.63</v>
      </c>
      <c r="W958" s="10" t="s">
        <v>1575</v>
      </c>
      <c r="X958" s="10" t="str">
        <f t="shared" si="782"/>
        <v>NA</v>
      </c>
      <c r="Y958" s="10" t="str">
        <f t="shared" si="783"/>
        <v>NA</v>
      </c>
      <c r="Z958" s="10" t="str">
        <f t="shared" si="784"/>
        <v>NA</v>
      </c>
      <c r="AA958" s="10">
        <f t="shared" si="785"/>
        <v>1.1764785036668235</v>
      </c>
      <c r="AB958" s="10" t="str">
        <f t="shared" si="786"/>
        <v>NA</v>
      </c>
      <c r="AC958" s="10" t="str">
        <f t="shared" si="787"/>
        <v>NA</v>
      </c>
      <c r="AD958" s="10" t="str">
        <f t="shared" si="788"/>
        <v>NA</v>
      </c>
      <c r="AE958" s="10" t="str">
        <f t="shared" si="789"/>
        <v>NA</v>
      </c>
      <c r="AF958" s="1" t="s">
        <v>4360</v>
      </c>
    </row>
    <row r="959" spans="1:32" x14ac:dyDescent="0.2">
      <c r="A959" s="1" t="s">
        <v>5781</v>
      </c>
      <c r="B959" s="1" t="s">
        <v>5</v>
      </c>
      <c r="C959" s="1" t="s">
        <v>1575</v>
      </c>
      <c r="D959" s="1" t="s">
        <v>1582</v>
      </c>
      <c r="E959" s="1" t="s">
        <v>1587</v>
      </c>
      <c r="F959" s="1" t="s">
        <v>45</v>
      </c>
      <c r="G959" s="4">
        <v>1</v>
      </c>
      <c r="H959" s="28">
        <v>41995</v>
      </c>
      <c r="I959" s="29">
        <f t="shared" si="775"/>
        <v>2014</v>
      </c>
      <c r="J959" s="1" t="s">
        <v>5712</v>
      </c>
      <c r="K959" s="1" t="s">
        <v>7</v>
      </c>
      <c r="L959" s="11" t="str">
        <f t="shared" si="795"/>
        <v>НЕТ</v>
      </c>
      <c r="M959" s="10" t="s">
        <v>1575</v>
      </c>
      <c r="N959" s="10" t="s">
        <v>1575</v>
      </c>
      <c r="O959" s="10">
        <v>0.22900000000000001</v>
      </c>
      <c r="P959" s="10">
        <f t="shared" si="776"/>
        <v>0.22900000000000001</v>
      </c>
      <c r="Q959" s="10" t="str">
        <f t="shared" si="777"/>
        <v>NA</v>
      </c>
      <c r="R959" s="10" t="s">
        <v>1575</v>
      </c>
      <c r="S959" s="10" t="s">
        <v>1575</v>
      </c>
      <c r="T959" s="10" t="s">
        <v>1575</v>
      </c>
      <c r="U959" s="10" t="s">
        <v>1575</v>
      </c>
      <c r="V959" s="10" t="s">
        <v>1575</v>
      </c>
      <c r="W959" s="10" t="s">
        <v>1575</v>
      </c>
      <c r="X959" s="10" t="str">
        <f t="shared" si="782"/>
        <v>NA</v>
      </c>
      <c r="Y959" s="10" t="str">
        <f t="shared" si="783"/>
        <v>NA</v>
      </c>
      <c r="Z959" s="10" t="str">
        <f t="shared" si="784"/>
        <v>NA</v>
      </c>
      <c r="AA959" s="10" t="str">
        <f t="shared" si="785"/>
        <v>NA</v>
      </c>
      <c r="AB959" s="10" t="str">
        <f t="shared" si="786"/>
        <v>NA</v>
      </c>
      <c r="AC959" s="10" t="str">
        <f t="shared" si="787"/>
        <v>NA</v>
      </c>
      <c r="AD959" s="10" t="str">
        <f t="shared" si="788"/>
        <v>NA</v>
      </c>
      <c r="AE959" s="10" t="str">
        <f t="shared" si="789"/>
        <v>NA</v>
      </c>
      <c r="AF959" s="1" t="s">
        <v>4361</v>
      </c>
    </row>
    <row r="960" spans="1:32" x14ac:dyDescent="0.2">
      <c r="A960" s="1" t="s">
        <v>5782</v>
      </c>
      <c r="B960" s="1" t="s">
        <v>5</v>
      </c>
      <c r="C960" s="1" t="s">
        <v>1575</v>
      </c>
      <c r="D960" s="1" t="s">
        <v>1584</v>
      </c>
      <c r="E960" s="1" t="s">
        <v>1586</v>
      </c>
      <c r="F960" s="1" t="s">
        <v>4364</v>
      </c>
      <c r="G960" s="4">
        <v>1</v>
      </c>
      <c r="H960" s="28">
        <v>41882</v>
      </c>
      <c r="I960" s="29">
        <f t="shared" si="775"/>
        <v>2014</v>
      </c>
      <c r="J960" s="1" t="s">
        <v>5712</v>
      </c>
      <c r="K960" s="1" t="s">
        <v>7</v>
      </c>
      <c r="L960" s="11" t="str">
        <f t="shared" si="795"/>
        <v>НЕТ</v>
      </c>
      <c r="M960" s="10">
        <v>135</v>
      </c>
      <c r="N960" s="10" t="s">
        <v>1575</v>
      </c>
      <c r="O960" s="10">
        <f>3.63+1.283</f>
        <v>4.9130000000000003</v>
      </c>
      <c r="P960" s="10">
        <f t="shared" si="776"/>
        <v>4.9130000000000003</v>
      </c>
      <c r="Q960" s="10" t="str">
        <f t="shared" si="777"/>
        <v>NA</v>
      </c>
      <c r="R960" s="10" t="s">
        <v>1575</v>
      </c>
      <c r="S960" s="10" t="s">
        <v>1575</v>
      </c>
      <c r="T960" s="10" t="s">
        <v>1575</v>
      </c>
      <c r="U960" s="10" t="s">
        <v>1575</v>
      </c>
      <c r="V960" s="10" t="s">
        <v>1575</v>
      </c>
      <c r="W960" s="10" t="s">
        <v>1575</v>
      </c>
      <c r="X960" s="10" t="str">
        <f t="shared" si="782"/>
        <v>NA</v>
      </c>
      <c r="Y960" s="10" t="str">
        <f t="shared" si="783"/>
        <v>NA</v>
      </c>
      <c r="Z960" s="10" t="str">
        <f t="shared" si="784"/>
        <v>NA</v>
      </c>
      <c r="AA960" s="10" t="str">
        <f t="shared" si="785"/>
        <v>NA</v>
      </c>
      <c r="AB960" s="10" t="str">
        <f t="shared" si="786"/>
        <v>NA</v>
      </c>
      <c r="AC960" s="10" t="str">
        <f t="shared" si="787"/>
        <v>NA</v>
      </c>
      <c r="AD960" s="10" t="str">
        <f t="shared" si="788"/>
        <v>NA</v>
      </c>
      <c r="AE960" s="10" t="str">
        <f t="shared" si="789"/>
        <v>NA</v>
      </c>
      <c r="AF960" s="1" t="s">
        <v>4362</v>
      </c>
    </row>
    <row r="961" spans="1:32" x14ac:dyDescent="0.2">
      <c r="A961" s="1" t="s">
        <v>5783</v>
      </c>
      <c r="B961" s="1" t="s">
        <v>5</v>
      </c>
      <c r="C961" s="1" t="s">
        <v>1575</v>
      </c>
      <c r="D961" s="1" t="s">
        <v>1597</v>
      </c>
      <c r="E961" s="1" t="s">
        <v>1666</v>
      </c>
      <c r="F961" s="1" t="s">
        <v>47</v>
      </c>
      <c r="G961" s="4">
        <v>0.15</v>
      </c>
      <c r="H961" s="28">
        <v>41698</v>
      </c>
      <c r="I961" s="29">
        <f t="shared" si="775"/>
        <v>2014</v>
      </c>
      <c r="J961" s="1" t="s">
        <v>5712</v>
      </c>
      <c r="K961" s="1" t="s">
        <v>7</v>
      </c>
      <c r="L961" s="11" t="str">
        <f t="shared" si="795"/>
        <v>НЕТ</v>
      </c>
      <c r="M961" s="10" t="s">
        <v>1575</v>
      </c>
      <c r="N961" s="10" t="s">
        <v>1575</v>
      </c>
      <c r="O961" s="10">
        <v>0.10199999999999999</v>
      </c>
      <c r="P961" s="10">
        <f t="shared" si="776"/>
        <v>0.67999999999999994</v>
      </c>
      <c r="Q961" s="10" t="str">
        <f t="shared" si="777"/>
        <v>NA</v>
      </c>
      <c r="R961" s="10" t="s">
        <v>1575</v>
      </c>
      <c r="S961" s="10" t="s">
        <v>1575</v>
      </c>
      <c r="T961" s="10" t="s">
        <v>1575</v>
      </c>
      <c r="U961" s="10" t="s">
        <v>1575</v>
      </c>
      <c r="V961" s="10" t="s">
        <v>1575</v>
      </c>
      <c r="W961" s="10" t="s">
        <v>1575</v>
      </c>
      <c r="X961" s="10" t="str">
        <f t="shared" si="782"/>
        <v>NA</v>
      </c>
      <c r="Y961" s="10" t="str">
        <f t="shared" si="783"/>
        <v>NA</v>
      </c>
      <c r="Z961" s="10" t="str">
        <f t="shared" si="784"/>
        <v>NA</v>
      </c>
      <c r="AA961" s="10" t="str">
        <f t="shared" si="785"/>
        <v>NA</v>
      </c>
      <c r="AB961" s="10" t="str">
        <f t="shared" si="786"/>
        <v>NA</v>
      </c>
      <c r="AC961" s="10" t="str">
        <f t="shared" si="787"/>
        <v>NA</v>
      </c>
      <c r="AD961" s="10" t="str">
        <f t="shared" si="788"/>
        <v>NA</v>
      </c>
      <c r="AE961" s="10" t="str">
        <f t="shared" si="789"/>
        <v>NA</v>
      </c>
      <c r="AF961" s="1" t="s">
        <v>4363</v>
      </c>
    </row>
    <row r="962" spans="1:32" x14ac:dyDescent="0.2">
      <c r="A962" s="1" t="s">
        <v>5712</v>
      </c>
      <c r="B962" s="1" t="s">
        <v>5</v>
      </c>
      <c r="C962" s="1" t="s">
        <v>1664</v>
      </c>
      <c r="D962" s="1" t="s">
        <v>1597</v>
      </c>
      <c r="E962" s="1" t="s">
        <v>3028</v>
      </c>
      <c r="F962" s="1" t="s">
        <v>14</v>
      </c>
      <c r="G962" s="4">
        <f>5.6/3036.306</f>
        <v>1.8443463866948851E-3</v>
      </c>
      <c r="H962" s="28">
        <v>41639</v>
      </c>
      <c r="I962" s="29">
        <f t="shared" si="775"/>
        <v>2013</v>
      </c>
      <c r="J962" s="1" t="s">
        <v>5712</v>
      </c>
      <c r="K962" s="1" t="s">
        <v>7</v>
      </c>
      <c r="L962" s="11" t="str">
        <f t="shared" si="795"/>
        <v>ДА</v>
      </c>
      <c r="M962" s="10" t="s">
        <v>1575</v>
      </c>
      <c r="N962" s="10" t="s">
        <v>1575</v>
      </c>
      <c r="O962" s="10">
        <v>1.8540000000000001</v>
      </c>
      <c r="P962" s="10">
        <f t="shared" si="776"/>
        <v>1005.2341650000001</v>
      </c>
      <c r="Q962" s="10">
        <f t="shared" si="777"/>
        <v>926.76316500000007</v>
      </c>
      <c r="R962" s="10">
        <v>298.15800000000002</v>
      </c>
      <c r="S962" s="10">
        <v>156.81399999999999</v>
      </c>
      <c r="T962" s="10">
        <v>143.81399999999999</v>
      </c>
      <c r="U962" s="10">
        <v>109.94499999999999</v>
      </c>
      <c r="V962" s="10">
        <v>374.09300000000002</v>
      </c>
      <c r="W962" s="10">
        <v>-78.471000000000004</v>
      </c>
      <c r="X962" s="10">
        <f t="shared" si="782"/>
        <v>295.62200000000001</v>
      </c>
      <c r="Y962" s="10">
        <f t="shared" si="783"/>
        <v>3.3714814460789246</v>
      </c>
      <c r="Z962" s="10">
        <f t="shared" si="784"/>
        <v>9.1430639410614418</v>
      </c>
      <c r="AA962" s="10">
        <f t="shared" si="785"/>
        <v>2.6871236965139684</v>
      </c>
      <c r="AB962" s="10">
        <f t="shared" si="786"/>
        <v>3.1082954842734392</v>
      </c>
      <c r="AC962" s="10">
        <f t="shared" si="787"/>
        <v>5.9099516943640245</v>
      </c>
      <c r="AD962" s="10">
        <f t="shared" si="788"/>
        <v>6.4441790437648638</v>
      </c>
      <c r="AE962" s="10">
        <f t="shared" si="789"/>
        <v>3.13496006724804</v>
      </c>
      <c r="AF962" s="1" t="s">
        <v>4370</v>
      </c>
    </row>
    <row r="963" spans="1:32" x14ac:dyDescent="0.2">
      <c r="A963" s="1" t="s">
        <v>5780</v>
      </c>
      <c r="B963" s="1" t="s">
        <v>5</v>
      </c>
      <c r="C963" s="1" t="s">
        <v>1575</v>
      </c>
      <c r="D963" s="1" t="s">
        <v>1597</v>
      </c>
      <c r="E963" s="1" t="s">
        <v>1661</v>
      </c>
      <c r="F963" s="1" t="s">
        <v>15</v>
      </c>
      <c r="G963" s="4">
        <v>0.4</v>
      </c>
      <c r="H963" s="28">
        <v>41639</v>
      </c>
      <c r="I963" s="29">
        <f t="shared" si="775"/>
        <v>2013</v>
      </c>
      <c r="J963" s="1" t="s">
        <v>5712</v>
      </c>
      <c r="K963" s="1" t="s">
        <v>2219</v>
      </c>
      <c r="L963" s="11" t="str">
        <f t="shared" si="795"/>
        <v>НЕТ</v>
      </c>
      <c r="M963" s="10">
        <v>1800</v>
      </c>
      <c r="N963" s="10" t="s">
        <v>1575</v>
      </c>
      <c r="O963" s="10">
        <f>M963*32.7292/1000</f>
        <v>58.912559999999999</v>
      </c>
      <c r="P963" s="10">
        <f t="shared" ref="P963:P1026" si="807">IFERROR(O963/G963,"NA")</f>
        <v>147.28139999999999</v>
      </c>
      <c r="Q963" s="10" t="str">
        <f t="shared" ref="Q963:Q1026" si="808">IFERROR(P963+W963,"NA")</f>
        <v>NA</v>
      </c>
      <c r="R963" s="10" t="s">
        <v>1575</v>
      </c>
      <c r="S963" s="10" t="s">
        <v>1575</v>
      </c>
      <c r="T963" s="10" t="s">
        <v>1575</v>
      </c>
      <c r="U963" s="10" t="s">
        <v>1575</v>
      </c>
      <c r="V963" s="10">
        <f>29.726/0.2</f>
        <v>148.63</v>
      </c>
      <c r="W963" s="10" t="s">
        <v>1575</v>
      </c>
      <c r="X963" s="10" t="str">
        <f t="shared" si="782"/>
        <v>NA</v>
      </c>
      <c r="Y963" s="10" t="str">
        <f t="shared" si="783"/>
        <v>NA</v>
      </c>
      <c r="Z963" s="10" t="str">
        <f t="shared" si="784"/>
        <v>NA</v>
      </c>
      <c r="AA963" s="10">
        <f t="shared" si="785"/>
        <v>0.99092646168337484</v>
      </c>
      <c r="AB963" s="10" t="str">
        <f t="shared" si="786"/>
        <v>NA</v>
      </c>
      <c r="AC963" s="10" t="str">
        <f t="shared" si="787"/>
        <v>NA</v>
      </c>
      <c r="AD963" s="10" t="str">
        <f t="shared" si="788"/>
        <v>NA</v>
      </c>
      <c r="AE963" s="10" t="str">
        <f t="shared" si="789"/>
        <v>NA</v>
      </c>
      <c r="AF963" s="1" t="s">
        <v>4366</v>
      </c>
    </row>
    <row r="964" spans="1:32" x14ac:dyDescent="0.2">
      <c r="A964" s="1" t="s">
        <v>5780</v>
      </c>
      <c r="B964" s="1" t="s">
        <v>5</v>
      </c>
      <c r="C964" s="1" t="s">
        <v>1575</v>
      </c>
      <c r="D964" s="1" t="s">
        <v>1597</v>
      </c>
      <c r="E964" s="1" t="s">
        <v>1661</v>
      </c>
      <c r="F964" s="1" t="s">
        <v>15</v>
      </c>
      <c r="G964" s="4">
        <v>0.6</v>
      </c>
      <c r="H964" s="28">
        <v>41639</v>
      </c>
      <c r="I964" s="29">
        <f t="shared" si="775"/>
        <v>2013</v>
      </c>
      <c r="J964" s="1" t="s">
        <v>5712</v>
      </c>
      <c r="K964" s="1" t="s">
        <v>7</v>
      </c>
      <c r="L964" s="11" t="str">
        <f t="shared" si="795"/>
        <v>НЕТ</v>
      </c>
      <c r="M964" s="10">
        <v>2939</v>
      </c>
      <c r="N964" s="10" t="s">
        <v>1575</v>
      </c>
      <c r="O964" s="10">
        <v>96.846000000000004</v>
      </c>
      <c r="P964" s="10">
        <f t="shared" si="807"/>
        <v>161.41000000000003</v>
      </c>
      <c r="Q964" s="10" t="str">
        <f t="shared" si="808"/>
        <v>NA</v>
      </c>
      <c r="R964" s="10" t="s">
        <v>1575</v>
      </c>
      <c r="S964" s="10" t="s">
        <v>1575</v>
      </c>
      <c r="T964" s="10" t="s">
        <v>1575</v>
      </c>
      <c r="U964" s="10" t="s">
        <v>1575</v>
      </c>
      <c r="V964" s="10">
        <f>29.726/0.2</f>
        <v>148.63</v>
      </c>
      <c r="W964" s="10" t="s">
        <v>1575</v>
      </c>
      <c r="X964" s="10" t="str">
        <f t="shared" si="782"/>
        <v>NA</v>
      </c>
      <c r="Y964" s="10" t="str">
        <f t="shared" si="783"/>
        <v>NA</v>
      </c>
      <c r="Z964" s="10" t="str">
        <f t="shared" si="784"/>
        <v>NA</v>
      </c>
      <c r="AA964" s="10">
        <f t="shared" si="785"/>
        <v>1.0859853327053759</v>
      </c>
      <c r="AB964" s="10" t="str">
        <f t="shared" si="786"/>
        <v>NA</v>
      </c>
      <c r="AC964" s="10" t="str">
        <f t="shared" si="787"/>
        <v>NA</v>
      </c>
      <c r="AD964" s="10" t="str">
        <f t="shared" si="788"/>
        <v>NA</v>
      </c>
      <c r="AE964" s="10" t="str">
        <f t="shared" si="789"/>
        <v>NA</v>
      </c>
      <c r="AF964" s="1" t="s">
        <v>4367</v>
      </c>
    </row>
    <row r="965" spans="1:32" x14ac:dyDescent="0.2">
      <c r="A965" s="1" t="s">
        <v>43</v>
      </c>
      <c r="B965" s="1" t="s">
        <v>5</v>
      </c>
      <c r="C965" s="1" t="s">
        <v>1575</v>
      </c>
      <c r="D965" s="1" t="s">
        <v>1597</v>
      </c>
      <c r="E965" s="1" t="s">
        <v>1661</v>
      </c>
      <c r="F965" s="1" t="s">
        <v>15</v>
      </c>
      <c r="G965" s="4">
        <v>0.2</v>
      </c>
      <c r="H965" s="28">
        <v>41639</v>
      </c>
      <c r="I965" s="29">
        <f t="shared" si="775"/>
        <v>2013</v>
      </c>
      <c r="J965" s="1" t="s">
        <v>48</v>
      </c>
      <c r="K965" s="1" t="s">
        <v>5712</v>
      </c>
      <c r="L965" s="11" t="str">
        <f t="shared" si="795"/>
        <v>НЕТ</v>
      </c>
      <c r="M965" s="10">
        <f>468+410+143</f>
        <v>1021</v>
      </c>
      <c r="N965" s="10" t="s">
        <v>1575</v>
      </c>
      <c r="O965" s="10">
        <v>29.475999999999999</v>
      </c>
      <c r="P965" s="10">
        <f t="shared" si="807"/>
        <v>147.38</v>
      </c>
      <c r="Q965" s="10" t="str">
        <f t="shared" si="808"/>
        <v>NA</v>
      </c>
      <c r="R965" s="10" t="s">
        <v>1575</v>
      </c>
      <c r="S965" s="10" t="s">
        <v>1575</v>
      </c>
      <c r="T965" s="10" t="s">
        <v>1575</v>
      </c>
      <c r="U965" s="10" t="s">
        <v>1575</v>
      </c>
      <c r="V965" s="10">
        <f>24.306/0.2</f>
        <v>121.53</v>
      </c>
      <c r="W965" s="10" t="s">
        <v>1575</v>
      </c>
      <c r="X965" s="10" t="str">
        <f t="shared" si="782"/>
        <v>NA</v>
      </c>
      <c r="Y965" s="10" t="str">
        <f t="shared" si="783"/>
        <v>NA</v>
      </c>
      <c r="Z965" s="10" t="str">
        <f t="shared" si="784"/>
        <v>NA</v>
      </c>
      <c r="AA965" s="10">
        <f t="shared" si="785"/>
        <v>1.2127046819715297</v>
      </c>
      <c r="AB965" s="10" t="str">
        <f t="shared" si="786"/>
        <v>NA</v>
      </c>
      <c r="AC965" s="10" t="str">
        <f t="shared" si="787"/>
        <v>NA</v>
      </c>
      <c r="AD965" s="10" t="str">
        <f t="shared" si="788"/>
        <v>NA</v>
      </c>
      <c r="AE965" s="10" t="str">
        <f t="shared" si="789"/>
        <v>NA</v>
      </c>
      <c r="AF965" s="1" t="s">
        <v>4368</v>
      </c>
    </row>
    <row r="966" spans="1:32" x14ac:dyDescent="0.2">
      <c r="A966" s="1" t="s">
        <v>5784</v>
      </c>
      <c r="B966" s="1" t="s">
        <v>5</v>
      </c>
      <c r="C966" s="1" t="s">
        <v>1575</v>
      </c>
      <c r="D966" s="1" t="s">
        <v>1597</v>
      </c>
      <c r="E966" s="1" t="s">
        <v>1661</v>
      </c>
      <c r="F966" s="1" t="s">
        <v>15</v>
      </c>
      <c r="G966" s="4">
        <f>50%-49%</f>
        <v>1.0000000000000009E-2</v>
      </c>
      <c r="H966" s="28">
        <v>41455</v>
      </c>
      <c r="I966" s="29">
        <f t="shared" si="775"/>
        <v>2013</v>
      </c>
      <c r="J966" s="1" t="s">
        <v>5712</v>
      </c>
      <c r="K966" s="1" t="s">
        <v>7</v>
      </c>
      <c r="L966" s="11" t="str">
        <f t="shared" si="795"/>
        <v>НЕТ</v>
      </c>
      <c r="M966" s="10">
        <v>52</v>
      </c>
      <c r="N966" s="10" t="s">
        <v>1575</v>
      </c>
      <c r="O966" s="10">
        <v>1.7030000000000001</v>
      </c>
      <c r="P966" s="10">
        <f t="shared" si="807"/>
        <v>170.29999999999987</v>
      </c>
      <c r="Q966" s="10">
        <f t="shared" si="808"/>
        <v>216.80799999999988</v>
      </c>
      <c r="R966" s="10" t="s">
        <v>1575</v>
      </c>
      <c r="S966" s="10" t="s">
        <v>1575</v>
      </c>
      <c r="T966" s="10" t="s">
        <v>1575</v>
      </c>
      <c r="U966" s="10" t="s">
        <v>1575</v>
      </c>
      <c r="V966" s="10">
        <v>87.137</v>
      </c>
      <c r="W966" s="10">
        <f>14.378+22.055+1.341+9.7-0.966</f>
        <v>46.508000000000003</v>
      </c>
      <c r="X966" s="10">
        <f t="shared" si="782"/>
        <v>133.64500000000001</v>
      </c>
      <c r="Y966" s="10" t="str">
        <f t="shared" si="783"/>
        <v>NA</v>
      </c>
      <c r="Z966" s="10" t="str">
        <f t="shared" si="784"/>
        <v>NA</v>
      </c>
      <c r="AA966" s="10">
        <f t="shared" si="785"/>
        <v>1.954393655967039</v>
      </c>
      <c r="AB966" s="10" t="str">
        <f t="shared" si="786"/>
        <v>NA</v>
      </c>
      <c r="AC966" s="10" t="str">
        <f t="shared" si="787"/>
        <v>NA</v>
      </c>
      <c r="AD966" s="10" t="str">
        <f t="shared" si="788"/>
        <v>NA</v>
      </c>
      <c r="AE966" s="10">
        <f t="shared" si="789"/>
        <v>1.6222679486699829</v>
      </c>
      <c r="AF966" s="1" t="s">
        <v>4369</v>
      </c>
    </row>
    <row r="967" spans="1:32" x14ac:dyDescent="0.2">
      <c r="A967" s="1" t="s">
        <v>5784</v>
      </c>
      <c r="B967" s="1" t="s">
        <v>5</v>
      </c>
      <c r="C967" s="1" t="s">
        <v>1575</v>
      </c>
      <c r="D967" s="1" t="s">
        <v>1597</v>
      </c>
      <c r="E967" s="1" t="s">
        <v>1661</v>
      </c>
      <c r="F967" s="1" t="s">
        <v>15</v>
      </c>
      <c r="G967" s="4">
        <v>0.49</v>
      </c>
      <c r="H967" s="28">
        <v>41240</v>
      </c>
      <c r="I967" s="29">
        <f t="shared" si="775"/>
        <v>2012</v>
      </c>
      <c r="J967" s="1" t="s">
        <v>5712</v>
      </c>
      <c r="K967" s="1" t="s">
        <v>7</v>
      </c>
      <c r="L967" s="11" t="str">
        <f t="shared" si="795"/>
        <v>НЕТ</v>
      </c>
      <c r="M967" s="10">
        <v>1375</v>
      </c>
      <c r="N967" s="10" t="s">
        <v>1575</v>
      </c>
      <c r="O967" s="10">
        <v>42.697000000000003</v>
      </c>
      <c r="P967" s="10">
        <f t="shared" si="807"/>
        <v>87.136734693877557</v>
      </c>
      <c r="Q967" s="10">
        <f t="shared" si="808"/>
        <v>133.64473469387755</v>
      </c>
      <c r="R967" s="10" t="s">
        <v>1575</v>
      </c>
      <c r="S967" s="10" t="s">
        <v>1575</v>
      </c>
      <c r="T967" s="10" t="s">
        <v>1575</v>
      </c>
      <c r="U967" s="10" t="s">
        <v>1575</v>
      </c>
      <c r="V967" s="10">
        <v>87.137</v>
      </c>
      <c r="W967" s="10">
        <f>14.378+22.055+1.341+9.7-0.966</f>
        <v>46.508000000000003</v>
      </c>
      <c r="X967" s="10">
        <f t="shared" si="782"/>
        <v>133.64500000000001</v>
      </c>
      <c r="Y967" s="10" t="str">
        <f t="shared" si="783"/>
        <v>NA</v>
      </c>
      <c r="Z967" s="10" t="str">
        <f t="shared" si="784"/>
        <v>NA</v>
      </c>
      <c r="AA967" s="10">
        <f t="shared" si="785"/>
        <v>0.99999695529886912</v>
      </c>
      <c r="AB967" s="10" t="str">
        <f t="shared" si="786"/>
        <v>NA</v>
      </c>
      <c r="AC967" s="10" t="str">
        <f t="shared" si="787"/>
        <v>NA</v>
      </c>
      <c r="AD967" s="10" t="str">
        <f t="shared" si="788"/>
        <v>NA</v>
      </c>
      <c r="AE967" s="10">
        <f t="shared" si="789"/>
        <v>0.99999801484438278</v>
      </c>
      <c r="AF967" s="1" t="s">
        <v>4371</v>
      </c>
    </row>
    <row r="968" spans="1:32" x14ac:dyDescent="0.2">
      <c r="A968" s="1" t="s">
        <v>5783</v>
      </c>
      <c r="B968" s="1" t="s">
        <v>5</v>
      </c>
      <c r="C968" s="1" t="s">
        <v>1575</v>
      </c>
      <c r="D968" s="1" t="s">
        <v>1597</v>
      </c>
      <c r="E968" s="1" t="s">
        <v>1666</v>
      </c>
      <c r="F968" s="1" t="s">
        <v>47</v>
      </c>
      <c r="G968" s="4">
        <v>0.82</v>
      </c>
      <c r="H968" s="28">
        <v>41271</v>
      </c>
      <c r="I968" s="29">
        <f t="shared" si="775"/>
        <v>2012</v>
      </c>
      <c r="J968" s="1" t="s">
        <v>5712</v>
      </c>
      <c r="K968" s="1" t="s">
        <v>7</v>
      </c>
      <c r="L968" s="11" t="str">
        <f t="shared" si="795"/>
        <v>НЕТ</v>
      </c>
      <c r="M968" s="10" t="s">
        <v>1575</v>
      </c>
      <c r="N968" s="10" t="s">
        <v>1575</v>
      </c>
      <c r="O968" s="10">
        <v>0.55400000000000005</v>
      </c>
      <c r="P968" s="10">
        <f t="shared" si="807"/>
        <v>0.67560975609756102</v>
      </c>
      <c r="Q968" s="10">
        <f t="shared" si="808"/>
        <v>0.50860975609756109</v>
      </c>
      <c r="R968" s="10" t="s">
        <v>1575</v>
      </c>
      <c r="S968" s="10" t="s">
        <v>1575</v>
      </c>
      <c r="T968" s="10" t="s">
        <v>1575</v>
      </c>
      <c r="U968" s="10" t="s">
        <v>1575</v>
      </c>
      <c r="V968" s="10">
        <v>0.65500000000000003</v>
      </c>
      <c r="W968" s="10">
        <f>0.129-0.296</f>
        <v>-0.16699999999999998</v>
      </c>
      <c r="X968" s="10">
        <f t="shared" si="782"/>
        <v>0.48800000000000004</v>
      </c>
      <c r="Y968" s="10" t="str">
        <f t="shared" si="783"/>
        <v>NA</v>
      </c>
      <c r="Z968" s="10" t="str">
        <f t="shared" si="784"/>
        <v>NA</v>
      </c>
      <c r="AA968" s="10">
        <f t="shared" si="785"/>
        <v>1.031465276484826</v>
      </c>
      <c r="AB968" s="10" t="str">
        <f t="shared" si="786"/>
        <v>NA</v>
      </c>
      <c r="AC968" s="10" t="str">
        <f t="shared" si="787"/>
        <v>NA</v>
      </c>
      <c r="AD968" s="10" t="str">
        <f t="shared" si="788"/>
        <v>NA</v>
      </c>
      <c r="AE968" s="10">
        <f t="shared" si="789"/>
        <v>1.0422331067572972</v>
      </c>
      <c r="AF968" s="1" t="s">
        <v>4372</v>
      </c>
    </row>
    <row r="969" spans="1:32" x14ac:dyDescent="0.2">
      <c r="A969" s="1" t="s">
        <v>5785</v>
      </c>
      <c r="B969" s="1" t="s">
        <v>5</v>
      </c>
      <c r="C969" s="1" t="s">
        <v>1575</v>
      </c>
      <c r="D969" s="1" t="s">
        <v>1615</v>
      </c>
      <c r="E969" s="1" t="s">
        <v>1616</v>
      </c>
      <c r="F969" s="1" t="s">
        <v>49</v>
      </c>
      <c r="G969" s="4">
        <v>1</v>
      </c>
      <c r="H969" s="28">
        <v>41274</v>
      </c>
      <c r="I969" s="29">
        <f t="shared" si="775"/>
        <v>2012</v>
      </c>
      <c r="J969" s="1" t="s">
        <v>7</v>
      </c>
      <c r="K969" s="1" t="s">
        <v>5712</v>
      </c>
      <c r="L969" s="11" t="str">
        <f t="shared" si="795"/>
        <v>НЕТ</v>
      </c>
      <c r="M969" s="10" t="s">
        <v>1575</v>
      </c>
      <c r="N969" s="10" t="s">
        <v>1575</v>
      </c>
      <c r="O969" s="10">
        <v>9.7000000000000003E-2</v>
      </c>
      <c r="P969" s="10">
        <f t="shared" si="807"/>
        <v>9.7000000000000003E-2</v>
      </c>
      <c r="Q969" s="10" t="str">
        <f t="shared" si="808"/>
        <v>NA</v>
      </c>
      <c r="R969" s="10" t="s">
        <v>1575</v>
      </c>
      <c r="S969" s="10" t="s">
        <v>1575</v>
      </c>
      <c r="T969" s="10" t="s">
        <v>1575</v>
      </c>
      <c r="U969" s="10" t="s">
        <v>1575</v>
      </c>
      <c r="V969" s="10" t="s">
        <v>1575</v>
      </c>
      <c r="W969" s="10" t="s">
        <v>1575</v>
      </c>
      <c r="X969" s="10" t="str">
        <f t="shared" si="782"/>
        <v>NA</v>
      </c>
      <c r="Y969" s="10" t="str">
        <f t="shared" si="783"/>
        <v>NA</v>
      </c>
      <c r="Z969" s="10" t="str">
        <f t="shared" si="784"/>
        <v>NA</v>
      </c>
      <c r="AA969" s="10" t="str">
        <f t="shared" si="785"/>
        <v>NA</v>
      </c>
      <c r="AB969" s="10" t="str">
        <f t="shared" si="786"/>
        <v>NA</v>
      </c>
      <c r="AC969" s="10" t="str">
        <f t="shared" si="787"/>
        <v>NA</v>
      </c>
      <c r="AD969" s="10" t="str">
        <f t="shared" si="788"/>
        <v>NA</v>
      </c>
      <c r="AE969" s="10" t="str">
        <f t="shared" si="789"/>
        <v>NA</v>
      </c>
      <c r="AF969" s="1" t="s">
        <v>4373</v>
      </c>
    </row>
    <row r="970" spans="1:32" x14ac:dyDescent="0.2">
      <c r="A970" s="1" t="s">
        <v>5712</v>
      </c>
      <c r="B970" s="1" t="s">
        <v>5</v>
      </c>
      <c r="C970" s="1" t="s">
        <v>1664</v>
      </c>
      <c r="D970" s="1" t="s">
        <v>1597</v>
      </c>
      <c r="E970" s="1" t="s">
        <v>3028</v>
      </c>
      <c r="F970" s="1" t="s">
        <v>14</v>
      </c>
      <c r="G970" s="4">
        <f>0.925/3036.306</f>
        <v>3.0464650137370871E-4</v>
      </c>
      <c r="H970" s="28">
        <v>41274</v>
      </c>
      <c r="I970" s="29">
        <f t="shared" ref="I970" si="809">YEAR(H970)</f>
        <v>2012</v>
      </c>
      <c r="J970" s="1" t="s">
        <v>5712</v>
      </c>
      <c r="K970" s="1" t="s">
        <v>7</v>
      </c>
      <c r="L970" s="11" t="str">
        <f t="shared" ref="L970" si="810">IF(OR(A970=J970,A970=K970),"ДА","НЕТ")</f>
        <v>ДА</v>
      </c>
      <c r="M970" s="10" t="s">
        <v>1575</v>
      </c>
      <c r="N970" s="10" t="s">
        <v>1575</v>
      </c>
      <c r="O970" s="10">
        <v>0.30299999999999999</v>
      </c>
      <c r="P970" s="10">
        <f t="shared" si="807"/>
        <v>994.59537081081078</v>
      </c>
      <c r="Q970" s="10">
        <f t="shared" si="808"/>
        <v>926.26437081081076</v>
      </c>
      <c r="R970" s="10">
        <v>210.97300000000001</v>
      </c>
      <c r="S970" s="10">
        <v>94.228999999999999</v>
      </c>
      <c r="T970" s="10">
        <v>83.228999999999999</v>
      </c>
      <c r="U970" s="10">
        <v>69.441000000000003</v>
      </c>
      <c r="V970" s="10">
        <v>291.57100000000003</v>
      </c>
      <c r="W970" s="10">
        <v>-68.330999999999989</v>
      </c>
      <c r="X970" s="10">
        <f t="shared" si="782"/>
        <v>223.24000000000004</v>
      </c>
      <c r="Y970" s="10">
        <f t="shared" si="783"/>
        <v>4.7143253914520376</v>
      </c>
      <c r="Z970" s="10">
        <f t="shared" si="784"/>
        <v>14.322883754709908</v>
      </c>
      <c r="AA970" s="10">
        <f t="shared" si="785"/>
        <v>3.4111601318746056</v>
      </c>
      <c r="AB970" s="10">
        <f t="shared" si="786"/>
        <v>4.3904403445503011</v>
      </c>
      <c r="AC970" s="10">
        <f t="shared" si="787"/>
        <v>9.829928905228865</v>
      </c>
      <c r="AD970" s="10">
        <f t="shared" si="788"/>
        <v>11.129106090555105</v>
      </c>
      <c r="AE970" s="10">
        <f t="shared" si="789"/>
        <v>4.1491863949597318</v>
      </c>
      <c r="AF970" s="1" t="s">
        <v>4374</v>
      </c>
    </row>
    <row r="971" spans="1:32" x14ac:dyDescent="0.2">
      <c r="A971" s="1" t="s">
        <v>5712</v>
      </c>
      <c r="B971" s="1" t="s">
        <v>5</v>
      </c>
      <c r="C971" s="1" t="s">
        <v>1664</v>
      </c>
      <c r="D971" s="1" t="s">
        <v>1597</v>
      </c>
      <c r="E971" s="1" t="s">
        <v>3028</v>
      </c>
      <c r="F971" s="1" t="s">
        <v>14</v>
      </c>
      <c r="G971" s="4">
        <f>1.154/3036.306</f>
        <v>3.8006709468676737E-4</v>
      </c>
      <c r="H971" s="28">
        <v>40908</v>
      </c>
      <c r="I971" s="29">
        <f t="shared" ref="I971" si="811">YEAR(H971)</f>
        <v>2011</v>
      </c>
      <c r="J971" s="1" t="s">
        <v>5712</v>
      </c>
      <c r="K971" s="1" t="s">
        <v>7</v>
      </c>
      <c r="L971" s="11" t="str">
        <f t="shared" ref="L971" si="812">IF(OR(A971=J971,A971=K971),"ДА","НЕТ")</f>
        <v>ДА</v>
      </c>
      <c r="M971" s="10" t="s">
        <v>1575</v>
      </c>
      <c r="N971" s="10" t="s">
        <v>1575</v>
      </c>
      <c r="O971" s="10">
        <v>0.52</v>
      </c>
      <c r="P971" s="10">
        <f t="shared" si="807"/>
        <v>1368.1794800693242</v>
      </c>
      <c r="Q971" s="10">
        <f t="shared" si="808"/>
        <v>1301.3304800693243</v>
      </c>
      <c r="R971" s="10">
        <v>175.273</v>
      </c>
      <c r="S971" s="10">
        <v>146.72800000000001</v>
      </c>
      <c r="T971" s="10">
        <v>137.72800000000001</v>
      </c>
      <c r="U971" s="10">
        <v>119.291</v>
      </c>
      <c r="V971" s="10">
        <v>241.60399999999998</v>
      </c>
      <c r="W971" s="10">
        <v>-66.84899999999999</v>
      </c>
      <c r="X971" s="10">
        <f t="shared" si="782"/>
        <v>174.755</v>
      </c>
      <c r="Y971" s="10">
        <f t="shared" si="783"/>
        <v>7.8059911114052039</v>
      </c>
      <c r="Z971" s="10">
        <f t="shared" si="784"/>
        <v>11.469259877688378</v>
      </c>
      <c r="AA971" s="10">
        <f t="shared" si="785"/>
        <v>5.6629007800753479</v>
      </c>
      <c r="AB971" s="10">
        <f t="shared" si="786"/>
        <v>7.4245918086032887</v>
      </c>
      <c r="AC971" s="10">
        <f t="shared" si="787"/>
        <v>8.8689989645420386</v>
      </c>
      <c r="AD971" s="10">
        <f t="shared" si="788"/>
        <v>9.4485542523620776</v>
      </c>
      <c r="AE971" s="10">
        <f t="shared" si="789"/>
        <v>7.4465994110001104</v>
      </c>
      <c r="AF971" s="1" t="s">
        <v>4378</v>
      </c>
    </row>
    <row r="972" spans="1:32" x14ac:dyDescent="0.2">
      <c r="A972" s="1" t="s">
        <v>5786</v>
      </c>
      <c r="B972" s="1" t="s">
        <v>5</v>
      </c>
      <c r="C972" s="1" t="s">
        <v>1575</v>
      </c>
      <c r="D972" s="1" t="s">
        <v>1597</v>
      </c>
      <c r="E972" s="1" t="s">
        <v>1666</v>
      </c>
      <c r="F972" s="1" t="s">
        <v>47</v>
      </c>
      <c r="G972" s="4">
        <v>1</v>
      </c>
      <c r="H972" s="28">
        <v>40877</v>
      </c>
      <c r="I972" s="29">
        <f t="shared" si="775"/>
        <v>2011</v>
      </c>
      <c r="J972" s="1" t="s">
        <v>5712</v>
      </c>
      <c r="K972" s="1" t="s">
        <v>7</v>
      </c>
      <c r="L972" s="11" t="str">
        <f t="shared" si="795"/>
        <v>НЕТ</v>
      </c>
      <c r="M972" s="10" t="s">
        <v>1575</v>
      </c>
      <c r="N972" s="10" t="s">
        <v>1575</v>
      </c>
      <c r="O972" s="10">
        <v>1.55</v>
      </c>
      <c r="P972" s="10">
        <f t="shared" si="807"/>
        <v>1.55</v>
      </c>
      <c r="Q972" s="10">
        <f t="shared" si="808"/>
        <v>1.4280000000000002</v>
      </c>
      <c r="R972" s="10" t="s">
        <v>1575</v>
      </c>
      <c r="S972" s="10" t="s">
        <v>1575</v>
      </c>
      <c r="T972" s="10" t="s">
        <v>1575</v>
      </c>
      <c r="U972" s="10" t="s">
        <v>1575</v>
      </c>
      <c r="V972" s="10">
        <v>1.55</v>
      </c>
      <c r="W972" s="10">
        <f>0.232-0.354</f>
        <v>-0.12199999999999997</v>
      </c>
      <c r="X972" s="10">
        <f t="shared" si="782"/>
        <v>1.4280000000000002</v>
      </c>
      <c r="Y972" s="10" t="str">
        <f t="shared" si="783"/>
        <v>NA</v>
      </c>
      <c r="Z972" s="10" t="str">
        <f t="shared" si="784"/>
        <v>NA</v>
      </c>
      <c r="AA972" s="10">
        <f t="shared" si="785"/>
        <v>1</v>
      </c>
      <c r="AB972" s="10" t="str">
        <f t="shared" si="786"/>
        <v>NA</v>
      </c>
      <c r="AC972" s="10" t="str">
        <f t="shared" si="787"/>
        <v>NA</v>
      </c>
      <c r="AD972" s="10" t="str">
        <f t="shared" si="788"/>
        <v>NA</v>
      </c>
      <c r="AE972" s="10">
        <f t="shared" si="789"/>
        <v>1</v>
      </c>
      <c r="AF972" s="1" t="s">
        <v>4375</v>
      </c>
    </row>
    <row r="973" spans="1:32" x14ac:dyDescent="0.2">
      <c r="A973" s="1" t="s">
        <v>43</v>
      </c>
      <c r="B973" s="1" t="s">
        <v>5</v>
      </c>
      <c r="C973" s="1" t="s">
        <v>1575</v>
      </c>
      <c r="D973" s="1" t="s">
        <v>1597</v>
      </c>
      <c r="E973" s="1" t="s">
        <v>1661</v>
      </c>
      <c r="F973" s="1" t="s">
        <v>15</v>
      </c>
      <c r="G973" s="4">
        <v>0.2</v>
      </c>
      <c r="H973" s="28">
        <v>40822</v>
      </c>
      <c r="I973" s="29">
        <f t="shared" ref="I973:I1048" si="813">YEAR(H973)</f>
        <v>2011</v>
      </c>
      <c r="J973" s="1" t="s">
        <v>50</v>
      </c>
      <c r="K973" s="1" t="s">
        <v>5712</v>
      </c>
      <c r="L973" s="11" t="str">
        <f t="shared" si="795"/>
        <v>НЕТ</v>
      </c>
      <c r="M973" s="10">
        <f>375+425+500</f>
        <v>1300</v>
      </c>
      <c r="N973" s="10" t="s">
        <v>1575</v>
      </c>
      <c r="O973" s="10">
        <f>M973*32.6374/1000</f>
        <v>42.428620000000002</v>
      </c>
      <c r="P973" s="10">
        <f t="shared" si="807"/>
        <v>212.1431</v>
      </c>
      <c r="Q973" s="10">
        <f t="shared" si="808"/>
        <v>219.2071</v>
      </c>
      <c r="R973" s="10" t="s">
        <v>1575</v>
      </c>
      <c r="S973" s="10" t="s">
        <v>1575</v>
      </c>
      <c r="T973" s="10" t="s">
        <v>1575</v>
      </c>
      <c r="U973" s="10" t="s">
        <v>1575</v>
      </c>
      <c r="V973" s="10">
        <v>41.042000000000002</v>
      </c>
      <c r="W973" s="10">
        <f>8.1+0.81-1.846</f>
        <v>7.0640000000000001</v>
      </c>
      <c r="X973" s="10">
        <f t="shared" ref="X973:X1041" si="814">IFERROR(V973+W973,"NA")</f>
        <v>48.106000000000002</v>
      </c>
      <c r="Y973" s="10" t="str">
        <f t="shared" ref="Y973:Y1041" si="815">IFERROR(P973/R973,"NA")</f>
        <v>NA</v>
      </c>
      <c r="Z973" s="10" t="str">
        <f t="shared" ref="Z973:Z1041" si="816">IFERROR(P973/U973,"NA")</f>
        <v>NA</v>
      </c>
      <c r="AA973" s="10">
        <f t="shared" ref="AA973:AA1041" si="817">IFERROR(P973/V973,"NA")</f>
        <v>5.1689269528775403</v>
      </c>
      <c r="AB973" s="10" t="str">
        <f t="shared" ref="AB973:AB1041" si="818">IFERROR(Q973/R973,"NA")</f>
        <v>NA</v>
      </c>
      <c r="AC973" s="10" t="str">
        <f t="shared" ref="AC973:AC1041" si="819">IFERROR(Q973/S973,"NA")</f>
        <v>NA</v>
      </c>
      <c r="AD973" s="10" t="str">
        <f t="shared" ref="AD973:AD1041" si="820">IFERROR(Q973/T973,"NA")</f>
        <v>NA</v>
      </c>
      <c r="AE973" s="10">
        <f t="shared" ref="AE973:AE1041" si="821">IFERROR(Q973/X973,"NA")</f>
        <v>4.5567517565376461</v>
      </c>
      <c r="AF973" s="1" t="s">
        <v>4376</v>
      </c>
    </row>
    <row r="974" spans="1:32" x14ac:dyDescent="0.2">
      <c r="A974" s="1" t="s">
        <v>5787</v>
      </c>
      <c r="B974" s="1" t="s">
        <v>5</v>
      </c>
      <c r="C974" s="1" t="s">
        <v>1575</v>
      </c>
      <c r="D974" s="1" t="s">
        <v>1597</v>
      </c>
      <c r="E974" s="1" t="s">
        <v>1666</v>
      </c>
      <c r="F974" s="1" t="s">
        <v>47</v>
      </c>
      <c r="G974" s="4">
        <v>1</v>
      </c>
      <c r="H974" s="28">
        <v>40543</v>
      </c>
      <c r="I974" s="29">
        <f t="shared" si="813"/>
        <v>2010</v>
      </c>
      <c r="J974" s="1" t="s">
        <v>5712</v>
      </c>
      <c r="K974" s="1" t="s">
        <v>7</v>
      </c>
      <c r="L974" s="11" t="str">
        <f t="shared" si="795"/>
        <v>НЕТ</v>
      </c>
      <c r="M974" s="10" t="s">
        <v>1575</v>
      </c>
      <c r="N974" s="10" t="s">
        <v>1575</v>
      </c>
      <c r="O974" s="10">
        <v>0.41</v>
      </c>
      <c r="P974" s="10">
        <f t="shared" si="807"/>
        <v>0.41</v>
      </c>
      <c r="Q974" s="10" t="str">
        <f t="shared" si="808"/>
        <v>NA</v>
      </c>
      <c r="R974" s="10" t="s">
        <v>1575</v>
      </c>
      <c r="S974" s="10" t="s">
        <v>1575</v>
      </c>
      <c r="T974" s="10" t="s">
        <v>1575</v>
      </c>
      <c r="U974" s="10" t="s">
        <v>1575</v>
      </c>
      <c r="V974" s="10" t="s">
        <v>1575</v>
      </c>
      <c r="W974" s="10" t="s">
        <v>1575</v>
      </c>
      <c r="X974" s="10" t="str">
        <f t="shared" si="814"/>
        <v>NA</v>
      </c>
      <c r="Y974" s="10" t="str">
        <f t="shared" si="815"/>
        <v>NA</v>
      </c>
      <c r="Z974" s="10" t="str">
        <f t="shared" si="816"/>
        <v>NA</v>
      </c>
      <c r="AA974" s="10" t="str">
        <f t="shared" si="817"/>
        <v>NA</v>
      </c>
      <c r="AB974" s="10" t="str">
        <f t="shared" si="818"/>
        <v>NA</v>
      </c>
      <c r="AC974" s="10" t="str">
        <f t="shared" si="819"/>
        <v>NA</v>
      </c>
      <c r="AD974" s="10" t="str">
        <f t="shared" si="820"/>
        <v>NA</v>
      </c>
      <c r="AE974" s="10" t="str">
        <f t="shared" si="821"/>
        <v>NA</v>
      </c>
      <c r="AF974" s="1" t="s">
        <v>4379</v>
      </c>
    </row>
    <row r="975" spans="1:32" x14ac:dyDescent="0.2">
      <c r="A975" s="1" t="s">
        <v>5712</v>
      </c>
      <c r="B975" s="1" t="s">
        <v>5</v>
      </c>
      <c r="C975" s="1" t="s">
        <v>1664</v>
      </c>
      <c r="D975" s="1" t="s">
        <v>1597</v>
      </c>
      <c r="E975" s="1" t="s">
        <v>3028</v>
      </c>
      <c r="F975" s="1" t="s">
        <v>14</v>
      </c>
      <c r="G975" s="4">
        <f>1.07/3036.306</f>
        <v>3.5240189888634417E-4</v>
      </c>
      <c r="H975" s="28">
        <v>40543</v>
      </c>
      <c r="I975" s="29">
        <f t="shared" si="813"/>
        <v>2010</v>
      </c>
      <c r="J975" s="1" t="s">
        <v>5712</v>
      </c>
      <c r="K975" s="1" t="s">
        <v>7</v>
      </c>
      <c r="L975" s="11" t="str">
        <f t="shared" si="795"/>
        <v>ДА</v>
      </c>
      <c r="M975" s="10" t="s">
        <v>1575</v>
      </c>
      <c r="N975" s="10" t="s">
        <v>1575</v>
      </c>
      <c r="O975" s="10">
        <v>0.34100000000000003</v>
      </c>
      <c r="P975" s="10">
        <f t="shared" si="807"/>
        <v>967.64518317757006</v>
      </c>
      <c r="Q975" s="10">
        <f t="shared" si="808"/>
        <v>975.69318317757006</v>
      </c>
      <c r="R975" s="10" t="s">
        <v>1575</v>
      </c>
      <c r="S975" s="10" t="s">
        <v>1575</v>
      </c>
      <c r="T975" s="10" t="s">
        <v>1575</v>
      </c>
      <c r="U975" s="10" t="s">
        <v>1575</v>
      </c>
      <c r="V975" s="10">
        <v>168.499</v>
      </c>
      <c r="W975" s="10">
        <v>8.0479999999999983</v>
      </c>
      <c r="X975" s="10">
        <f t="shared" si="814"/>
        <v>176.547</v>
      </c>
      <c r="Y975" s="10" t="str">
        <f t="shared" si="815"/>
        <v>NA</v>
      </c>
      <c r="Z975" s="10" t="str">
        <f t="shared" si="816"/>
        <v>NA</v>
      </c>
      <c r="AA975" s="10">
        <f t="shared" si="817"/>
        <v>5.742735465359261</v>
      </c>
      <c r="AB975" s="10" t="str">
        <f t="shared" si="818"/>
        <v>NA</v>
      </c>
      <c r="AC975" s="10" t="str">
        <f t="shared" si="819"/>
        <v>NA</v>
      </c>
      <c r="AD975" s="10" t="str">
        <f t="shared" si="820"/>
        <v>NA</v>
      </c>
      <c r="AE975" s="10">
        <f t="shared" si="821"/>
        <v>5.5265350483303033</v>
      </c>
      <c r="AF975" s="1" t="s">
        <v>4387</v>
      </c>
    </row>
    <row r="976" spans="1:32" x14ac:dyDescent="0.2">
      <c r="A976" s="1" t="s">
        <v>4377</v>
      </c>
      <c r="B976" s="1" t="s">
        <v>51</v>
      </c>
      <c r="C976" s="1" t="s">
        <v>1575</v>
      </c>
      <c r="D976" s="1" t="s">
        <v>1615</v>
      </c>
      <c r="E976" s="1" t="s">
        <v>1616</v>
      </c>
      <c r="F976" s="1" t="s">
        <v>49</v>
      </c>
      <c r="G976" s="4">
        <v>1</v>
      </c>
      <c r="H976" s="28">
        <v>40421</v>
      </c>
      <c r="I976" s="29">
        <f t="shared" si="813"/>
        <v>2010</v>
      </c>
      <c r="J976" s="1" t="s">
        <v>5712</v>
      </c>
      <c r="K976" s="1" t="s">
        <v>7</v>
      </c>
      <c r="L976" s="11" t="str">
        <f t="shared" si="795"/>
        <v>НЕТ</v>
      </c>
      <c r="M976" s="10">
        <v>5</v>
      </c>
      <c r="N976" s="10" t="s">
        <v>1575</v>
      </c>
      <c r="O976" s="10">
        <v>0.159</v>
      </c>
      <c r="P976" s="10">
        <f t="shared" si="807"/>
        <v>0.159</v>
      </c>
      <c r="Q976" s="10" t="str">
        <f t="shared" si="808"/>
        <v>NA</v>
      </c>
      <c r="R976" s="10" t="s">
        <v>1575</v>
      </c>
      <c r="S976" s="10" t="s">
        <v>1575</v>
      </c>
      <c r="T976" s="10" t="s">
        <v>1575</v>
      </c>
      <c r="U976" s="10" t="s">
        <v>1575</v>
      </c>
      <c r="V976" s="10">
        <f>O976+0.01</f>
        <v>0.16900000000000001</v>
      </c>
      <c r="W976" s="10" t="s">
        <v>1575</v>
      </c>
      <c r="X976" s="10" t="str">
        <f t="shared" si="814"/>
        <v>NA</v>
      </c>
      <c r="Y976" s="10" t="str">
        <f t="shared" si="815"/>
        <v>NA</v>
      </c>
      <c r="Z976" s="10" t="str">
        <f t="shared" si="816"/>
        <v>NA</v>
      </c>
      <c r="AA976" s="10">
        <f t="shared" si="817"/>
        <v>0.94082840236686383</v>
      </c>
      <c r="AB976" s="10" t="str">
        <f t="shared" si="818"/>
        <v>NA</v>
      </c>
      <c r="AC976" s="10" t="str">
        <f t="shared" si="819"/>
        <v>NA</v>
      </c>
      <c r="AD976" s="10" t="str">
        <f t="shared" si="820"/>
        <v>NA</v>
      </c>
      <c r="AE976" s="10" t="str">
        <f t="shared" si="821"/>
        <v>NA</v>
      </c>
      <c r="AF976" s="1" t="s">
        <v>4380</v>
      </c>
    </row>
    <row r="977" spans="1:32" x14ac:dyDescent="0.2">
      <c r="A977" s="1" t="s">
        <v>5711</v>
      </c>
      <c r="B977" s="1" t="s">
        <v>5</v>
      </c>
      <c r="C977" s="1" t="s">
        <v>1575</v>
      </c>
      <c r="D977" s="1" t="s">
        <v>1597</v>
      </c>
      <c r="E977" s="1" t="s">
        <v>1660</v>
      </c>
      <c r="F977" s="1" t="s">
        <v>16</v>
      </c>
      <c r="G977" s="4">
        <v>0.51</v>
      </c>
      <c r="H977" s="28">
        <v>40529</v>
      </c>
      <c r="I977" s="29">
        <f t="shared" si="813"/>
        <v>2010</v>
      </c>
      <c r="J977" s="1" t="s">
        <v>5712</v>
      </c>
      <c r="K977" s="1" t="s">
        <v>7</v>
      </c>
      <c r="L977" s="11" t="str">
        <f t="shared" si="795"/>
        <v>НЕТ</v>
      </c>
      <c r="M977" s="10" t="s">
        <v>1575</v>
      </c>
      <c r="N977" s="10" t="s">
        <v>1575</v>
      </c>
      <c r="O977" s="10">
        <v>25.826000000000001</v>
      </c>
      <c r="P977" s="10">
        <f t="shared" si="807"/>
        <v>50.639215686274511</v>
      </c>
      <c r="Q977" s="10">
        <f t="shared" si="808"/>
        <v>83.436215686274508</v>
      </c>
      <c r="R977" s="10" t="s">
        <v>1575</v>
      </c>
      <c r="S977" s="10" t="s">
        <v>1575</v>
      </c>
      <c r="T977" s="10" t="s">
        <v>1575</v>
      </c>
      <c r="U977" s="10" t="s">
        <v>1575</v>
      </c>
      <c r="V977" s="10">
        <v>50.639000000000003</v>
      </c>
      <c r="W977" s="10">
        <f>19.747+11.716+1.766-0.432</f>
        <v>32.796999999999997</v>
      </c>
      <c r="X977" s="10">
        <f t="shared" si="814"/>
        <v>83.436000000000007</v>
      </c>
      <c r="Y977" s="10" t="str">
        <f t="shared" si="815"/>
        <v>NA</v>
      </c>
      <c r="Z977" s="10" t="str">
        <f t="shared" si="816"/>
        <v>NA</v>
      </c>
      <c r="AA977" s="10">
        <f t="shared" si="817"/>
        <v>1.0000042592917417</v>
      </c>
      <c r="AB977" s="10" t="str">
        <f t="shared" si="818"/>
        <v>NA</v>
      </c>
      <c r="AC977" s="10" t="str">
        <f t="shared" si="819"/>
        <v>NA</v>
      </c>
      <c r="AD977" s="10" t="str">
        <f t="shared" si="820"/>
        <v>NA</v>
      </c>
      <c r="AE977" s="10">
        <f t="shared" si="821"/>
        <v>1.0000025850505119</v>
      </c>
      <c r="AF977" s="1" t="s">
        <v>4381</v>
      </c>
    </row>
    <row r="978" spans="1:32" x14ac:dyDescent="0.2">
      <c r="A978" s="1" t="s">
        <v>5788</v>
      </c>
      <c r="B978" s="1" t="s">
        <v>5</v>
      </c>
      <c r="C978" s="1" t="s">
        <v>1575</v>
      </c>
      <c r="D978" s="1" t="s">
        <v>1597</v>
      </c>
      <c r="E978" s="1" t="s">
        <v>1661</v>
      </c>
      <c r="F978" s="1" t="s">
        <v>16</v>
      </c>
      <c r="G978" s="4">
        <f>100%-26%</f>
        <v>0.74</v>
      </c>
      <c r="H978" s="28">
        <v>40298</v>
      </c>
      <c r="I978" s="29">
        <f t="shared" ref="I978" si="822">YEAR(H978)</f>
        <v>2010</v>
      </c>
      <c r="J978" s="1" t="s">
        <v>5712</v>
      </c>
      <c r="K978" s="1" t="s">
        <v>7</v>
      </c>
      <c r="L978" s="11" t="str">
        <f t="shared" si="795"/>
        <v>НЕТ</v>
      </c>
      <c r="M978" s="10" t="s">
        <v>1575</v>
      </c>
      <c r="N978" s="10" t="s">
        <v>1575</v>
      </c>
      <c r="O978" s="10">
        <f>0.629+2.368</f>
        <v>2.9969999999999999</v>
      </c>
      <c r="P978" s="10">
        <f t="shared" si="807"/>
        <v>4.05</v>
      </c>
      <c r="Q978" s="10">
        <f t="shared" si="808"/>
        <v>6.66</v>
      </c>
      <c r="R978" s="10" t="s">
        <v>1575</v>
      </c>
      <c r="S978" s="10" t="s">
        <v>1575</v>
      </c>
      <c r="T978" s="10" t="s">
        <v>1575</v>
      </c>
      <c r="U978" s="10" t="s">
        <v>1575</v>
      </c>
      <c r="V978" s="10">
        <v>0.24</v>
      </c>
      <c r="W978" s="10">
        <f>2.15+0.46</f>
        <v>2.61</v>
      </c>
      <c r="X978" s="10">
        <f t="shared" si="814"/>
        <v>2.8499999999999996</v>
      </c>
      <c r="Y978" s="10" t="str">
        <f t="shared" si="815"/>
        <v>NA</v>
      </c>
      <c r="Z978" s="10" t="str">
        <f t="shared" si="816"/>
        <v>NA</v>
      </c>
      <c r="AA978" s="10">
        <f t="shared" si="817"/>
        <v>16.875</v>
      </c>
      <c r="AB978" s="10" t="str">
        <f t="shared" si="818"/>
        <v>NA</v>
      </c>
      <c r="AC978" s="10" t="str">
        <f t="shared" si="819"/>
        <v>NA</v>
      </c>
      <c r="AD978" s="10" t="str">
        <f t="shared" si="820"/>
        <v>NA</v>
      </c>
      <c r="AE978" s="10">
        <f t="shared" si="821"/>
        <v>2.3368421052631581</v>
      </c>
      <c r="AF978" s="1" t="s">
        <v>4384</v>
      </c>
    </row>
    <row r="979" spans="1:32" x14ac:dyDescent="0.2">
      <c r="A979" s="1" t="s">
        <v>5788</v>
      </c>
      <c r="B979" s="1" t="s">
        <v>5</v>
      </c>
      <c r="C979" s="1" t="s">
        <v>1575</v>
      </c>
      <c r="D979" s="1" t="s">
        <v>1597</v>
      </c>
      <c r="E979" s="1" t="s">
        <v>1661</v>
      </c>
      <c r="F979" s="1" t="s">
        <v>16</v>
      </c>
      <c r="G979" s="4">
        <v>0.26</v>
      </c>
      <c r="H979" s="28">
        <v>40224</v>
      </c>
      <c r="I979" s="29">
        <f t="shared" si="813"/>
        <v>2010</v>
      </c>
      <c r="J979" s="1" t="s">
        <v>5712</v>
      </c>
      <c r="K979" s="1" t="s">
        <v>7</v>
      </c>
      <c r="L979" s="11" t="str">
        <f t="shared" ref="L979" si="823">IF(OR(A979=J979,A979=K979),"ДА","НЕТ")</f>
        <v>НЕТ</v>
      </c>
      <c r="M979" s="10" t="s">
        <v>1575</v>
      </c>
      <c r="N979" s="10" t="s">
        <v>1575</v>
      </c>
      <c r="O979" s="10">
        <v>1.2969999999999999</v>
      </c>
      <c r="P979" s="10">
        <f t="shared" si="807"/>
        <v>4.9884615384615376</v>
      </c>
      <c r="Q979" s="10">
        <f t="shared" si="808"/>
        <v>7.598461538461537</v>
      </c>
      <c r="R979" s="10" t="s">
        <v>1575</v>
      </c>
      <c r="S979" s="10" t="s">
        <v>1575</v>
      </c>
      <c r="T979" s="10" t="s">
        <v>1575</v>
      </c>
      <c r="U979" s="10" t="s">
        <v>1575</v>
      </c>
      <c r="V979" s="10">
        <v>0.24</v>
      </c>
      <c r="W979" s="10">
        <f>2.15+0.46</f>
        <v>2.61</v>
      </c>
      <c r="X979" s="10">
        <f t="shared" si="814"/>
        <v>2.8499999999999996</v>
      </c>
      <c r="Y979" s="10" t="str">
        <f t="shared" si="815"/>
        <v>NA</v>
      </c>
      <c r="Z979" s="10" t="str">
        <f t="shared" si="816"/>
        <v>NA</v>
      </c>
      <c r="AA979" s="10">
        <f t="shared" si="817"/>
        <v>20.785256410256409</v>
      </c>
      <c r="AB979" s="10" t="str">
        <f t="shared" si="818"/>
        <v>NA</v>
      </c>
      <c r="AC979" s="10" t="str">
        <f t="shared" si="819"/>
        <v>NA</v>
      </c>
      <c r="AD979" s="10" t="str">
        <f t="shared" si="820"/>
        <v>NA</v>
      </c>
      <c r="AE979" s="10">
        <f t="shared" si="821"/>
        <v>2.6661268556005395</v>
      </c>
      <c r="AF979" s="1" t="s">
        <v>4383</v>
      </c>
    </row>
    <row r="980" spans="1:32" x14ac:dyDescent="0.2">
      <c r="A980" s="1" t="s">
        <v>5789</v>
      </c>
      <c r="B980" s="1" t="s">
        <v>5</v>
      </c>
      <c r="C980" s="1" t="s">
        <v>1575</v>
      </c>
      <c r="D980" s="1" t="s">
        <v>1689</v>
      </c>
      <c r="E980" s="1" t="s">
        <v>1698</v>
      </c>
      <c r="F980" s="1" t="s">
        <v>54</v>
      </c>
      <c r="G980" s="4">
        <v>1</v>
      </c>
      <c r="H980" s="28">
        <v>40451</v>
      </c>
      <c r="I980" s="29">
        <f t="shared" si="813"/>
        <v>2010</v>
      </c>
      <c r="J980" s="1" t="s">
        <v>53</v>
      </c>
      <c r="K980" s="1" t="s">
        <v>5712</v>
      </c>
      <c r="L980" s="11" t="str">
        <f t="shared" si="795"/>
        <v>НЕТ</v>
      </c>
      <c r="M980" s="10" t="s">
        <v>1575</v>
      </c>
      <c r="N980" s="10" t="s">
        <v>1575</v>
      </c>
      <c r="O980" s="10">
        <v>2.0190000000000001</v>
      </c>
      <c r="P980" s="10">
        <f t="shared" si="807"/>
        <v>2.0190000000000001</v>
      </c>
      <c r="Q980" s="10">
        <f t="shared" si="808"/>
        <v>2.0860000000000003</v>
      </c>
      <c r="R980" s="10" t="s">
        <v>1575</v>
      </c>
      <c r="S980" s="10" t="s">
        <v>1575</v>
      </c>
      <c r="T980" s="10" t="s">
        <v>1575</v>
      </c>
      <c r="U980" s="10" t="s">
        <v>1575</v>
      </c>
      <c r="V980" s="10">
        <v>2.2730000000000001</v>
      </c>
      <c r="W980" s="10">
        <f>0.294+0.113-0.34</f>
        <v>6.6999999999999948E-2</v>
      </c>
      <c r="X980" s="10">
        <f t="shared" si="814"/>
        <v>2.34</v>
      </c>
      <c r="Y980" s="10" t="str">
        <f t="shared" si="815"/>
        <v>NA</v>
      </c>
      <c r="Z980" s="10" t="str">
        <f t="shared" si="816"/>
        <v>NA</v>
      </c>
      <c r="AA980" s="10">
        <f t="shared" si="817"/>
        <v>0.88825340959084909</v>
      </c>
      <c r="AB980" s="10" t="str">
        <f t="shared" si="818"/>
        <v>NA</v>
      </c>
      <c r="AC980" s="10" t="str">
        <f t="shared" si="819"/>
        <v>NA</v>
      </c>
      <c r="AD980" s="10" t="str">
        <f t="shared" si="820"/>
        <v>NA</v>
      </c>
      <c r="AE980" s="10">
        <f t="shared" si="821"/>
        <v>0.89145299145299162</v>
      </c>
      <c r="AF980" s="1" t="s">
        <v>4385</v>
      </c>
    </row>
    <row r="981" spans="1:32" x14ac:dyDescent="0.2">
      <c r="A981" s="1" t="s">
        <v>5790</v>
      </c>
      <c r="B981" s="1" t="s">
        <v>5</v>
      </c>
      <c r="C981" s="1" t="s">
        <v>1575</v>
      </c>
      <c r="D981" s="1" t="s">
        <v>1597</v>
      </c>
      <c r="E981" s="1" t="s">
        <v>1660</v>
      </c>
      <c r="F981" s="1" t="s">
        <v>16</v>
      </c>
      <c r="G981" s="4">
        <v>1</v>
      </c>
      <c r="H981" s="28">
        <v>40360</v>
      </c>
      <c r="I981" s="29">
        <f t="shared" si="813"/>
        <v>2010</v>
      </c>
      <c r="J981" s="1" t="s">
        <v>5712</v>
      </c>
      <c r="K981" s="1" t="s">
        <v>7</v>
      </c>
      <c r="L981" s="11" t="str">
        <f t="shared" si="795"/>
        <v>НЕТ</v>
      </c>
      <c r="M981" s="10">
        <v>10</v>
      </c>
      <c r="N981" s="10" t="s">
        <v>1575</v>
      </c>
      <c r="O981" s="10">
        <v>0.312</v>
      </c>
      <c r="P981" s="10">
        <f t="shared" si="807"/>
        <v>0.312</v>
      </c>
      <c r="Q981" s="10">
        <f t="shared" si="808"/>
        <v>1.335</v>
      </c>
      <c r="R981" s="10" t="s">
        <v>1575</v>
      </c>
      <c r="S981" s="10" t="s">
        <v>1575</v>
      </c>
      <c r="T981" s="10" t="s">
        <v>1575</v>
      </c>
      <c r="U981" s="10" t="s">
        <v>1575</v>
      </c>
      <c r="V981" s="10">
        <v>-0.52500000000000002</v>
      </c>
      <c r="W981" s="10">
        <f>0.641+0.229+0.165-0.012</f>
        <v>1.0229999999999999</v>
      </c>
      <c r="X981" s="10">
        <f t="shared" si="814"/>
        <v>0.49799999999999989</v>
      </c>
      <c r="Y981" s="10" t="str">
        <f t="shared" si="815"/>
        <v>NA</v>
      </c>
      <c r="Z981" s="10" t="str">
        <f t="shared" si="816"/>
        <v>NA</v>
      </c>
      <c r="AA981" s="10">
        <f t="shared" si="817"/>
        <v>-0.59428571428571431</v>
      </c>
      <c r="AB981" s="10" t="str">
        <f t="shared" si="818"/>
        <v>NA</v>
      </c>
      <c r="AC981" s="10" t="str">
        <f t="shared" si="819"/>
        <v>NA</v>
      </c>
      <c r="AD981" s="10" t="str">
        <f t="shared" si="820"/>
        <v>NA</v>
      </c>
      <c r="AE981" s="10">
        <f t="shared" si="821"/>
        <v>2.6807228915662655</v>
      </c>
      <c r="AF981" s="1" t="s">
        <v>4386</v>
      </c>
    </row>
    <row r="982" spans="1:32" x14ac:dyDescent="0.2">
      <c r="A982" s="1" t="s">
        <v>5771</v>
      </c>
      <c r="B982" s="1" t="s">
        <v>5</v>
      </c>
      <c r="C982" s="1" t="s">
        <v>1575</v>
      </c>
      <c r="D982" s="1" t="s">
        <v>1597</v>
      </c>
      <c r="E982" s="1" t="s">
        <v>1660</v>
      </c>
      <c r="F982" s="1" t="s">
        <v>16</v>
      </c>
      <c r="G982" s="4">
        <v>0.49</v>
      </c>
      <c r="H982" s="28">
        <v>40237</v>
      </c>
      <c r="I982" s="29">
        <f t="shared" si="813"/>
        <v>2010</v>
      </c>
      <c r="J982" s="1" t="s">
        <v>52</v>
      </c>
      <c r="K982" s="1" t="s">
        <v>5712</v>
      </c>
      <c r="L982" s="11" t="str">
        <f t="shared" ref="L982" si="824">IF(OR(A982=J982,A982=K982),"ДА","НЕТ")</f>
        <v>НЕТ</v>
      </c>
      <c r="M982" s="10" t="s">
        <v>1575</v>
      </c>
      <c r="N982" s="10" t="s">
        <v>1575</v>
      </c>
      <c r="O982" s="10">
        <v>0.98199999999999998</v>
      </c>
      <c r="P982" s="10">
        <f t="shared" si="807"/>
        <v>2.0040816326530613</v>
      </c>
      <c r="Q982" s="10" t="str">
        <f t="shared" si="808"/>
        <v>NA</v>
      </c>
      <c r="R982" s="10" t="s">
        <v>1575</v>
      </c>
      <c r="S982" s="10" t="s">
        <v>1575</v>
      </c>
      <c r="T982" s="10" t="s">
        <v>1575</v>
      </c>
      <c r="U982" s="10" t="s">
        <v>1575</v>
      </c>
      <c r="V982" s="10">
        <f>0.206/G982</f>
        <v>0.42040816326530611</v>
      </c>
      <c r="W982" s="10" t="s">
        <v>1575</v>
      </c>
      <c r="X982" s="10" t="str">
        <f t="shared" si="814"/>
        <v>NA</v>
      </c>
      <c r="Y982" s="10" t="str">
        <f t="shared" si="815"/>
        <v>NA</v>
      </c>
      <c r="Z982" s="10" t="str">
        <f t="shared" si="816"/>
        <v>NA</v>
      </c>
      <c r="AA982" s="10">
        <f t="shared" si="817"/>
        <v>4.766990291262136</v>
      </c>
      <c r="AB982" s="10" t="str">
        <f t="shared" si="818"/>
        <v>NA</v>
      </c>
      <c r="AC982" s="10" t="str">
        <f t="shared" si="819"/>
        <v>NA</v>
      </c>
      <c r="AD982" s="10" t="str">
        <f t="shared" si="820"/>
        <v>NA</v>
      </c>
      <c r="AE982" s="10" t="str">
        <f t="shared" si="821"/>
        <v>NA</v>
      </c>
      <c r="AF982" s="1" t="s">
        <v>4382</v>
      </c>
    </row>
    <row r="983" spans="1:32" x14ac:dyDescent="0.2">
      <c r="A983" s="1" t="s">
        <v>43</v>
      </c>
      <c r="B983" s="1" t="s">
        <v>5</v>
      </c>
      <c r="C983" s="1" t="s">
        <v>1575</v>
      </c>
      <c r="D983" s="1" t="s">
        <v>1597</v>
      </c>
      <c r="E983" s="1" t="s">
        <v>1661</v>
      </c>
      <c r="F983" s="1" t="s">
        <v>15</v>
      </c>
      <c r="G983" s="4">
        <v>0.51</v>
      </c>
      <c r="H983" s="28">
        <v>39959</v>
      </c>
      <c r="I983" s="29">
        <f t="shared" si="813"/>
        <v>2009</v>
      </c>
      <c r="J983" s="1" t="s">
        <v>5712</v>
      </c>
      <c r="K983" s="1" t="s">
        <v>7</v>
      </c>
      <c r="L983" s="11" t="str">
        <f t="shared" si="795"/>
        <v>НЕТ</v>
      </c>
      <c r="M983" s="10">
        <v>650</v>
      </c>
      <c r="N983" s="10" t="s">
        <v>1575</v>
      </c>
      <c r="O983" s="10">
        <v>19.393000000000001</v>
      </c>
      <c r="P983" s="10">
        <f t="shared" si="807"/>
        <v>38.02549019607843</v>
      </c>
      <c r="Q983" s="10">
        <f t="shared" si="808"/>
        <v>40.830490196078429</v>
      </c>
      <c r="R983" s="10" t="s">
        <v>1575</v>
      </c>
      <c r="S983" s="10" t="s">
        <v>1575</v>
      </c>
      <c r="T983" s="10" t="s">
        <v>1575</v>
      </c>
      <c r="U983" s="10" t="s">
        <v>1575</v>
      </c>
      <c r="V983" s="10">
        <v>-1.33</v>
      </c>
      <c r="W983" s="10">
        <f>2.833+0.271+0.587-0.886</f>
        <v>2.8049999999999997</v>
      </c>
      <c r="X983" s="10">
        <f t="shared" si="814"/>
        <v>1.4749999999999996</v>
      </c>
      <c r="Y983" s="10" t="str">
        <f t="shared" si="815"/>
        <v>NA</v>
      </c>
      <c r="Z983" s="10" t="str">
        <f t="shared" si="816"/>
        <v>NA</v>
      </c>
      <c r="AA983" s="10">
        <f t="shared" si="817"/>
        <v>-28.590594132389796</v>
      </c>
      <c r="AB983" s="10" t="str">
        <f t="shared" si="818"/>
        <v>NA</v>
      </c>
      <c r="AC983" s="10" t="str">
        <f t="shared" si="819"/>
        <v>NA</v>
      </c>
      <c r="AD983" s="10" t="str">
        <f t="shared" si="820"/>
        <v>NA</v>
      </c>
      <c r="AE983" s="10">
        <f t="shared" si="821"/>
        <v>27.681688268527754</v>
      </c>
      <c r="AF983" s="1" t="s">
        <v>4389</v>
      </c>
    </row>
    <row r="984" spans="1:32" x14ac:dyDescent="0.2">
      <c r="A984" s="1" t="s">
        <v>55</v>
      </c>
      <c r="B984" s="1" t="s">
        <v>5</v>
      </c>
      <c r="C984" s="1" t="s">
        <v>1575</v>
      </c>
      <c r="D984" s="1" t="s">
        <v>1584</v>
      </c>
      <c r="E984" s="1" t="s">
        <v>3486</v>
      </c>
      <c r="F984" s="1" t="s">
        <v>46</v>
      </c>
      <c r="G984" s="4">
        <v>1</v>
      </c>
      <c r="H984" s="28">
        <v>39983</v>
      </c>
      <c r="I984" s="29">
        <f t="shared" si="813"/>
        <v>2009</v>
      </c>
      <c r="J984" s="1" t="s">
        <v>5712</v>
      </c>
      <c r="K984" s="1" t="s">
        <v>7</v>
      </c>
      <c r="L984" s="11" t="str">
        <f t="shared" si="795"/>
        <v>НЕТ</v>
      </c>
      <c r="M984" s="10" t="s">
        <v>1575</v>
      </c>
      <c r="N984" s="10" t="s">
        <v>1575</v>
      </c>
      <c r="O984" s="10">
        <v>1.9990000000000001</v>
      </c>
      <c r="P984" s="10">
        <f t="shared" si="807"/>
        <v>1.9990000000000001</v>
      </c>
      <c r="Q984" s="10" t="str">
        <f t="shared" si="808"/>
        <v>NA</v>
      </c>
      <c r="R984" s="10" t="s">
        <v>1575</v>
      </c>
      <c r="S984" s="10" t="s">
        <v>1575</v>
      </c>
      <c r="T984" s="10" t="s">
        <v>1575</v>
      </c>
      <c r="U984" s="10" t="s">
        <v>1575</v>
      </c>
      <c r="V984" s="10" t="s">
        <v>1575</v>
      </c>
      <c r="W984" s="10" t="s">
        <v>1575</v>
      </c>
      <c r="X984" s="10" t="str">
        <f t="shared" si="814"/>
        <v>NA</v>
      </c>
      <c r="Y984" s="10" t="str">
        <f t="shared" si="815"/>
        <v>NA</v>
      </c>
      <c r="Z984" s="10" t="str">
        <f t="shared" si="816"/>
        <v>NA</v>
      </c>
      <c r="AA984" s="10" t="str">
        <f t="shared" si="817"/>
        <v>NA</v>
      </c>
      <c r="AB984" s="10" t="str">
        <f t="shared" si="818"/>
        <v>NA</v>
      </c>
      <c r="AC984" s="10" t="str">
        <f t="shared" si="819"/>
        <v>NA</v>
      </c>
      <c r="AD984" s="10" t="str">
        <f t="shared" si="820"/>
        <v>NA</v>
      </c>
      <c r="AE984" s="10" t="str">
        <f t="shared" si="821"/>
        <v>NA</v>
      </c>
      <c r="AF984" s="1" t="s">
        <v>4390</v>
      </c>
    </row>
    <row r="985" spans="1:32" x14ac:dyDescent="0.2">
      <c r="A985" s="1" t="s">
        <v>5791</v>
      </c>
      <c r="B985" s="1" t="s">
        <v>5</v>
      </c>
      <c r="C985" s="1" t="s">
        <v>1575</v>
      </c>
      <c r="D985" s="1" t="s">
        <v>1597</v>
      </c>
      <c r="E985" s="1" t="s">
        <v>1699</v>
      </c>
      <c r="F985" s="1" t="s">
        <v>4</v>
      </c>
      <c r="G985" s="4" t="s">
        <v>11</v>
      </c>
      <c r="H985" s="28">
        <v>41060</v>
      </c>
      <c r="I985" s="29">
        <f t="shared" si="813"/>
        <v>2012</v>
      </c>
      <c r="J985" s="1" t="s">
        <v>7</v>
      </c>
      <c r="K985" s="1" t="s">
        <v>5729</v>
      </c>
      <c r="L985" s="11" t="str">
        <f t="shared" si="795"/>
        <v>НЕТ</v>
      </c>
      <c r="M985" s="10" t="s">
        <v>1575</v>
      </c>
      <c r="N985" s="10" t="s">
        <v>1575</v>
      </c>
      <c r="O985" s="10">
        <v>2.1000000000000001E-2</v>
      </c>
      <c r="P985" s="10" t="str">
        <f t="shared" si="807"/>
        <v>NA</v>
      </c>
      <c r="Q985" s="10" t="str">
        <f t="shared" si="808"/>
        <v>NA</v>
      </c>
      <c r="R985" s="10" t="s">
        <v>1575</v>
      </c>
      <c r="S985" s="10" t="s">
        <v>1575</v>
      </c>
      <c r="T985" s="10" t="s">
        <v>1575</v>
      </c>
      <c r="U985" s="10" t="s">
        <v>1575</v>
      </c>
      <c r="V985" s="10" t="s">
        <v>1575</v>
      </c>
      <c r="W985" s="10" t="s">
        <v>1575</v>
      </c>
      <c r="X985" s="10" t="str">
        <f t="shared" si="814"/>
        <v>NA</v>
      </c>
      <c r="Y985" s="10" t="str">
        <f t="shared" si="815"/>
        <v>NA</v>
      </c>
      <c r="Z985" s="10" t="str">
        <f t="shared" si="816"/>
        <v>NA</v>
      </c>
      <c r="AA985" s="10" t="str">
        <f t="shared" si="817"/>
        <v>NA</v>
      </c>
      <c r="AB985" s="10" t="str">
        <f t="shared" si="818"/>
        <v>NA</v>
      </c>
      <c r="AC985" s="10" t="str">
        <f t="shared" si="819"/>
        <v>NA</v>
      </c>
      <c r="AD985" s="10" t="str">
        <f t="shared" si="820"/>
        <v>NA</v>
      </c>
      <c r="AE985" s="10" t="str">
        <f t="shared" si="821"/>
        <v>NA</v>
      </c>
      <c r="AF985" s="1" t="s">
        <v>2561</v>
      </c>
    </row>
    <row r="986" spans="1:32" x14ac:dyDescent="0.2">
      <c r="A986" s="1" t="s">
        <v>56</v>
      </c>
      <c r="B986" s="1" t="s">
        <v>5</v>
      </c>
      <c r="C986" s="1" t="s">
        <v>1575</v>
      </c>
      <c r="D986" s="1" t="s">
        <v>1597</v>
      </c>
      <c r="E986" s="1" t="s">
        <v>1699</v>
      </c>
      <c r="F986" s="1" t="s">
        <v>4</v>
      </c>
      <c r="G986" s="4" t="s">
        <v>11</v>
      </c>
      <c r="H986" s="28">
        <v>41274</v>
      </c>
      <c r="I986" s="29">
        <f t="shared" si="813"/>
        <v>2012</v>
      </c>
      <c r="J986" s="1" t="s">
        <v>7</v>
      </c>
      <c r="K986" s="1" t="s">
        <v>5729</v>
      </c>
      <c r="L986" s="11" t="str">
        <f t="shared" si="795"/>
        <v>НЕТ</v>
      </c>
      <c r="M986" s="10" t="s">
        <v>1575</v>
      </c>
      <c r="N986" s="10" t="s">
        <v>1575</v>
      </c>
      <c r="O986" s="10">
        <v>0.02</v>
      </c>
      <c r="P986" s="10" t="str">
        <f t="shared" si="807"/>
        <v>NA</v>
      </c>
      <c r="Q986" s="10" t="str">
        <f t="shared" si="808"/>
        <v>NA</v>
      </c>
      <c r="R986" s="10" t="s">
        <v>1575</v>
      </c>
      <c r="S986" s="10" t="s">
        <v>1575</v>
      </c>
      <c r="T986" s="10" t="s">
        <v>1575</v>
      </c>
      <c r="U986" s="10" t="s">
        <v>1575</v>
      </c>
      <c r="V986" s="10" t="s">
        <v>1575</v>
      </c>
      <c r="W986" s="10" t="s">
        <v>1575</v>
      </c>
      <c r="X986" s="10" t="str">
        <f t="shared" si="814"/>
        <v>NA</v>
      </c>
      <c r="Y986" s="10" t="str">
        <f t="shared" si="815"/>
        <v>NA</v>
      </c>
      <c r="Z986" s="10" t="str">
        <f t="shared" si="816"/>
        <v>NA</v>
      </c>
      <c r="AA986" s="10" t="str">
        <f t="shared" si="817"/>
        <v>NA</v>
      </c>
      <c r="AB986" s="10" t="str">
        <f t="shared" si="818"/>
        <v>NA</v>
      </c>
      <c r="AC986" s="10" t="str">
        <f t="shared" si="819"/>
        <v>NA</v>
      </c>
      <c r="AD986" s="10" t="str">
        <f t="shared" si="820"/>
        <v>NA</v>
      </c>
      <c r="AE986" s="10" t="str">
        <f t="shared" si="821"/>
        <v>NA</v>
      </c>
      <c r="AF986" s="1" t="s">
        <v>2562</v>
      </c>
    </row>
    <row r="987" spans="1:32" x14ac:dyDescent="0.2">
      <c r="A987" s="1" t="s">
        <v>5792</v>
      </c>
      <c r="B987" s="1" t="s">
        <v>5</v>
      </c>
      <c r="C987" s="1" t="s">
        <v>1575</v>
      </c>
      <c r="D987" s="1" t="s">
        <v>1597</v>
      </c>
      <c r="E987" s="1" t="s">
        <v>1598</v>
      </c>
      <c r="F987" s="1" t="s">
        <v>6</v>
      </c>
      <c r="G987" s="4" t="s">
        <v>11</v>
      </c>
      <c r="H987" s="28">
        <v>41152</v>
      </c>
      <c r="I987" s="29">
        <f t="shared" si="813"/>
        <v>2012</v>
      </c>
      <c r="J987" s="1" t="s">
        <v>7</v>
      </c>
      <c r="K987" s="1" t="s">
        <v>5729</v>
      </c>
      <c r="L987" s="11" t="str">
        <f t="shared" si="795"/>
        <v>НЕТ</v>
      </c>
      <c r="M987" s="10" t="s">
        <v>1575</v>
      </c>
      <c r="N987" s="10" t="s">
        <v>1575</v>
      </c>
      <c r="O987" s="10">
        <v>1.2929999999999999</v>
      </c>
      <c r="P987" s="10" t="str">
        <f t="shared" si="807"/>
        <v>NA</v>
      </c>
      <c r="Q987" s="10" t="str">
        <f t="shared" si="808"/>
        <v>NA</v>
      </c>
      <c r="R987" s="10" t="s">
        <v>1575</v>
      </c>
      <c r="S987" s="10" t="s">
        <v>1575</v>
      </c>
      <c r="T987" s="10" t="s">
        <v>1575</v>
      </c>
      <c r="U987" s="10" t="s">
        <v>1575</v>
      </c>
      <c r="V987" s="10">
        <f>(0.029109-0.015586)*30.4769</f>
        <v>0.41213911870000003</v>
      </c>
      <c r="W987" s="10" t="s">
        <v>1575</v>
      </c>
      <c r="X987" s="10" t="str">
        <f t="shared" si="814"/>
        <v>NA</v>
      </c>
      <c r="Y987" s="10" t="str">
        <f t="shared" si="815"/>
        <v>NA</v>
      </c>
      <c r="Z987" s="10" t="str">
        <f t="shared" si="816"/>
        <v>NA</v>
      </c>
      <c r="AA987" s="10" t="str">
        <f t="shared" si="817"/>
        <v>NA</v>
      </c>
      <c r="AB987" s="10" t="str">
        <f t="shared" si="818"/>
        <v>NA</v>
      </c>
      <c r="AC987" s="10" t="str">
        <f t="shared" si="819"/>
        <v>NA</v>
      </c>
      <c r="AD987" s="10" t="str">
        <f t="shared" si="820"/>
        <v>NA</v>
      </c>
      <c r="AE987" s="10" t="str">
        <f t="shared" si="821"/>
        <v>NA</v>
      </c>
      <c r="AF987" s="1" t="s">
        <v>2564</v>
      </c>
    </row>
    <row r="988" spans="1:32" x14ac:dyDescent="0.2">
      <c r="A988" s="1" t="s">
        <v>5793</v>
      </c>
      <c r="B988" s="1" t="s">
        <v>5</v>
      </c>
      <c r="C988" s="1" t="s">
        <v>1575</v>
      </c>
      <c r="D988" s="1" t="s">
        <v>1597</v>
      </c>
      <c r="E988" s="1" t="s">
        <v>1598</v>
      </c>
      <c r="F988" s="1" t="s">
        <v>6</v>
      </c>
      <c r="G988" s="4" t="s">
        <v>11</v>
      </c>
      <c r="H988" s="28">
        <v>41029</v>
      </c>
      <c r="I988" s="29">
        <f t="shared" si="813"/>
        <v>2012</v>
      </c>
      <c r="J988" s="1" t="s">
        <v>7</v>
      </c>
      <c r="K988" s="1" t="s">
        <v>5729</v>
      </c>
      <c r="L988" s="11" t="str">
        <f t="shared" si="795"/>
        <v>НЕТ</v>
      </c>
      <c r="M988" s="10" t="s">
        <v>1575</v>
      </c>
      <c r="N988" s="10" t="s">
        <v>1575</v>
      </c>
      <c r="O988" s="10">
        <v>0.97</v>
      </c>
      <c r="P988" s="10" t="str">
        <f t="shared" si="807"/>
        <v>NA</v>
      </c>
      <c r="Q988" s="10" t="str">
        <f t="shared" si="808"/>
        <v>NA</v>
      </c>
      <c r="R988" s="10" t="s">
        <v>1575</v>
      </c>
      <c r="S988" s="10" t="s">
        <v>1575</v>
      </c>
      <c r="T988" s="10" t="s">
        <v>1575</v>
      </c>
      <c r="U988" s="10" t="s">
        <v>1575</v>
      </c>
      <c r="V988" s="10">
        <f>(0.034158-0.0058)*30.4769</f>
        <v>0.86426393020000003</v>
      </c>
      <c r="W988" s="10" t="s">
        <v>1575</v>
      </c>
      <c r="X988" s="10" t="str">
        <f t="shared" si="814"/>
        <v>NA</v>
      </c>
      <c r="Y988" s="10" t="str">
        <f t="shared" si="815"/>
        <v>NA</v>
      </c>
      <c r="Z988" s="10" t="str">
        <f t="shared" si="816"/>
        <v>NA</v>
      </c>
      <c r="AA988" s="10" t="str">
        <f t="shared" si="817"/>
        <v>NA</v>
      </c>
      <c r="AB988" s="10" t="str">
        <f t="shared" si="818"/>
        <v>NA</v>
      </c>
      <c r="AC988" s="10" t="str">
        <f t="shared" si="819"/>
        <v>NA</v>
      </c>
      <c r="AD988" s="10" t="str">
        <f t="shared" si="820"/>
        <v>NA</v>
      </c>
      <c r="AE988" s="10" t="str">
        <f t="shared" si="821"/>
        <v>NA</v>
      </c>
      <c r="AF988" s="1" t="s">
        <v>2563</v>
      </c>
    </row>
    <row r="989" spans="1:32" x14ac:dyDescent="0.2">
      <c r="A989" s="1" t="s">
        <v>57</v>
      </c>
      <c r="B989" s="1" t="s">
        <v>5</v>
      </c>
      <c r="C989" s="1" t="s">
        <v>1575</v>
      </c>
      <c r="D989" s="1" t="s">
        <v>1597</v>
      </c>
      <c r="E989" s="1" t="s">
        <v>1660</v>
      </c>
      <c r="F989" s="1" t="s">
        <v>16</v>
      </c>
      <c r="G989" s="4">
        <v>0.5</v>
      </c>
      <c r="H989" s="28">
        <v>40602</v>
      </c>
      <c r="I989" s="29">
        <f t="shared" si="813"/>
        <v>2011</v>
      </c>
      <c r="J989" s="1" t="s">
        <v>58</v>
      </c>
      <c r="K989" s="1" t="s">
        <v>5729</v>
      </c>
      <c r="L989" s="11" t="str">
        <f t="shared" ref="L989" si="825">IF(OR(A989=J989,A989=K989),"ДА","НЕТ")</f>
        <v>НЕТ</v>
      </c>
      <c r="M989" s="10" t="s">
        <v>1575</v>
      </c>
      <c r="N989" s="10" t="s">
        <v>1575</v>
      </c>
      <c r="O989" s="10">
        <v>0.58499999999999996</v>
      </c>
      <c r="P989" s="10">
        <f t="shared" si="807"/>
        <v>1.17</v>
      </c>
      <c r="Q989" s="10" t="str">
        <f t="shared" si="808"/>
        <v>NA</v>
      </c>
      <c r="R989" s="10" t="s">
        <v>1575</v>
      </c>
      <c r="S989" s="10" t="s">
        <v>1575</v>
      </c>
      <c r="T989" s="10" t="s">
        <v>1575</v>
      </c>
      <c r="U989" s="10" t="s">
        <v>1575</v>
      </c>
      <c r="V989" s="10">
        <f>(0.081703-0)*30.4769</f>
        <v>2.4900541607000002</v>
      </c>
      <c r="W989" s="10" t="s">
        <v>1575</v>
      </c>
      <c r="X989" s="10" t="str">
        <f t="shared" si="814"/>
        <v>NA</v>
      </c>
      <c r="Y989" s="10" t="str">
        <f t="shared" si="815"/>
        <v>NA</v>
      </c>
      <c r="Z989" s="10" t="str">
        <f t="shared" si="816"/>
        <v>NA</v>
      </c>
      <c r="AA989" s="10">
        <f t="shared" si="817"/>
        <v>0.46986929781121362</v>
      </c>
      <c r="AB989" s="10" t="str">
        <f t="shared" si="818"/>
        <v>NA</v>
      </c>
      <c r="AC989" s="10" t="str">
        <f t="shared" si="819"/>
        <v>NA</v>
      </c>
      <c r="AD989" s="10" t="str">
        <f t="shared" si="820"/>
        <v>NA</v>
      </c>
      <c r="AE989" s="10" t="str">
        <f t="shared" si="821"/>
        <v>NA</v>
      </c>
      <c r="AF989" s="1" t="s">
        <v>2565</v>
      </c>
    </row>
    <row r="990" spans="1:32" x14ac:dyDescent="0.2">
      <c r="A990" s="1" t="s">
        <v>57</v>
      </c>
      <c r="B990" s="1" t="s">
        <v>5</v>
      </c>
      <c r="C990" s="1" t="s">
        <v>1575</v>
      </c>
      <c r="D990" s="1" t="s">
        <v>1597</v>
      </c>
      <c r="E990" s="1" t="s">
        <v>1660</v>
      </c>
      <c r="F990" s="1" t="s">
        <v>16</v>
      </c>
      <c r="G990" s="4">
        <v>0.5</v>
      </c>
      <c r="H990" s="28">
        <v>40543</v>
      </c>
      <c r="I990" s="29">
        <f t="shared" si="813"/>
        <v>2010</v>
      </c>
      <c r="J990" s="1" t="s">
        <v>5794</v>
      </c>
      <c r="K990" s="1" t="s">
        <v>5729</v>
      </c>
      <c r="L990" s="11" t="str">
        <f t="shared" si="795"/>
        <v>НЕТ</v>
      </c>
      <c r="M990" s="10" t="s">
        <v>1575</v>
      </c>
      <c r="N990" s="10" t="s">
        <v>1575</v>
      </c>
      <c r="O990" s="10">
        <v>0.58499999999999996</v>
      </c>
      <c r="P990" s="10">
        <f t="shared" si="807"/>
        <v>1.17</v>
      </c>
      <c r="Q990" s="10" t="str">
        <f t="shared" si="808"/>
        <v>NA</v>
      </c>
      <c r="R990" s="10" t="s">
        <v>1575</v>
      </c>
      <c r="S990" s="10" t="s">
        <v>1575</v>
      </c>
      <c r="T990" s="10" t="s">
        <v>1575</v>
      </c>
      <c r="U990" s="10" t="s">
        <v>1575</v>
      </c>
      <c r="V990" s="10">
        <f>(0.081703-0)*30.4769</f>
        <v>2.4900541607000002</v>
      </c>
      <c r="W990" s="10" t="s">
        <v>1575</v>
      </c>
      <c r="X990" s="10" t="str">
        <f t="shared" si="814"/>
        <v>NA</v>
      </c>
      <c r="Y990" s="10" t="str">
        <f t="shared" si="815"/>
        <v>NA</v>
      </c>
      <c r="Z990" s="10" t="str">
        <f t="shared" si="816"/>
        <v>NA</v>
      </c>
      <c r="AA990" s="10">
        <f t="shared" si="817"/>
        <v>0.46986929781121362</v>
      </c>
      <c r="AB990" s="10" t="str">
        <f t="shared" si="818"/>
        <v>NA</v>
      </c>
      <c r="AC990" s="10" t="str">
        <f t="shared" si="819"/>
        <v>NA</v>
      </c>
      <c r="AD990" s="10" t="str">
        <f t="shared" si="820"/>
        <v>NA</v>
      </c>
      <c r="AE990" s="10" t="str">
        <f t="shared" si="821"/>
        <v>NA</v>
      </c>
      <c r="AF990" s="1" t="s">
        <v>2565</v>
      </c>
    </row>
    <row r="991" spans="1:32" x14ac:dyDescent="0.2">
      <c r="A991" s="1" t="s">
        <v>5795</v>
      </c>
      <c r="B991" s="1" t="s">
        <v>5</v>
      </c>
      <c r="C991" s="1" t="s">
        <v>1575</v>
      </c>
      <c r="D991" s="1" t="s">
        <v>1597</v>
      </c>
      <c r="E991" s="1" t="s">
        <v>1699</v>
      </c>
      <c r="F991" s="1" t="s">
        <v>9</v>
      </c>
      <c r="G991" s="4">
        <v>0.5</v>
      </c>
      <c r="H991" s="28">
        <v>44165</v>
      </c>
      <c r="I991" s="29">
        <f t="shared" si="813"/>
        <v>2020</v>
      </c>
      <c r="J991" s="1" t="s">
        <v>4392</v>
      </c>
      <c r="K991" s="1" t="s">
        <v>1675</v>
      </c>
      <c r="L991" s="11" t="str">
        <f t="shared" si="795"/>
        <v>НЕТ</v>
      </c>
      <c r="M991" s="10" t="s">
        <v>1575</v>
      </c>
      <c r="N991" s="10" t="s">
        <v>1575</v>
      </c>
      <c r="O991" s="10" t="s">
        <v>1575</v>
      </c>
      <c r="P991" s="10" t="str">
        <f t="shared" si="807"/>
        <v>NA</v>
      </c>
      <c r="Q991" s="10" t="str">
        <f t="shared" si="808"/>
        <v>NA</v>
      </c>
      <c r="R991" s="10">
        <v>0</v>
      </c>
      <c r="S991" s="10">
        <f>T991</f>
        <v>-1.7999999999999999E-2</v>
      </c>
      <c r="T991" s="10">
        <f>U991-0.009+0.037-0.003</f>
        <v>-1.7999999999999999E-2</v>
      </c>
      <c r="U991" s="10">
        <v>-4.2999999999999997E-2</v>
      </c>
      <c r="V991" s="10">
        <v>7.1520000000000001</v>
      </c>
      <c r="W991" s="10">
        <v>-1.327</v>
      </c>
      <c r="X991" s="10">
        <f t="shared" si="814"/>
        <v>5.8250000000000002</v>
      </c>
      <c r="Y991" s="10" t="str">
        <f t="shared" si="815"/>
        <v>NA</v>
      </c>
      <c r="Z991" s="10" t="str">
        <f t="shared" si="816"/>
        <v>NA</v>
      </c>
      <c r="AA991" s="10" t="str">
        <f t="shared" si="817"/>
        <v>NA</v>
      </c>
      <c r="AB991" s="10" t="str">
        <f t="shared" si="818"/>
        <v>NA</v>
      </c>
      <c r="AC991" s="10" t="str">
        <f t="shared" si="819"/>
        <v>NA</v>
      </c>
      <c r="AD991" s="10" t="str">
        <f t="shared" si="820"/>
        <v>NA</v>
      </c>
      <c r="AE991" s="10" t="str">
        <f t="shared" si="821"/>
        <v>NA</v>
      </c>
      <c r="AF991" s="1" t="s">
        <v>4391</v>
      </c>
    </row>
    <row r="992" spans="1:32" x14ac:dyDescent="0.2">
      <c r="A992" s="1" t="s">
        <v>5796</v>
      </c>
      <c r="B992" s="1" t="s">
        <v>5</v>
      </c>
      <c r="C992" s="1" t="s">
        <v>1575</v>
      </c>
      <c r="D992" s="1" t="s">
        <v>1597</v>
      </c>
      <c r="E992" s="1" t="s">
        <v>1660</v>
      </c>
      <c r="F992" s="1" t="s">
        <v>4394</v>
      </c>
      <c r="G992" s="4">
        <v>0.49</v>
      </c>
      <c r="H992" s="28">
        <v>43373</v>
      </c>
      <c r="I992" s="29">
        <f t="shared" si="813"/>
        <v>2018</v>
      </c>
      <c r="J992" s="1" t="s">
        <v>7</v>
      </c>
      <c r="K992" s="1" t="s">
        <v>1675</v>
      </c>
      <c r="L992" s="11" t="str">
        <f t="shared" si="795"/>
        <v>НЕТ</v>
      </c>
      <c r="M992" s="10" t="s">
        <v>1575</v>
      </c>
      <c r="N992" s="10" t="s">
        <v>1575</v>
      </c>
      <c r="O992" s="10" t="s">
        <v>1575</v>
      </c>
      <c r="P992" s="10" t="str">
        <f t="shared" si="807"/>
        <v>NA</v>
      </c>
      <c r="Q992" s="10" t="str">
        <f t="shared" si="808"/>
        <v>NA</v>
      </c>
      <c r="R992" s="10">
        <v>24.474</v>
      </c>
      <c r="S992" s="10" t="s">
        <v>1575</v>
      </c>
      <c r="T992" s="10" t="s">
        <v>1575</v>
      </c>
      <c r="U992" s="10">
        <v>3.024</v>
      </c>
      <c r="V992" s="10">
        <f>5.558+53.926-6.599-14.883</f>
        <v>38.00200000000001</v>
      </c>
      <c r="W992" s="10" t="s">
        <v>1575</v>
      </c>
      <c r="X992" s="10" t="str">
        <f t="shared" si="814"/>
        <v>NA</v>
      </c>
      <c r="Y992" s="10" t="str">
        <f t="shared" si="815"/>
        <v>NA</v>
      </c>
      <c r="Z992" s="10" t="str">
        <f t="shared" si="816"/>
        <v>NA</v>
      </c>
      <c r="AA992" s="10" t="str">
        <f t="shared" si="817"/>
        <v>NA</v>
      </c>
      <c r="AB992" s="10" t="str">
        <f t="shared" si="818"/>
        <v>NA</v>
      </c>
      <c r="AC992" s="10" t="str">
        <f t="shared" si="819"/>
        <v>NA</v>
      </c>
      <c r="AD992" s="10" t="str">
        <f t="shared" si="820"/>
        <v>NA</v>
      </c>
      <c r="AE992" s="10" t="str">
        <f t="shared" si="821"/>
        <v>NA</v>
      </c>
      <c r="AF992" s="1" t="s">
        <v>4393</v>
      </c>
    </row>
    <row r="993" spans="1:32" x14ac:dyDescent="0.2">
      <c r="A993" s="1" t="s">
        <v>5797</v>
      </c>
      <c r="B993" s="1" t="s">
        <v>5</v>
      </c>
      <c r="C993" s="1" t="s">
        <v>1575</v>
      </c>
      <c r="D993" s="1" t="s">
        <v>1597</v>
      </c>
      <c r="E993" s="1" t="s">
        <v>1660</v>
      </c>
      <c r="F993" s="1" t="s">
        <v>16</v>
      </c>
      <c r="G993" s="4">
        <v>0.182</v>
      </c>
      <c r="H993" s="28">
        <v>41821</v>
      </c>
      <c r="I993" s="29">
        <f t="shared" si="813"/>
        <v>2014</v>
      </c>
      <c r="J993" s="1" t="s">
        <v>1675</v>
      </c>
      <c r="K993" s="1" t="s">
        <v>59</v>
      </c>
      <c r="L993" s="11" t="str">
        <f t="shared" si="795"/>
        <v>НЕТ</v>
      </c>
      <c r="M993" s="10" t="s">
        <v>1575</v>
      </c>
      <c r="N993" s="10" t="s">
        <v>1575</v>
      </c>
      <c r="O993" s="10">
        <v>8.6</v>
      </c>
      <c r="P993" s="10">
        <f t="shared" si="807"/>
        <v>47.252747252747255</v>
      </c>
      <c r="Q993" s="10">
        <f t="shared" si="808"/>
        <v>45.023747252747256</v>
      </c>
      <c r="R993" s="10" t="s">
        <v>1575</v>
      </c>
      <c r="S993" s="10" t="s">
        <v>1575</v>
      </c>
      <c r="T993" s="10" t="s">
        <v>1575</v>
      </c>
      <c r="U993" s="10" t="s">
        <v>1575</v>
      </c>
      <c r="V993" s="10">
        <v>15.457000000000001</v>
      </c>
      <c r="W993" s="10">
        <v>-2.2290000000000001</v>
      </c>
      <c r="X993" s="10">
        <f t="shared" si="814"/>
        <v>13.228000000000002</v>
      </c>
      <c r="Y993" s="10" t="str">
        <f t="shared" si="815"/>
        <v>NA</v>
      </c>
      <c r="Z993" s="10" t="str">
        <f t="shared" si="816"/>
        <v>NA</v>
      </c>
      <c r="AA993" s="10">
        <f t="shared" si="817"/>
        <v>3.0570451738854403</v>
      </c>
      <c r="AB993" s="10" t="str">
        <f t="shared" si="818"/>
        <v>NA</v>
      </c>
      <c r="AC993" s="10" t="str">
        <f t="shared" si="819"/>
        <v>NA</v>
      </c>
      <c r="AD993" s="10" t="str">
        <f t="shared" si="820"/>
        <v>NA</v>
      </c>
      <c r="AE993" s="10">
        <f t="shared" si="821"/>
        <v>3.4036700372503215</v>
      </c>
      <c r="AF993" s="1" t="s">
        <v>4395</v>
      </c>
    </row>
    <row r="994" spans="1:32" x14ac:dyDescent="0.2">
      <c r="A994" s="1" t="s">
        <v>5798</v>
      </c>
      <c r="B994" s="1" t="s">
        <v>5</v>
      </c>
      <c r="C994" s="1" t="s">
        <v>1575</v>
      </c>
      <c r="D994" s="1" t="s">
        <v>1597</v>
      </c>
      <c r="E994" s="1" t="s">
        <v>1660</v>
      </c>
      <c r="F994" s="1" t="s">
        <v>16</v>
      </c>
      <c r="G994" s="4">
        <v>1</v>
      </c>
      <c r="H994" s="28">
        <v>41943</v>
      </c>
      <c r="I994" s="29">
        <f t="shared" ref="I994" si="826">YEAR(H994)</f>
        <v>2014</v>
      </c>
      <c r="J994" s="1" t="s">
        <v>7</v>
      </c>
      <c r="K994" s="1" t="s">
        <v>1675</v>
      </c>
      <c r="L994" s="11" t="str">
        <f t="shared" ref="L994" si="827">IF(OR(A994=J994,A994=K994),"ДА","НЕТ")</f>
        <v>НЕТ</v>
      </c>
      <c r="M994" s="10" t="s">
        <v>1575</v>
      </c>
      <c r="N994" s="10" t="s">
        <v>1575</v>
      </c>
      <c r="O994" s="10" t="s">
        <v>1575</v>
      </c>
      <c r="P994" s="10" t="str">
        <f t="shared" si="807"/>
        <v>NA</v>
      </c>
      <c r="Q994" s="10" t="str">
        <f t="shared" si="808"/>
        <v>NA</v>
      </c>
      <c r="R994" s="10" t="s">
        <v>1575</v>
      </c>
      <c r="S994" s="10" t="s">
        <v>1575</v>
      </c>
      <c r="T994" s="10" t="s">
        <v>1575</v>
      </c>
      <c r="U994" s="10" t="s">
        <v>1575</v>
      </c>
      <c r="V994" s="10">
        <v>86.873999999999995</v>
      </c>
      <c r="W994" s="10">
        <f>0.115+0.113+0.451-1.072</f>
        <v>-0.39300000000000002</v>
      </c>
      <c r="X994" s="10">
        <f t="shared" si="814"/>
        <v>86.480999999999995</v>
      </c>
      <c r="Y994" s="10" t="str">
        <f t="shared" si="815"/>
        <v>NA</v>
      </c>
      <c r="Z994" s="10" t="str">
        <f t="shared" si="816"/>
        <v>NA</v>
      </c>
      <c r="AA994" s="10" t="str">
        <f t="shared" si="817"/>
        <v>NA</v>
      </c>
      <c r="AB994" s="10" t="str">
        <f t="shared" si="818"/>
        <v>NA</v>
      </c>
      <c r="AC994" s="10" t="str">
        <f t="shared" si="819"/>
        <v>NA</v>
      </c>
      <c r="AD994" s="10" t="str">
        <f t="shared" si="820"/>
        <v>NA</v>
      </c>
      <c r="AE994" s="10" t="str">
        <f t="shared" si="821"/>
        <v>NA</v>
      </c>
      <c r="AF994" s="1" t="s">
        <v>4397</v>
      </c>
    </row>
    <row r="995" spans="1:32" x14ac:dyDescent="0.2">
      <c r="A995" s="1" t="s">
        <v>5798</v>
      </c>
      <c r="B995" s="1" t="s">
        <v>5</v>
      </c>
      <c r="C995" s="1" t="s">
        <v>1575</v>
      </c>
      <c r="D995" s="1" t="s">
        <v>1597</v>
      </c>
      <c r="E995" s="1" t="s">
        <v>1660</v>
      </c>
      <c r="F995" s="1" t="s">
        <v>16</v>
      </c>
      <c r="G995" s="4">
        <v>1</v>
      </c>
      <c r="H995" s="28">
        <v>41781</v>
      </c>
      <c r="I995" s="29">
        <f t="shared" si="813"/>
        <v>2014</v>
      </c>
      <c r="J995" s="1" t="s">
        <v>1675</v>
      </c>
      <c r="K995" s="1" t="s">
        <v>60</v>
      </c>
      <c r="L995" s="11" t="str">
        <f t="shared" si="795"/>
        <v>НЕТ</v>
      </c>
      <c r="M995" s="10" t="s">
        <v>1575</v>
      </c>
      <c r="N995" s="10" t="s">
        <v>1575</v>
      </c>
      <c r="O995" s="10">
        <v>2.7</v>
      </c>
      <c r="P995" s="10">
        <f t="shared" si="807"/>
        <v>2.7</v>
      </c>
      <c r="Q995" s="10">
        <f t="shared" si="808"/>
        <v>24.527999999999999</v>
      </c>
      <c r="R995" s="10" t="s">
        <v>1575</v>
      </c>
      <c r="S995" s="10" t="s">
        <v>1575</v>
      </c>
      <c r="T995" s="10" t="s">
        <v>1575</v>
      </c>
      <c r="U995" s="10" t="s">
        <v>1575</v>
      </c>
      <c r="V995" s="10">
        <v>3.99</v>
      </c>
      <c r="W995" s="10">
        <f>15.297+5.894+0.746-0.109</f>
        <v>21.827999999999999</v>
      </c>
      <c r="X995" s="10">
        <f t="shared" si="814"/>
        <v>25.817999999999998</v>
      </c>
      <c r="Y995" s="10" t="str">
        <f t="shared" si="815"/>
        <v>NA</v>
      </c>
      <c r="Z995" s="10" t="str">
        <f t="shared" si="816"/>
        <v>NA</v>
      </c>
      <c r="AA995" s="10">
        <f t="shared" si="817"/>
        <v>0.67669172932330823</v>
      </c>
      <c r="AB995" s="10" t="str">
        <f t="shared" si="818"/>
        <v>NA</v>
      </c>
      <c r="AC995" s="10" t="str">
        <f t="shared" si="819"/>
        <v>NA</v>
      </c>
      <c r="AD995" s="10" t="str">
        <f t="shared" si="820"/>
        <v>NA</v>
      </c>
      <c r="AE995" s="10">
        <f t="shared" si="821"/>
        <v>0.95003485940041832</v>
      </c>
      <c r="AF995" s="1" t="s">
        <v>4396</v>
      </c>
    </row>
    <row r="996" spans="1:32" x14ac:dyDescent="0.2">
      <c r="A996" s="1" t="s">
        <v>5799</v>
      </c>
      <c r="B996" s="1" t="s">
        <v>5</v>
      </c>
      <c r="C996" s="1" t="s">
        <v>1575</v>
      </c>
      <c r="D996" s="1" t="s">
        <v>1597</v>
      </c>
      <c r="E996" s="1" t="s">
        <v>1699</v>
      </c>
      <c r="F996" s="1" t="s">
        <v>9</v>
      </c>
      <c r="G996" s="4">
        <v>1</v>
      </c>
      <c r="H996" s="28">
        <v>41699</v>
      </c>
      <c r="I996" s="29">
        <f t="shared" si="813"/>
        <v>2014</v>
      </c>
      <c r="J996" s="1" t="s">
        <v>1675</v>
      </c>
      <c r="K996" s="1" t="s">
        <v>7</v>
      </c>
      <c r="L996" s="11" t="str">
        <f t="shared" si="795"/>
        <v>НЕТ</v>
      </c>
      <c r="M996" s="10" t="s">
        <v>1575</v>
      </c>
      <c r="N996" s="10" t="s">
        <v>1575</v>
      </c>
      <c r="O996" s="10">
        <v>8.0359999999999996</v>
      </c>
      <c r="P996" s="10">
        <f t="shared" si="807"/>
        <v>8.0359999999999996</v>
      </c>
      <c r="Q996" s="10">
        <f t="shared" si="808"/>
        <v>10.41</v>
      </c>
      <c r="R996" s="10" t="s">
        <v>1575</v>
      </c>
      <c r="S996" s="10" t="s">
        <v>1575</v>
      </c>
      <c r="T996" s="10" t="s">
        <v>1575</v>
      </c>
      <c r="U996" s="10" t="s">
        <v>1575</v>
      </c>
      <c r="V996" s="10">
        <v>7.7249999999999996</v>
      </c>
      <c r="W996" s="10">
        <f>1.011+1.552-0.189</f>
        <v>2.3739999999999997</v>
      </c>
      <c r="X996" s="10">
        <f t="shared" si="814"/>
        <v>10.099</v>
      </c>
      <c r="Y996" s="10" t="str">
        <f t="shared" si="815"/>
        <v>NA</v>
      </c>
      <c r="Z996" s="10" t="str">
        <f t="shared" si="816"/>
        <v>NA</v>
      </c>
      <c r="AA996" s="10">
        <f t="shared" si="817"/>
        <v>1.0402588996763753</v>
      </c>
      <c r="AB996" s="10" t="str">
        <f t="shared" si="818"/>
        <v>NA</v>
      </c>
      <c r="AC996" s="10" t="str">
        <f t="shared" si="819"/>
        <v>NA</v>
      </c>
      <c r="AD996" s="10" t="str">
        <f t="shared" si="820"/>
        <v>NA</v>
      </c>
      <c r="AE996" s="10">
        <f t="shared" si="821"/>
        <v>1.0307951282305179</v>
      </c>
      <c r="AF996" s="1" t="s">
        <v>4398</v>
      </c>
    </row>
    <row r="997" spans="1:32" x14ac:dyDescent="0.2">
      <c r="A997" s="1" t="s">
        <v>4400</v>
      </c>
      <c r="B997" s="1" t="s">
        <v>5</v>
      </c>
      <c r="C997" s="1" t="s">
        <v>1575</v>
      </c>
      <c r="D997" s="1" t="s">
        <v>1575</v>
      </c>
      <c r="E997" s="1" t="s">
        <v>1575</v>
      </c>
      <c r="F997" s="1" t="s">
        <v>1575</v>
      </c>
      <c r="G997" s="4" t="s">
        <v>1575</v>
      </c>
      <c r="H997" s="28">
        <v>41639</v>
      </c>
      <c r="I997" s="29">
        <f t="shared" si="813"/>
        <v>2013</v>
      </c>
      <c r="J997" s="1" t="s">
        <v>1675</v>
      </c>
      <c r="K997" s="1" t="s">
        <v>7</v>
      </c>
      <c r="L997" s="11" t="str">
        <f t="shared" ref="L997" si="828">IF(OR(A997=J997,A997=K997),"ДА","НЕТ")</f>
        <v>НЕТ</v>
      </c>
      <c r="M997" s="10" t="s">
        <v>1575</v>
      </c>
      <c r="N997" s="10" t="s">
        <v>1575</v>
      </c>
      <c r="O997" s="10">
        <v>1.2</v>
      </c>
      <c r="P997" s="10" t="str">
        <f t="shared" si="807"/>
        <v>NA</v>
      </c>
      <c r="Q997" s="10" t="str">
        <f t="shared" si="808"/>
        <v>NA</v>
      </c>
      <c r="R997" s="10" t="s">
        <v>1575</v>
      </c>
      <c r="S997" s="10" t="s">
        <v>1575</v>
      </c>
      <c r="T997" s="10" t="s">
        <v>1575</v>
      </c>
      <c r="U997" s="10" t="s">
        <v>1575</v>
      </c>
      <c r="V997" s="10" t="s">
        <v>1575</v>
      </c>
      <c r="W997" s="10" t="s">
        <v>1575</v>
      </c>
      <c r="X997" s="10" t="str">
        <f t="shared" si="814"/>
        <v>NA</v>
      </c>
      <c r="Y997" s="10" t="str">
        <f t="shared" si="815"/>
        <v>NA</v>
      </c>
      <c r="Z997" s="10" t="str">
        <f t="shared" si="816"/>
        <v>NA</v>
      </c>
      <c r="AA997" s="10" t="str">
        <f t="shared" si="817"/>
        <v>NA</v>
      </c>
      <c r="AB997" s="10" t="str">
        <f t="shared" si="818"/>
        <v>NA</v>
      </c>
      <c r="AC997" s="10" t="str">
        <f t="shared" si="819"/>
        <v>NA</v>
      </c>
      <c r="AD997" s="10" t="str">
        <f t="shared" si="820"/>
        <v>NA</v>
      </c>
      <c r="AE997" s="10" t="str">
        <f t="shared" si="821"/>
        <v>NA</v>
      </c>
      <c r="AF997" s="1" t="s">
        <v>4401</v>
      </c>
    </row>
    <row r="998" spans="1:32" x14ac:dyDescent="0.2">
      <c r="A998" s="1" t="s">
        <v>4400</v>
      </c>
      <c r="B998" s="1" t="s">
        <v>5</v>
      </c>
      <c r="C998" s="1" t="s">
        <v>1575</v>
      </c>
      <c r="D998" s="1" t="s">
        <v>1575</v>
      </c>
      <c r="E998" s="1" t="s">
        <v>1575</v>
      </c>
      <c r="F998" s="1" t="s">
        <v>1575</v>
      </c>
      <c r="G998" s="4" t="s">
        <v>1575</v>
      </c>
      <c r="H998" s="28">
        <v>41274</v>
      </c>
      <c r="I998" s="29">
        <f t="shared" ref="I998" si="829">YEAR(H998)</f>
        <v>2012</v>
      </c>
      <c r="J998" s="1" t="s">
        <v>1675</v>
      </c>
      <c r="K998" s="1" t="s">
        <v>7</v>
      </c>
      <c r="L998" s="11" t="str">
        <f t="shared" ref="L998" si="830">IF(OR(A998=J998,A998=K998),"ДА","НЕТ")</f>
        <v>НЕТ</v>
      </c>
      <c r="M998" s="10" t="s">
        <v>1575</v>
      </c>
      <c r="N998" s="10" t="s">
        <v>1575</v>
      </c>
      <c r="O998" s="10">
        <v>6.5</v>
      </c>
      <c r="P998" s="10" t="str">
        <f t="shared" si="807"/>
        <v>NA</v>
      </c>
      <c r="Q998" s="10" t="str">
        <f t="shared" si="808"/>
        <v>NA</v>
      </c>
      <c r="R998" s="10" t="s">
        <v>1575</v>
      </c>
      <c r="S998" s="10" t="s">
        <v>1575</v>
      </c>
      <c r="T998" s="10" t="s">
        <v>1575</v>
      </c>
      <c r="U998" s="10" t="s">
        <v>1575</v>
      </c>
      <c r="V998" s="10" t="s">
        <v>1575</v>
      </c>
      <c r="W998" s="10" t="s">
        <v>1575</v>
      </c>
      <c r="X998" s="10" t="str">
        <f t="shared" si="814"/>
        <v>NA</v>
      </c>
      <c r="Y998" s="10" t="str">
        <f t="shared" si="815"/>
        <v>NA</v>
      </c>
      <c r="Z998" s="10" t="str">
        <f t="shared" si="816"/>
        <v>NA</v>
      </c>
      <c r="AA998" s="10" t="str">
        <f t="shared" si="817"/>
        <v>NA</v>
      </c>
      <c r="AB998" s="10" t="str">
        <f t="shared" si="818"/>
        <v>NA</v>
      </c>
      <c r="AC998" s="10" t="str">
        <f t="shared" si="819"/>
        <v>NA</v>
      </c>
      <c r="AD998" s="10" t="str">
        <f t="shared" si="820"/>
        <v>NA</v>
      </c>
      <c r="AE998" s="10" t="str">
        <f t="shared" si="821"/>
        <v>NA</v>
      </c>
      <c r="AF998" s="1" t="s">
        <v>4402</v>
      </c>
    </row>
    <row r="999" spans="1:32" x14ac:dyDescent="0.2">
      <c r="A999" s="1" t="s">
        <v>5800</v>
      </c>
      <c r="B999" s="1" t="s">
        <v>5</v>
      </c>
      <c r="C999" s="1" t="s">
        <v>1575</v>
      </c>
      <c r="D999" s="1" t="s">
        <v>1597</v>
      </c>
      <c r="E999" s="1" t="s">
        <v>1660</v>
      </c>
      <c r="F999" s="1" t="s">
        <v>16</v>
      </c>
      <c r="G999" s="4">
        <v>0.9</v>
      </c>
      <c r="H999" s="28">
        <v>41234</v>
      </c>
      <c r="I999" s="29">
        <f t="shared" si="813"/>
        <v>2012</v>
      </c>
      <c r="J999" s="1" t="s">
        <v>1675</v>
      </c>
      <c r="K999" s="1" t="s">
        <v>7</v>
      </c>
      <c r="L999" s="11" t="str">
        <f t="shared" si="795"/>
        <v>НЕТ</v>
      </c>
      <c r="M999" s="10" t="s">
        <v>1575</v>
      </c>
      <c r="N999" s="10" t="s">
        <v>1575</v>
      </c>
      <c r="O999" s="10">
        <v>6.3</v>
      </c>
      <c r="P999" s="10">
        <f t="shared" si="807"/>
        <v>7</v>
      </c>
      <c r="Q999" s="10">
        <f t="shared" si="808"/>
        <v>7</v>
      </c>
      <c r="R999" s="10" t="s">
        <v>1575</v>
      </c>
      <c r="S999" s="10" t="s">
        <v>1575</v>
      </c>
      <c r="T999" s="10" t="s">
        <v>1575</v>
      </c>
      <c r="U999" s="10" t="s">
        <v>1575</v>
      </c>
      <c r="V999" s="10">
        <f>6.178-4.875-0.542</f>
        <v>0.7609999999999999</v>
      </c>
      <c r="W999" s="10">
        <v>0</v>
      </c>
      <c r="X999" s="10">
        <f t="shared" si="814"/>
        <v>0.7609999999999999</v>
      </c>
      <c r="Y999" s="10" t="str">
        <f t="shared" si="815"/>
        <v>NA</v>
      </c>
      <c r="Z999" s="10" t="str">
        <f t="shared" si="816"/>
        <v>NA</v>
      </c>
      <c r="AA999" s="10">
        <f t="shared" si="817"/>
        <v>9.1984231274638653</v>
      </c>
      <c r="AB999" s="10" t="str">
        <f t="shared" si="818"/>
        <v>NA</v>
      </c>
      <c r="AC999" s="10" t="str">
        <f t="shared" si="819"/>
        <v>NA</v>
      </c>
      <c r="AD999" s="10" t="str">
        <f t="shared" si="820"/>
        <v>NA</v>
      </c>
      <c r="AE999" s="10">
        <f t="shared" si="821"/>
        <v>9.1984231274638653</v>
      </c>
      <c r="AF999" s="1" t="s">
        <v>4399</v>
      </c>
    </row>
    <row r="1000" spans="1:32" x14ac:dyDescent="0.2">
      <c r="A1000" s="1" t="s">
        <v>5801</v>
      </c>
      <c r="B1000" s="1" t="s">
        <v>5</v>
      </c>
      <c r="C1000" s="1" t="s">
        <v>1575</v>
      </c>
      <c r="D1000" s="1" t="s">
        <v>1597</v>
      </c>
      <c r="E1000" s="1" t="s">
        <v>1660</v>
      </c>
      <c r="F1000" s="1" t="s">
        <v>16</v>
      </c>
      <c r="G1000" s="4">
        <v>1</v>
      </c>
      <c r="H1000" s="28">
        <v>41183</v>
      </c>
      <c r="I1000" s="29">
        <f t="shared" si="813"/>
        <v>2012</v>
      </c>
      <c r="J1000" s="1" t="s">
        <v>1675</v>
      </c>
      <c r="K1000" s="1" t="s">
        <v>7</v>
      </c>
      <c r="L1000" s="11" t="str">
        <f t="shared" si="795"/>
        <v>НЕТ</v>
      </c>
      <c r="M1000" s="10" t="s">
        <v>1575</v>
      </c>
      <c r="N1000" s="10" t="s">
        <v>1575</v>
      </c>
      <c r="O1000" s="10">
        <v>1.1080000000000001</v>
      </c>
      <c r="P1000" s="10">
        <f t="shared" si="807"/>
        <v>1.1080000000000001</v>
      </c>
      <c r="Q1000" s="10" t="str">
        <f t="shared" si="808"/>
        <v>NA</v>
      </c>
      <c r="R1000" s="10" t="s">
        <v>1575</v>
      </c>
      <c r="S1000" s="10" t="s">
        <v>1575</v>
      </c>
      <c r="T1000" s="10" t="s">
        <v>1575</v>
      </c>
      <c r="U1000" s="10" t="s">
        <v>1575</v>
      </c>
      <c r="V1000" s="10">
        <v>1.1080000000000001</v>
      </c>
      <c r="W1000" s="10" t="s">
        <v>1575</v>
      </c>
      <c r="X1000" s="10" t="str">
        <f t="shared" si="814"/>
        <v>NA</v>
      </c>
      <c r="Y1000" s="10" t="str">
        <f t="shared" si="815"/>
        <v>NA</v>
      </c>
      <c r="Z1000" s="10" t="str">
        <f t="shared" si="816"/>
        <v>NA</v>
      </c>
      <c r="AA1000" s="10">
        <f t="shared" si="817"/>
        <v>1</v>
      </c>
      <c r="AB1000" s="10" t="str">
        <f t="shared" si="818"/>
        <v>NA</v>
      </c>
      <c r="AC1000" s="10" t="str">
        <f t="shared" si="819"/>
        <v>NA</v>
      </c>
      <c r="AD1000" s="10" t="str">
        <f t="shared" si="820"/>
        <v>NA</v>
      </c>
      <c r="AE1000" s="10" t="str">
        <f t="shared" si="821"/>
        <v>NA</v>
      </c>
      <c r="AF1000" s="1" t="s">
        <v>4403</v>
      </c>
    </row>
    <row r="1001" spans="1:32" x14ac:dyDescent="0.2">
      <c r="A1001" s="1" t="s">
        <v>61</v>
      </c>
      <c r="B1001" s="1" t="s">
        <v>62</v>
      </c>
      <c r="C1001" s="1" t="s">
        <v>1575</v>
      </c>
      <c r="D1001" s="1" t="s">
        <v>1597</v>
      </c>
      <c r="E1001" s="1" t="s">
        <v>1660</v>
      </c>
      <c r="F1001" s="1" t="s">
        <v>16</v>
      </c>
      <c r="G1001" s="4">
        <v>5.1499999999999997E-2</v>
      </c>
      <c r="H1001" s="28">
        <v>40620</v>
      </c>
      <c r="I1001" s="29">
        <f t="shared" si="813"/>
        <v>2011</v>
      </c>
      <c r="J1001" s="1" t="s">
        <v>1675</v>
      </c>
      <c r="K1001" s="1" t="s">
        <v>7</v>
      </c>
      <c r="L1001" s="11" t="str">
        <f t="shared" si="795"/>
        <v>НЕТ</v>
      </c>
      <c r="M1001" s="10">
        <v>58</v>
      </c>
      <c r="N1001" s="10" t="s">
        <v>1575</v>
      </c>
      <c r="O1001" s="10">
        <v>1.7</v>
      </c>
      <c r="P1001" s="10">
        <f t="shared" si="807"/>
        <v>33.009708737864081</v>
      </c>
      <c r="Q1001" s="10" t="str">
        <f t="shared" si="808"/>
        <v>NA</v>
      </c>
      <c r="R1001" s="10" t="s">
        <v>1575</v>
      </c>
      <c r="S1001" s="10" t="s">
        <v>1575</v>
      </c>
      <c r="T1001" s="10" t="s">
        <v>1575</v>
      </c>
      <c r="U1001" s="10" t="s">
        <v>1575</v>
      </c>
      <c r="V1001" s="10" t="s">
        <v>1575</v>
      </c>
      <c r="W1001" s="10" t="s">
        <v>1575</v>
      </c>
      <c r="X1001" s="10" t="str">
        <f t="shared" si="814"/>
        <v>NA</v>
      </c>
      <c r="Y1001" s="10" t="str">
        <f t="shared" si="815"/>
        <v>NA</v>
      </c>
      <c r="Z1001" s="10" t="str">
        <f t="shared" si="816"/>
        <v>NA</v>
      </c>
      <c r="AA1001" s="10" t="str">
        <f t="shared" si="817"/>
        <v>NA</v>
      </c>
      <c r="AB1001" s="10" t="str">
        <f t="shared" si="818"/>
        <v>NA</v>
      </c>
      <c r="AC1001" s="10" t="str">
        <f t="shared" si="819"/>
        <v>NA</v>
      </c>
      <c r="AD1001" s="10" t="str">
        <f t="shared" si="820"/>
        <v>NA</v>
      </c>
      <c r="AE1001" s="10" t="str">
        <f t="shared" si="821"/>
        <v>NA</v>
      </c>
      <c r="AF1001" s="1" t="s">
        <v>4411</v>
      </c>
    </row>
    <row r="1002" spans="1:32" x14ac:dyDescent="0.2">
      <c r="A1002" s="1" t="s">
        <v>4413</v>
      </c>
      <c r="B1002" s="1" t="s">
        <v>5</v>
      </c>
      <c r="C1002" s="1" t="s">
        <v>1575</v>
      </c>
      <c r="D1002" s="1" t="s">
        <v>1597</v>
      </c>
      <c r="E1002" s="1" t="s">
        <v>3028</v>
      </c>
      <c r="F1002" s="1" t="s">
        <v>14</v>
      </c>
      <c r="G1002" s="4">
        <v>0.22389999999999999</v>
      </c>
      <c r="H1002" s="28">
        <v>40588</v>
      </c>
      <c r="I1002" s="29">
        <f t="shared" si="813"/>
        <v>2011</v>
      </c>
      <c r="J1002" s="1" t="s">
        <v>1675</v>
      </c>
      <c r="K1002" s="1" t="s">
        <v>7</v>
      </c>
      <c r="L1002" s="11" t="str">
        <f t="shared" ref="L1002" si="831">IF(OR(A1002=J1002,A1002=K1002),"ДА","НЕТ")</f>
        <v>НЕТ</v>
      </c>
      <c r="M1002" s="10" t="s">
        <v>1575</v>
      </c>
      <c r="N1002" s="10" t="s">
        <v>1575</v>
      </c>
      <c r="O1002" s="10">
        <v>21.6</v>
      </c>
      <c r="P1002" s="10">
        <f t="shared" si="807"/>
        <v>96.471639124609212</v>
      </c>
      <c r="Q1002" s="10" t="str">
        <f t="shared" si="808"/>
        <v>NA</v>
      </c>
      <c r="R1002" s="10" t="s">
        <v>1575</v>
      </c>
      <c r="S1002" s="10" t="s">
        <v>1575</v>
      </c>
      <c r="T1002" s="10" t="s">
        <v>1575</v>
      </c>
      <c r="U1002" s="10" t="s">
        <v>1575</v>
      </c>
      <c r="V1002" s="10" t="s">
        <v>1575</v>
      </c>
      <c r="W1002" s="10" t="s">
        <v>1575</v>
      </c>
      <c r="X1002" s="10" t="str">
        <f t="shared" ref="X1002:X1003" si="832">IFERROR(V1002+W1002,"NA")</f>
        <v>NA</v>
      </c>
      <c r="Y1002" s="10" t="str">
        <f t="shared" ref="Y1002:Y1003" si="833">IFERROR(P1002/R1002,"NA")</f>
        <v>NA</v>
      </c>
      <c r="Z1002" s="10" t="str">
        <f t="shared" ref="Z1002:Z1003" si="834">IFERROR(P1002/U1002,"NA")</f>
        <v>NA</v>
      </c>
      <c r="AA1002" s="10" t="str">
        <f t="shared" ref="AA1002:AA1003" si="835">IFERROR(P1002/V1002,"NA")</f>
        <v>NA</v>
      </c>
      <c r="AB1002" s="10" t="str">
        <f t="shared" ref="AB1002:AB1003" si="836">IFERROR(Q1002/R1002,"NA")</f>
        <v>NA</v>
      </c>
      <c r="AC1002" s="10" t="str">
        <f t="shared" ref="AC1002:AC1003" si="837">IFERROR(Q1002/S1002,"NA")</f>
        <v>NA</v>
      </c>
      <c r="AD1002" s="10" t="str">
        <f t="shared" ref="AD1002:AD1003" si="838">IFERROR(Q1002/T1002,"NA")</f>
        <v>NA</v>
      </c>
      <c r="AE1002" s="10" t="str">
        <f t="shared" ref="AE1002:AE1003" si="839">IFERROR(Q1002/X1002,"NA")</f>
        <v>NA</v>
      </c>
      <c r="AF1002" s="1" t="s">
        <v>4412</v>
      </c>
    </row>
    <row r="1003" spans="1:32" x14ac:dyDescent="0.2">
      <c r="A1003" s="1" t="s">
        <v>5802</v>
      </c>
      <c r="B1003" s="1" t="s">
        <v>5</v>
      </c>
      <c r="C1003" s="1" t="s">
        <v>1575</v>
      </c>
      <c r="D1003" s="1" t="s">
        <v>1597</v>
      </c>
      <c r="E1003" s="1" t="s">
        <v>1660</v>
      </c>
      <c r="F1003" s="1" t="s">
        <v>4394</v>
      </c>
      <c r="G1003" s="4" t="s">
        <v>11</v>
      </c>
      <c r="H1003" s="28">
        <v>40908</v>
      </c>
      <c r="I1003" s="29">
        <f t="shared" si="813"/>
        <v>2011</v>
      </c>
      <c r="J1003" s="1" t="s">
        <v>1675</v>
      </c>
      <c r="K1003" s="1" t="s">
        <v>7</v>
      </c>
      <c r="L1003" s="11" t="str">
        <f t="shared" ref="L1003:L1006" si="840">IF(OR(A1003=J1003,A1003=K1003),"ДА","НЕТ")</f>
        <v>НЕТ</v>
      </c>
      <c r="M1003" s="10" t="s">
        <v>1575</v>
      </c>
      <c r="N1003" s="10" t="s">
        <v>1575</v>
      </c>
      <c r="O1003" s="10">
        <v>13.33</v>
      </c>
      <c r="P1003" s="10" t="str">
        <f t="shared" si="807"/>
        <v>NA</v>
      </c>
      <c r="Q1003" s="10" t="str">
        <f t="shared" si="808"/>
        <v>NA</v>
      </c>
      <c r="R1003" s="10" t="s">
        <v>1575</v>
      </c>
      <c r="S1003" s="10" t="s">
        <v>1575</v>
      </c>
      <c r="T1003" s="10" t="s">
        <v>1575</v>
      </c>
      <c r="U1003" s="10" t="s">
        <v>1575</v>
      </c>
      <c r="V1003" s="10">
        <v>14.324</v>
      </c>
      <c r="W1003" s="10" t="s">
        <v>1575</v>
      </c>
      <c r="X1003" s="10" t="str">
        <f t="shared" si="832"/>
        <v>NA</v>
      </c>
      <c r="Y1003" s="10" t="str">
        <f t="shared" si="833"/>
        <v>NA</v>
      </c>
      <c r="Z1003" s="10" t="str">
        <f t="shared" si="834"/>
        <v>NA</v>
      </c>
      <c r="AA1003" s="10" t="str">
        <f t="shared" si="835"/>
        <v>NA</v>
      </c>
      <c r="AB1003" s="10" t="str">
        <f t="shared" si="836"/>
        <v>NA</v>
      </c>
      <c r="AC1003" s="10" t="str">
        <f t="shared" si="837"/>
        <v>NA</v>
      </c>
      <c r="AD1003" s="10" t="str">
        <f t="shared" si="838"/>
        <v>NA</v>
      </c>
      <c r="AE1003" s="10" t="str">
        <f t="shared" si="839"/>
        <v>NA</v>
      </c>
      <c r="AF1003" s="1" t="s">
        <v>4415</v>
      </c>
    </row>
    <row r="1004" spans="1:32" x14ac:dyDescent="0.2">
      <c r="A1004" s="1" t="s">
        <v>5803</v>
      </c>
      <c r="B1004" s="1" t="s">
        <v>5</v>
      </c>
      <c r="C1004" s="1" t="s">
        <v>1575</v>
      </c>
      <c r="D1004" s="1" t="s">
        <v>1597</v>
      </c>
      <c r="E1004" s="1" t="s">
        <v>1660</v>
      </c>
      <c r="F1004" s="1" t="s">
        <v>16</v>
      </c>
      <c r="G1004" s="4">
        <v>0.61799999999999999</v>
      </c>
      <c r="H1004" s="28">
        <v>40834</v>
      </c>
      <c r="I1004" s="29">
        <f t="shared" si="813"/>
        <v>2011</v>
      </c>
      <c r="J1004" s="1" t="s">
        <v>1675</v>
      </c>
      <c r="K1004" s="1" t="s">
        <v>7</v>
      </c>
      <c r="L1004" s="11" t="str">
        <f t="shared" si="840"/>
        <v>НЕТ</v>
      </c>
      <c r="M1004" s="10" t="s">
        <v>1575</v>
      </c>
      <c r="N1004" s="10" t="s">
        <v>1575</v>
      </c>
      <c r="O1004" s="10">
        <v>3.5760000000000001</v>
      </c>
      <c r="P1004" s="10">
        <f t="shared" si="807"/>
        <v>5.7864077669902914</v>
      </c>
      <c r="Q1004" s="10" t="str">
        <f t="shared" si="808"/>
        <v>NA</v>
      </c>
      <c r="R1004" s="10">
        <f>1.352+3.417</f>
        <v>4.7690000000000001</v>
      </c>
      <c r="S1004" s="10">
        <f>T1004+0.176+0.84</f>
        <v>1.1499999999999999</v>
      </c>
      <c r="T1004" s="10">
        <f>0.279-0.145</f>
        <v>0.13400000000000004</v>
      </c>
      <c r="U1004" s="10">
        <f>0.088-0.029</f>
        <v>5.8999999999999997E-2</v>
      </c>
      <c r="V1004" s="10">
        <v>16.106999999999999</v>
      </c>
      <c r="W1004" s="10" t="s">
        <v>1575</v>
      </c>
      <c r="X1004" s="10" t="str">
        <f t="shared" si="814"/>
        <v>NA</v>
      </c>
      <c r="Y1004" s="10">
        <f t="shared" si="815"/>
        <v>1.213337757808826</v>
      </c>
      <c r="Z1004" s="10">
        <f t="shared" si="816"/>
        <v>98.074707915089689</v>
      </c>
      <c r="AA1004" s="10">
        <f t="shared" si="817"/>
        <v>0.35924801434098785</v>
      </c>
      <c r="AB1004" s="10" t="str">
        <f t="shared" si="818"/>
        <v>NA</v>
      </c>
      <c r="AC1004" s="10" t="str">
        <f t="shared" si="819"/>
        <v>NA</v>
      </c>
      <c r="AD1004" s="10" t="str">
        <f t="shared" si="820"/>
        <v>NA</v>
      </c>
      <c r="AE1004" s="10" t="str">
        <f t="shared" si="821"/>
        <v>NA</v>
      </c>
      <c r="AF1004" s="1" t="s">
        <v>4414</v>
      </c>
    </row>
    <row r="1005" spans="1:32" x14ac:dyDescent="0.2">
      <c r="A1005" s="1" t="s">
        <v>5804</v>
      </c>
      <c r="B1005" s="1" t="s">
        <v>5</v>
      </c>
      <c r="C1005" s="1" t="s">
        <v>1575</v>
      </c>
      <c r="D1005" s="1" t="s">
        <v>1597</v>
      </c>
      <c r="E1005" s="1" t="s">
        <v>1660</v>
      </c>
      <c r="F1005" s="1" t="s">
        <v>16</v>
      </c>
      <c r="G1005" s="4">
        <v>0.5</v>
      </c>
      <c r="H1005" s="28">
        <v>41274</v>
      </c>
      <c r="I1005" s="29">
        <f t="shared" ref="I1005" si="841">YEAR(H1005)</f>
        <v>2012</v>
      </c>
      <c r="J1005" s="1" t="s">
        <v>7</v>
      </c>
      <c r="K1005" s="1" t="s">
        <v>1676</v>
      </c>
      <c r="L1005" s="11" t="str">
        <f t="shared" ref="L1005" si="842">IF(OR(A1005=J1005,A1005=K1005),"ДА","НЕТ")</f>
        <v>НЕТ</v>
      </c>
      <c r="M1005" s="10">
        <v>130</v>
      </c>
      <c r="N1005" s="10" t="s">
        <v>1575</v>
      </c>
      <c r="O1005" s="10">
        <f>M1005*30.3727/1000</f>
        <v>3.9484509999999995</v>
      </c>
      <c r="P1005" s="10">
        <f t="shared" si="807"/>
        <v>7.896901999999999</v>
      </c>
      <c r="Q1005" s="10" t="str">
        <f t="shared" si="808"/>
        <v>NA</v>
      </c>
      <c r="R1005" s="10">
        <f>69*30.3727/1000</f>
        <v>2.0957162999999999</v>
      </c>
      <c r="S1005" s="10" t="s">
        <v>1575</v>
      </c>
      <c r="T1005" s="10">
        <f>42*30.3727/1000</f>
        <v>1.2756533999999999</v>
      </c>
      <c r="U1005" s="10">
        <f>-64*30.3727/1000</f>
        <v>-1.9438527999999999</v>
      </c>
      <c r="V1005" s="10">
        <f>123*30.3727/1000</f>
        <v>3.7358420999999997</v>
      </c>
      <c r="W1005" s="10" t="s">
        <v>1575</v>
      </c>
      <c r="X1005" s="10" t="str">
        <f t="shared" si="814"/>
        <v>NA</v>
      </c>
      <c r="Y1005" s="10">
        <f t="shared" si="815"/>
        <v>3.7681159420289854</v>
      </c>
      <c r="Z1005" s="10">
        <f t="shared" si="816"/>
        <v>-4.0625</v>
      </c>
      <c r="AA1005" s="10">
        <f t="shared" si="817"/>
        <v>2.1138211382113821</v>
      </c>
      <c r="AB1005" s="10" t="str">
        <f t="shared" si="818"/>
        <v>NA</v>
      </c>
      <c r="AC1005" s="10" t="str">
        <f t="shared" si="819"/>
        <v>NA</v>
      </c>
      <c r="AD1005" s="10" t="str">
        <f t="shared" si="820"/>
        <v>NA</v>
      </c>
      <c r="AE1005" s="10" t="str">
        <f t="shared" si="821"/>
        <v>NA</v>
      </c>
      <c r="AF1005" s="1" t="s">
        <v>4425</v>
      </c>
    </row>
    <row r="1006" spans="1:32" x14ac:dyDescent="0.2">
      <c r="A1006" s="1" t="s">
        <v>4423</v>
      </c>
      <c r="B1006" s="1" t="s">
        <v>5</v>
      </c>
      <c r="C1006" s="1" t="s">
        <v>1575</v>
      </c>
      <c r="D1006" s="1" t="s">
        <v>1597</v>
      </c>
      <c r="E1006" s="1" t="s">
        <v>1660</v>
      </c>
      <c r="F1006" s="1" t="s">
        <v>16</v>
      </c>
      <c r="G1006" s="4" t="s">
        <v>11</v>
      </c>
      <c r="H1006" s="28">
        <v>41517</v>
      </c>
      <c r="I1006" s="29">
        <f t="shared" si="813"/>
        <v>2013</v>
      </c>
      <c r="J1006" s="1" t="s">
        <v>7</v>
      </c>
      <c r="K1006" s="1" t="s">
        <v>1676</v>
      </c>
      <c r="L1006" s="11" t="str">
        <f t="shared" si="840"/>
        <v>НЕТ</v>
      </c>
      <c r="M1006" s="10">
        <v>1973</v>
      </c>
      <c r="N1006" s="10" t="s">
        <v>1575</v>
      </c>
      <c r="O1006" s="10">
        <f>M1006*33.1783/1000</f>
        <v>65.460785900000005</v>
      </c>
      <c r="P1006" s="10" t="str">
        <f t="shared" si="807"/>
        <v>NA</v>
      </c>
      <c r="Q1006" s="10" t="str">
        <f t="shared" si="808"/>
        <v>NA</v>
      </c>
      <c r="R1006" s="10">
        <f>0.72*33.1783</f>
        <v>23.888376000000001</v>
      </c>
      <c r="S1006" s="10" t="s">
        <v>1575</v>
      </c>
      <c r="T1006" s="10">
        <f>0.328*33.1783</f>
        <v>10.882482400000001</v>
      </c>
      <c r="U1006" s="10">
        <f>0.804*33.1783</f>
        <v>26.6753532</v>
      </c>
      <c r="V1006" s="10">
        <f>1.293*33.1783</f>
        <v>42.899541899999996</v>
      </c>
      <c r="W1006" s="10" t="s">
        <v>1575</v>
      </c>
      <c r="X1006" s="10" t="str">
        <f t="shared" ref="X1006" si="843">IFERROR(V1006+W1006,"NA")</f>
        <v>NA</v>
      </c>
      <c r="Y1006" s="10" t="str">
        <f t="shared" ref="Y1006" si="844">IFERROR(P1006/R1006,"NA")</f>
        <v>NA</v>
      </c>
      <c r="Z1006" s="10" t="str">
        <f t="shared" ref="Z1006" si="845">IFERROR(P1006/U1006,"NA")</f>
        <v>NA</v>
      </c>
      <c r="AA1006" s="10" t="str">
        <f t="shared" ref="AA1006" si="846">IFERROR(P1006/V1006,"NA")</f>
        <v>NA</v>
      </c>
      <c r="AB1006" s="10" t="str">
        <f t="shared" ref="AB1006" si="847">IFERROR(Q1006/R1006,"NA")</f>
        <v>NA</v>
      </c>
      <c r="AC1006" s="10" t="str">
        <f t="shared" ref="AC1006" si="848">IFERROR(Q1006/S1006,"NA")</f>
        <v>NA</v>
      </c>
      <c r="AD1006" s="10" t="str">
        <f t="shared" ref="AD1006" si="849">IFERROR(Q1006/T1006,"NA")</f>
        <v>NA</v>
      </c>
      <c r="AE1006" s="10" t="str">
        <f t="shared" ref="AE1006" si="850">IFERROR(Q1006/X1006,"NA")</f>
        <v>NA</v>
      </c>
      <c r="AF1006" s="1" t="s">
        <v>4424</v>
      </c>
    </row>
    <row r="1007" spans="1:32" x14ac:dyDescent="0.2">
      <c r="A1007" s="1" t="s">
        <v>5805</v>
      </c>
      <c r="B1007" s="1" t="s">
        <v>5</v>
      </c>
      <c r="C1007" s="1" t="s">
        <v>1575</v>
      </c>
      <c r="D1007" s="1" t="s">
        <v>1597</v>
      </c>
      <c r="E1007" s="1" t="s">
        <v>1660</v>
      </c>
      <c r="F1007" s="1" t="s">
        <v>996</v>
      </c>
      <c r="G1007" s="4">
        <v>1</v>
      </c>
      <c r="H1007" s="28">
        <v>41394</v>
      </c>
      <c r="I1007" s="29">
        <f t="shared" si="813"/>
        <v>2013</v>
      </c>
      <c r="J1007" s="1" t="s">
        <v>1676</v>
      </c>
      <c r="K1007" s="1" t="s">
        <v>7</v>
      </c>
      <c r="L1007" s="11" t="str">
        <f t="shared" si="795"/>
        <v>НЕТ</v>
      </c>
      <c r="M1007" s="10">
        <v>7</v>
      </c>
      <c r="N1007" s="10" t="s">
        <v>1575</v>
      </c>
      <c r="O1007" s="10">
        <f>M1007*31.2559/1000</f>
        <v>0.21879129999999999</v>
      </c>
      <c r="P1007" s="10">
        <f t="shared" si="807"/>
        <v>0.21879129999999999</v>
      </c>
      <c r="Q1007" s="10" t="str">
        <f t="shared" si="808"/>
        <v>NA</v>
      </c>
      <c r="R1007" s="10" t="s">
        <v>1575</v>
      </c>
      <c r="S1007" s="10" t="s">
        <v>1575</v>
      </c>
      <c r="T1007" s="10" t="s">
        <v>1575</v>
      </c>
      <c r="U1007" s="10" t="s">
        <v>1575</v>
      </c>
      <c r="V1007" s="10" t="s">
        <v>1575</v>
      </c>
      <c r="W1007" s="10" t="s">
        <v>1575</v>
      </c>
      <c r="X1007" s="10" t="str">
        <f t="shared" si="814"/>
        <v>NA</v>
      </c>
      <c r="Y1007" s="10" t="str">
        <f t="shared" si="815"/>
        <v>NA</v>
      </c>
      <c r="Z1007" s="10" t="str">
        <f t="shared" si="816"/>
        <v>NA</v>
      </c>
      <c r="AA1007" s="10" t="str">
        <f t="shared" si="817"/>
        <v>NA</v>
      </c>
      <c r="AB1007" s="10" t="str">
        <f t="shared" si="818"/>
        <v>NA</v>
      </c>
      <c r="AC1007" s="10" t="str">
        <f t="shared" si="819"/>
        <v>NA</v>
      </c>
      <c r="AD1007" s="10" t="str">
        <f t="shared" si="820"/>
        <v>NA</v>
      </c>
      <c r="AE1007" s="10" t="str">
        <f t="shared" si="821"/>
        <v>NA</v>
      </c>
      <c r="AF1007" s="1" t="s">
        <v>1010</v>
      </c>
    </row>
    <row r="1008" spans="1:32" x14ac:dyDescent="0.2">
      <c r="A1008" s="1" t="s">
        <v>5806</v>
      </c>
      <c r="B1008" s="1" t="s">
        <v>5</v>
      </c>
      <c r="C1008" s="1" t="s">
        <v>1575</v>
      </c>
      <c r="D1008" s="1" t="s">
        <v>1597</v>
      </c>
      <c r="E1008" s="1" t="s">
        <v>1660</v>
      </c>
      <c r="F1008" s="1" t="s">
        <v>997</v>
      </c>
      <c r="G1008" s="4">
        <v>9.4999999999999998E-3</v>
      </c>
      <c r="H1008" s="28">
        <v>41639</v>
      </c>
      <c r="I1008" s="29">
        <f t="shared" si="813"/>
        <v>2013</v>
      </c>
      <c r="J1008" s="1" t="s">
        <v>5806</v>
      </c>
      <c r="K1008" s="1" t="s">
        <v>7</v>
      </c>
      <c r="L1008" s="11" t="str">
        <f t="shared" si="795"/>
        <v>ДА</v>
      </c>
      <c r="M1008" s="10" t="s">
        <v>1575</v>
      </c>
      <c r="N1008" s="10" t="s">
        <v>1575</v>
      </c>
      <c r="O1008" s="10" t="s">
        <v>1575</v>
      </c>
      <c r="P1008" s="10" t="str">
        <f t="shared" si="807"/>
        <v>NA</v>
      </c>
      <c r="Q1008" s="10" t="str">
        <f t="shared" si="808"/>
        <v>NA</v>
      </c>
      <c r="R1008" s="10" t="s">
        <v>1575</v>
      </c>
      <c r="S1008" s="10" t="s">
        <v>1575</v>
      </c>
      <c r="T1008" s="10" t="s">
        <v>1575</v>
      </c>
      <c r="U1008" s="10" t="s">
        <v>1575</v>
      </c>
      <c r="V1008" s="10" t="s">
        <v>1575</v>
      </c>
      <c r="W1008" s="10" t="s">
        <v>1575</v>
      </c>
      <c r="X1008" s="10" t="str">
        <f t="shared" si="814"/>
        <v>NA</v>
      </c>
      <c r="Y1008" s="10" t="str">
        <f t="shared" si="815"/>
        <v>NA</v>
      </c>
      <c r="Z1008" s="10" t="str">
        <f t="shared" si="816"/>
        <v>NA</v>
      </c>
      <c r="AA1008" s="10" t="str">
        <f t="shared" si="817"/>
        <v>NA</v>
      </c>
      <c r="AB1008" s="10" t="str">
        <f t="shared" si="818"/>
        <v>NA</v>
      </c>
      <c r="AC1008" s="10" t="str">
        <f t="shared" si="819"/>
        <v>NA</v>
      </c>
      <c r="AD1008" s="10" t="str">
        <f t="shared" si="820"/>
        <v>NA</v>
      </c>
      <c r="AE1008" s="10" t="str">
        <f t="shared" si="821"/>
        <v>NA</v>
      </c>
      <c r="AF1008" s="1" t="s">
        <v>1008</v>
      </c>
    </row>
    <row r="1009" spans="1:32" x14ac:dyDescent="0.2">
      <c r="A1009" s="1" t="s">
        <v>5807</v>
      </c>
      <c r="B1009" s="1" t="s">
        <v>5</v>
      </c>
      <c r="C1009" s="1" t="s">
        <v>1575</v>
      </c>
      <c r="D1009" s="1" t="s">
        <v>1597</v>
      </c>
      <c r="E1009" s="1" t="s">
        <v>1660</v>
      </c>
      <c r="F1009" s="1" t="s">
        <v>997</v>
      </c>
      <c r="G1009" s="4">
        <v>1.32E-2</v>
      </c>
      <c r="H1009" s="28">
        <v>41639</v>
      </c>
      <c r="I1009" s="29">
        <f t="shared" si="813"/>
        <v>2013</v>
      </c>
      <c r="J1009" s="1" t="s">
        <v>5807</v>
      </c>
      <c r="K1009" s="1" t="s">
        <v>7</v>
      </c>
      <c r="L1009" s="11" t="str">
        <f t="shared" si="795"/>
        <v>ДА</v>
      </c>
      <c r="M1009" s="10" t="s">
        <v>1575</v>
      </c>
      <c r="N1009" s="10" t="s">
        <v>1575</v>
      </c>
      <c r="O1009" s="10" t="s">
        <v>1575</v>
      </c>
      <c r="P1009" s="10" t="str">
        <f t="shared" si="807"/>
        <v>NA</v>
      </c>
      <c r="Q1009" s="10" t="str">
        <f t="shared" si="808"/>
        <v>NA</v>
      </c>
      <c r="R1009" s="10">
        <f>0.566*31.9063052845528</f>
        <v>18.058968791056884</v>
      </c>
      <c r="S1009" s="10" t="s">
        <v>1575</v>
      </c>
      <c r="T1009" s="10" t="s">
        <v>1575</v>
      </c>
      <c r="U1009" s="10">
        <f>0.048*31.9063052845528</f>
        <v>1.5315026536585346</v>
      </c>
      <c r="V1009" s="10">
        <f>0.529*32.7292</f>
        <v>17.313746800000001</v>
      </c>
      <c r="W1009" s="10" t="s">
        <v>1575</v>
      </c>
      <c r="X1009" s="10" t="str">
        <f t="shared" si="814"/>
        <v>NA</v>
      </c>
      <c r="Y1009" s="10" t="str">
        <f t="shared" si="815"/>
        <v>NA</v>
      </c>
      <c r="Z1009" s="10" t="str">
        <f t="shared" si="816"/>
        <v>NA</v>
      </c>
      <c r="AA1009" s="10" t="str">
        <f t="shared" si="817"/>
        <v>NA</v>
      </c>
      <c r="AB1009" s="10" t="str">
        <f t="shared" si="818"/>
        <v>NA</v>
      </c>
      <c r="AC1009" s="10" t="str">
        <f t="shared" si="819"/>
        <v>NA</v>
      </c>
      <c r="AD1009" s="10" t="str">
        <f t="shared" si="820"/>
        <v>NA</v>
      </c>
      <c r="AE1009" s="10" t="str">
        <f t="shared" si="821"/>
        <v>NA</v>
      </c>
      <c r="AF1009" s="1" t="s">
        <v>1008</v>
      </c>
    </row>
    <row r="1010" spans="1:32" x14ac:dyDescent="0.2">
      <c r="A1010" s="1" t="s">
        <v>1007</v>
      </c>
      <c r="B1010" s="1" t="s">
        <v>122</v>
      </c>
      <c r="C1010" s="1" t="s">
        <v>1575</v>
      </c>
      <c r="D1010" s="1" t="s">
        <v>1575</v>
      </c>
      <c r="E1010" s="1" t="s">
        <v>1575</v>
      </c>
      <c r="F1010" s="1" t="s">
        <v>1009</v>
      </c>
      <c r="G1010" s="4">
        <v>1</v>
      </c>
      <c r="H1010" s="28">
        <v>41578</v>
      </c>
      <c r="I1010" s="29">
        <f t="shared" si="813"/>
        <v>2013</v>
      </c>
      <c r="J1010" s="1" t="s">
        <v>7</v>
      </c>
      <c r="K1010" s="1" t="s">
        <v>1676</v>
      </c>
      <c r="L1010" s="11" t="str">
        <f t="shared" si="795"/>
        <v>НЕТ</v>
      </c>
      <c r="M1010" s="10" t="s">
        <v>1575</v>
      </c>
      <c r="N1010" s="10" t="s">
        <v>1575</v>
      </c>
      <c r="O1010" s="10" t="s">
        <v>1575</v>
      </c>
      <c r="P1010" s="10" t="str">
        <f t="shared" si="807"/>
        <v>NA</v>
      </c>
      <c r="Q1010" s="10" t="str">
        <f t="shared" si="808"/>
        <v>NA</v>
      </c>
      <c r="R1010" s="10" t="s">
        <v>1575</v>
      </c>
      <c r="S1010" s="10" t="s">
        <v>1575</v>
      </c>
      <c r="T1010" s="10" t="s">
        <v>1575</v>
      </c>
      <c r="U1010" s="10" t="s">
        <v>1575</v>
      </c>
      <c r="V1010" s="10" t="s">
        <v>1575</v>
      </c>
      <c r="W1010" s="10" t="s">
        <v>1575</v>
      </c>
      <c r="X1010" s="10" t="str">
        <f t="shared" si="814"/>
        <v>NA</v>
      </c>
      <c r="Y1010" s="10" t="str">
        <f t="shared" si="815"/>
        <v>NA</v>
      </c>
      <c r="Z1010" s="10" t="str">
        <f t="shared" si="816"/>
        <v>NA</v>
      </c>
      <c r="AA1010" s="10" t="str">
        <f t="shared" si="817"/>
        <v>NA</v>
      </c>
      <c r="AB1010" s="10" t="str">
        <f t="shared" si="818"/>
        <v>NA</v>
      </c>
      <c r="AC1010" s="10" t="str">
        <f t="shared" si="819"/>
        <v>NA</v>
      </c>
      <c r="AD1010" s="10" t="str">
        <f t="shared" si="820"/>
        <v>NA</v>
      </c>
      <c r="AE1010" s="10" t="str">
        <f t="shared" si="821"/>
        <v>NA</v>
      </c>
      <c r="AF1010" s="1" t="s">
        <v>1006</v>
      </c>
    </row>
    <row r="1011" spans="1:32" x14ac:dyDescent="0.2">
      <c r="A1011" s="1" t="s">
        <v>5808</v>
      </c>
      <c r="B1011" s="1" t="s">
        <v>5</v>
      </c>
      <c r="C1011" s="1" t="s">
        <v>1575</v>
      </c>
      <c r="D1011" s="1" t="s">
        <v>1597</v>
      </c>
      <c r="E1011" s="1" t="s">
        <v>1660</v>
      </c>
      <c r="F1011" s="1" t="s">
        <v>997</v>
      </c>
      <c r="G1011" s="4">
        <v>1</v>
      </c>
      <c r="H1011" s="28">
        <v>41639</v>
      </c>
      <c r="I1011" s="29">
        <f t="shared" si="813"/>
        <v>2013</v>
      </c>
      <c r="J1011" s="1" t="s">
        <v>5158</v>
      </c>
      <c r="K1011" s="1" t="s">
        <v>7</v>
      </c>
      <c r="L1011" s="11" t="str">
        <f t="shared" si="795"/>
        <v>НЕТ</v>
      </c>
      <c r="M1011" s="10">
        <v>100</v>
      </c>
      <c r="N1011" s="10" t="s">
        <v>1575</v>
      </c>
      <c r="O1011" s="10">
        <v>3.2869999999999999</v>
      </c>
      <c r="P1011" s="10">
        <f t="shared" si="807"/>
        <v>3.2869999999999999</v>
      </c>
      <c r="Q1011" s="10" t="str">
        <f t="shared" si="808"/>
        <v>NA</v>
      </c>
      <c r="R1011" s="10" t="s">
        <v>1575</v>
      </c>
      <c r="S1011" s="10" t="s">
        <v>1575</v>
      </c>
      <c r="T1011" s="10" t="s">
        <v>1575</v>
      </c>
      <c r="U1011" s="10" t="s">
        <v>1575</v>
      </c>
      <c r="V1011" s="10">
        <f>60*32.7292/1000</f>
        <v>1.9637519999999999</v>
      </c>
      <c r="W1011" s="10" t="s">
        <v>1575</v>
      </c>
      <c r="X1011" s="10" t="str">
        <f t="shared" si="814"/>
        <v>NA</v>
      </c>
      <c r="Y1011" s="10" t="str">
        <f t="shared" si="815"/>
        <v>NA</v>
      </c>
      <c r="Z1011" s="10" t="str">
        <f t="shared" si="816"/>
        <v>NA</v>
      </c>
      <c r="AA1011" s="10">
        <f t="shared" si="817"/>
        <v>1.6738366148067576</v>
      </c>
      <c r="AB1011" s="10" t="str">
        <f t="shared" si="818"/>
        <v>NA</v>
      </c>
      <c r="AC1011" s="10" t="str">
        <f t="shared" si="819"/>
        <v>NA</v>
      </c>
      <c r="AD1011" s="10" t="str">
        <f t="shared" si="820"/>
        <v>NA</v>
      </c>
      <c r="AE1011" s="10" t="str">
        <f t="shared" si="821"/>
        <v>NA</v>
      </c>
      <c r="AF1011" s="1" t="s">
        <v>1005</v>
      </c>
    </row>
    <row r="1012" spans="1:32" x14ac:dyDescent="0.2">
      <c r="A1012" s="1" t="s">
        <v>5809</v>
      </c>
      <c r="B1012" s="1" t="s">
        <v>5</v>
      </c>
      <c r="C1012" s="1" t="s">
        <v>1575</v>
      </c>
      <c r="D1012" s="1" t="s">
        <v>1580</v>
      </c>
      <c r="E1012" s="1" t="s">
        <v>1581</v>
      </c>
      <c r="F1012" s="1" t="s">
        <v>67</v>
      </c>
      <c r="G1012" s="4">
        <v>0.1731</v>
      </c>
      <c r="H1012" s="28">
        <v>41455</v>
      </c>
      <c r="I1012" s="29">
        <f t="shared" ref="I1012" si="851">YEAR(H1012)</f>
        <v>2013</v>
      </c>
      <c r="J1012" s="1" t="s">
        <v>5158</v>
      </c>
      <c r="K1012" s="1" t="s">
        <v>7</v>
      </c>
      <c r="L1012" s="11" t="str">
        <f t="shared" ref="L1012" si="852">IF(OR(A1012=J1012,A1012=K1012),"ДА","НЕТ")</f>
        <v>НЕТ</v>
      </c>
      <c r="M1012" s="10" t="s">
        <v>1575</v>
      </c>
      <c r="N1012" s="10" t="s">
        <v>1575</v>
      </c>
      <c r="O1012" s="10" t="s">
        <v>1575</v>
      </c>
      <c r="P1012" s="10" t="str">
        <f t="shared" si="807"/>
        <v>NA</v>
      </c>
      <c r="Q1012" s="10" t="str">
        <f t="shared" si="808"/>
        <v>NA</v>
      </c>
      <c r="R1012" s="10" t="s">
        <v>1575</v>
      </c>
      <c r="S1012" s="10" t="s">
        <v>1575</v>
      </c>
      <c r="T1012" s="10" t="s">
        <v>1575</v>
      </c>
      <c r="U1012" s="10" t="s">
        <v>1575</v>
      </c>
      <c r="V1012" s="10" t="s">
        <v>1575</v>
      </c>
      <c r="W1012" s="10" t="s">
        <v>1575</v>
      </c>
      <c r="X1012" s="10" t="str">
        <f t="shared" ref="X1012" si="853">IFERROR(V1012+W1012,"NA")</f>
        <v>NA</v>
      </c>
      <c r="Y1012" s="10" t="str">
        <f t="shared" ref="Y1012" si="854">IFERROR(P1012/R1012,"NA")</f>
        <v>NA</v>
      </c>
      <c r="Z1012" s="10" t="str">
        <f t="shared" ref="Z1012" si="855">IFERROR(P1012/U1012,"NA")</f>
        <v>NA</v>
      </c>
      <c r="AA1012" s="10" t="str">
        <f t="shared" ref="AA1012" si="856">IFERROR(P1012/V1012,"NA")</f>
        <v>NA</v>
      </c>
      <c r="AB1012" s="10" t="str">
        <f t="shared" ref="AB1012" si="857">IFERROR(Q1012/R1012,"NA")</f>
        <v>NA</v>
      </c>
      <c r="AC1012" s="10" t="str">
        <f t="shared" ref="AC1012" si="858">IFERROR(Q1012/S1012,"NA")</f>
        <v>NA</v>
      </c>
      <c r="AD1012" s="10" t="str">
        <f t="shared" ref="AD1012" si="859">IFERROR(Q1012/T1012,"NA")</f>
        <v>NA</v>
      </c>
      <c r="AE1012" s="10" t="str">
        <f t="shared" ref="AE1012" si="860">IFERROR(Q1012/X1012,"NA")</f>
        <v>NA</v>
      </c>
      <c r="AF1012" s="1" t="s">
        <v>5159</v>
      </c>
    </row>
    <row r="1013" spans="1:32" x14ac:dyDescent="0.2">
      <c r="A1013" s="1" t="s">
        <v>5806</v>
      </c>
      <c r="B1013" s="1" t="s">
        <v>5</v>
      </c>
      <c r="C1013" s="1" t="s">
        <v>1575</v>
      </c>
      <c r="D1013" s="1" t="s">
        <v>1597</v>
      </c>
      <c r="E1013" s="1" t="s">
        <v>1660</v>
      </c>
      <c r="F1013" s="1" t="s">
        <v>997</v>
      </c>
      <c r="G1013" s="4">
        <v>1.06E-2</v>
      </c>
      <c r="H1013" s="28">
        <v>42004</v>
      </c>
      <c r="I1013" s="29">
        <f t="shared" si="813"/>
        <v>2014</v>
      </c>
      <c r="J1013" s="1" t="s">
        <v>5806</v>
      </c>
      <c r="K1013" s="1" t="s">
        <v>7</v>
      </c>
      <c r="L1013" s="11" t="str">
        <f t="shared" si="795"/>
        <v>ДА</v>
      </c>
      <c r="M1013" s="10" t="s">
        <v>1575</v>
      </c>
      <c r="N1013" s="10" t="s">
        <v>1575</v>
      </c>
      <c r="O1013" s="10" t="s">
        <v>1575</v>
      </c>
      <c r="P1013" s="10" t="str">
        <f t="shared" si="807"/>
        <v>NA</v>
      </c>
      <c r="Q1013" s="10" t="str">
        <f t="shared" si="808"/>
        <v>NA</v>
      </c>
      <c r="R1013" s="10" t="s">
        <v>1575</v>
      </c>
      <c r="S1013" s="10" t="s">
        <v>1575</v>
      </c>
      <c r="T1013" s="10" t="s">
        <v>1575</v>
      </c>
      <c r="U1013" s="10" t="s">
        <v>1575</v>
      </c>
      <c r="V1013" s="10" t="s">
        <v>1575</v>
      </c>
      <c r="W1013" s="10" t="s">
        <v>1575</v>
      </c>
      <c r="X1013" s="10" t="str">
        <f t="shared" si="814"/>
        <v>NA</v>
      </c>
      <c r="Y1013" s="10" t="str">
        <f t="shared" si="815"/>
        <v>NA</v>
      </c>
      <c r="Z1013" s="10" t="str">
        <f t="shared" si="816"/>
        <v>NA</v>
      </c>
      <c r="AA1013" s="10" t="str">
        <f t="shared" si="817"/>
        <v>NA</v>
      </c>
      <c r="AB1013" s="10" t="str">
        <f t="shared" si="818"/>
        <v>NA</v>
      </c>
      <c r="AC1013" s="10" t="str">
        <f t="shared" si="819"/>
        <v>NA</v>
      </c>
      <c r="AD1013" s="10" t="str">
        <f t="shared" si="820"/>
        <v>NA</v>
      </c>
      <c r="AE1013" s="10" t="str">
        <f t="shared" si="821"/>
        <v>NA</v>
      </c>
      <c r="AF1013" s="1" t="s">
        <v>1004</v>
      </c>
    </row>
    <row r="1014" spans="1:32" x14ac:dyDescent="0.2">
      <c r="A1014" s="1" t="s">
        <v>5807</v>
      </c>
      <c r="B1014" s="1" t="s">
        <v>5</v>
      </c>
      <c r="C1014" s="1" t="s">
        <v>1575</v>
      </c>
      <c r="D1014" s="1" t="s">
        <v>1597</v>
      </c>
      <c r="E1014" s="1" t="s">
        <v>1660</v>
      </c>
      <c r="F1014" s="1" t="s">
        <v>997</v>
      </c>
      <c r="G1014" s="4">
        <v>1.7600000000000001E-2</v>
      </c>
      <c r="H1014" s="28">
        <v>42004</v>
      </c>
      <c r="I1014" s="29">
        <f t="shared" si="813"/>
        <v>2014</v>
      </c>
      <c r="J1014" s="1" t="s">
        <v>5807</v>
      </c>
      <c r="K1014" s="1" t="s">
        <v>7</v>
      </c>
      <c r="L1014" s="11" t="str">
        <f t="shared" si="795"/>
        <v>ДА</v>
      </c>
      <c r="M1014" s="10" t="s">
        <v>1575</v>
      </c>
      <c r="N1014" s="10" t="s">
        <v>1575</v>
      </c>
      <c r="O1014" s="10" t="s">
        <v>1575</v>
      </c>
      <c r="P1014" s="10" t="str">
        <f t="shared" si="807"/>
        <v>NA</v>
      </c>
      <c r="Q1014" s="10" t="str">
        <f t="shared" si="808"/>
        <v>NA</v>
      </c>
      <c r="R1014" s="10">
        <v>17.181000000000001</v>
      </c>
      <c r="S1014" s="10" t="s">
        <v>1575</v>
      </c>
      <c r="T1014" s="10" t="s">
        <v>1575</v>
      </c>
      <c r="U1014" s="10">
        <v>0.215</v>
      </c>
      <c r="V1014" s="10">
        <v>17.407</v>
      </c>
      <c r="W1014" s="10" t="s">
        <v>1575</v>
      </c>
      <c r="X1014" s="10" t="str">
        <f t="shared" si="814"/>
        <v>NA</v>
      </c>
      <c r="Y1014" s="10" t="str">
        <f t="shared" si="815"/>
        <v>NA</v>
      </c>
      <c r="Z1014" s="10" t="str">
        <f t="shared" si="816"/>
        <v>NA</v>
      </c>
      <c r="AA1014" s="10" t="str">
        <f t="shared" si="817"/>
        <v>NA</v>
      </c>
      <c r="AB1014" s="10" t="str">
        <f t="shared" si="818"/>
        <v>NA</v>
      </c>
      <c r="AC1014" s="10" t="str">
        <f t="shared" si="819"/>
        <v>NA</v>
      </c>
      <c r="AD1014" s="10" t="str">
        <f t="shared" si="820"/>
        <v>NA</v>
      </c>
      <c r="AE1014" s="10" t="str">
        <f t="shared" si="821"/>
        <v>NA</v>
      </c>
      <c r="AF1014" s="1" t="s">
        <v>1004</v>
      </c>
    </row>
    <row r="1015" spans="1:32" x14ac:dyDescent="0.2">
      <c r="A1015" s="1" t="s">
        <v>5810</v>
      </c>
      <c r="B1015" s="1" t="s">
        <v>5</v>
      </c>
      <c r="C1015" s="1" t="s">
        <v>1575</v>
      </c>
      <c r="D1015" s="1" t="s">
        <v>1597</v>
      </c>
      <c r="E1015" s="1" t="s">
        <v>1660</v>
      </c>
      <c r="F1015" s="1" t="s">
        <v>997</v>
      </c>
      <c r="G1015" s="4">
        <v>0.51</v>
      </c>
      <c r="H1015" s="28">
        <v>41973</v>
      </c>
      <c r="I1015" s="29">
        <f t="shared" si="813"/>
        <v>2014</v>
      </c>
      <c r="J1015" s="1" t="s">
        <v>1676</v>
      </c>
      <c r="K1015" s="1" t="s">
        <v>7</v>
      </c>
      <c r="L1015" s="11" t="str">
        <f t="shared" si="795"/>
        <v>НЕТ</v>
      </c>
      <c r="M1015" s="10">
        <v>24</v>
      </c>
      <c r="N1015" s="10" t="s">
        <v>1575</v>
      </c>
      <c r="O1015" s="10">
        <v>1.143</v>
      </c>
      <c r="P1015" s="10">
        <f t="shared" si="807"/>
        <v>2.2411764705882353</v>
      </c>
      <c r="Q1015" s="10" t="str">
        <f t="shared" si="808"/>
        <v>NA</v>
      </c>
      <c r="R1015" s="10" t="s">
        <v>1575</v>
      </c>
      <c r="S1015" s="10" t="s">
        <v>1575</v>
      </c>
      <c r="T1015" s="10" t="s">
        <v>1575</v>
      </c>
      <c r="U1015" s="10" t="s">
        <v>1575</v>
      </c>
      <c r="V1015" s="10">
        <v>2.2410000000000001</v>
      </c>
      <c r="W1015" s="10" t="s">
        <v>1575</v>
      </c>
      <c r="X1015" s="10" t="str">
        <f t="shared" si="814"/>
        <v>NA</v>
      </c>
      <c r="Y1015" s="10" t="str">
        <f t="shared" si="815"/>
        <v>NA</v>
      </c>
      <c r="Z1015" s="10" t="str">
        <f t="shared" si="816"/>
        <v>NA</v>
      </c>
      <c r="AA1015" s="10">
        <f t="shared" si="817"/>
        <v>1.000078746357981</v>
      </c>
      <c r="AB1015" s="10" t="str">
        <f t="shared" si="818"/>
        <v>NA</v>
      </c>
      <c r="AC1015" s="10" t="str">
        <f t="shared" si="819"/>
        <v>NA</v>
      </c>
      <c r="AD1015" s="10" t="str">
        <f t="shared" si="820"/>
        <v>NA</v>
      </c>
      <c r="AE1015" s="10" t="str">
        <f t="shared" si="821"/>
        <v>NA</v>
      </c>
      <c r="AF1015" s="1" t="s">
        <v>1003</v>
      </c>
    </row>
    <row r="1016" spans="1:32" x14ac:dyDescent="0.2">
      <c r="A1016" s="1" t="s">
        <v>5811</v>
      </c>
      <c r="B1016" s="1" t="s">
        <v>5</v>
      </c>
      <c r="C1016" s="1" t="s">
        <v>1575</v>
      </c>
      <c r="D1016" s="1" t="s">
        <v>1597</v>
      </c>
      <c r="E1016" s="1" t="s">
        <v>1660</v>
      </c>
      <c r="F1016" s="1" t="s">
        <v>997</v>
      </c>
      <c r="G1016" s="4">
        <v>0.51</v>
      </c>
      <c r="H1016" s="28">
        <v>41973</v>
      </c>
      <c r="I1016" s="29">
        <f t="shared" si="813"/>
        <v>2014</v>
      </c>
      <c r="J1016" s="1" t="s">
        <v>1676</v>
      </c>
      <c r="K1016" s="1" t="s">
        <v>7</v>
      </c>
      <c r="L1016" s="11" t="str">
        <f t="shared" si="795"/>
        <v>НЕТ</v>
      </c>
      <c r="M1016" s="10">
        <v>4</v>
      </c>
      <c r="N1016" s="10" t="s">
        <v>1575</v>
      </c>
      <c r="O1016" s="10">
        <v>0.17199999999999999</v>
      </c>
      <c r="P1016" s="10">
        <f t="shared" si="807"/>
        <v>0.33725490196078428</v>
      </c>
      <c r="Q1016" s="10" t="str">
        <f t="shared" si="808"/>
        <v>NA</v>
      </c>
      <c r="R1016" s="10" t="s">
        <v>1575</v>
      </c>
      <c r="S1016" s="10" t="s">
        <v>1575</v>
      </c>
      <c r="T1016" s="10" t="s">
        <v>1575</v>
      </c>
      <c r="U1016" s="10" t="s">
        <v>1575</v>
      </c>
      <c r="V1016" s="10">
        <v>0.38</v>
      </c>
      <c r="W1016" s="10" t="s">
        <v>1575</v>
      </c>
      <c r="X1016" s="10" t="str">
        <f t="shared" si="814"/>
        <v>NA</v>
      </c>
      <c r="Y1016" s="10" t="str">
        <f t="shared" si="815"/>
        <v>NA</v>
      </c>
      <c r="Z1016" s="10" t="str">
        <f t="shared" si="816"/>
        <v>NA</v>
      </c>
      <c r="AA1016" s="10">
        <f t="shared" si="817"/>
        <v>0.88751289989680071</v>
      </c>
      <c r="AB1016" s="10" t="str">
        <f t="shared" si="818"/>
        <v>NA</v>
      </c>
      <c r="AC1016" s="10" t="str">
        <f t="shared" si="819"/>
        <v>NA</v>
      </c>
      <c r="AD1016" s="10" t="str">
        <f t="shared" si="820"/>
        <v>NA</v>
      </c>
      <c r="AE1016" s="10" t="str">
        <f t="shared" si="821"/>
        <v>NA</v>
      </c>
      <c r="AF1016" s="1" t="s">
        <v>1003</v>
      </c>
    </row>
    <row r="1017" spans="1:32" x14ac:dyDescent="0.2">
      <c r="A1017" s="1" t="s">
        <v>1000</v>
      </c>
      <c r="B1017" s="1" t="s">
        <v>179</v>
      </c>
      <c r="C1017" s="1" t="s">
        <v>1575</v>
      </c>
      <c r="D1017" s="1" t="s">
        <v>1597</v>
      </c>
      <c r="E1017" s="1" t="s">
        <v>1660</v>
      </c>
      <c r="F1017" s="1" t="s">
        <v>1001</v>
      </c>
      <c r="G1017" s="4">
        <v>1</v>
      </c>
      <c r="H1017" s="28">
        <v>41698</v>
      </c>
      <c r="I1017" s="29">
        <f t="shared" si="813"/>
        <v>2014</v>
      </c>
      <c r="J1017" s="1" t="s">
        <v>1676</v>
      </c>
      <c r="K1017" s="1" t="s">
        <v>7</v>
      </c>
      <c r="L1017" s="11" t="str">
        <f t="shared" si="795"/>
        <v>НЕТ</v>
      </c>
      <c r="M1017" s="10">
        <v>870</v>
      </c>
      <c r="N1017" s="10" t="s">
        <v>1575</v>
      </c>
      <c r="O1017" s="10">
        <v>30.664999999999999</v>
      </c>
      <c r="P1017" s="10">
        <f t="shared" si="807"/>
        <v>30.664999999999999</v>
      </c>
      <c r="Q1017" s="10" t="str">
        <f t="shared" si="808"/>
        <v>NA</v>
      </c>
      <c r="R1017" s="10" t="s">
        <v>1575</v>
      </c>
      <c r="S1017" s="10" t="s">
        <v>1575</v>
      </c>
      <c r="T1017" s="10" t="s">
        <v>1575</v>
      </c>
      <c r="U1017" s="10" t="s">
        <v>1575</v>
      </c>
      <c r="V1017" s="10" t="s">
        <v>1575</v>
      </c>
      <c r="W1017" s="10" t="s">
        <v>1575</v>
      </c>
      <c r="X1017" s="10" t="str">
        <f t="shared" si="814"/>
        <v>NA</v>
      </c>
      <c r="Y1017" s="10" t="str">
        <f t="shared" si="815"/>
        <v>NA</v>
      </c>
      <c r="Z1017" s="10" t="str">
        <f t="shared" si="816"/>
        <v>NA</v>
      </c>
      <c r="AA1017" s="10" t="str">
        <f t="shared" si="817"/>
        <v>NA</v>
      </c>
      <c r="AB1017" s="10" t="str">
        <f t="shared" si="818"/>
        <v>NA</v>
      </c>
      <c r="AC1017" s="10" t="str">
        <f t="shared" si="819"/>
        <v>NA</v>
      </c>
      <c r="AD1017" s="10" t="str">
        <f t="shared" si="820"/>
        <v>NA</v>
      </c>
      <c r="AE1017" s="10" t="str">
        <f t="shared" si="821"/>
        <v>NA</v>
      </c>
      <c r="AF1017" s="1" t="s">
        <v>1002</v>
      </c>
    </row>
    <row r="1018" spans="1:32" x14ac:dyDescent="0.2">
      <c r="A1018" s="1" t="s">
        <v>5807</v>
      </c>
      <c r="B1018" s="1" t="s">
        <v>5</v>
      </c>
      <c r="C1018" s="1" t="s">
        <v>1575</v>
      </c>
      <c r="D1018" s="1" t="s">
        <v>1597</v>
      </c>
      <c r="E1018" s="1" t="s">
        <v>1660</v>
      </c>
      <c r="F1018" s="1" t="s">
        <v>997</v>
      </c>
      <c r="G1018" s="4">
        <v>0.41930000000000001</v>
      </c>
      <c r="H1018" s="28">
        <v>42308</v>
      </c>
      <c r="I1018" s="29">
        <f t="shared" si="813"/>
        <v>2015</v>
      </c>
      <c r="J1018" s="1" t="s">
        <v>1676</v>
      </c>
      <c r="K1018" s="1" t="s">
        <v>7</v>
      </c>
      <c r="L1018" s="11" t="str">
        <f t="shared" si="795"/>
        <v>НЕТ</v>
      </c>
      <c r="M1018" s="10" t="s">
        <v>1575</v>
      </c>
      <c r="N1018" s="10" t="s">
        <v>1575</v>
      </c>
      <c r="O1018" s="10">
        <v>1.732</v>
      </c>
      <c r="P1018" s="10">
        <f t="shared" si="807"/>
        <v>4.1306940138325778</v>
      </c>
      <c r="Q1018" s="10" t="str">
        <f t="shared" si="808"/>
        <v>NA</v>
      </c>
      <c r="R1018" s="10">
        <v>15.96</v>
      </c>
      <c r="S1018" s="10" t="s">
        <v>1575</v>
      </c>
      <c r="T1018" s="10" t="s">
        <v>1575</v>
      </c>
      <c r="U1018" s="10">
        <v>0.73</v>
      </c>
      <c r="V1018" s="10">
        <v>18.065000000000001</v>
      </c>
      <c r="W1018" s="10" t="s">
        <v>1575</v>
      </c>
      <c r="X1018" s="10" t="str">
        <f t="shared" si="814"/>
        <v>NA</v>
      </c>
      <c r="Y1018" s="10">
        <f t="shared" si="815"/>
        <v>0.25881541440053746</v>
      </c>
      <c r="Z1018" s="10">
        <f t="shared" si="816"/>
        <v>5.6584849504555859</v>
      </c>
      <c r="AA1018" s="10">
        <f t="shared" si="817"/>
        <v>0.22865729387393177</v>
      </c>
      <c r="AB1018" s="10" t="str">
        <f t="shared" si="818"/>
        <v>NA</v>
      </c>
      <c r="AC1018" s="10" t="str">
        <f t="shared" si="819"/>
        <v>NA</v>
      </c>
      <c r="AD1018" s="10" t="str">
        <f t="shared" si="820"/>
        <v>NA</v>
      </c>
      <c r="AE1018" s="10" t="str">
        <f t="shared" si="821"/>
        <v>NA</v>
      </c>
      <c r="AF1018" s="1" t="s">
        <v>999</v>
      </c>
    </row>
    <row r="1019" spans="1:32" x14ac:dyDescent="0.2">
      <c r="A1019" s="1" t="s">
        <v>5812</v>
      </c>
      <c r="B1019" s="1" t="s">
        <v>5</v>
      </c>
      <c r="C1019" s="1" t="s">
        <v>1575</v>
      </c>
      <c r="D1019" s="1" t="s">
        <v>1597</v>
      </c>
      <c r="E1019" s="1" t="s">
        <v>1660</v>
      </c>
      <c r="F1019" s="1" t="s">
        <v>996</v>
      </c>
      <c r="G1019" s="4">
        <v>0.49</v>
      </c>
      <c r="H1019" s="28">
        <v>42308</v>
      </c>
      <c r="I1019" s="29">
        <f t="shared" si="813"/>
        <v>2015</v>
      </c>
      <c r="J1019" s="1" t="s">
        <v>1676</v>
      </c>
      <c r="K1019" s="1" t="s">
        <v>7</v>
      </c>
      <c r="L1019" s="11" t="str">
        <f t="shared" ref="L1019:L1089" si="861">IF(OR(A1019=J1019,A1019=K1019),"ДА","НЕТ")</f>
        <v>НЕТ</v>
      </c>
      <c r="M1019" s="10" t="s">
        <v>1575</v>
      </c>
      <c r="N1019" s="10" t="s">
        <v>1575</v>
      </c>
      <c r="O1019" s="10">
        <v>2.6240000000000001</v>
      </c>
      <c r="P1019" s="10">
        <f t="shared" si="807"/>
        <v>5.3551020408163268</v>
      </c>
      <c r="Q1019" s="10" t="str">
        <f t="shared" si="808"/>
        <v>NA</v>
      </c>
      <c r="R1019" s="10">
        <v>12.862</v>
      </c>
      <c r="S1019" s="10" t="s">
        <v>1575</v>
      </c>
      <c r="T1019" s="10" t="s">
        <v>1575</v>
      </c>
      <c r="U1019" s="10">
        <v>1.286</v>
      </c>
      <c r="V1019" s="10">
        <v>10.866</v>
      </c>
      <c r="W1019" s="10" t="s">
        <v>1575</v>
      </c>
      <c r="X1019" s="10" t="str">
        <f t="shared" si="814"/>
        <v>NA</v>
      </c>
      <c r="Y1019" s="10">
        <f t="shared" si="815"/>
        <v>0.41635064848517545</v>
      </c>
      <c r="Z1019" s="10">
        <f t="shared" si="816"/>
        <v>4.1641539975243598</v>
      </c>
      <c r="AA1019" s="10">
        <f t="shared" si="817"/>
        <v>0.49283103633501996</v>
      </c>
      <c r="AB1019" s="10" t="str">
        <f t="shared" si="818"/>
        <v>NA</v>
      </c>
      <c r="AC1019" s="10" t="str">
        <f t="shared" si="819"/>
        <v>NA</v>
      </c>
      <c r="AD1019" s="10" t="str">
        <f t="shared" si="820"/>
        <v>NA</v>
      </c>
      <c r="AE1019" s="10" t="str">
        <f t="shared" si="821"/>
        <v>NA</v>
      </c>
      <c r="AF1019" s="1" t="s">
        <v>999</v>
      </c>
    </row>
    <row r="1020" spans="1:32" x14ac:dyDescent="0.2">
      <c r="A1020" s="1" t="s">
        <v>5813</v>
      </c>
      <c r="B1020" s="1" t="s">
        <v>5</v>
      </c>
      <c r="C1020" s="1" t="s">
        <v>1575</v>
      </c>
      <c r="D1020" s="1" t="s">
        <v>1597</v>
      </c>
      <c r="E1020" s="1" t="s">
        <v>1660</v>
      </c>
      <c r="F1020" s="1" t="s">
        <v>996</v>
      </c>
      <c r="G1020" s="4">
        <v>0.49</v>
      </c>
      <c r="H1020" s="28">
        <v>42308</v>
      </c>
      <c r="I1020" s="29">
        <f t="shared" si="813"/>
        <v>2015</v>
      </c>
      <c r="J1020" s="1" t="s">
        <v>1676</v>
      </c>
      <c r="K1020" s="1" t="s">
        <v>7</v>
      </c>
      <c r="L1020" s="11" t="str">
        <f t="shared" si="861"/>
        <v>НЕТ</v>
      </c>
      <c r="M1020" s="10" t="s">
        <v>1575</v>
      </c>
      <c r="N1020" s="10" t="s">
        <v>1575</v>
      </c>
      <c r="O1020" s="10">
        <v>0.33900000000000002</v>
      </c>
      <c r="P1020" s="10">
        <f t="shared" si="807"/>
        <v>0.69183673469387763</v>
      </c>
      <c r="Q1020" s="10" t="str">
        <f t="shared" si="808"/>
        <v>NA</v>
      </c>
      <c r="R1020" s="10">
        <v>20.172999999999998</v>
      </c>
      <c r="S1020" s="10" t="s">
        <v>1575</v>
      </c>
      <c r="T1020" s="10" t="s">
        <v>1575</v>
      </c>
      <c r="U1020" s="10">
        <v>1.3080000000000001</v>
      </c>
      <c r="V1020" s="10">
        <v>3.6139999999999999</v>
      </c>
      <c r="W1020" s="10" t="s">
        <v>1575</v>
      </c>
      <c r="X1020" s="10" t="str">
        <f t="shared" si="814"/>
        <v>NA</v>
      </c>
      <c r="Y1020" s="10">
        <f t="shared" si="815"/>
        <v>3.4295183398298602E-2</v>
      </c>
      <c r="Z1020" s="10">
        <f t="shared" si="816"/>
        <v>0.52892716719715416</v>
      </c>
      <c r="AA1020" s="10">
        <f t="shared" si="817"/>
        <v>0.19143241137074646</v>
      </c>
      <c r="AB1020" s="10" t="str">
        <f t="shared" si="818"/>
        <v>NA</v>
      </c>
      <c r="AC1020" s="10" t="str">
        <f t="shared" si="819"/>
        <v>NA</v>
      </c>
      <c r="AD1020" s="10" t="str">
        <f t="shared" si="820"/>
        <v>NA</v>
      </c>
      <c r="AE1020" s="10" t="str">
        <f t="shared" si="821"/>
        <v>NA</v>
      </c>
      <c r="AF1020" s="1" t="s">
        <v>999</v>
      </c>
    </row>
    <row r="1021" spans="1:32" x14ac:dyDescent="0.2">
      <c r="A1021" s="1" t="s">
        <v>5814</v>
      </c>
      <c r="B1021" s="1" t="s">
        <v>5</v>
      </c>
      <c r="C1021" s="1" t="s">
        <v>1575</v>
      </c>
      <c r="D1021" s="1" t="s">
        <v>1597</v>
      </c>
      <c r="E1021" s="1" t="s">
        <v>1660</v>
      </c>
      <c r="F1021" s="1" t="s">
        <v>996</v>
      </c>
      <c r="G1021" s="4">
        <v>0.45300000000000001</v>
      </c>
      <c r="H1021" s="28">
        <v>42308</v>
      </c>
      <c r="I1021" s="29">
        <f t="shared" si="813"/>
        <v>2015</v>
      </c>
      <c r="J1021" s="1" t="s">
        <v>1676</v>
      </c>
      <c r="K1021" s="1" t="s">
        <v>7</v>
      </c>
      <c r="L1021" s="11" t="str">
        <f t="shared" si="861"/>
        <v>НЕТ</v>
      </c>
      <c r="M1021" s="10" t="s">
        <v>1575</v>
      </c>
      <c r="N1021" s="10" t="s">
        <v>1575</v>
      </c>
      <c r="O1021" s="10">
        <v>0.16300000000000001</v>
      </c>
      <c r="P1021" s="10">
        <f t="shared" si="807"/>
        <v>0.3598233995584989</v>
      </c>
      <c r="Q1021" s="10" t="str">
        <f t="shared" si="808"/>
        <v>NA</v>
      </c>
      <c r="R1021" s="10" t="s">
        <v>1575</v>
      </c>
      <c r="S1021" s="10" t="s">
        <v>1575</v>
      </c>
      <c r="T1021" s="10" t="s">
        <v>1575</v>
      </c>
      <c r="U1021" s="10" t="s">
        <v>1575</v>
      </c>
      <c r="V1021" s="10" t="s">
        <v>1575</v>
      </c>
      <c r="W1021" s="10" t="s">
        <v>1575</v>
      </c>
      <c r="X1021" s="10" t="str">
        <f t="shared" si="814"/>
        <v>NA</v>
      </c>
      <c r="Y1021" s="10" t="str">
        <f t="shared" si="815"/>
        <v>NA</v>
      </c>
      <c r="Z1021" s="10" t="str">
        <f t="shared" si="816"/>
        <v>NA</v>
      </c>
      <c r="AA1021" s="10" t="str">
        <f t="shared" si="817"/>
        <v>NA</v>
      </c>
      <c r="AB1021" s="10" t="str">
        <f t="shared" si="818"/>
        <v>NA</v>
      </c>
      <c r="AC1021" s="10" t="str">
        <f t="shared" si="819"/>
        <v>NA</v>
      </c>
      <c r="AD1021" s="10" t="str">
        <f t="shared" si="820"/>
        <v>NA</v>
      </c>
      <c r="AE1021" s="10" t="str">
        <f t="shared" si="821"/>
        <v>NA</v>
      </c>
      <c r="AF1021" s="1" t="s">
        <v>999</v>
      </c>
    </row>
    <row r="1022" spans="1:32" x14ac:dyDescent="0.2">
      <c r="A1022" s="1" t="s">
        <v>5815</v>
      </c>
      <c r="B1022" s="1" t="s">
        <v>5</v>
      </c>
      <c r="C1022" s="1" t="s">
        <v>1575</v>
      </c>
      <c r="D1022" s="1" t="s">
        <v>1597</v>
      </c>
      <c r="E1022" s="1" t="s">
        <v>1660</v>
      </c>
      <c r="F1022" s="1" t="s">
        <v>996</v>
      </c>
      <c r="G1022" s="4">
        <v>0.49</v>
      </c>
      <c r="H1022" s="28">
        <v>42308</v>
      </c>
      <c r="I1022" s="29">
        <f t="shared" si="813"/>
        <v>2015</v>
      </c>
      <c r="J1022" s="1" t="s">
        <v>1676</v>
      </c>
      <c r="K1022" s="1" t="s">
        <v>7</v>
      </c>
      <c r="L1022" s="11" t="str">
        <f t="shared" si="861"/>
        <v>НЕТ</v>
      </c>
      <c r="M1022" s="10" t="s">
        <v>1575</v>
      </c>
      <c r="N1022" s="10" t="s">
        <v>1575</v>
      </c>
      <c r="O1022" s="10">
        <v>0.27400000000000002</v>
      </c>
      <c r="P1022" s="10">
        <f t="shared" si="807"/>
        <v>0.5591836734693878</v>
      </c>
      <c r="Q1022" s="10" t="str">
        <f t="shared" si="808"/>
        <v>NA</v>
      </c>
      <c r="R1022" s="10">
        <v>9.4870000000000001</v>
      </c>
      <c r="S1022" s="10" t="s">
        <v>1575</v>
      </c>
      <c r="T1022" s="10" t="s">
        <v>1575</v>
      </c>
      <c r="U1022" s="10">
        <v>-0.625</v>
      </c>
      <c r="V1022" s="10">
        <v>2.8119999999999998</v>
      </c>
      <c r="W1022" s="10" t="s">
        <v>1575</v>
      </c>
      <c r="X1022" s="10" t="str">
        <f t="shared" si="814"/>
        <v>NA</v>
      </c>
      <c r="Y1022" s="10">
        <f t="shared" si="815"/>
        <v>5.8942096918877175E-2</v>
      </c>
      <c r="Z1022" s="10">
        <f t="shared" si="816"/>
        <v>-0.89469387755102048</v>
      </c>
      <c r="AA1022" s="10">
        <f t="shared" si="817"/>
        <v>0.19885621389380789</v>
      </c>
      <c r="AB1022" s="10" t="str">
        <f t="shared" si="818"/>
        <v>NA</v>
      </c>
      <c r="AC1022" s="10" t="str">
        <f t="shared" si="819"/>
        <v>NA</v>
      </c>
      <c r="AD1022" s="10" t="str">
        <f t="shared" si="820"/>
        <v>NA</v>
      </c>
      <c r="AE1022" s="10" t="str">
        <f t="shared" si="821"/>
        <v>NA</v>
      </c>
      <c r="AF1022" s="1" t="s">
        <v>999</v>
      </c>
    </row>
    <row r="1023" spans="1:32" x14ac:dyDescent="0.2">
      <c r="A1023" s="1" t="s">
        <v>5816</v>
      </c>
      <c r="B1023" s="1" t="s">
        <v>5</v>
      </c>
      <c r="C1023" s="1" t="s">
        <v>1575</v>
      </c>
      <c r="D1023" s="1" t="s">
        <v>1597</v>
      </c>
      <c r="E1023" s="1" t="s">
        <v>1660</v>
      </c>
      <c r="F1023" s="1" t="s">
        <v>996</v>
      </c>
      <c r="G1023" s="4">
        <v>0.45</v>
      </c>
      <c r="H1023" s="28">
        <v>42308</v>
      </c>
      <c r="I1023" s="29">
        <f t="shared" si="813"/>
        <v>2015</v>
      </c>
      <c r="J1023" s="1" t="s">
        <v>1676</v>
      </c>
      <c r="K1023" s="1" t="s">
        <v>7</v>
      </c>
      <c r="L1023" s="11" t="str">
        <f t="shared" si="861"/>
        <v>НЕТ</v>
      </c>
      <c r="M1023" s="10" t="s">
        <v>1575</v>
      </c>
      <c r="N1023" s="10" t="s">
        <v>1575</v>
      </c>
      <c r="O1023" s="10">
        <v>0.376</v>
      </c>
      <c r="P1023" s="10">
        <f t="shared" si="807"/>
        <v>0.8355555555555555</v>
      </c>
      <c r="Q1023" s="10" t="str">
        <f t="shared" si="808"/>
        <v>NA</v>
      </c>
      <c r="R1023" s="10" t="s">
        <v>1575</v>
      </c>
      <c r="S1023" s="10" t="s">
        <v>1575</v>
      </c>
      <c r="T1023" s="10" t="s">
        <v>1575</v>
      </c>
      <c r="U1023" s="10" t="s">
        <v>1575</v>
      </c>
      <c r="V1023" s="10" t="s">
        <v>1575</v>
      </c>
      <c r="W1023" s="10" t="s">
        <v>1575</v>
      </c>
      <c r="X1023" s="10" t="str">
        <f t="shared" si="814"/>
        <v>NA</v>
      </c>
      <c r="Y1023" s="10" t="str">
        <f t="shared" si="815"/>
        <v>NA</v>
      </c>
      <c r="Z1023" s="10" t="str">
        <f t="shared" si="816"/>
        <v>NA</v>
      </c>
      <c r="AA1023" s="10" t="str">
        <f t="shared" si="817"/>
        <v>NA</v>
      </c>
      <c r="AB1023" s="10" t="str">
        <f t="shared" si="818"/>
        <v>NA</v>
      </c>
      <c r="AC1023" s="10" t="str">
        <f t="shared" si="819"/>
        <v>NA</v>
      </c>
      <c r="AD1023" s="10" t="str">
        <f t="shared" si="820"/>
        <v>NA</v>
      </c>
      <c r="AE1023" s="10" t="str">
        <f t="shared" si="821"/>
        <v>NA</v>
      </c>
      <c r="AF1023" s="1" t="s">
        <v>999</v>
      </c>
    </row>
    <row r="1024" spans="1:32" x14ac:dyDescent="0.2">
      <c r="A1024" s="1" t="s">
        <v>5817</v>
      </c>
      <c r="B1024" s="1" t="s">
        <v>5</v>
      </c>
      <c r="C1024" s="1" t="s">
        <v>1575</v>
      </c>
      <c r="D1024" s="1" t="s">
        <v>1597</v>
      </c>
      <c r="E1024" s="1" t="s">
        <v>1660</v>
      </c>
      <c r="F1024" s="1" t="s">
        <v>996</v>
      </c>
      <c r="G1024" s="4">
        <v>0.49</v>
      </c>
      <c r="H1024" s="28">
        <v>42308</v>
      </c>
      <c r="I1024" s="29">
        <f t="shared" si="813"/>
        <v>2015</v>
      </c>
      <c r="J1024" s="1" t="s">
        <v>1676</v>
      </c>
      <c r="K1024" s="1" t="s">
        <v>7</v>
      </c>
      <c r="L1024" s="11" t="str">
        <f t="shared" si="861"/>
        <v>НЕТ</v>
      </c>
      <c r="M1024" s="10" t="s">
        <v>1575</v>
      </c>
      <c r="N1024" s="10" t="s">
        <v>1575</v>
      </c>
      <c r="O1024" s="10">
        <v>8.0000000000000002E-3</v>
      </c>
      <c r="P1024" s="10">
        <f t="shared" si="807"/>
        <v>1.6326530612244899E-2</v>
      </c>
      <c r="Q1024" s="10" t="str">
        <f t="shared" si="808"/>
        <v>NA</v>
      </c>
      <c r="R1024" s="10" t="s">
        <v>1575</v>
      </c>
      <c r="S1024" s="10" t="s">
        <v>1575</v>
      </c>
      <c r="T1024" s="10" t="s">
        <v>1575</v>
      </c>
      <c r="U1024" s="10" t="s">
        <v>1575</v>
      </c>
      <c r="V1024" s="10" t="s">
        <v>1575</v>
      </c>
      <c r="W1024" s="10" t="s">
        <v>1575</v>
      </c>
      <c r="X1024" s="10" t="str">
        <f t="shared" si="814"/>
        <v>NA</v>
      </c>
      <c r="Y1024" s="10" t="str">
        <f t="shared" si="815"/>
        <v>NA</v>
      </c>
      <c r="Z1024" s="10" t="str">
        <f t="shared" si="816"/>
        <v>NA</v>
      </c>
      <c r="AA1024" s="10" t="str">
        <f t="shared" si="817"/>
        <v>NA</v>
      </c>
      <c r="AB1024" s="10" t="str">
        <f t="shared" si="818"/>
        <v>NA</v>
      </c>
      <c r="AC1024" s="10" t="str">
        <f t="shared" si="819"/>
        <v>NA</v>
      </c>
      <c r="AD1024" s="10" t="str">
        <f t="shared" si="820"/>
        <v>NA</v>
      </c>
      <c r="AE1024" s="10" t="str">
        <f t="shared" si="821"/>
        <v>NA</v>
      </c>
      <c r="AF1024" s="1" t="s">
        <v>999</v>
      </c>
    </row>
    <row r="1025" spans="1:32" x14ac:dyDescent="0.2">
      <c r="A1025" s="1" t="s">
        <v>5818</v>
      </c>
      <c r="B1025" s="1" t="s">
        <v>5</v>
      </c>
      <c r="C1025" s="1" t="s">
        <v>1575</v>
      </c>
      <c r="D1025" s="1" t="s">
        <v>1597</v>
      </c>
      <c r="E1025" s="1" t="s">
        <v>1660</v>
      </c>
      <c r="F1025" s="1" t="s">
        <v>996</v>
      </c>
      <c r="G1025" s="4">
        <v>0.49</v>
      </c>
      <c r="H1025" s="28">
        <v>42308</v>
      </c>
      <c r="I1025" s="29">
        <f t="shared" si="813"/>
        <v>2015</v>
      </c>
      <c r="J1025" s="1" t="s">
        <v>1676</v>
      </c>
      <c r="K1025" s="1" t="s">
        <v>7</v>
      </c>
      <c r="L1025" s="11" t="str">
        <f t="shared" si="861"/>
        <v>НЕТ</v>
      </c>
      <c r="M1025" s="10" t="s">
        <v>1575</v>
      </c>
      <c r="N1025" s="10" t="s">
        <v>1575</v>
      </c>
      <c r="O1025" s="10">
        <v>3.6999999999999998E-2</v>
      </c>
      <c r="P1025" s="10">
        <f t="shared" si="807"/>
        <v>7.5510204081632656E-2</v>
      </c>
      <c r="Q1025" s="10" t="str">
        <f t="shared" si="808"/>
        <v>NA</v>
      </c>
      <c r="R1025" s="10" t="s">
        <v>1575</v>
      </c>
      <c r="S1025" s="10" t="s">
        <v>1575</v>
      </c>
      <c r="T1025" s="10" t="s">
        <v>1575</v>
      </c>
      <c r="U1025" s="10" t="s">
        <v>1575</v>
      </c>
      <c r="V1025" s="10" t="s">
        <v>1575</v>
      </c>
      <c r="W1025" s="10" t="s">
        <v>1575</v>
      </c>
      <c r="X1025" s="10" t="str">
        <f t="shared" si="814"/>
        <v>NA</v>
      </c>
      <c r="Y1025" s="10" t="str">
        <f t="shared" si="815"/>
        <v>NA</v>
      </c>
      <c r="Z1025" s="10" t="str">
        <f t="shared" si="816"/>
        <v>NA</v>
      </c>
      <c r="AA1025" s="10" t="str">
        <f t="shared" si="817"/>
        <v>NA</v>
      </c>
      <c r="AB1025" s="10" t="str">
        <f t="shared" si="818"/>
        <v>NA</v>
      </c>
      <c r="AC1025" s="10" t="str">
        <f t="shared" si="819"/>
        <v>NA</v>
      </c>
      <c r="AD1025" s="10" t="str">
        <f t="shared" si="820"/>
        <v>NA</v>
      </c>
      <c r="AE1025" s="10" t="str">
        <f t="shared" si="821"/>
        <v>NA</v>
      </c>
      <c r="AF1025" s="1" t="s">
        <v>999</v>
      </c>
    </row>
    <row r="1026" spans="1:32" x14ac:dyDescent="0.2">
      <c r="A1026" s="1" t="s">
        <v>5806</v>
      </c>
      <c r="B1026" s="1" t="s">
        <v>5</v>
      </c>
      <c r="C1026" s="1" t="s">
        <v>1575</v>
      </c>
      <c r="D1026" s="1" t="s">
        <v>1597</v>
      </c>
      <c r="E1026" s="1" t="s">
        <v>1660</v>
      </c>
      <c r="F1026" s="1" t="s">
        <v>997</v>
      </c>
      <c r="G1026" s="4">
        <v>1.201E-2</v>
      </c>
      <c r="H1026" s="28">
        <v>42369</v>
      </c>
      <c r="I1026" s="29">
        <f t="shared" si="813"/>
        <v>2015</v>
      </c>
      <c r="J1026" s="1" t="s">
        <v>5806</v>
      </c>
      <c r="K1026" s="1" t="s">
        <v>7</v>
      </c>
      <c r="L1026" s="11" t="str">
        <f t="shared" si="861"/>
        <v>ДА</v>
      </c>
      <c r="M1026" s="10" t="s">
        <v>1575</v>
      </c>
      <c r="N1026" s="10" t="s">
        <v>1575</v>
      </c>
      <c r="O1026" s="10">
        <v>1.9E-2</v>
      </c>
      <c r="P1026" s="10">
        <f t="shared" si="807"/>
        <v>1.5820149875104079</v>
      </c>
      <c r="Q1026" s="10" t="str">
        <f t="shared" si="808"/>
        <v>NA</v>
      </c>
      <c r="R1026" s="10" t="s">
        <v>1575</v>
      </c>
      <c r="S1026" s="10" t="s">
        <v>1575</v>
      </c>
      <c r="T1026" s="10" t="s">
        <v>1575</v>
      </c>
      <c r="U1026" s="10" t="s">
        <v>1575</v>
      </c>
      <c r="V1026" s="10" t="s">
        <v>1575</v>
      </c>
      <c r="W1026" s="10" t="s">
        <v>1575</v>
      </c>
      <c r="X1026" s="10" t="str">
        <f t="shared" si="814"/>
        <v>NA</v>
      </c>
      <c r="Y1026" s="10" t="str">
        <f t="shared" si="815"/>
        <v>NA</v>
      </c>
      <c r="Z1026" s="10" t="str">
        <f t="shared" si="816"/>
        <v>NA</v>
      </c>
      <c r="AA1026" s="10" t="str">
        <f t="shared" si="817"/>
        <v>NA</v>
      </c>
      <c r="AB1026" s="10" t="str">
        <f t="shared" si="818"/>
        <v>NA</v>
      </c>
      <c r="AC1026" s="10" t="str">
        <f t="shared" si="819"/>
        <v>NA</v>
      </c>
      <c r="AD1026" s="10" t="str">
        <f t="shared" si="820"/>
        <v>NA</v>
      </c>
      <c r="AE1026" s="10" t="str">
        <f t="shared" si="821"/>
        <v>NA</v>
      </c>
      <c r="AF1026" s="1" t="s">
        <v>4421</v>
      </c>
    </row>
    <row r="1027" spans="1:32" x14ac:dyDescent="0.2">
      <c r="A1027" s="1" t="s">
        <v>1676</v>
      </c>
      <c r="B1027" s="1" t="s">
        <v>5</v>
      </c>
      <c r="C1027" s="1" t="s">
        <v>4245</v>
      </c>
      <c r="D1027" s="1" t="s">
        <v>1597</v>
      </c>
      <c r="E1027" s="1" t="s">
        <v>3028</v>
      </c>
      <c r="F1027" s="1" t="s">
        <v>14</v>
      </c>
      <c r="G1027" s="4">
        <v>0.2</v>
      </c>
      <c r="H1027" s="28">
        <v>42735</v>
      </c>
      <c r="I1027" s="29">
        <f t="shared" si="813"/>
        <v>2016</v>
      </c>
      <c r="J1027" s="1" t="s">
        <v>7</v>
      </c>
      <c r="K1027" s="1" t="s">
        <v>1676</v>
      </c>
      <c r="L1027" s="11" t="str">
        <f t="shared" si="861"/>
        <v>ДА</v>
      </c>
      <c r="M1027" s="10" t="s">
        <v>1575</v>
      </c>
      <c r="N1027" s="10" t="s">
        <v>1575</v>
      </c>
      <c r="O1027" s="10">
        <v>32.351999999999997</v>
      </c>
      <c r="P1027" s="10">
        <f t="shared" ref="P1027:P1090" si="862">IFERROR(O1027/G1027,"NA")</f>
        <v>161.75999999999996</v>
      </c>
      <c r="Q1027" s="10">
        <f t="shared" ref="Q1027:Q1090" si="863">IFERROR(P1027+W1027,"NA")</f>
        <v>205.84699999999995</v>
      </c>
      <c r="R1027" s="10">
        <v>105.003</v>
      </c>
      <c r="S1027" s="10">
        <v>25.14</v>
      </c>
      <c r="T1027" s="10">
        <v>14.712000000000002</v>
      </c>
      <c r="U1027" s="10">
        <v>13.436999999999999</v>
      </c>
      <c r="V1027" s="10">
        <v>61.707000000000008</v>
      </c>
      <c r="W1027" s="10">
        <v>44.086999999999989</v>
      </c>
      <c r="X1027" s="10">
        <f t="shared" si="814"/>
        <v>105.794</v>
      </c>
      <c r="Y1027" s="10">
        <f t="shared" si="815"/>
        <v>1.5405274135024709</v>
      </c>
      <c r="Z1027" s="10">
        <f t="shared" si="816"/>
        <v>12.038401428890374</v>
      </c>
      <c r="AA1027" s="10">
        <f t="shared" si="817"/>
        <v>2.6214205843745431</v>
      </c>
      <c r="AB1027" s="10">
        <f t="shared" si="818"/>
        <v>1.9603916078588226</v>
      </c>
      <c r="AC1027" s="10">
        <f t="shared" si="819"/>
        <v>8.1880270485282391</v>
      </c>
      <c r="AD1027" s="10">
        <f t="shared" si="820"/>
        <v>13.991775421424682</v>
      </c>
      <c r="AE1027" s="10">
        <f t="shared" si="821"/>
        <v>1.9457341626179174</v>
      </c>
      <c r="AF1027" s="1" t="s">
        <v>4422</v>
      </c>
    </row>
    <row r="1028" spans="1:32" x14ac:dyDescent="0.2">
      <c r="A1028" s="1" t="s">
        <v>5807</v>
      </c>
      <c r="B1028" s="1" t="s">
        <v>5</v>
      </c>
      <c r="C1028" s="1" t="s">
        <v>1575</v>
      </c>
      <c r="D1028" s="1" t="s">
        <v>1597</v>
      </c>
      <c r="E1028" s="1" t="s">
        <v>1660</v>
      </c>
      <c r="F1028" s="1" t="s">
        <v>997</v>
      </c>
      <c r="G1028" s="4">
        <v>2.5999999999999998E-4</v>
      </c>
      <c r="H1028" s="28">
        <v>42613</v>
      </c>
      <c r="I1028" s="29">
        <f t="shared" si="813"/>
        <v>2016</v>
      </c>
      <c r="J1028" s="1" t="s">
        <v>1676</v>
      </c>
      <c r="K1028" s="1" t="s">
        <v>7</v>
      </c>
      <c r="L1028" s="11" t="str">
        <f t="shared" si="861"/>
        <v>НЕТ</v>
      </c>
      <c r="M1028" s="10" t="s">
        <v>1575</v>
      </c>
      <c r="N1028" s="10" t="s">
        <v>1575</v>
      </c>
      <c r="O1028" s="10">
        <v>4.0000000000000001E-3</v>
      </c>
      <c r="P1028" s="10">
        <f t="shared" si="862"/>
        <v>15.384615384615387</v>
      </c>
      <c r="Q1028" s="10" t="str">
        <f t="shared" si="863"/>
        <v>NA</v>
      </c>
      <c r="R1028" s="10">
        <v>22.355</v>
      </c>
      <c r="S1028" s="10" t="s">
        <v>1575</v>
      </c>
      <c r="T1028" s="10" t="s">
        <v>1575</v>
      </c>
      <c r="U1028" s="10">
        <v>1.554</v>
      </c>
      <c r="V1028" s="10">
        <v>19.577000000000002</v>
      </c>
      <c r="W1028" s="10" t="s">
        <v>1575</v>
      </c>
      <c r="X1028" s="10" t="str">
        <f t="shared" si="814"/>
        <v>NA</v>
      </c>
      <c r="Y1028" s="10">
        <f t="shared" si="815"/>
        <v>0.68819572286358244</v>
      </c>
      <c r="Z1028" s="10">
        <f t="shared" si="816"/>
        <v>9.900009900009902</v>
      </c>
      <c r="AA1028" s="10">
        <f t="shared" si="817"/>
        <v>0.78585152907061273</v>
      </c>
      <c r="AB1028" s="10" t="str">
        <f t="shared" si="818"/>
        <v>NA</v>
      </c>
      <c r="AC1028" s="10" t="str">
        <f t="shared" si="819"/>
        <v>NA</v>
      </c>
      <c r="AD1028" s="10" t="str">
        <f t="shared" si="820"/>
        <v>NA</v>
      </c>
      <c r="AE1028" s="10" t="str">
        <f t="shared" si="821"/>
        <v>NA</v>
      </c>
      <c r="AF1028" s="1" t="s">
        <v>998</v>
      </c>
    </row>
    <row r="1029" spans="1:32" x14ac:dyDescent="0.2">
      <c r="A1029" s="1" t="s">
        <v>5814</v>
      </c>
      <c r="B1029" s="1" t="s">
        <v>5</v>
      </c>
      <c r="C1029" s="1" t="s">
        <v>1575</v>
      </c>
      <c r="D1029" s="1" t="s">
        <v>1597</v>
      </c>
      <c r="E1029" s="1" t="s">
        <v>1660</v>
      </c>
      <c r="F1029" s="1" t="s">
        <v>996</v>
      </c>
      <c r="G1029" s="4">
        <v>3.0000000000000001E-5</v>
      </c>
      <c r="H1029" s="28">
        <v>43159</v>
      </c>
      <c r="I1029" s="29">
        <f t="shared" si="813"/>
        <v>2018</v>
      </c>
      <c r="J1029" s="1" t="s">
        <v>1676</v>
      </c>
      <c r="K1029" s="1" t="s">
        <v>5814</v>
      </c>
      <c r="L1029" s="11" t="str">
        <f t="shared" si="861"/>
        <v>ДА</v>
      </c>
      <c r="M1029" s="10" t="s">
        <v>1575</v>
      </c>
      <c r="N1029" s="10" t="s">
        <v>1575</v>
      </c>
      <c r="O1029" s="10">
        <v>4.0000000000000002E-4</v>
      </c>
      <c r="P1029" s="10">
        <f t="shared" si="862"/>
        <v>13.333333333333334</v>
      </c>
      <c r="Q1029" s="10" t="str">
        <f t="shared" si="863"/>
        <v>NA</v>
      </c>
      <c r="R1029" s="10" t="s">
        <v>1575</v>
      </c>
      <c r="S1029" s="10" t="s">
        <v>1575</v>
      </c>
      <c r="T1029" s="10" t="s">
        <v>1575</v>
      </c>
      <c r="U1029" s="10" t="s">
        <v>1575</v>
      </c>
      <c r="V1029" s="10" t="s">
        <v>1575</v>
      </c>
      <c r="W1029" s="10" t="s">
        <v>1575</v>
      </c>
      <c r="X1029" s="10" t="str">
        <f t="shared" si="814"/>
        <v>NA</v>
      </c>
      <c r="Y1029" s="10" t="str">
        <f t="shared" si="815"/>
        <v>NA</v>
      </c>
      <c r="Z1029" s="10" t="str">
        <f t="shared" si="816"/>
        <v>NA</v>
      </c>
      <c r="AA1029" s="10" t="str">
        <f t="shared" si="817"/>
        <v>NA</v>
      </c>
      <c r="AB1029" s="10" t="str">
        <f t="shared" si="818"/>
        <v>NA</v>
      </c>
      <c r="AC1029" s="10" t="str">
        <f t="shared" si="819"/>
        <v>NA</v>
      </c>
      <c r="AD1029" s="10" t="str">
        <f t="shared" si="820"/>
        <v>NA</v>
      </c>
      <c r="AE1029" s="10" t="str">
        <f t="shared" si="821"/>
        <v>NA</v>
      </c>
      <c r="AF1029" s="1" t="s">
        <v>4417</v>
      </c>
    </row>
    <row r="1030" spans="1:32" x14ac:dyDescent="0.2">
      <c r="A1030" s="1" t="s">
        <v>5819</v>
      </c>
      <c r="B1030" s="1" t="s">
        <v>5</v>
      </c>
      <c r="C1030" s="1" t="s">
        <v>1575</v>
      </c>
      <c r="D1030" s="1" t="s">
        <v>1597</v>
      </c>
      <c r="E1030" s="1" t="s">
        <v>1660</v>
      </c>
      <c r="F1030" s="1" t="s">
        <v>997</v>
      </c>
      <c r="G1030" s="4">
        <v>1.0499999999999999E-3</v>
      </c>
      <c r="H1030" s="28">
        <v>43159</v>
      </c>
      <c r="I1030" s="29">
        <f t="shared" si="813"/>
        <v>2018</v>
      </c>
      <c r="J1030" s="1" t="s">
        <v>1676</v>
      </c>
      <c r="K1030" s="1" t="s">
        <v>5819</v>
      </c>
      <c r="L1030" s="11" t="str">
        <f t="shared" si="861"/>
        <v>ДА</v>
      </c>
      <c r="M1030" s="10" t="s">
        <v>1575</v>
      </c>
      <c r="N1030" s="10" t="s">
        <v>1575</v>
      </c>
      <c r="O1030" s="10">
        <v>3.2000000000000001E-2</v>
      </c>
      <c r="P1030" s="10">
        <f t="shared" si="862"/>
        <v>30.476190476190478</v>
      </c>
      <c r="Q1030" s="10" t="str">
        <f t="shared" si="863"/>
        <v>NA</v>
      </c>
      <c r="R1030" s="10">
        <v>6.3470000000000004</v>
      </c>
      <c r="S1030" s="10" t="s">
        <v>1575</v>
      </c>
      <c r="T1030" s="10" t="s">
        <v>1575</v>
      </c>
      <c r="U1030" s="10">
        <v>-0.374</v>
      </c>
      <c r="V1030" s="10">
        <v>20.574999999999999</v>
      </c>
      <c r="W1030" s="10" t="s">
        <v>1575</v>
      </c>
      <c r="X1030" s="10" t="str">
        <f t="shared" si="814"/>
        <v>NA</v>
      </c>
      <c r="Y1030" s="10">
        <f t="shared" si="815"/>
        <v>4.8016685798314915</v>
      </c>
      <c r="Z1030" s="10">
        <f t="shared" si="816"/>
        <v>-81.48714031066973</v>
      </c>
      <c r="AA1030" s="10">
        <f t="shared" si="817"/>
        <v>1.4812243244807037</v>
      </c>
      <c r="AB1030" s="10" t="str">
        <f t="shared" si="818"/>
        <v>NA</v>
      </c>
      <c r="AC1030" s="10" t="str">
        <f t="shared" si="819"/>
        <v>NA</v>
      </c>
      <c r="AD1030" s="10" t="str">
        <f t="shared" si="820"/>
        <v>NA</v>
      </c>
      <c r="AE1030" s="10" t="str">
        <f t="shared" si="821"/>
        <v>NA</v>
      </c>
      <c r="AF1030" s="1" t="s">
        <v>4418</v>
      </c>
    </row>
    <row r="1031" spans="1:32" x14ac:dyDescent="0.2">
      <c r="A1031" s="1" t="s">
        <v>5806</v>
      </c>
      <c r="B1031" s="1" t="s">
        <v>5</v>
      </c>
      <c r="C1031" s="1" t="s">
        <v>1575</v>
      </c>
      <c r="D1031" s="1" t="s">
        <v>1597</v>
      </c>
      <c r="E1031" s="1" t="s">
        <v>1660</v>
      </c>
      <c r="F1031" s="1" t="s">
        <v>997</v>
      </c>
      <c r="G1031" s="4">
        <v>1.23E-2</v>
      </c>
      <c r="H1031" s="28">
        <v>43159</v>
      </c>
      <c r="I1031" s="29">
        <f t="shared" si="813"/>
        <v>2018</v>
      </c>
      <c r="J1031" s="1" t="s">
        <v>1676</v>
      </c>
      <c r="K1031" s="1" t="s">
        <v>5806</v>
      </c>
      <c r="L1031" s="11" t="str">
        <f t="shared" si="861"/>
        <v>ДА</v>
      </c>
      <c r="M1031" s="10" t="s">
        <v>1575</v>
      </c>
      <c r="N1031" s="10" t="s">
        <v>1575</v>
      </c>
      <c r="O1031" s="10">
        <v>0.121</v>
      </c>
      <c r="P1031" s="10">
        <f t="shared" si="862"/>
        <v>9.8373983739837403</v>
      </c>
      <c r="Q1031" s="10" t="str">
        <f t="shared" si="863"/>
        <v>NA</v>
      </c>
      <c r="R1031" s="10" t="s">
        <v>1575</v>
      </c>
      <c r="S1031" s="10" t="s">
        <v>1575</v>
      </c>
      <c r="T1031" s="10" t="s">
        <v>1575</v>
      </c>
      <c r="U1031" s="10" t="s">
        <v>1575</v>
      </c>
      <c r="V1031" s="10" t="s">
        <v>1575</v>
      </c>
      <c r="W1031" s="10" t="s">
        <v>1575</v>
      </c>
      <c r="X1031" s="10" t="str">
        <f t="shared" si="814"/>
        <v>NA</v>
      </c>
      <c r="Y1031" s="10" t="str">
        <f t="shared" si="815"/>
        <v>NA</v>
      </c>
      <c r="Z1031" s="10" t="str">
        <f t="shared" si="816"/>
        <v>NA</v>
      </c>
      <c r="AA1031" s="10" t="str">
        <f t="shared" si="817"/>
        <v>NA</v>
      </c>
      <c r="AB1031" s="10" t="str">
        <f t="shared" si="818"/>
        <v>NA</v>
      </c>
      <c r="AC1031" s="10" t="str">
        <f t="shared" si="819"/>
        <v>NA</v>
      </c>
      <c r="AD1031" s="10" t="str">
        <f t="shared" si="820"/>
        <v>NA</v>
      </c>
      <c r="AE1031" s="10" t="str">
        <f t="shared" si="821"/>
        <v>NA</v>
      </c>
      <c r="AF1031" s="1" t="s">
        <v>4419</v>
      </c>
    </row>
    <row r="1032" spans="1:32" x14ac:dyDescent="0.2">
      <c r="A1032" s="1" t="s">
        <v>5807</v>
      </c>
      <c r="B1032" s="1" t="s">
        <v>5</v>
      </c>
      <c r="C1032" s="1" t="s">
        <v>1575</v>
      </c>
      <c r="D1032" s="1" t="s">
        <v>1597</v>
      </c>
      <c r="E1032" s="1" t="s">
        <v>1660</v>
      </c>
      <c r="F1032" s="1" t="s">
        <v>997</v>
      </c>
      <c r="G1032" s="4">
        <v>1.9E-2</v>
      </c>
      <c r="H1032" s="28">
        <v>43159</v>
      </c>
      <c r="I1032" s="29">
        <f t="shared" si="813"/>
        <v>2018</v>
      </c>
      <c r="J1032" s="1" t="s">
        <v>1676</v>
      </c>
      <c r="K1032" s="1" t="s">
        <v>5807</v>
      </c>
      <c r="L1032" s="11" t="str">
        <f t="shared" si="861"/>
        <v>ДА</v>
      </c>
      <c r="M1032" s="10" t="s">
        <v>1575</v>
      </c>
      <c r="N1032" s="10" t="s">
        <v>1575</v>
      </c>
      <c r="O1032" s="10">
        <v>0.42599999999999999</v>
      </c>
      <c r="P1032" s="10">
        <f t="shared" si="862"/>
        <v>22.421052631578949</v>
      </c>
      <c r="Q1032" s="10" t="str">
        <f t="shared" si="863"/>
        <v>NA</v>
      </c>
      <c r="R1032" s="10">
        <v>33.863999999999997</v>
      </c>
      <c r="S1032" s="10" t="s">
        <v>1575</v>
      </c>
      <c r="T1032" s="10" t="s">
        <v>1575</v>
      </c>
      <c r="U1032" s="10">
        <v>1.903</v>
      </c>
      <c r="V1032" s="10">
        <v>21.041</v>
      </c>
      <c r="W1032" s="10" t="s">
        <v>1575</v>
      </c>
      <c r="X1032" s="10" t="str">
        <f t="shared" si="814"/>
        <v>NA</v>
      </c>
      <c r="Y1032" s="10">
        <f t="shared" si="815"/>
        <v>0.66209108881345824</v>
      </c>
      <c r="Z1032" s="10">
        <f t="shared" si="816"/>
        <v>11.781950936194928</v>
      </c>
      <c r="AA1032" s="10">
        <f t="shared" si="817"/>
        <v>1.0655887377776221</v>
      </c>
      <c r="AB1032" s="10" t="str">
        <f t="shared" si="818"/>
        <v>NA</v>
      </c>
      <c r="AC1032" s="10" t="str">
        <f t="shared" si="819"/>
        <v>NA</v>
      </c>
      <c r="AD1032" s="10" t="str">
        <f t="shared" si="820"/>
        <v>NA</v>
      </c>
      <c r="AE1032" s="10" t="str">
        <f t="shared" si="821"/>
        <v>NA</v>
      </c>
      <c r="AF1032" s="1" t="s">
        <v>4420</v>
      </c>
    </row>
    <row r="1033" spans="1:32" x14ac:dyDescent="0.2">
      <c r="A1033" s="1" t="s">
        <v>5820</v>
      </c>
      <c r="B1033" s="1" t="s">
        <v>5</v>
      </c>
      <c r="C1033" s="1" t="s">
        <v>1575</v>
      </c>
      <c r="D1033" s="1" t="s">
        <v>1597</v>
      </c>
      <c r="E1033" s="1" t="s">
        <v>1660</v>
      </c>
      <c r="F1033" s="1" t="s">
        <v>996</v>
      </c>
      <c r="G1033" s="4">
        <f>100%-51%</f>
        <v>0.49</v>
      </c>
      <c r="H1033" s="28">
        <v>43131</v>
      </c>
      <c r="I1033" s="29">
        <f t="shared" si="813"/>
        <v>2018</v>
      </c>
      <c r="J1033" s="1" t="s">
        <v>1676</v>
      </c>
      <c r="K1033" s="1" t="s">
        <v>995</v>
      </c>
      <c r="L1033" s="11" t="str">
        <f t="shared" si="861"/>
        <v>НЕТ</v>
      </c>
      <c r="M1033" s="10" t="s">
        <v>1575</v>
      </c>
      <c r="N1033" s="10" t="s">
        <v>1575</v>
      </c>
      <c r="O1033" s="10">
        <v>3.3E-4</v>
      </c>
      <c r="P1033" s="10">
        <f t="shared" si="862"/>
        <v>6.7346938775510201E-4</v>
      </c>
      <c r="Q1033" s="10" t="str">
        <f t="shared" si="863"/>
        <v>NA</v>
      </c>
      <c r="R1033" s="10" t="s">
        <v>1575</v>
      </c>
      <c r="S1033" s="10" t="s">
        <v>1575</v>
      </c>
      <c r="T1033" s="10" t="s">
        <v>1575</v>
      </c>
      <c r="U1033" s="10" t="s">
        <v>1575</v>
      </c>
      <c r="V1033" s="10" t="s">
        <v>1575</v>
      </c>
      <c r="W1033" s="10" t="s">
        <v>1575</v>
      </c>
      <c r="X1033" s="10" t="str">
        <f t="shared" si="814"/>
        <v>NA</v>
      </c>
      <c r="Y1033" s="10" t="str">
        <f t="shared" si="815"/>
        <v>NA</v>
      </c>
      <c r="Z1033" s="10" t="str">
        <f t="shared" si="816"/>
        <v>NA</v>
      </c>
      <c r="AA1033" s="10" t="str">
        <f t="shared" si="817"/>
        <v>NA</v>
      </c>
      <c r="AB1033" s="10" t="str">
        <f t="shared" si="818"/>
        <v>NA</v>
      </c>
      <c r="AC1033" s="10" t="str">
        <f t="shared" si="819"/>
        <v>NA</v>
      </c>
      <c r="AD1033" s="10" t="str">
        <f t="shared" si="820"/>
        <v>NA</v>
      </c>
      <c r="AE1033" s="10" t="str">
        <f t="shared" si="821"/>
        <v>NA</v>
      </c>
      <c r="AF1033" s="1" t="s">
        <v>4416</v>
      </c>
    </row>
    <row r="1034" spans="1:32" x14ac:dyDescent="0.2">
      <c r="A1034" s="1" t="s">
        <v>5821</v>
      </c>
      <c r="B1034" s="1" t="s">
        <v>32</v>
      </c>
      <c r="C1034" s="1" t="s">
        <v>1575</v>
      </c>
      <c r="D1034" s="1" t="s">
        <v>1597</v>
      </c>
      <c r="E1034" s="1" t="s">
        <v>1699</v>
      </c>
      <c r="F1034" s="1" t="s">
        <v>993</v>
      </c>
      <c r="G1034" s="4">
        <v>1</v>
      </c>
      <c r="H1034" s="28">
        <v>43465</v>
      </c>
      <c r="I1034" s="29">
        <f t="shared" si="813"/>
        <v>2018</v>
      </c>
      <c r="J1034" s="1" t="s">
        <v>7</v>
      </c>
      <c r="K1034" s="1" t="s">
        <v>1676</v>
      </c>
      <c r="L1034" s="11" t="str">
        <f t="shared" si="861"/>
        <v>НЕТ</v>
      </c>
      <c r="M1034" s="10">
        <v>2</v>
      </c>
      <c r="N1034" s="10" t="s">
        <v>1575</v>
      </c>
      <c r="O1034" s="10">
        <v>0.113</v>
      </c>
      <c r="P1034" s="10">
        <f t="shared" si="862"/>
        <v>0.113</v>
      </c>
      <c r="Q1034" s="10" t="str">
        <f t="shared" si="863"/>
        <v>NA</v>
      </c>
      <c r="R1034" s="10" t="s">
        <v>1575</v>
      </c>
      <c r="S1034" s="10" t="s">
        <v>1575</v>
      </c>
      <c r="T1034" s="10" t="s">
        <v>1575</v>
      </c>
      <c r="U1034" s="10" t="s">
        <v>1575</v>
      </c>
      <c r="V1034" s="10" t="s">
        <v>1575</v>
      </c>
      <c r="W1034" s="10" t="s">
        <v>1575</v>
      </c>
      <c r="X1034" s="10" t="str">
        <f t="shared" si="814"/>
        <v>NA</v>
      </c>
      <c r="Y1034" s="10" t="str">
        <f t="shared" si="815"/>
        <v>NA</v>
      </c>
      <c r="Z1034" s="10" t="str">
        <f t="shared" si="816"/>
        <v>NA</v>
      </c>
      <c r="AA1034" s="10" t="str">
        <f t="shared" si="817"/>
        <v>NA</v>
      </c>
      <c r="AB1034" s="10" t="str">
        <f t="shared" si="818"/>
        <v>NA</v>
      </c>
      <c r="AC1034" s="10" t="str">
        <f t="shared" si="819"/>
        <v>NA</v>
      </c>
      <c r="AD1034" s="10" t="str">
        <f t="shared" si="820"/>
        <v>NA</v>
      </c>
      <c r="AE1034" s="10" t="str">
        <f t="shared" si="821"/>
        <v>NA</v>
      </c>
      <c r="AF1034" s="1" t="s">
        <v>994</v>
      </c>
    </row>
    <row r="1035" spans="1:32" x14ac:dyDescent="0.2">
      <c r="A1035" s="1" t="s">
        <v>5822</v>
      </c>
      <c r="B1035" s="1" t="s">
        <v>5</v>
      </c>
      <c r="C1035" s="1" t="s">
        <v>1575</v>
      </c>
      <c r="D1035" s="1" t="s">
        <v>1615</v>
      </c>
      <c r="E1035" s="1" t="s">
        <v>1616</v>
      </c>
      <c r="F1035" s="1" t="s">
        <v>1011</v>
      </c>
      <c r="G1035" s="4">
        <v>0.99996799999999997</v>
      </c>
      <c r="H1035" s="28">
        <v>43585</v>
      </c>
      <c r="I1035" s="29">
        <f t="shared" si="813"/>
        <v>2019</v>
      </c>
      <c r="J1035" s="1" t="s">
        <v>7</v>
      </c>
      <c r="K1035" s="1" t="s">
        <v>4432</v>
      </c>
      <c r="L1035" s="11" t="str">
        <f t="shared" si="861"/>
        <v>НЕТ</v>
      </c>
      <c r="M1035" s="10" t="s">
        <v>1575</v>
      </c>
      <c r="N1035" s="10" t="s">
        <v>1575</v>
      </c>
      <c r="O1035" s="10">
        <v>35.758000000000003</v>
      </c>
      <c r="P1035" s="10">
        <f t="shared" si="862"/>
        <v>35.759144292617364</v>
      </c>
      <c r="Q1035" s="10">
        <f t="shared" si="863"/>
        <v>37.086144292617362</v>
      </c>
      <c r="R1035" s="10" t="s">
        <v>1575</v>
      </c>
      <c r="S1035" s="10" t="s">
        <v>1575</v>
      </c>
      <c r="T1035" s="10" t="s">
        <v>1575</v>
      </c>
      <c r="U1035" s="10" t="s">
        <v>1575</v>
      </c>
      <c r="V1035" s="10">
        <v>23.608000000000001</v>
      </c>
      <c r="W1035" s="10">
        <f>1.942-0.615</f>
        <v>1.327</v>
      </c>
      <c r="X1035" s="10">
        <f t="shared" si="814"/>
        <v>24.935000000000002</v>
      </c>
      <c r="Y1035" s="10" t="str">
        <f t="shared" si="815"/>
        <v>NA</v>
      </c>
      <c r="Z1035" s="10" t="str">
        <f t="shared" si="816"/>
        <v>NA</v>
      </c>
      <c r="AA1035" s="10">
        <f t="shared" si="817"/>
        <v>1.5147045193416369</v>
      </c>
      <c r="AB1035" s="10" t="str">
        <f t="shared" si="818"/>
        <v>NA</v>
      </c>
      <c r="AC1035" s="10" t="str">
        <f t="shared" si="819"/>
        <v>NA</v>
      </c>
      <c r="AD1035" s="10" t="str">
        <f t="shared" si="820"/>
        <v>NA</v>
      </c>
      <c r="AE1035" s="10">
        <f t="shared" si="821"/>
        <v>1.4873127849455527</v>
      </c>
      <c r="AF1035" s="1" t="s">
        <v>4426</v>
      </c>
    </row>
    <row r="1036" spans="1:32" x14ac:dyDescent="0.2">
      <c r="A1036" s="1" t="s">
        <v>3749</v>
      </c>
      <c r="B1036" s="1" t="s">
        <v>5</v>
      </c>
      <c r="C1036" s="1" t="s">
        <v>3758</v>
      </c>
      <c r="D1036" s="1" t="s">
        <v>1615</v>
      </c>
      <c r="E1036" s="1" t="s">
        <v>1616</v>
      </c>
      <c r="F1036" s="1" t="s">
        <v>3755</v>
      </c>
      <c r="G1036" s="4">
        <f>63%-37%</f>
        <v>0.26</v>
      </c>
      <c r="H1036" s="28">
        <v>43373</v>
      </c>
      <c r="I1036" s="29">
        <f t="shared" si="813"/>
        <v>2018</v>
      </c>
      <c r="J1036" s="1" t="s">
        <v>4432</v>
      </c>
      <c r="K1036" s="1" t="s">
        <v>7</v>
      </c>
      <c r="L1036" s="11" t="str">
        <f t="shared" si="861"/>
        <v>НЕТ</v>
      </c>
      <c r="M1036" s="10">
        <v>750</v>
      </c>
      <c r="N1036" s="10" t="s">
        <v>1575</v>
      </c>
      <c r="O1036" s="10">
        <v>49.319000000000003</v>
      </c>
      <c r="P1036" s="10">
        <f t="shared" si="862"/>
        <v>189.68846153846155</v>
      </c>
      <c r="Q1036" s="10">
        <f t="shared" si="863"/>
        <v>276.40946153846153</v>
      </c>
      <c r="R1036" s="10">
        <v>52.508000000000003</v>
      </c>
      <c r="S1036" s="10">
        <v>37.699999999999996</v>
      </c>
      <c r="T1036" s="10">
        <v>33.409999999999997</v>
      </c>
      <c r="U1036" s="10">
        <v>27.544</v>
      </c>
      <c r="V1036" s="10">
        <v>98.099000000000004</v>
      </c>
      <c r="W1036" s="10">
        <f>96.048+22.691-32.018</f>
        <v>86.721000000000004</v>
      </c>
      <c r="X1036" s="10">
        <f t="shared" si="814"/>
        <v>184.82</v>
      </c>
      <c r="Y1036" s="10">
        <f t="shared" si="815"/>
        <v>3.61256306731282</v>
      </c>
      <c r="Z1036" s="10">
        <f t="shared" si="816"/>
        <v>6.8867434482450465</v>
      </c>
      <c r="AA1036" s="10">
        <f t="shared" si="817"/>
        <v>1.9336431720859697</v>
      </c>
      <c r="AB1036" s="10">
        <f t="shared" si="818"/>
        <v>5.2641399698800475</v>
      </c>
      <c r="AC1036" s="10">
        <f t="shared" si="819"/>
        <v>7.3318159559273619</v>
      </c>
      <c r="AD1036" s="10">
        <f t="shared" si="820"/>
        <v>8.2732553588285409</v>
      </c>
      <c r="AE1036" s="10">
        <f t="shared" si="821"/>
        <v>1.4955603372928339</v>
      </c>
      <c r="AF1036" s="1" t="s">
        <v>4427</v>
      </c>
    </row>
    <row r="1037" spans="1:32" x14ac:dyDescent="0.2">
      <c r="A1037" s="1" t="s">
        <v>5823</v>
      </c>
      <c r="B1037" s="1" t="s">
        <v>21</v>
      </c>
      <c r="C1037" s="1" t="s">
        <v>1575</v>
      </c>
      <c r="D1037" s="1" t="s">
        <v>1597</v>
      </c>
      <c r="E1037" s="1" t="s">
        <v>4429</v>
      </c>
      <c r="F1037" s="1" t="s">
        <v>65</v>
      </c>
      <c r="G1037" s="4">
        <v>7.0000000000000007E-2</v>
      </c>
      <c r="H1037" s="28">
        <v>43190</v>
      </c>
      <c r="I1037" s="29">
        <f t="shared" si="813"/>
        <v>2018</v>
      </c>
      <c r="J1037" s="1" t="s">
        <v>4432</v>
      </c>
      <c r="K1037" s="1" t="s">
        <v>7</v>
      </c>
      <c r="L1037" s="11" t="str">
        <f t="shared" si="861"/>
        <v>НЕТ</v>
      </c>
      <c r="M1037" s="10" t="s">
        <v>1575</v>
      </c>
      <c r="N1037" s="10" t="s">
        <v>1575</v>
      </c>
      <c r="O1037" s="10">
        <f>(125720*278780)/10^9</f>
        <v>35.048221599999998</v>
      </c>
      <c r="P1037" s="10">
        <f t="shared" si="862"/>
        <v>500.68887999999993</v>
      </c>
      <c r="Q1037" s="10">
        <f t="shared" si="863"/>
        <v>624.24687999999992</v>
      </c>
      <c r="R1037" s="10">
        <v>103.907</v>
      </c>
      <c r="S1037" s="10" t="s">
        <v>1575</v>
      </c>
      <c r="T1037" s="10">
        <f>U1037+3.442+3.371</f>
        <v>27.460999999999999</v>
      </c>
      <c r="U1037" s="10">
        <v>20.648</v>
      </c>
      <c r="V1037" s="10">
        <v>229.96199999999999</v>
      </c>
      <c r="W1037" s="10">
        <f>132.613+1.033-10.088</f>
        <v>123.55799999999999</v>
      </c>
      <c r="X1037" s="10">
        <f t="shared" si="814"/>
        <v>353.52</v>
      </c>
      <c r="Y1037" s="10">
        <f t="shared" si="815"/>
        <v>4.8186251166908862</v>
      </c>
      <c r="Z1037" s="10">
        <f t="shared" si="816"/>
        <v>24.248783417280119</v>
      </c>
      <c r="AA1037" s="10">
        <f t="shared" si="817"/>
        <v>2.1772678964350631</v>
      </c>
      <c r="AB1037" s="10">
        <f t="shared" si="818"/>
        <v>6.0077461576217193</v>
      </c>
      <c r="AC1037" s="10" t="str">
        <f t="shared" si="819"/>
        <v>NA</v>
      </c>
      <c r="AD1037" s="10">
        <f t="shared" si="820"/>
        <v>22.732124831579331</v>
      </c>
      <c r="AE1037" s="10">
        <f t="shared" si="821"/>
        <v>1.7658035754695631</v>
      </c>
      <c r="AF1037" s="1" t="s">
        <v>4428</v>
      </c>
    </row>
    <row r="1038" spans="1:32" x14ac:dyDescent="0.2">
      <c r="A1038" s="1" t="s">
        <v>5824</v>
      </c>
      <c r="B1038" s="1" t="s">
        <v>5</v>
      </c>
      <c r="C1038" s="1" t="s">
        <v>1575</v>
      </c>
      <c r="D1038" s="1" t="s">
        <v>1615</v>
      </c>
      <c r="E1038" s="1" t="s">
        <v>1616</v>
      </c>
      <c r="F1038" s="1" t="s">
        <v>1014</v>
      </c>
      <c r="G1038" s="4">
        <v>0.25</v>
      </c>
      <c r="H1038" s="28">
        <v>43100</v>
      </c>
      <c r="I1038" s="29">
        <f t="shared" si="813"/>
        <v>2017</v>
      </c>
      <c r="J1038" s="1" t="s">
        <v>4432</v>
      </c>
      <c r="K1038" s="1" t="s">
        <v>7</v>
      </c>
      <c r="L1038" s="11" t="str">
        <f t="shared" si="861"/>
        <v>НЕТ</v>
      </c>
      <c r="M1038" s="10" t="s">
        <v>1575</v>
      </c>
      <c r="N1038" s="10" t="s">
        <v>1575</v>
      </c>
      <c r="O1038" s="10">
        <v>38.159999999999997</v>
      </c>
      <c r="P1038" s="10">
        <f t="shared" si="862"/>
        <v>152.63999999999999</v>
      </c>
      <c r="Q1038" s="10">
        <f t="shared" si="863"/>
        <v>156.958</v>
      </c>
      <c r="R1038" s="10">
        <v>4.9960000000000004</v>
      </c>
      <c r="S1038" s="10" t="s">
        <v>1575</v>
      </c>
      <c r="T1038" s="10">
        <f>U1038+0.793+0.036</f>
        <v>4.3479999999999999</v>
      </c>
      <c r="U1038" s="10">
        <v>3.5190000000000001</v>
      </c>
      <c r="V1038" s="10">
        <v>39.273000000000003</v>
      </c>
      <c r="W1038" s="10">
        <f>4.63+0.617-0.929</f>
        <v>4.3179999999999996</v>
      </c>
      <c r="X1038" s="10">
        <f t="shared" si="814"/>
        <v>43.591000000000001</v>
      </c>
      <c r="Y1038" s="10">
        <f t="shared" si="815"/>
        <v>30.552441953562845</v>
      </c>
      <c r="Z1038" s="10">
        <f t="shared" si="816"/>
        <v>43.375959079283881</v>
      </c>
      <c r="AA1038" s="10">
        <f t="shared" si="817"/>
        <v>3.8866396761133597</v>
      </c>
      <c r="AB1038" s="10">
        <f t="shared" si="818"/>
        <v>31.416733386709364</v>
      </c>
      <c r="AC1038" s="10" t="str">
        <f t="shared" si="819"/>
        <v>NA</v>
      </c>
      <c r="AD1038" s="10">
        <f t="shared" si="820"/>
        <v>36.098896044158238</v>
      </c>
      <c r="AE1038" s="10">
        <f t="shared" si="821"/>
        <v>3.6006973916634166</v>
      </c>
      <c r="AF1038" s="1" t="s">
        <v>1013</v>
      </c>
    </row>
    <row r="1039" spans="1:32" x14ac:dyDescent="0.2">
      <c r="A1039" s="1" t="s">
        <v>5825</v>
      </c>
      <c r="B1039" s="1" t="s">
        <v>5</v>
      </c>
      <c r="C1039" s="1" t="s">
        <v>1575</v>
      </c>
      <c r="D1039" s="1" t="s">
        <v>1580</v>
      </c>
      <c r="E1039" s="1" t="s">
        <v>1593</v>
      </c>
      <c r="F1039" s="1" t="s">
        <v>545</v>
      </c>
      <c r="G1039" s="4">
        <v>0.57410000000000005</v>
      </c>
      <c r="H1039" s="28">
        <v>42825</v>
      </c>
      <c r="I1039" s="29">
        <f t="shared" si="813"/>
        <v>2017</v>
      </c>
      <c r="J1039" s="1" t="s">
        <v>4432</v>
      </c>
      <c r="K1039" s="1" t="s">
        <v>7</v>
      </c>
      <c r="L1039" s="11" t="str">
        <f t="shared" si="861"/>
        <v>НЕТ</v>
      </c>
      <c r="M1039" s="10" t="s">
        <v>1575</v>
      </c>
      <c r="N1039" s="10" t="s">
        <v>1575</v>
      </c>
      <c r="O1039" s="10">
        <v>60</v>
      </c>
      <c r="P1039" s="10">
        <f t="shared" si="862"/>
        <v>104.51140916216686</v>
      </c>
      <c r="Q1039" s="10" t="str">
        <f t="shared" si="863"/>
        <v>NA</v>
      </c>
      <c r="R1039" s="10" t="s">
        <v>1575</v>
      </c>
      <c r="S1039" s="10" t="s">
        <v>1575</v>
      </c>
      <c r="T1039" s="10" t="s">
        <v>1575</v>
      </c>
      <c r="U1039" s="10">
        <v>24.777999999999999</v>
      </c>
      <c r="V1039" s="10">
        <v>84.756</v>
      </c>
      <c r="W1039" s="10" t="s">
        <v>1575</v>
      </c>
      <c r="X1039" s="10" t="str">
        <f t="shared" si="814"/>
        <v>NA</v>
      </c>
      <c r="Y1039" s="10" t="str">
        <f t="shared" si="815"/>
        <v>NA</v>
      </c>
      <c r="Z1039" s="10">
        <f t="shared" si="816"/>
        <v>4.2179114198953451</v>
      </c>
      <c r="AA1039" s="10">
        <f t="shared" si="817"/>
        <v>1.233085671364468</v>
      </c>
      <c r="AB1039" s="10" t="str">
        <f t="shared" si="818"/>
        <v>NA</v>
      </c>
      <c r="AC1039" s="10" t="str">
        <f t="shared" si="819"/>
        <v>NA</v>
      </c>
      <c r="AD1039" s="10" t="str">
        <f t="shared" si="820"/>
        <v>NA</v>
      </c>
      <c r="AE1039" s="10" t="str">
        <f t="shared" si="821"/>
        <v>NA</v>
      </c>
      <c r="AF1039" s="1" t="s">
        <v>1015</v>
      </c>
    </row>
    <row r="1040" spans="1:32" x14ac:dyDescent="0.2">
      <c r="A1040" s="1" t="s">
        <v>5826</v>
      </c>
      <c r="B1040" s="1" t="s">
        <v>5</v>
      </c>
      <c r="C1040" s="1" t="s">
        <v>1575</v>
      </c>
      <c r="D1040" s="1" t="s">
        <v>1615</v>
      </c>
      <c r="E1040" s="1" t="s">
        <v>1616</v>
      </c>
      <c r="F1040" s="1" t="s">
        <v>64</v>
      </c>
      <c r="G1040" s="4">
        <v>0.5</v>
      </c>
      <c r="H1040" s="28">
        <v>42428</v>
      </c>
      <c r="I1040" s="29">
        <f t="shared" si="813"/>
        <v>2016</v>
      </c>
      <c r="J1040" s="1" t="s">
        <v>4432</v>
      </c>
      <c r="K1040" s="1" t="s">
        <v>7</v>
      </c>
      <c r="L1040" s="11" t="str">
        <f t="shared" si="861"/>
        <v>НЕТ</v>
      </c>
      <c r="M1040" s="10">
        <v>159</v>
      </c>
      <c r="N1040" s="10" t="s">
        <v>1575</v>
      </c>
      <c r="O1040" s="10">
        <v>12.497</v>
      </c>
      <c r="P1040" s="10">
        <f t="shared" si="862"/>
        <v>24.994</v>
      </c>
      <c r="Q1040" s="10">
        <f t="shared" si="863"/>
        <v>27.295999999999999</v>
      </c>
      <c r="R1040" s="10" t="s">
        <v>1575</v>
      </c>
      <c r="S1040" s="10" t="s">
        <v>1575</v>
      </c>
      <c r="T1040" s="10" t="s">
        <v>1575</v>
      </c>
      <c r="U1040" s="10" t="s">
        <v>1575</v>
      </c>
      <c r="V1040" s="10">
        <v>3.7639999999999998</v>
      </c>
      <c r="W1040" s="10">
        <f>3.344+1.227-2.269</f>
        <v>2.3019999999999996</v>
      </c>
      <c r="X1040" s="10">
        <f t="shared" si="814"/>
        <v>6.0659999999999989</v>
      </c>
      <c r="Y1040" s="10" t="str">
        <f t="shared" si="815"/>
        <v>NA</v>
      </c>
      <c r="Z1040" s="10" t="str">
        <f t="shared" si="816"/>
        <v>NA</v>
      </c>
      <c r="AA1040" s="10">
        <f t="shared" si="817"/>
        <v>6.6402763018065887</v>
      </c>
      <c r="AB1040" s="10" t="str">
        <f t="shared" si="818"/>
        <v>NA</v>
      </c>
      <c r="AC1040" s="10" t="str">
        <f t="shared" si="819"/>
        <v>NA</v>
      </c>
      <c r="AD1040" s="10" t="str">
        <f t="shared" si="820"/>
        <v>NA</v>
      </c>
      <c r="AE1040" s="10">
        <f t="shared" si="821"/>
        <v>4.4998351467194206</v>
      </c>
      <c r="AF1040" s="1" t="s">
        <v>4430</v>
      </c>
    </row>
    <row r="1041" spans="1:32" x14ac:dyDescent="0.2">
      <c r="A1041" s="1" t="s">
        <v>5827</v>
      </c>
      <c r="B1041" s="1" t="s">
        <v>91</v>
      </c>
      <c r="C1041" s="1" t="s">
        <v>1575</v>
      </c>
      <c r="D1041" s="1" t="s">
        <v>1597</v>
      </c>
      <c r="E1041" s="1" t="s">
        <v>4429</v>
      </c>
      <c r="F1041" s="1" t="s">
        <v>65</v>
      </c>
      <c r="G1041" s="4" t="s">
        <v>11</v>
      </c>
      <c r="H1041" s="28">
        <v>42428</v>
      </c>
      <c r="I1041" s="29">
        <f t="shared" si="813"/>
        <v>2016</v>
      </c>
      <c r="J1041" s="1" t="s">
        <v>7</v>
      </c>
      <c r="K1041" s="1" t="s">
        <v>4432</v>
      </c>
      <c r="L1041" s="11" t="str">
        <f t="shared" si="861"/>
        <v>НЕТ</v>
      </c>
      <c r="M1041" s="10" t="s">
        <v>1575</v>
      </c>
      <c r="N1041" s="10" t="s">
        <v>1575</v>
      </c>
      <c r="O1041" s="10" t="s">
        <v>1575</v>
      </c>
      <c r="P1041" s="10" t="str">
        <f t="shared" si="862"/>
        <v>NA</v>
      </c>
      <c r="Q1041" s="10" t="str">
        <f t="shared" si="863"/>
        <v>NA</v>
      </c>
      <c r="R1041" s="10" t="s">
        <v>1575</v>
      </c>
      <c r="S1041" s="10" t="s">
        <v>1575</v>
      </c>
      <c r="T1041" s="10" t="s">
        <v>1575</v>
      </c>
      <c r="U1041" s="10" t="s">
        <v>1575</v>
      </c>
      <c r="V1041" s="10" t="s">
        <v>1575</v>
      </c>
      <c r="W1041" s="10" t="s">
        <v>1575</v>
      </c>
      <c r="X1041" s="10" t="str">
        <f t="shared" si="814"/>
        <v>NA</v>
      </c>
      <c r="Y1041" s="10" t="str">
        <f t="shared" si="815"/>
        <v>NA</v>
      </c>
      <c r="Z1041" s="10" t="str">
        <f t="shared" si="816"/>
        <v>NA</v>
      </c>
      <c r="AA1041" s="10" t="str">
        <f t="shared" si="817"/>
        <v>NA</v>
      </c>
      <c r="AB1041" s="10" t="str">
        <f t="shared" si="818"/>
        <v>NA</v>
      </c>
      <c r="AC1041" s="10" t="str">
        <f t="shared" si="819"/>
        <v>NA</v>
      </c>
      <c r="AD1041" s="10" t="str">
        <f t="shared" si="820"/>
        <v>NA</v>
      </c>
      <c r="AE1041" s="10" t="str">
        <f t="shared" si="821"/>
        <v>NA</v>
      </c>
      <c r="AF1041" s="1" t="s">
        <v>4431</v>
      </c>
    </row>
    <row r="1042" spans="1:32" x14ac:dyDescent="0.2">
      <c r="A1042" s="1" t="s">
        <v>5828</v>
      </c>
      <c r="B1042" s="1" t="s">
        <v>5</v>
      </c>
      <c r="C1042" s="1" t="s">
        <v>1575</v>
      </c>
      <c r="D1042" s="1" t="s">
        <v>1582</v>
      </c>
      <c r="E1042" s="1" t="s">
        <v>3134</v>
      </c>
      <c r="F1042" s="1" t="s">
        <v>4433</v>
      </c>
      <c r="G1042" s="4">
        <v>1</v>
      </c>
      <c r="H1042" s="28">
        <v>42369</v>
      </c>
      <c r="I1042" s="29">
        <f t="shared" si="813"/>
        <v>2015</v>
      </c>
      <c r="J1042" s="1" t="s">
        <v>4432</v>
      </c>
      <c r="K1042" s="1" t="s">
        <v>7</v>
      </c>
      <c r="L1042" s="11" t="str">
        <f t="shared" si="861"/>
        <v>НЕТ</v>
      </c>
      <c r="M1042" s="10" t="s">
        <v>1575</v>
      </c>
      <c r="N1042" s="10" t="s">
        <v>1575</v>
      </c>
      <c r="O1042" s="10">
        <v>0.4365</v>
      </c>
      <c r="P1042" s="10">
        <f t="shared" si="862"/>
        <v>0.4365</v>
      </c>
      <c r="Q1042" s="10">
        <f t="shared" si="863"/>
        <v>0.4365</v>
      </c>
      <c r="R1042" s="10" t="s">
        <v>1575</v>
      </c>
      <c r="S1042" s="10" t="s">
        <v>1575</v>
      </c>
      <c r="T1042" s="10" t="s">
        <v>1575</v>
      </c>
      <c r="U1042" s="10" t="s">
        <v>1575</v>
      </c>
      <c r="V1042" s="10">
        <v>0.437</v>
      </c>
      <c r="W1042" s="10">
        <v>0</v>
      </c>
      <c r="X1042" s="10">
        <f t="shared" ref="X1042:X1091" si="864">IFERROR(V1042+W1042,"NA")</f>
        <v>0.437</v>
      </c>
      <c r="Y1042" s="10" t="str">
        <f t="shared" ref="Y1042:Y1091" si="865">IFERROR(P1042/R1042,"NA")</f>
        <v>NA</v>
      </c>
      <c r="Z1042" s="10" t="str">
        <f t="shared" ref="Z1042:Z1091" si="866">IFERROR(P1042/U1042,"NA")</f>
        <v>NA</v>
      </c>
      <c r="AA1042" s="10">
        <f t="shared" ref="AA1042:AA1091" si="867">IFERROR(P1042/V1042,"NA")</f>
        <v>0.99885583524027455</v>
      </c>
      <c r="AB1042" s="10" t="str">
        <f t="shared" ref="AB1042:AB1091" si="868">IFERROR(Q1042/R1042,"NA")</f>
        <v>NA</v>
      </c>
      <c r="AC1042" s="10" t="str">
        <f t="shared" ref="AC1042:AC1091" si="869">IFERROR(Q1042/S1042,"NA")</f>
        <v>NA</v>
      </c>
      <c r="AD1042" s="10" t="str">
        <f t="shared" ref="AD1042:AD1091" si="870">IFERROR(Q1042/T1042,"NA")</f>
        <v>NA</v>
      </c>
      <c r="AE1042" s="10">
        <f t="shared" ref="AE1042:AE1091" si="871">IFERROR(Q1042/X1042,"NA")</f>
        <v>0.99885583524027455</v>
      </c>
      <c r="AF1042" s="1" t="s">
        <v>4434</v>
      </c>
    </row>
    <row r="1043" spans="1:32" x14ac:dyDescent="0.2">
      <c r="A1043" s="1" t="s">
        <v>5829</v>
      </c>
      <c r="B1043" s="1" t="s">
        <v>5</v>
      </c>
      <c r="C1043" s="1" t="s">
        <v>1575</v>
      </c>
      <c r="D1043" s="1" t="s">
        <v>1575</v>
      </c>
      <c r="E1043" s="1" t="s">
        <v>1575</v>
      </c>
      <c r="F1043" s="1" t="s">
        <v>486</v>
      </c>
      <c r="G1043" s="4" t="s">
        <v>1575</v>
      </c>
      <c r="H1043" s="28">
        <v>41943</v>
      </c>
      <c r="I1043" s="29">
        <f t="shared" ref="I1043" si="872">YEAR(H1043)</f>
        <v>2014</v>
      </c>
      <c r="J1043" s="1" t="s">
        <v>4432</v>
      </c>
      <c r="K1043" s="1" t="s">
        <v>7</v>
      </c>
      <c r="L1043" s="11" t="str">
        <f t="shared" ref="L1043" si="873">IF(OR(A1043=J1043,A1043=K1043),"ДА","НЕТ")</f>
        <v>НЕТ</v>
      </c>
      <c r="M1043" s="10" t="s">
        <v>1575</v>
      </c>
      <c r="N1043" s="10" t="s">
        <v>1575</v>
      </c>
      <c r="O1043" s="10">
        <v>2.2210000000000001</v>
      </c>
      <c r="P1043" s="10" t="str">
        <f t="shared" si="862"/>
        <v>NA</v>
      </c>
      <c r="Q1043" s="10" t="str">
        <f t="shared" si="863"/>
        <v>NA</v>
      </c>
      <c r="R1043" s="10" t="s">
        <v>1575</v>
      </c>
      <c r="S1043" s="10" t="s">
        <v>1575</v>
      </c>
      <c r="T1043" s="10" t="s">
        <v>1575</v>
      </c>
      <c r="U1043" s="10" t="s">
        <v>1575</v>
      </c>
      <c r="V1043" s="10">
        <v>3.363</v>
      </c>
      <c r="W1043" s="10">
        <f>0.302-0.325</f>
        <v>-2.300000000000002E-2</v>
      </c>
      <c r="X1043" s="10">
        <f t="shared" ref="X1043" si="874">IFERROR(V1043+W1043,"NA")</f>
        <v>3.34</v>
      </c>
      <c r="Y1043" s="10" t="str">
        <f t="shared" ref="Y1043" si="875">IFERROR(P1043/R1043,"NA")</f>
        <v>NA</v>
      </c>
      <c r="Z1043" s="10" t="str">
        <f t="shared" ref="Z1043" si="876">IFERROR(P1043/U1043,"NA")</f>
        <v>NA</v>
      </c>
      <c r="AA1043" s="10" t="str">
        <f t="shared" ref="AA1043" si="877">IFERROR(P1043/V1043,"NA")</f>
        <v>NA</v>
      </c>
      <c r="AB1043" s="10" t="str">
        <f t="shared" ref="AB1043" si="878">IFERROR(Q1043/R1043,"NA")</f>
        <v>NA</v>
      </c>
      <c r="AC1043" s="10" t="str">
        <f t="shared" ref="AC1043" si="879">IFERROR(Q1043/S1043,"NA")</f>
        <v>NA</v>
      </c>
      <c r="AD1043" s="10" t="str">
        <f t="shared" ref="AD1043" si="880">IFERROR(Q1043/T1043,"NA")</f>
        <v>NA</v>
      </c>
      <c r="AE1043" s="10" t="str">
        <f t="shared" ref="AE1043" si="881">IFERROR(Q1043/X1043,"NA")</f>
        <v>NA</v>
      </c>
      <c r="AF1043" s="1" t="s">
        <v>4435</v>
      </c>
    </row>
    <row r="1044" spans="1:32" x14ac:dyDescent="0.2">
      <c r="A1044" s="1" t="s">
        <v>5830</v>
      </c>
      <c r="B1044" s="1" t="s">
        <v>5</v>
      </c>
      <c r="C1044" s="1" t="s">
        <v>1575</v>
      </c>
      <c r="D1044" s="1" t="s">
        <v>1595</v>
      </c>
      <c r="E1044" s="1" t="s">
        <v>1587</v>
      </c>
      <c r="F1044" s="1" t="s">
        <v>63</v>
      </c>
      <c r="G1044" s="4">
        <v>0.75</v>
      </c>
      <c r="H1044" s="28">
        <v>41943</v>
      </c>
      <c r="I1044" s="29">
        <f t="shared" si="813"/>
        <v>2014</v>
      </c>
      <c r="J1044" s="1" t="s">
        <v>4432</v>
      </c>
      <c r="K1044" s="1" t="s">
        <v>7</v>
      </c>
      <c r="L1044" s="11" t="str">
        <f t="shared" si="861"/>
        <v>НЕТ</v>
      </c>
      <c r="M1044" s="10" t="s">
        <v>1575</v>
      </c>
      <c r="N1044" s="10" t="s">
        <v>1575</v>
      </c>
      <c r="O1044" s="10">
        <v>1.619</v>
      </c>
      <c r="P1044" s="10">
        <f t="shared" si="862"/>
        <v>2.1586666666666665</v>
      </c>
      <c r="Q1044" s="10" t="str">
        <f t="shared" si="863"/>
        <v>NA</v>
      </c>
      <c r="R1044" s="10" t="s">
        <v>1575</v>
      </c>
      <c r="S1044" s="10" t="s">
        <v>1575</v>
      </c>
      <c r="T1044" s="10" t="s">
        <v>1575</v>
      </c>
      <c r="U1044" s="10" t="s">
        <v>1575</v>
      </c>
      <c r="V1044" s="10" t="s">
        <v>1575</v>
      </c>
      <c r="W1044" s="10" t="s">
        <v>1575</v>
      </c>
      <c r="X1044" s="10" t="str">
        <f t="shared" si="864"/>
        <v>NA</v>
      </c>
      <c r="Y1044" s="10" t="str">
        <f t="shared" si="865"/>
        <v>NA</v>
      </c>
      <c r="Z1044" s="10" t="str">
        <f t="shared" si="866"/>
        <v>NA</v>
      </c>
      <c r="AA1044" s="10" t="str">
        <f t="shared" si="867"/>
        <v>NA</v>
      </c>
      <c r="AB1044" s="10" t="str">
        <f t="shared" si="868"/>
        <v>NA</v>
      </c>
      <c r="AC1044" s="10" t="str">
        <f t="shared" si="869"/>
        <v>NA</v>
      </c>
      <c r="AD1044" s="10" t="str">
        <f t="shared" si="870"/>
        <v>NA</v>
      </c>
      <c r="AE1044" s="10" t="str">
        <f t="shared" si="871"/>
        <v>NA</v>
      </c>
      <c r="AF1044" s="1" t="s">
        <v>4435</v>
      </c>
    </row>
    <row r="1045" spans="1:32" x14ac:dyDescent="0.2">
      <c r="A1045" s="1" t="s">
        <v>5831</v>
      </c>
      <c r="B1045" s="1" t="s">
        <v>5</v>
      </c>
      <c r="C1045" s="1" t="s">
        <v>1575</v>
      </c>
      <c r="D1045" s="1" t="s">
        <v>1584</v>
      </c>
      <c r="E1045" s="1" t="s">
        <v>1586</v>
      </c>
      <c r="F1045" s="1" t="s">
        <v>66</v>
      </c>
      <c r="G1045" s="4">
        <v>1</v>
      </c>
      <c r="H1045" s="28">
        <v>41547</v>
      </c>
      <c r="I1045" s="29">
        <f t="shared" si="813"/>
        <v>2013</v>
      </c>
      <c r="J1045" s="1" t="s">
        <v>4432</v>
      </c>
      <c r="K1045" s="1" t="s">
        <v>7</v>
      </c>
      <c r="L1045" s="11" t="str">
        <f t="shared" si="861"/>
        <v>НЕТ</v>
      </c>
      <c r="M1045" s="10">
        <v>110</v>
      </c>
      <c r="N1045" s="10" t="s">
        <v>1575</v>
      </c>
      <c r="O1045" s="10">
        <v>3.51</v>
      </c>
      <c r="P1045" s="10">
        <f t="shared" si="862"/>
        <v>3.51</v>
      </c>
      <c r="Q1045" s="10" t="str">
        <f t="shared" si="863"/>
        <v>NA</v>
      </c>
      <c r="R1045" s="10" t="s">
        <v>1575</v>
      </c>
      <c r="S1045" s="10" t="s">
        <v>1575</v>
      </c>
      <c r="T1045" s="10" t="s">
        <v>1575</v>
      </c>
      <c r="U1045" s="10" t="s">
        <v>1575</v>
      </c>
      <c r="V1045" s="10" t="s">
        <v>1575</v>
      </c>
      <c r="W1045" s="10" t="s">
        <v>1575</v>
      </c>
      <c r="X1045" s="10" t="str">
        <f t="shared" si="864"/>
        <v>NA</v>
      </c>
      <c r="Y1045" s="10" t="str">
        <f t="shared" si="865"/>
        <v>NA</v>
      </c>
      <c r="Z1045" s="10" t="str">
        <f t="shared" si="866"/>
        <v>NA</v>
      </c>
      <c r="AA1045" s="10" t="str">
        <f t="shared" si="867"/>
        <v>NA</v>
      </c>
      <c r="AB1045" s="10" t="str">
        <f t="shared" si="868"/>
        <v>NA</v>
      </c>
      <c r="AC1045" s="10" t="str">
        <f t="shared" si="869"/>
        <v>NA</v>
      </c>
      <c r="AD1045" s="10" t="str">
        <f t="shared" si="870"/>
        <v>NA</v>
      </c>
      <c r="AE1045" s="10" t="str">
        <f t="shared" si="871"/>
        <v>NA</v>
      </c>
      <c r="AF1045" s="1" t="s">
        <v>4436</v>
      </c>
    </row>
    <row r="1046" spans="1:32" x14ac:dyDescent="0.2">
      <c r="A1046" s="1" t="s">
        <v>5832</v>
      </c>
      <c r="B1046" s="1" t="s">
        <v>5</v>
      </c>
      <c r="C1046" s="1" t="s">
        <v>1575</v>
      </c>
      <c r="D1046" s="1" t="s">
        <v>1580</v>
      </c>
      <c r="E1046" s="1" t="s">
        <v>1581</v>
      </c>
      <c r="F1046" s="1" t="s">
        <v>67</v>
      </c>
      <c r="G1046" s="4">
        <v>0.98899999999999999</v>
      </c>
      <c r="H1046" s="28">
        <v>41547</v>
      </c>
      <c r="I1046" s="29">
        <f t="shared" si="813"/>
        <v>2013</v>
      </c>
      <c r="J1046" s="1" t="s">
        <v>7</v>
      </c>
      <c r="K1046" s="1" t="s">
        <v>4432</v>
      </c>
      <c r="L1046" s="11" t="str">
        <f t="shared" si="861"/>
        <v>НЕТ</v>
      </c>
      <c r="M1046" s="10" t="s">
        <v>1575</v>
      </c>
      <c r="N1046" s="10" t="s">
        <v>1575</v>
      </c>
      <c r="O1046" s="10">
        <v>9.39</v>
      </c>
      <c r="P1046" s="10">
        <f t="shared" si="862"/>
        <v>9.4944388270980795</v>
      </c>
      <c r="Q1046" s="10" t="str">
        <f t="shared" si="863"/>
        <v>NA</v>
      </c>
      <c r="R1046" s="10" t="s">
        <v>1575</v>
      </c>
      <c r="S1046" s="10" t="s">
        <v>1575</v>
      </c>
      <c r="T1046" s="10" t="s">
        <v>1575</v>
      </c>
      <c r="U1046" s="10" t="s">
        <v>1575</v>
      </c>
      <c r="V1046" s="10">
        <v>6.6459999999999999</v>
      </c>
      <c r="W1046" s="10" t="s">
        <v>1575</v>
      </c>
      <c r="X1046" s="10" t="str">
        <f t="shared" si="864"/>
        <v>NA</v>
      </c>
      <c r="Y1046" s="10" t="str">
        <f t="shared" si="865"/>
        <v>NA</v>
      </c>
      <c r="Z1046" s="10" t="str">
        <f t="shared" si="866"/>
        <v>NA</v>
      </c>
      <c r="AA1046" s="10">
        <f t="shared" si="867"/>
        <v>1.4285944669121395</v>
      </c>
      <c r="AB1046" s="10" t="str">
        <f t="shared" si="868"/>
        <v>NA</v>
      </c>
      <c r="AC1046" s="10" t="str">
        <f t="shared" si="869"/>
        <v>NA</v>
      </c>
      <c r="AD1046" s="10" t="str">
        <f t="shared" si="870"/>
        <v>NA</v>
      </c>
      <c r="AE1046" s="10" t="str">
        <f t="shared" si="871"/>
        <v>NA</v>
      </c>
      <c r="AF1046" s="1" t="s">
        <v>4437</v>
      </c>
    </row>
    <row r="1047" spans="1:32" x14ac:dyDescent="0.2">
      <c r="A1047" s="1" t="s">
        <v>5833</v>
      </c>
      <c r="B1047" s="1" t="s">
        <v>5</v>
      </c>
      <c r="C1047" s="1" t="s">
        <v>1575</v>
      </c>
      <c r="D1047" s="1" t="s">
        <v>1597</v>
      </c>
      <c r="E1047" s="1" t="s">
        <v>4429</v>
      </c>
      <c r="F1047" s="1" t="s">
        <v>65</v>
      </c>
      <c r="G1047" s="4">
        <v>0.245</v>
      </c>
      <c r="H1047" s="28">
        <v>41517</v>
      </c>
      <c r="I1047" s="29">
        <f t="shared" si="813"/>
        <v>2013</v>
      </c>
      <c r="J1047" s="1" t="s">
        <v>4432</v>
      </c>
      <c r="K1047" s="1" t="s">
        <v>7</v>
      </c>
      <c r="L1047" s="11" t="str">
        <f t="shared" si="861"/>
        <v>НЕТ</v>
      </c>
      <c r="M1047" s="10" t="s">
        <v>1575</v>
      </c>
      <c r="N1047" s="10" t="s">
        <v>1575</v>
      </c>
      <c r="O1047" s="10">
        <v>10.438000000000001</v>
      </c>
      <c r="P1047" s="10">
        <f t="shared" si="862"/>
        <v>42.604081632653063</v>
      </c>
      <c r="Q1047" s="10" t="str">
        <f t="shared" si="863"/>
        <v>NA</v>
      </c>
      <c r="R1047" s="10" t="s">
        <v>1575</v>
      </c>
      <c r="S1047" s="10" t="s">
        <v>1575</v>
      </c>
      <c r="T1047" s="10" t="s">
        <v>1575</v>
      </c>
      <c r="U1047" s="10" t="s">
        <v>1575</v>
      </c>
      <c r="V1047" s="10" t="s">
        <v>1575</v>
      </c>
      <c r="W1047" s="10" t="s">
        <v>1575</v>
      </c>
      <c r="X1047" s="10" t="str">
        <f t="shared" si="864"/>
        <v>NA</v>
      </c>
      <c r="Y1047" s="10" t="str">
        <f t="shared" si="865"/>
        <v>NA</v>
      </c>
      <c r="Z1047" s="10" t="str">
        <f t="shared" si="866"/>
        <v>NA</v>
      </c>
      <c r="AA1047" s="10" t="str">
        <f t="shared" si="867"/>
        <v>NA</v>
      </c>
      <c r="AB1047" s="10" t="str">
        <f t="shared" si="868"/>
        <v>NA</v>
      </c>
      <c r="AC1047" s="10" t="str">
        <f t="shared" si="869"/>
        <v>NA</v>
      </c>
      <c r="AD1047" s="10" t="str">
        <f t="shared" si="870"/>
        <v>NA</v>
      </c>
      <c r="AE1047" s="10" t="str">
        <f t="shared" si="871"/>
        <v>NA</v>
      </c>
      <c r="AF1047" s="1" t="s">
        <v>4438</v>
      </c>
    </row>
    <row r="1048" spans="1:32" x14ac:dyDescent="0.2">
      <c r="A1048" s="1" t="s">
        <v>5834</v>
      </c>
      <c r="B1048" s="1" t="s">
        <v>5</v>
      </c>
      <c r="C1048" s="1" t="s">
        <v>1575</v>
      </c>
      <c r="D1048" s="1" t="s">
        <v>1597</v>
      </c>
      <c r="E1048" s="1" t="s">
        <v>4429</v>
      </c>
      <c r="F1048" s="1" t="s">
        <v>65</v>
      </c>
      <c r="G1048" s="4">
        <v>0.13800000000000001</v>
      </c>
      <c r="H1048" s="28">
        <v>41517</v>
      </c>
      <c r="I1048" s="29">
        <f t="shared" si="813"/>
        <v>2013</v>
      </c>
      <c r="J1048" s="1" t="s">
        <v>4432</v>
      </c>
      <c r="K1048" s="1" t="s">
        <v>7</v>
      </c>
      <c r="L1048" s="11" t="str">
        <f t="shared" si="861"/>
        <v>НЕТ</v>
      </c>
      <c r="M1048" s="10" t="s">
        <v>1575</v>
      </c>
      <c r="N1048" s="10" t="s">
        <v>1575</v>
      </c>
      <c r="O1048" s="10">
        <v>2.2120000000000002</v>
      </c>
      <c r="P1048" s="10">
        <f t="shared" si="862"/>
        <v>16.028985507246375</v>
      </c>
      <c r="Q1048" s="10" t="str">
        <f t="shared" si="863"/>
        <v>NA</v>
      </c>
      <c r="R1048" s="10" t="s">
        <v>1575</v>
      </c>
      <c r="S1048" s="10" t="s">
        <v>1575</v>
      </c>
      <c r="T1048" s="10" t="s">
        <v>1575</v>
      </c>
      <c r="U1048" s="10" t="s">
        <v>1575</v>
      </c>
      <c r="V1048" s="10" t="s">
        <v>1575</v>
      </c>
      <c r="W1048" s="10" t="s">
        <v>1575</v>
      </c>
      <c r="X1048" s="10" t="str">
        <f t="shared" si="864"/>
        <v>NA</v>
      </c>
      <c r="Y1048" s="10" t="str">
        <f t="shared" si="865"/>
        <v>NA</v>
      </c>
      <c r="Z1048" s="10" t="str">
        <f t="shared" si="866"/>
        <v>NA</v>
      </c>
      <c r="AA1048" s="10" t="str">
        <f t="shared" si="867"/>
        <v>NA</v>
      </c>
      <c r="AB1048" s="10" t="str">
        <f t="shared" si="868"/>
        <v>NA</v>
      </c>
      <c r="AC1048" s="10" t="str">
        <f t="shared" si="869"/>
        <v>NA</v>
      </c>
      <c r="AD1048" s="10" t="str">
        <f t="shared" si="870"/>
        <v>NA</v>
      </c>
      <c r="AE1048" s="10" t="str">
        <f t="shared" si="871"/>
        <v>NA</v>
      </c>
      <c r="AF1048" s="1" t="s">
        <v>4438</v>
      </c>
    </row>
    <row r="1049" spans="1:32" x14ac:dyDescent="0.2">
      <c r="A1049" s="1" t="s">
        <v>3749</v>
      </c>
      <c r="B1049" s="1" t="s">
        <v>5</v>
      </c>
      <c r="C1049" s="1" t="s">
        <v>3758</v>
      </c>
      <c r="D1049" s="1" t="s">
        <v>1615</v>
      </c>
      <c r="E1049" s="1" t="s">
        <v>1616</v>
      </c>
      <c r="F1049" s="1" t="s">
        <v>3755</v>
      </c>
      <c r="G1049" s="4">
        <v>0.1052</v>
      </c>
      <c r="H1049" s="28">
        <v>41578</v>
      </c>
      <c r="I1049" s="29">
        <f t="shared" ref="I1049:I1151" si="882">YEAR(H1049)</f>
        <v>2013</v>
      </c>
      <c r="J1049" s="1" t="s">
        <v>4432</v>
      </c>
      <c r="K1049" s="1" t="s">
        <v>7</v>
      </c>
      <c r="L1049" s="11" t="str">
        <f t="shared" si="861"/>
        <v>НЕТ</v>
      </c>
      <c r="M1049" s="10" t="s">
        <v>1575</v>
      </c>
      <c r="N1049" s="10" t="s">
        <v>1575</v>
      </c>
      <c r="O1049" s="10">
        <v>8.1039999999999992</v>
      </c>
      <c r="P1049" s="10">
        <f t="shared" si="862"/>
        <v>77.034220532319381</v>
      </c>
      <c r="Q1049" s="10" t="str">
        <f t="shared" si="863"/>
        <v>NA</v>
      </c>
      <c r="R1049" s="10" t="s">
        <v>1575</v>
      </c>
      <c r="S1049" s="10" t="s">
        <v>1575</v>
      </c>
      <c r="T1049" s="10" t="s">
        <v>1575</v>
      </c>
      <c r="U1049" s="10" t="s">
        <v>1575</v>
      </c>
      <c r="V1049" s="10" t="s">
        <v>1575</v>
      </c>
      <c r="W1049" s="10" t="s">
        <v>1575</v>
      </c>
      <c r="X1049" s="10" t="str">
        <f t="shared" si="864"/>
        <v>NA</v>
      </c>
      <c r="Y1049" s="10" t="str">
        <f t="shared" si="865"/>
        <v>NA</v>
      </c>
      <c r="Z1049" s="10" t="str">
        <f t="shared" si="866"/>
        <v>NA</v>
      </c>
      <c r="AA1049" s="10" t="str">
        <f t="shared" si="867"/>
        <v>NA</v>
      </c>
      <c r="AB1049" s="10" t="str">
        <f t="shared" si="868"/>
        <v>NA</v>
      </c>
      <c r="AC1049" s="10" t="str">
        <f t="shared" si="869"/>
        <v>NA</v>
      </c>
      <c r="AD1049" s="10" t="str">
        <f t="shared" si="870"/>
        <v>NA</v>
      </c>
      <c r="AE1049" s="10" t="str">
        <f t="shared" si="871"/>
        <v>NA</v>
      </c>
      <c r="AF1049" s="1" t="s">
        <v>4440</v>
      </c>
    </row>
    <row r="1050" spans="1:32" x14ac:dyDescent="0.2">
      <c r="A1050" s="1" t="s">
        <v>5835</v>
      </c>
      <c r="B1050" s="1" t="s">
        <v>5</v>
      </c>
      <c r="C1050" s="1" t="s">
        <v>1575</v>
      </c>
      <c r="D1050" s="1" t="s">
        <v>1597</v>
      </c>
      <c r="E1050" s="1" t="s">
        <v>4429</v>
      </c>
      <c r="F1050" s="1" t="s">
        <v>65</v>
      </c>
      <c r="G1050" s="4">
        <v>0.26</v>
      </c>
      <c r="H1050" s="28">
        <v>40999</v>
      </c>
      <c r="I1050" s="29">
        <f t="shared" si="882"/>
        <v>2012</v>
      </c>
      <c r="J1050" s="1" t="s">
        <v>4432</v>
      </c>
      <c r="K1050" s="1" t="s">
        <v>7</v>
      </c>
      <c r="L1050" s="11" t="str">
        <f t="shared" si="861"/>
        <v>НЕТ</v>
      </c>
      <c r="M1050" s="10">
        <v>19</v>
      </c>
      <c r="N1050" s="10" t="s">
        <v>1575</v>
      </c>
      <c r="O1050" s="10">
        <v>0.55400000000000005</v>
      </c>
      <c r="P1050" s="10">
        <f t="shared" si="862"/>
        <v>2.1307692307692307</v>
      </c>
      <c r="Q1050" s="10" t="str">
        <f t="shared" si="863"/>
        <v>NA</v>
      </c>
      <c r="R1050" s="10" t="s">
        <v>1575</v>
      </c>
      <c r="S1050" s="10" t="s">
        <v>1575</v>
      </c>
      <c r="T1050" s="10" t="s">
        <v>1575</v>
      </c>
      <c r="U1050" s="10" t="s">
        <v>1575</v>
      </c>
      <c r="V1050" s="10" t="s">
        <v>1575</v>
      </c>
      <c r="W1050" s="10" t="s">
        <v>1575</v>
      </c>
      <c r="X1050" s="10" t="str">
        <f t="shared" si="864"/>
        <v>NA</v>
      </c>
      <c r="Y1050" s="10" t="str">
        <f t="shared" si="865"/>
        <v>NA</v>
      </c>
      <c r="Z1050" s="10" t="str">
        <f t="shared" si="866"/>
        <v>NA</v>
      </c>
      <c r="AA1050" s="10" t="str">
        <f t="shared" si="867"/>
        <v>NA</v>
      </c>
      <c r="AB1050" s="10" t="str">
        <f t="shared" si="868"/>
        <v>NA</v>
      </c>
      <c r="AC1050" s="10" t="str">
        <f t="shared" si="869"/>
        <v>NA</v>
      </c>
      <c r="AD1050" s="10" t="str">
        <f t="shared" si="870"/>
        <v>NA</v>
      </c>
      <c r="AE1050" s="10" t="str">
        <f t="shared" si="871"/>
        <v>NA</v>
      </c>
      <c r="AF1050" s="1" t="s">
        <v>4439</v>
      </c>
    </row>
    <row r="1051" spans="1:32" x14ac:dyDescent="0.2">
      <c r="A1051" s="1" t="s">
        <v>5836</v>
      </c>
      <c r="B1051" s="1" t="s">
        <v>5</v>
      </c>
      <c r="C1051" s="1" t="s">
        <v>1575</v>
      </c>
      <c r="D1051" s="1" t="s">
        <v>1597</v>
      </c>
      <c r="E1051" s="1" t="s">
        <v>4429</v>
      </c>
      <c r="F1051" s="1" t="s">
        <v>65</v>
      </c>
      <c r="G1051" s="4">
        <v>0.49</v>
      </c>
      <c r="H1051" s="28">
        <v>41060</v>
      </c>
      <c r="I1051" s="29">
        <f t="shared" si="882"/>
        <v>2012</v>
      </c>
      <c r="J1051" s="1" t="s">
        <v>4432</v>
      </c>
      <c r="K1051" s="1" t="s">
        <v>7</v>
      </c>
      <c r="L1051" s="11" t="str">
        <f t="shared" si="861"/>
        <v>НЕТ</v>
      </c>
      <c r="M1051" s="10" t="s">
        <v>1575</v>
      </c>
      <c r="N1051" s="10" t="s">
        <v>1575</v>
      </c>
      <c r="O1051" s="10">
        <v>3.6</v>
      </c>
      <c r="P1051" s="10">
        <f t="shared" si="862"/>
        <v>7.3469387755102042</v>
      </c>
      <c r="Q1051" s="10" t="str">
        <f t="shared" si="863"/>
        <v>NA</v>
      </c>
      <c r="R1051" s="10" t="s">
        <v>1575</v>
      </c>
      <c r="S1051" s="10" t="s">
        <v>1575</v>
      </c>
      <c r="T1051" s="10" t="s">
        <v>1575</v>
      </c>
      <c r="U1051" s="10" t="s">
        <v>1575</v>
      </c>
      <c r="V1051" s="10" t="s">
        <v>1575</v>
      </c>
      <c r="W1051" s="10" t="s">
        <v>1575</v>
      </c>
      <c r="X1051" s="10" t="str">
        <f t="shared" si="864"/>
        <v>NA</v>
      </c>
      <c r="Y1051" s="10" t="str">
        <f t="shared" si="865"/>
        <v>NA</v>
      </c>
      <c r="Z1051" s="10" t="str">
        <f t="shared" si="866"/>
        <v>NA</v>
      </c>
      <c r="AA1051" s="10" t="str">
        <f t="shared" si="867"/>
        <v>NA</v>
      </c>
      <c r="AB1051" s="10" t="str">
        <f t="shared" si="868"/>
        <v>NA</v>
      </c>
      <c r="AC1051" s="10" t="str">
        <f t="shared" si="869"/>
        <v>NA</v>
      </c>
      <c r="AD1051" s="10" t="str">
        <f t="shared" si="870"/>
        <v>NA</v>
      </c>
      <c r="AE1051" s="10" t="str">
        <f t="shared" si="871"/>
        <v>NA</v>
      </c>
      <c r="AF1051" s="1" t="s">
        <v>4441</v>
      </c>
    </row>
    <row r="1052" spans="1:32" x14ac:dyDescent="0.2">
      <c r="A1052" s="1" t="s">
        <v>5837</v>
      </c>
      <c r="B1052" s="1" t="s">
        <v>5</v>
      </c>
      <c r="C1052" s="1" t="s">
        <v>1575</v>
      </c>
      <c r="D1052" s="1" t="s">
        <v>1615</v>
      </c>
      <c r="E1052" s="1" t="s">
        <v>1616</v>
      </c>
      <c r="F1052" s="1" t="s">
        <v>49</v>
      </c>
      <c r="G1052" s="4">
        <v>1</v>
      </c>
      <c r="H1052" s="28">
        <v>40574</v>
      </c>
      <c r="I1052" s="29">
        <f t="shared" si="882"/>
        <v>2011</v>
      </c>
      <c r="J1052" s="1" t="s">
        <v>3749</v>
      </c>
      <c r="K1052" s="1" t="s">
        <v>4443</v>
      </c>
      <c r="L1052" s="11" t="str">
        <f t="shared" si="861"/>
        <v>НЕТ</v>
      </c>
      <c r="M1052" s="10">
        <v>2153</v>
      </c>
      <c r="N1052" s="10" t="s">
        <v>1575</v>
      </c>
      <c r="O1052" s="10">
        <v>64.406000000000006</v>
      </c>
      <c r="P1052" s="10">
        <f t="shared" si="862"/>
        <v>64.406000000000006</v>
      </c>
      <c r="Q1052" s="10" t="str">
        <f t="shared" si="863"/>
        <v>NA</v>
      </c>
      <c r="R1052" s="10" t="s">
        <v>1575</v>
      </c>
      <c r="S1052" s="10" t="s">
        <v>1575</v>
      </c>
      <c r="T1052" s="10" t="s">
        <v>1575</v>
      </c>
      <c r="U1052" s="10" t="s">
        <v>1575</v>
      </c>
      <c r="V1052" s="10" t="s">
        <v>1575</v>
      </c>
      <c r="W1052" s="10" t="s">
        <v>1575</v>
      </c>
      <c r="X1052" s="10" t="str">
        <f t="shared" si="864"/>
        <v>NA</v>
      </c>
      <c r="Y1052" s="10" t="str">
        <f t="shared" si="865"/>
        <v>NA</v>
      </c>
      <c r="Z1052" s="10" t="str">
        <f t="shared" si="866"/>
        <v>NA</v>
      </c>
      <c r="AA1052" s="10" t="str">
        <f t="shared" si="867"/>
        <v>NA</v>
      </c>
      <c r="AB1052" s="10" t="str">
        <f t="shared" si="868"/>
        <v>NA</v>
      </c>
      <c r="AC1052" s="10" t="str">
        <f t="shared" si="869"/>
        <v>NA</v>
      </c>
      <c r="AD1052" s="10" t="str">
        <f t="shared" si="870"/>
        <v>NA</v>
      </c>
      <c r="AE1052" s="10" t="str">
        <f t="shared" si="871"/>
        <v>NA</v>
      </c>
      <c r="AF1052" s="1" t="s">
        <v>4442</v>
      </c>
    </row>
    <row r="1053" spans="1:32" x14ac:dyDescent="0.2">
      <c r="A1053" s="1" t="s">
        <v>3749</v>
      </c>
      <c r="B1053" s="1" t="s">
        <v>5</v>
      </c>
      <c r="C1053" s="1" t="s">
        <v>3758</v>
      </c>
      <c r="D1053" s="1" t="s">
        <v>1615</v>
      </c>
      <c r="E1053" s="1" t="s">
        <v>1616</v>
      </c>
      <c r="F1053" s="1" t="s">
        <v>3755</v>
      </c>
      <c r="G1053" s="4">
        <v>0.2505</v>
      </c>
      <c r="H1053" s="28">
        <v>40574</v>
      </c>
      <c r="I1053" s="29">
        <f t="shared" si="882"/>
        <v>2011</v>
      </c>
      <c r="J1053" s="1" t="s">
        <v>4443</v>
      </c>
      <c r="K1053" s="1" t="s">
        <v>7</v>
      </c>
      <c r="L1053" s="11" t="str">
        <f t="shared" si="861"/>
        <v>НЕТ</v>
      </c>
      <c r="M1053" s="10" t="s">
        <v>1575</v>
      </c>
      <c r="N1053" s="10" t="s">
        <v>1575</v>
      </c>
      <c r="O1053" s="10">
        <f>36.378-33.484</f>
        <v>2.8939999999999984</v>
      </c>
      <c r="P1053" s="10">
        <f t="shared" si="862"/>
        <v>11.55289421157684</v>
      </c>
      <c r="Q1053" s="10">
        <f t="shared" si="863"/>
        <v>11.872657846376839</v>
      </c>
      <c r="R1053" s="10" t="s">
        <v>1575</v>
      </c>
      <c r="S1053" s="10" t="s">
        <v>1575</v>
      </c>
      <c r="T1053" s="10" t="s">
        <v>1575</v>
      </c>
      <c r="U1053" s="10" t="s">
        <v>1575</v>
      </c>
      <c r="V1053" s="10">
        <v>30.150736216200002</v>
      </c>
      <c r="W1053" s="10">
        <v>0.31976363479999992</v>
      </c>
      <c r="X1053" s="10">
        <f t="shared" ref="X1053:X1056" si="883">IFERROR(V1053+W1053,"NA")</f>
        <v>30.470499851000003</v>
      </c>
      <c r="Y1053" s="10" t="str">
        <f t="shared" ref="Y1053:Y1056" si="884">IFERROR(P1053/R1053,"NA")</f>
        <v>NA</v>
      </c>
      <c r="Z1053" s="10" t="str">
        <f t="shared" ref="Z1053:Z1056" si="885">IFERROR(P1053/U1053,"NA")</f>
        <v>NA</v>
      </c>
      <c r="AA1053" s="10">
        <f t="shared" ref="AA1053:AA1056" si="886">IFERROR(P1053/V1053,"NA")</f>
        <v>0.38317121441862056</v>
      </c>
      <c r="AB1053" s="10" t="str">
        <f t="shared" ref="AB1053:AB1056" si="887">IFERROR(Q1053/R1053,"NA")</f>
        <v>NA</v>
      </c>
      <c r="AC1053" s="10" t="str">
        <f t="shared" ref="AC1053:AC1056" si="888">IFERROR(Q1053/S1053,"NA")</f>
        <v>NA</v>
      </c>
      <c r="AD1053" s="10" t="str">
        <f t="shared" ref="AD1053:AD1056" si="889">IFERROR(Q1053/T1053,"NA")</f>
        <v>NA</v>
      </c>
      <c r="AE1053" s="10">
        <f t="shared" ref="AE1053:AE1056" si="890">IFERROR(Q1053/X1053,"NA")</f>
        <v>0.3896443413936051</v>
      </c>
      <c r="AF1053" s="1" t="s">
        <v>4444</v>
      </c>
    </row>
    <row r="1054" spans="1:32" x14ac:dyDescent="0.2">
      <c r="A1054" s="1" t="s">
        <v>5838</v>
      </c>
      <c r="B1054" s="1" t="s">
        <v>5</v>
      </c>
      <c r="C1054" s="1" t="s">
        <v>1575</v>
      </c>
      <c r="D1054" s="1" t="s">
        <v>1597</v>
      </c>
      <c r="E1054" s="1" t="s">
        <v>1699</v>
      </c>
      <c r="F1054" s="1" t="s">
        <v>5165</v>
      </c>
      <c r="G1054" s="4">
        <v>0.76</v>
      </c>
      <c r="H1054" s="28">
        <v>44756</v>
      </c>
      <c r="I1054" s="29">
        <f t="shared" si="882"/>
        <v>2022</v>
      </c>
      <c r="J1054" s="1" t="s">
        <v>5167</v>
      </c>
      <c r="K1054" s="1" t="s">
        <v>7</v>
      </c>
      <c r="L1054" s="11" t="str">
        <f t="shared" ref="L1054:L1056" si="891">IF(OR(A1054=J1054,A1054=K1054),"ДА","НЕТ")</f>
        <v>НЕТ</v>
      </c>
      <c r="M1054" s="10" t="s">
        <v>1575</v>
      </c>
      <c r="N1054" s="10" t="s">
        <v>1575</v>
      </c>
      <c r="O1054" s="10">
        <v>0.16719999999999999</v>
      </c>
      <c r="P1054" s="10">
        <f t="shared" si="862"/>
        <v>0.21999999999999997</v>
      </c>
      <c r="Q1054" s="10">
        <f t="shared" si="863"/>
        <v>0.21642999999999996</v>
      </c>
      <c r="R1054" s="10" t="s">
        <v>1575</v>
      </c>
      <c r="S1054" s="10" t="s">
        <v>1575</v>
      </c>
      <c r="T1054" s="10" t="s">
        <v>1575</v>
      </c>
      <c r="U1054" s="10" t="s">
        <v>1575</v>
      </c>
      <c r="V1054" s="10">
        <v>8.4734000000000004E-2</v>
      </c>
      <c r="W1054" s="10">
        <f>0.022327+0.000047-0.000022-0.025922</f>
        <v>-3.5700000000000037E-3</v>
      </c>
      <c r="X1054" s="10">
        <f t="shared" si="883"/>
        <v>8.1164E-2</v>
      </c>
      <c r="Y1054" s="10" t="str">
        <f t="shared" si="884"/>
        <v>NA</v>
      </c>
      <c r="Z1054" s="10" t="str">
        <f t="shared" si="885"/>
        <v>NA</v>
      </c>
      <c r="AA1054" s="10">
        <f t="shared" si="886"/>
        <v>2.5963603748200246</v>
      </c>
      <c r="AB1054" s="10" t="str">
        <f t="shared" si="887"/>
        <v>NA</v>
      </c>
      <c r="AC1054" s="10" t="str">
        <f t="shared" si="888"/>
        <v>NA</v>
      </c>
      <c r="AD1054" s="10" t="str">
        <f t="shared" si="889"/>
        <v>NA</v>
      </c>
      <c r="AE1054" s="10">
        <f t="shared" si="890"/>
        <v>2.6665763146222456</v>
      </c>
      <c r="AF1054" s="1" t="s">
        <v>5163</v>
      </c>
    </row>
    <row r="1055" spans="1:32" x14ac:dyDescent="0.2">
      <c r="A1055" s="1" t="s">
        <v>5839</v>
      </c>
      <c r="B1055" s="1" t="s">
        <v>5</v>
      </c>
      <c r="C1055" s="1" t="s">
        <v>1575</v>
      </c>
      <c r="D1055" s="1" t="s">
        <v>1597</v>
      </c>
      <c r="E1055" s="1" t="s">
        <v>1699</v>
      </c>
      <c r="F1055" s="1" t="s">
        <v>5166</v>
      </c>
      <c r="G1055" s="4">
        <v>1</v>
      </c>
      <c r="H1055" s="28">
        <v>44812</v>
      </c>
      <c r="I1055" s="29">
        <f t="shared" si="882"/>
        <v>2022</v>
      </c>
      <c r="J1055" s="1" t="s">
        <v>5167</v>
      </c>
      <c r="K1055" s="1" t="s">
        <v>7</v>
      </c>
      <c r="L1055" s="11" t="str">
        <f t="shared" si="891"/>
        <v>НЕТ</v>
      </c>
      <c r="M1055" s="10" t="s">
        <v>1575</v>
      </c>
      <c r="N1055" s="10" t="s">
        <v>1575</v>
      </c>
      <c r="O1055" s="10">
        <v>0.21384300000000001</v>
      </c>
      <c r="P1055" s="10">
        <f t="shared" si="862"/>
        <v>0.21384300000000001</v>
      </c>
      <c r="Q1055" s="10">
        <f t="shared" si="863"/>
        <v>0.49460999999999999</v>
      </c>
      <c r="R1055" s="10" t="s">
        <v>1575</v>
      </c>
      <c r="S1055" s="10" t="s">
        <v>1575</v>
      </c>
      <c r="T1055" s="10" t="s">
        <v>1575</v>
      </c>
      <c r="U1055" s="10" t="s">
        <v>1575</v>
      </c>
      <c r="V1055" s="10">
        <v>0.172511</v>
      </c>
      <c r="W1055" s="10">
        <f>0.231412+0.048105+0.001575-0.000325</f>
        <v>0.28076699999999999</v>
      </c>
      <c r="X1055" s="10">
        <f t="shared" si="883"/>
        <v>0.45327799999999996</v>
      </c>
      <c r="Y1055" s="10" t="str">
        <f t="shared" si="884"/>
        <v>NA</v>
      </c>
      <c r="Z1055" s="10" t="str">
        <f t="shared" si="885"/>
        <v>NA</v>
      </c>
      <c r="AA1055" s="10">
        <f t="shared" si="886"/>
        <v>1.2395905188654637</v>
      </c>
      <c r="AB1055" s="10" t="str">
        <f t="shared" si="887"/>
        <v>NA</v>
      </c>
      <c r="AC1055" s="10" t="str">
        <f t="shared" si="888"/>
        <v>NA</v>
      </c>
      <c r="AD1055" s="10" t="str">
        <f t="shared" si="889"/>
        <v>NA</v>
      </c>
      <c r="AE1055" s="10">
        <f t="shared" si="890"/>
        <v>1.0911846593040033</v>
      </c>
      <c r="AF1055" s="1" t="s">
        <v>5164</v>
      </c>
    </row>
    <row r="1056" spans="1:32" x14ac:dyDescent="0.2">
      <c r="A1056" s="1" t="s">
        <v>5840</v>
      </c>
      <c r="B1056" s="1" t="s">
        <v>5</v>
      </c>
      <c r="C1056" s="1" t="s">
        <v>1575</v>
      </c>
      <c r="D1056" s="1" t="s">
        <v>1597</v>
      </c>
      <c r="E1056" s="1" t="s">
        <v>1699</v>
      </c>
      <c r="F1056" s="1" t="s">
        <v>5165</v>
      </c>
      <c r="G1056" s="4">
        <v>0.96</v>
      </c>
      <c r="H1056" s="28">
        <v>44813</v>
      </c>
      <c r="I1056" s="29">
        <f t="shared" si="882"/>
        <v>2022</v>
      </c>
      <c r="J1056" s="1" t="s">
        <v>5167</v>
      </c>
      <c r="K1056" s="1" t="s">
        <v>7</v>
      </c>
      <c r="L1056" s="11" t="str">
        <f t="shared" si="891"/>
        <v>НЕТ</v>
      </c>
      <c r="M1056" s="10" t="s">
        <v>1575</v>
      </c>
      <c r="N1056" s="10" t="s">
        <v>1575</v>
      </c>
      <c r="O1056" s="10">
        <v>1.41069792</v>
      </c>
      <c r="P1056" s="10">
        <f t="shared" si="862"/>
        <v>1.4694770000000001</v>
      </c>
      <c r="Q1056" s="10">
        <f t="shared" si="863"/>
        <v>4.1727569999999998</v>
      </c>
      <c r="R1056" s="10" t="s">
        <v>1575</v>
      </c>
      <c r="S1056" s="10" t="s">
        <v>1575</v>
      </c>
      <c r="T1056" s="10" t="s">
        <v>1575</v>
      </c>
      <c r="U1056" s="10" t="s">
        <v>1575</v>
      </c>
      <c r="V1056" s="10">
        <v>1.27854</v>
      </c>
      <c r="W1056" s="10">
        <f>0.082203+0.178712+0.000058+2.951451-0.053904-0.45524</f>
        <v>2.7032799999999999</v>
      </c>
      <c r="X1056" s="10">
        <f t="shared" si="883"/>
        <v>3.9818199999999999</v>
      </c>
      <c r="Y1056" s="10" t="str">
        <f t="shared" si="884"/>
        <v>NA</v>
      </c>
      <c r="Z1056" s="10" t="str">
        <f t="shared" si="885"/>
        <v>NA</v>
      </c>
      <c r="AA1056" s="10">
        <f t="shared" si="886"/>
        <v>1.1493398720415475</v>
      </c>
      <c r="AB1056" s="10" t="str">
        <f t="shared" si="887"/>
        <v>NA</v>
      </c>
      <c r="AC1056" s="10" t="str">
        <f t="shared" si="888"/>
        <v>NA</v>
      </c>
      <c r="AD1056" s="10" t="str">
        <f t="shared" si="889"/>
        <v>NA</v>
      </c>
      <c r="AE1056" s="10">
        <f t="shared" si="890"/>
        <v>1.0479521927158937</v>
      </c>
      <c r="AF1056" s="1" t="s">
        <v>5168</v>
      </c>
    </row>
    <row r="1057" spans="1:32" x14ac:dyDescent="0.2">
      <c r="A1057" s="1" t="s">
        <v>5841</v>
      </c>
      <c r="B1057" s="1" t="s">
        <v>1144</v>
      </c>
      <c r="C1057" s="1" t="s">
        <v>1575</v>
      </c>
      <c r="D1057" s="1" t="s">
        <v>1600</v>
      </c>
      <c r="E1057" s="1" t="s">
        <v>1670</v>
      </c>
      <c r="F1057" s="1" t="s">
        <v>1142</v>
      </c>
      <c r="G1057" s="4">
        <v>8.2000000000000003E-2</v>
      </c>
      <c r="H1057" s="28">
        <v>44196</v>
      </c>
      <c r="I1057" s="29">
        <f t="shared" si="882"/>
        <v>2020</v>
      </c>
      <c r="J1057" s="1" t="s">
        <v>5842</v>
      </c>
      <c r="K1057" s="1" t="s">
        <v>4655</v>
      </c>
      <c r="L1057" s="11" t="str">
        <f t="shared" si="861"/>
        <v>НЕТ</v>
      </c>
      <c r="M1057" s="10">
        <v>70</v>
      </c>
      <c r="N1057" s="10" t="s">
        <v>1575</v>
      </c>
      <c r="O1057" s="10">
        <v>5.1319999999999997</v>
      </c>
      <c r="P1057" s="10">
        <f t="shared" si="862"/>
        <v>62.58536585365853</v>
      </c>
      <c r="Q1057" s="10" t="str">
        <f t="shared" si="863"/>
        <v>NA</v>
      </c>
      <c r="R1057" s="10">
        <v>33.466000000000001</v>
      </c>
      <c r="S1057" s="10" t="s">
        <v>1575</v>
      </c>
      <c r="T1057" s="10" t="s">
        <v>1575</v>
      </c>
      <c r="U1057" s="10">
        <v>9.0419999999999998</v>
      </c>
      <c r="V1057" s="10">
        <v>12.315</v>
      </c>
      <c r="W1057" s="10" t="s">
        <v>1575</v>
      </c>
      <c r="X1057" s="10" t="str">
        <f t="shared" si="864"/>
        <v>NA</v>
      </c>
      <c r="Y1057" s="10">
        <f t="shared" si="865"/>
        <v>1.8701179063425126</v>
      </c>
      <c r="Z1057" s="10">
        <f t="shared" si="866"/>
        <v>6.9216286058016516</v>
      </c>
      <c r="AA1057" s="10">
        <f t="shared" si="867"/>
        <v>5.0820435122743426</v>
      </c>
      <c r="AB1057" s="10" t="str">
        <f t="shared" si="868"/>
        <v>NA</v>
      </c>
      <c r="AC1057" s="10" t="str">
        <f t="shared" si="869"/>
        <v>NA</v>
      </c>
      <c r="AD1057" s="10" t="str">
        <f t="shared" si="870"/>
        <v>NA</v>
      </c>
      <c r="AE1057" s="10" t="str">
        <f t="shared" si="871"/>
        <v>NA</v>
      </c>
      <c r="AF1057" s="1" t="s">
        <v>1141</v>
      </c>
    </row>
    <row r="1058" spans="1:32" x14ac:dyDescent="0.2">
      <c r="A1058" s="1" t="s">
        <v>5841</v>
      </c>
      <c r="B1058" s="1" t="s">
        <v>1144</v>
      </c>
      <c r="C1058" s="1" t="s">
        <v>1575</v>
      </c>
      <c r="D1058" s="1" t="s">
        <v>1600</v>
      </c>
      <c r="E1058" s="1" t="s">
        <v>1670</v>
      </c>
      <c r="F1058" s="1" t="s">
        <v>1142</v>
      </c>
      <c r="G1058" s="4">
        <v>0.16400000000000001</v>
      </c>
      <c r="H1058" s="28">
        <v>43585</v>
      </c>
      <c r="I1058" s="29">
        <f t="shared" si="882"/>
        <v>2019</v>
      </c>
      <c r="J1058" s="1" t="s">
        <v>4655</v>
      </c>
      <c r="K1058" s="1" t="s">
        <v>7</v>
      </c>
      <c r="L1058" s="11" t="str">
        <f t="shared" si="861"/>
        <v>НЕТ</v>
      </c>
      <c r="M1058" s="10" t="s">
        <v>1575</v>
      </c>
      <c r="N1058" s="10" t="s">
        <v>1575</v>
      </c>
      <c r="O1058" s="10" t="s">
        <v>1575</v>
      </c>
      <c r="P1058" s="10" t="str">
        <f t="shared" si="862"/>
        <v>NA</v>
      </c>
      <c r="Q1058" s="10" t="str">
        <f t="shared" si="863"/>
        <v>NA</v>
      </c>
      <c r="R1058" s="10">
        <v>43.545999999999999</v>
      </c>
      <c r="S1058" s="10" t="s">
        <v>1575</v>
      </c>
      <c r="T1058" s="10" t="s">
        <v>1575</v>
      </c>
      <c r="U1058" s="10">
        <v>9.468</v>
      </c>
      <c r="V1058" s="10">
        <v>13.907</v>
      </c>
      <c r="W1058" s="10" t="s">
        <v>1575</v>
      </c>
      <c r="X1058" s="10" t="str">
        <f t="shared" si="864"/>
        <v>NA</v>
      </c>
      <c r="Y1058" s="10" t="str">
        <f t="shared" si="865"/>
        <v>NA</v>
      </c>
      <c r="Z1058" s="10" t="str">
        <f t="shared" si="866"/>
        <v>NA</v>
      </c>
      <c r="AA1058" s="10" t="str">
        <f t="shared" si="867"/>
        <v>NA</v>
      </c>
      <c r="AB1058" s="10" t="str">
        <f t="shared" si="868"/>
        <v>NA</v>
      </c>
      <c r="AC1058" s="10" t="str">
        <f t="shared" si="869"/>
        <v>NA</v>
      </c>
      <c r="AD1058" s="10" t="str">
        <f t="shared" si="870"/>
        <v>NA</v>
      </c>
      <c r="AE1058" s="10" t="str">
        <f t="shared" si="871"/>
        <v>NA</v>
      </c>
      <c r="AF1058" s="1" t="s">
        <v>1140</v>
      </c>
    </row>
    <row r="1059" spans="1:32" x14ac:dyDescent="0.2">
      <c r="A1059" s="1" t="s">
        <v>5843</v>
      </c>
      <c r="B1059" s="1" t="s">
        <v>5</v>
      </c>
      <c r="C1059" s="1" t="s">
        <v>1575</v>
      </c>
      <c r="D1059" s="1" t="s">
        <v>2160</v>
      </c>
      <c r="E1059" s="1" t="s">
        <v>4447</v>
      </c>
      <c r="F1059" s="1" t="s">
        <v>1143</v>
      </c>
      <c r="G1059" s="4">
        <v>1</v>
      </c>
      <c r="H1059" s="28">
        <v>43741</v>
      </c>
      <c r="I1059" s="29">
        <f t="shared" si="882"/>
        <v>2019</v>
      </c>
      <c r="J1059" s="1" t="s">
        <v>4655</v>
      </c>
      <c r="K1059" s="1" t="s">
        <v>5</v>
      </c>
      <c r="L1059" s="11" t="str">
        <f t="shared" si="861"/>
        <v>НЕТ</v>
      </c>
      <c r="M1059" s="10" t="s">
        <v>1575</v>
      </c>
      <c r="N1059" s="10" t="s">
        <v>1575</v>
      </c>
      <c r="O1059" s="10">
        <v>1.8859999999999999</v>
      </c>
      <c r="P1059" s="10">
        <f t="shared" si="862"/>
        <v>1.8859999999999999</v>
      </c>
      <c r="Q1059" s="10">
        <f t="shared" si="863"/>
        <v>8.2940000000000005</v>
      </c>
      <c r="R1059" s="10" t="s">
        <v>1575</v>
      </c>
      <c r="S1059" s="10" t="s">
        <v>1575</v>
      </c>
      <c r="T1059" s="10" t="s">
        <v>1575</v>
      </c>
      <c r="U1059" s="10" t="s">
        <v>1575</v>
      </c>
      <c r="V1059" s="10">
        <v>3.444</v>
      </c>
      <c r="W1059" s="10">
        <f>7.008-0.6</f>
        <v>6.4080000000000004</v>
      </c>
      <c r="X1059" s="10">
        <f t="shared" si="864"/>
        <v>9.8520000000000003</v>
      </c>
      <c r="Y1059" s="10" t="str">
        <f t="shared" si="865"/>
        <v>NA</v>
      </c>
      <c r="Z1059" s="10" t="str">
        <f t="shared" si="866"/>
        <v>NA</v>
      </c>
      <c r="AA1059" s="10">
        <f t="shared" si="867"/>
        <v>0.54761904761904756</v>
      </c>
      <c r="AB1059" s="10" t="str">
        <f t="shared" si="868"/>
        <v>NA</v>
      </c>
      <c r="AC1059" s="10" t="str">
        <f t="shared" si="869"/>
        <v>NA</v>
      </c>
      <c r="AD1059" s="10" t="str">
        <f t="shared" si="870"/>
        <v>NA</v>
      </c>
      <c r="AE1059" s="10">
        <f t="shared" si="871"/>
        <v>0.84185952090946004</v>
      </c>
      <c r="AF1059" s="1" t="s">
        <v>4445</v>
      </c>
    </row>
    <row r="1060" spans="1:32" x14ac:dyDescent="0.2">
      <c r="A1060" s="1" t="s">
        <v>5844</v>
      </c>
      <c r="B1060" s="1" t="s">
        <v>5</v>
      </c>
      <c r="C1060" s="1" t="s">
        <v>1575</v>
      </c>
      <c r="D1060" s="1" t="s">
        <v>1600</v>
      </c>
      <c r="E1060" s="1" t="s">
        <v>1670</v>
      </c>
      <c r="F1060" s="1" t="s">
        <v>1142</v>
      </c>
      <c r="G1060" s="4">
        <v>0.1</v>
      </c>
      <c r="H1060" s="28">
        <v>43300</v>
      </c>
      <c r="I1060" s="29">
        <f t="shared" si="882"/>
        <v>2018</v>
      </c>
      <c r="J1060" s="1" t="s">
        <v>4655</v>
      </c>
      <c r="K1060" s="1" t="s">
        <v>7</v>
      </c>
      <c r="L1060" s="11" t="str">
        <f t="shared" si="861"/>
        <v>НЕТ</v>
      </c>
      <c r="M1060" s="10" t="s">
        <v>1575</v>
      </c>
      <c r="N1060" s="10" t="s">
        <v>1575</v>
      </c>
      <c r="O1060" s="10">
        <v>12</v>
      </c>
      <c r="P1060" s="10">
        <f t="shared" si="862"/>
        <v>120</v>
      </c>
      <c r="Q1060" s="10" t="str">
        <f t="shared" si="863"/>
        <v>NA</v>
      </c>
      <c r="R1060" s="10">
        <v>44.265000000000001</v>
      </c>
      <c r="S1060" s="10" t="s">
        <v>1575</v>
      </c>
      <c r="T1060" s="10" t="s">
        <v>1575</v>
      </c>
      <c r="U1060" s="10">
        <v>15.638999999999999</v>
      </c>
      <c r="V1060" s="10">
        <f>2.959+25.601-1.966-2.358</f>
        <v>24.235999999999997</v>
      </c>
      <c r="W1060" s="10" t="s">
        <v>1575</v>
      </c>
      <c r="X1060" s="10" t="str">
        <f t="shared" si="864"/>
        <v>NA</v>
      </c>
      <c r="Y1060" s="10">
        <f t="shared" si="865"/>
        <v>2.7109454422229753</v>
      </c>
      <c r="Z1060" s="10">
        <f t="shared" si="866"/>
        <v>7.6731248801074239</v>
      </c>
      <c r="AA1060" s="10">
        <f t="shared" si="867"/>
        <v>4.9513120977058929</v>
      </c>
      <c r="AB1060" s="10" t="str">
        <f t="shared" si="868"/>
        <v>NA</v>
      </c>
      <c r="AC1060" s="10" t="str">
        <f t="shared" si="869"/>
        <v>NA</v>
      </c>
      <c r="AD1060" s="10" t="str">
        <f t="shared" si="870"/>
        <v>NA</v>
      </c>
      <c r="AE1060" s="10" t="str">
        <f t="shared" si="871"/>
        <v>NA</v>
      </c>
      <c r="AF1060" s="1" t="s">
        <v>4446</v>
      </c>
    </row>
    <row r="1061" spans="1:32" x14ac:dyDescent="0.2">
      <c r="A1061" s="1" t="s">
        <v>5845</v>
      </c>
      <c r="B1061" s="1" t="s">
        <v>5</v>
      </c>
      <c r="C1061" s="1" t="s">
        <v>1575</v>
      </c>
      <c r="D1061" s="1" t="s">
        <v>1580</v>
      </c>
      <c r="E1061" s="1" t="s">
        <v>1694</v>
      </c>
      <c r="F1061" s="1" t="s">
        <v>68</v>
      </c>
      <c r="G1061" s="4">
        <v>0.84699999999999998</v>
      </c>
      <c r="H1061" s="28">
        <v>42063</v>
      </c>
      <c r="I1061" s="29">
        <f t="shared" si="882"/>
        <v>2015</v>
      </c>
      <c r="J1061" s="1" t="s">
        <v>7</v>
      </c>
      <c r="K1061" s="1" t="s">
        <v>4655</v>
      </c>
      <c r="L1061" s="11" t="str">
        <f t="shared" si="861"/>
        <v>НЕТ</v>
      </c>
      <c r="M1061" s="10" t="s">
        <v>1575</v>
      </c>
      <c r="N1061" s="10" t="s">
        <v>1575</v>
      </c>
      <c r="O1061" s="10">
        <v>0.20100000000000001</v>
      </c>
      <c r="P1061" s="10">
        <f t="shared" si="862"/>
        <v>0.23730814639905551</v>
      </c>
      <c r="Q1061" s="10" t="str">
        <f t="shared" si="863"/>
        <v>NA</v>
      </c>
      <c r="R1061" s="10" t="s">
        <v>1575</v>
      </c>
      <c r="S1061" s="10" t="s">
        <v>1575</v>
      </c>
      <c r="T1061" s="10" t="s">
        <v>1575</v>
      </c>
      <c r="U1061" s="10">
        <v>-0.39200000000000002</v>
      </c>
      <c r="V1061" s="10">
        <v>0.35599999999999998</v>
      </c>
      <c r="W1061" s="10" t="s">
        <v>1575</v>
      </c>
      <c r="X1061" s="10" t="str">
        <f t="shared" si="864"/>
        <v>NA</v>
      </c>
      <c r="Y1061" s="10" t="str">
        <f t="shared" si="865"/>
        <v>NA</v>
      </c>
      <c r="Z1061" s="10">
        <f t="shared" si="866"/>
        <v>-0.60537792448738648</v>
      </c>
      <c r="AA1061" s="10">
        <f t="shared" si="867"/>
        <v>0.6665959168512795</v>
      </c>
      <c r="AB1061" s="10" t="str">
        <f t="shared" si="868"/>
        <v>NA</v>
      </c>
      <c r="AC1061" s="10" t="str">
        <f t="shared" si="869"/>
        <v>NA</v>
      </c>
      <c r="AD1061" s="10" t="str">
        <f t="shared" si="870"/>
        <v>NA</v>
      </c>
      <c r="AE1061" s="10" t="str">
        <f t="shared" si="871"/>
        <v>NA</v>
      </c>
      <c r="AF1061" s="1" t="s">
        <v>4448</v>
      </c>
    </row>
    <row r="1062" spans="1:32" x14ac:dyDescent="0.2">
      <c r="A1062" s="1" t="s">
        <v>5846</v>
      </c>
      <c r="B1062" s="1" t="s">
        <v>5</v>
      </c>
      <c r="C1062" s="1" t="s">
        <v>1575</v>
      </c>
      <c r="D1062" s="1" t="s">
        <v>1597</v>
      </c>
      <c r="E1062" s="1" t="s">
        <v>1660</v>
      </c>
      <c r="F1062" s="1" t="s">
        <v>16</v>
      </c>
      <c r="G1062" s="4">
        <v>1</v>
      </c>
      <c r="H1062" s="28">
        <v>41820</v>
      </c>
      <c r="I1062" s="29">
        <f t="shared" si="882"/>
        <v>2014</v>
      </c>
      <c r="J1062" s="1" t="s">
        <v>7</v>
      </c>
      <c r="K1062" s="1" t="s">
        <v>4655</v>
      </c>
      <c r="L1062" s="11" t="str">
        <f t="shared" si="861"/>
        <v>НЕТ</v>
      </c>
      <c r="M1062" s="10" t="s">
        <v>1575</v>
      </c>
      <c r="N1062" s="10" t="s">
        <v>1575</v>
      </c>
      <c r="O1062" s="10">
        <v>1.6</v>
      </c>
      <c r="P1062" s="10">
        <f t="shared" si="862"/>
        <v>1.6</v>
      </c>
      <c r="Q1062" s="10">
        <f t="shared" si="863"/>
        <v>1.5850000000000002</v>
      </c>
      <c r="R1062" s="10" t="s">
        <v>1575</v>
      </c>
      <c r="S1062" s="10" t="s">
        <v>1575</v>
      </c>
      <c r="T1062" s="10" t="s">
        <v>1575</v>
      </c>
      <c r="U1062" s="10" t="s">
        <v>1575</v>
      </c>
      <c r="V1062" s="10">
        <v>1.458</v>
      </c>
      <c r="W1062" s="10">
        <f>0-0.015</f>
        <v>-1.4999999999999999E-2</v>
      </c>
      <c r="X1062" s="10">
        <f t="shared" si="864"/>
        <v>1.4430000000000001</v>
      </c>
      <c r="Y1062" s="10" t="str">
        <f t="shared" si="865"/>
        <v>NA</v>
      </c>
      <c r="Z1062" s="10" t="str">
        <f t="shared" si="866"/>
        <v>NA</v>
      </c>
      <c r="AA1062" s="10">
        <f t="shared" si="867"/>
        <v>1.0973936899862826</v>
      </c>
      <c r="AB1062" s="10" t="str">
        <f t="shared" si="868"/>
        <v>NA</v>
      </c>
      <c r="AC1062" s="10" t="str">
        <f t="shared" si="869"/>
        <v>NA</v>
      </c>
      <c r="AD1062" s="10" t="str">
        <f t="shared" si="870"/>
        <v>NA</v>
      </c>
      <c r="AE1062" s="10">
        <f t="shared" si="871"/>
        <v>1.0984060984060986</v>
      </c>
      <c r="AF1062" s="1" t="s">
        <v>4449</v>
      </c>
    </row>
    <row r="1063" spans="1:32" x14ac:dyDescent="0.2">
      <c r="A1063" s="1" t="s">
        <v>5847</v>
      </c>
      <c r="B1063" s="1" t="s">
        <v>5</v>
      </c>
      <c r="C1063" s="1" t="s">
        <v>1575</v>
      </c>
      <c r="D1063" s="1" t="s">
        <v>1597</v>
      </c>
      <c r="E1063" s="1" t="s">
        <v>1661</v>
      </c>
      <c r="F1063" s="1" t="s">
        <v>16</v>
      </c>
      <c r="G1063" s="4">
        <v>0.9</v>
      </c>
      <c r="H1063" s="28">
        <v>40999</v>
      </c>
      <c r="I1063" s="29">
        <f t="shared" si="882"/>
        <v>2012</v>
      </c>
      <c r="J1063" s="1" t="s">
        <v>4655</v>
      </c>
      <c r="K1063" s="1" t="s">
        <v>73</v>
      </c>
      <c r="L1063" s="11" t="str">
        <f t="shared" si="861"/>
        <v>НЕТ</v>
      </c>
      <c r="M1063" s="10">
        <v>1036</v>
      </c>
      <c r="N1063" s="10" t="s">
        <v>1575</v>
      </c>
      <c r="O1063" s="10">
        <v>30.145</v>
      </c>
      <c r="P1063" s="10">
        <f t="shared" si="862"/>
        <v>33.49444444444444</v>
      </c>
      <c r="Q1063" s="10">
        <f t="shared" si="863"/>
        <v>38.715444444444444</v>
      </c>
      <c r="R1063" s="10" t="s">
        <v>1575</v>
      </c>
      <c r="S1063" s="10" t="s">
        <v>1575</v>
      </c>
      <c r="T1063" s="10" t="s">
        <v>1575</v>
      </c>
      <c r="U1063" s="10" t="s">
        <v>1575</v>
      </c>
      <c r="V1063" s="10">
        <v>33.052999999999997</v>
      </c>
      <c r="W1063" s="10">
        <f>5.518-0.297</f>
        <v>5.2210000000000001</v>
      </c>
      <c r="X1063" s="10">
        <f t="shared" si="864"/>
        <v>38.274000000000001</v>
      </c>
      <c r="Y1063" s="10" t="str">
        <f t="shared" si="865"/>
        <v>NA</v>
      </c>
      <c r="Z1063" s="10" t="str">
        <f t="shared" si="866"/>
        <v>NA</v>
      </c>
      <c r="AA1063" s="10">
        <f t="shared" si="867"/>
        <v>1.0133556543867257</v>
      </c>
      <c r="AB1063" s="10" t="str">
        <f t="shared" si="868"/>
        <v>NA</v>
      </c>
      <c r="AC1063" s="10" t="str">
        <f t="shared" si="869"/>
        <v>NA</v>
      </c>
      <c r="AD1063" s="10" t="str">
        <f t="shared" si="870"/>
        <v>NA</v>
      </c>
      <c r="AE1063" s="10">
        <f t="shared" si="871"/>
        <v>1.0115337943367415</v>
      </c>
      <c r="AF1063" s="1" t="s">
        <v>4450</v>
      </c>
    </row>
    <row r="1064" spans="1:32" x14ac:dyDescent="0.2">
      <c r="A1064" s="1" t="s">
        <v>5848</v>
      </c>
      <c r="B1064" s="1" t="s">
        <v>5</v>
      </c>
      <c r="C1064" s="1" t="s">
        <v>1575</v>
      </c>
      <c r="D1064" s="1" t="s">
        <v>1600</v>
      </c>
      <c r="E1064" s="1" t="s">
        <v>1670</v>
      </c>
      <c r="F1064" s="1" t="s">
        <v>70</v>
      </c>
      <c r="G1064" s="4">
        <v>0.49</v>
      </c>
      <c r="H1064" s="28">
        <v>41430</v>
      </c>
      <c r="I1064" s="29">
        <f t="shared" ref="I1064" si="892">YEAR(H1064)</f>
        <v>2013</v>
      </c>
      <c r="J1064" s="1" t="s">
        <v>4655</v>
      </c>
      <c r="K1064" s="1" t="s">
        <v>69</v>
      </c>
      <c r="L1064" s="11" t="str">
        <f t="shared" ref="L1064" si="893">IF(OR(A1064=J1064,A1064=K1064),"ДА","НЕТ")</f>
        <v>НЕТ</v>
      </c>
      <c r="M1064" s="10" t="s">
        <v>1575</v>
      </c>
      <c r="N1064" s="10" t="s">
        <v>1575</v>
      </c>
      <c r="O1064" s="10">
        <v>3.3</v>
      </c>
      <c r="P1064" s="10">
        <f t="shared" si="862"/>
        <v>6.7346938775510203</v>
      </c>
      <c r="Q1064" s="10">
        <f t="shared" si="863"/>
        <v>12.448693877551019</v>
      </c>
      <c r="R1064" s="10" t="s">
        <v>1575</v>
      </c>
      <c r="S1064" s="10" t="s">
        <v>1575</v>
      </c>
      <c r="T1064" s="10" t="s">
        <v>1575</v>
      </c>
      <c r="U1064" s="10" t="s">
        <v>1575</v>
      </c>
      <c r="V1064" s="10">
        <v>7.1959999999999997</v>
      </c>
      <c r="W1064" s="10">
        <f>3.958+1.765-0.009</f>
        <v>5.7139999999999995</v>
      </c>
      <c r="X1064" s="10">
        <f t="shared" ref="X1064" si="894">IFERROR(V1064+W1064,"NA")</f>
        <v>12.91</v>
      </c>
      <c r="Y1064" s="10" t="str">
        <f t="shared" ref="Y1064" si="895">IFERROR(P1064/R1064,"NA")</f>
        <v>NA</v>
      </c>
      <c r="Z1064" s="10" t="str">
        <f t="shared" ref="Z1064" si="896">IFERROR(P1064/U1064,"NA")</f>
        <v>NA</v>
      </c>
      <c r="AA1064" s="10">
        <f t="shared" ref="AA1064" si="897">IFERROR(P1064/V1064,"NA")</f>
        <v>0.93589409082143138</v>
      </c>
      <c r="AB1064" s="10" t="str">
        <f t="shared" ref="AB1064" si="898">IFERROR(Q1064/R1064,"NA")</f>
        <v>NA</v>
      </c>
      <c r="AC1064" s="10" t="str">
        <f t="shared" ref="AC1064" si="899">IFERROR(Q1064/S1064,"NA")</f>
        <v>NA</v>
      </c>
      <c r="AD1064" s="10" t="str">
        <f t="shared" ref="AD1064" si="900">IFERROR(Q1064/T1064,"NA")</f>
        <v>NA</v>
      </c>
      <c r="AE1064" s="10">
        <f t="shared" ref="AE1064" si="901">IFERROR(Q1064/X1064,"NA")</f>
        <v>0.96426753505430041</v>
      </c>
      <c r="AF1064" s="1" t="s">
        <v>4452</v>
      </c>
    </row>
    <row r="1065" spans="1:32" x14ac:dyDescent="0.2">
      <c r="A1065" s="1" t="s">
        <v>5848</v>
      </c>
      <c r="B1065" s="1" t="s">
        <v>5</v>
      </c>
      <c r="C1065" s="1" t="s">
        <v>1575</v>
      </c>
      <c r="D1065" s="1" t="s">
        <v>1600</v>
      </c>
      <c r="E1065" s="1" t="s">
        <v>1670</v>
      </c>
      <c r="F1065" s="1" t="s">
        <v>70</v>
      </c>
      <c r="G1065" s="4">
        <v>0.51</v>
      </c>
      <c r="H1065" s="28">
        <v>41296</v>
      </c>
      <c r="I1065" s="29">
        <f t="shared" si="882"/>
        <v>2013</v>
      </c>
      <c r="J1065" s="1" t="s">
        <v>4655</v>
      </c>
      <c r="K1065" s="1" t="s">
        <v>69</v>
      </c>
      <c r="L1065" s="11" t="str">
        <f t="shared" si="861"/>
        <v>НЕТ</v>
      </c>
      <c r="M1065" s="10" t="s">
        <v>1575</v>
      </c>
      <c r="N1065" s="10" t="s">
        <v>1575</v>
      </c>
      <c r="O1065" s="10">
        <v>3.67</v>
      </c>
      <c r="P1065" s="10">
        <f t="shared" si="862"/>
        <v>7.1960784313725483</v>
      </c>
      <c r="Q1065" s="10">
        <f t="shared" si="863"/>
        <v>12.910078431372547</v>
      </c>
      <c r="R1065" s="10" t="s">
        <v>1575</v>
      </c>
      <c r="S1065" s="10" t="s">
        <v>1575</v>
      </c>
      <c r="T1065" s="10" t="s">
        <v>1575</v>
      </c>
      <c r="U1065" s="10" t="s">
        <v>1575</v>
      </c>
      <c r="V1065" s="10">
        <v>7.1959999999999997</v>
      </c>
      <c r="W1065" s="10">
        <f>3.958+1.765-0.009</f>
        <v>5.7139999999999995</v>
      </c>
      <c r="X1065" s="10">
        <f t="shared" si="864"/>
        <v>12.91</v>
      </c>
      <c r="Y1065" s="10" t="str">
        <f t="shared" si="865"/>
        <v>NA</v>
      </c>
      <c r="Z1065" s="10" t="str">
        <f t="shared" si="866"/>
        <v>NA</v>
      </c>
      <c r="AA1065" s="10">
        <f t="shared" si="867"/>
        <v>1.0000108993013548</v>
      </c>
      <c r="AB1065" s="10" t="str">
        <f t="shared" si="868"/>
        <v>NA</v>
      </c>
      <c r="AC1065" s="10" t="str">
        <f t="shared" si="869"/>
        <v>NA</v>
      </c>
      <c r="AD1065" s="10" t="str">
        <f t="shared" si="870"/>
        <v>NA</v>
      </c>
      <c r="AE1065" s="10">
        <f t="shared" si="871"/>
        <v>1.0000060752418705</v>
      </c>
      <c r="AF1065" s="1" t="s">
        <v>4451</v>
      </c>
    </row>
    <row r="1066" spans="1:32" x14ac:dyDescent="0.2">
      <c r="A1066" s="1" t="s">
        <v>5849</v>
      </c>
      <c r="B1066" s="1" t="s">
        <v>5</v>
      </c>
      <c r="C1066" s="1" t="s">
        <v>1575</v>
      </c>
      <c r="D1066" s="1" t="s">
        <v>1600</v>
      </c>
      <c r="E1066" s="1" t="s">
        <v>1671</v>
      </c>
      <c r="F1066" s="1" t="s">
        <v>72</v>
      </c>
      <c r="G1066" s="4">
        <v>0.51</v>
      </c>
      <c r="H1066" s="28">
        <v>41366</v>
      </c>
      <c r="I1066" s="29">
        <f t="shared" si="882"/>
        <v>2013</v>
      </c>
      <c r="J1066" s="1" t="s">
        <v>71</v>
      </c>
      <c r="K1066" s="1" t="s">
        <v>4655</v>
      </c>
      <c r="L1066" s="11" t="str">
        <f t="shared" si="861"/>
        <v>НЕТ</v>
      </c>
      <c r="M1066" s="10" t="s">
        <v>1575</v>
      </c>
      <c r="N1066" s="10" t="s">
        <v>1575</v>
      </c>
      <c r="O1066" s="10">
        <v>4.95</v>
      </c>
      <c r="P1066" s="10">
        <f t="shared" si="862"/>
        <v>9.7058823529411775</v>
      </c>
      <c r="Q1066" s="10">
        <f t="shared" si="863"/>
        <v>9.7518823529411769</v>
      </c>
      <c r="R1066" s="10">
        <v>0</v>
      </c>
      <c r="S1066" s="10" t="s">
        <v>1575</v>
      </c>
      <c r="T1066" s="10" t="s">
        <v>1575</v>
      </c>
      <c r="U1066" s="10">
        <v>0</v>
      </c>
      <c r="V1066" s="10">
        <v>5.6859999999999999</v>
      </c>
      <c r="W1066" s="10">
        <f>0.103-0.057</f>
        <v>4.5999999999999992E-2</v>
      </c>
      <c r="X1066" s="10">
        <f t="shared" si="864"/>
        <v>5.7320000000000002</v>
      </c>
      <c r="Y1066" s="10" t="str">
        <f t="shared" si="865"/>
        <v>NA</v>
      </c>
      <c r="Z1066" s="10" t="str">
        <f t="shared" si="866"/>
        <v>NA</v>
      </c>
      <c r="AA1066" s="10">
        <f t="shared" si="867"/>
        <v>1.7069789576048502</v>
      </c>
      <c r="AB1066" s="10" t="str">
        <f t="shared" si="868"/>
        <v>NA</v>
      </c>
      <c r="AC1066" s="10" t="str">
        <f t="shared" si="869"/>
        <v>NA</v>
      </c>
      <c r="AD1066" s="10" t="str">
        <f t="shared" si="870"/>
        <v>NA</v>
      </c>
      <c r="AE1066" s="10">
        <f t="shared" si="871"/>
        <v>1.7013053651327943</v>
      </c>
      <c r="AF1066" s="1" t="s">
        <v>4453</v>
      </c>
    </row>
    <row r="1067" spans="1:32" x14ac:dyDescent="0.2">
      <c r="A1067" s="1" t="s">
        <v>5850</v>
      </c>
      <c r="B1067" s="1" t="s">
        <v>5</v>
      </c>
      <c r="C1067" s="1" t="s">
        <v>1575</v>
      </c>
      <c r="D1067" s="1" t="s">
        <v>1600</v>
      </c>
      <c r="E1067" s="1" t="s">
        <v>2050</v>
      </c>
      <c r="F1067" s="1" t="s">
        <v>1146</v>
      </c>
      <c r="G1067" s="4">
        <v>1</v>
      </c>
      <c r="H1067" s="28">
        <v>43921</v>
      </c>
      <c r="I1067" s="29">
        <f t="shared" si="882"/>
        <v>2020</v>
      </c>
      <c r="J1067" s="1" t="s">
        <v>5851</v>
      </c>
      <c r="K1067" s="1" t="s">
        <v>7</v>
      </c>
      <c r="L1067" s="11" t="str">
        <f t="shared" si="861"/>
        <v>НЕТ</v>
      </c>
      <c r="M1067" s="10">
        <v>20</v>
      </c>
      <c r="N1067" s="10" t="s">
        <v>1575</v>
      </c>
      <c r="O1067" s="10">
        <v>1.4</v>
      </c>
      <c r="P1067" s="10">
        <f t="shared" si="862"/>
        <v>1.4</v>
      </c>
      <c r="Q1067" s="10">
        <f t="shared" si="863"/>
        <v>1.7789999999999999</v>
      </c>
      <c r="R1067" s="10" t="s">
        <v>1575</v>
      </c>
      <c r="S1067" s="10" t="s">
        <v>1575</v>
      </c>
      <c r="T1067" s="10" t="s">
        <v>1575</v>
      </c>
      <c r="U1067" s="10" t="s">
        <v>1575</v>
      </c>
      <c r="V1067" s="10">
        <v>1.3260000000000001</v>
      </c>
      <c r="W1067" s="10">
        <f>0.176+0.252-0.049</f>
        <v>0.379</v>
      </c>
      <c r="X1067" s="10">
        <f t="shared" si="864"/>
        <v>1.7050000000000001</v>
      </c>
      <c r="Y1067" s="10" t="str">
        <f t="shared" si="865"/>
        <v>NA</v>
      </c>
      <c r="Z1067" s="10" t="str">
        <f t="shared" si="866"/>
        <v>NA</v>
      </c>
      <c r="AA1067" s="10">
        <f t="shared" si="867"/>
        <v>1.0558069381598791</v>
      </c>
      <c r="AB1067" s="10" t="str">
        <f t="shared" si="868"/>
        <v>NA</v>
      </c>
      <c r="AC1067" s="10" t="str">
        <f t="shared" si="869"/>
        <v>NA</v>
      </c>
      <c r="AD1067" s="10" t="str">
        <f t="shared" si="870"/>
        <v>NA</v>
      </c>
      <c r="AE1067" s="10">
        <f t="shared" si="871"/>
        <v>1.0434017595307916</v>
      </c>
      <c r="AF1067" s="1" t="s">
        <v>1145</v>
      </c>
    </row>
    <row r="1068" spans="1:32" x14ac:dyDescent="0.2">
      <c r="A1068" s="1" t="s">
        <v>5852</v>
      </c>
      <c r="B1068" s="1" t="s">
        <v>5</v>
      </c>
      <c r="C1068" s="1" t="s">
        <v>1575</v>
      </c>
      <c r="D1068" s="1" t="s">
        <v>2160</v>
      </c>
      <c r="E1068" s="1" t="s">
        <v>2882</v>
      </c>
      <c r="F1068" s="1" t="s">
        <v>4458</v>
      </c>
      <c r="G1068" s="4">
        <v>0.245</v>
      </c>
      <c r="H1068" s="28">
        <v>44469</v>
      </c>
      <c r="I1068" s="29">
        <f t="shared" si="882"/>
        <v>2021</v>
      </c>
      <c r="J1068" s="1" t="s">
        <v>5851</v>
      </c>
      <c r="K1068" s="1" t="s">
        <v>7</v>
      </c>
      <c r="L1068" s="11" t="str">
        <f t="shared" si="861"/>
        <v>НЕТ</v>
      </c>
      <c r="M1068" s="10">
        <v>1</v>
      </c>
      <c r="N1068" s="10" t="s">
        <v>1575</v>
      </c>
      <c r="O1068" s="10">
        <f>M1068*72.7608/1000</f>
        <v>7.27608E-2</v>
      </c>
      <c r="P1068" s="10">
        <f t="shared" si="862"/>
        <v>0.29698285714285716</v>
      </c>
      <c r="Q1068" s="10" t="str">
        <f t="shared" si="863"/>
        <v>NA</v>
      </c>
      <c r="R1068" s="10" t="s">
        <v>1575</v>
      </c>
      <c r="S1068" s="10" t="s">
        <v>1575</v>
      </c>
      <c r="T1068" s="10" t="s">
        <v>1575</v>
      </c>
      <c r="U1068" s="10" t="s">
        <v>1575</v>
      </c>
      <c r="V1068" s="10" t="s">
        <v>1575</v>
      </c>
      <c r="W1068" s="10" t="s">
        <v>1575</v>
      </c>
      <c r="X1068" s="10" t="str">
        <f t="shared" si="864"/>
        <v>NA</v>
      </c>
      <c r="Y1068" s="10" t="str">
        <f t="shared" si="865"/>
        <v>NA</v>
      </c>
      <c r="Z1068" s="10" t="str">
        <f t="shared" si="866"/>
        <v>NA</v>
      </c>
      <c r="AA1068" s="10" t="str">
        <f t="shared" si="867"/>
        <v>NA</v>
      </c>
      <c r="AB1068" s="10" t="str">
        <f t="shared" si="868"/>
        <v>NA</v>
      </c>
      <c r="AC1068" s="10" t="str">
        <f t="shared" si="869"/>
        <v>NA</v>
      </c>
      <c r="AD1068" s="10" t="str">
        <f t="shared" si="870"/>
        <v>NA</v>
      </c>
      <c r="AE1068" s="10" t="str">
        <f t="shared" si="871"/>
        <v>NA</v>
      </c>
      <c r="AF1068" s="1" t="s">
        <v>1147</v>
      </c>
    </row>
    <row r="1069" spans="1:32" x14ac:dyDescent="0.2">
      <c r="A1069" s="1" t="s">
        <v>5853</v>
      </c>
      <c r="B1069" s="1" t="s">
        <v>5</v>
      </c>
      <c r="C1069" s="1" t="s">
        <v>1575</v>
      </c>
      <c r="D1069" s="1" t="s">
        <v>2160</v>
      </c>
      <c r="E1069" s="1" t="s">
        <v>2882</v>
      </c>
      <c r="F1069" s="1" t="s">
        <v>1152</v>
      </c>
      <c r="G1069" s="4">
        <v>0.24</v>
      </c>
      <c r="H1069" s="28">
        <v>44042</v>
      </c>
      <c r="I1069" s="29">
        <f t="shared" si="882"/>
        <v>2020</v>
      </c>
      <c r="J1069" s="1" t="s">
        <v>5851</v>
      </c>
      <c r="K1069" s="1" t="s">
        <v>7</v>
      </c>
      <c r="L1069" s="11" t="str">
        <f t="shared" si="861"/>
        <v>НЕТ</v>
      </c>
      <c r="M1069" s="10">
        <v>2</v>
      </c>
      <c r="N1069" s="10" t="s">
        <v>1575</v>
      </c>
      <c r="O1069" s="10">
        <f>M1069*69.9513/1000</f>
        <v>0.13990260000000002</v>
      </c>
      <c r="P1069" s="10">
        <f t="shared" si="862"/>
        <v>0.58292750000000004</v>
      </c>
      <c r="Q1069" s="10" t="str">
        <f t="shared" si="863"/>
        <v>NA</v>
      </c>
      <c r="R1069" s="10" t="s">
        <v>1575</v>
      </c>
      <c r="S1069" s="10" t="s">
        <v>1575</v>
      </c>
      <c r="T1069" s="10" t="s">
        <v>1575</v>
      </c>
      <c r="U1069" s="10" t="s">
        <v>1575</v>
      </c>
      <c r="V1069" s="10" t="s">
        <v>1575</v>
      </c>
      <c r="W1069" s="10" t="s">
        <v>1575</v>
      </c>
      <c r="X1069" s="10" t="str">
        <f t="shared" si="864"/>
        <v>NA</v>
      </c>
      <c r="Y1069" s="10" t="str">
        <f t="shared" si="865"/>
        <v>NA</v>
      </c>
      <c r="Z1069" s="10" t="str">
        <f t="shared" si="866"/>
        <v>NA</v>
      </c>
      <c r="AA1069" s="10" t="str">
        <f t="shared" si="867"/>
        <v>NA</v>
      </c>
      <c r="AB1069" s="10" t="str">
        <f t="shared" si="868"/>
        <v>NA</v>
      </c>
      <c r="AC1069" s="10" t="str">
        <f t="shared" si="869"/>
        <v>NA</v>
      </c>
      <c r="AD1069" s="10" t="str">
        <f t="shared" si="870"/>
        <v>NA</v>
      </c>
      <c r="AE1069" s="10" t="str">
        <f t="shared" si="871"/>
        <v>NA</v>
      </c>
      <c r="AF1069" s="1" t="s">
        <v>1148</v>
      </c>
    </row>
    <row r="1070" spans="1:32" x14ac:dyDescent="0.2">
      <c r="A1070" s="1" t="s">
        <v>5853</v>
      </c>
      <c r="B1070" s="1" t="s">
        <v>5</v>
      </c>
      <c r="C1070" s="1" t="s">
        <v>1575</v>
      </c>
      <c r="D1070" s="1" t="s">
        <v>2160</v>
      </c>
      <c r="E1070" s="1" t="s">
        <v>2882</v>
      </c>
      <c r="F1070" s="1" t="s">
        <v>1152</v>
      </c>
      <c r="G1070" s="4">
        <v>0.26</v>
      </c>
      <c r="H1070" s="28">
        <v>43676</v>
      </c>
      <c r="I1070" s="29">
        <f t="shared" si="882"/>
        <v>2019</v>
      </c>
      <c r="J1070" s="1" t="s">
        <v>5851</v>
      </c>
      <c r="K1070" s="1" t="s">
        <v>7</v>
      </c>
      <c r="L1070" s="11" t="str">
        <f t="shared" si="861"/>
        <v>НЕТ</v>
      </c>
      <c r="M1070" s="10">
        <v>1</v>
      </c>
      <c r="N1070" s="10" t="s">
        <v>1575</v>
      </c>
      <c r="O1070" s="10">
        <v>6.6000000000000003E-2</v>
      </c>
      <c r="P1070" s="10">
        <f t="shared" si="862"/>
        <v>0.25384615384615383</v>
      </c>
      <c r="Q1070" s="10" t="str">
        <f t="shared" si="863"/>
        <v>NA</v>
      </c>
      <c r="R1070" s="10" t="s">
        <v>1575</v>
      </c>
      <c r="S1070" s="10" t="s">
        <v>1575</v>
      </c>
      <c r="T1070" s="10" t="s">
        <v>1575</v>
      </c>
      <c r="U1070" s="10" t="s">
        <v>1575</v>
      </c>
      <c r="V1070" s="10" t="s">
        <v>1575</v>
      </c>
      <c r="W1070" s="10" t="s">
        <v>1575</v>
      </c>
      <c r="X1070" s="10" t="str">
        <f t="shared" si="864"/>
        <v>NA</v>
      </c>
      <c r="Y1070" s="10" t="str">
        <f t="shared" si="865"/>
        <v>NA</v>
      </c>
      <c r="Z1070" s="10" t="str">
        <f t="shared" si="866"/>
        <v>NA</v>
      </c>
      <c r="AA1070" s="10" t="str">
        <f t="shared" si="867"/>
        <v>NA</v>
      </c>
      <c r="AB1070" s="10" t="str">
        <f t="shared" si="868"/>
        <v>NA</v>
      </c>
      <c r="AC1070" s="10" t="str">
        <f t="shared" si="869"/>
        <v>NA</v>
      </c>
      <c r="AD1070" s="10" t="str">
        <f t="shared" si="870"/>
        <v>NA</v>
      </c>
      <c r="AE1070" s="10" t="str">
        <f t="shared" si="871"/>
        <v>NA</v>
      </c>
      <c r="AF1070" s="1" t="s">
        <v>1150</v>
      </c>
    </row>
    <row r="1071" spans="1:32" x14ac:dyDescent="0.2">
      <c r="A1071" s="1" t="s">
        <v>1149</v>
      </c>
      <c r="B1071" s="1" t="s">
        <v>2070</v>
      </c>
      <c r="C1071" s="1" t="s">
        <v>1575</v>
      </c>
      <c r="D1071" s="1" t="s">
        <v>1600</v>
      </c>
      <c r="E1071" s="1" t="s">
        <v>2048</v>
      </c>
      <c r="F1071" s="1" t="s">
        <v>235</v>
      </c>
      <c r="G1071" s="4">
        <v>0.51</v>
      </c>
      <c r="H1071" s="28">
        <v>43555</v>
      </c>
      <c r="I1071" s="29">
        <f t="shared" si="882"/>
        <v>2019</v>
      </c>
      <c r="J1071" s="1" t="s">
        <v>5851</v>
      </c>
      <c r="K1071" s="1" t="s">
        <v>7</v>
      </c>
      <c r="L1071" s="11" t="str">
        <f t="shared" si="861"/>
        <v>НЕТ</v>
      </c>
      <c r="M1071" s="10">
        <v>9.9999999999999995E-7</v>
      </c>
      <c r="N1071" s="10" t="s">
        <v>1575</v>
      </c>
      <c r="O1071" s="10">
        <f>M1071*64.7347/1000</f>
        <v>6.4734700000000001E-8</v>
      </c>
      <c r="P1071" s="10">
        <f t="shared" si="862"/>
        <v>1.2693078431372549E-7</v>
      </c>
      <c r="Q1071" s="10" t="str">
        <f t="shared" si="863"/>
        <v>NA</v>
      </c>
      <c r="R1071" s="10" t="s">
        <v>1575</v>
      </c>
      <c r="S1071" s="10" t="s">
        <v>1575</v>
      </c>
      <c r="T1071" s="10" t="s">
        <v>1575</v>
      </c>
      <c r="U1071" s="10" t="s">
        <v>1575</v>
      </c>
      <c r="V1071" s="10" t="s">
        <v>1575</v>
      </c>
      <c r="W1071" s="10" t="s">
        <v>1575</v>
      </c>
      <c r="X1071" s="10" t="str">
        <f t="shared" si="864"/>
        <v>NA</v>
      </c>
      <c r="Y1071" s="10" t="str">
        <f t="shared" si="865"/>
        <v>NA</v>
      </c>
      <c r="Z1071" s="10" t="str">
        <f t="shared" si="866"/>
        <v>NA</v>
      </c>
      <c r="AA1071" s="10" t="str">
        <f t="shared" si="867"/>
        <v>NA</v>
      </c>
      <c r="AB1071" s="10" t="str">
        <f t="shared" si="868"/>
        <v>NA</v>
      </c>
      <c r="AC1071" s="10" t="str">
        <f t="shared" si="869"/>
        <v>NA</v>
      </c>
      <c r="AD1071" s="10" t="str">
        <f t="shared" si="870"/>
        <v>NA</v>
      </c>
      <c r="AE1071" s="10" t="str">
        <f t="shared" si="871"/>
        <v>NA</v>
      </c>
      <c r="AF1071" s="1" t="s">
        <v>1151</v>
      </c>
    </row>
    <row r="1072" spans="1:32" x14ac:dyDescent="0.2">
      <c r="A1072" s="1" t="s">
        <v>5854</v>
      </c>
      <c r="B1072" s="1" t="s">
        <v>5</v>
      </c>
      <c r="C1072" s="1" t="s">
        <v>1575</v>
      </c>
      <c r="D1072" s="1" t="s">
        <v>1600</v>
      </c>
      <c r="E1072" s="1" t="s">
        <v>2050</v>
      </c>
      <c r="F1072" s="1" t="s">
        <v>1154</v>
      </c>
      <c r="G1072" s="4">
        <v>1</v>
      </c>
      <c r="H1072" s="28">
        <v>43676</v>
      </c>
      <c r="I1072" s="29">
        <f t="shared" si="882"/>
        <v>2019</v>
      </c>
      <c r="J1072" s="1" t="s">
        <v>7</v>
      </c>
      <c r="K1072" s="1" t="s">
        <v>5851</v>
      </c>
      <c r="L1072" s="11" t="str">
        <f t="shared" si="861"/>
        <v>НЕТ</v>
      </c>
      <c r="M1072" s="10">
        <v>215</v>
      </c>
      <c r="N1072" s="10" t="s">
        <v>1575</v>
      </c>
      <c r="O1072" s="10">
        <v>13.57</v>
      </c>
      <c r="P1072" s="10">
        <f t="shared" si="862"/>
        <v>13.57</v>
      </c>
      <c r="Q1072" s="10">
        <f t="shared" si="863"/>
        <v>27.614000000000001</v>
      </c>
      <c r="R1072" s="10" t="s">
        <v>1575</v>
      </c>
      <c r="S1072" s="10" t="s">
        <v>1575</v>
      </c>
      <c r="T1072" s="10" t="s">
        <v>1575</v>
      </c>
      <c r="U1072" s="10" t="s">
        <v>1575</v>
      </c>
      <c r="V1072" s="10">
        <v>-1.7190000000000001</v>
      </c>
      <c r="W1072" s="10">
        <f>13+1.044</f>
        <v>14.044</v>
      </c>
      <c r="X1072" s="10">
        <f t="shared" si="864"/>
        <v>12.325000000000001</v>
      </c>
      <c r="Y1072" s="10" t="str">
        <f t="shared" si="865"/>
        <v>NA</v>
      </c>
      <c r="Z1072" s="10" t="str">
        <f t="shared" si="866"/>
        <v>NA</v>
      </c>
      <c r="AA1072" s="10">
        <f t="shared" si="867"/>
        <v>-7.8941244909831294</v>
      </c>
      <c r="AB1072" s="10" t="str">
        <f t="shared" si="868"/>
        <v>NA</v>
      </c>
      <c r="AC1072" s="10" t="str">
        <f t="shared" si="869"/>
        <v>NA</v>
      </c>
      <c r="AD1072" s="10" t="str">
        <f t="shared" si="870"/>
        <v>NA</v>
      </c>
      <c r="AE1072" s="10">
        <f t="shared" si="871"/>
        <v>2.2404868154158213</v>
      </c>
      <c r="AF1072" s="1" t="s">
        <v>1153</v>
      </c>
    </row>
    <row r="1073" spans="1:32" x14ac:dyDescent="0.2">
      <c r="A1073" s="1" t="s">
        <v>4459</v>
      </c>
      <c r="B1073" s="1" t="s">
        <v>23</v>
      </c>
      <c r="C1073" s="1" t="s">
        <v>1575</v>
      </c>
      <c r="D1073" s="1" t="s">
        <v>2160</v>
      </c>
      <c r="E1073" s="1" t="s">
        <v>2882</v>
      </c>
      <c r="F1073" s="1" t="s">
        <v>4460</v>
      </c>
      <c r="G1073" s="4">
        <v>1</v>
      </c>
      <c r="H1073" s="28">
        <v>42855</v>
      </c>
      <c r="I1073" s="29">
        <f t="shared" si="882"/>
        <v>2017</v>
      </c>
      <c r="J1073" s="1" t="s">
        <v>7</v>
      </c>
      <c r="K1073" s="1" t="s">
        <v>5851</v>
      </c>
      <c r="L1073" s="11" t="str">
        <f t="shared" si="861"/>
        <v>НЕТ</v>
      </c>
      <c r="M1073" s="10" t="s">
        <v>1575</v>
      </c>
      <c r="N1073" s="10">
        <v>37</v>
      </c>
      <c r="O1073" s="10">
        <v>2.2999999999999998</v>
      </c>
      <c r="P1073" s="10">
        <f t="shared" si="862"/>
        <v>2.2999999999999998</v>
      </c>
      <c r="Q1073" s="10">
        <f t="shared" si="863"/>
        <v>3.2989999999999999</v>
      </c>
      <c r="R1073" s="10" t="s">
        <v>1575</v>
      </c>
      <c r="S1073" s="10" t="s">
        <v>1575</v>
      </c>
      <c r="T1073" s="10" t="s">
        <v>1575</v>
      </c>
      <c r="U1073" s="10" t="s">
        <v>1575</v>
      </c>
      <c r="V1073" s="10">
        <f>4.949-2.281</f>
        <v>2.6679999999999997</v>
      </c>
      <c r="W1073" s="10">
        <f>0.968+0.104-0.073</f>
        <v>0.99900000000000011</v>
      </c>
      <c r="X1073" s="10">
        <f t="shared" si="864"/>
        <v>3.6669999999999998</v>
      </c>
      <c r="Y1073" s="10" t="str">
        <f t="shared" si="865"/>
        <v>NA</v>
      </c>
      <c r="Z1073" s="10" t="str">
        <f t="shared" si="866"/>
        <v>NA</v>
      </c>
      <c r="AA1073" s="10">
        <f t="shared" si="867"/>
        <v>0.86206896551724144</v>
      </c>
      <c r="AB1073" s="10" t="str">
        <f t="shared" si="868"/>
        <v>NA</v>
      </c>
      <c r="AC1073" s="10" t="str">
        <f t="shared" si="869"/>
        <v>NA</v>
      </c>
      <c r="AD1073" s="10" t="str">
        <f t="shared" si="870"/>
        <v>NA</v>
      </c>
      <c r="AE1073" s="10">
        <f t="shared" si="871"/>
        <v>0.89964548677392964</v>
      </c>
      <c r="AF1073" s="1" t="s">
        <v>1155</v>
      </c>
    </row>
    <row r="1074" spans="1:32" x14ac:dyDescent="0.2">
      <c r="A1074" s="1" t="s">
        <v>5855</v>
      </c>
      <c r="B1074" s="1" t="s">
        <v>91</v>
      </c>
      <c r="C1074" s="1" t="s">
        <v>1575</v>
      </c>
      <c r="D1074" s="1" t="s">
        <v>1600</v>
      </c>
      <c r="E1074" s="1" t="s">
        <v>2050</v>
      </c>
      <c r="F1074" s="1" t="s">
        <v>1157</v>
      </c>
      <c r="G1074" s="4">
        <v>0.97799999999999998</v>
      </c>
      <c r="H1074" s="28">
        <v>43039</v>
      </c>
      <c r="I1074" s="29">
        <f t="shared" si="882"/>
        <v>2017</v>
      </c>
      <c r="J1074" s="1" t="s">
        <v>7</v>
      </c>
      <c r="K1074" s="1" t="s">
        <v>5851</v>
      </c>
      <c r="L1074" s="11" t="str">
        <f t="shared" si="861"/>
        <v>НЕТ</v>
      </c>
      <c r="M1074" s="10">
        <v>10</v>
      </c>
      <c r="N1074" s="10" t="s">
        <v>1575</v>
      </c>
      <c r="O1074" s="10">
        <v>0.6</v>
      </c>
      <c r="P1074" s="10">
        <f t="shared" si="862"/>
        <v>0.61349693251533743</v>
      </c>
      <c r="Q1074" s="10" t="str">
        <f t="shared" si="863"/>
        <v>NA</v>
      </c>
      <c r="R1074" s="10" t="s">
        <v>1575</v>
      </c>
      <c r="S1074" s="10" t="s">
        <v>1575</v>
      </c>
      <c r="T1074" s="10" t="s">
        <v>1575</v>
      </c>
      <c r="U1074" s="10" t="s">
        <v>1575</v>
      </c>
      <c r="V1074" s="10" t="s">
        <v>1575</v>
      </c>
      <c r="W1074" s="10" t="s">
        <v>1575</v>
      </c>
      <c r="X1074" s="10" t="str">
        <f t="shared" si="864"/>
        <v>NA</v>
      </c>
      <c r="Y1074" s="10" t="str">
        <f t="shared" si="865"/>
        <v>NA</v>
      </c>
      <c r="Z1074" s="10" t="str">
        <f t="shared" si="866"/>
        <v>NA</v>
      </c>
      <c r="AA1074" s="10" t="str">
        <f t="shared" si="867"/>
        <v>NA</v>
      </c>
      <c r="AB1074" s="10" t="str">
        <f t="shared" si="868"/>
        <v>NA</v>
      </c>
      <c r="AC1074" s="10" t="str">
        <f t="shared" si="869"/>
        <v>NA</v>
      </c>
      <c r="AD1074" s="10" t="str">
        <f t="shared" si="870"/>
        <v>NA</v>
      </c>
      <c r="AE1074" s="10" t="str">
        <f t="shared" si="871"/>
        <v>NA</v>
      </c>
      <c r="AF1074" s="1" t="s">
        <v>1156</v>
      </c>
    </row>
    <row r="1075" spans="1:32" x14ac:dyDescent="0.2">
      <c r="A1075" s="1" t="s">
        <v>74</v>
      </c>
      <c r="B1075" s="1" t="s">
        <v>75</v>
      </c>
      <c r="C1075" s="1" t="s">
        <v>1575</v>
      </c>
      <c r="D1075" s="1" t="s">
        <v>1600</v>
      </c>
      <c r="E1075" s="1" t="s">
        <v>1659</v>
      </c>
      <c r="F1075" s="1" t="s">
        <v>76</v>
      </c>
      <c r="G1075" s="4">
        <v>1</v>
      </c>
      <c r="H1075" s="28">
        <v>41882</v>
      </c>
      <c r="I1075" s="29">
        <f t="shared" si="882"/>
        <v>2014</v>
      </c>
      <c r="J1075" s="1" t="s">
        <v>7</v>
      </c>
      <c r="K1075" s="1" t="s">
        <v>5851</v>
      </c>
      <c r="L1075" s="11" t="str">
        <f t="shared" si="861"/>
        <v>НЕТ</v>
      </c>
      <c r="M1075" s="10">
        <v>60</v>
      </c>
      <c r="N1075" s="10" t="s">
        <v>1575</v>
      </c>
      <c r="O1075" s="10">
        <v>2.1</v>
      </c>
      <c r="P1075" s="10">
        <f t="shared" si="862"/>
        <v>2.1</v>
      </c>
      <c r="Q1075" s="10">
        <f t="shared" si="863"/>
        <v>6.6006720000000012</v>
      </c>
      <c r="R1075" s="10" t="s">
        <v>1575</v>
      </c>
      <c r="S1075" s="10" t="s">
        <v>1575</v>
      </c>
      <c r="T1075" s="10" t="s">
        <v>1575</v>
      </c>
      <c r="U1075" s="10" t="s">
        <v>1575</v>
      </c>
      <c r="V1075" s="10">
        <f>-0.082*56.2584</f>
        <v>-4.6131888000000005</v>
      </c>
      <c r="W1075" s="10">
        <f>(0.026+0.056-0.002)*56.2584</f>
        <v>4.5006720000000007</v>
      </c>
      <c r="X1075" s="10">
        <f t="shared" si="864"/>
        <v>-0.11251679999999986</v>
      </c>
      <c r="Y1075" s="10" t="str">
        <f t="shared" si="865"/>
        <v>NA</v>
      </c>
      <c r="Z1075" s="10" t="str">
        <f t="shared" si="866"/>
        <v>NA</v>
      </c>
      <c r="AA1075" s="10">
        <f t="shared" si="867"/>
        <v>-0.45521657383716874</v>
      </c>
      <c r="AB1075" s="10" t="str">
        <f t="shared" si="868"/>
        <v>NA</v>
      </c>
      <c r="AC1075" s="10" t="str">
        <f t="shared" si="869"/>
        <v>NA</v>
      </c>
      <c r="AD1075" s="10" t="str">
        <f t="shared" si="870"/>
        <v>NA</v>
      </c>
      <c r="AE1075" s="10">
        <f t="shared" si="871"/>
        <v>-58.663879527323999</v>
      </c>
      <c r="AF1075" s="1" t="s">
        <v>4461</v>
      </c>
    </row>
    <row r="1076" spans="1:32" x14ac:dyDescent="0.2">
      <c r="A1076" s="1" t="s">
        <v>77</v>
      </c>
      <c r="B1076" s="1" t="s">
        <v>75</v>
      </c>
      <c r="C1076" s="1" t="s">
        <v>1575</v>
      </c>
      <c r="D1076" s="1" t="s">
        <v>1600</v>
      </c>
      <c r="E1076" s="1" t="s">
        <v>1659</v>
      </c>
      <c r="F1076" s="1" t="s">
        <v>79</v>
      </c>
      <c r="G1076" s="4">
        <v>0.5</v>
      </c>
      <c r="H1076" s="28">
        <v>41850</v>
      </c>
      <c r="I1076" s="29">
        <f t="shared" si="882"/>
        <v>2014</v>
      </c>
      <c r="J1076" s="1" t="s">
        <v>5851</v>
      </c>
      <c r="K1076" s="1" t="s">
        <v>7</v>
      </c>
      <c r="L1076" s="11" t="str">
        <f t="shared" si="861"/>
        <v>НЕТ</v>
      </c>
      <c r="M1076" s="10">
        <v>30</v>
      </c>
      <c r="N1076" s="10" t="s">
        <v>1575</v>
      </c>
      <c r="O1076" s="10">
        <f>M1076*33.6306/1000</f>
        <v>1.008918</v>
      </c>
      <c r="P1076" s="10">
        <f t="shared" si="862"/>
        <v>2.017836</v>
      </c>
      <c r="Q1076" s="10" t="str">
        <f t="shared" si="863"/>
        <v>NA</v>
      </c>
      <c r="R1076" s="10" t="s">
        <v>1575</v>
      </c>
      <c r="S1076" s="10" t="s">
        <v>1575</v>
      </c>
      <c r="T1076" s="10" t="s">
        <v>1575</v>
      </c>
      <c r="U1076" s="10" t="s">
        <v>1575</v>
      </c>
      <c r="V1076" s="10" t="s">
        <v>1575</v>
      </c>
      <c r="W1076" s="10" t="s">
        <v>1575</v>
      </c>
      <c r="X1076" s="10" t="str">
        <f t="shared" si="864"/>
        <v>NA</v>
      </c>
      <c r="Y1076" s="10" t="str">
        <f t="shared" si="865"/>
        <v>NA</v>
      </c>
      <c r="Z1076" s="10" t="str">
        <f t="shared" si="866"/>
        <v>NA</v>
      </c>
      <c r="AA1076" s="10" t="str">
        <f t="shared" si="867"/>
        <v>NA</v>
      </c>
      <c r="AB1076" s="10" t="str">
        <f t="shared" si="868"/>
        <v>NA</v>
      </c>
      <c r="AC1076" s="10" t="str">
        <f t="shared" si="869"/>
        <v>NA</v>
      </c>
      <c r="AD1076" s="10" t="str">
        <f t="shared" si="870"/>
        <v>NA</v>
      </c>
      <c r="AE1076" s="10" t="str">
        <f t="shared" si="871"/>
        <v>NA</v>
      </c>
      <c r="AF1076" s="1" t="s">
        <v>4462</v>
      </c>
    </row>
    <row r="1077" spans="1:32" x14ac:dyDescent="0.2">
      <c r="A1077" s="1" t="s">
        <v>4465</v>
      </c>
      <c r="B1077" s="1" t="s">
        <v>75</v>
      </c>
      <c r="C1077" s="1" t="s">
        <v>1575</v>
      </c>
      <c r="D1077" s="1" t="s">
        <v>1600</v>
      </c>
      <c r="E1077" s="1" t="s">
        <v>2050</v>
      </c>
      <c r="F1077" s="1" t="s">
        <v>4466</v>
      </c>
      <c r="G1077" s="4">
        <v>1</v>
      </c>
      <c r="H1077" s="28">
        <v>41912</v>
      </c>
      <c r="I1077" s="29">
        <f t="shared" ref="I1077" si="902">YEAR(H1077)</f>
        <v>2014</v>
      </c>
      <c r="J1077" s="1" t="s">
        <v>5851</v>
      </c>
      <c r="K1077" s="1" t="s">
        <v>7</v>
      </c>
      <c r="L1077" s="11" t="str">
        <f t="shared" ref="L1077" si="903">IF(OR(A1077=J1077,A1077=K1077),"ДА","НЕТ")</f>
        <v>НЕТ</v>
      </c>
      <c r="M1077" s="10" t="s">
        <v>1575</v>
      </c>
      <c r="N1077" s="10" t="s">
        <v>1575</v>
      </c>
      <c r="O1077" s="10">
        <v>77.280299999999997</v>
      </c>
      <c r="P1077" s="10">
        <f t="shared" si="862"/>
        <v>77.280299999999997</v>
      </c>
      <c r="Q1077" s="10" t="str">
        <f t="shared" si="863"/>
        <v>NA</v>
      </c>
      <c r="R1077" s="10">
        <v>123.570983</v>
      </c>
      <c r="S1077" s="10" t="s">
        <v>1575</v>
      </c>
      <c r="T1077" s="10" t="s">
        <v>1575</v>
      </c>
      <c r="U1077" s="10">
        <v>-5.503565</v>
      </c>
      <c r="V1077" s="10">
        <v>73.082864000000001</v>
      </c>
      <c r="W1077" s="10" t="s">
        <v>1575</v>
      </c>
      <c r="X1077" s="10" t="str">
        <f t="shared" ref="X1077" si="904">IFERROR(V1077+W1077,"NA")</f>
        <v>NA</v>
      </c>
      <c r="Y1077" s="10">
        <f t="shared" ref="Y1077" si="905">IFERROR(P1077/R1077,"NA")</f>
        <v>0.62539196600871905</v>
      </c>
      <c r="Z1077" s="10">
        <f t="shared" ref="Z1077" si="906">IFERROR(P1077/U1077,"NA")</f>
        <v>-14.041861956749852</v>
      </c>
      <c r="AA1077" s="10">
        <f t="shared" ref="AA1077" si="907">IFERROR(P1077/V1077,"NA")</f>
        <v>1.0574339286977039</v>
      </c>
      <c r="AB1077" s="10" t="str">
        <f t="shared" ref="AB1077" si="908">IFERROR(Q1077/R1077,"NA")</f>
        <v>NA</v>
      </c>
      <c r="AC1077" s="10" t="str">
        <f t="shared" ref="AC1077" si="909">IFERROR(Q1077/S1077,"NA")</f>
        <v>NA</v>
      </c>
      <c r="AD1077" s="10" t="str">
        <f t="shared" ref="AD1077" si="910">IFERROR(Q1077/T1077,"NA")</f>
        <v>NA</v>
      </c>
      <c r="AE1077" s="10" t="str">
        <f t="shared" ref="AE1077" si="911">IFERROR(Q1077/X1077,"NA")</f>
        <v>NA</v>
      </c>
      <c r="AF1077" s="1" t="s">
        <v>4464</v>
      </c>
    </row>
    <row r="1078" spans="1:32" x14ac:dyDescent="0.2">
      <c r="A1078" s="1" t="s">
        <v>80</v>
      </c>
      <c r="B1078" s="1" t="s">
        <v>78</v>
      </c>
      <c r="C1078" s="1" t="s">
        <v>1575</v>
      </c>
      <c r="D1078" s="1" t="s">
        <v>1600</v>
      </c>
      <c r="E1078" s="1" t="s">
        <v>1671</v>
      </c>
      <c r="F1078" s="1" t="s">
        <v>72</v>
      </c>
      <c r="G1078" s="4">
        <v>0.128</v>
      </c>
      <c r="H1078" s="28">
        <v>41547</v>
      </c>
      <c r="I1078" s="29">
        <f t="shared" si="882"/>
        <v>2013</v>
      </c>
      <c r="J1078" s="1" t="s">
        <v>7</v>
      </c>
      <c r="K1078" s="1" t="s">
        <v>5851</v>
      </c>
      <c r="L1078" s="11" t="str">
        <f t="shared" si="861"/>
        <v>НЕТ</v>
      </c>
      <c r="M1078" s="10" t="s">
        <v>1575</v>
      </c>
      <c r="N1078" s="10" t="s">
        <v>1575</v>
      </c>
      <c r="O1078" s="10">
        <v>0.80149999999999999</v>
      </c>
      <c r="P1078" s="10">
        <f t="shared" si="862"/>
        <v>6.26171875</v>
      </c>
      <c r="Q1078" s="10" t="str">
        <f t="shared" si="863"/>
        <v>NA</v>
      </c>
      <c r="R1078" s="10" t="s">
        <v>1575</v>
      </c>
      <c r="S1078" s="10" t="s">
        <v>1575</v>
      </c>
      <c r="T1078" s="10" t="s">
        <v>1575</v>
      </c>
      <c r="U1078" s="10" t="s">
        <v>1575</v>
      </c>
      <c r="V1078" s="10" t="s">
        <v>1575</v>
      </c>
      <c r="W1078" s="10" t="s">
        <v>1575</v>
      </c>
      <c r="X1078" s="10" t="str">
        <f t="shared" si="864"/>
        <v>NA</v>
      </c>
      <c r="Y1078" s="10" t="str">
        <f t="shared" si="865"/>
        <v>NA</v>
      </c>
      <c r="Z1078" s="10" t="str">
        <f t="shared" si="866"/>
        <v>NA</v>
      </c>
      <c r="AA1078" s="10" t="str">
        <f t="shared" si="867"/>
        <v>NA</v>
      </c>
      <c r="AB1078" s="10" t="str">
        <f t="shared" si="868"/>
        <v>NA</v>
      </c>
      <c r="AC1078" s="10" t="str">
        <f t="shared" si="869"/>
        <v>NA</v>
      </c>
      <c r="AD1078" s="10" t="str">
        <f t="shared" si="870"/>
        <v>NA</v>
      </c>
      <c r="AE1078" s="10" t="str">
        <f t="shared" si="871"/>
        <v>NA</v>
      </c>
      <c r="AF1078" s="1" t="s">
        <v>4463</v>
      </c>
    </row>
    <row r="1079" spans="1:32" x14ac:dyDescent="0.2">
      <c r="A1079" s="1" t="s">
        <v>5856</v>
      </c>
      <c r="B1079" s="1" t="s">
        <v>82</v>
      </c>
      <c r="C1079" s="1" t="s">
        <v>1575</v>
      </c>
      <c r="D1079" s="1" t="s">
        <v>1600</v>
      </c>
      <c r="E1079" s="1" t="s">
        <v>4456</v>
      </c>
      <c r="F1079" s="1" t="s">
        <v>83</v>
      </c>
      <c r="G1079" s="4">
        <v>0.158</v>
      </c>
      <c r="H1079" s="28">
        <v>40939</v>
      </c>
      <c r="I1079" s="29">
        <f t="shared" si="882"/>
        <v>2012</v>
      </c>
      <c r="J1079" s="1" t="s">
        <v>5851</v>
      </c>
      <c r="K1079" s="1" t="s">
        <v>7</v>
      </c>
      <c r="L1079" s="11" t="str">
        <f t="shared" si="861"/>
        <v>НЕТ</v>
      </c>
      <c r="M1079" s="10" t="s">
        <v>1575</v>
      </c>
      <c r="N1079" s="10" t="s">
        <v>1575</v>
      </c>
      <c r="O1079" s="10">
        <v>0.23680000000000001</v>
      </c>
      <c r="P1079" s="10">
        <f t="shared" si="862"/>
        <v>1.4987341772151899</v>
      </c>
      <c r="Q1079" s="10" t="str">
        <f t="shared" si="863"/>
        <v>NA</v>
      </c>
      <c r="R1079" s="10" t="s">
        <v>1575</v>
      </c>
      <c r="S1079" s="10" t="s">
        <v>1575</v>
      </c>
      <c r="T1079" s="10" t="s">
        <v>1575</v>
      </c>
      <c r="U1079" s="10" t="s">
        <v>1575</v>
      </c>
      <c r="V1079" s="10" t="s">
        <v>1575</v>
      </c>
      <c r="W1079" s="10" t="s">
        <v>1575</v>
      </c>
      <c r="X1079" s="10" t="str">
        <f t="shared" si="864"/>
        <v>NA</v>
      </c>
      <c r="Y1079" s="10" t="str">
        <f t="shared" si="865"/>
        <v>NA</v>
      </c>
      <c r="Z1079" s="10" t="str">
        <f t="shared" si="866"/>
        <v>NA</v>
      </c>
      <c r="AA1079" s="10" t="str">
        <f t="shared" si="867"/>
        <v>NA</v>
      </c>
      <c r="AB1079" s="10" t="str">
        <f t="shared" si="868"/>
        <v>NA</v>
      </c>
      <c r="AC1079" s="10" t="str">
        <f t="shared" si="869"/>
        <v>NA</v>
      </c>
      <c r="AD1079" s="10" t="str">
        <f t="shared" si="870"/>
        <v>NA</v>
      </c>
      <c r="AE1079" s="10" t="str">
        <f t="shared" si="871"/>
        <v>NA</v>
      </c>
      <c r="AF1079" s="1" t="s">
        <v>4468</v>
      </c>
    </row>
    <row r="1080" spans="1:32" x14ac:dyDescent="0.2">
      <c r="A1080" s="1" t="s">
        <v>4500</v>
      </c>
      <c r="B1080" s="1" t="s">
        <v>81</v>
      </c>
      <c r="C1080" s="1" t="s">
        <v>1575</v>
      </c>
      <c r="D1080" s="1" t="s">
        <v>1600</v>
      </c>
      <c r="E1080" s="1" t="s">
        <v>1671</v>
      </c>
      <c r="F1080" s="1" t="s">
        <v>72</v>
      </c>
      <c r="G1080" s="4">
        <v>0.38500000000000001</v>
      </c>
      <c r="H1080" s="28">
        <v>41029</v>
      </c>
      <c r="I1080" s="29">
        <f t="shared" si="882"/>
        <v>2012</v>
      </c>
      <c r="J1080" s="1" t="s">
        <v>5851</v>
      </c>
      <c r="K1080" s="1" t="s">
        <v>7</v>
      </c>
      <c r="L1080" s="11" t="str">
        <f t="shared" si="861"/>
        <v>НЕТ</v>
      </c>
      <c r="M1080" s="10" t="s">
        <v>1575</v>
      </c>
      <c r="N1080" s="10" t="s">
        <v>1575</v>
      </c>
      <c r="O1080" s="10">
        <v>3.3767</v>
      </c>
      <c r="P1080" s="10">
        <f t="shared" si="862"/>
        <v>8.7706493506493501</v>
      </c>
      <c r="Q1080" s="10" t="str">
        <f t="shared" si="863"/>
        <v>NA</v>
      </c>
      <c r="R1080" s="10" t="s">
        <v>1575</v>
      </c>
      <c r="S1080" s="10" t="s">
        <v>1575</v>
      </c>
      <c r="T1080" s="10" t="s">
        <v>1575</v>
      </c>
      <c r="U1080" s="10" t="s">
        <v>1575</v>
      </c>
      <c r="V1080" s="10" t="s">
        <v>1575</v>
      </c>
      <c r="W1080" s="10" t="s">
        <v>1575</v>
      </c>
      <c r="X1080" s="10" t="str">
        <f t="shared" si="864"/>
        <v>NA</v>
      </c>
      <c r="Y1080" s="10" t="str">
        <f t="shared" si="865"/>
        <v>NA</v>
      </c>
      <c r="Z1080" s="10" t="str">
        <f t="shared" si="866"/>
        <v>NA</v>
      </c>
      <c r="AA1080" s="10" t="str">
        <f t="shared" si="867"/>
        <v>NA</v>
      </c>
      <c r="AB1080" s="10" t="str">
        <f t="shared" si="868"/>
        <v>NA</v>
      </c>
      <c r="AC1080" s="10" t="str">
        <f t="shared" si="869"/>
        <v>NA</v>
      </c>
      <c r="AD1080" s="10" t="str">
        <f t="shared" si="870"/>
        <v>NA</v>
      </c>
      <c r="AE1080" s="10" t="str">
        <f t="shared" si="871"/>
        <v>NA</v>
      </c>
      <c r="AF1080" s="1" t="s">
        <v>4469</v>
      </c>
    </row>
    <row r="1081" spans="1:32" x14ac:dyDescent="0.2">
      <c r="A1081" s="5" t="s">
        <v>5857</v>
      </c>
      <c r="B1081" s="1" t="s">
        <v>5</v>
      </c>
      <c r="C1081" s="1" t="s">
        <v>1575</v>
      </c>
      <c r="D1081" s="1" t="s">
        <v>1600</v>
      </c>
      <c r="E1081" s="1" t="s">
        <v>1659</v>
      </c>
      <c r="F1081" s="1" t="s">
        <v>76</v>
      </c>
      <c r="G1081" s="4">
        <v>0.14799999999999999</v>
      </c>
      <c r="H1081" s="28">
        <v>41274</v>
      </c>
      <c r="I1081" s="29">
        <f t="shared" si="882"/>
        <v>2012</v>
      </c>
      <c r="J1081" s="1" t="s">
        <v>5851</v>
      </c>
      <c r="K1081" s="1" t="s">
        <v>7</v>
      </c>
      <c r="L1081" s="11" t="str">
        <f t="shared" si="861"/>
        <v>НЕТ</v>
      </c>
      <c r="M1081" s="10" t="s">
        <v>1575</v>
      </c>
      <c r="N1081" s="10" t="s">
        <v>1575</v>
      </c>
      <c r="O1081" s="10">
        <v>2.1534</v>
      </c>
      <c r="P1081" s="10">
        <f t="shared" si="862"/>
        <v>14.55</v>
      </c>
      <c r="Q1081" s="10" t="str">
        <f t="shared" si="863"/>
        <v>NA</v>
      </c>
      <c r="R1081" s="10" t="s">
        <v>1575</v>
      </c>
      <c r="S1081" s="10" t="s">
        <v>1575</v>
      </c>
      <c r="T1081" s="10" t="s">
        <v>1575</v>
      </c>
      <c r="U1081" s="10" t="s">
        <v>1575</v>
      </c>
      <c r="V1081" s="10" t="s">
        <v>1575</v>
      </c>
      <c r="W1081" s="10" t="s">
        <v>1575</v>
      </c>
      <c r="X1081" s="10" t="str">
        <f t="shared" si="864"/>
        <v>NA</v>
      </c>
      <c r="Y1081" s="10" t="str">
        <f t="shared" si="865"/>
        <v>NA</v>
      </c>
      <c r="Z1081" s="10" t="str">
        <f t="shared" si="866"/>
        <v>NA</v>
      </c>
      <c r="AA1081" s="10" t="str">
        <f t="shared" si="867"/>
        <v>NA</v>
      </c>
      <c r="AB1081" s="10" t="str">
        <f t="shared" si="868"/>
        <v>NA</v>
      </c>
      <c r="AC1081" s="10" t="str">
        <f t="shared" si="869"/>
        <v>NA</v>
      </c>
      <c r="AD1081" s="10" t="str">
        <f t="shared" si="870"/>
        <v>NA</v>
      </c>
      <c r="AE1081" s="10" t="str">
        <f t="shared" si="871"/>
        <v>NA</v>
      </c>
      <c r="AF1081" s="1" t="s">
        <v>4470</v>
      </c>
    </row>
    <row r="1082" spans="1:32" x14ac:dyDescent="0.2">
      <c r="A1082" s="1" t="s">
        <v>84</v>
      </c>
      <c r="B1082" s="1" t="s">
        <v>86</v>
      </c>
      <c r="C1082" s="1" t="s">
        <v>1575</v>
      </c>
      <c r="D1082" s="1" t="s">
        <v>1582</v>
      </c>
      <c r="E1082" s="1" t="s">
        <v>3134</v>
      </c>
      <c r="F1082" s="1" t="s">
        <v>85</v>
      </c>
      <c r="G1082" s="4">
        <v>0.217</v>
      </c>
      <c r="H1082" s="28">
        <v>40939</v>
      </c>
      <c r="I1082" s="29">
        <f t="shared" si="882"/>
        <v>2012</v>
      </c>
      <c r="J1082" s="1" t="s">
        <v>7</v>
      </c>
      <c r="K1082" s="1" t="s">
        <v>5851</v>
      </c>
      <c r="L1082" s="11" t="str">
        <f t="shared" si="861"/>
        <v>НЕТ</v>
      </c>
      <c r="M1082" s="10" t="s">
        <v>1575</v>
      </c>
      <c r="N1082" s="10" t="s">
        <v>1575</v>
      </c>
      <c r="O1082" s="10">
        <v>0.60729999999999995</v>
      </c>
      <c r="P1082" s="10">
        <f t="shared" si="862"/>
        <v>2.798617511520737</v>
      </c>
      <c r="Q1082" s="10" t="str">
        <f t="shared" si="863"/>
        <v>NA</v>
      </c>
      <c r="R1082" s="10" t="s">
        <v>1575</v>
      </c>
      <c r="S1082" s="10" t="s">
        <v>1575</v>
      </c>
      <c r="T1082" s="10" t="s">
        <v>1575</v>
      </c>
      <c r="U1082" s="10" t="s">
        <v>1575</v>
      </c>
      <c r="V1082" s="10" t="s">
        <v>1575</v>
      </c>
      <c r="W1082" s="10" t="s">
        <v>1575</v>
      </c>
      <c r="X1082" s="10" t="str">
        <f t="shared" si="864"/>
        <v>NA</v>
      </c>
      <c r="Y1082" s="10" t="str">
        <f t="shared" si="865"/>
        <v>NA</v>
      </c>
      <c r="Z1082" s="10" t="str">
        <f t="shared" si="866"/>
        <v>NA</v>
      </c>
      <c r="AA1082" s="10" t="str">
        <f t="shared" si="867"/>
        <v>NA</v>
      </c>
      <c r="AB1082" s="10" t="str">
        <f t="shared" si="868"/>
        <v>NA</v>
      </c>
      <c r="AC1082" s="10" t="str">
        <f t="shared" si="869"/>
        <v>NA</v>
      </c>
      <c r="AD1082" s="10" t="str">
        <f t="shared" si="870"/>
        <v>NA</v>
      </c>
      <c r="AE1082" s="10" t="str">
        <f t="shared" si="871"/>
        <v>NA</v>
      </c>
      <c r="AF1082" s="1" t="s">
        <v>4467</v>
      </c>
    </row>
    <row r="1083" spans="1:32" x14ac:dyDescent="0.2">
      <c r="A1083" s="1" t="s">
        <v>87</v>
      </c>
      <c r="B1083" s="1" t="s">
        <v>88</v>
      </c>
      <c r="C1083" s="1" t="s">
        <v>1575</v>
      </c>
      <c r="D1083" s="1" t="s">
        <v>1582</v>
      </c>
      <c r="E1083" s="1" t="s">
        <v>3134</v>
      </c>
      <c r="F1083" s="1" t="s">
        <v>89</v>
      </c>
      <c r="G1083" s="4">
        <v>7.3999999999999996E-2</v>
      </c>
      <c r="H1083" s="28">
        <v>40633</v>
      </c>
      <c r="I1083" s="29">
        <f t="shared" si="882"/>
        <v>2011</v>
      </c>
      <c r="J1083" s="1" t="s">
        <v>5851</v>
      </c>
      <c r="K1083" s="1" t="s">
        <v>7</v>
      </c>
      <c r="L1083" s="11" t="str">
        <f t="shared" si="861"/>
        <v>НЕТ</v>
      </c>
      <c r="M1083" s="10">
        <v>7.4</v>
      </c>
      <c r="N1083" s="10" t="s">
        <v>1575</v>
      </c>
      <c r="O1083" s="10">
        <v>0.2104</v>
      </c>
      <c r="P1083" s="10">
        <f t="shared" si="862"/>
        <v>2.8432432432432435</v>
      </c>
      <c r="Q1083" s="10" t="str">
        <f t="shared" si="863"/>
        <v>NA</v>
      </c>
      <c r="R1083" s="10" t="s">
        <v>1575</v>
      </c>
      <c r="S1083" s="10" t="s">
        <v>1575</v>
      </c>
      <c r="T1083" s="10" t="s">
        <v>1575</v>
      </c>
      <c r="U1083" s="10" t="s">
        <v>1575</v>
      </c>
      <c r="V1083" s="10" t="s">
        <v>1575</v>
      </c>
      <c r="W1083" s="10" t="s">
        <v>1575</v>
      </c>
      <c r="X1083" s="10" t="str">
        <f t="shared" si="864"/>
        <v>NA</v>
      </c>
      <c r="Y1083" s="10" t="str">
        <f t="shared" si="865"/>
        <v>NA</v>
      </c>
      <c r="Z1083" s="10" t="str">
        <f t="shared" si="866"/>
        <v>NA</v>
      </c>
      <c r="AA1083" s="10" t="str">
        <f t="shared" si="867"/>
        <v>NA</v>
      </c>
      <c r="AB1083" s="10" t="str">
        <f t="shared" si="868"/>
        <v>NA</v>
      </c>
      <c r="AC1083" s="10" t="str">
        <f t="shared" si="869"/>
        <v>NA</v>
      </c>
      <c r="AD1083" s="10" t="str">
        <f t="shared" si="870"/>
        <v>NA</v>
      </c>
      <c r="AE1083" s="10" t="str">
        <f t="shared" si="871"/>
        <v>NA</v>
      </c>
      <c r="AF1083" s="1" t="s">
        <v>4471</v>
      </c>
    </row>
    <row r="1084" spans="1:32" x14ac:dyDescent="0.2">
      <c r="A1084" s="1" t="s">
        <v>90</v>
      </c>
      <c r="B1084" s="1" t="s">
        <v>78</v>
      </c>
      <c r="C1084" s="1" t="s">
        <v>1575</v>
      </c>
      <c r="D1084" s="1" t="s">
        <v>1600</v>
      </c>
      <c r="E1084" s="1" t="s">
        <v>1671</v>
      </c>
      <c r="F1084" s="1" t="s">
        <v>72</v>
      </c>
      <c r="G1084" s="4">
        <v>0.25</v>
      </c>
      <c r="H1084" s="28">
        <v>40694</v>
      </c>
      <c r="I1084" s="29">
        <f t="shared" si="882"/>
        <v>2011</v>
      </c>
      <c r="J1084" s="1" t="s">
        <v>5851</v>
      </c>
      <c r="K1084" s="1" t="s">
        <v>7</v>
      </c>
      <c r="L1084" s="11" t="str">
        <f t="shared" si="861"/>
        <v>НЕТ</v>
      </c>
      <c r="M1084" s="10" t="s">
        <v>1575</v>
      </c>
      <c r="N1084" s="10" t="s">
        <v>1575</v>
      </c>
      <c r="O1084" s="10">
        <v>1.3754</v>
      </c>
      <c r="P1084" s="10">
        <f t="shared" si="862"/>
        <v>5.5015999999999998</v>
      </c>
      <c r="Q1084" s="10" t="str">
        <f t="shared" si="863"/>
        <v>NA</v>
      </c>
      <c r="R1084" s="10" t="s">
        <v>1575</v>
      </c>
      <c r="S1084" s="10" t="s">
        <v>1575</v>
      </c>
      <c r="T1084" s="10" t="s">
        <v>1575</v>
      </c>
      <c r="U1084" s="10" t="s">
        <v>1575</v>
      </c>
      <c r="V1084" s="10" t="s">
        <v>1575</v>
      </c>
      <c r="W1084" s="10" t="s">
        <v>1575</v>
      </c>
      <c r="X1084" s="10" t="str">
        <f t="shared" si="864"/>
        <v>NA</v>
      </c>
      <c r="Y1084" s="10" t="str">
        <f t="shared" si="865"/>
        <v>NA</v>
      </c>
      <c r="Z1084" s="10" t="str">
        <f t="shared" si="866"/>
        <v>NA</v>
      </c>
      <c r="AA1084" s="10" t="str">
        <f t="shared" si="867"/>
        <v>NA</v>
      </c>
      <c r="AB1084" s="10" t="str">
        <f t="shared" si="868"/>
        <v>NA</v>
      </c>
      <c r="AC1084" s="10" t="str">
        <f t="shared" si="869"/>
        <v>NA</v>
      </c>
      <c r="AD1084" s="10" t="str">
        <f t="shared" si="870"/>
        <v>NA</v>
      </c>
      <c r="AE1084" s="10" t="str">
        <f t="shared" si="871"/>
        <v>NA</v>
      </c>
      <c r="AF1084" s="1" t="s">
        <v>4472</v>
      </c>
    </row>
    <row r="1085" spans="1:32" x14ac:dyDescent="0.2">
      <c r="A1085" s="1" t="s">
        <v>5858</v>
      </c>
      <c r="B1085" s="1" t="s">
        <v>91</v>
      </c>
      <c r="C1085" s="1" t="s">
        <v>1575</v>
      </c>
      <c r="D1085" s="1" t="s">
        <v>1600</v>
      </c>
      <c r="E1085" s="1" t="s">
        <v>4456</v>
      </c>
      <c r="F1085" s="1" t="s">
        <v>83</v>
      </c>
      <c r="G1085" s="4">
        <v>0.49</v>
      </c>
      <c r="H1085" s="28">
        <v>40633</v>
      </c>
      <c r="I1085" s="29">
        <f t="shared" si="882"/>
        <v>2011</v>
      </c>
      <c r="J1085" s="1" t="s">
        <v>5851</v>
      </c>
      <c r="K1085" s="1" t="s">
        <v>7</v>
      </c>
      <c r="L1085" s="11" t="str">
        <f t="shared" si="861"/>
        <v>НЕТ</v>
      </c>
      <c r="M1085" s="10">
        <v>3</v>
      </c>
      <c r="N1085" s="10" t="s">
        <v>1575</v>
      </c>
      <c r="O1085" s="10">
        <v>8.5300000000000001E-2</v>
      </c>
      <c r="P1085" s="10">
        <f t="shared" si="862"/>
        <v>0.17408163265306123</v>
      </c>
      <c r="Q1085" s="10" t="str">
        <f t="shared" si="863"/>
        <v>NA</v>
      </c>
      <c r="R1085" s="10" t="s">
        <v>1575</v>
      </c>
      <c r="S1085" s="10" t="s">
        <v>1575</v>
      </c>
      <c r="T1085" s="10" t="s">
        <v>1575</v>
      </c>
      <c r="U1085" s="10" t="s">
        <v>1575</v>
      </c>
      <c r="V1085" s="10" t="s">
        <v>1575</v>
      </c>
      <c r="W1085" s="10" t="s">
        <v>1575</v>
      </c>
      <c r="X1085" s="10" t="str">
        <f t="shared" si="864"/>
        <v>NA</v>
      </c>
      <c r="Y1085" s="10" t="str">
        <f t="shared" si="865"/>
        <v>NA</v>
      </c>
      <c r="Z1085" s="10" t="str">
        <f t="shared" si="866"/>
        <v>NA</v>
      </c>
      <c r="AA1085" s="10" t="str">
        <f t="shared" si="867"/>
        <v>NA</v>
      </c>
      <c r="AB1085" s="10" t="str">
        <f t="shared" si="868"/>
        <v>NA</v>
      </c>
      <c r="AC1085" s="10" t="str">
        <f t="shared" si="869"/>
        <v>NA</v>
      </c>
      <c r="AD1085" s="10" t="str">
        <f t="shared" si="870"/>
        <v>NA</v>
      </c>
      <c r="AE1085" s="10" t="str">
        <f t="shared" si="871"/>
        <v>NA</v>
      </c>
      <c r="AF1085" s="1" t="s">
        <v>4473</v>
      </c>
    </row>
    <row r="1086" spans="1:32" x14ac:dyDescent="0.2">
      <c r="A1086" s="1" t="s">
        <v>4457</v>
      </c>
      <c r="B1086" s="1" t="s">
        <v>1575</v>
      </c>
      <c r="C1086" s="1" t="s">
        <v>1575</v>
      </c>
      <c r="D1086" s="1" t="s">
        <v>1600</v>
      </c>
      <c r="E1086" s="1" t="s">
        <v>4456</v>
      </c>
      <c r="F1086" s="1" t="s">
        <v>83</v>
      </c>
      <c r="G1086" s="4">
        <v>1</v>
      </c>
      <c r="H1086" s="28">
        <v>40633</v>
      </c>
      <c r="I1086" s="29">
        <f t="shared" si="882"/>
        <v>2011</v>
      </c>
      <c r="J1086" s="1" t="s">
        <v>7</v>
      </c>
      <c r="K1086" s="1" t="s">
        <v>5851</v>
      </c>
      <c r="L1086" s="11" t="str">
        <f t="shared" si="861"/>
        <v>НЕТ</v>
      </c>
      <c r="M1086" s="10">
        <v>12.9</v>
      </c>
      <c r="N1086" s="10" t="s">
        <v>1575</v>
      </c>
      <c r="O1086" s="10">
        <v>0.36670000000000003</v>
      </c>
      <c r="P1086" s="10">
        <f t="shared" si="862"/>
        <v>0.36670000000000003</v>
      </c>
      <c r="Q1086" s="10" t="str">
        <f t="shared" si="863"/>
        <v>NA</v>
      </c>
      <c r="R1086" s="10" t="s">
        <v>1575</v>
      </c>
      <c r="S1086" s="10" t="s">
        <v>1575</v>
      </c>
      <c r="T1086" s="10" t="s">
        <v>1575</v>
      </c>
      <c r="U1086" s="10" t="s">
        <v>1575</v>
      </c>
      <c r="V1086" s="10" t="s">
        <v>1575</v>
      </c>
      <c r="W1086" s="10" t="s">
        <v>1575</v>
      </c>
      <c r="X1086" s="10" t="str">
        <f t="shared" si="864"/>
        <v>NA</v>
      </c>
      <c r="Y1086" s="10" t="str">
        <f t="shared" si="865"/>
        <v>NA</v>
      </c>
      <c r="Z1086" s="10" t="str">
        <f t="shared" si="866"/>
        <v>NA</v>
      </c>
      <c r="AA1086" s="10" t="str">
        <f t="shared" si="867"/>
        <v>NA</v>
      </c>
      <c r="AB1086" s="10" t="str">
        <f t="shared" si="868"/>
        <v>NA</v>
      </c>
      <c r="AC1086" s="10" t="str">
        <f t="shared" si="869"/>
        <v>NA</v>
      </c>
      <c r="AD1086" s="10" t="str">
        <f t="shared" si="870"/>
        <v>NA</v>
      </c>
      <c r="AE1086" s="10" t="str">
        <f t="shared" si="871"/>
        <v>NA</v>
      </c>
      <c r="AF1086" s="1" t="s">
        <v>4474</v>
      </c>
    </row>
    <row r="1087" spans="1:32" x14ac:dyDescent="0.2">
      <c r="A1087" s="5" t="s">
        <v>5859</v>
      </c>
      <c r="B1087" s="1" t="s">
        <v>5</v>
      </c>
      <c r="C1087" s="1" t="s">
        <v>1575</v>
      </c>
      <c r="D1087" s="1" t="s">
        <v>1600</v>
      </c>
      <c r="E1087" s="1" t="s">
        <v>2050</v>
      </c>
      <c r="F1087" s="1" t="s">
        <v>4487</v>
      </c>
      <c r="G1087" s="4">
        <v>0.91600000000000004</v>
      </c>
      <c r="H1087" s="28">
        <v>40755</v>
      </c>
      <c r="I1087" s="29">
        <f t="shared" si="882"/>
        <v>2011</v>
      </c>
      <c r="J1087" s="1" t="s">
        <v>7</v>
      </c>
      <c r="K1087" s="1" t="s">
        <v>5851</v>
      </c>
      <c r="L1087" s="11" t="str">
        <f t="shared" si="861"/>
        <v>НЕТ</v>
      </c>
      <c r="M1087" s="10" t="s">
        <v>1575</v>
      </c>
      <c r="N1087" s="10" t="s">
        <v>1575</v>
      </c>
      <c r="O1087" s="10">
        <v>4.4799999999999999E-4</v>
      </c>
      <c r="P1087" s="10">
        <f t="shared" si="862"/>
        <v>4.8908296943231443E-4</v>
      </c>
      <c r="Q1087" s="10" t="str">
        <f t="shared" si="863"/>
        <v>NA</v>
      </c>
      <c r="R1087" s="10" t="s">
        <v>1575</v>
      </c>
      <c r="S1087" s="10" t="s">
        <v>1575</v>
      </c>
      <c r="T1087" s="10" t="s">
        <v>1575</v>
      </c>
      <c r="U1087" s="10" t="s">
        <v>1575</v>
      </c>
      <c r="V1087" s="10" t="s">
        <v>1575</v>
      </c>
      <c r="W1087" s="10" t="s">
        <v>1575</v>
      </c>
      <c r="X1087" s="10" t="str">
        <f t="shared" si="864"/>
        <v>NA</v>
      </c>
      <c r="Y1087" s="10" t="str">
        <f t="shared" si="865"/>
        <v>NA</v>
      </c>
      <c r="Z1087" s="10" t="str">
        <f t="shared" si="866"/>
        <v>NA</v>
      </c>
      <c r="AA1087" s="10" t="str">
        <f t="shared" si="867"/>
        <v>NA</v>
      </c>
      <c r="AB1087" s="10" t="str">
        <f t="shared" si="868"/>
        <v>NA</v>
      </c>
      <c r="AC1087" s="10" t="str">
        <f t="shared" si="869"/>
        <v>NA</v>
      </c>
      <c r="AD1087" s="10" t="str">
        <f t="shared" si="870"/>
        <v>NA</v>
      </c>
      <c r="AE1087" s="10" t="str">
        <f t="shared" si="871"/>
        <v>NA</v>
      </c>
      <c r="AF1087" s="1" t="s">
        <v>4475</v>
      </c>
    </row>
    <row r="1088" spans="1:32" x14ac:dyDescent="0.2">
      <c r="A1088" s="1" t="s">
        <v>92</v>
      </c>
      <c r="B1088" s="1" t="s">
        <v>94</v>
      </c>
      <c r="C1088" s="1" t="s">
        <v>1575</v>
      </c>
      <c r="D1088" s="1" t="s">
        <v>1600</v>
      </c>
      <c r="E1088" s="1" t="s">
        <v>1653</v>
      </c>
      <c r="F1088" s="1" t="s">
        <v>4485</v>
      </c>
      <c r="G1088" s="4">
        <v>6.6000000000000003E-2</v>
      </c>
      <c r="H1088" s="28">
        <v>40574</v>
      </c>
      <c r="I1088" s="29">
        <f t="shared" si="882"/>
        <v>2011</v>
      </c>
      <c r="J1088" s="1" t="s">
        <v>5851</v>
      </c>
      <c r="K1088" s="1" t="s">
        <v>7</v>
      </c>
      <c r="L1088" s="11" t="str">
        <f t="shared" si="861"/>
        <v>НЕТ</v>
      </c>
      <c r="M1088" s="10" t="s">
        <v>1575</v>
      </c>
      <c r="N1088" s="10" t="s">
        <v>1575</v>
      </c>
      <c r="O1088" s="10">
        <v>0.97609999999999997</v>
      </c>
      <c r="P1088" s="10">
        <f t="shared" si="862"/>
        <v>14.789393939393939</v>
      </c>
      <c r="Q1088" s="10" t="str">
        <f t="shared" si="863"/>
        <v>NA</v>
      </c>
      <c r="R1088" s="10" t="s">
        <v>1575</v>
      </c>
      <c r="S1088" s="10" t="s">
        <v>1575</v>
      </c>
      <c r="T1088" s="10" t="s">
        <v>1575</v>
      </c>
      <c r="U1088" s="10" t="s">
        <v>1575</v>
      </c>
      <c r="V1088" s="10" t="s">
        <v>1575</v>
      </c>
      <c r="W1088" s="10" t="s">
        <v>1575</v>
      </c>
      <c r="X1088" s="10" t="str">
        <f t="shared" si="864"/>
        <v>NA</v>
      </c>
      <c r="Y1088" s="10" t="str">
        <f t="shared" si="865"/>
        <v>NA</v>
      </c>
      <c r="Z1088" s="10" t="str">
        <f t="shared" si="866"/>
        <v>NA</v>
      </c>
      <c r="AA1088" s="10" t="str">
        <f t="shared" si="867"/>
        <v>NA</v>
      </c>
      <c r="AB1088" s="10" t="str">
        <f t="shared" si="868"/>
        <v>NA</v>
      </c>
      <c r="AC1088" s="10" t="str">
        <f t="shared" si="869"/>
        <v>NA</v>
      </c>
      <c r="AD1088" s="10" t="str">
        <f t="shared" si="870"/>
        <v>NA</v>
      </c>
      <c r="AE1088" s="10" t="str">
        <f t="shared" si="871"/>
        <v>NA</v>
      </c>
      <c r="AF1088" s="1" t="s">
        <v>4476</v>
      </c>
    </row>
    <row r="1089" spans="1:32" x14ac:dyDescent="0.2">
      <c r="A1089" s="1" t="s">
        <v>92</v>
      </c>
      <c r="B1089" s="1" t="s">
        <v>94</v>
      </c>
      <c r="C1089" s="1" t="s">
        <v>1575</v>
      </c>
      <c r="D1089" s="1" t="s">
        <v>1600</v>
      </c>
      <c r="E1089" s="1" t="s">
        <v>1653</v>
      </c>
      <c r="F1089" s="1" t="s">
        <v>4485</v>
      </c>
      <c r="G1089" s="4">
        <v>0.26600000000000001</v>
      </c>
      <c r="H1089" s="28">
        <v>40237</v>
      </c>
      <c r="I1089" s="29">
        <f t="shared" si="882"/>
        <v>2010</v>
      </c>
      <c r="J1089" s="1" t="s">
        <v>5851</v>
      </c>
      <c r="K1089" s="1" t="s">
        <v>7</v>
      </c>
      <c r="L1089" s="11" t="str">
        <f t="shared" si="861"/>
        <v>НЕТ</v>
      </c>
      <c r="M1089" s="10">
        <v>90.3</v>
      </c>
      <c r="N1089" s="10" t="s">
        <v>1575</v>
      </c>
      <c r="O1089" s="10">
        <f>M1089*29.9484/1000</f>
        <v>2.7043405199999997</v>
      </c>
      <c r="P1089" s="10">
        <f t="shared" si="862"/>
        <v>10.166693684210525</v>
      </c>
      <c r="Q1089" s="10" t="str">
        <f t="shared" si="863"/>
        <v>NA</v>
      </c>
      <c r="R1089" s="10" t="s">
        <v>1575</v>
      </c>
      <c r="S1089" s="10" t="s">
        <v>1575</v>
      </c>
      <c r="T1089" s="10" t="s">
        <v>1575</v>
      </c>
      <c r="U1089" s="10" t="s">
        <v>1575</v>
      </c>
      <c r="V1089" s="10" t="s">
        <v>1575</v>
      </c>
      <c r="W1089" s="10" t="s">
        <v>1575</v>
      </c>
      <c r="X1089" s="10" t="str">
        <f t="shared" si="864"/>
        <v>NA</v>
      </c>
      <c r="Y1089" s="10" t="str">
        <f t="shared" si="865"/>
        <v>NA</v>
      </c>
      <c r="Z1089" s="10" t="str">
        <f t="shared" si="866"/>
        <v>NA</v>
      </c>
      <c r="AA1089" s="10" t="str">
        <f t="shared" si="867"/>
        <v>NA</v>
      </c>
      <c r="AB1089" s="10" t="str">
        <f t="shared" si="868"/>
        <v>NA</v>
      </c>
      <c r="AC1089" s="10" t="str">
        <f t="shared" si="869"/>
        <v>NA</v>
      </c>
      <c r="AD1089" s="10" t="str">
        <f t="shared" si="870"/>
        <v>NA</v>
      </c>
      <c r="AE1089" s="10" t="str">
        <f t="shared" si="871"/>
        <v>NA</v>
      </c>
      <c r="AF1089" s="1" t="s">
        <v>4478</v>
      </c>
    </row>
    <row r="1090" spans="1:32" x14ac:dyDescent="0.2">
      <c r="A1090" s="1" t="s">
        <v>92</v>
      </c>
      <c r="B1090" s="1" t="s">
        <v>94</v>
      </c>
      <c r="C1090" s="1" t="s">
        <v>1575</v>
      </c>
      <c r="D1090" s="1" t="s">
        <v>1600</v>
      </c>
      <c r="E1090" s="1" t="s">
        <v>1653</v>
      </c>
      <c r="F1090" s="1" t="s">
        <v>4485</v>
      </c>
      <c r="G1090" s="4">
        <v>0.13800000000000001</v>
      </c>
      <c r="H1090" s="28">
        <v>40390</v>
      </c>
      <c r="I1090" s="29">
        <f t="shared" si="882"/>
        <v>2010</v>
      </c>
      <c r="J1090" s="1" t="s">
        <v>5851</v>
      </c>
      <c r="K1090" s="1" t="s">
        <v>7</v>
      </c>
      <c r="L1090" s="11" t="str">
        <f t="shared" ref="L1090:L1196" si="912">IF(OR(A1090=J1090,A1090=K1090),"ДА","НЕТ")</f>
        <v>НЕТ</v>
      </c>
      <c r="M1090" s="10">
        <v>84.5</v>
      </c>
      <c r="N1090" s="10" t="s">
        <v>1575</v>
      </c>
      <c r="O1090" s="10">
        <f>M1090*30.1869/1000</f>
        <v>2.5507930500000002</v>
      </c>
      <c r="P1090" s="10">
        <f t="shared" si="862"/>
        <v>18.484007608695652</v>
      </c>
      <c r="Q1090" s="10" t="str">
        <f t="shared" si="863"/>
        <v>NA</v>
      </c>
      <c r="R1090" s="10" t="s">
        <v>1575</v>
      </c>
      <c r="S1090" s="10" t="s">
        <v>1575</v>
      </c>
      <c r="T1090" s="10" t="s">
        <v>1575</v>
      </c>
      <c r="U1090" s="10" t="s">
        <v>1575</v>
      </c>
      <c r="V1090" s="10" t="s">
        <v>1575</v>
      </c>
      <c r="W1090" s="10" t="s">
        <v>1575</v>
      </c>
      <c r="X1090" s="10" t="str">
        <f t="shared" si="864"/>
        <v>NA</v>
      </c>
      <c r="Y1090" s="10" t="str">
        <f t="shared" si="865"/>
        <v>NA</v>
      </c>
      <c r="Z1090" s="10" t="str">
        <f t="shared" si="866"/>
        <v>NA</v>
      </c>
      <c r="AA1090" s="10" t="str">
        <f t="shared" si="867"/>
        <v>NA</v>
      </c>
      <c r="AB1090" s="10" t="str">
        <f t="shared" si="868"/>
        <v>NA</v>
      </c>
      <c r="AC1090" s="10" t="str">
        <f t="shared" si="869"/>
        <v>NA</v>
      </c>
      <c r="AD1090" s="10" t="str">
        <f t="shared" si="870"/>
        <v>NA</v>
      </c>
      <c r="AE1090" s="10" t="str">
        <f t="shared" si="871"/>
        <v>NA</v>
      </c>
      <c r="AF1090" s="1" t="s">
        <v>4480</v>
      </c>
    </row>
    <row r="1091" spans="1:32" x14ac:dyDescent="0.2">
      <c r="A1091" s="1" t="s">
        <v>92</v>
      </c>
      <c r="B1091" s="1" t="s">
        <v>94</v>
      </c>
      <c r="C1091" s="1" t="s">
        <v>1575</v>
      </c>
      <c r="D1091" s="1" t="s">
        <v>1600</v>
      </c>
      <c r="E1091" s="1" t="s">
        <v>1653</v>
      </c>
      <c r="F1091" s="1" t="s">
        <v>4485</v>
      </c>
      <c r="G1091" s="4">
        <v>9.8000000000000004E-2</v>
      </c>
      <c r="H1091" s="28">
        <v>40390</v>
      </c>
      <c r="I1091" s="29">
        <f t="shared" si="882"/>
        <v>2010</v>
      </c>
      <c r="J1091" s="1" t="s">
        <v>5851</v>
      </c>
      <c r="K1091" s="1" t="s">
        <v>7</v>
      </c>
      <c r="L1091" s="11" t="str">
        <f t="shared" si="912"/>
        <v>НЕТ</v>
      </c>
      <c r="M1091" s="10">
        <v>70.900000000000006</v>
      </c>
      <c r="N1091" s="10" t="s">
        <v>1575</v>
      </c>
      <c r="O1091" s="10">
        <f>M1091*30.1869/1000</f>
        <v>2.1402512100000002</v>
      </c>
      <c r="P1091" s="10">
        <f t="shared" ref="P1091:P1154" si="913">IFERROR(O1091/G1091,"NA")</f>
        <v>21.83929806122449</v>
      </c>
      <c r="Q1091" s="10">
        <f t="shared" ref="Q1091:Q1154" si="914">IFERROR(P1091+W1091,"NA")</f>
        <v>27.004880389224489</v>
      </c>
      <c r="R1091" s="10" t="s">
        <v>1575</v>
      </c>
      <c r="S1091" s="10" t="s">
        <v>1575</v>
      </c>
      <c r="T1091" s="10" t="s">
        <v>1575</v>
      </c>
      <c r="U1091" s="10" t="s">
        <v>1575</v>
      </c>
      <c r="V1091" s="10">
        <f>0.502184*30.1869</f>
        <v>15.1593781896</v>
      </c>
      <c r="W1091" s="10">
        <f>(0.107412+0.093637-0.029929)*30.1869</f>
        <v>5.1655823279999993</v>
      </c>
      <c r="X1091" s="10">
        <f t="shared" si="864"/>
        <v>20.324960517599997</v>
      </c>
      <c r="Y1091" s="10" t="str">
        <f t="shared" si="865"/>
        <v>NA</v>
      </c>
      <c r="Z1091" s="10" t="str">
        <f t="shared" si="866"/>
        <v>NA</v>
      </c>
      <c r="AA1091" s="10">
        <f t="shared" si="867"/>
        <v>1.4406460336352851</v>
      </c>
      <c r="AB1091" s="10" t="str">
        <f t="shared" si="868"/>
        <v>NA</v>
      </c>
      <c r="AC1091" s="10" t="str">
        <f t="shared" si="869"/>
        <v>NA</v>
      </c>
      <c r="AD1091" s="10" t="str">
        <f t="shared" si="870"/>
        <v>NA</v>
      </c>
      <c r="AE1091" s="10">
        <f t="shared" si="871"/>
        <v>1.3286559826691986</v>
      </c>
      <c r="AF1091" s="1" t="s">
        <v>4486</v>
      </c>
    </row>
    <row r="1092" spans="1:32" x14ac:dyDescent="0.2">
      <c r="A1092" s="1" t="s">
        <v>92</v>
      </c>
      <c r="B1092" s="1" t="s">
        <v>94</v>
      </c>
      <c r="C1092" s="1" t="s">
        <v>1575</v>
      </c>
      <c r="D1092" s="1" t="s">
        <v>1600</v>
      </c>
      <c r="E1092" s="1" t="s">
        <v>1653</v>
      </c>
      <c r="F1092" s="1" t="s">
        <v>4485</v>
      </c>
      <c r="G1092" s="4">
        <v>0.432</v>
      </c>
      <c r="H1092" s="28">
        <v>40451</v>
      </c>
      <c r="I1092" s="29">
        <f t="shared" ref="I1092" si="915">YEAR(H1092)</f>
        <v>2010</v>
      </c>
      <c r="J1092" s="1" t="s">
        <v>5851</v>
      </c>
      <c r="K1092" s="1" t="s">
        <v>7</v>
      </c>
      <c r="L1092" s="11" t="str">
        <f t="shared" ref="L1092" si="916">IF(OR(A1092=J1092,A1092=K1092),"ДА","НЕТ")</f>
        <v>НЕТ</v>
      </c>
      <c r="M1092" s="10">
        <v>214.8</v>
      </c>
      <c r="N1092" s="10" t="s">
        <v>1575</v>
      </c>
      <c r="O1092" s="10">
        <f>M1092*30.403/1000</f>
        <v>6.5305644000000003</v>
      </c>
      <c r="P1092" s="10">
        <f t="shared" si="913"/>
        <v>15.117047222222222</v>
      </c>
      <c r="Q1092" s="10">
        <f t="shared" si="914"/>
        <v>20.282629550222222</v>
      </c>
      <c r="R1092" s="10" t="s">
        <v>1575</v>
      </c>
      <c r="S1092" s="10" t="s">
        <v>1575</v>
      </c>
      <c r="T1092" s="10" t="s">
        <v>1575</v>
      </c>
      <c r="U1092" s="10" t="s">
        <v>1575</v>
      </c>
      <c r="V1092" s="10">
        <f>0.502184*30.1869</f>
        <v>15.1593781896</v>
      </c>
      <c r="W1092" s="10">
        <f>(0.107412+0.093637-0.029929)*30.1869</f>
        <v>5.1655823279999993</v>
      </c>
      <c r="X1092" s="10">
        <f t="shared" ref="X1092" si="917">IFERROR(V1092+W1092,"NA")</f>
        <v>20.324960517599997</v>
      </c>
      <c r="Y1092" s="10" t="str">
        <f t="shared" ref="Y1092" si="918">IFERROR(P1092/R1092,"NA")</f>
        <v>NA</v>
      </c>
      <c r="Z1092" s="10" t="str">
        <f t="shared" ref="Z1092" si="919">IFERROR(P1092/U1092,"NA")</f>
        <v>NA</v>
      </c>
      <c r="AA1092" s="10">
        <f t="shared" ref="AA1092" si="920">IFERROR(P1092/V1092,"NA")</f>
        <v>0.99720760529565666</v>
      </c>
      <c r="AB1092" s="10" t="str">
        <f t="shared" ref="AB1092" si="921">IFERROR(Q1092/R1092,"NA")</f>
        <v>NA</v>
      </c>
      <c r="AC1092" s="10" t="str">
        <f t="shared" ref="AC1092" si="922">IFERROR(Q1092/S1092,"NA")</f>
        <v>NA</v>
      </c>
      <c r="AD1092" s="10" t="str">
        <f t="shared" ref="AD1092" si="923">IFERROR(Q1092/T1092,"NA")</f>
        <v>NA</v>
      </c>
      <c r="AE1092" s="10">
        <f t="shared" ref="AE1092" si="924">IFERROR(Q1092/X1092,"NA")</f>
        <v>0.99791729153219655</v>
      </c>
      <c r="AF1092" s="1" t="s">
        <v>4521</v>
      </c>
    </row>
    <row r="1093" spans="1:32" x14ac:dyDescent="0.2">
      <c r="A1093" s="1" t="s">
        <v>93</v>
      </c>
      <c r="B1093" s="1" t="s">
        <v>94</v>
      </c>
      <c r="C1093" s="1" t="s">
        <v>1575</v>
      </c>
      <c r="D1093" s="1" t="s">
        <v>1600</v>
      </c>
      <c r="E1093" s="1" t="s">
        <v>1653</v>
      </c>
      <c r="F1093" s="1" t="s">
        <v>4485</v>
      </c>
      <c r="G1093" s="4">
        <v>2.4E-2</v>
      </c>
      <c r="H1093" s="28">
        <v>40786</v>
      </c>
      <c r="I1093" s="29">
        <f t="shared" si="882"/>
        <v>2011</v>
      </c>
      <c r="J1093" s="1" t="s">
        <v>5851</v>
      </c>
      <c r="K1093" s="1" t="s">
        <v>7</v>
      </c>
      <c r="L1093" s="11" t="str">
        <f t="shared" si="912"/>
        <v>НЕТ</v>
      </c>
      <c r="M1093" s="10">
        <v>26.5</v>
      </c>
      <c r="N1093" s="10" t="s">
        <v>1575</v>
      </c>
      <c r="O1093" s="10">
        <v>0.76470000000000005</v>
      </c>
      <c r="P1093" s="10">
        <f t="shared" si="913"/>
        <v>31.862500000000001</v>
      </c>
      <c r="Q1093" s="10" t="str">
        <f t="shared" si="914"/>
        <v>NA</v>
      </c>
      <c r="R1093" s="10" t="s">
        <v>1575</v>
      </c>
      <c r="S1093" s="10" t="s">
        <v>1575</v>
      </c>
      <c r="T1093" s="10" t="s">
        <v>1575</v>
      </c>
      <c r="U1093" s="10" t="s">
        <v>1575</v>
      </c>
      <c r="V1093" s="10" t="s">
        <v>1575</v>
      </c>
      <c r="W1093" s="10" t="s">
        <v>1575</v>
      </c>
      <c r="X1093" s="10" t="str">
        <f t="shared" ref="X1093:X1150" si="925">IFERROR(V1093+W1093,"NA")</f>
        <v>NA</v>
      </c>
      <c r="Y1093" s="10" t="str">
        <f t="shared" ref="Y1093:Y1150" si="926">IFERROR(P1093/R1093,"NA")</f>
        <v>NA</v>
      </c>
      <c r="Z1093" s="10" t="str">
        <f t="shared" ref="Z1093:Z1150" si="927">IFERROR(P1093/U1093,"NA")</f>
        <v>NA</v>
      </c>
      <c r="AA1093" s="10" t="str">
        <f t="shared" ref="AA1093:AA1150" si="928">IFERROR(P1093/V1093,"NA")</f>
        <v>NA</v>
      </c>
      <c r="AB1093" s="10" t="str">
        <f t="shared" ref="AB1093:AB1150" si="929">IFERROR(Q1093/R1093,"NA")</f>
        <v>NA</v>
      </c>
      <c r="AC1093" s="10" t="str">
        <f t="shared" ref="AC1093:AC1150" si="930">IFERROR(Q1093/S1093,"NA")</f>
        <v>NA</v>
      </c>
      <c r="AD1093" s="10" t="str">
        <f t="shared" ref="AD1093:AD1150" si="931">IFERROR(Q1093/T1093,"NA")</f>
        <v>NA</v>
      </c>
      <c r="AE1093" s="10" t="str">
        <f t="shared" ref="AE1093:AE1150" si="932">IFERROR(Q1093/X1093,"NA")</f>
        <v>NA</v>
      </c>
      <c r="AF1093" s="1" t="s">
        <v>4477</v>
      </c>
    </row>
    <row r="1094" spans="1:32" x14ac:dyDescent="0.2">
      <c r="A1094" s="1" t="s">
        <v>93</v>
      </c>
      <c r="B1094" s="1" t="s">
        <v>94</v>
      </c>
      <c r="C1094" s="1" t="s">
        <v>1575</v>
      </c>
      <c r="D1094" s="1" t="s">
        <v>1600</v>
      </c>
      <c r="E1094" s="1" t="s">
        <v>1653</v>
      </c>
      <c r="F1094" s="1" t="s">
        <v>4485</v>
      </c>
      <c r="G1094" s="4">
        <v>2.3E-2</v>
      </c>
      <c r="H1094" s="28">
        <v>40482</v>
      </c>
      <c r="I1094" s="29">
        <f t="shared" si="882"/>
        <v>2010</v>
      </c>
      <c r="J1094" s="1" t="s">
        <v>5851</v>
      </c>
      <c r="K1094" s="1" t="s">
        <v>7</v>
      </c>
      <c r="L1094" s="11" t="str">
        <f t="shared" si="912"/>
        <v>НЕТ</v>
      </c>
      <c r="M1094" s="10">
        <v>19.7</v>
      </c>
      <c r="N1094" s="10" t="s">
        <v>1575</v>
      </c>
      <c r="O1094" s="10">
        <f>M1094*30.7821/1000</f>
        <v>0.60640737</v>
      </c>
      <c r="P1094" s="10">
        <f t="shared" si="913"/>
        <v>26.365537826086957</v>
      </c>
      <c r="Q1094" s="10" t="str">
        <f t="shared" si="914"/>
        <v>NA</v>
      </c>
      <c r="R1094" s="10" t="s">
        <v>1575</v>
      </c>
      <c r="S1094" s="10" t="s">
        <v>1575</v>
      </c>
      <c r="T1094" s="10" t="s">
        <v>1575</v>
      </c>
      <c r="U1094" s="10" t="s">
        <v>1575</v>
      </c>
      <c r="V1094" s="10" t="s">
        <v>1575</v>
      </c>
      <c r="W1094" s="10" t="s">
        <v>1575</v>
      </c>
      <c r="X1094" s="10" t="str">
        <f t="shared" si="925"/>
        <v>NA</v>
      </c>
      <c r="Y1094" s="10" t="str">
        <f t="shared" si="926"/>
        <v>NA</v>
      </c>
      <c r="Z1094" s="10" t="str">
        <f t="shared" si="927"/>
        <v>NA</v>
      </c>
      <c r="AA1094" s="10" t="str">
        <f t="shared" si="928"/>
        <v>NA</v>
      </c>
      <c r="AB1094" s="10" t="str">
        <f t="shared" si="929"/>
        <v>NA</v>
      </c>
      <c r="AC1094" s="10" t="str">
        <f t="shared" si="930"/>
        <v>NA</v>
      </c>
      <c r="AD1094" s="10" t="str">
        <f t="shared" si="931"/>
        <v>NA</v>
      </c>
      <c r="AE1094" s="10" t="str">
        <f t="shared" si="932"/>
        <v>NA</v>
      </c>
      <c r="AF1094" s="1" t="s">
        <v>4522</v>
      </c>
    </row>
    <row r="1095" spans="1:32" x14ac:dyDescent="0.2">
      <c r="A1095" s="1" t="s">
        <v>93</v>
      </c>
      <c r="B1095" s="1" t="s">
        <v>94</v>
      </c>
      <c r="C1095" s="1" t="s">
        <v>1575</v>
      </c>
      <c r="D1095" s="1" t="s">
        <v>1600</v>
      </c>
      <c r="E1095" s="1" t="s">
        <v>1653</v>
      </c>
      <c r="F1095" s="1" t="s">
        <v>4485</v>
      </c>
      <c r="G1095" s="4">
        <v>1.4999999999999999E-2</v>
      </c>
      <c r="H1095" s="28">
        <v>40421</v>
      </c>
      <c r="I1095" s="29">
        <f t="shared" si="882"/>
        <v>2010</v>
      </c>
      <c r="J1095" s="1" t="s">
        <v>5851</v>
      </c>
      <c r="K1095" s="1" t="s">
        <v>7</v>
      </c>
      <c r="L1095" s="11" t="str">
        <f t="shared" si="912"/>
        <v>НЕТ</v>
      </c>
      <c r="M1095" s="10">
        <v>25.1</v>
      </c>
      <c r="N1095" s="10" t="s">
        <v>1575</v>
      </c>
      <c r="O1095" s="10">
        <f>M1095*30.664/1000</f>
        <v>0.76966640000000008</v>
      </c>
      <c r="P1095" s="10">
        <f t="shared" si="913"/>
        <v>51.311093333333339</v>
      </c>
      <c r="Q1095" s="10" t="str">
        <f t="shared" si="914"/>
        <v>NA</v>
      </c>
      <c r="R1095" s="10" t="s">
        <v>1575</v>
      </c>
      <c r="S1095" s="10" t="s">
        <v>1575</v>
      </c>
      <c r="T1095" s="10" t="s">
        <v>1575</v>
      </c>
      <c r="U1095" s="10" t="s">
        <v>1575</v>
      </c>
      <c r="V1095" s="10" t="s">
        <v>1575</v>
      </c>
      <c r="W1095" s="10" t="s">
        <v>1575</v>
      </c>
      <c r="X1095" s="10" t="str">
        <f t="shared" si="925"/>
        <v>NA</v>
      </c>
      <c r="Y1095" s="10" t="str">
        <f t="shared" si="926"/>
        <v>NA</v>
      </c>
      <c r="Z1095" s="10" t="str">
        <f t="shared" si="927"/>
        <v>NA</v>
      </c>
      <c r="AA1095" s="10" t="str">
        <f t="shared" si="928"/>
        <v>NA</v>
      </c>
      <c r="AB1095" s="10" t="str">
        <f t="shared" si="929"/>
        <v>NA</v>
      </c>
      <c r="AC1095" s="10" t="str">
        <f t="shared" si="930"/>
        <v>NA</v>
      </c>
      <c r="AD1095" s="10" t="str">
        <f t="shared" si="931"/>
        <v>NA</v>
      </c>
      <c r="AE1095" s="10" t="str">
        <f t="shared" si="932"/>
        <v>NA</v>
      </c>
      <c r="AF1095" s="1" t="s">
        <v>4520</v>
      </c>
    </row>
    <row r="1096" spans="1:32" x14ac:dyDescent="0.2">
      <c r="A1096" s="1" t="s">
        <v>93</v>
      </c>
      <c r="B1096" s="1" t="s">
        <v>94</v>
      </c>
      <c r="C1096" s="1" t="s">
        <v>1575</v>
      </c>
      <c r="D1096" s="1" t="s">
        <v>1600</v>
      </c>
      <c r="E1096" s="1" t="s">
        <v>1653</v>
      </c>
      <c r="F1096" s="1" t="s">
        <v>4485</v>
      </c>
      <c r="G1096" s="4">
        <v>0.188</v>
      </c>
      <c r="H1096" s="28">
        <v>40329</v>
      </c>
      <c r="I1096" s="29">
        <f t="shared" si="882"/>
        <v>2010</v>
      </c>
      <c r="J1096" s="1" t="s">
        <v>5851</v>
      </c>
      <c r="K1096" s="1" t="s">
        <v>7</v>
      </c>
      <c r="L1096" s="11" t="str">
        <f t="shared" si="912"/>
        <v>НЕТ</v>
      </c>
      <c r="M1096" s="10">
        <v>107.3</v>
      </c>
      <c r="N1096" s="10" t="s">
        <v>1575</v>
      </c>
      <c r="O1096" s="10">
        <f>M1096*30.4956/1000</f>
        <v>3.2721778799999997</v>
      </c>
      <c r="P1096" s="10">
        <f t="shared" si="913"/>
        <v>17.405201489361701</v>
      </c>
      <c r="Q1096" s="10" t="str">
        <f t="shared" si="914"/>
        <v>NA</v>
      </c>
      <c r="R1096" s="10" t="s">
        <v>1575</v>
      </c>
      <c r="S1096" s="10" t="s">
        <v>1575</v>
      </c>
      <c r="T1096" s="10" t="s">
        <v>1575</v>
      </c>
      <c r="U1096" s="10" t="s">
        <v>1575</v>
      </c>
      <c r="V1096" s="10" t="s">
        <v>1575</v>
      </c>
      <c r="W1096" s="10" t="s">
        <v>1575</v>
      </c>
      <c r="X1096" s="10" t="str">
        <f t="shared" si="925"/>
        <v>NA</v>
      </c>
      <c r="Y1096" s="10" t="str">
        <f t="shared" si="926"/>
        <v>NA</v>
      </c>
      <c r="Z1096" s="10" t="str">
        <f t="shared" si="927"/>
        <v>NA</v>
      </c>
      <c r="AA1096" s="10" t="str">
        <f t="shared" si="928"/>
        <v>NA</v>
      </c>
      <c r="AB1096" s="10" t="str">
        <f t="shared" si="929"/>
        <v>NA</v>
      </c>
      <c r="AC1096" s="10" t="str">
        <f t="shared" si="930"/>
        <v>NA</v>
      </c>
      <c r="AD1096" s="10" t="str">
        <f t="shared" si="931"/>
        <v>NA</v>
      </c>
      <c r="AE1096" s="10" t="str">
        <f t="shared" si="932"/>
        <v>NA</v>
      </c>
      <c r="AF1096" s="1" t="s">
        <v>4519</v>
      </c>
    </row>
    <row r="1097" spans="1:32" x14ac:dyDescent="0.2">
      <c r="A1097" s="1" t="s">
        <v>93</v>
      </c>
      <c r="B1097" s="1" t="s">
        <v>94</v>
      </c>
      <c r="C1097" s="1" t="s">
        <v>1575</v>
      </c>
      <c r="D1097" s="1" t="s">
        <v>1600</v>
      </c>
      <c r="E1097" s="1" t="s">
        <v>1653</v>
      </c>
      <c r="F1097" s="1" t="s">
        <v>4485</v>
      </c>
      <c r="G1097" s="4">
        <f>61.7%-50.1%</f>
        <v>0.11599999999999999</v>
      </c>
      <c r="H1097" s="28">
        <v>40178</v>
      </c>
      <c r="I1097" s="29">
        <f t="shared" si="882"/>
        <v>2009</v>
      </c>
      <c r="J1097" s="1" t="s">
        <v>7</v>
      </c>
      <c r="K1097" s="1" t="s">
        <v>5851</v>
      </c>
      <c r="L1097" s="11" t="str">
        <f t="shared" si="912"/>
        <v>НЕТ</v>
      </c>
      <c r="M1097" s="10">
        <v>54.3</v>
      </c>
      <c r="N1097" s="10" t="s">
        <v>1575</v>
      </c>
      <c r="O1097" s="10">
        <f>M1097*30.2442/1000</f>
        <v>1.6422600599999999</v>
      </c>
      <c r="P1097" s="10">
        <f t="shared" si="913"/>
        <v>14.157414310344828</v>
      </c>
      <c r="Q1097" s="10" t="str">
        <f t="shared" si="914"/>
        <v>NA</v>
      </c>
      <c r="R1097" s="10" t="s">
        <v>1575</v>
      </c>
      <c r="S1097" s="10" t="s">
        <v>1575</v>
      </c>
      <c r="T1097" s="10" t="s">
        <v>1575</v>
      </c>
      <c r="U1097" s="10" t="s">
        <v>1575</v>
      </c>
      <c r="V1097" s="10" t="s">
        <v>1575</v>
      </c>
      <c r="W1097" s="10" t="s">
        <v>1575</v>
      </c>
      <c r="X1097" s="10" t="str">
        <f t="shared" si="925"/>
        <v>NA</v>
      </c>
      <c r="Y1097" s="10" t="str">
        <f t="shared" si="926"/>
        <v>NA</v>
      </c>
      <c r="Z1097" s="10" t="str">
        <f t="shared" si="927"/>
        <v>NA</v>
      </c>
      <c r="AA1097" s="10" t="str">
        <f t="shared" si="928"/>
        <v>NA</v>
      </c>
      <c r="AB1097" s="10" t="str">
        <f t="shared" si="929"/>
        <v>NA</v>
      </c>
      <c r="AC1097" s="10" t="str">
        <f t="shared" si="930"/>
        <v>NA</v>
      </c>
      <c r="AD1097" s="10" t="str">
        <f t="shared" si="931"/>
        <v>NA</v>
      </c>
      <c r="AE1097" s="10" t="str">
        <f t="shared" si="932"/>
        <v>NA</v>
      </c>
      <c r="AF1097" s="1" t="s">
        <v>4510</v>
      </c>
    </row>
    <row r="1098" spans="1:32" x14ac:dyDescent="0.2">
      <c r="A1098" s="1" t="s">
        <v>93</v>
      </c>
      <c r="B1098" s="1" t="s">
        <v>94</v>
      </c>
      <c r="C1098" s="1" t="s">
        <v>1575</v>
      </c>
      <c r="D1098" s="1" t="s">
        <v>1600</v>
      </c>
      <c r="E1098" s="1" t="s">
        <v>1653</v>
      </c>
      <c r="F1098" s="1" t="s">
        <v>4485</v>
      </c>
      <c r="G1098" s="4">
        <v>4.4999999999999998E-2</v>
      </c>
      <c r="H1098" s="28">
        <v>40056</v>
      </c>
      <c r="I1098" s="29">
        <f t="shared" si="882"/>
        <v>2009</v>
      </c>
      <c r="J1098" s="1" t="s">
        <v>5851</v>
      </c>
      <c r="K1098" s="1" t="s">
        <v>7</v>
      </c>
      <c r="L1098" s="11" t="str">
        <f t="shared" si="912"/>
        <v>НЕТ</v>
      </c>
      <c r="M1098" s="10">
        <v>8</v>
      </c>
      <c r="N1098" s="10" t="s">
        <v>1575</v>
      </c>
      <c r="O1098" s="10">
        <f>M1098*31.5687/1000</f>
        <v>0.25254959999999999</v>
      </c>
      <c r="P1098" s="10">
        <f t="shared" si="913"/>
        <v>5.6122133333333331</v>
      </c>
      <c r="Q1098" s="10" t="str">
        <f t="shared" si="914"/>
        <v>NA</v>
      </c>
      <c r="R1098" s="10" t="s">
        <v>1575</v>
      </c>
      <c r="S1098" s="10" t="s">
        <v>1575</v>
      </c>
      <c r="T1098" s="10" t="s">
        <v>1575</v>
      </c>
      <c r="U1098" s="10" t="s">
        <v>1575</v>
      </c>
      <c r="V1098" s="10" t="s">
        <v>1575</v>
      </c>
      <c r="W1098" s="10" t="s">
        <v>1575</v>
      </c>
      <c r="X1098" s="10" t="str">
        <f t="shared" si="925"/>
        <v>NA</v>
      </c>
      <c r="Y1098" s="10" t="str">
        <f t="shared" si="926"/>
        <v>NA</v>
      </c>
      <c r="Z1098" s="10" t="str">
        <f t="shared" si="927"/>
        <v>NA</v>
      </c>
      <c r="AA1098" s="10" t="str">
        <f t="shared" si="928"/>
        <v>NA</v>
      </c>
      <c r="AB1098" s="10" t="str">
        <f t="shared" si="929"/>
        <v>NA</v>
      </c>
      <c r="AC1098" s="10" t="str">
        <f t="shared" si="930"/>
        <v>NA</v>
      </c>
      <c r="AD1098" s="10" t="str">
        <f t="shared" si="931"/>
        <v>NA</v>
      </c>
      <c r="AE1098" s="10" t="str">
        <f t="shared" si="932"/>
        <v>NA</v>
      </c>
      <c r="AF1098" s="1" t="s">
        <v>4516</v>
      </c>
    </row>
    <row r="1099" spans="1:32" x14ac:dyDescent="0.2">
      <c r="A1099" s="1" t="s">
        <v>93</v>
      </c>
      <c r="B1099" s="1" t="s">
        <v>94</v>
      </c>
      <c r="C1099" s="1" t="s">
        <v>1575</v>
      </c>
      <c r="D1099" s="1" t="s">
        <v>1600</v>
      </c>
      <c r="E1099" s="1" t="s">
        <v>1653</v>
      </c>
      <c r="F1099" s="1" t="s">
        <v>4485</v>
      </c>
      <c r="G1099" s="4">
        <v>3.5000000000000003E-2</v>
      </c>
      <c r="H1099" s="28">
        <v>39994</v>
      </c>
      <c r="I1099" s="29">
        <f t="shared" ref="I1099" si="933">YEAR(H1099)</f>
        <v>2009</v>
      </c>
      <c r="J1099" s="1" t="s">
        <v>5851</v>
      </c>
      <c r="K1099" s="1" t="s">
        <v>7</v>
      </c>
      <c r="L1099" s="11" t="str">
        <f t="shared" ref="L1099" si="934">IF(OR(A1099=J1099,A1099=K1099),"ДА","НЕТ")</f>
        <v>НЕТ</v>
      </c>
      <c r="M1099" s="10" t="s">
        <v>1575</v>
      </c>
      <c r="N1099" s="10" t="s">
        <v>1575</v>
      </c>
      <c r="O1099" s="10" t="s">
        <v>1575</v>
      </c>
      <c r="P1099" s="10" t="str">
        <f t="shared" si="913"/>
        <v>NA</v>
      </c>
      <c r="Q1099" s="10" t="str">
        <f t="shared" si="914"/>
        <v>NA</v>
      </c>
      <c r="R1099" s="10" t="s">
        <v>1575</v>
      </c>
      <c r="S1099" s="10" t="s">
        <v>1575</v>
      </c>
      <c r="T1099" s="10" t="s">
        <v>1575</v>
      </c>
      <c r="U1099" s="10" t="s">
        <v>1575</v>
      </c>
      <c r="V1099" s="10" t="s">
        <v>1575</v>
      </c>
      <c r="W1099" s="10" t="s">
        <v>1575</v>
      </c>
      <c r="X1099" s="10" t="str">
        <f t="shared" ref="X1099" si="935">IFERROR(V1099+W1099,"NA")</f>
        <v>NA</v>
      </c>
      <c r="Y1099" s="10" t="str">
        <f t="shared" ref="Y1099" si="936">IFERROR(P1099/R1099,"NA")</f>
        <v>NA</v>
      </c>
      <c r="Z1099" s="10" t="str">
        <f t="shared" ref="Z1099" si="937">IFERROR(P1099/U1099,"NA")</f>
        <v>NA</v>
      </c>
      <c r="AA1099" s="10" t="str">
        <f t="shared" ref="AA1099" si="938">IFERROR(P1099/V1099,"NA")</f>
        <v>NA</v>
      </c>
      <c r="AB1099" s="10" t="str">
        <f t="shared" ref="AB1099" si="939">IFERROR(Q1099/R1099,"NA")</f>
        <v>NA</v>
      </c>
      <c r="AC1099" s="10" t="str">
        <f t="shared" ref="AC1099" si="940">IFERROR(Q1099/S1099,"NA")</f>
        <v>NA</v>
      </c>
      <c r="AD1099" s="10" t="str">
        <f t="shared" ref="AD1099" si="941">IFERROR(Q1099/T1099,"NA")</f>
        <v>NA</v>
      </c>
      <c r="AE1099" s="10" t="str">
        <f t="shared" ref="AE1099" si="942">IFERROR(Q1099/X1099,"NA")</f>
        <v>NA</v>
      </c>
      <c r="AF1099" s="1" t="s">
        <v>4515</v>
      </c>
    </row>
    <row r="1100" spans="1:32" x14ac:dyDescent="0.2">
      <c r="A1100" s="1" t="s">
        <v>93</v>
      </c>
      <c r="B1100" s="1" t="s">
        <v>94</v>
      </c>
      <c r="C1100" s="1" t="s">
        <v>1575</v>
      </c>
      <c r="D1100" s="1" t="s">
        <v>1600</v>
      </c>
      <c r="E1100" s="1" t="s">
        <v>1653</v>
      </c>
      <c r="F1100" s="1" t="s">
        <v>4485</v>
      </c>
      <c r="G1100" s="4">
        <v>0.53800000000000003</v>
      </c>
      <c r="H1100" s="28">
        <v>39782</v>
      </c>
      <c r="I1100" s="29">
        <f t="shared" si="882"/>
        <v>2008</v>
      </c>
      <c r="J1100" s="1" t="s">
        <v>5851</v>
      </c>
      <c r="K1100" s="1" t="s">
        <v>7</v>
      </c>
      <c r="L1100" s="11" t="str">
        <f t="shared" si="912"/>
        <v>НЕТ</v>
      </c>
      <c r="M1100" s="10">
        <v>62.5</v>
      </c>
      <c r="N1100" s="10" t="s">
        <v>1575</v>
      </c>
      <c r="O1100" s="10">
        <f>M1100*27.606/1000</f>
        <v>1.7253750000000001</v>
      </c>
      <c r="P1100" s="10">
        <f t="shared" si="913"/>
        <v>3.2070167286245352</v>
      </c>
      <c r="Q1100" s="10" t="str">
        <f t="shared" si="914"/>
        <v>NA</v>
      </c>
      <c r="R1100" s="10" t="s">
        <v>1575</v>
      </c>
      <c r="S1100" s="10" t="s">
        <v>1575</v>
      </c>
      <c r="T1100" s="10" t="s">
        <v>1575</v>
      </c>
      <c r="U1100" s="10" t="s">
        <v>1575</v>
      </c>
      <c r="V1100" s="10" t="s">
        <v>1575</v>
      </c>
      <c r="W1100" s="10" t="s">
        <v>1575</v>
      </c>
      <c r="X1100" s="10" t="str">
        <f t="shared" si="925"/>
        <v>NA</v>
      </c>
      <c r="Y1100" s="10" t="str">
        <f t="shared" si="926"/>
        <v>NA</v>
      </c>
      <c r="Z1100" s="10" t="str">
        <f t="shared" si="927"/>
        <v>NA</v>
      </c>
      <c r="AA1100" s="10" t="str">
        <f t="shared" si="928"/>
        <v>NA</v>
      </c>
      <c r="AB1100" s="10" t="str">
        <f t="shared" si="929"/>
        <v>NA</v>
      </c>
      <c r="AC1100" s="10" t="str">
        <f t="shared" si="930"/>
        <v>NA</v>
      </c>
      <c r="AD1100" s="10" t="str">
        <f t="shared" si="931"/>
        <v>NA</v>
      </c>
      <c r="AE1100" s="10" t="str">
        <f t="shared" si="932"/>
        <v>NA</v>
      </c>
      <c r="AF1100" s="1" t="s">
        <v>4499</v>
      </c>
    </row>
    <row r="1101" spans="1:32" x14ac:dyDescent="0.2">
      <c r="A1101" s="1" t="s">
        <v>95</v>
      </c>
      <c r="B1101" s="1" t="s">
        <v>99</v>
      </c>
      <c r="C1101" s="1" t="s">
        <v>1575</v>
      </c>
      <c r="D1101" s="1" t="s">
        <v>1580</v>
      </c>
      <c r="E1101" s="1" t="s">
        <v>1593</v>
      </c>
      <c r="F1101" s="1" t="s">
        <v>96</v>
      </c>
      <c r="G1101" s="4">
        <v>0.20200000000000001</v>
      </c>
      <c r="H1101" s="28">
        <v>40268</v>
      </c>
      <c r="I1101" s="29">
        <f t="shared" ref="I1101:I1115" si="943">YEAR(H1101)</f>
        <v>2010</v>
      </c>
      <c r="J1101" s="1" t="s">
        <v>5851</v>
      </c>
      <c r="K1101" s="1" t="s">
        <v>7</v>
      </c>
      <c r="L1101" s="11" t="str">
        <f t="shared" ref="L1101:L1109" si="944">IF(OR(A1101=J1101,A1101=K1101),"ДА","НЕТ")</f>
        <v>НЕТ</v>
      </c>
      <c r="M1101" s="10">
        <v>113.3</v>
      </c>
      <c r="N1101" s="10">
        <v>82.5</v>
      </c>
      <c r="O1101" s="10">
        <f>M1101*29.3638/1000</f>
        <v>3.3269185400000003</v>
      </c>
      <c r="P1101" s="10">
        <f t="shared" si="913"/>
        <v>16.469893762376238</v>
      </c>
      <c r="Q1101" s="10" t="str">
        <f t="shared" si="914"/>
        <v>NA</v>
      </c>
      <c r="R1101" s="10" t="s">
        <v>1575</v>
      </c>
      <c r="S1101" s="10" t="s">
        <v>1575</v>
      </c>
      <c r="T1101" s="10" t="s">
        <v>1575</v>
      </c>
      <c r="U1101" s="10" t="s">
        <v>1575</v>
      </c>
      <c r="V1101" s="10" t="s">
        <v>1575</v>
      </c>
      <c r="W1101" s="10" t="s">
        <v>1575</v>
      </c>
      <c r="X1101" s="10" t="str">
        <f t="shared" ref="X1101:X1109" si="945">IFERROR(V1101+W1101,"NA")</f>
        <v>NA</v>
      </c>
      <c r="Y1101" s="10" t="str">
        <f t="shared" ref="Y1101:Y1109" si="946">IFERROR(P1101/R1101,"NA")</f>
        <v>NA</v>
      </c>
      <c r="Z1101" s="10" t="str">
        <f t="shared" ref="Z1101:Z1109" si="947">IFERROR(P1101/U1101,"NA")</f>
        <v>NA</v>
      </c>
      <c r="AA1101" s="10" t="str">
        <f t="shared" ref="AA1101:AA1109" si="948">IFERROR(P1101/V1101,"NA")</f>
        <v>NA</v>
      </c>
      <c r="AB1101" s="10" t="str">
        <f t="shared" ref="AB1101:AB1109" si="949">IFERROR(Q1101/R1101,"NA")</f>
        <v>NA</v>
      </c>
      <c r="AC1101" s="10" t="str">
        <f t="shared" ref="AC1101:AC1109" si="950">IFERROR(Q1101/S1101,"NA")</f>
        <v>NA</v>
      </c>
      <c r="AD1101" s="10" t="str">
        <f t="shared" ref="AD1101:AD1109" si="951">IFERROR(Q1101/T1101,"NA")</f>
        <v>NA</v>
      </c>
      <c r="AE1101" s="10" t="str">
        <f t="shared" ref="AE1101:AE1109" si="952">IFERROR(Q1101/X1101,"NA")</f>
        <v>NA</v>
      </c>
      <c r="AF1101" s="1" t="s">
        <v>4518</v>
      </c>
    </row>
    <row r="1102" spans="1:32" x14ac:dyDescent="0.2">
      <c r="A1102" s="1" t="s">
        <v>95</v>
      </c>
      <c r="B1102" s="1" t="s">
        <v>99</v>
      </c>
      <c r="C1102" s="1" t="s">
        <v>1575</v>
      </c>
      <c r="D1102" s="1" t="s">
        <v>1580</v>
      </c>
      <c r="E1102" s="1" t="s">
        <v>1593</v>
      </c>
      <c r="F1102" s="1" t="s">
        <v>96</v>
      </c>
      <c r="G1102" s="4">
        <v>0.50800000000000001</v>
      </c>
      <c r="H1102" s="28">
        <v>40359</v>
      </c>
      <c r="I1102" s="29">
        <f t="shared" si="943"/>
        <v>2010</v>
      </c>
      <c r="J1102" s="1" t="s">
        <v>7</v>
      </c>
      <c r="K1102" s="1" t="s">
        <v>5851</v>
      </c>
      <c r="L1102" s="11" t="str">
        <f t="shared" si="944"/>
        <v>НЕТ</v>
      </c>
      <c r="M1102" s="10">
        <v>1.1999999999999999E-6</v>
      </c>
      <c r="N1102" s="10">
        <v>9.9999999999999995E-7</v>
      </c>
      <c r="O1102" s="10">
        <f>N1102*36.9077/1000</f>
        <v>3.6907699999999999E-8</v>
      </c>
      <c r="P1102" s="10">
        <f t="shared" si="913"/>
        <v>7.265295275590551E-8</v>
      </c>
      <c r="Q1102" s="10" t="str">
        <f t="shared" si="914"/>
        <v>NA</v>
      </c>
      <c r="R1102" s="10" t="s">
        <v>1575</v>
      </c>
      <c r="S1102" s="10" t="s">
        <v>1575</v>
      </c>
      <c r="T1102" s="10" t="s">
        <v>1575</v>
      </c>
      <c r="U1102" s="10" t="s">
        <v>1575</v>
      </c>
      <c r="V1102" s="10" t="s">
        <v>1575</v>
      </c>
      <c r="W1102" s="10" t="s">
        <v>1575</v>
      </c>
      <c r="X1102" s="10" t="str">
        <f t="shared" ref="X1102" si="953">IFERROR(V1102+W1102,"NA")</f>
        <v>NA</v>
      </c>
      <c r="Y1102" s="10" t="str">
        <f t="shared" ref="Y1102" si="954">IFERROR(P1102/R1102,"NA")</f>
        <v>NA</v>
      </c>
      <c r="Z1102" s="10" t="str">
        <f t="shared" ref="Z1102" si="955">IFERROR(P1102/U1102,"NA")</f>
        <v>NA</v>
      </c>
      <c r="AA1102" s="10" t="str">
        <f t="shared" ref="AA1102" si="956">IFERROR(P1102/V1102,"NA")</f>
        <v>NA</v>
      </c>
      <c r="AB1102" s="10" t="str">
        <f t="shared" ref="AB1102" si="957">IFERROR(Q1102/R1102,"NA")</f>
        <v>NA</v>
      </c>
      <c r="AC1102" s="10" t="str">
        <f t="shared" ref="AC1102" si="958">IFERROR(Q1102/S1102,"NA")</f>
        <v>NA</v>
      </c>
      <c r="AD1102" s="10" t="str">
        <f t="shared" ref="AD1102" si="959">IFERROR(Q1102/T1102,"NA")</f>
        <v>NA</v>
      </c>
      <c r="AE1102" s="10" t="str">
        <f t="shared" ref="AE1102" si="960">IFERROR(Q1102/X1102,"NA")</f>
        <v>NA</v>
      </c>
      <c r="AF1102" s="1" t="s">
        <v>4506</v>
      </c>
    </row>
    <row r="1103" spans="1:32" x14ac:dyDescent="0.2">
      <c r="A1103" s="1" t="s">
        <v>4505</v>
      </c>
      <c r="B1103" s="1" t="s">
        <v>75</v>
      </c>
      <c r="C1103" s="1" t="s">
        <v>1575</v>
      </c>
      <c r="D1103" s="1" t="s">
        <v>1600</v>
      </c>
      <c r="E1103" s="1" t="s">
        <v>2050</v>
      </c>
      <c r="F1103" s="1" t="s">
        <v>120</v>
      </c>
      <c r="G1103" s="4" t="s">
        <v>11</v>
      </c>
      <c r="H1103" s="28">
        <v>40329</v>
      </c>
      <c r="I1103" s="29">
        <f t="shared" si="943"/>
        <v>2010</v>
      </c>
      <c r="J1103" s="1" t="s">
        <v>7</v>
      </c>
      <c r="K1103" s="1" t="s">
        <v>5851</v>
      </c>
      <c r="L1103" s="11" t="str">
        <f t="shared" ref="L1103" si="961">IF(OR(A1103=J1103,A1103=K1103),"ДА","НЕТ")</f>
        <v>НЕТ</v>
      </c>
      <c r="M1103" s="10">
        <v>124</v>
      </c>
      <c r="N1103" s="10" t="s">
        <v>1575</v>
      </c>
      <c r="O1103" s="10">
        <f>M1103*30.4956/1000</f>
        <v>3.7814543999999999</v>
      </c>
      <c r="P1103" s="10" t="str">
        <f t="shared" si="913"/>
        <v>NA</v>
      </c>
      <c r="Q1103" s="10" t="str">
        <f t="shared" si="914"/>
        <v>NA</v>
      </c>
      <c r="R1103" s="10" t="s">
        <v>1575</v>
      </c>
      <c r="S1103" s="10" t="s">
        <v>1575</v>
      </c>
      <c r="T1103" s="10" t="s">
        <v>1575</v>
      </c>
      <c r="U1103" s="10" t="s">
        <v>1575</v>
      </c>
      <c r="V1103" s="10">
        <f>0.118647*30.4769</f>
        <v>3.6159927543000001</v>
      </c>
      <c r="W1103" s="10">
        <v>0</v>
      </c>
      <c r="X1103" s="10">
        <f t="shared" si="945"/>
        <v>3.6159927543000001</v>
      </c>
      <c r="Y1103" s="10" t="str">
        <f t="shared" si="946"/>
        <v>NA</v>
      </c>
      <c r="Z1103" s="10" t="str">
        <f t="shared" si="947"/>
        <v>NA</v>
      </c>
      <c r="AA1103" s="10" t="str">
        <f t="shared" si="948"/>
        <v>NA</v>
      </c>
      <c r="AB1103" s="10" t="str">
        <f t="shared" si="949"/>
        <v>NA</v>
      </c>
      <c r="AC1103" s="10" t="str">
        <f t="shared" si="950"/>
        <v>NA</v>
      </c>
      <c r="AD1103" s="10" t="str">
        <f t="shared" si="951"/>
        <v>NA</v>
      </c>
      <c r="AE1103" s="10" t="str">
        <f t="shared" si="952"/>
        <v>NA</v>
      </c>
      <c r="AF1103" s="1" t="s">
        <v>4504</v>
      </c>
    </row>
    <row r="1104" spans="1:32" x14ac:dyDescent="0.2">
      <c r="A1104" s="1" t="s">
        <v>97</v>
      </c>
      <c r="B1104" s="1" t="s">
        <v>98</v>
      </c>
      <c r="C1104" s="1" t="s">
        <v>1575</v>
      </c>
      <c r="D1104" s="1" t="s">
        <v>1600</v>
      </c>
      <c r="E1104" s="1" t="s">
        <v>1671</v>
      </c>
      <c r="F1104" s="1" t="s">
        <v>72</v>
      </c>
      <c r="G1104" s="4">
        <v>0.16500000000000001</v>
      </c>
      <c r="H1104" s="28">
        <v>40329</v>
      </c>
      <c r="I1104" s="29">
        <f t="shared" si="943"/>
        <v>2010</v>
      </c>
      <c r="J1104" s="1" t="s">
        <v>5851</v>
      </c>
      <c r="K1104" s="1" t="s">
        <v>7</v>
      </c>
      <c r="L1104" s="11" t="str">
        <f t="shared" si="944"/>
        <v>НЕТ</v>
      </c>
      <c r="M1104" s="10">
        <v>15</v>
      </c>
      <c r="N1104" s="10" t="s">
        <v>1575</v>
      </c>
      <c r="O1104" s="10">
        <f>M1104*30.7193/1000</f>
        <v>0.46078950000000002</v>
      </c>
      <c r="P1104" s="10">
        <f t="shared" si="913"/>
        <v>2.7926636363636361</v>
      </c>
      <c r="Q1104" s="10" t="str">
        <f t="shared" si="914"/>
        <v>NA</v>
      </c>
      <c r="R1104" s="10" t="s">
        <v>1575</v>
      </c>
      <c r="S1104" s="10" t="s">
        <v>1575</v>
      </c>
      <c r="T1104" s="10" t="s">
        <v>1575</v>
      </c>
      <c r="U1104" s="10" t="s">
        <v>1575</v>
      </c>
      <c r="V1104" s="10" t="s">
        <v>1575</v>
      </c>
      <c r="W1104" s="10" t="s">
        <v>1575</v>
      </c>
      <c r="X1104" s="10" t="str">
        <f t="shared" si="945"/>
        <v>NA</v>
      </c>
      <c r="Y1104" s="10" t="str">
        <f t="shared" si="946"/>
        <v>NA</v>
      </c>
      <c r="Z1104" s="10" t="str">
        <f t="shared" si="947"/>
        <v>NA</v>
      </c>
      <c r="AA1104" s="10" t="str">
        <f t="shared" si="948"/>
        <v>NA</v>
      </c>
      <c r="AB1104" s="10" t="str">
        <f t="shared" si="949"/>
        <v>NA</v>
      </c>
      <c r="AC1104" s="10" t="str">
        <f t="shared" si="950"/>
        <v>NA</v>
      </c>
      <c r="AD1104" s="10" t="str">
        <f t="shared" si="951"/>
        <v>NA</v>
      </c>
      <c r="AE1104" s="10" t="str">
        <f t="shared" si="952"/>
        <v>NA</v>
      </c>
      <c r="AF1104" s="1" t="s">
        <v>4479</v>
      </c>
    </row>
    <row r="1105" spans="1:32" x14ac:dyDescent="0.2">
      <c r="A1105" s="1" t="s">
        <v>84</v>
      </c>
      <c r="B1105" s="1" t="s">
        <v>86</v>
      </c>
      <c r="C1105" s="1" t="s">
        <v>1575</v>
      </c>
      <c r="D1105" s="1" t="s">
        <v>1582</v>
      </c>
      <c r="E1105" s="1" t="s">
        <v>3134</v>
      </c>
      <c r="F1105" s="1" t="s">
        <v>85</v>
      </c>
      <c r="G1105" s="4">
        <v>0.217</v>
      </c>
      <c r="H1105" s="28">
        <v>40451</v>
      </c>
      <c r="I1105" s="29">
        <f t="shared" si="943"/>
        <v>2010</v>
      </c>
      <c r="J1105" s="1" t="s">
        <v>5851</v>
      </c>
      <c r="K1105" s="1" t="s">
        <v>7</v>
      </c>
      <c r="L1105" s="11" t="str">
        <f t="shared" si="944"/>
        <v>НЕТ</v>
      </c>
      <c r="M1105" s="10">
        <v>13</v>
      </c>
      <c r="N1105" s="10" t="s">
        <v>1575</v>
      </c>
      <c r="O1105" s="10">
        <f>M1105*30.403/1000</f>
        <v>0.39523899999999995</v>
      </c>
      <c r="P1105" s="10">
        <f t="shared" si="913"/>
        <v>1.8213778801843317</v>
      </c>
      <c r="Q1105" s="10" t="str">
        <f t="shared" si="914"/>
        <v>NA</v>
      </c>
      <c r="R1105" s="10" t="s">
        <v>1575</v>
      </c>
      <c r="S1105" s="10" t="s">
        <v>1575</v>
      </c>
      <c r="T1105" s="10" t="s">
        <v>1575</v>
      </c>
      <c r="U1105" s="10" t="s">
        <v>1575</v>
      </c>
      <c r="V1105" s="10" t="s">
        <v>1575</v>
      </c>
      <c r="W1105" s="10" t="s">
        <v>1575</v>
      </c>
      <c r="X1105" s="10" t="str">
        <f t="shared" si="945"/>
        <v>NA</v>
      </c>
      <c r="Y1105" s="10" t="str">
        <f t="shared" si="946"/>
        <v>NA</v>
      </c>
      <c r="Z1105" s="10" t="str">
        <f t="shared" si="947"/>
        <v>NA</v>
      </c>
      <c r="AA1105" s="10" t="str">
        <f t="shared" si="948"/>
        <v>NA</v>
      </c>
      <c r="AB1105" s="10" t="str">
        <f t="shared" si="949"/>
        <v>NA</v>
      </c>
      <c r="AC1105" s="10" t="str">
        <f t="shared" si="950"/>
        <v>NA</v>
      </c>
      <c r="AD1105" s="10" t="str">
        <f t="shared" si="951"/>
        <v>NA</v>
      </c>
      <c r="AE1105" s="10" t="str">
        <f t="shared" si="952"/>
        <v>NA</v>
      </c>
      <c r="AF1105" s="1" t="s">
        <v>4481</v>
      </c>
    </row>
    <row r="1106" spans="1:32" x14ac:dyDescent="0.2">
      <c r="A1106" s="1" t="s">
        <v>100</v>
      </c>
      <c r="B1106" s="1" t="s">
        <v>103</v>
      </c>
      <c r="C1106" s="1" t="s">
        <v>1575</v>
      </c>
      <c r="D1106" s="1" t="s">
        <v>1600</v>
      </c>
      <c r="E1106" s="1" t="s">
        <v>1653</v>
      </c>
      <c r="F1106" s="1" t="s">
        <v>101</v>
      </c>
      <c r="G1106" s="4">
        <v>0.11</v>
      </c>
      <c r="H1106" s="28">
        <v>40543</v>
      </c>
      <c r="I1106" s="29">
        <f t="shared" si="943"/>
        <v>2010</v>
      </c>
      <c r="J1106" s="1" t="s">
        <v>5851</v>
      </c>
      <c r="K1106" s="1" t="s">
        <v>7</v>
      </c>
      <c r="L1106" s="11" t="str">
        <f t="shared" si="944"/>
        <v>НЕТ</v>
      </c>
      <c r="M1106" s="10">
        <v>6.2</v>
      </c>
      <c r="N1106" s="10" t="s">
        <v>1575</v>
      </c>
      <c r="O1106" s="10">
        <f>M1106*30.4769/1000</f>
        <v>0.18895678000000002</v>
      </c>
      <c r="P1106" s="10">
        <f t="shared" si="913"/>
        <v>1.7177889090909093</v>
      </c>
      <c r="Q1106" s="10" t="str">
        <f t="shared" si="914"/>
        <v>NA</v>
      </c>
      <c r="R1106" s="10" t="s">
        <v>1575</v>
      </c>
      <c r="S1106" s="10" t="s">
        <v>1575</v>
      </c>
      <c r="T1106" s="10" t="s">
        <v>1575</v>
      </c>
      <c r="U1106" s="10" t="s">
        <v>1575</v>
      </c>
      <c r="V1106" s="10" t="s">
        <v>1575</v>
      </c>
      <c r="W1106" s="10" t="s">
        <v>1575</v>
      </c>
      <c r="X1106" s="10" t="str">
        <f t="shared" si="945"/>
        <v>NA</v>
      </c>
      <c r="Y1106" s="10" t="str">
        <f t="shared" si="946"/>
        <v>NA</v>
      </c>
      <c r="Z1106" s="10" t="str">
        <f t="shared" si="947"/>
        <v>NA</v>
      </c>
      <c r="AA1106" s="10" t="str">
        <f t="shared" si="948"/>
        <v>NA</v>
      </c>
      <c r="AB1106" s="10" t="str">
        <f t="shared" si="949"/>
        <v>NA</v>
      </c>
      <c r="AC1106" s="10" t="str">
        <f t="shared" si="950"/>
        <v>NA</v>
      </c>
      <c r="AD1106" s="10" t="str">
        <f t="shared" si="951"/>
        <v>NA</v>
      </c>
      <c r="AE1106" s="10" t="str">
        <f t="shared" si="952"/>
        <v>NA</v>
      </c>
      <c r="AF1106" s="1" t="s">
        <v>4482</v>
      </c>
    </row>
    <row r="1107" spans="1:32" x14ac:dyDescent="0.2">
      <c r="A1107" s="1" t="s">
        <v>87</v>
      </c>
      <c r="B1107" s="1" t="s">
        <v>88</v>
      </c>
      <c r="C1107" s="1" t="s">
        <v>1575</v>
      </c>
      <c r="D1107" s="1" t="s">
        <v>1582</v>
      </c>
      <c r="E1107" s="1" t="s">
        <v>3134</v>
      </c>
      <c r="F1107" s="1" t="s">
        <v>89</v>
      </c>
      <c r="G1107" s="4">
        <v>0.25600000000000001</v>
      </c>
      <c r="H1107" s="28">
        <v>40543</v>
      </c>
      <c r="I1107" s="29">
        <f t="shared" si="943"/>
        <v>2010</v>
      </c>
      <c r="J1107" s="1" t="s">
        <v>5851</v>
      </c>
      <c r="K1107" s="1" t="s">
        <v>7</v>
      </c>
      <c r="L1107" s="11" t="str">
        <f t="shared" si="944"/>
        <v>НЕТ</v>
      </c>
      <c r="M1107" s="10">
        <v>7.5</v>
      </c>
      <c r="N1107" s="10" t="s">
        <v>1575</v>
      </c>
      <c r="O1107" s="10">
        <f>M1107*30.4769/1000</f>
        <v>0.22857675</v>
      </c>
      <c r="P1107" s="10">
        <f t="shared" si="913"/>
        <v>0.89287792968750002</v>
      </c>
      <c r="Q1107" s="10" t="str">
        <f t="shared" si="914"/>
        <v>NA</v>
      </c>
      <c r="R1107" s="10" t="s">
        <v>1575</v>
      </c>
      <c r="S1107" s="10" t="s">
        <v>1575</v>
      </c>
      <c r="T1107" s="10" t="s">
        <v>1575</v>
      </c>
      <c r="U1107" s="10" t="s">
        <v>1575</v>
      </c>
      <c r="V1107" s="10" t="s">
        <v>1575</v>
      </c>
      <c r="W1107" s="10" t="s">
        <v>1575</v>
      </c>
      <c r="X1107" s="10" t="str">
        <f t="shared" si="945"/>
        <v>NA</v>
      </c>
      <c r="Y1107" s="10" t="str">
        <f t="shared" si="946"/>
        <v>NA</v>
      </c>
      <c r="Z1107" s="10" t="str">
        <f t="shared" si="947"/>
        <v>NA</v>
      </c>
      <c r="AA1107" s="10" t="str">
        <f t="shared" si="948"/>
        <v>NA</v>
      </c>
      <c r="AB1107" s="10" t="str">
        <f t="shared" si="949"/>
        <v>NA</v>
      </c>
      <c r="AC1107" s="10" t="str">
        <f t="shared" si="950"/>
        <v>NA</v>
      </c>
      <c r="AD1107" s="10" t="str">
        <f t="shared" si="951"/>
        <v>NA</v>
      </c>
      <c r="AE1107" s="10" t="str">
        <f t="shared" si="952"/>
        <v>NA</v>
      </c>
      <c r="AF1107" s="1" t="s">
        <v>4483</v>
      </c>
    </row>
    <row r="1108" spans="1:32" x14ac:dyDescent="0.2">
      <c r="A1108" s="5" t="s">
        <v>5857</v>
      </c>
      <c r="B1108" s="1" t="s">
        <v>5</v>
      </c>
      <c r="C1108" s="1" t="s">
        <v>1575</v>
      </c>
      <c r="D1108" s="1" t="s">
        <v>1600</v>
      </c>
      <c r="E1108" s="1" t="s">
        <v>1659</v>
      </c>
      <c r="F1108" s="1" t="s">
        <v>76</v>
      </c>
      <c r="G1108" s="4">
        <v>5.8999999999999997E-2</v>
      </c>
      <c r="H1108" s="28">
        <v>40512</v>
      </c>
      <c r="I1108" s="29">
        <f t="shared" si="943"/>
        <v>2010</v>
      </c>
      <c r="J1108" s="1" t="s">
        <v>7</v>
      </c>
      <c r="K1108" s="1" t="s">
        <v>5851</v>
      </c>
      <c r="L1108" s="11" t="str">
        <f t="shared" si="944"/>
        <v>НЕТ</v>
      </c>
      <c r="M1108" s="10">
        <v>5.8</v>
      </c>
      <c r="N1108" s="10" t="s">
        <v>1575</v>
      </c>
      <c r="O1108" s="10">
        <f>M1108*31.3061/1000</f>
        <v>0.18157538000000001</v>
      </c>
      <c r="P1108" s="10">
        <f t="shared" si="913"/>
        <v>3.0775488135593223</v>
      </c>
      <c r="Q1108" s="10" t="str">
        <f t="shared" si="914"/>
        <v>NA</v>
      </c>
      <c r="R1108" s="10" t="s">
        <v>1575</v>
      </c>
      <c r="S1108" s="10" t="s">
        <v>1575</v>
      </c>
      <c r="T1108" s="10" t="s">
        <v>1575</v>
      </c>
      <c r="U1108" s="10" t="s">
        <v>1575</v>
      </c>
      <c r="V1108" s="10" t="s">
        <v>1575</v>
      </c>
      <c r="W1108" s="10" t="s">
        <v>1575</v>
      </c>
      <c r="X1108" s="10" t="str">
        <f t="shared" si="945"/>
        <v>NA</v>
      </c>
      <c r="Y1108" s="10" t="str">
        <f t="shared" si="946"/>
        <v>NA</v>
      </c>
      <c r="Z1108" s="10" t="str">
        <f t="shared" si="947"/>
        <v>NA</v>
      </c>
      <c r="AA1108" s="10" t="str">
        <f t="shared" si="948"/>
        <v>NA</v>
      </c>
      <c r="AB1108" s="10" t="str">
        <f t="shared" si="949"/>
        <v>NA</v>
      </c>
      <c r="AC1108" s="10" t="str">
        <f t="shared" si="950"/>
        <v>NA</v>
      </c>
      <c r="AD1108" s="10" t="str">
        <f t="shared" si="951"/>
        <v>NA</v>
      </c>
      <c r="AE1108" s="10" t="str">
        <f t="shared" si="952"/>
        <v>NA</v>
      </c>
      <c r="AF1108" s="1" t="s">
        <v>4523</v>
      </c>
    </row>
    <row r="1109" spans="1:32" x14ac:dyDescent="0.2">
      <c r="A1109" s="1" t="s">
        <v>102</v>
      </c>
      <c r="B1109" s="1" t="s">
        <v>75</v>
      </c>
      <c r="C1109" s="1" t="s">
        <v>1575</v>
      </c>
      <c r="D1109" s="1" t="s">
        <v>1600</v>
      </c>
      <c r="E1109" s="1" t="s">
        <v>2050</v>
      </c>
      <c r="F1109" s="1" t="s">
        <v>120</v>
      </c>
      <c r="G1109" s="4">
        <v>8.2000000000000003E-2</v>
      </c>
      <c r="H1109" s="28">
        <v>39994</v>
      </c>
      <c r="I1109" s="29">
        <f t="shared" si="943"/>
        <v>2009</v>
      </c>
      <c r="J1109" s="1" t="s">
        <v>5851</v>
      </c>
      <c r="K1109" s="1" t="s">
        <v>7</v>
      </c>
      <c r="L1109" s="11" t="str">
        <f t="shared" si="944"/>
        <v>НЕТ</v>
      </c>
      <c r="M1109" s="10">
        <v>14.9</v>
      </c>
      <c r="N1109" s="10" t="s">
        <v>1575</v>
      </c>
      <c r="O1109" s="10">
        <f>M1109*31.2904/1000</f>
        <v>0.46622696000000002</v>
      </c>
      <c r="P1109" s="10">
        <f t="shared" si="913"/>
        <v>5.6856946341463415</v>
      </c>
      <c r="Q1109" s="10" t="str">
        <f t="shared" si="914"/>
        <v>NA</v>
      </c>
      <c r="R1109" s="10" t="s">
        <v>1575</v>
      </c>
      <c r="S1109" s="10" t="s">
        <v>1575</v>
      </c>
      <c r="T1109" s="10" t="s">
        <v>1575</v>
      </c>
      <c r="U1109" s="10" t="s">
        <v>1575</v>
      </c>
      <c r="V1109" s="10" t="s">
        <v>1575</v>
      </c>
      <c r="W1109" s="10" t="s">
        <v>1575</v>
      </c>
      <c r="X1109" s="10" t="str">
        <f t="shared" si="945"/>
        <v>NA</v>
      </c>
      <c r="Y1109" s="10" t="str">
        <f t="shared" si="946"/>
        <v>NA</v>
      </c>
      <c r="Z1109" s="10" t="str">
        <f t="shared" si="947"/>
        <v>NA</v>
      </c>
      <c r="AA1109" s="10" t="str">
        <f t="shared" si="948"/>
        <v>NA</v>
      </c>
      <c r="AB1109" s="10" t="str">
        <f t="shared" si="949"/>
        <v>NA</v>
      </c>
      <c r="AC1109" s="10" t="str">
        <f t="shared" si="950"/>
        <v>NA</v>
      </c>
      <c r="AD1109" s="10" t="str">
        <f t="shared" si="951"/>
        <v>NA</v>
      </c>
      <c r="AE1109" s="10" t="str">
        <f t="shared" si="952"/>
        <v>NA</v>
      </c>
      <c r="AF1109" s="1" t="s">
        <v>4517</v>
      </c>
    </row>
    <row r="1110" spans="1:32" x14ac:dyDescent="0.2">
      <c r="A1110" s="1" t="s">
        <v>102</v>
      </c>
      <c r="B1110" s="1" t="s">
        <v>75</v>
      </c>
      <c r="C1110" s="1" t="s">
        <v>1575</v>
      </c>
      <c r="D1110" s="1" t="s">
        <v>1600</v>
      </c>
      <c r="E1110" s="1" t="s">
        <v>2050</v>
      </c>
      <c r="F1110" s="1" t="s">
        <v>120</v>
      </c>
      <c r="G1110" s="4">
        <v>1</v>
      </c>
      <c r="H1110" s="28">
        <v>39478</v>
      </c>
      <c r="I1110" s="29">
        <f t="shared" ref="I1110" si="962">YEAR(H1110)</f>
        <v>2008</v>
      </c>
      <c r="J1110" s="1" t="s">
        <v>5851</v>
      </c>
      <c r="K1110" s="1" t="s">
        <v>7</v>
      </c>
      <c r="L1110" s="11" t="str">
        <f t="shared" ref="L1110" si="963">IF(OR(A1110=J1110,A1110=K1110),"ДА","НЕТ")</f>
        <v>НЕТ</v>
      </c>
      <c r="M1110" s="10">
        <v>84.4</v>
      </c>
      <c r="N1110" s="10" t="s">
        <v>1575</v>
      </c>
      <c r="O1110" s="10">
        <f>M1110*24.4764/1000</f>
        <v>2.0658081600000004</v>
      </c>
      <c r="P1110" s="10">
        <f t="shared" si="913"/>
        <v>2.0658081600000004</v>
      </c>
      <c r="Q1110" s="10" t="str">
        <f t="shared" si="914"/>
        <v>NA</v>
      </c>
      <c r="R1110" s="10" t="s">
        <v>1575</v>
      </c>
      <c r="S1110" s="10" t="s">
        <v>1575</v>
      </c>
      <c r="T1110" s="10" t="s">
        <v>1575</v>
      </c>
      <c r="U1110" s="10" t="s">
        <v>1575</v>
      </c>
      <c r="V1110" s="10" t="s">
        <v>1575</v>
      </c>
      <c r="W1110" s="10" t="s">
        <v>1575</v>
      </c>
      <c r="X1110" s="10" t="str">
        <f t="shared" ref="X1110" si="964">IFERROR(V1110+W1110,"NA")</f>
        <v>NA</v>
      </c>
      <c r="Y1110" s="10" t="str">
        <f t="shared" ref="Y1110" si="965">IFERROR(P1110/R1110,"NA")</f>
        <v>NA</v>
      </c>
      <c r="Z1110" s="10" t="str">
        <f t="shared" ref="Z1110" si="966">IFERROR(P1110/U1110,"NA")</f>
        <v>NA</v>
      </c>
      <c r="AA1110" s="10" t="str">
        <f t="shared" ref="AA1110" si="967">IFERROR(P1110/V1110,"NA")</f>
        <v>NA</v>
      </c>
      <c r="AB1110" s="10" t="str">
        <f t="shared" ref="AB1110" si="968">IFERROR(Q1110/R1110,"NA")</f>
        <v>NA</v>
      </c>
      <c r="AC1110" s="10" t="str">
        <f t="shared" ref="AC1110" si="969">IFERROR(Q1110/S1110,"NA")</f>
        <v>NA</v>
      </c>
      <c r="AD1110" s="10" t="str">
        <f t="shared" ref="AD1110" si="970">IFERROR(Q1110/T1110,"NA")</f>
        <v>NA</v>
      </c>
      <c r="AE1110" s="10" t="str">
        <f t="shared" ref="AE1110" si="971">IFERROR(Q1110/X1110,"NA")</f>
        <v>NA</v>
      </c>
      <c r="AF1110" s="1" t="s">
        <v>4502</v>
      </c>
    </row>
    <row r="1111" spans="1:32" x14ac:dyDescent="0.2">
      <c r="A1111" s="5" t="s">
        <v>5859</v>
      </c>
      <c r="B1111" s="1" t="s">
        <v>5</v>
      </c>
      <c r="C1111" s="1" t="s">
        <v>1575</v>
      </c>
      <c r="D1111" s="1" t="s">
        <v>1600</v>
      </c>
      <c r="E1111" s="1" t="s">
        <v>2050</v>
      </c>
      <c r="F1111" s="1" t="s">
        <v>4487</v>
      </c>
      <c r="G1111" s="4">
        <v>0.91600000000000004</v>
      </c>
      <c r="H1111" s="28">
        <v>39478</v>
      </c>
      <c r="I1111" s="29">
        <f t="shared" si="943"/>
        <v>2008</v>
      </c>
      <c r="J1111" s="1" t="s">
        <v>5851</v>
      </c>
      <c r="K1111" s="1" t="s">
        <v>7</v>
      </c>
      <c r="L1111" s="11" t="str">
        <f t="shared" ref="L1111" si="972">IF(OR(A1111=J1111,A1111=K1111),"ДА","НЕТ")</f>
        <v>НЕТ</v>
      </c>
      <c r="M1111" s="10">
        <v>17.600000000000001</v>
      </c>
      <c r="N1111" s="10" t="s">
        <v>1575</v>
      </c>
      <c r="O1111" s="10">
        <f>M1111*24.4764/1000</f>
        <v>0.43078464000000011</v>
      </c>
      <c r="P1111" s="10">
        <f t="shared" si="913"/>
        <v>0.47028890829694331</v>
      </c>
      <c r="Q1111" s="10" t="str">
        <f t="shared" si="914"/>
        <v>NA</v>
      </c>
      <c r="R1111" s="10" t="s">
        <v>1575</v>
      </c>
      <c r="S1111" s="10" t="s">
        <v>1575</v>
      </c>
      <c r="T1111" s="10" t="s">
        <v>1575</v>
      </c>
      <c r="U1111" s="10" t="s">
        <v>1575</v>
      </c>
      <c r="V1111" s="10" t="s">
        <v>1575</v>
      </c>
      <c r="W1111" s="10" t="s">
        <v>1575</v>
      </c>
      <c r="X1111" s="10" t="str">
        <f t="shared" ref="X1111:X1114" si="973">IFERROR(V1111+W1111,"NA")</f>
        <v>NA</v>
      </c>
      <c r="Y1111" s="10" t="str">
        <f t="shared" ref="Y1111:Y1114" si="974">IFERROR(P1111/R1111,"NA")</f>
        <v>NA</v>
      </c>
      <c r="Z1111" s="10" t="str">
        <f t="shared" ref="Z1111:Z1114" si="975">IFERROR(P1111/U1111,"NA")</f>
        <v>NA</v>
      </c>
      <c r="AA1111" s="10" t="str">
        <f t="shared" ref="AA1111:AA1114" si="976">IFERROR(P1111/V1111,"NA")</f>
        <v>NA</v>
      </c>
      <c r="AB1111" s="10" t="str">
        <f t="shared" ref="AB1111:AB1114" si="977">IFERROR(Q1111/R1111,"NA")</f>
        <v>NA</v>
      </c>
      <c r="AC1111" s="10" t="str">
        <f t="shared" ref="AC1111:AC1114" si="978">IFERROR(Q1111/S1111,"NA")</f>
        <v>NA</v>
      </c>
      <c r="AD1111" s="10" t="str">
        <f t="shared" ref="AD1111:AD1114" si="979">IFERROR(Q1111/T1111,"NA")</f>
        <v>NA</v>
      </c>
      <c r="AE1111" s="10" t="str">
        <f t="shared" ref="AE1111:AE1114" si="980">IFERROR(Q1111/X1111,"NA")</f>
        <v>NA</v>
      </c>
      <c r="AF1111" s="1" t="s">
        <v>4484</v>
      </c>
    </row>
    <row r="1112" spans="1:32" x14ac:dyDescent="0.2">
      <c r="A1112" s="1" t="s">
        <v>4488</v>
      </c>
      <c r="B1112" s="1" t="s">
        <v>75</v>
      </c>
      <c r="C1112" s="1" t="s">
        <v>1575</v>
      </c>
      <c r="D1112" s="1" t="s">
        <v>1600</v>
      </c>
      <c r="E1112" s="1" t="s">
        <v>2050</v>
      </c>
      <c r="F1112" s="1" t="s">
        <v>4490</v>
      </c>
      <c r="G1112" s="4">
        <v>1</v>
      </c>
      <c r="H1112" s="28">
        <v>39599</v>
      </c>
      <c r="I1112" s="29">
        <f t="shared" si="943"/>
        <v>2008</v>
      </c>
      <c r="J1112" s="1" t="s">
        <v>5851</v>
      </c>
      <c r="K1112" s="1" t="s">
        <v>7</v>
      </c>
      <c r="L1112" s="11" t="str">
        <f t="shared" ref="L1112" si="981">IF(OR(A1112=J1112,A1112=K1112),"ДА","НЕТ")</f>
        <v>НЕТ</v>
      </c>
      <c r="M1112" s="10">
        <v>770</v>
      </c>
      <c r="N1112" s="10" t="s">
        <v>1575</v>
      </c>
      <c r="O1112" s="10">
        <f>M1112*23.7384/1000</f>
        <v>18.278568</v>
      </c>
      <c r="P1112" s="10">
        <f t="shared" si="913"/>
        <v>18.278568</v>
      </c>
      <c r="Q1112" s="10" t="str">
        <f t="shared" si="914"/>
        <v>NA</v>
      </c>
      <c r="R1112" s="10" t="s">
        <v>1575</v>
      </c>
      <c r="S1112" s="10" t="s">
        <v>1575</v>
      </c>
      <c r="T1112" s="10" t="s">
        <v>1575</v>
      </c>
      <c r="U1112" s="10" t="s">
        <v>1575</v>
      </c>
      <c r="V1112" s="10" t="s">
        <v>1575</v>
      </c>
      <c r="W1112" s="10" t="s">
        <v>1575</v>
      </c>
      <c r="X1112" s="10" t="str">
        <f t="shared" si="973"/>
        <v>NA</v>
      </c>
      <c r="Y1112" s="10" t="str">
        <f t="shared" si="974"/>
        <v>NA</v>
      </c>
      <c r="Z1112" s="10" t="str">
        <f t="shared" si="975"/>
        <v>NA</v>
      </c>
      <c r="AA1112" s="10" t="str">
        <f t="shared" si="976"/>
        <v>NA</v>
      </c>
      <c r="AB1112" s="10" t="str">
        <f t="shared" si="977"/>
        <v>NA</v>
      </c>
      <c r="AC1112" s="10" t="str">
        <f t="shared" si="978"/>
        <v>NA</v>
      </c>
      <c r="AD1112" s="10" t="str">
        <f t="shared" si="979"/>
        <v>NA</v>
      </c>
      <c r="AE1112" s="10" t="str">
        <f t="shared" si="980"/>
        <v>NA</v>
      </c>
      <c r="AF1112" s="1" t="s">
        <v>4489</v>
      </c>
    </row>
    <row r="1113" spans="1:32" x14ac:dyDescent="0.2">
      <c r="A1113" s="1" t="s">
        <v>4491</v>
      </c>
      <c r="B1113" s="1" t="s">
        <v>75</v>
      </c>
      <c r="C1113" s="1" t="s">
        <v>1575</v>
      </c>
      <c r="D1113" s="1" t="s">
        <v>1600</v>
      </c>
      <c r="E1113" s="1" t="s">
        <v>2050</v>
      </c>
      <c r="F1113" s="1" t="s">
        <v>4490</v>
      </c>
      <c r="G1113" s="4">
        <v>1</v>
      </c>
      <c r="H1113" s="28">
        <v>39660</v>
      </c>
      <c r="I1113" s="29">
        <f t="shared" si="943"/>
        <v>2008</v>
      </c>
      <c r="J1113" s="1" t="s">
        <v>5851</v>
      </c>
      <c r="K1113" s="1" t="s">
        <v>7</v>
      </c>
      <c r="L1113" s="11" t="str">
        <f t="shared" ref="L1113" si="982">IF(OR(A1113=J1113,A1113=K1113),"ДА","НЕТ")</f>
        <v>НЕТ</v>
      </c>
      <c r="M1113" s="10">
        <v>443.1</v>
      </c>
      <c r="N1113" s="10" t="s">
        <v>1575</v>
      </c>
      <c r="O1113" s="10">
        <f>M1113*23.4456/1000</f>
        <v>10.388745360000001</v>
      </c>
      <c r="P1113" s="10">
        <f t="shared" si="913"/>
        <v>10.388745360000001</v>
      </c>
      <c r="Q1113" s="10" t="str">
        <f t="shared" si="914"/>
        <v>NA</v>
      </c>
      <c r="R1113" s="10" t="s">
        <v>1575</v>
      </c>
      <c r="S1113" s="10" t="s">
        <v>1575</v>
      </c>
      <c r="T1113" s="10" t="s">
        <v>1575</v>
      </c>
      <c r="U1113" s="10" t="s">
        <v>1575</v>
      </c>
      <c r="V1113" s="10" t="s">
        <v>1575</v>
      </c>
      <c r="W1113" s="10" t="s">
        <v>1575</v>
      </c>
      <c r="X1113" s="10" t="str">
        <f t="shared" si="973"/>
        <v>NA</v>
      </c>
      <c r="Y1113" s="10" t="str">
        <f t="shared" si="974"/>
        <v>NA</v>
      </c>
      <c r="Z1113" s="10" t="str">
        <f t="shared" si="975"/>
        <v>NA</v>
      </c>
      <c r="AA1113" s="10" t="str">
        <f t="shared" si="976"/>
        <v>NA</v>
      </c>
      <c r="AB1113" s="10" t="str">
        <f t="shared" si="977"/>
        <v>NA</v>
      </c>
      <c r="AC1113" s="10" t="str">
        <f t="shared" si="978"/>
        <v>NA</v>
      </c>
      <c r="AD1113" s="10" t="str">
        <f t="shared" si="979"/>
        <v>NA</v>
      </c>
      <c r="AE1113" s="10" t="str">
        <f t="shared" si="980"/>
        <v>NA</v>
      </c>
      <c r="AF1113" s="1" t="s">
        <v>4492</v>
      </c>
    </row>
    <row r="1114" spans="1:32" x14ac:dyDescent="0.2">
      <c r="A1114" s="1" t="s">
        <v>4459</v>
      </c>
      <c r="B1114" s="1" t="s">
        <v>23</v>
      </c>
      <c r="C1114" s="1" t="s">
        <v>1575</v>
      </c>
      <c r="D1114" s="1" t="s">
        <v>2160</v>
      </c>
      <c r="E1114" s="1" t="s">
        <v>2882</v>
      </c>
      <c r="F1114" s="1" t="s">
        <v>4460</v>
      </c>
      <c r="G1114" s="4">
        <v>1</v>
      </c>
      <c r="H1114" s="28">
        <v>39660</v>
      </c>
      <c r="I1114" s="29">
        <f t="shared" si="943"/>
        <v>2008</v>
      </c>
      <c r="J1114" s="1" t="s">
        <v>5851</v>
      </c>
      <c r="K1114" s="1" t="s">
        <v>7</v>
      </c>
      <c r="L1114" s="11" t="str">
        <f t="shared" ref="L1114" si="983">IF(OR(A1114=J1114,A1114=K1114),"ДА","НЕТ")</f>
        <v>НЕТ</v>
      </c>
      <c r="M1114" s="10">
        <v>54.8</v>
      </c>
      <c r="N1114" s="10">
        <v>35</v>
      </c>
      <c r="O1114" s="10">
        <f>M1114*23.4456/1000</f>
        <v>1.2848188799999998</v>
      </c>
      <c r="P1114" s="10">
        <f t="shared" si="913"/>
        <v>1.2848188799999998</v>
      </c>
      <c r="Q1114" s="10" t="str">
        <f t="shared" si="914"/>
        <v>NA</v>
      </c>
      <c r="R1114" s="10" t="s">
        <v>1575</v>
      </c>
      <c r="S1114" s="10" t="s">
        <v>1575</v>
      </c>
      <c r="T1114" s="10" t="s">
        <v>1575</v>
      </c>
      <c r="U1114" s="10" t="s">
        <v>1575</v>
      </c>
      <c r="V1114" s="10" t="s">
        <v>1575</v>
      </c>
      <c r="W1114" s="10" t="s">
        <v>1575</v>
      </c>
      <c r="X1114" s="10" t="str">
        <f t="shared" si="973"/>
        <v>NA</v>
      </c>
      <c r="Y1114" s="10" t="str">
        <f t="shared" si="974"/>
        <v>NA</v>
      </c>
      <c r="Z1114" s="10" t="str">
        <f t="shared" si="975"/>
        <v>NA</v>
      </c>
      <c r="AA1114" s="10" t="str">
        <f t="shared" si="976"/>
        <v>NA</v>
      </c>
      <c r="AB1114" s="10" t="str">
        <f t="shared" si="977"/>
        <v>NA</v>
      </c>
      <c r="AC1114" s="10" t="str">
        <f t="shared" si="978"/>
        <v>NA</v>
      </c>
      <c r="AD1114" s="10" t="str">
        <f t="shared" si="979"/>
        <v>NA</v>
      </c>
      <c r="AE1114" s="10" t="str">
        <f t="shared" si="980"/>
        <v>NA</v>
      </c>
      <c r="AF1114" s="1" t="s">
        <v>4493</v>
      </c>
    </row>
    <row r="1115" spans="1:32" x14ac:dyDescent="0.2">
      <c r="A1115" s="1" t="s">
        <v>4494</v>
      </c>
      <c r="B1115" s="1" t="s">
        <v>75</v>
      </c>
      <c r="C1115" s="1" t="s">
        <v>1575</v>
      </c>
      <c r="D1115" s="1" t="s">
        <v>1600</v>
      </c>
      <c r="E1115" s="1" t="s">
        <v>2050</v>
      </c>
      <c r="F1115" s="1" t="s">
        <v>4490</v>
      </c>
      <c r="G1115" s="4">
        <v>1</v>
      </c>
      <c r="H1115" s="28">
        <v>39691</v>
      </c>
      <c r="I1115" s="29">
        <f t="shared" si="943"/>
        <v>2008</v>
      </c>
      <c r="J1115" s="1" t="s">
        <v>5851</v>
      </c>
      <c r="K1115" s="1" t="s">
        <v>7</v>
      </c>
      <c r="L1115" s="11" t="str">
        <f t="shared" ref="L1115" si="984">IF(OR(A1115=J1115,A1115=K1115),"ДА","НЕТ")</f>
        <v>НЕТ</v>
      </c>
      <c r="M1115" s="10">
        <v>977.8</v>
      </c>
      <c r="N1115" s="10" t="s">
        <v>1575</v>
      </c>
      <c r="O1115" s="10">
        <f>M1115*24.5769/1000</f>
        <v>24.031292819999997</v>
      </c>
      <c r="P1115" s="10">
        <f t="shared" si="913"/>
        <v>24.031292819999997</v>
      </c>
      <c r="Q1115" s="10" t="str">
        <f t="shared" si="914"/>
        <v>NA</v>
      </c>
      <c r="R1115" s="10" t="s">
        <v>1575</v>
      </c>
      <c r="S1115" s="10" t="s">
        <v>1575</v>
      </c>
      <c r="T1115" s="10" t="s">
        <v>1575</v>
      </c>
      <c r="U1115" s="10" t="s">
        <v>1575</v>
      </c>
      <c r="V1115" s="10" t="s">
        <v>1575</v>
      </c>
      <c r="W1115" s="10" t="s">
        <v>1575</v>
      </c>
      <c r="X1115" s="10" t="str">
        <f t="shared" si="925"/>
        <v>NA</v>
      </c>
      <c r="Y1115" s="10" t="str">
        <f t="shared" si="926"/>
        <v>NA</v>
      </c>
      <c r="Z1115" s="10" t="str">
        <f t="shared" si="927"/>
        <v>NA</v>
      </c>
      <c r="AA1115" s="10" t="str">
        <f t="shared" si="928"/>
        <v>NA</v>
      </c>
      <c r="AB1115" s="10" t="str">
        <f t="shared" si="929"/>
        <v>NA</v>
      </c>
      <c r="AC1115" s="10" t="str">
        <f t="shared" si="930"/>
        <v>NA</v>
      </c>
      <c r="AD1115" s="10" t="str">
        <f t="shared" si="931"/>
        <v>NA</v>
      </c>
      <c r="AE1115" s="10" t="str">
        <f t="shared" si="932"/>
        <v>NA</v>
      </c>
      <c r="AF1115" s="1" t="s">
        <v>4495</v>
      </c>
    </row>
    <row r="1116" spans="1:32" x14ac:dyDescent="0.2">
      <c r="A1116" s="1" t="s">
        <v>4496</v>
      </c>
      <c r="B1116" s="1" t="s">
        <v>21</v>
      </c>
      <c r="C1116" s="1" t="s">
        <v>1575</v>
      </c>
      <c r="D1116" s="1" t="s">
        <v>1600</v>
      </c>
      <c r="E1116" s="1" t="s">
        <v>1653</v>
      </c>
      <c r="F1116" s="1" t="s">
        <v>101</v>
      </c>
      <c r="G1116" s="4">
        <v>1</v>
      </c>
      <c r="H1116" s="28">
        <v>39691</v>
      </c>
      <c r="I1116" s="29">
        <f t="shared" ref="I1116:I1128" si="985">YEAR(H1116)</f>
        <v>2008</v>
      </c>
      <c r="J1116" s="1" t="s">
        <v>5851</v>
      </c>
      <c r="K1116" s="1" t="s">
        <v>7</v>
      </c>
      <c r="L1116" s="11" t="str">
        <f t="shared" ref="L1116" si="986">IF(OR(A1116=J1116,A1116=K1116),"ДА","НЕТ")</f>
        <v>НЕТ</v>
      </c>
      <c r="M1116" s="10">
        <v>38.9</v>
      </c>
      <c r="N1116" s="10" t="s">
        <v>1575</v>
      </c>
      <c r="O1116" s="10">
        <f>M1116*24.5769/1000</f>
        <v>0.95604140999999998</v>
      </c>
      <c r="P1116" s="10">
        <f t="shared" si="913"/>
        <v>0.95604140999999998</v>
      </c>
      <c r="Q1116" s="10" t="str">
        <f t="shared" si="914"/>
        <v>NA</v>
      </c>
      <c r="R1116" s="10" t="s">
        <v>1575</v>
      </c>
      <c r="S1116" s="10" t="s">
        <v>1575</v>
      </c>
      <c r="T1116" s="10" t="s">
        <v>1575</v>
      </c>
      <c r="U1116" s="10" t="s">
        <v>1575</v>
      </c>
      <c r="V1116" s="10" t="s">
        <v>1575</v>
      </c>
      <c r="W1116" s="10" t="s">
        <v>1575</v>
      </c>
      <c r="X1116" s="10" t="str">
        <f t="shared" ref="X1116:X1117" si="987">IFERROR(V1116+W1116,"NA")</f>
        <v>NA</v>
      </c>
      <c r="Y1116" s="10" t="str">
        <f t="shared" ref="Y1116:Y1117" si="988">IFERROR(P1116/R1116,"NA")</f>
        <v>NA</v>
      </c>
      <c r="Z1116" s="10" t="str">
        <f t="shared" ref="Z1116:Z1117" si="989">IFERROR(P1116/U1116,"NA")</f>
        <v>NA</v>
      </c>
      <c r="AA1116" s="10" t="str">
        <f t="shared" ref="AA1116:AA1117" si="990">IFERROR(P1116/V1116,"NA")</f>
        <v>NA</v>
      </c>
      <c r="AB1116" s="10" t="str">
        <f t="shared" ref="AB1116:AB1117" si="991">IFERROR(Q1116/R1116,"NA")</f>
        <v>NA</v>
      </c>
      <c r="AC1116" s="10" t="str">
        <f t="shared" ref="AC1116:AC1117" si="992">IFERROR(Q1116/S1116,"NA")</f>
        <v>NA</v>
      </c>
      <c r="AD1116" s="10" t="str">
        <f t="shared" ref="AD1116:AD1117" si="993">IFERROR(Q1116/T1116,"NA")</f>
        <v>NA</v>
      </c>
      <c r="AE1116" s="10" t="str">
        <f t="shared" ref="AE1116:AE1117" si="994">IFERROR(Q1116/X1116,"NA")</f>
        <v>NA</v>
      </c>
      <c r="AF1116" s="1" t="s">
        <v>4497</v>
      </c>
    </row>
    <row r="1117" spans="1:32" x14ac:dyDescent="0.2">
      <c r="A1117" s="1" t="s">
        <v>74</v>
      </c>
      <c r="B1117" s="1" t="s">
        <v>75</v>
      </c>
      <c r="C1117" s="1" t="s">
        <v>1575</v>
      </c>
      <c r="D1117" s="1" t="s">
        <v>1600</v>
      </c>
      <c r="E1117" s="1" t="s">
        <v>1659</v>
      </c>
      <c r="F1117" s="1" t="s">
        <v>76</v>
      </c>
      <c r="G1117" s="4">
        <v>1</v>
      </c>
      <c r="H1117" s="28">
        <v>39782</v>
      </c>
      <c r="I1117" s="29">
        <f t="shared" si="985"/>
        <v>2008</v>
      </c>
      <c r="J1117" s="1" t="s">
        <v>5851</v>
      </c>
      <c r="K1117" s="1" t="s">
        <v>7</v>
      </c>
      <c r="L1117" s="11" t="str">
        <f t="shared" ref="L1117" si="995">IF(OR(A1117=J1117,A1117=K1117),"ДА","НЕТ")</f>
        <v>НЕТ</v>
      </c>
      <c r="M1117" s="10">
        <v>876.8</v>
      </c>
      <c r="N1117" s="10" t="s">
        <v>1575</v>
      </c>
      <c r="O1117" s="10">
        <f>M1117*27.606/1000</f>
        <v>24.204940799999999</v>
      </c>
      <c r="P1117" s="10">
        <f t="shared" si="913"/>
        <v>24.204940799999999</v>
      </c>
      <c r="Q1117" s="10" t="str">
        <f t="shared" si="914"/>
        <v>NA</v>
      </c>
      <c r="R1117" s="10" t="s">
        <v>1575</v>
      </c>
      <c r="S1117" s="10" t="s">
        <v>1575</v>
      </c>
      <c r="T1117" s="10" t="s">
        <v>1575</v>
      </c>
      <c r="U1117" s="10" t="s">
        <v>1575</v>
      </c>
      <c r="V1117" s="10" t="s">
        <v>1575</v>
      </c>
      <c r="W1117" s="10" t="s">
        <v>1575</v>
      </c>
      <c r="X1117" s="10" t="str">
        <f t="shared" si="987"/>
        <v>NA</v>
      </c>
      <c r="Y1117" s="10" t="str">
        <f t="shared" si="988"/>
        <v>NA</v>
      </c>
      <c r="Z1117" s="10" t="str">
        <f t="shared" si="989"/>
        <v>NA</v>
      </c>
      <c r="AA1117" s="10" t="str">
        <f t="shared" si="990"/>
        <v>NA</v>
      </c>
      <c r="AB1117" s="10" t="str">
        <f t="shared" si="991"/>
        <v>NA</v>
      </c>
      <c r="AC1117" s="10" t="str">
        <f t="shared" si="992"/>
        <v>NA</v>
      </c>
      <c r="AD1117" s="10" t="str">
        <f t="shared" si="993"/>
        <v>NA</v>
      </c>
      <c r="AE1117" s="10" t="str">
        <f t="shared" si="994"/>
        <v>NA</v>
      </c>
      <c r="AF1117" s="1" t="s">
        <v>4498</v>
      </c>
    </row>
    <row r="1118" spans="1:32" x14ac:dyDescent="0.2">
      <c r="A1118" s="1" t="s">
        <v>4500</v>
      </c>
      <c r="B1118" s="1" t="s">
        <v>81</v>
      </c>
      <c r="C1118" s="1" t="s">
        <v>1575</v>
      </c>
      <c r="D1118" s="1" t="s">
        <v>1600</v>
      </c>
      <c r="E1118" s="1" t="s">
        <v>1671</v>
      </c>
      <c r="F1118" s="1" t="s">
        <v>72</v>
      </c>
      <c r="G1118" s="4">
        <v>0.61499999999999999</v>
      </c>
      <c r="H1118" s="28">
        <v>39813</v>
      </c>
      <c r="I1118" s="29">
        <f t="shared" si="985"/>
        <v>2008</v>
      </c>
      <c r="J1118" s="1" t="s">
        <v>5851</v>
      </c>
      <c r="K1118" s="1" t="s">
        <v>7</v>
      </c>
      <c r="L1118" s="11" t="str">
        <f t="shared" ref="L1118" si="996">IF(OR(A1118=J1118,A1118=K1118),"ДА","НЕТ")</f>
        <v>НЕТ</v>
      </c>
      <c r="M1118" s="10">
        <v>32</v>
      </c>
      <c r="N1118" s="10" t="s">
        <v>1575</v>
      </c>
      <c r="O1118" s="10">
        <f>M1118*29.3804/1000</f>
        <v>0.94017280000000003</v>
      </c>
      <c r="P1118" s="10">
        <f t="shared" si="913"/>
        <v>1.5287362601626018</v>
      </c>
      <c r="Q1118" s="10" t="str">
        <f t="shared" si="914"/>
        <v>NA</v>
      </c>
      <c r="R1118" s="10" t="s">
        <v>1575</v>
      </c>
      <c r="S1118" s="10" t="s">
        <v>1575</v>
      </c>
      <c r="T1118" s="10" t="s">
        <v>1575</v>
      </c>
      <c r="U1118" s="10" t="s">
        <v>1575</v>
      </c>
      <c r="V1118" s="10" t="s">
        <v>1575</v>
      </c>
      <c r="W1118" s="10" t="s">
        <v>1575</v>
      </c>
      <c r="X1118" s="10" t="str">
        <f t="shared" ref="X1118:X1120" si="997">IFERROR(V1118+W1118,"NA")</f>
        <v>NA</v>
      </c>
      <c r="Y1118" s="10" t="str">
        <f t="shared" ref="Y1118:Y1120" si="998">IFERROR(P1118/R1118,"NA")</f>
        <v>NA</v>
      </c>
      <c r="Z1118" s="10" t="str">
        <f t="shared" ref="Z1118:Z1120" si="999">IFERROR(P1118/U1118,"NA")</f>
        <v>NA</v>
      </c>
      <c r="AA1118" s="10" t="str">
        <f t="shared" ref="AA1118:AA1120" si="1000">IFERROR(P1118/V1118,"NA")</f>
        <v>NA</v>
      </c>
      <c r="AB1118" s="10" t="str">
        <f t="shared" ref="AB1118:AB1120" si="1001">IFERROR(Q1118/R1118,"NA")</f>
        <v>NA</v>
      </c>
      <c r="AC1118" s="10" t="str">
        <f t="shared" ref="AC1118:AC1120" si="1002">IFERROR(Q1118/S1118,"NA")</f>
        <v>NA</v>
      </c>
      <c r="AD1118" s="10" t="str">
        <f t="shared" ref="AD1118:AD1120" si="1003">IFERROR(Q1118/T1118,"NA")</f>
        <v>NA</v>
      </c>
      <c r="AE1118" s="10" t="str">
        <f t="shared" ref="AE1118:AE1120" si="1004">IFERROR(Q1118/X1118,"NA")</f>
        <v>NA</v>
      </c>
      <c r="AF1118" s="1" t="s">
        <v>4501</v>
      </c>
    </row>
    <row r="1119" spans="1:32" x14ac:dyDescent="0.2">
      <c r="A1119" s="1" t="s">
        <v>4524</v>
      </c>
      <c r="B1119" s="1" t="s">
        <v>5</v>
      </c>
      <c r="C1119" s="1" t="s">
        <v>1575</v>
      </c>
      <c r="D1119" s="1" t="s">
        <v>1600</v>
      </c>
      <c r="E1119" s="1" t="s">
        <v>4456</v>
      </c>
      <c r="F1119" s="1" t="s">
        <v>83</v>
      </c>
      <c r="G1119" s="4">
        <v>1</v>
      </c>
      <c r="H1119" s="28">
        <v>39813</v>
      </c>
      <c r="I1119" s="29">
        <f t="shared" si="985"/>
        <v>2008</v>
      </c>
      <c r="J1119" s="1" t="s">
        <v>5851</v>
      </c>
      <c r="K1119" s="1" t="s">
        <v>7</v>
      </c>
      <c r="L1119" s="11" t="str">
        <f t="shared" ref="L1119:L1120" si="1005">IF(OR(A1119=J1119,A1119=K1119),"ДА","НЕТ")</f>
        <v>НЕТ</v>
      </c>
      <c r="M1119" s="10">
        <v>27.4</v>
      </c>
      <c r="N1119" s="10" t="s">
        <v>1575</v>
      </c>
      <c r="O1119" s="10">
        <f>M1119*29.3804/1000</f>
        <v>0.80502296000000007</v>
      </c>
      <c r="P1119" s="10">
        <f t="shared" si="913"/>
        <v>0.80502296000000007</v>
      </c>
      <c r="Q1119" s="10" t="str">
        <f t="shared" si="914"/>
        <v>NA</v>
      </c>
      <c r="R1119" s="10" t="s">
        <v>1575</v>
      </c>
      <c r="S1119" s="10" t="s">
        <v>1575</v>
      </c>
      <c r="T1119" s="10" t="s">
        <v>1575</v>
      </c>
      <c r="U1119" s="10" t="s">
        <v>1575</v>
      </c>
      <c r="V1119" s="10" t="s">
        <v>1575</v>
      </c>
      <c r="W1119" s="10" t="s">
        <v>1575</v>
      </c>
      <c r="X1119" s="10" t="str">
        <f t="shared" si="997"/>
        <v>NA</v>
      </c>
      <c r="Y1119" s="10" t="str">
        <f t="shared" si="998"/>
        <v>NA</v>
      </c>
      <c r="Z1119" s="10" t="str">
        <f t="shared" si="999"/>
        <v>NA</v>
      </c>
      <c r="AA1119" s="10" t="str">
        <f t="shared" si="1000"/>
        <v>NA</v>
      </c>
      <c r="AB1119" s="10" t="str">
        <f t="shared" si="1001"/>
        <v>NA</v>
      </c>
      <c r="AC1119" s="10" t="str">
        <f t="shared" si="1002"/>
        <v>NA</v>
      </c>
      <c r="AD1119" s="10" t="str">
        <f t="shared" si="1003"/>
        <v>NA</v>
      </c>
      <c r="AE1119" s="10" t="str">
        <f t="shared" si="1004"/>
        <v>NA</v>
      </c>
      <c r="AF1119" s="1" t="s">
        <v>4503</v>
      </c>
    </row>
    <row r="1120" spans="1:32" x14ac:dyDescent="0.2">
      <c r="A1120" s="1" t="s">
        <v>4525</v>
      </c>
      <c r="B1120" s="1" t="s">
        <v>5</v>
      </c>
      <c r="C1120" s="1" t="s">
        <v>1575</v>
      </c>
      <c r="D1120" s="1" t="s">
        <v>1575</v>
      </c>
      <c r="E1120" s="1" t="s">
        <v>1575</v>
      </c>
      <c r="F1120" s="1" t="s">
        <v>1575</v>
      </c>
      <c r="G1120" s="4">
        <v>1</v>
      </c>
      <c r="H1120" s="28">
        <v>39506</v>
      </c>
      <c r="I1120" s="29">
        <f t="shared" si="985"/>
        <v>2008</v>
      </c>
      <c r="J1120" s="1" t="s">
        <v>7</v>
      </c>
      <c r="K1120" s="1" t="s">
        <v>5851</v>
      </c>
      <c r="L1120" s="11" t="str">
        <f t="shared" si="1005"/>
        <v>НЕТ</v>
      </c>
      <c r="M1120" s="10">
        <v>4.0000000000000001E-3</v>
      </c>
      <c r="N1120" s="10" t="s">
        <v>1575</v>
      </c>
      <c r="O1120" s="10">
        <v>9.9999999999999995E-8</v>
      </c>
      <c r="P1120" s="10">
        <f t="shared" si="913"/>
        <v>9.9999999999999995E-8</v>
      </c>
      <c r="Q1120" s="10" t="str">
        <f t="shared" si="914"/>
        <v>NA</v>
      </c>
      <c r="R1120" s="10" t="s">
        <v>1575</v>
      </c>
      <c r="S1120" s="10" t="s">
        <v>1575</v>
      </c>
      <c r="T1120" s="10" t="s">
        <v>1575</v>
      </c>
      <c r="U1120" s="10" t="s">
        <v>1575</v>
      </c>
      <c r="V1120" s="10" t="s">
        <v>1575</v>
      </c>
      <c r="W1120" s="10" t="s">
        <v>1575</v>
      </c>
      <c r="X1120" s="10" t="str">
        <f t="shared" si="997"/>
        <v>NA</v>
      </c>
      <c r="Y1120" s="10" t="str">
        <f t="shared" si="998"/>
        <v>NA</v>
      </c>
      <c r="Z1120" s="10" t="str">
        <f t="shared" si="999"/>
        <v>NA</v>
      </c>
      <c r="AA1120" s="10" t="str">
        <f t="shared" si="1000"/>
        <v>NA</v>
      </c>
      <c r="AB1120" s="10" t="str">
        <f t="shared" si="1001"/>
        <v>NA</v>
      </c>
      <c r="AC1120" s="10" t="str">
        <f t="shared" si="1002"/>
        <v>NA</v>
      </c>
      <c r="AD1120" s="10" t="str">
        <f t="shared" si="1003"/>
        <v>NA</v>
      </c>
      <c r="AE1120" s="10" t="str">
        <f t="shared" si="1004"/>
        <v>NA</v>
      </c>
      <c r="AF1120" s="1" t="s">
        <v>4507</v>
      </c>
    </row>
    <row r="1121" spans="1:32" x14ac:dyDescent="0.2">
      <c r="A1121" s="1" t="s">
        <v>4526</v>
      </c>
      <c r="B1121" s="1" t="s">
        <v>5</v>
      </c>
      <c r="C1121" s="1" t="s">
        <v>1575</v>
      </c>
      <c r="D1121" s="1" t="s">
        <v>1600</v>
      </c>
      <c r="E1121" s="1" t="s">
        <v>1671</v>
      </c>
      <c r="F1121" s="1" t="s">
        <v>72</v>
      </c>
      <c r="G1121" s="4" t="s">
        <v>11</v>
      </c>
      <c r="H1121" s="28">
        <v>39568</v>
      </c>
      <c r="I1121" s="29">
        <f t="shared" si="985"/>
        <v>2008</v>
      </c>
      <c r="J1121" s="1" t="s">
        <v>4527</v>
      </c>
      <c r="K1121" s="1" t="s">
        <v>5851</v>
      </c>
      <c r="L1121" s="11" t="str">
        <f t="shared" ref="L1121:L1124" si="1006">IF(OR(A1121=J1121,A1121=K1121),"ДА","НЕТ")</f>
        <v>НЕТ</v>
      </c>
      <c r="M1121" s="10">
        <v>652</v>
      </c>
      <c r="N1121" s="10" t="s">
        <v>1575</v>
      </c>
      <c r="O1121" s="10">
        <f>M1121*23.6471/1000</f>
        <v>15.417909199999999</v>
      </c>
      <c r="P1121" s="10" t="str">
        <f t="shared" si="913"/>
        <v>NA</v>
      </c>
      <c r="Q1121" s="10" t="str">
        <f t="shared" si="914"/>
        <v>NA</v>
      </c>
      <c r="R1121" s="10" t="s">
        <v>1575</v>
      </c>
      <c r="S1121" s="10" t="s">
        <v>1575</v>
      </c>
      <c r="T1121" s="10" t="s">
        <v>1575</v>
      </c>
      <c r="U1121" s="10" t="s">
        <v>1575</v>
      </c>
      <c r="V1121" s="10" t="s">
        <v>1575</v>
      </c>
      <c r="W1121" s="10" t="s">
        <v>1575</v>
      </c>
      <c r="X1121" s="10" t="str">
        <f t="shared" ref="X1121:X1122" si="1007">IFERROR(V1121+W1121,"NA")</f>
        <v>NA</v>
      </c>
      <c r="Y1121" s="10" t="str">
        <f t="shared" ref="Y1121:Y1122" si="1008">IFERROR(P1121/R1121,"NA")</f>
        <v>NA</v>
      </c>
      <c r="Z1121" s="10" t="str">
        <f t="shared" ref="Z1121:Z1122" si="1009">IFERROR(P1121/U1121,"NA")</f>
        <v>NA</v>
      </c>
      <c r="AA1121" s="10" t="str">
        <f t="shared" ref="AA1121:AA1122" si="1010">IFERROR(P1121/V1121,"NA")</f>
        <v>NA</v>
      </c>
      <c r="AB1121" s="10" t="str">
        <f t="shared" ref="AB1121:AB1122" si="1011">IFERROR(Q1121/R1121,"NA")</f>
        <v>NA</v>
      </c>
      <c r="AC1121" s="10" t="str">
        <f t="shared" ref="AC1121:AC1122" si="1012">IFERROR(Q1121/S1121,"NA")</f>
        <v>NA</v>
      </c>
      <c r="AD1121" s="10" t="str">
        <f t="shared" ref="AD1121:AD1122" si="1013">IFERROR(Q1121/T1121,"NA")</f>
        <v>NA</v>
      </c>
      <c r="AE1121" s="10" t="str">
        <f t="shared" ref="AE1121:AE1122" si="1014">IFERROR(Q1121/X1121,"NA")</f>
        <v>NA</v>
      </c>
      <c r="AF1121" s="1" t="s">
        <v>4508</v>
      </c>
    </row>
    <row r="1122" spans="1:32" x14ac:dyDescent="0.2">
      <c r="A1122" s="1" t="s">
        <v>4528</v>
      </c>
      <c r="B1122" s="1" t="s">
        <v>1575</v>
      </c>
      <c r="C1122" s="1" t="s">
        <v>1575</v>
      </c>
      <c r="D1122" s="1" t="s">
        <v>1575</v>
      </c>
      <c r="E1122" s="1" t="s">
        <v>1575</v>
      </c>
      <c r="F1122" s="1" t="s">
        <v>1575</v>
      </c>
      <c r="G1122" s="4" t="s">
        <v>1575</v>
      </c>
      <c r="H1122" s="28">
        <v>39629</v>
      </c>
      <c r="I1122" s="29">
        <f t="shared" si="985"/>
        <v>2008</v>
      </c>
      <c r="J1122" s="1" t="s">
        <v>7</v>
      </c>
      <c r="K1122" s="1" t="s">
        <v>5851</v>
      </c>
      <c r="L1122" s="11" t="str">
        <f t="shared" si="1006"/>
        <v>НЕТ</v>
      </c>
      <c r="M1122" s="10">
        <v>18</v>
      </c>
      <c r="N1122" s="10">
        <v>12</v>
      </c>
      <c r="O1122" s="10">
        <f>M1122*23.4573/1000</f>
        <v>0.42223140000000003</v>
      </c>
      <c r="P1122" s="10" t="str">
        <f t="shared" si="913"/>
        <v>NA</v>
      </c>
      <c r="Q1122" s="10" t="str">
        <f t="shared" si="914"/>
        <v>NA</v>
      </c>
      <c r="R1122" s="10" t="s">
        <v>1575</v>
      </c>
      <c r="S1122" s="10" t="s">
        <v>1575</v>
      </c>
      <c r="T1122" s="10" t="s">
        <v>1575</v>
      </c>
      <c r="U1122" s="10" t="s">
        <v>1575</v>
      </c>
      <c r="V1122" s="10" t="s">
        <v>1575</v>
      </c>
      <c r="W1122" s="10" t="s">
        <v>1575</v>
      </c>
      <c r="X1122" s="10" t="str">
        <f t="shared" si="1007"/>
        <v>NA</v>
      </c>
      <c r="Y1122" s="10" t="str">
        <f t="shared" si="1008"/>
        <v>NA</v>
      </c>
      <c r="Z1122" s="10" t="str">
        <f t="shared" si="1009"/>
        <v>NA</v>
      </c>
      <c r="AA1122" s="10" t="str">
        <f t="shared" si="1010"/>
        <v>NA</v>
      </c>
      <c r="AB1122" s="10" t="str">
        <f t="shared" si="1011"/>
        <v>NA</v>
      </c>
      <c r="AC1122" s="10" t="str">
        <f t="shared" si="1012"/>
        <v>NA</v>
      </c>
      <c r="AD1122" s="10" t="str">
        <f t="shared" si="1013"/>
        <v>NA</v>
      </c>
      <c r="AE1122" s="10" t="str">
        <f t="shared" si="1014"/>
        <v>NA</v>
      </c>
      <c r="AF1122" s="1" t="s">
        <v>4509</v>
      </c>
    </row>
    <row r="1123" spans="1:32" x14ac:dyDescent="0.2">
      <c r="A1123" s="1" t="s">
        <v>4529</v>
      </c>
      <c r="B1123" s="1" t="s">
        <v>5</v>
      </c>
      <c r="C1123" s="1" t="s">
        <v>1575</v>
      </c>
      <c r="D1123" s="1" t="s">
        <v>1575</v>
      </c>
      <c r="E1123" s="1" t="s">
        <v>1575</v>
      </c>
      <c r="F1123" s="1" t="s">
        <v>1575</v>
      </c>
      <c r="G1123" s="4">
        <v>0.59399999999999997</v>
      </c>
      <c r="H1123" s="28">
        <v>39813</v>
      </c>
      <c r="I1123" s="29">
        <f t="shared" si="985"/>
        <v>2008</v>
      </c>
      <c r="J1123" s="1" t="s">
        <v>7</v>
      </c>
      <c r="K1123" s="1" t="s">
        <v>5851</v>
      </c>
      <c r="L1123" s="11" t="str">
        <f t="shared" si="1006"/>
        <v>НЕТ</v>
      </c>
      <c r="M1123" s="10">
        <v>2.7</v>
      </c>
      <c r="N1123" s="10" t="s">
        <v>1575</v>
      </c>
      <c r="O1123" s="10">
        <v>7.5899999999999995E-2</v>
      </c>
      <c r="P1123" s="10">
        <f t="shared" si="913"/>
        <v>0.12777777777777777</v>
      </c>
      <c r="Q1123" s="10" t="str">
        <f t="shared" si="914"/>
        <v>NA</v>
      </c>
      <c r="R1123" s="10" t="s">
        <v>1575</v>
      </c>
      <c r="S1123" s="10" t="s">
        <v>1575</v>
      </c>
      <c r="T1123" s="10" t="s">
        <v>1575</v>
      </c>
      <c r="U1123" s="10" t="s">
        <v>1575</v>
      </c>
      <c r="V1123" s="10" t="s">
        <v>1575</v>
      </c>
      <c r="W1123" s="10" t="s">
        <v>1575</v>
      </c>
      <c r="X1123" s="10" t="str">
        <f t="shared" ref="X1123:X1124" si="1015">IFERROR(V1123+W1123,"NA")</f>
        <v>NA</v>
      </c>
      <c r="Y1123" s="10" t="str">
        <f t="shared" ref="Y1123:Y1124" si="1016">IFERROR(P1123/R1123,"NA")</f>
        <v>NA</v>
      </c>
      <c r="Z1123" s="10" t="str">
        <f t="shared" ref="Z1123:Z1124" si="1017">IFERROR(P1123/U1123,"NA")</f>
        <v>NA</v>
      </c>
      <c r="AA1123" s="10" t="str">
        <f t="shared" ref="AA1123:AA1124" si="1018">IFERROR(P1123/V1123,"NA")</f>
        <v>NA</v>
      </c>
      <c r="AB1123" s="10" t="str">
        <f t="shared" ref="AB1123:AB1124" si="1019">IFERROR(Q1123/R1123,"NA")</f>
        <v>NA</v>
      </c>
      <c r="AC1123" s="10" t="str">
        <f t="shared" ref="AC1123:AC1124" si="1020">IFERROR(Q1123/S1123,"NA")</f>
        <v>NA</v>
      </c>
      <c r="AD1123" s="10" t="str">
        <f t="shared" ref="AD1123:AD1124" si="1021">IFERROR(Q1123/T1123,"NA")</f>
        <v>NA</v>
      </c>
      <c r="AE1123" s="10" t="str">
        <f t="shared" ref="AE1123:AE1124" si="1022">IFERROR(Q1123/X1123,"NA")</f>
        <v>NA</v>
      </c>
      <c r="AF1123" s="1" t="s">
        <v>4511</v>
      </c>
    </row>
    <row r="1124" spans="1:32" x14ac:dyDescent="0.2">
      <c r="A1124" s="1" t="s">
        <v>4531</v>
      </c>
      <c r="B1124" s="1" t="s">
        <v>3883</v>
      </c>
      <c r="C1124" s="1" t="s">
        <v>1575</v>
      </c>
      <c r="D1124" s="1" t="s">
        <v>1600</v>
      </c>
      <c r="E1124" s="1" t="s">
        <v>1653</v>
      </c>
      <c r="F1124" s="1" t="s">
        <v>101</v>
      </c>
      <c r="G1124" s="4">
        <v>0.13700000000000001</v>
      </c>
      <c r="H1124" s="28">
        <v>39478</v>
      </c>
      <c r="I1124" s="29">
        <f t="shared" si="985"/>
        <v>2008</v>
      </c>
      <c r="J1124" s="1" t="s">
        <v>5851</v>
      </c>
      <c r="K1124" s="1" t="s">
        <v>7</v>
      </c>
      <c r="L1124" s="11" t="str">
        <f t="shared" si="1006"/>
        <v>НЕТ</v>
      </c>
      <c r="M1124" s="10">
        <v>44</v>
      </c>
      <c r="N1124" s="10" t="s">
        <v>1575</v>
      </c>
      <c r="O1124" s="10">
        <f>M1124*24.4764/1000</f>
        <v>1.0769616000000002</v>
      </c>
      <c r="P1124" s="10">
        <f t="shared" si="913"/>
        <v>7.8610335766423365</v>
      </c>
      <c r="Q1124" s="10" t="str">
        <f t="shared" si="914"/>
        <v>NA</v>
      </c>
      <c r="R1124" s="10" t="s">
        <v>1575</v>
      </c>
      <c r="S1124" s="10" t="s">
        <v>1575</v>
      </c>
      <c r="T1124" s="10" t="s">
        <v>1575</v>
      </c>
      <c r="U1124" s="10" t="s">
        <v>1575</v>
      </c>
      <c r="V1124" s="10" t="s">
        <v>1575</v>
      </c>
      <c r="W1124" s="10" t="s">
        <v>1575</v>
      </c>
      <c r="X1124" s="10" t="str">
        <f t="shared" si="1015"/>
        <v>NA</v>
      </c>
      <c r="Y1124" s="10" t="str">
        <f t="shared" si="1016"/>
        <v>NA</v>
      </c>
      <c r="Z1124" s="10" t="str">
        <f t="shared" si="1017"/>
        <v>NA</v>
      </c>
      <c r="AA1124" s="10" t="str">
        <f t="shared" si="1018"/>
        <v>NA</v>
      </c>
      <c r="AB1124" s="10" t="str">
        <f t="shared" si="1019"/>
        <v>NA</v>
      </c>
      <c r="AC1124" s="10" t="str">
        <f t="shared" si="1020"/>
        <v>NA</v>
      </c>
      <c r="AD1124" s="10" t="str">
        <f t="shared" si="1021"/>
        <v>NA</v>
      </c>
      <c r="AE1124" s="10" t="str">
        <f t="shared" si="1022"/>
        <v>NA</v>
      </c>
      <c r="AF1124" s="1" t="s">
        <v>4530</v>
      </c>
    </row>
    <row r="1125" spans="1:32" x14ac:dyDescent="0.2">
      <c r="A1125" s="1" t="s">
        <v>4532</v>
      </c>
      <c r="B1125" s="1" t="s">
        <v>75</v>
      </c>
      <c r="C1125" s="1" t="s">
        <v>1575</v>
      </c>
      <c r="D1125" s="1" t="s">
        <v>1600</v>
      </c>
      <c r="E1125" s="1" t="s">
        <v>2050</v>
      </c>
      <c r="F1125" s="1" t="s">
        <v>120</v>
      </c>
      <c r="G1125" s="4" t="s">
        <v>1575</v>
      </c>
      <c r="H1125" s="28">
        <v>39568</v>
      </c>
      <c r="I1125" s="29">
        <f t="shared" si="985"/>
        <v>2008</v>
      </c>
      <c r="J1125" s="1" t="s">
        <v>5851</v>
      </c>
      <c r="K1125" s="1" t="s">
        <v>7</v>
      </c>
      <c r="L1125" s="11" t="str">
        <f t="shared" ref="L1125:L1127" si="1023">IF(OR(A1125=J1125,A1125=K1125),"ДА","НЕТ")</f>
        <v>НЕТ</v>
      </c>
      <c r="M1125" s="10">
        <v>40</v>
      </c>
      <c r="N1125" s="10" t="s">
        <v>1575</v>
      </c>
      <c r="O1125" s="10">
        <f>M1125*23.6471/1000</f>
        <v>0.94588399999999995</v>
      </c>
      <c r="P1125" s="10" t="str">
        <f t="shared" si="913"/>
        <v>NA</v>
      </c>
      <c r="Q1125" s="10" t="str">
        <f t="shared" si="914"/>
        <v>NA</v>
      </c>
      <c r="R1125" s="10" t="s">
        <v>1575</v>
      </c>
      <c r="S1125" s="10" t="s">
        <v>1575</v>
      </c>
      <c r="T1125" s="10" t="s">
        <v>1575</v>
      </c>
      <c r="U1125" s="10" t="s">
        <v>1575</v>
      </c>
      <c r="V1125" s="10" t="s">
        <v>1575</v>
      </c>
      <c r="W1125" s="10" t="s">
        <v>1575</v>
      </c>
      <c r="X1125" s="10" t="str">
        <f t="shared" ref="X1125:X1127" si="1024">IFERROR(V1125+W1125,"NA")</f>
        <v>NA</v>
      </c>
      <c r="Y1125" s="10" t="str">
        <f t="shared" ref="Y1125:Y1127" si="1025">IFERROR(P1125/R1125,"NA")</f>
        <v>NA</v>
      </c>
      <c r="Z1125" s="10" t="str">
        <f t="shared" ref="Z1125:Z1127" si="1026">IFERROR(P1125/U1125,"NA")</f>
        <v>NA</v>
      </c>
      <c r="AA1125" s="10" t="str">
        <f t="shared" ref="AA1125:AA1127" si="1027">IFERROR(P1125/V1125,"NA")</f>
        <v>NA</v>
      </c>
      <c r="AB1125" s="10" t="str">
        <f t="shared" ref="AB1125:AB1127" si="1028">IFERROR(Q1125/R1125,"NA")</f>
        <v>NA</v>
      </c>
      <c r="AC1125" s="10" t="str">
        <f t="shared" ref="AC1125:AC1127" si="1029">IFERROR(Q1125/S1125,"NA")</f>
        <v>NA</v>
      </c>
      <c r="AD1125" s="10" t="str">
        <f t="shared" ref="AD1125:AD1127" si="1030">IFERROR(Q1125/T1125,"NA")</f>
        <v>NA</v>
      </c>
      <c r="AE1125" s="10" t="str">
        <f t="shared" ref="AE1125:AE1127" si="1031">IFERROR(Q1125/X1125,"NA")</f>
        <v>NA</v>
      </c>
      <c r="AF1125" s="1" t="s">
        <v>4513</v>
      </c>
    </row>
    <row r="1126" spans="1:32" x14ac:dyDescent="0.2">
      <c r="A1126" s="1" t="s">
        <v>102</v>
      </c>
      <c r="B1126" s="1" t="s">
        <v>75</v>
      </c>
      <c r="C1126" s="1" t="s">
        <v>1575</v>
      </c>
      <c r="D1126" s="1" t="s">
        <v>1600</v>
      </c>
      <c r="E1126" s="1" t="s">
        <v>2050</v>
      </c>
      <c r="F1126" s="1" t="s">
        <v>120</v>
      </c>
      <c r="G1126" s="4">
        <v>4.1000000000000002E-2</v>
      </c>
      <c r="H1126" s="28">
        <v>39691</v>
      </c>
      <c r="I1126" s="29">
        <f t="shared" si="985"/>
        <v>2008</v>
      </c>
      <c r="J1126" s="1" t="s">
        <v>5851</v>
      </c>
      <c r="K1126" s="1" t="s">
        <v>7</v>
      </c>
      <c r="L1126" s="11" t="str">
        <f t="shared" si="1023"/>
        <v>НЕТ</v>
      </c>
      <c r="M1126" s="10">
        <v>16</v>
      </c>
      <c r="N1126" s="10" t="s">
        <v>1575</v>
      </c>
      <c r="O1126" s="10">
        <f>M1126*24.5769/1000</f>
        <v>0.39323039999999998</v>
      </c>
      <c r="P1126" s="10">
        <f t="shared" si="913"/>
        <v>9.5909853658536584</v>
      </c>
      <c r="Q1126" s="10" t="str">
        <f t="shared" si="914"/>
        <v>NA</v>
      </c>
      <c r="R1126" s="10" t="s">
        <v>1575</v>
      </c>
      <c r="S1126" s="10" t="s">
        <v>1575</v>
      </c>
      <c r="T1126" s="10" t="s">
        <v>1575</v>
      </c>
      <c r="U1126" s="10" t="s">
        <v>1575</v>
      </c>
      <c r="V1126" s="10" t="s">
        <v>1575</v>
      </c>
      <c r="W1126" s="10" t="s">
        <v>1575</v>
      </c>
      <c r="X1126" s="10" t="str">
        <f t="shared" si="1024"/>
        <v>NA</v>
      </c>
      <c r="Y1126" s="10" t="str">
        <f t="shared" si="1025"/>
        <v>NA</v>
      </c>
      <c r="Z1126" s="10" t="str">
        <f t="shared" si="1026"/>
        <v>NA</v>
      </c>
      <c r="AA1126" s="10" t="str">
        <f t="shared" si="1027"/>
        <v>NA</v>
      </c>
      <c r="AB1126" s="10" t="str">
        <f t="shared" si="1028"/>
        <v>NA</v>
      </c>
      <c r="AC1126" s="10" t="str">
        <f t="shared" si="1029"/>
        <v>NA</v>
      </c>
      <c r="AD1126" s="10" t="str">
        <f t="shared" si="1030"/>
        <v>NA</v>
      </c>
      <c r="AE1126" s="10" t="str">
        <f t="shared" si="1031"/>
        <v>NA</v>
      </c>
      <c r="AF1126" s="1" t="s">
        <v>4512</v>
      </c>
    </row>
    <row r="1127" spans="1:32" x14ac:dyDescent="0.2">
      <c r="A1127" s="5" t="s">
        <v>5857</v>
      </c>
      <c r="B1127" s="1" t="s">
        <v>5</v>
      </c>
      <c r="C1127" s="1" t="s">
        <v>1575</v>
      </c>
      <c r="D1127" s="1" t="s">
        <v>1600</v>
      </c>
      <c r="E1127" s="1" t="s">
        <v>1659</v>
      </c>
      <c r="F1127" s="1" t="s">
        <v>76</v>
      </c>
      <c r="G1127" s="4">
        <v>8.9999999999999993E-3</v>
      </c>
      <c r="H1127" s="28">
        <v>39721</v>
      </c>
      <c r="I1127" s="29">
        <f t="shared" si="985"/>
        <v>2008</v>
      </c>
      <c r="J1127" s="1" t="s">
        <v>5851</v>
      </c>
      <c r="K1127" s="1" t="s">
        <v>7</v>
      </c>
      <c r="L1127" s="11" t="str">
        <f t="shared" si="1023"/>
        <v>НЕТ</v>
      </c>
      <c r="M1127" s="10">
        <v>5.3</v>
      </c>
      <c r="N1127" s="10" t="s">
        <v>1575</v>
      </c>
      <c r="O1127" s="10">
        <f>M1127*25.2464/1000</f>
        <v>0.13380592000000002</v>
      </c>
      <c r="P1127" s="10">
        <f t="shared" si="913"/>
        <v>14.867324444444447</v>
      </c>
      <c r="Q1127" s="10" t="str">
        <f t="shared" si="914"/>
        <v>NA</v>
      </c>
      <c r="R1127" s="10" t="s">
        <v>1575</v>
      </c>
      <c r="S1127" s="10" t="s">
        <v>1575</v>
      </c>
      <c r="T1127" s="10" t="s">
        <v>1575</v>
      </c>
      <c r="U1127" s="10" t="s">
        <v>1575</v>
      </c>
      <c r="V1127" s="10" t="s">
        <v>1575</v>
      </c>
      <c r="W1127" s="10" t="s">
        <v>1575</v>
      </c>
      <c r="X1127" s="10" t="str">
        <f t="shared" si="1024"/>
        <v>NA</v>
      </c>
      <c r="Y1127" s="10" t="str">
        <f t="shared" si="1025"/>
        <v>NA</v>
      </c>
      <c r="Z1127" s="10" t="str">
        <f t="shared" si="1026"/>
        <v>NA</v>
      </c>
      <c r="AA1127" s="10" t="str">
        <f t="shared" si="1027"/>
        <v>NA</v>
      </c>
      <c r="AB1127" s="10" t="str">
        <f t="shared" si="1028"/>
        <v>NA</v>
      </c>
      <c r="AC1127" s="10" t="str">
        <f t="shared" si="1029"/>
        <v>NA</v>
      </c>
      <c r="AD1127" s="10" t="str">
        <f t="shared" si="1030"/>
        <v>NA</v>
      </c>
      <c r="AE1127" s="10" t="str">
        <f t="shared" si="1031"/>
        <v>NA</v>
      </c>
      <c r="AF1127" s="1" t="s">
        <v>4514</v>
      </c>
    </row>
    <row r="1128" spans="1:32" x14ac:dyDescent="0.2">
      <c r="A1128" s="1" t="s">
        <v>5860</v>
      </c>
      <c r="B1128" s="1" t="s">
        <v>5</v>
      </c>
      <c r="C1128" s="1" t="s">
        <v>1575</v>
      </c>
      <c r="D1128" s="1" t="s">
        <v>1600</v>
      </c>
      <c r="E1128" s="1" t="s">
        <v>2050</v>
      </c>
      <c r="F1128" s="1" t="s">
        <v>120</v>
      </c>
      <c r="G1128" s="4">
        <v>1</v>
      </c>
      <c r="H1128" s="28">
        <v>44594</v>
      </c>
      <c r="I1128" s="29">
        <f t="shared" si="985"/>
        <v>2022</v>
      </c>
      <c r="J1128" s="1" t="s">
        <v>1236</v>
      </c>
      <c r="K1128" s="1" t="s">
        <v>5861</v>
      </c>
      <c r="L1128" s="11" t="str">
        <f t="shared" si="912"/>
        <v>НЕТ</v>
      </c>
      <c r="M1128" s="10" t="s">
        <v>1575</v>
      </c>
      <c r="N1128" s="10" t="s">
        <v>1575</v>
      </c>
      <c r="O1128" s="10" t="s">
        <v>1575</v>
      </c>
      <c r="P1128" s="10" t="str">
        <f t="shared" si="913"/>
        <v>NA</v>
      </c>
      <c r="Q1128" s="10" t="str">
        <f t="shared" si="914"/>
        <v>NA</v>
      </c>
      <c r="R1128" s="10" t="s">
        <v>1575</v>
      </c>
      <c r="S1128" s="10" t="s">
        <v>1575</v>
      </c>
      <c r="T1128" s="10" t="s">
        <v>1575</v>
      </c>
      <c r="U1128" s="10" t="s">
        <v>1575</v>
      </c>
      <c r="V1128" s="10">
        <f>66.653-31.349</f>
        <v>35.304000000000002</v>
      </c>
      <c r="W1128" s="10">
        <f>0.767+1.965+1.746-9.978-2</f>
        <v>-7.5</v>
      </c>
      <c r="X1128" s="10">
        <f t="shared" si="925"/>
        <v>27.804000000000002</v>
      </c>
      <c r="Y1128" s="10" t="str">
        <f t="shared" si="926"/>
        <v>NA</v>
      </c>
      <c r="Z1128" s="10" t="str">
        <f t="shared" si="927"/>
        <v>NA</v>
      </c>
      <c r="AA1128" s="10" t="str">
        <f t="shared" si="928"/>
        <v>NA</v>
      </c>
      <c r="AB1128" s="10" t="str">
        <f t="shared" si="929"/>
        <v>NA</v>
      </c>
      <c r="AC1128" s="10" t="str">
        <f t="shared" si="930"/>
        <v>NA</v>
      </c>
      <c r="AD1128" s="10" t="str">
        <f t="shared" si="931"/>
        <v>NA</v>
      </c>
      <c r="AE1128" s="10" t="str">
        <f t="shared" si="932"/>
        <v>NA</v>
      </c>
      <c r="AF1128" s="1" t="s">
        <v>1235</v>
      </c>
    </row>
    <row r="1129" spans="1:32" x14ac:dyDescent="0.2">
      <c r="A1129" s="1" t="s">
        <v>5862</v>
      </c>
      <c r="B1129" s="1" t="s">
        <v>5</v>
      </c>
      <c r="C1129" s="1" t="s">
        <v>1575</v>
      </c>
      <c r="D1129" s="1" t="s">
        <v>1584</v>
      </c>
      <c r="E1129" s="1" t="s">
        <v>1586</v>
      </c>
      <c r="F1129" s="1" t="s">
        <v>913</v>
      </c>
      <c r="G1129" s="4">
        <v>1</v>
      </c>
      <c r="H1129" s="28">
        <v>44313</v>
      </c>
      <c r="I1129" s="29">
        <f t="shared" si="882"/>
        <v>2021</v>
      </c>
      <c r="J1129" s="1" t="s">
        <v>5861</v>
      </c>
      <c r="K1129" s="1" t="s">
        <v>7</v>
      </c>
      <c r="L1129" s="11" t="str">
        <f t="shared" si="912"/>
        <v>НЕТ</v>
      </c>
      <c r="M1129" s="10" t="s">
        <v>1575</v>
      </c>
      <c r="N1129" s="10" t="s">
        <v>1575</v>
      </c>
      <c r="O1129" s="10">
        <v>0.501</v>
      </c>
      <c r="P1129" s="10">
        <f t="shared" si="913"/>
        <v>0.501</v>
      </c>
      <c r="Q1129" s="10" t="str">
        <f t="shared" si="914"/>
        <v>NA</v>
      </c>
      <c r="R1129" s="10" t="s">
        <v>1575</v>
      </c>
      <c r="S1129" s="10" t="s">
        <v>1575</v>
      </c>
      <c r="T1129" s="10" t="s">
        <v>1575</v>
      </c>
      <c r="U1129" s="10" t="s">
        <v>1575</v>
      </c>
      <c r="V1129" s="10" t="s">
        <v>1575</v>
      </c>
      <c r="W1129" s="10" t="s">
        <v>1575</v>
      </c>
      <c r="X1129" s="10" t="str">
        <f t="shared" si="925"/>
        <v>NA</v>
      </c>
      <c r="Y1129" s="10" t="str">
        <f t="shared" si="926"/>
        <v>NA</v>
      </c>
      <c r="Z1129" s="10" t="str">
        <f t="shared" si="927"/>
        <v>NA</v>
      </c>
      <c r="AA1129" s="10" t="str">
        <f t="shared" si="928"/>
        <v>NA</v>
      </c>
      <c r="AB1129" s="10" t="str">
        <f t="shared" si="929"/>
        <v>NA</v>
      </c>
      <c r="AC1129" s="10" t="str">
        <f t="shared" si="930"/>
        <v>NA</v>
      </c>
      <c r="AD1129" s="10" t="str">
        <f t="shared" si="931"/>
        <v>NA</v>
      </c>
      <c r="AE1129" s="10" t="str">
        <f t="shared" si="932"/>
        <v>NA</v>
      </c>
      <c r="AF1129" s="1" t="s">
        <v>1234</v>
      </c>
    </row>
    <row r="1130" spans="1:32" x14ac:dyDescent="0.2">
      <c r="A1130" s="1" t="s">
        <v>5863</v>
      </c>
      <c r="B1130" s="1" t="s">
        <v>5</v>
      </c>
      <c r="C1130" s="1" t="s">
        <v>1575</v>
      </c>
      <c r="D1130" s="1" t="s">
        <v>1584</v>
      </c>
      <c r="E1130" s="1" t="s">
        <v>1586</v>
      </c>
      <c r="F1130" s="1" t="s">
        <v>1233</v>
      </c>
      <c r="G1130" s="4">
        <v>1</v>
      </c>
      <c r="H1130" s="28">
        <v>44371</v>
      </c>
      <c r="I1130" s="29">
        <f t="shared" si="882"/>
        <v>2021</v>
      </c>
      <c r="J1130" s="1" t="s">
        <v>5861</v>
      </c>
      <c r="K1130" s="1" t="s">
        <v>7</v>
      </c>
      <c r="L1130" s="11" t="str">
        <f t="shared" si="912"/>
        <v>НЕТ</v>
      </c>
      <c r="M1130" s="10" t="s">
        <v>1575</v>
      </c>
      <c r="N1130" s="10" t="s">
        <v>1575</v>
      </c>
      <c r="O1130" s="10">
        <v>3.8</v>
      </c>
      <c r="P1130" s="10">
        <f t="shared" si="913"/>
        <v>3.8</v>
      </c>
      <c r="Q1130" s="10" t="str">
        <f t="shared" si="914"/>
        <v>NA</v>
      </c>
      <c r="R1130" s="10" t="s">
        <v>1575</v>
      </c>
      <c r="S1130" s="10" t="s">
        <v>1575</v>
      </c>
      <c r="T1130" s="10" t="s">
        <v>1575</v>
      </c>
      <c r="U1130" s="10" t="s">
        <v>1575</v>
      </c>
      <c r="V1130" s="10">
        <f>0.049+0.218+0.021+5.861+2.228+0.269-4.846</f>
        <v>3.8000000000000007</v>
      </c>
      <c r="W1130" s="10" t="s">
        <v>1575</v>
      </c>
      <c r="X1130" s="10" t="str">
        <f t="shared" si="925"/>
        <v>NA</v>
      </c>
      <c r="Y1130" s="10" t="str">
        <f t="shared" si="926"/>
        <v>NA</v>
      </c>
      <c r="Z1130" s="10" t="str">
        <f t="shared" si="927"/>
        <v>NA</v>
      </c>
      <c r="AA1130" s="10">
        <f t="shared" si="928"/>
        <v>0.99999999999999978</v>
      </c>
      <c r="AB1130" s="10" t="str">
        <f t="shared" si="929"/>
        <v>NA</v>
      </c>
      <c r="AC1130" s="10" t="str">
        <f t="shared" si="930"/>
        <v>NA</v>
      </c>
      <c r="AD1130" s="10" t="str">
        <f t="shared" si="931"/>
        <v>NA</v>
      </c>
      <c r="AE1130" s="10" t="str">
        <f t="shared" si="932"/>
        <v>NA</v>
      </c>
      <c r="AF1130" s="1" t="s">
        <v>1232</v>
      </c>
    </row>
    <row r="1131" spans="1:32" x14ac:dyDescent="0.2">
      <c r="A1131" s="1" t="s">
        <v>5864</v>
      </c>
      <c r="B1131" s="1" t="s">
        <v>5</v>
      </c>
      <c r="C1131" s="1" t="s">
        <v>1575</v>
      </c>
      <c r="D1131" s="1" t="s">
        <v>1584</v>
      </c>
      <c r="E1131" s="1" t="s">
        <v>3496</v>
      </c>
      <c r="F1131" s="1" t="s">
        <v>4534</v>
      </c>
      <c r="G1131" s="4">
        <v>0.17899999999999999</v>
      </c>
      <c r="H1131" s="28">
        <v>44561</v>
      </c>
      <c r="I1131" s="29">
        <f t="shared" ref="I1131" si="1032">YEAR(H1131)</f>
        <v>2021</v>
      </c>
      <c r="J1131" s="1" t="s">
        <v>7</v>
      </c>
      <c r="K1131" s="1" t="s">
        <v>5861</v>
      </c>
      <c r="L1131" s="11" t="str">
        <f t="shared" ref="L1131" si="1033">IF(OR(A1131=J1131,A1131=K1131),"ДА","НЕТ")</f>
        <v>НЕТ</v>
      </c>
      <c r="M1131" s="10" t="s">
        <v>1575</v>
      </c>
      <c r="N1131" s="10" t="s">
        <v>1575</v>
      </c>
      <c r="O1131" s="10">
        <v>5.71</v>
      </c>
      <c r="P1131" s="10">
        <f t="shared" si="913"/>
        <v>31.899441340782126</v>
      </c>
      <c r="Q1131" s="10" t="str">
        <f t="shared" si="914"/>
        <v>NA</v>
      </c>
      <c r="R1131" s="10" t="s">
        <v>1575</v>
      </c>
      <c r="S1131" s="10" t="s">
        <v>1575</v>
      </c>
      <c r="T1131" s="10" t="s">
        <v>1575</v>
      </c>
      <c r="U1131" s="10" t="s">
        <v>1575</v>
      </c>
      <c r="V1131" s="10" t="s">
        <v>1575</v>
      </c>
      <c r="W1131" s="10" t="s">
        <v>1575</v>
      </c>
      <c r="X1131" s="10" t="str">
        <f t="shared" ref="X1131" si="1034">IFERROR(V1131+W1131,"NA")</f>
        <v>NA</v>
      </c>
      <c r="Y1131" s="10" t="str">
        <f t="shared" ref="Y1131" si="1035">IFERROR(P1131/R1131,"NA")</f>
        <v>NA</v>
      </c>
      <c r="Z1131" s="10" t="str">
        <f t="shared" ref="Z1131" si="1036">IFERROR(P1131/U1131,"NA")</f>
        <v>NA</v>
      </c>
      <c r="AA1131" s="10" t="str">
        <f t="shared" ref="AA1131" si="1037">IFERROR(P1131/V1131,"NA")</f>
        <v>NA</v>
      </c>
      <c r="AB1131" s="10" t="str">
        <f t="shared" ref="AB1131" si="1038">IFERROR(Q1131/R1131,"NA")</f>
        <v>NA</v>
      </c>
      <c r="AC1131" s="10" t="str">
        <f t="shared" ref="AC1131" si="1039">IFERROR(Q1131/S1131,"NA")</f>
        <v>NA</v>
      </c>
      <c r="AD1131" s="10" t="str">
        <f t="shared" ref="AD1131" si="1040">IFERROR(Q1131/T1131,"NA")</f>
        <v>NA</v>
      </c>
      <c r="AE1131" s="10" t="str">
        <f t="shared" ref="AE1131" si="1041">IFERROR(Q1131/X1131,"NA")</f>
        <v>NA</v>
      </c>
      <c r="AF1131" s="1" t="s">
        <v>4533</v>
      </c>
    </row>
    <row r="1132" spans="1:32" x14ac:dyDescent="0.2">
      <c r="A1132" s="1" t="s">
        <v>5865</v>
      </c>
      <c r="B1132" s="1" t="s">
        <v>5</v>
      </c>
      <c r="C1132" s="1" t="s">
        <v>1575</v>
      </c>
      <c r="D1132" s="1" t="s">
        <v>1600</v>
      </c>
      <c r="E1132" s="1" t="s">
        <v>7712</v>
      </c>
      <c r="F1132" s="1" t="s">
        <v>4536</v>
      </c>
      <c r="G1132" s="4">
        <v>0.16689999999999999</v>
      </c>
      <c r="H1132" s="28">
        <v>44561</v>
      </c>
      <c r="I1132" s="29">
        <f t="shared" ref="I1132:I1136" si="1042">YEAR(H1132)</f>
        <v>2021</v>
      </c>
      <c r="J1132" s="1" t="s">
        <v>7</v>
      </c>
      <c r="K1132" s="1" t="s">
        <v>5861</v>
      </c>
      <c r="L1132" s="11" t="str">
        <f t="shared" ref="L1132:L1136" si="1043">IF(OR(A1132=J1132,A1132=K1132),"ДА","НЕТ")</f>
        <v>НЕТ</v>
      </c>
      <c r="M1132" s="10" t="s">
        <v>1575</v>
      </c>
      <c r="N1132" s="10" t="s">
        <v>1575</v>
      </c>
      <c r="O1132" s="10">
        <v>22.824000000000002</v>
      </c>
      <c r="P1132" s="10">
        <f t="shared" si="913"/>
        <v>136.75254643499102</v>
      </c>
      <c r="Q1132" s="10" t="str">
        <f t="shared" si="914"/>
        <v>NA</v>
      </c>
      <c r="R1132" s="10" t="s">
        <v>1575</v>
      </c>
      <c r="S1132" s="10" t="s">
        <v>1575</v>
      </c>
      <c r="T1132" s="10" t="s">
        <v>1575</v>
      </c>
      <c r="U1132" s="10" t="s">
        <v>1575</v>
      </c>
      <c r="V1132" s="10" t="s">
        <v>1575</v>
      </c>
      <c r="W1132" s="10" t="s">
        <v>1575</v>
      </c>
      <c r="X1132" s="10" t="str">
        <f t="shared" ref="X1132:X1136" si="1044">IFERROR(V1132+W1132,"NA")</f>
        <v>NA</v>
      </c>
      <c r="Y1132" s="10" t="str">
        <f t="shared" ref="Y1132:Y1136" si="1045">IFERROR(P1132/R1132,"NA")</f>
        <v>NA</v>
      </c>
      <c r="Z1132" s="10" t="str">
        <f t="shared" ref="Z1132:Z1136" si="1046">IFERROR(P1132/U1132,"NA")</f>
        <v>NA</v>
      </c>
      <c r="AA1132" s="10" t="str">
        <f t="shared" ref="AA1132:AA1136" si="1047">IFERROR(P1132/V1132,"NA")</f>
        <v>NA</v>
      </c>
      <c r="AB1132" s="10" t="str">
        <f t="shared" ref="AB1132:AB1136" si="1048">IFERROR(Q1132/R1132,"NA")</f>
        <v>NA</v>
      </c>
      <c r="AC1132" s="10" t="str">
        <f t="shared" ref="AC1132:AC1136" si="1049">IFERROR(Q1132/S1132,"NA")</f>
        <v>NA</v>
      </c>
      <c r="AD1132" s="10" t="str">
        <f t="shared" ref="AD1132:AD1136" si="1050">IFERROR(Q1132/T1132,"NA")</f>
        <v>NA</v>
      </c>
      <c r="AE1132" s="10" t="str">
        <f t="shared" ref="AE1132:AE1136" si="1051">IFERROR(Q1132/X1132,"NA")</f>
        <v>NA</v>
      </c>
      <c r="AF1132" s="1" t="s">
        <v>4535</v>
      </c>
    </row>
    <row r="1133" spans="1:32" x14ac:dyDescent="0.2">
      <c r="A1133" s="1" t="s">
        <v>4540</v>
      </c>
      <c r="B1133" s="1" t="s">
        <v>94</v>
      </c>
      <c r="C1133" s="1" t="s">
        <v>4542</v>
      </c>
      <c r="D1133" s="1" t="s">
        <v>1600</v>
      </c>
      <c r="E1133" s="1" t="s">
        <v>3025</v>
      </c>
      <c r="F1133" s="1" t="s">
        <v>4541</v>
      </c>
      <c r="G1133" s="4">
        <f>18.5%-15%</f>
        <v>3.5000000000000003E-2</v>
      </c>
      <c r="H1133" s="28">
        <v>43100</v>
      </c>
      <c r="I1133" s="29">
        <f t="shared" si="1042"/>
        <v>2017</v>
      </c>
      <c r="J1133" s="1" t="s">
        <v>7</v>
      </c>
      <c r="K1133" s="1" t="s">
        <v>5861</v>
      </c>
      <c r="L1133" s="11" t="str">
        <f t="shared" ref="L1133" si="1052">IF(OR(A1133=J1133,A1133=K1133),"ДА","НЕТ")</f>
        <v>НЕТ</v>
      </c>
      <c r="M1133" s="10">
        <v>5.2930000000000001</v>
      </c>
      <c r="N1133" s="10" t="s">
        <v>1575</v>
      </c>
      <c r="O1133" s="10">
        <v>0.307</v>
      </c>
      <c r="P1133" s="10">
        <f t="shared" si="913"/>
        <v>8.7714285714285705</v>
      </c>
      <c r="Q1133" s="10" t="str">
        <f t="shared" si="914"/>
        <v>NA</v>
      </c>
      <c r="R1133" s="10">
        <v>0</v>
      </c>
      <c r="S1133" s="10" t="s">
        <v>1575</v>
      </c>
      <c r="T1133" s="10" t="s">
        <v>1575</v>
      </c>
      <c r="U1133" s="10">
        <v>-1.5169999999999999</v>
      </c>
      <c r="V1133" s="10">
        <f>22.713-5.794</f>
        <v>16.919</v>
      </c>
      <c r="W1133" s="10" t="s">
        <v>1575</v>
      </c>
      <c r="X1133" s="10" t="str">
        <f t="shared" ref="X1133" si="1053">IFERROR(V1133+W1133,"NA")</f>
        <v>NA</v>
      </c>
      <c r="Y1133" s="10" t="str">
        <f t="shared" ref="Y1133" si="1054">IFERROR(P1133/R1133,"NA")</f>
        <v>NA</v>
      </c>
      <c r="Z1133" s="10">
        <f t="shared" ref="Z1133" si="1055">IFERROR(P1133/U1133,"NA")</f>
        <v>-5.7820887089179767</v>
      </c>
      <c r="AA1133" s="10">
        <f t="shared" ref="AA1133" si="1056">IFERROR(P1133/V1133,"NA")</f>
        <v>0.51843658439792961</v>
      </c>
      <c r="AB1133" s="10" t="str">
        <f t="shared" ref="AB1133" si="1057">IFERROR(Q1133/R1133,"NA")</f>
        <v>NA</v>
      </c>
      <c r="AC1133" s="10" t="str">
        <f t="shared" ref="AC1133" si="1058">IFERROR(Q1133/S1133,"NA")</f>
        <v>NA</v>
      </c>
      <c r="AD1133" s="10" t="str">
        <f t="shared" ref="AD1133" si="1059">IFERROR(Q1133/T1133,"NA")</f>
        <v>NA</v>
      </c>
      <c r="AE1133" s="10" t="str">
        <f t="shared" ref="AE1133" si="1060">IFERROR(Q1133/X1133,"NA")</f>
        <v>NA</v>
      </c>
      <c r="AF1133" s="1" t="s">
        <v>4539</v>
      </c>
    </row>
    <row r="1134" spans="1:32" x14ac:dyDescent="0.2">
      <c r="A1134" s="1" t="s">
        <v>4544</v>
      </c>
      <c r="B1134" s="1" t="s">
        <v>91</v>
      </c>
      <c r="C1134" s="1" t="s">
        <v>1575</v>
      </c>
      <c r="D1134" s="1" t="s">
        <v>1600</v>
      </c>
      <c r="E1134" s="1" t="s">
        <v>1671</v>
      </c>
      <c r="F1134" s="1" t="s">
        <v>72</v>
      </c>
      <c r="G1134" s="4">
        <v>0.33</v>
      </c>
      <c r="H1134" s="28">
        <v>42369</v>
      </c>
      <c r="I1134" s="29">
        <f t="shared" ref="I1134" si="1061">YEAR(H1134)</f>
        <v>2015</v>
      </c>
      <c r="J1134" s="1" t="s">
        <v>7</v>
      </c>
      <c r="K1134" s="1" t="s">
        <v>5861</v>
      </c>
      <c r="L1134" s="11" t="str">
        <f t="shared" ref="L1134" si="1062">IF(OR(A1134=J1134,A1134=K1134),"ДА","НЕТ")</f>
        <v>НЕТ</v>
      </c>
      <c r="M1134" s="10">
        <v>1.9999999999999999E-6</v>
      </c>
      <c r="N1134" s="10" t="s">
        <v>1575</v>
      </c>
      <c r="O1134" s="10">
        <v>1.3899999999999999E-7</v>
      </c>
      <c r="P1134" s="10">
        <f t="shared" si="913"/>
        <v>4.2121212121212115E-7</v>
      </c>
      <c r="Q1134" s="10" t="str">
        <f t="shared" si="914"/>
        <v>NA</v>
      </c>
      <c r="R1134" s="10">
        <v>0</v>
      </c>
      <c r="S1134" s="10" t="s">
        <v>1575</v>
      </c>
      <c r="T1134" s="10" t="s">
        <v>1575</v>
      </c>
      <c r="U1134" s="10">
        <v>0.02</v>
      </c>
      <c r="V1134" s="10">
        <v>0.95699999999999996</v>
      </c>
      <c r="W1134" s="10" t="s">
        <v>1575</v>
      </c>
      <c r="X1134" s="10" t="str">
        <f t="shared" ref="X1134" si="1063">IFERROR(V1134+W1134,"NA")</f>
        <v>NA</v>
      </c>
      <c r="Y1134" s="10" t="str">
        <f t="shared" ref="Y1134" si="1064">IFERROR(P1134/R1134,"NA")</f>
        <v>NA</v>
      </c>
      <c r="Z1134" s="10">
        <f t="shared" ref="Z1134" si="1065">IFERROR(P1134/U1134,"NA")</f>
        <v>2.1060606060606057E-5</v>
      </c>
      <c r="AA1134" s="10">
        <f t="shared" ref="AA1134" si="1066">IFERROR(P1134/V1134,"NA")</f>
        <v>4.4013805769291659E-7</v>
      </c>
      <c r="AB1134" s="10" t="str">
        <f t="shared" ref="AB1134" si="1067">IFERROR(Q1134/R1134,"NA")</f>
        <v>NA</v>
      </c>
      <c r="AC1134" s="10" t="str">
        <f t="shared" ref="AC1134" si="1068">IFERROR(Q1134/S1134,"NA")</f>
        <v>NA</v>
      </c>
      <c r="AD1134" s="10" t="str">
        <f t="shared" ref="AD1134" si="1069">IFERROR(Q1134/T1134,"NA")</f>
        <v>NA</v>
      </c>
      <c r="AE1134" s="10" t="str">
        <f t="shared" ref="AE1134" si="1070">IFERROR(Q1134/X1134,"NA")</f>
        <v>NA</v>
      </c>
      <c r="AF1134" s="1" t="s">
        <v>4543</v>
      </c>
    </row>
    <row r="1135" spans="1:32" x14ac:dyDescent="0.2">
      <c r="A1135" s="1" t="s">
        <v>1308</v>
      </c>
      <c r="B1135" s="1" t="s">
        <v>5</v>
      </c>
      <c r="C1135" s="1" t="s">
        <v>1681</v>
      </c>
      <c r="D1135" s="1" t="s">
        <v>1600</v>
      </c>
      <c r="E1135" s="1" t="s">
        <v>3024</v>
      </c>
      <c r="F1135" s="1" t="s">
        <v>1309</v>
      </c>
      <c r="G1135" s="4">
        <v>1.7999999999999999E-2</v>
      </c>
      <c r="H1135" s="28">
        <v>43100</v>
      </c>
      <c r="I1135" s="29">
        <f t="shared" ref="I1135" si="1071">YEAR(H1135)</f>
        <v>2017</v>
      </c>
      <c r="J1135" s="1" t="s">
        <v>7</v>
      </c>
      <c r="K1135" s="1" t="s">
        <v>5861</v>
      </c>
      <c r="L1135" s="11" t="str">
        <f t="shared" si="1043"/>
        <v>НЕТ</v>
      </c>
      <c r="M1135" s="10">
        <v>411.08199999999999</v>
      </c>
      <c r="N1135" s="10" t="s">
        <v>1575</v>
      </c>
      <c r="O1135" s="10">
        <v>24.344999999999999</v>
      </c>
      <c r="P1135" s="10">
        <f t="shared" si="913"/>
        <v>1352.5</v>
      </c>
      <c r="Q1135" s="10">
        <f t="shared" si="914"/>
        <v>1889.6129999999998</v>
      </c>
      <c r="R1135" s="10">
        <v>536.75300000000004</v>
      </c>
      <c r="S1135" s="10">
        <v>223.18200000000002</v>
      </c>
      <c r="T1135" s="10">
        <v>185.59100000000001</v>
      </c>
      <c r="U1135" s="10">
        <v>127.366</v>
      </c>
      <c r="V1135" s="10">
        <v>268.27199999999999</v>
      </c>
      <c r="W1135" s="10">
        <v>537.11299999999994</v>
      </c>
      <c r="X1135" s="10">
        <f t="shared" si="1044"/>
        <v>805.38499999999999</v>
      </c>
      <c r="Y1135" s="10">
        <f t="shared" si="1045"/>
        <v>2.519780979333138</v>
      </c>
      <c r="Z1135" s="10">
        <f t="shared" si="1046"/>
        <v>10.619003501719455</v>
      </c>
      <c r="AA1135" s="10">
        <f t="shared" si="1047"/>
        <v>5.0415250193833128</v>
      </c>
      <c r="AB1135" s="10">
        <f t="shared" si="1048"/>
        <v>3.5204516788914075</v>
      </c>
      <c r="AC1135" s="10">
        <f t="shared" si="1049"/>
        <v>8.4666908621663026</v>
      </c>
      <c r="AD1135" s="10">
        <f t="shared" si="1050"/>
        <v>10.181598245604581</v>
      </c>
      <c r="AE1135" s="10">
        <f t="shared" si="1051"/>
        <v>2.3462232348504131</v>
      </c>
      <c r="AF1135" s="1" t="s">
        <v>4537</v>
      </c>
    </row>
    <row r="1136" spans="1:32" x14ac:dyDescent="0.2">
      <c r="A1136" s="1" t="s">
        <v>1308</v>
      </c>
      <c r="B1136" s="1" t="s">
        <v>5</v>
      </c>
      <c r="C1136" s="1" t="s">
        <v>1681</v>
      </c>
      <c r="D1136" s="1" t="s">
        <v>1600</v>
      </c>
      <c r="E1136" s="1" t="s">
        <v>3024</v>
      </c>
      <c r="F1136" s="1" t="s">
        <v>1309</v>
      </c>
      <c r="G1136" s="4">
        <f>1.8%*21181445/29012896</f>
        <v>1.3141260010720753E-2</v>
      </c>
      <c r="H1136" s="28">
        <v>42735</v>
      </c>
      <c r="I1136" s="29">
        <f t="shared" si="1042"/>
        <v>2016</v>
      </c>
      <c r="J1136" s="1" t="s">
        <v>7</v>
      </c>
      <c r="K1136" s="1" t="s">
        <v>5861</v>
      </c>
      <c r="L1136" s="11" t="str">
        <f t="shared" si="1043"/>
        <v>НЕТ</v>
      </c>
      <c r="M1136" s="10">
        <v>341.68799999999999</v>
      </c>
      <c r="N1136" s="10" t="s">
        <v>1575</v>
      </c>
      <c r="O1136" s="10">
        <v>21.986000000000001</v>
      </c>
      <c r="P1136" s="10">
        <f t="shared" si="913"/>
        <v>1673.0511368060318</v>
      </c>
      <c r="Q1136" s="10">
        <f t="shared" si="914"/>
        <v>2018.6381368060318</v>
      </c>
      <c r="R1136" s="10">
        <v>548.56399999999996</v>
      </c>
      <c r="S1136" s="10">
        <v>253.797</v>
      </c>
      <c r="T1136" s="10">
        <v>216.523</v>
      </c>
      <c r="U1136" s="10">
        <v>167.44399999999999</v>
      </c>
      <c r="V1136" s="10">
        <v>236.501</v>
      </c>
      <c r="W1136" s="10">
        <v>345.58699999999999</v>
      </c>
      <c r="X1136" s="10">
        <f t="shared" si="1044"/>
        <v>582.08799999999997</v>
      </c>
      <c r="Y1136" s="10">
        <f t="shared" si="1045"/>
        <v>3.0498741018477915</v>
      </c>
      <c r="Z1136" s="10">
        <f t="shared" si="1046"/>
        <v>9.9917055063545543</v>
      </c>
      <c r="AA1136" s="10">
        <f t="shared" si="1047"/>
        <v>7.0741820829765274</v>
      </c>
      <c r="AB1136" s="10">
        <f t="shared" si="1048"/>
        <v>3.6798589349757402</v>
      </c>
      <c r="AC1136" s="10">
        <f t="shared" si="1049"/>
        <v>7.9537509773796842</v>
      </c>
      <c r="AD1136" s="10">
        <f t="shared" si="1050"/>
        <v>9.3229732490591388</v>
      </c>
      <c r="AE1136" s="10">
        <f t="shared" si="1051"/>
        <v>3.4679260469311028</v>
      </c>
      <c r="AF1136" s="1" t="s">
        <v>4538</v>
      </c>
    </row>
    <row r="1137" spans="1:32" x14ac:dyDescent="0.2">
      <c r="A1137" s="1" t="s">
        <v>1308</v>
      </c>
      <c r="B1137" s="1" t="s">
        <v>5</v>
      </c>
      <c r="C1137" s="1" t="s">
        <v>1681</v>
      </c>
      <c r="D1137" s="1" t="s">
        <v>1600</v>
      </c>
      <c r="E1137" s="1" t="s">
        <v>3024</v>
      </c>
      <c r="F1137" s="1" t="s">
        <v>1309</v>
      </c>
      <c r="G1137" s="4">
        <f>1.8%*28926816/29012896</f>
        <v>1.7946594783230192E-2</v>
      </c>
      <c r="H1137" s="28">
        <v>42004</v>
      </c>
      <c r="I1137" s="29">
        <f t="shared" ref="I1137" si="1072">YEAR(H1137)</f>
        <v>2014</v>
      </c>
      <c r="J1137" s="1" t="s">
        <v>7</v>
      </c>
      <c r="K1137" s="1" t="s">
        <v>5861</v>
      </c>
      <c r="L1137" s="11" t="str">
        <f t="shared" ref="L1137" si="1073">IF(OR(A1137=J1137,A1137=K1137),"ДА","НЕТ")</f>
        <v>НЕТ</v>
      </c>
      <c r="M1137" s="10">
        <v>587.84299999999996</v>
      </c>
      <c r="N1137" s="10" t="s">
        <v>1575</v>
      </c>
      <c r="O1137" s="10">
        <v>20.524000000000001</v>
      </c>
      <c r="P1137" s="10">
        <f t="shared" si="913"/>
        <v>1143.615278993105</v>
      </c>
      <c r="Q1137" s="10">
        <f t="shared" si="914"/>
        <v>1353.3972789931049</v>
      </c>
      <c r="R1137" s="10">
        <v>456.01299999999998</v>
      </c>
      <c r="S1137" s="10">
        <v>213.22399999999999</v>
      </c>
      <c r="T1137" s="10">
        <v>182.339</v>
      </c>
      <c r="U1137" s="10">
        <v>93.4</v>
      </c>
      <c r="V1137" s="10">
        <v>269.64100000000002</v>
      </c>
      <c r="W1137" s="10">
        <v>209.78199999999998</v>
      </c>
      <c r="X1137" s="10">
        <f t="shared" ref="X1137" si="1074">IFERROR(V1137+W1137,"NA")</f>
        <v>479.423</v>
      </c>
      <c r="Y1137" s="10">
        <f t="shared" ref="Y1137" si="1075">IFERROR(P1137/R1137,"NA")</f>
        <v>2.5078567474898854</v>
      </c>
      <c r="Z1137" s="10">
        <f t="shared" ref="Z1137" si="1076">IFERROR(P1137/U1137,"NA")</f>
        <v>12.244274935686349</v>
      </c>
      <c r="AA1137" s="10">
        <f t="shared" ref="AA1137" si="1077">IFERROR(P1137/V1137,"NA")</f>
        <v>4.2412514379975779</v>
      </c>
      <c r="AB1137" s="10">
        <f t="shared" ref="AB1137" si="1078">IFERROR(Q1137/R1137,"NA")</f>
        <v>2.9678918780673027</v>
      </c>
      <c r="AC1137" s="10">
        <f t="shared" ref="AC1137" si="1079">IFERROR(Q1137/S1137,"NA")</f>
        <v>6.3473027379333704</v>
      </c>
      <c r="AD1137" s="10">
        <f t="shared" ref="AD1137" si="1080">IFERROR(Q1137/T1137,"NA")</f>
        <v>7.4224235023396252</v>
      </c>
      <c r="AE1137" s="10">
        <f t="shared" ref="AE1137" si="1081">IFERROR(Q1137/X1137,"NA")</f>
        <v>2.8229711110920936</v>
      </c>
      <c r="AF1137" s="1" t="s">
        <v>4545</v>
      </c>
    </row>
    <row r="1138" spans="1:32" x14ac:dyDescent="0.2">
      <c r="A1138" s="1" t="s">
        <v>5866</v>
      </c>
      <c r="B1138" s="1" t="s">
        <v>5</v>
      </c>
      <c r="C1138" s="1" t="s">
        <v>1575</v>
      </c>
      <c r="D1138" s="1" t="s">
        <v>1578</v>
      </c>
      <c r="E1138" s="1" t="s">
        <v>1579</v>
      </c>
      <c r="F1138" s="1" t="s">
        <v>1238</v>
      </c>
      <c r="G1138" s="4">
        <v>1</v>
      </c>
      <c r="H1138" s="28">
        <v>41303</v>
      </c>
      <c r="I1138" s="29">
        <f t="shared" si="882"/>
        <v>2013</v>
      </c>
      <c r="J1138" s="1" t="s">
        <v>5861</v>
      </c>
      <c r="K1138" s="1" t="s">
        <v>7</v>
      </c>
      <c r="L1138" s="11" t="str">
        <f t="shared" si="912"/>
        <v>НЕТ</v>
      </c>
      <c r="M1138" s="10">
        <v>1.3844E-2</v>
      </c>
      <c r="N1138" s="10" t="s">
        <v>1575</v>
      </c>
      <c r="O1138" s="10">
        <v>0.41638900000000001</v>
      </c>
      <c r="P1138" s="10">
        <f t="shared" si="913"/>
        <v>0.41638900000000001</v>
      </c>
      <c r="Q1138" s="10">
        <f t="shared" si="914"/>
        <v>0.50038899999999997</v>
      </c>
      <c r="R1138" s="10">
        <v>0.41399999999999998</v>
      </c>
      <c r="S1138" s="10" t="s">
        <v>1575</v>
      </c>
      <c r="T1138" s="10" t="s">
        <v>1575</v>
      </c>
      <c r="U1138" s="10">
        <v>-2.9000000000000001E-2</v>
      </c>
      <c r="V1138" s="10">
        <v>0.61</v>
      </c>
      <c r="W1138" s="10">
        <f>0.093+0.033-0.042</f>
        <v>8.3999999999999991E-2</v>
      </c>
      <c r="X1138" s="10">
        <f t="shared" si="925"/>
        <v>0.69399999999999995</v>
      </c>
      <c r="Y1138" s="10">
        <f t="shared" si="926"/>
        <v>1.0057705314009662</v>
      </c>
      <c r="Z1138" s="10">
        <f t="shared" si="927"/>
        <v>-14.358241379310344</v>
      </c>
      <c r="AA1138" s="10">
        <f t="shared" si="928"/>
        <v>0.68260491803278689</v>
      </c>
      <c r="AB1138" s="10">
        <f t="shared" si="929"/>
        <v>1.2086690821256039</v>
      </c>
      <c r="AC1138" s="10" t="str">
        <f t="shared" si="930"/>
        <v>NA</v>
      </c>
      <c r="AD1138" s="10" t="str">
        <f t="shared" si="931"/>
        <v>NA</v>
      </c>
      <c r="AE1138" s="10">
        <f t="shared" si="932"/>
        <v>0.72102161383285301</v>
      </c>
      <c r="AF1138" s="1" t="s">
        <v>1239</v>
      </c>
    </row>
    <row r="1139" spans="1:32" x14ac:dyDescent="0.2">
      <c r="A1139" s="1" t="s">
        <v>5867</v>
      </c>
      <c r="B1139" s="1" t="s">
        <v>5</v>
      </c>
      <c r="C1139" s="1" t="s">
        <v>1575</v>
      </c>
      <c r="D1139" s="1" t="s">
        <v>1615</v>
      </c>
      <c r="E1139" s="1" t="s">
        <v>2176</v>
      </c>
      <c r="F1139" s="1" t="s">
        <v>126</v>
      </c>
      <c r="G1139" s="4">
        <v>1</v>
      </c>
      <c r="H1139" s="28">
        <v>41060</v>
      </c>
      <c r="I1139" s="29">
        <f t="shared" ref="I1139" si="1082">YEAR(H1139)</f>
        <v>2012</v>
      </c>
      <c r="J1139" s="1" t="s">
        <v>7</v>
      </c>
      <c r="K1139" s="1" t="s">
        <v>5861</v>
      </c>
      <c r="L1139" s="11" t="str">
        <f t="shared" ref="L1139" si="1083">IF(OR(A1139=J1139,A1139=K1139),"ДА","НЕТ")</f>
        <v>НЕТ</v>
      </c>
      <c r="M1139" s="10" t="s">
        <v>1575</v>
      </c>
      <c r="N1139" s="10" t="s">
        <v>1575</v>
      </c>
      <c r="O1139" s="10">
        <v>17.295999999999999</v>
      </c>
      <c r="P1139" s="10">
        <f t="shared" si="913"/>
        <v>17.295999999999999</v>
      </c>
      <c r="Q1139" s="10">
        <f t="shared" si="914"/>
        <v>17.558</v>
      </c>
      <c r="R1139" s="10">
        <f>7.995+0.696</f>
        <v>8.6910000000000007</v>
      </c>
      <c r="S1139" s="10" t="s">
        <v>1575</v>
      </c>
      <c r="T1139" s="10" t="s">
        <v>1575</v>
      </c>
      <c r="U1139" s="10">
        <v>1.6739999999999999</v>
      </c>
      <c r="V1139" s="10">
        <v>7.1459999999999999</v>
      </c>
      <c r="W1139" s="10">
        <f>0.773-0.511</f>
        <v>0.26200000000000001</v>
      </c>
      <c r="X1139" s="10">
        <f t="shared" ref="X1139" si="1084">IFERROR(V1139+W1139,"NA")</f>
        <v>7.4079999999999995</v>
      </c>
      <c r="Y1139" s="10">
        <f t="shared" ref="Y1139" si="1085">IFERROR(P1139/R1139,"NA")</f>
        <v>1.9901047060177193</v>
      </c>
      <c r="Z1139" s="10">
        <f t="shared" ref="Z1139" si="1086">IFERROR(P1139/U1139,"NA")</f>
        <v>10.332138590203106</v>
      </c>
      <c r="AA1139" s="10">
        <f t="shared" ref="AA1139" si="1087">IFERROR(P1139/V1139,"NA")</f>
        <v>2.4203750349846067</v>
      </c>
      <c r="AB1139" s="10">
        <f t="shared" ref="AB1139" si="1088">IFERROR(Q1139/R1139,"NA")</f>
        <v>2.020250834196295</v>
      </c>
      <c r="AC1139" s="10" t="str">
        <f t="shared" ref="AC1139" si="1089">IFERROR(Q1139/S1139,"NA")</f>
        <v>NA</v>
      </c>
      <c r="AD1139" s="10" t="str">
        <f t="shared" ref="AD1139" si="1090">IFERROR(Q1139/T1139,"NA")</f>
        <v>NA</v>
      </c>
      <c r="AE1139" s="10">
        <f t="shared" ref="AE1139" si="1091">IFERROR(Q1139/X1139,"NA")</f>
        <v>2.3701403887688985</v>
      </c>
      <c r="AF1139" s="1" t="s">
        <v>1240</v>
      </c>
    </row>
    <row r="1140" spans="1:32" x14ac:dyDescent="0.2">
      <c r="A1140" s="1" t="s">
        <v>5861</v>
      </c>
      <c r="B1140" s="1" t="s">
        <v>5</v>
      </c>
      <c r="C1140" s="1" t="s">
        <v>1575</v>
      </c>
      <c r="D1140" s="1" t="s">
        <v>1600</v>
      </c>
      <c r="E1140" s="1" t="s">
        <v>1696</v>
      </c>
      <c r="F1140" s="1" t="s">
        <v>120</v>
      </c>
      <c r="G1140" s="4">
        <v>0.24</v>
      </c>
      <c r="H1140" s="28">
        <v>41274</v>
      </c>
      <c r="I1140" s="29">
        <f t="shared" si="882"/>
        <v>2012</v>
      </c>
      <c r="J1140" s="1" t="s">
        <v>5861</v>
      </c>
      <c r="K1140" s="1" t="s">
        <v>7</v>
      </c>
      <c r="L1140" s="11" t="str">
        <f t="shared" si="912"/>
        <v>ДА</v>
      </c>
      <c r="M1140" s="10">
        <v>3022.6979999999999</v>
      </c>
      <c r="N1140" s="10" t="s">
        <v>1575</v>
      </c>
      <c r="O1140" s="10">
        <v>92.134</v>
      </c>
      <c r="P1140" s="10">
        <f t="shared" si="913"/>
        <v>383.89166666666671</v>
      </c>
      <c r="Q1140" s="10">
        <f t="shared" si="914"/>
        <v>710.72166666666681</v>
      </c>
      <c r="R1140" s="10">
        <v>732.375</v>
      </c>
      <c r="S1140" s="10">
        <v>327.923</v>
      </c>
      <c r="T1140" s="10">
        <v>243.726</v>
      </c>
      <c r="U1140" s="10">
        <v>184.39</v>
      </c>
      <c r="V1140" s="10">
        <v>1173.33</v>
      </c>
      <c r="W1140" s="10">
        <v>326.83000000000004</v>
      </c>
      <c r="X1140" s="10">
        <f t="shared" si="925"/>
        <v>1500.1599999999999</v>
      </c>
      <c r="Y1140" s="10">
        <f t="shared" si="926"/>
        <v>0.52417363600159306</v>
      </c>
      <c r="Z1140" s="10">
        <f t="shared" si="927"/>
        <v>2.0819549144024445</v>
      </c>
      <c r="AA1140" s="10">
        <f t="shared" si="928"/>
        <v>0.32718132721967963</v>
      </c>
      <c r="AB1140" s="10">
        <f t="shared" si="929"/>
        <v>0.97043409000398262</v>
      </c>
      <c r="AC1140" s="10">
        <f t="shared" si="930"/>
        <v>2.1673431466126707</v>
      </c>
      <c r="AD1140" s="10">
        <f t="shared" si="931"/>
        <v>2.9160683171539632</v>
      </c>
      <c r="AE1140" s="10">
        <f t="shared" si="932"/>
        <v>0.47376390962741766</v>
      </c>
      <c r="AF1140" s="1" t="s">
        <v>1237</v>
      </c>
    </row>
    <row r="1141" spans="1:32" x14ac:dyDescent="0.2">
      <c r="A1141" s="1" t="s">
        <v>1241</v>
      </c>
      <c r="B1141" s="1" t="s">
        <v>5</v>
      </c>
      <c r="C1141" s="1" t="s">
        <v>1575</v>
      </c>
      <c r="D1141" s="1" t="s">
        <v>1597</v>
      </c>
      <c r="E1141" s="1" t="s">
        <v>1660</v>
      </c>
      <c r="F1141" s="1" t="s">
        <v>16</v>
      </c>
      <c r="G1141" s="4">
        <v>1</v>
      </c>
      <c r="H1141" s="28">
        <v>41274</v>
      </c>
      <c r="I1141" s="29">
        <f t="shared" si="882"/>
        <v>2012</v>
      </c>
      <c r="J1141" s="1" t="s">
        <v>7</v>
      </c>
      <c r="K1141" s="1" t="s">
        <v>5861</v>
      </c>
      <c r="L1141" s="11" t="str">
        <f t="shared" si="912"/>
        <v>НЕТ</v>
      </c>
      <c r="M1141" s="10" t="s">
        <v>1575</v>
      </c>
      <c r="N1141" s="10" t="s">
        <v>1575</v>
      </c>
      <c r="O1141" s="10">
        <v>4.0469999999999997</v>
      </c>
      <c r="P1141" s="10">
        <f t="shared" si="913"/>
        <v>4.0469999999999997</v>
      </c>
      <c r="Q1141" s="10" t="str">
        <f t="shared" si="914"/>
        <v>NA</v>
      </c>
      <c r="R1141" s="10" t="s">
        <v>1575</v>
      </c>
      <c r="S1141" s="10" t="s">
        <v>1575</v>
      </c>
      <c r="T1141" s="10" t="s">
        <v>1575</v>
      </c>
      <c r="U1141" s="10" t="s">
        <v>1575</v>
      </c>
      <c r="V1141" s="10" t="s">
        <v>1575</v>
      </c>
      <c r="W1141" s="10" t="s">
        <v>1575</v>
      </c>
      <c r="X1141" s="10" t="str">
        <f t="shared" si="925"/>
        <v>NA</v>
      </c>
      <c r="Y1141" s="10" t="str">
        <f t="shared" si="926"/>
        <v>NA</v>
      </c>
      <c r="Z1141" s="10" t="str">
        <f t="shared" si="927"/>
        <v>NA</v>
      </c>
      <c r="AA1141" s="10" t="str">
        <f t="shared" si="928"/>
        <v>NA</v>
      </c>
      <c r="AB1141" s="10" t="str">
        <f t="shared" si="929"/>
        <v>NA</v>
      </c>
      <c r="AC1141" s="10" t="str">
        <f t="shared" si="930"/>
        <v>NA</v>
      </c>
      <c r="AD1141" s="10" t="str">
        <f t="shared" si="931"/>
        <v>NA</v>
      </c>
      <c r="AE1141" s="10" t="str">
        <f t="shared" si="932"/>
        <v>NA</v>
      </c>
      <c r="AF1141" s="1" t="s">
        <v>1242</v>
      </c>
    </row>
    <row r="1142" spans="1:32" x14ac:dyDescent="0.2">
      <c r="A1142" s="1" t="s">
        <v>1241</v>
      </c>
      <c r="B1142" s="1" t="s">
        <v>5</v>
      </c>
      <c r="C1142" s="1" t="s">
        <v>1575</v>
      </c>
      <c r="D1142" s="1" t="s">
        <v>1597</v>
      </c>
      <c r="E1142" s="1" t="s">
        <v>1660</v>
      </c>
      <c r="F1142" s="1" t="s">
        <v>16</v>
      </c>
      <c r="G1142" s="4">
        <v>1</v>
      </c>
      <c r="H1142" s="28">
        <v>39813</v>
      </c>
      <c r="I1142" s="29">
        <f t="shared" si="882"/>
        <v>2008</v>
      </c>
      <c r="J1142" s="1" t="s">
        <v>5861</v>
      </c>
      <c r="K1142" s="1" t="s">
        <v>7</v>
      </c>
      <c r="L1142" s="11" t="str">
        <f t="shared" si="912"/>
        <v>НЕТ</v>
      </c>
      <c r="M1142" s="10">
        <v>100</v>
      </c>
      <c r="N1142" s="10" t="s">
        <v>1575</v>
      </c>
      <c r="O1142" s="10">
        <v>2.38</v>
      </c>
      <c r="P1142" s="10">
        <f t="shared" si="913"/>
        <v>2.38</v>
      </c>
      <c r="Q1142" s="10" t="str">
        <f t="shared" si="914"/>
        <v>NA</v>
      </c>
      <c r="R1142" s="10" t="s">
        <v>1575</v>
      </c>
      <c r="S1142" s="10" t="s">
        <v>1575</v>
      </c>
      <c r="T1142" s="10" t="s">
        <v>1575</v>
      </c>
      <c r="U1142" s="10" t="s">
        <v>1575</v>
      </c>
      <c r="V1142" s="10" t="s">
        <v>1575</v>
      </c>
      <c r="W1142" s="10" t="s">
        <v>1575</v>
      </c>
      <c r="X1142" s="10" t="str">
        <f t="shared" si="925"/>
        <v>NA</v>
      </c>
      <c r="Y1142" s="10" t="str">
        <f t="shared" si="926"/>
        <v>NA</v>
      </c>
      <c r="Z1142" s="10" t="str">
        <f t="shared" si="927"/>
        <v>NA</v>
      </c>
      <c r="AA1142" s="10" t="str">
        <f t="shared" si="928"/>
        <v>NA</v>
      </c>
      <c r="AB1142" s="10" t="str">
        <f t="shared" si="929"/>
        <v>NA</v>
      </c>
      <c r="AC1142" s="10" t="str">
        <f t="shared" si="930"/>
        <v>NA</v>
      </c>
      <c r="AD1142" s="10" t="str">
        <f t="shared" si="931"/>
        <v>NA</v>
      </c>
      <c r="AE1142" s="10" t="str">
        <f t="shared" si="932"/>
        <v>NA</v>
      </c>
      <c r="AF1142" s="1" t="s">
        <v>1242</v>
      </c>
    </row>
    <row r="1143" spans="1:32" x14ac:dyDescent="0.2">
      <c r="A1143" s="1" t="s">
        <v>5868</v>
      </c>
      <c r="B1143" s="1" t="s">
        <v>5</v>
      </c>
      <c r="C1143" s="1" t="s">
        <v>1575</v>
      </c>
      <c r="D1143" s="1" t="s">
        <v>1575</v>
      </c>
      <c r="E1143" s="1" t="s">
        <v>1575</v>
      </c>
      <c r="F1143" s="1" t="s">
        <v>1575</v>
      </c>
      <c r="G1143" s="4" t="s">
        <v>1575</v>
      </c>
      <c r="H1143" s="28">
        <v>41639</v>
      </c>
      <c r="I1143" s="29">
        <f t="shared" si="882"/>
        <v>2013</v>
      </c>
      <c r="J1143" s="1" t="s">
        <v>7</v>
      </c>
      <c r="K1143" s="1" t="s">
        <v>1243</v>
      </c>
      <c r="L1143" s="11" t="str">
        <f t="shared" si="912"/>
        <v>НЕТ</v>
      </c>
      <c r="M1143" s="10" t="s">
        <v>1575</v>
      </c>
      <c r="N1143" s="10" t="s">
        <v>1575</v>
      </c>
      <c r="O1143" s="10">
        <v>8.3499999999999998E-3</v>
      </c>
      <c r="P1143" s="10" t="str">
        <f t="shared" si="913"/>
        <v>NA</v>
      </c>
      <c r="Q1143" s="10" t="str">
        <f t="shared" si="914"/>
        <v>NA</v>
      </c>
      <c r="R1143" s="10" t="s">
        <v>1575</v>
      </c>
      <c r="S1143" s="10" t="s">
        <v>1575</v>
      </c>
      <c r="T1143" s="10" t="s">
        <v>1575</v>
      </c>
      <c r="U1143" s="10" t="s">
        <v>1575</v>
      </c>
      <c r="V1143" s="10" t="s">
        <v>1575</v>
      </c>
      <c r="W1143" s="10" t="s">
        <v>1575</v>
      </c>
      <c r="X1143" s="10" t="str">
        <f t="shared" si="925"/>
        <v>NA</v>
      </c>
      <c r="Y1143" s="10" t="str">
        <f t="shared" si="926"/>
        <v>NA</v>
      </c>
      <c r="Z1143" s="10" t="str">
        <f t="shared" si="927"/>
        <v>NA</v>
      </c>
      <c r="AA1143" s="10" t="str">
        <f t="shared" si="928"/>
        <v>NA</v>
      </c>
      <c r="AB1143" s="10" t="str">
        <f t="shared" si="929"/>
        <v>NA</v>
      </c>
      <c r="AC1143" s="10" t="str">
        <f t="shared" si="930"/>
        <v>NA</v>
      </c>
      <c r="AD1143" s="10" t="str">
        <f t="shared" si="931"/>
        <v>NA</v>
      </c>
      <c r="AE1143" s="10" t="str">
        <f t="shared" si="932"/>
        <v>NA</v>
      </c>
      <c r="AF1143" s="1" t="s">
        <v>1245</v>
      </c>
    </row>
    <row r="1144" spans="1:32" x14ac:dyDescent="0.2">
      <c r="A1144" s="1" t="s">
        <v>1243</v>
      </c>
      <c r="B1144" s="1" t="s">
        <v>5</v>
      </c>
      <c r="C1144" s="1" t="s">
        <v>4455</v>
      </c>
      <c r="D1144" s="1" t="s">
        <v>1600</v>
      </c>
      <c r="E1144" s="1" t="s">
        <v>2050</v>
      </c>
      <c r="F1144" s="1" t="s">
        <v>120</v>
      </c>
      <c r="G1144" s="4">
        <f xml:space="preserve"> 8.882571 /498.454822</f>
        <v>1.7820212801552555E-2</v>
      </c>
      <c r="H1144" s="28">
        <v>41639</v>
      </c>
      <c r="I1144" s="29">
        <f t="shared" ref="I1144" si="1092">YEAR(H1144)</f>
        <v>2013</v>
      </c>
      <c r="J1144" s="1" t="s">
        <v>1243</v>
      </c>
      <c r="K1144" s="1" t="s">
        <v>7</v>
      </c>
      <c r="L1144" s="11" t="str">
        <f t="shared" ref="L1144" si="1093">IF(OR(A1144=J1144,A1144=K1144),"ДА","НЕТ")</f>
        <v>ДА</v>
      </c>
      <c r="M1144" s="10" t="s">
        <v>1575</v>
      </c>
      <c r="N1144" s="10" t="s">
        <v>1575</v>
      </c>
      <c r="O1144" s="10">
        <v>3.5025000000000001E-2</v>
      </c>
      <c r="P1144" s="10">
        <f t="shared" si="913"/>
        <v>1.9654647444473001</v>
      </c>
      <c r="Q1144" s="10">
        <f t="shared" si="914"/>
        <v>6.9804647444472998</v>
      </c>
      <c r="R1144" s="10">
        <v>13.087</v>
      </c>
      <c r="S1144" s="10">
        <v>-7.9870000000000001</v>
      </c>
      <c r="T1144" s="10">
        <v>-9.032</v>
      </c>
      <c r="U1144" s="10">
        <v>-7.3049999999999997</v>
      </c>
      <c r="V1144" s="10">
        <v>5.2969999999999997</v>
      </c>
      <c r="W1144" s="10">
        <v>5.0149999999999997</v>
      </c>
      <c r="X1144" s="10">
        <f t="shared" ref="X1144" si="1094">IFERROR(V1144+W1144,"NA")</f>
        <v>10.311999999999999</v>
      </c>
      <c r="Y1144" s="10">
        <f t="shared" ref="Y1144" si="1095">IFERROR(P1144/R1144,"NA")</f>
        <v>0.15018451474343242</v>
      </c>
      <c r="Z1144" s="10">
        <f t="shared" ref="Z1144" si="1096">IFERROR(P1144/U1144,"NA")</f>
        <v>-0.26905745988327173</v>
      </c>
      <c r="AA1144" s="10">
        <f t="shared" ref="AA1144" si="1097">IFERROR(P1144/V1144,"NA")</f>
        <v>0.37105243429248636</v>
      </c>
      <c r="AB1144" s="10">
        <f t="shared" ref="AB1144" si="1098">IFERROR(Q1144/R1144,"NA")</f>
        <v>0.53338922170453884</v>
      </c>
      <c r="AC1144" s="10">
        <f t="shared" ref="AC1144" si="1099">IFERROR(Q1144/S1144,"NA")</f>
        <v>-0.87397830780609742</v>
      </c>
      <c r="AD1144" s="10">
        <f t="shared" ref="AD1144" si="1100">IFERROR(Q1144/T1144,"NA")</f>
        <v>-0.77285924982808896</v>
      </c>
      <c r="AE1144" s="10">
        <f t="shared" ref="AE1144" si="1101">IFERROR(Q1144/X1144,"NA")</f>
        <v>0.67692637164927272</v>
      </c>
      <c r="AF1144" s="1" t="s">
        <v>4547</v>
      </c>
    </row>
    <row r="1145" spans="1:32" x14ac:dyDescent="0.2">
      <c r="A1145" s="1" t="s">
        <v>1243</v>
      </c>
      <c r="B1145" s="1" t="s">
        <v>5</v>
      </c>
      <c r="C1145" s="1" t="s">
        <v>4455</v>
      </c>
      <c r="D1145" s="1" t="s">
        <v>1600</v>
      </c>
      <c r="E1145" s="1" t="s">
        <v>2050</v>
      </c>
      <c r="F1145" s="1" t="s">
        <v>120</v>
      </c>
      <c r="G1145" s="4">
        <f>7.5/498.454822</f>
        <v>1.504649903858288E-2</v>
      </c>
      <c r="H1145" s="28">
        <v>43830</v>
      </c>
      <c r="I1145" s="29">
        <f t="shared" si="882"/>
        <v>2019</v>
      </c>
      <c r="J1145" s="1" t="s">
        <v>1243</v>
      </c>
      <c r="K1145" s="1" t="s">
        <v>7</v>
      </c>
      <c r="L1145" s="11" t="str">
        <f t="shared" si="912"/>
        <v>ДА</v>
      </c>
      <c r="M1145" s="10" t="s">
        <v>1575</v>
      </c>
      <c r="N1145" s="10" t="s">
        <v>1575</v>
      </c>
      <c r="O1145" s="10">
        <v>3.5025000000000001E-2</v>
      </c>
      <c r="P1145" s="10">
        <f t="shared" si="913"/>
        <v>2.3277840187400001</v>
      </c>
      <c r="Q1145" s="10">
        <f t="shared" si="914"/>
        <v>5.1677840187400008</v>
      </c>
      <c r="R1145" s="10">
        <v>27.052</v>
      </c>
      <c r="S1145" s="10">
        <v>2.34</v>
      </c>
      <c r="T1145" s="10">
        <v>1.4990000000000001</v>
      </c>
      <c r="U1145" s="10">
        <v>1.5289999999999999</v>
      </c>
      <c r="V1145" s="10">
        <v>8.2059999999999995</v>
      </c>
      <c r="W1145" s="10">
        <v>2.8400000000000003</v>
      </c>
      <c r="X1145" s="10">
        <f t="shared" si="925"/>
        <v>11.045999999999999</v>
      </c>
      <c r="Y1145" s="10">
        <f t="shared" si="926"/>
        <v>8.6048499879491355E-2</v>
      </c>
      <c r="Z1145" s="10">
        <f t="shared" si="927"/>
        <v>1.5224225106213212</v>
      </c>
      <c r="AA1145" s="10">
        <f t="shared" si="928"/>
        <v>0.28366853750182797</v>
      </c>
      <c r="AB1145" s="10">
        <f t="shared" si="929"/>
        <v>0.19103149559145352</v>
      </c>
      <c r="AC1145" s="10">
        <f t="shared" si="930"/>
        <v>2.2084547088632482</v>
      </c>
      <c r="AD1145" s="10">
        <f t="shared" si="931"/>
        <v>3.4474876709406272</v>
      </c>
      <c r="AE1145" s="10">
        <f t="shared" si="932"/>
        <v>0.46784211648922697</v>
      </c>
      <c r="AF1145" s="1" t="s">
        <v>1244</v>
      </c>
    </row>
    <row r="1146" spans="1:32" x14ac:dyDescent="0.2">
      <c r="A1146" s="1" t="s">
        <v>1243</v>
      </c>
      <c r="B1146" s="1" t="s">
        <v>5</v>
      </c>
      <c r="C1146" s="1" t="s">
        <v>4455</v>
      </c>
      <c r="D1146" s="1" t="s">
        <v>1600</v>
      </c>
      <c r="E1146" s="1" t="s">
        <v>2050</v>
      </c>
      <c r="F1146" s="1" t="s">
        <v>120</v>
      </c>
      <c r="G1146" s="4">
        <f>1.3264/498.454822</f>
        <v>2.6610235099701774E-3</v>
      </c>
      <c r="H1146" s="28">
        <v>44561</v>
      </c>
      <c r="I1146" s="29">
        <f t="shared" ref="I1146" si="1102">YEAR(H1146)</f>
        <v>2021</v>
      </c>
      <c r="J1146" s="1" t="s">
        <v>1243</v>
      </c>
      <c r="K1146" s="1" t="s">
        <v>7</v>
      </c>
      <c r="L1146" s="11" t="str">
        <f t="shared" ref="L1146" si="1103">IF(OR(A1146=J1146,A1146=K1146),"ДА","НЕТ")</f>
        <v>ДА</v>
      </c>
      <c r="M1146" s="10" t="s">
        <v>1575</v>
      </c>
      <c r="N1146" s="10" t="s">
        <v>1575</v>
      </c>
      <c r="O1146" s="10">
        <v>2.3511000000000001E-2</v>
      </c>
      <c r="P1146" s="10">
        <f t="shared" si="913"/>
        <v>8.8353221652910143</v>
      </c>
      <c r="Q1146" s="10">
        <f t="shared" si="914"/>
        <v>3.7373221652910145</v>
      </c>
      <c r="R1146" s="10">
        <v>40.073</v>
      </c>
      <c r="S1146" s="10">
        <v>15.257999999999999</v>
      </c>
      <c r="T1146" s="10">
        <v>14.664</v>
      </c>
      <c r="U1146" s="10">
        <v>11.673999999999999</v>
      </c>
      <c r="V1146" s="10">
        <v>20.399999999999999</v>
      </c>
      <c r="W1146" s="10">
        <v>-5.0979999999999999</v>
      </c>
      <c r="X1146" s="10">
        <f t="shared" ref="X1146" si="1104">IFERROR(V1146+W1146,"NA")</f>
        <v>15.302</v>
      </c>
      <c r="Y1146" s="10">
        <f t="shared" ref="Y1146" si="1105">IFERROR(P1146/R1146,"NA")</f>
        <v>0.22048067689693845</v>
      </c>
      <c r="Z1146" s="10">
        <f t="shared" ref="Z1146" si="1106">IFERROR(P1146/U1146,"NA")</f>
        <v>0.75683760196085448</v>
      </c>
      <c r="AA1146" s="10">
        <f t="shared" ref="AA1146" si="1107">IFERROR(P1146/V1146,"NA")</f>
        <v>0.4331040277103439</v>
      </c>
      <c r="AB1146" s="10">
        <f t="shared" ref="AB1146" si="1108">IFERROR(Q1146/R1146,"NA")</f>
        <v>9.3262849432061853E-2</v>
      </c>
      <c r="AC1146" s="10">
        <f t="shared" ref="AC1146" si="1109">IFERROR(Q1146/S1146,"NA")</f>
        <v>0.24494181185548661</v>
      </c>
      <c r="AD1146" s="10">
        <f t="shared" ref="AD1146" si="1110">IFERROR(Q1146/T1146,"NA")</f>
        <v>0.2548637592260648</v>
      </c>
      <c r="AE1146" s="10">
        <f t="shared" ref="AE1146" si="1111">IFERROR(Q1146/X1146,"NA")</f>
        <v>0.244237496097962</v>
      </c>
      <c r="AF1146" s="1" t="s">
        <v>4546</v>
      </c>
    </row>
    <row r="1147" spans="1:32" x14ac:dyDescent="0.2">
      <c r="A1147" s="1" t="s">
        <v>5869</v>
      </c>
      <c r="B1147" s="1" t="s">
        <v>5</v>
      </c>
      <c r="C1147" s="1" t="s">
        <v>1575</v>
      </c>
      <c r="D1147" s="1" t="s">
        <v>1600</v>
      </c>
      <c r="E1147" s="1" t="s">
        <v>1659</v>
      </c>
      <c r="F1147" s="1" t="s">
        <v>118</v>
      </c>
      <c r="G1147" s="4">
        <v>0.22950000000000001</v>
      </c>
      <c r="H1147" s="28">
        <v>42916</v>
      </c>
      <c r="I1147" s="29">
        <f t="shared" si="882"/>
        <v>2017</v>
      </c>
      <c r="J1147" s="1" t="s">
        <v>1231</v>
      </c>
      <c r="K1147" s="1" t="s">
        <v>7</v>
      </c>
      <c r="L1147" s="11" t="str">
        <f t="shared" si="912"/>
        <v>НЕТ</v>
      </c>
      <c r="M1147" s="10" t="s">
        <v>1575</v>
      </c>
      <c r="N1147" s="10" t="s">
        <v>1575</v>
      </c>
      <c r="O1147" s="10">
        <v>2.2000679999999999</v>
      </c>
      <c r="P1147" s="10">
        <f t="shared" si="913"/>
        <v>9.5863529411764699</v>
      </c>
      <c r="Q1147" s="10" t="str">
        <f t="shared" si="914"/>
        <v>NA</v>
      </c>
      <c r="R1147" s="10" t="s">
        <v>1575</v>
      </c>
      <c r="S1147" s="10" t="s">
        <v>1575</v>
      </c>
      <c r="T1147" s="10" t="s">
        <v>1575</v>
      </c>
      <c r="U1147" s="10" t="s">
        <v>1575</v>
      </c>
      <c r="V1147" s="10" t="s">
        <v>1575</v>
      </c>
      <c r="W1147" s="10" t="s">
        <v>1575</v>
      </c>
      <c r="X1147" s="10" t="str">
        <f t="shared" si="925"/>
        <v>NA</v>
      </c>
      <c r="Y1147" s="10" t="str">
        <f t="shared" si="926"/>
        <v>NA</v>
      </c>
      <c r="Z1147" s="10" t="str">
        <f t="shared" si="927"/>
        <v>NA</v>
      </c>
      <c r="AA1147" s="10" t="str">
        <f t="shared" si="928"/>
        <v>NA</v>
      </c>
      <c r="AB1147" s="10" t="str">
        <f t="shared" si="929"/>
        <v>NA</v>
      </c>
      <c r="AC1147" s="10" t="str">
        <f t="shared" si="930"/>
        <v>NA</v>
      </c>
      <c r="AD1147" s="10" t="str">
        <f t="shared" si="931"/>
        <v>NA</v>
      </c>
      <c r="AE1147" s="10" t="str">
        <f t="shared" si="932"/>
        <v>NA</v>
      </c>
      <c r="AF1147" s="1" t="s">
        <v>1230</v>
      </c>
    </row>
    <row r="1148" spans="1:32" x14ac:dyDescent="0.2">
      <c r="A1148" s="1" t="s">
        <v>1227</v>
      </c>
      <c r="B1148" s="1" t="s">
        <v>5</v>
      </c>
      <c r="C1148" s="1" t="s">
        <v>4454</v>
      </c>
      <c r="D1148" s="1" t="s">
        <v>1600</v>
      </c>
      <c r="E1148" s="1" t="s">
        <v>2050</v>
      </c>
      <c r="F1148" s="1" t="s">
        <v>120</v>
      </c>
      <c r="G1148" s="4">
        <f>7427/3161965</f>
        <v>2.3488558538756754E-3</v>
      </c>
      <c r="H1148" s="28">
        <v>44469</v>
      </c>
      <c r="I1148" s="29">
        <f t="shared" si="882"/>
        <v>2021</v>
      </c>
      <c r="J1148" s="1" t="s">
        <v>1674</v>
      </c>
      <c r="K1148" s="1" t="s">
        <v>1227</v>
      </c>
      <c r="L1148" s="11" t="str">
        <f t="shared" si="912"/>
        <v>ДА</v>
      </c>
      <c r="M1148" s="10" t="s">
        <v>1575</v>
      </c>
      <c r="N1148" s="10" t="s">
        <v>1575</v>
      </c>
      <c r="O1148" s="10">
        <v>3.0450999999999999E-2</v>
      </c>
      <c r="P1148" s="10">
        <f t="shared" si="913"/>
        <v>12.964184221758448</v>
      </c>
      <c r="Q1148" s="10">
        <f t="shared" si="914"/>
        <v>22.066184221758451</v>
      </c>
      <c r="R1148" s="10">
        <v>113.569</v>
      </c>
      <c r="S1148" s="10">
        <v>9.8250000000000011</v>
      </c>
      <c r="T1148" s="10">
        <v>6.3020000000000014</v>
      </c>
      <c r="U1148" s="10">
        <v>-0.49399999999999999</v>
      </c>
      <c r="V1148" s="10">
        <v>36.493000000000002</v>
      </c>
      <c r="W1148" s="10">
        <v>9.1020000000000039</v>
      </c>
      <c r="X1148" s="10">
        <f t="shared" si="925"/>
        <v>45.595000000000006</v>
      </c>
      <c r="Y1148" s="10">
        <f t="shared" si="926"/>
        <v>0.11415249074798975</v>
      </c>
      <c r="Z1148" s="10">
        <f t="shared" si="927"/>
        <v>-26.243287898296451</v>
      </c>
      <c r="AA1148" s="10">
        <f t="shared" si="928"/>
        <v>0.35525125974182575</v>
      </c>
      <c r="AB1148" s="10">
        <f t="shared" si="929"/>
        <v>0.19429760076921035</v>
      </c>
      <c r="AC1148" s="10">
        <f t="shared" si="930"/>
        <v>2.2459220581942443</v>
      </c>
      <c r="AD1148" s="10">
        <f t="shared" si="931"/>
        <v>3.5014573503266337</v>
      </c>
      <c r="AE1148" s="10">
        <f t="shared" si="932"/>
        <v>0.4839606145796348</v>
      </c>
      <c r="AF1148" s="1" t="s">
        <v>1229</v>
      </c>
    </row>
    <row r="1149" spans="1:32" x14ac:dyDescent="0.2">
      <c r="A1149" s="1" t="s">
        <v>1227</v>
      </c>
      <c r="B1149" s="1" t="s">
        <v>5</v>
      </c>
      <c r="C1149" s="1" t="s">
        <v>4454</v>
      </c>
      <c r="D1149" s="1" t="s">
        <v>1600</v>
      </c>
      <c r="E1149" s="1" t="s">
        <v>2050</v>
      </c>
      <c r="F1149" s="1" t="s">
        <v>120</v>
      </c>
      <c r="G1149" s="4">
        <f>7427/3161965</f>
        <v>2.3488558538756754E-3</v>
      </c>
      <c r="H1149" s="28">
        <v>44104</v>
      </c>
      <c r="I1149" s="29">
        <f t="shared" si="882"/>
        <v>2020</v>
      </c>
      <c r="J1149" s="1" t="s">
        <v>1227</v>
      </c>
      <c r="K1149" s="1" t="s">
        <v>7</v>
      </c>
      <c r="L1149" s="11" t="str">
        <f t="shared" si="912"/>
        <v>ДА</v>
      </c>
      <c r="M1149" s="10" t="s">
        <v>1575</v>
      </c>
      <c r="N1149" s="10" t="s">
        <v>1575</v>
      </c>
      <c r="O1149" s="10">
        <v>2.0947E-2</v>
      </c>
      <c r="P1149" s="10">
        <f t="shared" si="913"/>
        <v>8.9179589140972126</v>
      </c>
      <c r="Q1149" s="10">
        <f t="shared" si="914"/>
        <v>43.722958914097219</v>
      </c>
      <c r="R1149" s="10">
        <v>112.437</v>
      </c>
      <c r="S1149" s="10">
        <v>3.9190000000000005</v>
      </c>
      <c r="T1149" s="10">
        <v>0.29100000000000037</v>
      </c>
      <c r="U1149" s="10">
        <v>3.9279999999999999</v>
      </c>
      <c r="V1149" s="10">
        <v>36.973999999999997</v>
      </c>
      <c r="W1149" s="10">
        <v>34.805000000000007</v>
      </c>
      <c r="X1149" s="10">
        <f t="shared" si="925"/>
        <v>71.778999999999996</v>
      </c>
      <c r="Y1149" s="10">
        <f t="shared" si="926"/>
        <v>7.9315162394026986E-2</v>
      </c>
      <c r="Z1149" s="10">
        <f t="shared" si="927"/>
        <v>2.2703561390267852</v>
      </c>
      <c r="AA1149" s="10">
        <f t="shared" si="928"/>
        <v>0.24119540526037792</v>
      </c>
      <c r="AB1149" s="10">
        <f t="shared" si="929"/>
        <v>0.38886628880259361</v>
      </c>
      <c r="AC1149" s="10">
        <f t="shared" si="930"/>
        <v>11.15666213679439</v>
      </c>
      <c r="AD1149" s="10">
        <f t="shared" si="931"/>
        <v>150.25071791785967</v>
      </c>
      <c r="AE1149" s="10">
        <f t="shared" si="932"/>
        <v>0.60913301821002275</v>
      </c>
      <c r="AF1149" s="1" t="s">
        <v>1228</v>
      </c>
    </row>
    <row r="1150" spans="1:32" x14ac:dyDescent="0.2">
      <c r="A1150" s="1" t="s">
        <v>1674</v>
      </c>
      <c r="B1150" s="1" t="s">
        <v>5</v>
      </c>
      <c r="C1150" s="1" t="s">
        <v>4551</v>
      </c>
      <c r="D1150" s="1" t="s">
        <v>1600</v>
      </c>
      <c r="E1150" s="1" t="s">
        <v>1696</v>
      </c>
      <c r="F1150" s="1" t="s">
        <v>120</v>
      </c>
      <c r="G1150" s="4">
        <f>10.804058/416.270745</f>
        <v>2.595440138364756E-2</v>
      </c>
      <c r="H1150" s="28">
        <v>44104</v>
      </c>
      <c r="I1150" s="29">
        <f t="shared" si="882"/>
        <v>2020</v>
      </c>
      <c r="J1150" s="1" t="s">
        <v>1674</v>
      </c>
      <c r="K1150" s="1" t="s">
        <v>7</v>
      </c>
      <c r="L1150" s="11" t="str">
        <f t="shared" ref="L1150" si="1112">IF(OR(A1150=J1150,A1150=K1150),"ДА","НЕТ")</f>
        <v>ДА</v>
      </c>
      <c r="M1150" s="10" t="s">
        <v>1575</v>
      </c>
      <c r="N1150" s="10" t="s">
        <v>1575</v>
      </c>
      <c r="O1150" s="10">
        <v>0.87</v>
      </c>
      <c r="P1150" s="10">
        <f t="shared" si="913"/>
        <v>33.520326172813952</v>
      </c>
      <c r="Q1150" s="10">
        <f t="shared" si="914"/>
        <v>507.57532617281396</v>
      </c>
      <c r="R1150" s="10">
        <v>287.15300000000002</v>
      </c>
      <c r="S1150" s="10">
        <v>49.120999999999995</v>
      </c>
      <c r="T1150" s="10">
        <v>33.944999999999993</v>
      </c>
      <c r="U1150" s="10">
        <v>4.2850000000000001</v>
      </c>
      <c r="V1150" s="10">
        <v>-233.59700000000001</v>
      </c>
      <c r="W1150" s="10">
        <v>474.05500000000001</v>
      </c>
      <c r="X1150" s="10">
        <f t="shared" si="925"/>
        <v>240.458</v>
      </c>
      <c r="Y1150" s="10">
        <f t="shared" si="926"/>
        <v>0.1167333309170162</v>
      </c>
      <c r="Z1150" s="10">
        <f t="shared" si="927"/>
        <v>7.8227132258608991</v>
      </c>
      <c r="AA1150" s="10">
        <f t="shared" si="928"/>
        <v>-0.14349638982013446</v>
      </c>
      <c r="AB1150" s="10">
        <f t="shared" si="929"/>
        <v>1.7676128272134155</v>
      </c>
      <c r="AC1150" s="10">
        <f t="shared" si="930"/>
        <v>10.333163538462451</v>
      </c>
      <c r="AD1150" s="10">
        <f t="shared" si="931"/>
        <v>14.952874537422716</v>
      </c>
      <c r="AE1150" s="10">
        <f t="shared" si="932"/>
        <v>2.110868950805604</v>
      </c>
      <c r="AF1150" s="1" t="s">
        <v>4550</v>
      </c>
    </row>
    <row r="1151" spans="1:32" x14ac:dyDescent="0.2">
      <c r="A1151" s="1" t="s">
        <v>5870</v>
      </c>
      <c r="B1151" s="1" t="s">
        <v>5</v>
      </c>
      <c r="C1151" s="1" t="s">
        <v>1575</v>
      </c>
      <c r="D1151" s="1" t="s">
        <v>1600</v>
      </c>
      <c r="E1151" s="1" t="s">
        <v>1659</v>
      </c>
      <c r="F1151" s="1" t="s">
        <v>118</v>
      </c>
      <c r="G1151" s="4">
        <v>0.51</v>
      </c>
      <c r="H1151" s="28">
        <v>43951</v>
      </c>
      <c r="I1151" s="29">
        <f t="shared" si="882"/>
        <v>2020</v>
      </c>
      <c r="J1151" s="1" t="s">
        <v>7</v>
      </c>
      <c r="K1151" s="1" t="s">
        <v>1674</v>
      </c>
      <c r="L1151" s="11" t="str">
        <f t="shared" si="912"/>
        <v>НЕТ</v>
      </c>
      <c r="M1151" s="10" t="s">
        <v>1575</v>
      </c>
      <c r="N1151" s="10" t="s">
        <v>1575</v>
      </c>
      <c r="O1151" s="10">
        <v>89</v>
      </c>
      <c r="P1151" s="10">
        <f t="shared" si="913"/>
        <v>174.50980392156862</v>
      </c>
      <c r="Q1151" s="10">
        <f t="shared" si="914"/>
        <v>191.77680392156861</v>
      </c>
      <c r="R1151" s="10">
        <v>9.4139999999999997</v>
      </c>
      <c r="S1151" s="10" t="s">
        <v>1575</v>
      </c>
      <c r="T1151" s="10">
        <f>U1151+0.074-0.952+4.967</f>
        <v>-2.7010000000000005</v>
      </c>
      <c r="U1151" s="10">
        <v>-6.79</v>
      </c>
      <c r="V1151" s="10">
        <v>92.837999999999994</v>
      </c>
      <c r="W1151" s="10">
        <f>8.031+1.075+8.182-0.021</f>
        <v>17.266999999999999</v>
      </c>
      <c r="X1151" s="10">
        <f t="shared" ref="X1151:X1245" si="1113">IFERROR(V1151+W1151,"NA")</f>
        <v>110.10499999999999</v>
      </c>
      <c r="Y1151" s="10">
        <f t="shared" ref="Y1151:Y1245" si="1114">IFERROR(P1151/R1151,"NA")</f>
        <v>18.537264066450884</v>
      </c>
      <c r="Z1151" s="10">
        <f t="shared" ref="Z1151:Z1245" si="1115">IFERROR(P1151/U1151,"NA")</f>
        <v>-25.701002050304655</v>
      </c>
      <c r="AA1151" s="10">
        <f t="shared" ref="AA1151:AA1245" si="1116">IFERROR(P1151/V1151,"NA")</f>
        <v>1.8797238622284909</v>
      </c>
      <c r="AB1151" s="10">
        <f t="shared" ref="AB1151:AB1245" si="1117">IFERROR(Q1151/R1151,"NA")</f>
        <v>20.371447197957153</v>
      </c>
      <c r="AC1151" s="10" t="str">
        <f t="shared" ref="AC1151:AC1245" si="1118">IFERROR(Q1151/S1151,"NA")</f>
        <v>NA</v>
      </c>
      <c r="AD1151" s="10">
        <f t="shared" ref="AD1151:AD1245" si="1119">IFERROR(Q1151/T1151,"NA")</f>
        <v>-71.002148804727355</v>
      </c>
      <c r="AE1151" s="10">
        <f t="shared" ref="AE1151:AE1245" si="1120">IFERROR(Q1151/X1151,"NA")</f>
        <v>1.7417628983385736</v>
      </c>
      <c r="AF1151" s="1" t="s">
        <v>1225</v>
      </c>
    </row>
    <row r="1152" spans="1:32" x14ac:dyDescent="0.2">
      <c r="A1152" s="1" t="s">
        <v>1674</v>
      </c>
      <c r="B1152" s="1" t="s">
        <v>5</v>
      </c>
      <c r="C1152" s="1" t="s">
        <v>4551</v>
      </c>
      <c r="D1152" s="1" t="s">
        <v>1600</v>
      </c>
      <c r="E1152" s="1" t="s">
        <v>1696</v>
      </c>
      <c r="F1152" s="1" t="s">
        <v>120</v>
      </c>
      <c r="G1152" s="4">
        <f>1.018996/416.270745</f>
        <v>2.4479164395758823E-3</v>
      </c>
      <c r="H1152" s="28">
        <v>43830</v>
      </c>
      <c r="I1152" s="29">
        <f t="shared" ref="I1152" si="1121">YEAR(H1152)</f>
        <v>2019</v>
      </c>
      <c r="J1152" s="1" t="s">
        <v>1674</v>
      </c>
      <c r="K1152" s="1" t="s">
        <v>7</v>
      </c>
      <c r="L1152" s="11" t="str">
        <f t="shared" ref="L1152" si="1122">IF(OR(A1152=J1152,A1152=K1152),"ДА","НЕТ")</f>
        <v>ДА</v>
      </c>
      <c r="M1152" s="10" t="s">
        <v>1575</v>
      </c>
      <c r="N1152" s="10" t="s">
        <v>1575</v>
      </c>
      <c r="O1152" s="10">
        <v>6.3E-2</v>
      </c>
      <c r="P1152" s="10">
        <f t="shared" si="913"/>
        <v>25.736172600284988</v>
      </c>
      <c r="Q1152" s="10" t="str">
        <f t="shared" si="914"/>
        <v>NA</v>
      </c>
      <c r="R1152" s="10" t="s">
        <v>1575</v>
      </c>
      <c r="S1152" s="10" t="s">
        <v>1575</v>
      </c>
      <c r="T1152" s="10" t="s">
        <v>1575</v>
      </c>
      <c r="U1152" s="10" t="s">
        <v>1575</v>
      </c>
      <c r="V1152" s="10" t="s">
        <v>1575</v>
      </c>
      <c r="W1152" s="10" t="s">
        <v>1575</v>
      </c>
      <c r="X1152" s="10" t="str">
        <f t="shared" ref="X1152" si="1123">IFERROR(V1152+W1152,"NA")</f>
        <v>NA</v>
      </c>
      <c r="Y1152" s="10" t="str">
        <f t="shared" ref="Y1152" si="1124">IFERROR(P1152/R1152,"NA")</f>
        <v>NA</v>
      </c>
      <c r="Z1152" s="10" t="str">
        <f t="shared" ref="Z1152" si="1125">IFERROR(P1152/U1152,"NA")</f>
        <v>NA</v>
      </c>
      <c r="AA1152" s="10" t="str">
        <f t="shared" ref="AA1152" si="1126">IFERROR(P1152/V1152,"NA")</f>
        <v>NA</v>
      </c>
      <c r="AB1152" s="10" t="str">
        <f t="shared" ref="AB1152" si="1127">IFERROR(Q1152/R1152,"NA")</f>
        <v>NA</v>
      </c>
      <c r="AC1152" s="10" t="str">
        <f t="shared" ref="AC1152" si="1128">IFERROR(Q1152/S1152,"NA")</f>
        <v>NA</v>
      </c>
      <c r="AD1152" s="10" t="str">
        <f t="shared" ref="AD1152" si="1129">IFERROR(Q1152/T1152,"NA")</f>
        <v>NA</v>
      </c>
      <c r="AE1152" s="10" t="str">
        <f t="shared" ref="AE1152" si="1130">IFERROR(Q1152/X1152,"NA")</f>
        <v>NA</v>
      </c>
      <c r="AF1152" s="1" t="s">
        <v>4552</v>
      </c>
    </row>
    <row r="1153" spans="1:32" x14ac:dyDescent="0.2">
      <c r="A1153" s="1" t="s">
        <v>5870</v>
      </c>
      <c r="B1153" s="1" t="s">
        <v>5</v>
      </c>
      <c r="C1153" s="1" t="s">
        <v>1575</v>
      </c>
      <c r="D1153" s="1" t="s">
        <v>1600</v>
      </c>
      <c r="E1153" s="1" t="s">
        <v>1659</v>
      </c>
      <c r="F1153" s="1" t="s">
        <v>118</v>
      </c>
      <c r="G1153" s="4">
        <v>0.49</v>
      </c>
      <c r="H1153" s="28">
        <v>42551</v>
      </c>
      <c r="I1153" s="29">
        <f t="shared" ref="I1153:I1154" si="1131">YEAR(H1153)</f>
        <v>2016</v>
      </c>
      <c r="J1153" s="1" t="s">
        <v>59</v>
      </c>
      <c r="K1153" s="1" t="s">
        <v>1674</v>
      </c>
      <c r="L1153" s="11" t="str">
        <f t="shared" si="912"/>
        <v>НЕТ</v>
      </c>
      <c r="M1153" s="10" t="s">
        <v>1575</v>
      </c>
      <c r="N1153" s="10" t="s">
        <v>1575</v>
      </c>
      <c r="O1153" s="10">
        <v>34.299999999999997</v>
      </c>
      <c r="P1153" s="10">
        <f t="shared" si="913"/>
        <v>70</v>
      </c>
      <c r="Q1153" s="10" t="str">
        <f t="shared" si="914"/>
        <v>NA</v>
      </c>
      <c r="R1153" s="10" t="s">
        <v>1575</v>
      </c>
      <c r="S1153" s="10" t="s">
        <v>1575</v>
      </c>
      <c r="T1153" s="10" t="s">
        <v>1575</v>
      </c>
      <c r="U1153" s="10" t="s">
        <v>1575</v>
      </c>
      <c r="V1153" s="10" t="s">
        <v>1575</v>
      </c>
      <c r="W1153" s="10" t="s">
        <v>1575</v>
      </c>
      <c r="X1153" s="10" t="str">
        <f t="shared" si="1113"/>
        <v>NA</v>
      </c>
      <c r="Y1153" s="10" t="str">
        <f t="shared" si="1114"/>
        <v>NA</v>
      </c>
      <c r="Z1153" s="10" t="str">
        <f t="shared" si="1115"/>
        <v>NA</v>
      </c>
      <c r="AA1153" s="10" t="str">
        <f t="shared" si="1116"/>
        <v>NA</v>
      </c>
      <c r="AB1153" s="10" t="str">
        <f t="shared" si="1117"/>
        <v>NA</v>
      </c>
      <c r="AC1153" s="10" t="str">
        <f t="shared" si="1118"/>
        <v>NA</v>
      </c>
      <c r="AD1153" s="10" t="str">
        <f t="shared" si="1119"/>
        <v>NA</v>
      </c>
      <c r="AE1153" s="10" t="str">
        <f t="shared" si="1120"/>
        <v>NA</v>
      </c>
      <c r="AF1153" s="1" t="s">
        <v>1226</v>
      </c>
    </row>
    <row r="1154" spans="1:32" x14ac:dyDescent="0.2">
      <c r="A1154" s="1" t="s">
        <v>114</v>
      </c>
      <c r="B1154" s="1" t="s">
        <v>75</v>
      </c>
      <c r="C1154" s="1" t="s">
        <v>1575</v>
      </c>
      <c r="D1154" s="1" t="s">
        <v>1600</v>
      </c>
      <c r="E1154" s="1" t="s">
        <v>1659</v>
      </c>
      <c r="F1154" s="1" t="s">
        <v>118</v>
      </c>
      <c r="G1154" s="4">
        <v>1</v>
      </c>
      <c r="H1154" s="28">
        <v>42004</v>
      </c>
      <c r="I1154" s="29">
        <f t="shared" si="1131"/>
        <v>2014</v>
      </c>
      <c r="J1154" s="1" t="s">
        <v>7</v>
      </c>
      <c r="K1154" s="1" t="s">
        <v>1674</v>
      </c>
      <c r="L1154" s="11" t="str">
        <f t="shared" ref="L1154" si="1132">IF(OR(A1154=J1154,A1154=K1154),"ДА","НЕТ")</f>
        <v>НЕТ</v>
      </c>
      <c r="M1154" s="10" t="s">
        <v>1575</v>
      </c>
      <c r="N1154" s="10" t="s">
        <v>1575</v>
      </c>
      <c r="O1154" s="10" t="s">
        <v>1575</v>
      </c>
      <c r="P1154" s="10" t="str">
        <f t="shared" si="913"/>
        <v>NA</v>
      </c>
      <c r="Q1154" s="10" t="str">
        <f t="shared" si="914"/>
        <v>NA</v>
      </c>
      <c r="R1154" s="10">
        <v>0.38900000000000001</v>
      </c>
      <c r="S1154" s="10" t="s">
        <v>1575</v>
      </c>
      <c r="T1154" s="10">
        <f>U1154+0.085+11.653+0.146</f>
        <v>-1.2569999999999988</v>
      </c>
      <c r="U1154" s="10">
        <v>-13.141</v>
      </c>
      <c r="V1154" s="10">
        <v>1.77</v>
      </c>
      <c r="W1154" s="10">
        <f>0.617+0.47+3.097-0.091</f>
        <v>4.093</v>
      </c>
      <c r="X1154" s="10">
        <f t="shared" ref="X1154" si="1133">IFERROR(V1154+W1154,"NA")</f>
        <v>5.8629999999999995</v>
      </c>
      <c r="Y1154" s="10" t="str">
        <f t="shared" ref="Y1154" si="1134">IFERROR(P1154/R1154,"NA")</f>
        <v>NA</v>
      </c>
      <c r="Z1154" s="10" t="str">
        <f t="shared" ref="Z1154" si="1135">IFERROR(P1154/U1154,"NA")</f>
        <v>NA</v>
      </c>
      <c r="AA1154" s="10" t="str">
        <f t="shared" ref="AA1154" si="1136">IFERROR(P1154/V1154,"NA")</f>
        <v>NA</v>
      </c>
      <c r="AB1154" s="10" t="str">
        <f t="shared" ref="AB1154" si="1137">IFERROR(Q1154/R1154,"NA")</f>
        <v>NA</v>
      </c>
      <c r="AC1154" s="10" t="str">
        <f t="shared" ref="AC1154" si="1138">IFERROR(Q1154/S1154,"NA")</f>
        <v>NA</v>
      </c>
      <c r="AD1154" s="10" t="str">
        <f t="shared" ref="AD1154" si="1139">IFERROR(Q1154/T1154,"NA")</f>
        <v>NA</v>
      </c>
      <c r="AE1154" s="10" t="str">
        <f t="shared" ref="AE1154" si="1140">IFERROR(Q1154/X1154,"NA")</f>
        <v>NA</v>
      </c>
      <c r="AF1154" s="1" t="s">
        <v>4555</v>
      </c>
    </row>
    <row r="1155" spans="1:32" x14ac:dyDescent="0.2">
      <c r="A1155" s="1" t="s">
        <v>104</v>
      </c>
      <c r="B1155" s="1" t="s">
        <v>3</v>
      </c>
      <c r="C1155" s="1" t="s">
        <v>1575</v>
      </c>
      <c r="D1155" s="1" t="s">
        <v>1600</v>
      </c>
      <c r="E1155" s="1" t="s">
        <v>2050</v>
      </c>
      <c r="F1155" s="1" t="s">
        <v>105</v>
      </c>
      <c r="G1155" s="4">
        <v>0.36</v>
      </c>
      <c r="H1155" s="28">
        <v>41987</v>
      </c>
      <c r="I1155" s="29">
        <f t="shared" ref="I1155:I1260" si="1141">YEAR(H1155)</f>
        <v>2014</v>
      </c>
      <c r="J1155" s="1" t="s">
        <v>7</v>
      </c>
      <c r="K1155" s="1" t="s">
        <v>1674</v>
      </c>
      <c r="L1155" s="11" t="str">
        <f t="shared" si="912"/>
        <v>НЕТ</v>
      </c>
      <c r="M1155" s="10" t="s">
        <v>1575</v>
      </c>
      <c r="N1155" s="10">
        <v>7.0000000000000007E-2</v>
      </c>
      <c r="O1155" s="10">
        <v>5.0000000000000001E-3</v>
      </c>
      <c r="P1155" s="10">
        <f t="shared" ref="P1155:P1218" si="1142">IFERROR(O1155/G1155,"NA")</f>
        <v>1.388888888888889E-2</v>
      </c>
      <c r="Q1155" s="10" t="str">
        <f t="shared" ref="Q1155:Q1218" si="1143">IFERROR(P1155+W1155,"NA")</f>
        <v>NA</v>
      </c>
      <c r="R1155" s="10" t="s">
        <v>1575</v>
      </c>
      <c r="S1155" s="10" t="s">
        <v>1575</v>
      </c>
      <c r="T1155" s="10" t="s">
        <v>1575</v>
      </c>
      <c r="U1155" s="10" t="s">
        <v>1575</v>
      </c>
      <c r="V1155" s="10" t="s">
        <v>1575</v>
      </c>
      <c r="W1155" s="10" t="s">
        <v>1575</v>
      </c>
      <c r="X1155" s="10" t="str">
        <f t="shared" si="1113"/>
        <v>NA</v>
      </c>
      <c r="Y1155" s="10" t="str">
        <f t="shared" si="1114"/>
        <v>NA</v>
      </c>
      <c r="Z1155" s="10" t="str">
        <f t="shared" si="1115"/>
        <v>NA</v>
      </c>
      <c r="AA1155" s="10" t="str">
        <f t="shared" si="1116"/>
        <v>NA</v>
      </c>
      <c r="AB1155" s="10" t="str">
        <f t="shared" si="1117"/>
        <v>NA</v>
      </c>
      <c r="AC1155" s="10" t="str">
        <f t="shared" si="1118"/>
        <v>NA</v>
      </c>
      <c r="AD1155" s="10" t="str">
        <f t="shared" si="1119"/>
        <v>NA</v>
      </c>
      <c r="AE1155" s="10" t="str">
        <f t="shared" si="1120"/>
        <v>NA</v>
      </c>
      <c r="AF1155" s="1" t="s">
        <v>4554</v>
      </c>
    </row>
    <row r="1156" spans="1:32" x14ac:dyDescent="0.2">
      <c r="A1156" s="1" t="s">
        <v>4556</v>
      </c>
      <c r="B1156" s="1" t="s">
        <v>132</v>
      </c>
      <c r="C1156" s="1" t="s">
        <v>1575</v>
      </c>
      <c r="D1156" s="1" t="s">
        <v>1600</v>
      </c>
      <c r="E1156" s="1" t="s">
        <v>2050</v>
      </c>
      <c r="F1156" s="1" t="s">
        <v>120</v>
      </c>
      <c r="G1156" s="4" t="s">
        <v>11</v>
      </c>
      <c r="H1156" s="28">
        <v>41320</v>
      </c>
      <c r="I1156" s="29">
        <f t="shared" si="1141"/>
        <v>2013</v>
      </c>
      <c r="J1156" s="1" t="s">
        <v>7</v>
      </c>
      <c r="K1156" s="1" t="s">
        <v>1674</v>
      </c>
      <c r="L1156" s="11" t="str">
        <f t="shared" ref="L1156" si="1144">IF(OR(A1156=J1156,A1156=K1156),"ДА","НЕТ")</f>
        <v>НЕТ</v>
      </c>
      <c r="M1156" s="10">
        <v>1E-3</v>
      </c>
      <c r="N1156" s="10" t="s">
        <v>1575</v>
      </c>
      <c r="O1156" s="10">
        <f>M1156*30.0773/1000</f>
        <v>3.0077300000000001E-5</v>
      </c>
      <c r="P1156" s="10" t="str">
        <f t="shared" si="1142"/>
        <v>NA</v>
      </c>
      <c r="Q1156" s="10" t="str">
        <f t="shared" si="1143"/>
        <v>NA</v>
      </c>
      <c r="R1156" s="10" t="s">
        <v>1575</v>
      </c>
      <c r="S1156" s="10" t="s">
        <v>1575</v>
      </c>
      <c r="T1156" s="10" t="s">
        <v>1575</v>
      </c>
      <c r="U1156" s="10" t="s">
        <v>1575</v>
      </c>
      <c r="V1156" s="10">
        <v>-26.367999999999999</v>
      </c>
      <c r="W1156" s="10" t="s">
        <v>1575</v>
      </c>
      <c r="X1156" s="10" t="str">
        <f t="shared" ref="X1156" si="1145">IFERROR(V1156+W1156,"NA")</f>
        <v>NA</v>
      </c>
      <c r="Y1156" s="10" t="str">
        <f t="shared" ref="Y1156" si="1146">IFERROR(P1156/R1156,"NA")</f>
        <v>NA</v>
      </c>
      <c r="Z1156" s="10" t="str">
        <f t="shared" ref="Z1156" si="1147">IFERROR(P1156/U1156,"NA")</f>
        <v>NA</v>
      </c>
      <c r="AA1156" s="10" t="str">
        <f t="shared" ref="AA1156" si="1148">IFERROR(P1156/V1156,"NA")</f>
        <v>NA</v>
      </c>
      <c r="AB1156" s="10" t="str">
        <f t="shared" ref="AB1156" si="1149">IFERROR(Q1156/R1156,"NA")</f>
        <v>NA</v>
      </c>
      <c r="AC1156" s="10" t="str">
        <f t="shared" ref="AC1156" si="1150">IFERROR(Q1156/S1156,"NA")</f>
        <v>NA</v>
      </c>
      <c r="AD1156" s="10" t="str">
        <f t="shared" ref="AD1156" si="1151">IFERROR(Q1156/T1156,"NA")</f>
        <v>NA</v>
      </c>
      <c r="AE1156" s="10" t="str">
        <f t="shared" ref="AE1156" si="1152">IFERROR(Q1156/X1156,"NA")</f>
        <v>NA</v>
      </c>
      <c r="AF1156" s="1" t="s">
        <v>4564</v>
      </c>
    </row>
    <row r="1157" spans="1:32" x14ac:dyDescent="0.2">
      <c r="A1157" s="1" t="s">
        <v>109</v>
      </c>
      <c r="B1157" s="1" t="s">
        <v>111</v>
      </c>
      <c r="C1157" s="1" t="s">
        <v>1575</v>
      </c>
      <c r="D1157" s="1" t="s">
        <v>1601</v>
      </c>
      <c r="E1157" s="1" t="s">
        <v>1608</v>
      </c>
      <c r="F1157" s="1" t="s">
        <v>110</v>
      </c>
      <c r="G1157" s="4">
        <v>1</v>
      </c>
      <c r="H1157" s="28">
        <v>41460</v>
      </c>
      <c r="I1157" s="29">
        <f t="shared" si="1141"/>
        <v>2013</v>
      </c>
      <c r="J1157" s="1" t="s">
        <v>7</v>
      </c>
      <c r="K1157" s="1" t="s">
        <v>1674</v>
      </c>
      <c r="L1157" s="11" t="str">
        <f t="shared" si="912"/>
        <v>НЕТ</v>
      </c>
      <c r="M1157" s="10">
        <v>37.557000000000002</v>
      </c>
      <c r="N1157" s="10" t="s">
        <v>1575</v>
      </c>
      <c r="O1157" s="10">
        <f>M1157*33.1605/1000</f>
        <v>1.2454088985</v>
      </c>
      <c r="P1157" s="10">
        <f t="shared" si="1142"/>
        <v>1.2454088985</v>
      </c>
      <c r="Q1157" s="10">
        <f t="shared" si="1143"/>
        <v>1.1269595925</v>
      </c>
      <c r="R1157" s="10">
        <f>37.01*33.1605/1000</f>
        <v>1.2272701049999999</v>
      </c>
      <c r="S1157" s="10" t="s">
        <v>1575</v>
      </c>
      <c r="T1157" s="10" t="s">
        <v>1575</v>
      </c>
      <c r="U1157" s="10">
        <f>-108.429*33.1605/1000</f>
        <v>-3.5955598544999998</v>
      </c>
      <c r="V1157" s="10">
        <f>(58.04-23.257)*33.1605/1000</f>
        <v>1.1534216715000001</v>
      </c>
      <c r="W1157" s="10">
        <f>(0-3.572)*33.1605/1000</f>
        <v>-0.11844930599999999</v>
      </c>
      <c r="X1157" s="10">
        <f t="shared" si="1113"/>
        <v>1.0349723655</v>
      </c>
      <c r="Y1157" s="10">
        <f t="shared" si="1114"/>
        <v>1.0147797892461499</v>
      </c>
      <c r="Z1157" s="10">
        <f t="shared" si="1115"/>
        <v>-0.34637412500345849</v>
      </c>
      <c r="AA1157" s="10">
        <f t="shared" si="1116"/>
        <v>1.0797516027944685</v>
      </c>
      <c r="AB1157" s="10">
        <f t="shared" si="1117"/>
        <v>0.91826533369359642</v>
      </c>
      <c r="AC1157" s="10" t="str">
        <f t="shared" si="1118"/>
        <v>NA</v>
      </c>
      <c r="AD1157" s="10" t="str">
        <f t="shared" si="1119"/>
        <v>NA</v>
      </c>
      <c r="AE1157" s="10">
        <f t="shared" si="1120"/>
        <v>1.0888789208932748</v>
      </c>
      <c r="AF1157" s="1" t="s">
        <v>4559</v>
      </c>
    </row>
    <row r="1158" spans="1:32" x14ac:dyDescent="0.2">
      <c r="A1158" s="1" t="s">
        <v>112</v>
      </c>
      <c r="B1158" s="1" t="s">
        <v>122</v>
      </c>
      <c r="C1158" s="1" t="s">
        <v>1575</v>
      </c>
      <c r="D1158" s="1" t="s">
        <v>1600</v>
      </c>
      <c r="E1158" s="1" t="s">
        <v>2050</v>
      </c>
      <c r="F1158" s="1" t="s">
        <v>120</v>
      </c>
      <c r="G1158" s="4">
        <v>1</v>
      </c>
      <c r="H1158" s="28">
        <v>41473</v>
      </c>
      <c r="I1158" s="29">
        <f t="shared" si="1141"/>
        <v>2013</v>
      </c>
      <c r="J1158" s="1" t="s">
        <v>7</v>
      </c>
      <c r="K1158" s="1" t="s">
        <v>1674</v>
      </c>
      <c r="L1158" s="11" t="str">
        <f t="shared" si="912"/>
        <v>НЕТ</v>
      </c>
      <c r="M1158" s="10">
        <v>1.6679999999999999</v>
      </c>
      <c r="N1158" s="10" t="s">
        <v>1575</v>
      </c>
      <c r="O1158" s="10">
        <f>M1158*32.4526/1000</f>
        <v>5.4130936799999994E-2</v>
      </c>
      <c r="P1158" s="10">
        <f t="shared" si="1142"/>
        <v>5.4130936799999994E-2</v>
      </c>
      <c r="Q1158" s="10">
        <f t="shared" si="1143"/>
        <v>5.2703022399999994E-2</v>
      </c>
      <c r="R1158" s="10">
        <f>12.642*32.4526/1000</f>
        <v>0.41026576919999996</v>
      </c>
      <c r="S1158" s="10" t="s">
        <v>1575</v>
      </c>
      <c r="T1158" s="10" t="s">
        <v>1575</v>
      </c>
      <c r="U1158" s="10">
        <f>-3.588*32.4526/1000</f>
        <v>-0.11643992879999999</v>
      </c>
      <c r="V1158" s="10">
        <f>(3.65-1.982)*32.4526/1000</f>
        <v>5.4130936799999994E-2</v>
      </c>
      <c r="W1158" s="10">
        <f>(0-0.044)*32.4526/1000</f>
        <v>-1.4279143999999997E-3</v>
      </c>
      <c r="X1158" s="10">
        <f t="shared" si="1113"/>
        <v>5.2703022399999994E-2</v>
      </c>
      <c r="Y1158" s="10">
        <f t="shared" si="1114"/>
        <v>0.13194114855244424</v>
      </c>
      <c r="Z1158" s="10">
        <f t="shared" si="1115"/>
        <v>-0.46488294314381268</v>
      </c>
      <c r="AA1158" s="10">
        <f t="shared" si="1116"/>
        <v>1</v>
      </c>
      <c r="AB1158" s="10">
        <f t="shared" si="1117"/>
        <v>0.12846068660022147</v>
      </c>
      <c r="AC1158" s="10" t="str">
        <f t="shared" si="1118"/>
        <v>NA</v>
      </c>
      <c r="AD1158" s="10" t="str">
        <f t="shared" si="1119"/>
        <v>NA</v>
      </c>
      <c r="AE1158" s="10">
        <f t="shared" si="1120"/>
        <v>1</v>
      </c>
      <c r="AF1158" s="1" t="s">
        <v>4560</v>
      </c>
    </row>
    <row r="1159" spans="1:32" x14ac:dyDescent="0.2">
      <c r="A1159" s="1" t="s">
        <v>4561</v>
      </c>
      <c r="B1159" s="1" t="s">
        <v>5</v>
      </c>
      <c r="C1159" s="1" t="s">
        <v>1575</v>
      </c>
      <c r="D1159" s="1" t="s">
        <v>1600</v>
      </c>
      <c r="E1159" s="1" t="s">
        <v>2052</v>
      </c>
      <c r="F1159" s="1" t="s">
        <v>108</v>
      </c>
      <c r="G1159" s="4">
        <v>1</v>
      </c>
      <c r="H1159" s="28">
        <v>41472</v>
      </c>
      <c r="I1159" s="29">
        <f t="shared" si="1141"/>
        <v>2013</v>
      </c>
      <c r="J1159" s="1" t="s">
        <v>7</v>
      </c>
      <c r="K1159" s="1" t="s">
        <v>1674</v>
      </c>
      <c r="L1159" s="11" t="str">
        <f t="shared" si="912"/>
        <v>НЕТ</v>
      </c>
      <c r="M1159" s="10">
        <v>0.51700000000000002</v>
      </c>
      <c r="N1159" s="10" t="s">
        <v>1575</v>
      </c>
      <c r="O1159" s="10">
        <f>M1159*32.5417/1000</f>
        <v>1.6824058900000001E-2</v>
      </c>
      <c r="P1159" s="10">
        <f t="shared" si="1142"/>
        <v>1.6824058900000001E-2</v>
      </c>
      <c r="Q1159" s="10">
        <f t="shared" si="1143"/>
        <v>0.94601976069999993</v>
      </c>
      <c r="R1159" s="10">
        <f>25.765*32.5417/1000</f>
        <v>0.83843690049999997</v>
      </c>
      <c r="S1159" s="10" t="s">
        <v>1575</v>
      </c>
      <c r="T1159" s="10" t="s">
        <v>1575</v>
      </c>
      <c r="U1159" s="10">
        <f>-0.175*32.5417/1000</f>
        <v>-5.6947974999999994E-3</v>
      </c>
      <c r="V1159" s="10">
        <f>(57.136-56.224)*32.5417/1000</f>
        <v>2.9678030400000201E-2</v>
      </c>
      <c r="W1159" s="10">
        <f>(30.72-2.166)*32.5417/1000</f>
        <v>0.92919570179999988</v>
      </c>
      <c r="X1159" s="10">
        <f t="shared" si="1113"/>
        <v>0.95887373220000005</v>
      </c>
      <c r="Y1159" s="10">
        <f t="shared" si="1114"/>
        <v>2.0065980981952263E-2</v>
      </c>
      <c r="Z1159" s="10">
        <f t="shared" si="1115"/>
        <v>-2.9542857142857146</v>
      </c>
      <c r="AA1159" s="10">
        <f t="shared" si="1116"/>
        <v>0.56688596491227694</v>
      </c>
      <c r="AB1159" s="10">
        <f t="shared" si="1117"/>
        <v>1.1283136037259849</v>
      </c>
      <c r="AC1159" s="10" t="str">
        <f t="shared" si="1118"/>
        <v>NA</v>
      </c>
      <c r="AD1159" s="10" t="str">
        <f t="shared" si="1119"/>
        <v>NA</v>
      </c>
      <c r="AE1159" s="10">
        <f t="shared" si="1120"/>
        <v>0.9865947193375415</v>
      </c>
      <c r="AF1159" s="1" t="s">
        <v>4562</v>
      </c>
    </row>
    <row r="1160" spans="1:32" x14ac:dyDescent="0.2">
      <c r="A1160" s="1" t="s">
        <v>113</v>
      </c>
      <c r="B1160" s="1" t="s">
        <v>21</v>
      </c>
      <c r="C1160" s="1" t="s">
        <v>1575</v>
      </c>
      <c r="D1160" s="1" t="s">
        <v>1600</v>
      </c>
      <c r="E1160" s="1" t="s">
        <v>3023</v>
      </c>
      <c r="F1160" s="1" t="s">
        <v>121</v>
      </c>
      <c r="G1160" s="4">
        <v>1</v>
      </c>
      <c r="H1160" s="28">
        <v>41635</v>
      </c>
      <c r="I1160" s="29">
        <f t="shared" si="1141"/>
        <v>2013</v>
      </c>
      <c r="J1160" s="1" t="s">
        <v>7</v>
      </c>
      <c r="K1160" s="1" t="s">
        <v>1674</v>
      </c>
      <c r="L1160" s="11" t="str">
        <f t="shared" si="912"/>
        <v>НЕТ</v>
      </c>
      <c r="M1160" s="10">
        <v>425</v>
      </c>
      <c r="N1160" s="10" t="s">
        <v>1575</v>
      </c>
      <c r="O1160" s="10">
        <f>M1160*32.671/1000</f>
        <v>13.885174999999998</v>
      </c>
      <c r="P1160" s="10">
        <f t="shared" si="1142"/>
        <v>13.885174999999998</v>
      </c>
      <c r="Q1160" s="10">
        <f t="shared" si="1143"/>
        <v>14.393470417999998</v>
      </c>
      <c r="R1160" s="10">
        <f>197.894*32.671/1000</f>
        <v>6.4653948739999993</v>
      </c>
      <c r="S1160" s="10" t="s">
        <v>1575</v>
      </c>
      <c r="T1160" s="10" t="s">
        <v>1575</v>
      </c>
      <c r="U1160" s="10">
        <f>-64.487*32.671/1000</f>
        <v>-2.1068547770000001</v>
      </c>
      <c r="V1160" s="10">
        <f>(496.318-62.478)*32.671/1000</f>
        <v>14.173986639999999</v>
      </c>
      <c r="W1160" s="10">
        <f>(31.719-16.161)*32.671/1000</f>
        <v>0.508295418</v>
      </c>
      <c r="X1160" s="10">
        <f t="shared" si="1113"/>
        <v>14.682282057999998</v>
      </c>
      <c r="Y1160" s="10">
        <f t="shared" si="1114"/>
        <v>2.1476143794152427</v>
      </c>
      <c r="Z1160" s="10">
        <f t="shared" si="1115"/>
        <v>-6.5904755997332787</v>
      </c>
      <c r="AA1160" s="10">
        <f t="shared" si="1116"/>
        <v>0.97962382445141061</v>
      </c>
      <c r="AB1160" s="10">
        <f t="shared" si="1117"/>
        <v>2.2262322253327538</v>
      </c>
      <c r="AC1160" s="10" t="str">
        <f t="shared" si="1118"/>
        <v>NA</v>
      </c>
      <c r="AD1160" s="10" t="str">
        <f t="shared" si="1119"/>
        <v>NA</v>
      </c>
      <c r="AE1160" s="10">
        <f t="shared" si="1120"/>
        <v>0.98032924045055825</v>
      </c>
      <c r="AF1160" s="1" t="s">
        <v>4563</v>
      </c>
    </row>
    <row r="1161" spans="1:32" x14ac:dyDescent="0.2">
      <c r="A1161" s="1" t="s">
        <v>5869</v>
      </c>
      <c r="B1161" s="1" t="s">
        <v>5</v>
      </c>
      <c r="C1161" s="1" t="s">
        <v>1575</v>
      </c>
      <c r="D1161" s="1" t="s">
        <v>1600</v>
      </c>
      <c r="E1161" s="1" t="s">
        <v>1659</v>
      </c>
      <c r="F1161" s="1" t="s">
        <v>118</v>
      </c>
      <c r="G1161" s="4">
        <v>2.0999999999999999E-3</v>
      </c>
      <c r="H1161" s="28">
        <v>41364</v>
      </c>
      <c r="I1161" s="29">
        <f t="shared" si="1141"/>
        <v>2013</v>
      </c>
      <c r="J1161" s="1" t="s">
        <v>1674</v>
      </c>
      <c r="K1161" s="1" t="s">
        <v>7</v>
      </c>
      <c r="L1161" s="11" t="str">
        <f t="shared" si="912"/>
        <v>НЕТ</v>
      </c>
      <c r="M1161" s="10">
        <v>3.3000000000000002E-2</v>
      </c>
      <c r="N1161" s="10" t="s">
        <v>1575</v>
      </c>
      <c r="O1161" s="10">
        <f>M1161*31.0834/1000</f>
        <v>1.0257522000000001E-3</v>
      </c>
      <c r="P1161" s="10">
        <f t="shared" si="1142"/>
        <v>0.48845342857142865</v>
      </c>
      <c r="Q1161" s="10" t="str">
        <f t="shared" si="1143"/>
        <v>NA</v>
      </c>
      <c r="R1161" s="10" t="s">
        <v>1575</v>
      </c>
      <c r="S1161" s="10" t="s">
        <v>1575</v>
      </c>
      <c r="T1161" s="10" t="s">
        <v>1575</v>
      </c>
      <c r="U1161" s="10" t="s">
        <v>1575</v>
      </c>
      <c r="V1161" s="10" t="s">
        <v>1575</v>
      </c>
      <c r="W1161" s="10" t="s">
        <v>1575</v>
      </c>
      <c r="X1161" s="10" t="str">
        <f t="shared" si="1113"/>
        <v>NA</v>
      </c>
      <c r="Y1161" s="10" t="str">
        <f t="shared" si="1114"/>
        <v>NA</v>
      </c>
      <c r="Z1161" s="10" t="str">
        <f t="shared" si="1115"/>
        <v>NA</v>
      </c>
      <c r="AA1161" s="10" t="str">
        <f t="shared" si="1116"/>
        <v>NA</v>
      </c>
      <c r="AB1161" s="10" t="str">
        <f t="shared" si="1117"/>
        <v>NA</v>
      </c>
      <c r="AC1161" s="10" t="str">
        <f t="shared" si="1118"/>
        <v>NA</v>
      </c>
      <c r="AD1161" s="10" t="str">
        <f t="shared" si="1119"/>
        <v>NA</v>
      </c>
      <c r="AE1161" s="10" t="str">
        <f t="shared" si="1120"/>
        <v>NA</v>
      </c>
      <c r="AF1161" s="1" t="s">
        <v>4569</v>
      </c>
    </row>
    <row r="1162" spans="1:32" x14ac:dyDescent="0.2">
      <c r="A1162" s="1" t="s">
        <v>1672</v>
      </c>
      <c r="B1162" s="1" t="s">
        <v>5</v>
      </c>
      <c r="C1162" s="1" t="s">
        <v>1673</v>
      </c>
      <c r="D1162" s="1" t="s">
        <v>1600</v>
      </c>
      <c r="E1162" s="1" t="s">
        <v>1671</v>
      </c>
      <c r="F1162" s="1" t="s">
        <v>72</v>
      </c>
      <c r="G1162" s="4">
        <v>4.3999999999999997E-2</v>
      </c>
      <c r="H1162" s="28">
        <v>41608</v>
      </c>
      <c r="I1162" s="29">
        <f t="shared" si="1141"/>
        <v>2013</v>
      </c>
      <c r="J1162" s="1" t="s">
        <v>1674</v>
      </c>
      <c r="K1162" s="1" t="s">
        <v>7</v>
      </c>
      <c r="L1162" s="11" t="str">
        <f t="shared" si="912"/>
        <v>НЕТ</v>
      </c>
      <c r="M1162" s="10">
        <v>29.158000000000001</v>
      </c>
      <c r="N1162" s="10" t="s">
        <v>1575</v>
      </c>
      <c r="O1162" s="10">
        <f>M1162*33.1916/1000</f>
        <v>0.96780067280000004</v>
      </c>
      <c r="P1162" s="10">
        <f t="shared" si="1142"/>
        <v>21.99546983636364</v>
      </c>
      <c r="Q1162" s="10" t="str">
        <f t="shared" si="1143"/>
        <v>NA</v>
      </c>
      <c r="R1162" s="10" t="s">
        <v>1575</v>
      </c>
      <c r="S1162" s="10" t="s">
        <v>1575</v>
      </c>
      <c r="T1162" s="10" t="s">
        <v>1575</v>
      </c>
      <c r="U1162" s="10" t="s">
        <v>1575</v>
      </c>
      <c r="V1162" s="10" t="s">
        <v>1575</v>
      </c>
      <c r="W1162" s="10" t="s">
        <v>1575</v>
      </c>
      <c r="X1162" s="10" t="str">
        <f t="shared" si="1113"/>
        <v>NA</v>
      </c>
      <c r="Y1162" s="10" t="str">
        <f t="shared" si="1114"/>
        <v>NA</v>
      </c>
      <c r="Z1162" s="10" t="str">
        <f t="shared" si="1115"/>
        <v>NA</v>
      </c>
      <c r="AA1162" s="10" t="str">
        <f t="shared" si="1116"/>
        <v>NA</v>
      </c>
      <c r="AB1162" s="10" t="str">
        <f t="shared" si="1117"/>
        <v>NA</v>
      </c>
      <c r="AC1162" s="10" t="str">
        <f t="shared" si="1118"/>
        <v>NA</v>
      </c>
      <c r="AD1162" s="10" t="str">
        <f t="shared" si="1119"/>
        <v>NA</v>
      </c>
      <c r="AE1162" s="10" t="str">
        <f t="shared" si="1120"/>
        <v>NA</v>
      </c>
      <c r="AF1162" s="1" t="s">
        <v>4568</v>
      </c>
    </row>
    <row r="1163" spans="1:32" x14ac:dyDescent="0.2">
      <c r="A1163" s="1" t="s">
        <v>117</v>
      </c>
      <c r="B1163" s="1" t="s">
        <v>5</v>
      </c>
      <c r="C1163" s="1" t="s">
        <v>1575</v>
      </c>
      <c r="D1163" s="1" t="s">
        <v>1580</v>
      </c>
      <c r="E1163" s="1" t="s">
        <v>2165</v>
      </c>
      <c r="F1163" s="1" t="s">
        <v>124</v>
      </c>
      <c r="G1163" s="4">
        <v>1.3100000000000001E-2</v>
      </c>
      <c r="H1163" s="28">
        <v>41608</v>
      </c>
      <c r="I1163" s="29">
        <f t="shared" si="1141"/>
        <v>2013</v>
      </c>
      <c r="J1163" s="1" t="s">
        <v>1674</v>
      </c>
      <c r="K1163" s="1" t="s">
        <v>7</v>
      </c>
      <c r="L1163" s="11" t="str">
        <f t="shared" si="912"/>
        <v>НЕТ</v>
      </c>
      <c r="M1163" s="10">
        <v>57.985999999999997</v>
      </c>
      <c r="N1163" s="10" t="s">
        <v>1575</v>
      </c>
      <c r="O1163" s="10">
        <f>M1163*33.1916/1000</f>
        <v>1.9246481175999999</v>
      </c>
      <c r="P1163" s="10">
        <f t="shared" si="1142"/>
        <v>146.91970363358777</v>
      </c>
      <c r="Q1163" s="10" t="str">
        <f t="shared" si="1143"/>
        <v>NA</v>
      </c>
      <c r="R1163" s="10" t="s">
        <v>1575</v>
      </c>
      <c r="S1163" s="10" t="s">
        <v>1575</v>
      </c>
      <c r="T1163" s="10" t="s">
        <v>1575</v>
      </c>
      <c r="U1163" s="10" t="s">
        <v>1575</v>
      </c>
      <c r="V1163" s="10" t="s">
        <v>1575</v>
      </c>
      <c r="W1163" s="10" t="s">
        <v>1575</v>
      </c>
      <c r="X1163" s="10" t="str">
        <f t="shared" si="1113"/>
        <v>NA</v>
      </c>
      <c r="Y1163" s="10" t="str">
        <f t="shared" si="1114"/>
        <v>NA</v>
      </c>
      <c r="Z1163" s="10" t="str">
        <f t="shared" si="1115"/>
        <v>NA</v>
      </c>
      <c r="AA1163" s="10" t="str">
        <f t="shared" si="1116"/>
        <v>NA</v>
      </c>
      <c r="AB1163" s="10" t="str">
        <f t="shared" si="1117"/>
        <v>NA</v>
      </c>
      <c r="AC1163" s="10" t="str">
        <f t="shared" si="1118"/>
        <v>NA</v>
      </c>
      <c r="AD1163" s="10" t="str">
        <f t="shared" si="1119"/>
        <v>NA</v>
      </c>
      <c r="AE1163" s="10" t="str">
        <f t="shared" si="1120"/>
        <v>NA</v>
      </c>
      <c r="AF1163" s="1" t="s">
        <v>4567</v>
      </c>
    </row>
    <row r="1164" spans="1:32" x14ac:dyDescent="0.2">
      <c r="A1164" s="1" t="s">
        <v>129</v>
      </c>
      <c r="B1164" s="1" t="s">
        <v>91</v>
      </c>
      <c r="C1164" s="1" t="s">
        <v>1575</v>
      </c>
      <c r="D1164" s="1" t="s">
        <v>1600</v>
      </c>
      <c r="E1164" s="1" t="s">
        <v>2050</v>
      </c>
      <c r="F1164" s="1" t="s">
        <v>120</v>
      </c>
      <c r="G1164" s="4">
        <v>1</v>
      </c>
      <c r="H1164" s="28">
        <v>41615</v>
      </c>
      <c r="I1164" s="29">
        <f t="shared" ref="I1164:I1165" si="1153">YEAR(H1164)</f>
        <v>2013</v>
      </c>
      <c r="J1164" s="1" t="s">
        <v>7</v>
      </c>
      <c r="K1164" s="1" t="s">
        <v>1674</v>
      </c>
      <c r="L1164" s="11" t="str">
        <f t="shared" ref="L1164:L1165" si="1154">IF(OR(A1164=J1164,A1164=K1164),"ДА","НЕТ")</f>
        <v>НЕТ</v>
      </c>
      <c r="M1164" s="10">
        <v>80</v>
      </c>
      <c r="N1164" s="10" t="s">
        <v>1575</v>
      </c>
      <c r="O1164" s="10">
        <f>M1164*32.9514/1000</f>
        <v>2.6361120000000002</v>
      </c>
      <c r="P1164" s="10">
        <f t="shared" si="1142"/>
        <v>2.6361120000000002</v>
      </c>
      <c r="Q1164" s="10">
        <f t="shared" si="1143"/>
        <v>2.7748703454000001</v>
      </c>
      <c r="R1164" s="10">
        <f>100.32*32.9514/1000</f>
        <v>3.3056844479999996</v>
      </c>
      <c r="S1164" s="10" t="s">
        <v>1575</v>
      </c>
      <c r="T1164" s="10" t="s">
        <v>1575</v>
      </c>
      <c r="U1164" s="10">
        <f>-177.76*32.9514/1000</f>
        <v>-5.8574408639999991</v>
      </c>
      <c r="V1164" s="10">
        <f>(147.521-86.563)*32.9514/1000</f>
        <v>2.0086514411999996</v>
      </c>
      <c r="W1164" s="10">
        <f>(10.225-6.014)*32.9514/1000</f>
        <v>0.13875834539999995</v>
      </c>
      <c r="X1164" s="10">
        <f t="shared" ref="X1164:X1165" si="1155">IFERROR(V1164+W1164,"NA")</f>
        <v>2.1474097865999995</v>
      </c>
      <c r="Y1164" s="10">
        <f t="shared" ref="Y1164:Y1165" si="1156">IFERROR(P1164/R1164,"NA")</f>
        <v>0.79744816586921863</v>
      </c>
      <c r="Z1164" s="10">
        <f t="shared" ref="Z1164:Z1165" si="1157">IFERROR(P1164/U1164,"NA")</f>
        <v>-0.45004500450045015</v>
      </c>
      <c r="AA1164" s="10">
        <f t="shared" ref="AA1164:AA1165" si="1158">IFERROR(P1164/V1164,"NA")</f>
        <v>1.3123790150595496</v>
      </c>
      <c r="AB1164" s="10">
        <f t="shared" ref="AB1164:AB1165" si="1159">IFERROR(Q1164/R1164,"NA")</f>
        <v>0.83942384370015966</v>
      </c>
      <c r="AC1164" s="10" t="str">
        <f t="shared" ref="AC1164:AC1165" si="1160">IFERROR(Q1164/S1164,"NA")</f>
        <v>NA</v>
      </c>
      <c r="AD1164" s="10" t="str">
        <f t="shared" ref="AD1164:AD1165" si="1161">IFERROR(Q1164/T1164,"NA")</f>
        <v>NA</v>
      </c>
      <c r="AE1164" s="10">
        <f t="shared" ref="AE1164:AE1165" si="1162">IFERROR(Q1164/X1164,"NA")</f>
        <v>1.2921941413862423</v>
      </c>
      <c r="AF1164" s="1" t="s">
        <v>4571</v>
      </c>
    </row>
    <row r="1165" spans="1:32" x14ac:dyDescent="0.2">
      <c r="A1165" s="1" t="s">
        <v>5869</v>
      </c>
      <c r="B1165" s="1" t="s">
        <v>5</v>
      </c>
      <c r="C1165" s="1" t="s">
        <v>1575</v>
      </c>
      <c r="D1165" s="1" t="s">
        <v>1600</v>
      </c>
      <c r="E1165" s="1" t="s">
        <v>1659</v>
      </c>
      <c r="F1165" s="1" t="s">
        <v>118</v>
      </c>
      <c r="G1165" s="4">
        <v>2.9999999999999997E-4</v>
      </c>
      <c r="H1165" s="28">
        <v>41151</v>
      </c>
      <c r="I1165" s="29">
        <f t="shared" si="1153"/>
        <v>2012</v>
      </c>
      <c r="J1165" s="1" t="s">
        <v>1674</v>
      </c>
      <c r="K1165" s="1" t="s">
        <v>7</v>
      </c>
      <c r="L1165" s="11" t="str">
        <f t="shared" si="1154"/>
        <v>НЕТ</v>
      </c>
      <c r="M1165" s="10">
        <v>3.9999999999999998E-6</v>
      </c>
      <c r="N1165" s="10" t="s">
        <v>1575</v>
      </c>
      <c r="O1165" s="10">
        <f>M1165*32.2934/1000</f>
        <v>1.2917359999999999E-7</v>
      </c>
      <c r="P1165" s="10">
        <f t="shared" si="1142"/>
        <v>4.3057866666666668E-4</v>
      </c>
      <c r="Q1165" s="10" t="str">
        <f t="shared" si="1143"/>
        <v>NA</v>
      </c>
      <c r="R1165" s="10" t="s">
        <v>1575</v>
      </c>
      <c r="S1165" s="10" t="s">
        <v>1575</v>
      </c>
      <c r="T1165" s="10" t="s">
        <v>1575</v>
      </c>
      <c r="U1165" s="10" t="s">
        <v>1575</v>
      </c>
      <c r="V1165" s="10" t="s">
        <v>1575</v>
      </c>
      <c r="W1165" s="10" t="s">
        <v>1575</v>
      </c>
      <c r="X1165" s="10" t="str">
        <f t="shared" si="1155"/>
        <v>NA</v>
      </c>
      <c r="Y1165" s="10" t="str">
        <f t="shared" si="1156"/>
        <v>NA</v>
      </c>
      <c r="Z1165" s="10" t="str">
        <f t="shared" si="1157"/>
        <v>NA</v>
      </c>
      <c r="AA1165" s="10" t="str">
        <f t="shared" si="1158"/>
        <v>NA</v>
      </c>
      <c r="AB1165" s="10" t="str">
        <f t="shared" si="1159"/>
        <v>NA</v>
      </c>
      <c r="AC1165" s="10" t="str">
        <f t="shared" si="1160"/>
        <v>NA</v>
      </c>
      <c r="AD1165" s="10" t="str">
        <f t="shared" si="1161"/>
        <v>NA</v>
      </c>
      <c r="AE1165" s="10" t="str">
        <f t="shared" si="1162"/>
        <v>NA</v>
      </c>
      <c r="AF1165" s="1" t="s">
        <v>4578</v>
      </c>
    </row>
    <row r="1166" spans="1:32" x14ac:dyDescent="0.2">
      <c r="A1166" s="1" t="s">
        <v>106</v>
      </c>
      <c r="B1166" s="1" t="s">
        <v>107</v>
      </c>
      <c r="C1166" s="1" t="s">
        <v>1575</v>
      </c>
      <c r="D1166" s="1" t="s">
        <v>1600</v>
      </c>
      <c r="E1166" s="1" t="s">
        <v>4456</v>
      </c>
      <c r="F1166" s="1" t="s">
        <v>123</v>
      </c>
      <c r="G1166" s="4">
        <v>1</v>
      </c>
      <c r="H1166" s="28">
        <v>41177</v>
      </c>
      <c r="I1166" s="29">
        <f t="shared" ref="I1166:I1167" si="1163">YEAR(H1166)</f>
        <v>2012</v>
      </c>
      <c r="J1166" s="1" t="s">
        <v>1674</v>
      </c>
      <c r="K1166" s="1" t="s">
        <v>7</v>
      </c>
      <c r="L1166" s="11" t="str">
        <f t="shared" ref="L1166:L1167" si="1164">IF(OR(A1166=J1166,A1166=K1166),"ДА","НЕТ")</f>
        <v>НЕТ</v>
      </c>
      <c r="M1166" s="10">
        <v>29.056000000000001</v>
      </c>
      <c r="N1166" s="10" t="s">
        <v>1575</v>
      </c>
      <c r="O1166" s="10">
        <f>M1166*31.2513/1000</f>
        <v>0.90803777280000009</v>
      </c>
      <c r="P1166" s="10">
        <f t="shared" si="1142"/>
        <v>0.90803777280000009</v>
      </c>
      <c r="Q1166" s="10" t="str">
        <f t="shared" si="1143"/>
        <v>NA</v>
      </c>
      <c r="R1166" s="10" t="s">
        <v>1575</v>
      </c>
      <c r="S1166" s="10" t="s">
        <v>1575</v>
      </c>
      <c r="T1166" s="10" t="s">
        <v>1575</v>
      </c>
      <c r="U1166" s="10" t="s">
        <v>1575</v>
      </c>
      <c r="V1166" s="10">
        <f>-32.839*31.2513/1000</f>
        <v>-1.0262614406999999</v>
      </c>
      <c r="W1166" s="10" t="s">
        <v>1575</v>
      </c>
      <c r="X1166" s="10" t="str">
        <f t="shared" ref="X1166:X1167" si="1165">IFERROR(V1166+W1166,"NA")</f>
        <v>NA</v>
      </c>
      <c r="Y1166" s="10" t="str">
        <f t="shared" ref="Y1166:Y1167" si="1166">IFERROR(P1166/R1166,"NA")</f>
        <v>NA</v>
      </c>
      <c r="Z1166" s="10" t="str">
        <f t="shared" ref="Z1166:Z1167" si="1167">IFERROR(P1166/U1166,"NA")</f>
        <v>NA</v>
      </c>
      <c r="AA1166" s="10">
        <f t="shared" ref="AA1166:AA1167" si="1168">IFERROR(P1166/V1166,"NA")</f>
        <v>-0.88480160784433159</v>
      </c>
      <c r="AB1166" s="10" t="str">
        <f t="shared" ref="AB1166:AB1167" si="1169">IFERROR(Q1166/R1166,"NA")</f>
        <v>NA</v>
      </c>
      <c r="AC1166" s="10" t="str">
        <f t="shared" ref="AC1166:AC1167" si="1170">IFERROR(Q1166/S1166,"NA")</f>
        <v>NA</v>
      </c>
      <c r="AD1166" s="10" t="str">
        <f t="shared" ref="AD1166:AD1167" si="1171">IFERROR(Q1166/T1166,"NA")</f>
        <v>NA</v>
      </c>
      <c r="AE1166" s="10" t="str">
        <f t="shared" ref="AE1166:AE1167" si="1172">IFERROR(Q1166/X1166,"NA")</f>
        <v>NA</v>
      </c>
      <c r="AF1166" s="1" t="s">
        <v>4557</v>
      </c>
    </row>
    <row r="1167" spans="1:32" x14ac:dyDescent="0.2">
      <c r="A1167" s="1" t="s">
        <v>4561</v>
      </c>
      <c r="B1167" s="1" t="s">
        <v>5</v>
      </c>
      <c r="C1167" s="1" t="s">
        <v>1575</v>
      </c>
      <c r="D1167" s="1" t="s">
        <v>1600</v>
      </c>
      <c r="E1167" s="1" t="s">
        <v>2052</v>
      </c>
      <c r="F1167" s="1" t="s">
        <v>108</v>
      </c>
      <c r="G1167" s="4">
        <v>1</v>
      </c>
      <c r="H1167" s="28">
        <v>41235</v>
      </c>
      <c r="I1167" s="29">
        <f t="shared" si="1163"/>
        <v>2012</v>
      </c>
      <c r="J1167" s="1" t="s">
        <v>1674</v>
      </c>
      <c r="K1167" s="1" t="s">
        <v>7</v>
      </c>
      <c r="L1167" s="11" t="str">
        <f t="shared" si="1164"/>
        <v>НЕТ</v>
      </c>
      <c r="M1167" s="10">
        <v>0.1</v>
      </c>
      <c r="N1167" s="10" t="s">
        <v>1575</v>
      </c>
      <c r="O1167" s="10">
        <f>M1167*31.4218/1000</f>
        <v>3.1421800000000001E-3</v>
      </c>
      <c r="P1167" s="10">
        <f t="shared" si="1142"/>
        <v>3.1421800000000001E-3</v>
      </c>
      <c r="Q1167" s="10" t="str">
        <f t="shared" si="1143"/>
        <v>NA</v>
      </c>
      <c r="R1167" s="10" t="s">
        <v>1575</v>
      </c>
      <c r="S1167" s="10" t="s">
        <v>1575</v>
      </c>
      <c r="T1167" s="10" t="s">
        <v>1575</v>
      </c>
      <c r="U1167" s="10" t="s">
        <v>1575</v>
      </c>
      <c r="V1167" s="10">
        <f>-13.051*31.4218/1000</f>
        <v>-0.41008591180000004</v>
      </c>
      <c r="W1167" s="10" t="s">
        <v>1575</v>
      </c>
      <c r="X1167" s="10" t="str">
        <f t="shared" si="1165"/>
        <v>NA</v>
      </c>
      <c r="Y1167" s="10" t="str">
        <f t="shared" si="1166"/>
        <v>NA</v>
      </c>
      <c r="Z1167" s="10" t="str">
        <f t="shared" si="1167"/>
        <v>NA</v>
      </c>
      <c r="AA1167" s="10">
        <f t="shared" si="1168"/>
        <v>-7.6622481035935937E-3</v>
      </c>
      <c r="AB1167" s="10" t="str">
        <f t="shared" si="1169"/>
        <v>NA</v>
      </c>
      <c r="AC1167" s="10" t="str">
        <f t="shared" si="1170"/>
        <v>NA</v>
      </c>
      <c r="AD1167" s="10" t="str">
        <f t="shared" si="1171"/>
        <v>NA</v>
      </c>
      <c r="AE1167" s="10" t="str">
        <f t="shared" si="1172"/>
        <v>NA</v>
      </c>
      <c r="AF1167" s="1" t="s">
        <v>4558</v>
      </c>
    </row>
    <row r="1168" spans="1:32" x14ac:dyDescent="0.2">
      <c r="A1168" s="1" t="s">
        <v>4548</v>
      </c>
      <c r="B1168" s="1" t="s">
        <v>5</v>
      </c>
      <c r="C1168" s="1" t="s">
        <v>4549</v>
      </c>
      <c r="D1168" s="1" t="s">
        <v>1600</v>
      </c>
      <c r="E1168" s="1" t="s">
        <v>2050</v>
      </c>
      <c r="F1168" s="1" t="s">
        <v>120</v>
      </c>
      <c r="G1168" s="4">
        <v>1.6299999999999999E-2</v>
      </c>
      <c r="H1168" s="28">
        <v>41213</v>
      </c>
      <c r="I1168" s="29">
        <f t="shared" ref="I1168:I1169" si="1173">YEAR(H1168)</f>
        <v>2012</v>
      </c>
      <c r="J1168" s="1" t="s">
        <v>1674</v>
      </c>
      <c r="K1168" s="1" t="s">
        <v>7</v>
      </c>
      <c r="L1168" s="11" t="str">
        <f t="shared" ref="L1168:L1169" si="1174">IF(OR(A1168=J1168,A1168=K1168),"ДА","НЕТ")</f>
        <v>НЕТ</v>
      </c>
      <c r="M1168" s="10">
        <v>0.59499999999999997</v>
      </c>
      <c r="N1168" s="10" t="s">
        <v>1575</v>
      </c>
      <c r="O1168" s="10">
        <f>M1168*31.5252/1000</f>
        <v>1.8757494E-2</v>
      </c>
      <c r="P1168" s="10">
        <f t="shared" si="1142"/>
        <v>1.1507665030674847</v>
      </c>
      <c r="Q1168" s="10" t="str">
        <f t="shared" si="1143"/>
        <v>NA</v>
      </c>
      <c r="R1168" s="10" t="s">
        <v>1575</v>
      </c>
      <c r="S1168" s="10" t="s">
        <v>1575</v>
      </c>
      <c r="T1168" s="10" t="s">
        <v>1575</v>
      </c>
      <c r="U1168" s="10" t="s">
        <v>1575</v>
      </c>
      <c r="V1168" s="10" t="s">
        <v>1575</v>
      </c>
      <c r="W1168" s="10" t="s">
        <v>1575</v>
      </c>
      <c r="X1168" s="10" t="str">
        <f t="shared" ref="X1168:X1169" si="1175">IFERROR(V1168+W1168,"NA")</f>
        <v>NA</v>
      </c>
      <c r="Y1168" s="10" t="str">
        <f t="shared" ref="Y1168:Y1169" si="1176">IFERROR(P1168/R1168,"NA")</f>
        <v>NA</v>
      </c>
      <c r="Z1168" s="10" t="str">
        <f t="shared" ref="Z1168:Z1169" si="1177">IFERROR(P1168/U1168,"NA")</f>
        <v>NA</v>
      </c>
      <c r="AA1168" s="10" t="str">
        <f t="shared" ref="AA1168:AA1169" si="1178">IFERROR(P1168/V1168,"NA")</f>
        <v>NA</v>
      </c>
      <c r="AB1168" s="10" t="str">
        <f t="shared" ref="AB1168:AB1169" si="1179">IFERROR(Q1168/R1168,"NA")</f>
        <v>NA</v>
      </c>
      <c r="AC1168" s="10" t="str">
        <f t="shared" ref="AC1168:AC1169" si="1180">IFERROR(Q1168/S1168,"NA")</f>
        <v>NA</v>
      </c>
      <c r="AD1168" s="10" t="str">
        <f t="shared" ref="AD1168:AD1169" si="1181">IFERROR(Q1168/T1168,"NA")</f>
        <v>NA</v>
      </c>
      <c r="AE1168" s="10" t="str">
        <f t="shared" ref="AE1168:AE1169" si="1182">IFERROR(Q1168/X1168,"NA")</f>
        <v>NA</v>
      </c>
      <c r="AF1168" s="1" t="s">
        <v>4565</v>
      </c>
    </row>
    <row r="1169" spans="1:32" x14ac:dyDescent="0.2">
      <c r="A1169" s="1" t="s">
        <v>119</v>
      </c>
      <c r="B1169" s="1" t="s">
        <v>5</v>
      </c>
      <c r="C1169" s="1" t="s">
        <v>1575</v>
      </c>
      <c r="D1169" s="1" t="s">
        <v>1600</v>
      </c>
      <c r="E1169" s="1" t="s">
        <v>2050</v>
      </c>
      <c r="F1169" s="1" t="s">
        <v>120</v>
      </c>
      <c r="G1169" s="4">
        <v>2.9999999999999997E-4</v>
      </c>
      <c r="H1169" s="28">
        <v>40999</v>
      </c>
      <c r="I1169" s="29">
        <f t="shared" si="1173"/>
        <v>2012</v>
      </c>
      <c r="J1169" s="1" t="s">
        <v>1674</v>
      </c>
      <c r="K1169" s="1" t="s">
        <v>7</v>
      </c>
      <c r="L1169" s="11" t="str">
        <f t="shared" si="1174"/>
        <v>НЕТ</v>
      </c>
      <c r="M1169" s="10">
        <v>3.3000000000000002E-2</v>
      </c>
      <c r="N1169" s="10" t="s">
        <v>1575</v>
      </c>
      <c r="O1169" s="10">
        <f>M1169*29.3282/1000</f>
        <v>9.6783060000000002E-4</v>
      </c>
      <c r="P1169" s="10">
        <f t="shared" si="1142"/>
        <v>3.2261020000000005</v>
      </c>
      <c r="Q1169" s="10" t="str">
        <f t="shared" si="1143"/>
        <v>NA</v>
      </c>
      <c r="R1169" s="10" t="s">
        <v>1575</v>
      </c>
      <c r="S1169" s="10" t="s">
        <v>1575</v>
      </c>
      <c r="T1169" s="10" t="s">
        <v>1575</v>
      </c>
      <c r="U1169" s="10" t="s">
        <v>1575</v>
      </c>
      <c r="V1169" s="10" t="s">
        <v>1575</v>
      </c>
      <c r="W1169" s="10" t="s">
        <v>1575</v>
      </c>
      <c r="X1169" s="10" t="str">
        <f t="shared" si="1175"/>
        <v>NA</v>
      </c>
      <c r="Y1169" s="10" t="str">
        <f t="shared" si="1176"/>
        <v>NA</v>
      </c>
      <c r="Z1169" s="10" t="str">
        <f t="shared" si="1177"/>
        <v>NA</v>
      </c>
      <c r="AA1169" s="10" t="str">
        <f t="shared" si="1178"/>
        <v>NA</v>
      </c>
      <c r="AB1169" s="10" t="str">
        <f t="shared" si="1179"/>
        <v>NA</v>
      </c>
      <c r="AC1169" s="10" t="str">
        <f t="shared" si="1180"/>
        <v>NA</v>
      </c>
      <c r="AD1169" s="10" t="str">
        <f t="shared" si="1181"/>
        <v>NA</v>
      </c>
      <c r="AE1169" s="10" t="str">
        <f t="shared" si="1182"/>
        <v>NA</v>
      </c>
      <c r="AF1169" s="1" t="s">
        <v>4566</v>
      </c>
    </row>
    <row r="1170" spans="1:32" x14ac:dyDescent="0.2">
      <c r="A1170" s="1" t="s">
        <v>125</v>
      </c>
      <c r="B1170" s="1" t="s">
        <v>5</v>
      </c>
      <c r="C1170" s="1" t="s">
        <v>1575</v>
      </c>
      <c r="D1170" s="1" t="s">
        <v>1615</v>
      </c>
      <c r="E1170" s="1" t="s">
        <v>1616</v>
      </c>
      <c r="F1170" s="1" t="s">
        <v>1172</v>
      </c>
      <c r="G1170" s="4">
        <v>0.55000000000000004</v>
      </c>
      <c r="H1170" s="28">
        <v>40917</v>
      </c>
      <c r="I1170" s="29">
        <f t="shared" si="1141"/>
        <v>2012</v>
      </c>
      <c r="J1170" s="1" t="s">
        <v>1674</v>
      </c>
      <c r="K1170" s="1" t="s">
        <v>7</v>
      </c>
      <c r="L1170" s="11" t="str">
        <f t="shared" si="912"/>
        <v>НЕТ</v>
      </c>
      <c r="M1170" s="10">
        <v>486.827</v>
      </c>
      <c r="N1170" s="10" t="s">
        <v>1575</v>
      </c>
      <c r="O1170" s="10">
        <v>15.5</v>
      </c>
      <c r="P1170" s="10">
        <f t="shared" si="1142"/>
        <v>28.18181818181818</v>
      </c>
      <c r="Q1170" s="10" t="str">
        <f t="shared" si="1143"/>
        <v>NA</v>
      </c>
      <c r="R1170" s="10" t="s">
        <v>1575</v>
      </c>
      <c r="S1170" s="10" t="s">
        <v>1575</v>
      </c>
      <c r="T1170" s="10" t="s">
        <v>1575</v>
      </c>
      <c r="U1170" s="10" t="s">
        <v>1575</v>
      </c>
      <c r="V1170" s="10" t="s">
        <v>1575</v>
      </c>
      <c r="W1170" s="10" t="s">
        <v>1575</v>
      </c>
      <c r="X1170" s="10" t="str">
        <f t="shared" si="1113"/>
        <v>NA</v>
      </c>
      <c r="Y1170" s="10" t="str">
        <f t="shared" si="1114"/>
        <v>NA</v>
      </c>
      <c r="Z1170" s="10" t="str">
        <f t="shared" si="1115"/>
        <v>NA</v>
      </c>
      <c r="AA1170" s="10" t="str">
        <f t="shared" si="1116"/>
        <v>NA</v>
      </c>
      <c r="AB1170" s="10" t="str">
        <f t="shared" si="1117"/>
        <v>NA</v>
      </c>
      <c r="AC1170" s="10" t="str">
        <f t="shared" si="1118"/>
        <v>NA</v>
      </c>
      <c r="AD1170" s="10" t="str">
        <f t="shared" si="1119"/>
        <v>NA</v>
      </c>
      <c r="AE1170" s="10" t="str">
        <f t="shared" si="1120"/>
        <v>NA</v>
      </c>
      <c r="AF1170" s="1" t="s">
        <v>4570</v>
      </c>
    </row>
    <row r="1171" spans="1:32" x14ac:dyDescent="0.2">
      <c r="A1171" s="1" t="s">
        <v>125</v>
      </c>
      <c r="B1171" s="1" t="s">
        <v>5</v>
      </c>
      <c r="C1171" s="1" t="s">
        <v>1575</v>
      </c>
      <c r="D1171" s="1" t="s">
        <v>1615</v>
      </c>
      <c r="E1171" s="1" t="s">
        <v>1616</v>
      </c>
      <c r="F1171" s="1" t="s">
        <v>1172</v>
      </c>
      <c r="G1171" s="4">
        <v>0.55000000000000004</v>
      </c>
      <c r="H1171" s="28">
        <v>40917</v>
      </c>
      <c r="I1171" s="29">
        <f t="shared" si="1141"/>
        <v>2012</v>
      </c>
      <c r="J1171" s="1" t="s">
        <v>7</v>
      </c>
      <c r="K1171" s="1" t="s">
        <v>1674</v>
      </c>
      <c r="L1171" s="11" t="str">
        <f t="shared" si="912"/>
        <v>НЕТ</v>
      </c>
      <c r="M1171" s="10">
        <v>477.40800000000002</v>
      </c>
      <c r="N1171" s="10" t="s">
        <v>1575</v>
      </c>
      <c r="O1171" s="10">
        <v>15.2</v>
      </c>
      <c r="P1171" s="10">
        <f t="shared" si="1142"/>
        <v>27.636363636363633</v>
      </c>
      <c r="Q1171" s="10" t="str">
        <f t="shared" si="1143"/>
        <v>NA</v>
      </c>
      <c r="R1171" s="10" t="s">
        <v>1575</v>
      </c>
      <c r="S1171" s="10" t="s">
        <v>1575</v>
      </c>
      <c r="T1171" s="10" t="s">
        <v>1575</v>
      </c>
      <c r="U1171" s="10" t="s">
        <v>1575</v>
      </c>
      <c r="V1171" s="10" t="s">
        <v>1575</v>
      </c>
      <c r="W1171" s="10" t="s">
        <v>1575</v>
      </c>
      <c r="X1171" s="10" t="str">
        <f t="shared" si="1113"/>
        <v>NA</v>
      </c>
      <c r="Y1171" s="10" t="str">
        <f t="shared" si="1114"/>
        <v>NA</v>
      </c>
      <c r="Z1171" s="10" t="str">
        <f t="shared" si="1115"/>
        <v>NA</v>
      </c>
      <c r="AA1171" s="10" t="str">
        <f t="shared" si="1116"/>
        <v>NA</v>
      </c>
      <c r="AB1171" s="10" t="str">
        <f t="shared" si="1117"/>
        <v>NA</v>
      </c>
      <c r="AC1171" s="10" t="str">
        <f t="shared" si="1118"/>
        <v>NA</v>
      </c>
      <c r="AD1171" s="10" t="str">
        <f t="shared" si="1119"/>
        <v>NA</v>
      </c>
      <c r="AE1171" s="10" t="str">
        <f t="shared" si="1120"/>
        <v>NA</v>
      </c>
      <c r="AF1171" s="1" t="s">
        <v>4570</v>
      </c>
    </row>
    <row r="1172" spans="1:32" x14ac:dyDescent="0.2">
      <c r="A1172" s="1" t="s">
        <v>125</v>
      </c>
      <c r="B1172" s="1" t="s">
        <v>5</v>
      </c>
      <c r="C1172" s="1" t="s">
        <v>1575</v>
      </c>
      <c r="D1172" s="1" t="s">
        <v>1615</v>
      </c>
      <c r="E1172" s="1" t="s">
        <v>1616</v>
      </c>
      <c r="F1172" s="1" t="s">
        <v>1172</v>
      </c>
      <c r="G1172" s="4">
        <v>0.1623</v>
      </c>
      <c r="H1172" s="28">
        <v>40936</v>
      </c>
      <c r="I1172" s="29">
        <f t="shared" si="1141"/>
        <v>2012</v>
      </c>
      <c r="J1172" s="1" t="s">
        <v>1674</v>
      </c>
      <c r="K1172" s="1" t="s">
        <v>7</v>
      </c>
      <c r="L1172" s="11" t="str">
        <f t="shared" si="912"/>
        <v>НЕТ</v>
      </c>
      <c r="M1172" s="10">
        <v>149.774</v>
      </c>
      <c r="N1172" s="10" t="s">
        <v>1575</v>
      </c>
      <c r="O1172" s="10">
        <v>4.7699999999999996</v>
      </c>
      <c r="P1172" s="10">
        <f t="shared" si="1142"/>
        <v>29.390018484288351</v>
      </c>
      <c r="Q1172" s="10" t="str">
        <f t="shared" si="1143"/>
        <v>NA</v>
      </c>
      <c r="R1172" s="10" t="s">
        <v>1575</v>
      </c>
      <c r="S1172" s="10" t="s">
        <v>1575</v>
      </c>
      <c r="T1172" s="10" t="s">
        <v>1575</v>
      </c>
      <c r="U1172" s="10" t="s">
        <v>1575</v>
      </c>
      <c r="V1172" s="10" t="s">
        <v>1575</v>
      </c>
      <c r="W1172" s="10" t="s">
        <v>1575</v>
      </c>
      <c r="X1172" s="10" t="str">
        <f t="shared" si="1113"/>
        <v>NA</v>
      </c>
      <c r="Y1172" s="10" t="str">
        <f t="shared" si="1114"/>
        <v>NA</v>
      </c>
      <c r="Z1172" s="10" t="str">
        <f t="shared" si="1115"/>
        <v>NA</v>
      </c>
      <c r="AA1172" s="10" t="str">
        <f t="shared" si="1116"/>
        <v>NA</v>
      </c>
      <c r="AB1172" s="10" t="str">
        <f t="shared" si="1117"/>
        <v>NA</v>
      </c>
      <c r="AC1172" s="10" t="str">
        <f t="shared" si="1118"/>
        <v>NA</v>
      </c>
      <c r="AD1172" s="10" t="str">
        <f t="shared" si="1119"/>
        <v>NA</v>
      </c>
      <c r="AE1172" s="10" t="str">
        <f t="shared" si="1120"/>
        <v>NA</v>
      </c>
      <c r="AF1172" s="1" t="s">
        <v>127</v>
      </c>
    </row>
    <row r="1173" spans="1:32" x14ac:dyDescent="0.2">
      <c r="A1173" s="1" t="s">
        <v>125</v>
      </c>
      <c r="B1173" s="1" t="s">
        <v>5</v>
      </c>
      <c r="C1173" s="1" t="s">
        <v>1575</v>
      </c>
      <c r="D1173" s="1" t="s">
        <v>1615</v>
      </c>
      <c r="E1173" s="1" t="s">
        <v>1616</v>
      </c>
      <c r="F1173" s="1" t="s">
        <v>1172</v>
      </c>
      <c r="G1173" s="4">
        <v>0.11890000000000001</v>
      </c>
      <c r="H1173" s="28">
        <v>40936</v>
      </c>
      <c r="I1173" s="29">
        <f t="shared" si="1141"/>
        <v>2012</v>
      </c>
      <c r="J1173" s="1" t="s">
        <v>1674</v>
      </c>
      <c r="K1173" s="1" t="s">
        <v>7</v>
      </c>
      <c r="L1173" s="11" t="str">
        <f t="shared" si="912"/>
        <v>НЕТ</v>
      </c>
      <c r="M1173" s="10">
        <v>8.6349999999999998</v>
      </c>
      <c r="N1173" s="10" t="s">
        <v>1575</v>
      </c>
      <c r="O1173" s="10">
        <v>0.27500000000000002</v>
      </c>
      <c r="P1173" s="10">
        <f t="shared" si="1142"/>
        <v>2.3128679562657695</v>
      </c>
      <c r="Q1173" s="10" t="str">
        <f t="shared" si="1143"/>
        <v>NA</v>
      </c>
      <c r="R1173" s="10" t="s">
        <v>1575</v>
      </c>
      <c r="S1173" s="10" t="s">
        <v>1575</v>
      </c>
      <c r="T1173" s="10" t="s">
        <v>1575</v>
      </c>
      <c r="U1173" s="10" t="s">
        <v>1575</v>
      </c>
      <c r="V1173" s="10" t="s">
        <v>1575</v>
      </c>
      <c r="W1173" s="10" t="s">
        <v>1575</v>
      </c>
      <c r="X1173" s="10" t="str">
        <f t="shared" si="1113"/>
        <v>NA</v>
      </c>
      <c r="Y1173" s="10" t="str">
        <f t="shared" si="1114"/>
        <v>NA</v>
      </c>
      <c r="Z1173" s="10" t="str">
        <f t="shared" si="1115"/>
        <v>NA</v>
      </c>
      <c r="AA1173" s="10" t="str">
        <f t="shared" si="1116"/>
        <v>NA</v>
      </c>
      <c r="AB1173" s="10" t="str">
        <f t="shared" si="1117"/>
        <v>NA</v>
      </c>
      <c r="AC1173" s="10" t="str">
        <f t="shared" si="1118"/>
        <v>NA</v>
      </c>
      <c r="AD1173" s="10" t="str">
        <f t="shared" si="1119"/>
        <v>NA</v>
      </c>
      <c r="AE1173" s="10" t="str">
        <f t="shared" si="1120"/>
        <v>NA</v>
      </c>
      <c r="AF1173" s="1" t="s">
        <v>128</v>
      </c>
    </row>
    <row r="1174" spans="1:32" x14ac:dyDescent="0.2">
      <c r="A1174" s="1" t="s">
        <v>4587</v>
      </c>
      <c r="B1174" s="1" t="s">
        <v>5</v>
      </c>
      <c r="C1174" s="1" t="s">
        <v>1575</v>
      </c>
      <c r="D1174" s="1" t="s">
        <v>1600</v>
      </c>
      <c r="E1174" s="1" t="s">
        <v>1671</v>
      </c>
      <c r="F1174" s="1" t="s">
        <v>72</v>
      </c>
      <c r="G1174" s="4">
        <v>1</v>
      </c>
      <c r="H1174" s="28">
        <v>40967</v>
      </c>
      <c r="I1174" s="29">
        <f t="shared" ref="I1174" si="1183">YEAR(H1174)</f>
        <v>2012</v>
      </c>
      <c r="J1174" s="1" t="s">
        <v>4597</v>
      </c>
      <c r="K1174" s="1" t="s">
        <v>7</v>
      </c>
      <c r="L1174" s="11" t="str">
        <f t="shared" si="912"/>
        <v>НЕТ</v>
      </c>
      <c r="M1174" s="10">
        <v>2.8260000000000001</v>
      </c>
      <c r="N1174" s="10" t="s">
        <v>1575</v>
      </c>
      <c r="O1174" s="10">
        <v>9.0999999999999998E-2</v>
      </c>
      <c r="P1174" s="10">
        <f t="shared" si="1142"/>
        <v>9.0999999999999998E-2</v>
      </c>
      <c r="Q1174" s="10" t="str">
        <f t="shared" si="1143"/>
        <v>NA</v>
      </c>
      <c r="R1174" s="10" t="s">
        <v>1575</v>
      </c>
      <c r="S1174" s="10" t="s">
        <v>1575</v>
      </c>
      <c r="T1174" s="10" t="s">
        <v>1575</v>
      </c>
      <c r="U1174" s="10" t="s">
        <v>1575</v>
      </c>
      <c r="V1174" s="10" t="s">
        <v>1575</v>
      </c>
      <c r="W1174" s="10" t="s">
        <v>1575</v>
      </c>
      <c r="X1174" s="10" t="str">
        <f t="shared" ref="X1174" si="1184">IFERROR(V1174+W1174,"NA")</f>
        <v>NA</v>
      </c>
      <c r="Y1174" s="10" t="str">
        <f t="shared" ref="Y1174" si="1185">IFERROR(P1174/R1174,"NA")</f>
        <v>NA</v>
      </c>
      <c r="Z1174" s="10" t="str">
        <f t="shared" ref="Z1174" si="1186">IFERROR(P1174/U1174,"NA")</f>
        <v>NA</v>
      </c>
      <c r="AA1174" s="10" t="str">
        <f t="shared" ref="AA1174" si="1187">IFERROR(P1174/V1174,"NA")</f>
        <v>NA</v>
      </c>
      <c r="AB1174" s="10" t="str">
        <f t="shared" ref="AB1174" si="1188">IFERROR(Q1174/R1174,"NA")</f>
        <v>NA</v>
      </c>
      <c r="AC1174" s="10" t="str">
        <f t="shared" ref="AC1174" si="1189">IFERROR(Q1174/S1174,"NA")</f>
        <v>NA</v>
      </c>
      <c r="AD1174" s="10" t="str">
        <f t="shared" ref="AD1174" si="1190">IFERROR(Q1174/T1174,"NA")</f>
        <v>NA</v>
      </c>
      <c r="AE1174" s="10" t="str">
        <f t="shared" ref="AE1174" si="1191">IFERROR(Q1174/X1174,"NA")</f>
        <v>NA</v>
      </c>
      <c r="AF1174" s="1" t="s">
        <v>4586</v>
      </c>
    </row>
    <row r="1175" spans="1:32" x14ac:dyDescent="0.2">
      <c r="A1175" s="1" t="s">
        <v>4588</v>
      </c>
      <c r="B1175" s="1" t="s">
        <v>5</v>
      </c>
      <c r="C1175" s="1" t="s">
        <v>1575</v>
      </c>
      <c r="D1175" s="1" t="s">
        <v>1600</v>
      </c>
      <c r="E1175" s="1" t="s">
        <v>1671</v>
      </c>
      <c r="F1175" s="1" t="s">
        <v>72</v>
      </c>
      <c r="G1175" s="4">
        <v>1</v>
      </c>
      <c r="H1175" s="28">
        <v>40967</v>
      </c>
      <c r="I1175" s="29">
        <f t="shared" si="1141"/>
        <v>2012</v>
      </c>
      <c r="J1175" s="1" t="s">
        <v>4597</v>
      </c>
      <c r="K1175" s="1" t="s">
        <v>7</v>
      </c>
      <c r="L1175" s="11" t="str">
        <f t="shared" ref="L1175" si="1192">IF(OR(A1175=J1175,A1175=K1175),"ДА","НЕТ")</f>
        <v>НЕТ</v>
      </c>
      <c r="M1175" s="10">
        <v>4.3540000000000001</v>
      </c>
      <c r="N1175" s="10" t="s">
        <v>1575</v>
      </c>
      <c r="O1175" s="10">
        <v>0.14000000000000001</v>
      </c>
      <c r="P1175" s="10">
        <f t="shared" si="1142"/>
        <v>0.14000000000000001</v>
      </c>
      <c r="Q1175" s="10" t="str">
        <f t="shared" si="1143"/>
        <v>NA</v>
      </c>
      <c r="R1175" s="10" t="s">
        <v>1575</v>
      </c>
      <c r="S1175" s="10" t="s">
        <v>1575</v>
      </c>
      <c r="T1175" s="10" t="s">
        <v>1575</v>
      </c>
      <c r="U1175" s="10" t="s">
        <v>1575</v>
      </c>
      <c r="V1175" s="10" t="s">
        <v>1575</v>
      </c>
      <c r="W1175" s="10" t="s">
        <v>1575</v>
      </c>
      <c r="X1175" s="10" t="str">
        <f t="shared" si="1113"/>
        <v>NA</v>
      </c>
      <c r="Y1175" s="10" t="str">
        <f t="shared" si="1114"/>
        <v>NA</v>
      </c>
      <c r="Z1175" s="10" t="str">
        <f t="shared" si="1115"/>
        <v>NA</v>
      </c>
      <c r="AA1175" s="10" t="str">
        <f t="shared" si="1116"/>
        <v>NA</v>
      </c>
      <c r="AB1175" s="10" t="str">
        <f t="shared" si="1117"/>
        <v>NA</v>
      </c>
      <c r="AC1175" s="10" t="str">
        <f t="shared" si="1118"/>
        <v>NA</v>
      </c>
      <c r="AD1175" s="10" t="str">
        <f t="shared" si="1119"/>
        <v>NA</v>
      </c>
      <c r="AE1175" s="10" t="str">
        <f t="shared" si="1120"/>
        <v>NA</v>
      </c>
      <c r="AF1175" s="1" t="s">
        <v>4586</v>
      </c>
    </row>
    <row r="1176" spans="1:32" x14ac:dyDescent="0.2">
      <c r="A1176" s="1" t="s">
        <v>129</v>
      </c>
      <c r="B1176" s="1" t="s">
        <v>91</v>
      </c>
      <c r="C1176" s="1" t="s">
        <v>1575</v>
      </c>
      <c r="D1176" s="1" t="s">
        <v>1600</v>
      </c>
      <c r="E1176" s="1" t="s">
        <v>2050</v>
      </c>
      <c r="F1176" s="1" t="s">
        <v>120</v>
      </c>
      <c r="G1176" s="4">
        <v>1</v>
      </c>
      <c r="H1176" s="28">
        <v>40899</v>
      </c>
      <c r="I1176" s="29">
        <f t="shared" ref="I1176:I1181" si="1193">YEAR(H1176)</f>
        <v>2011</v>
      </c>
      <c r="J1176" s="1" t="s">
        <v>1674</v>
      </c>
      <c r="K1176" s="1" t="s">
        <v>7</v>
      </c>
      <c r="L1176" s="11" t="str">
        <f t="shared" ref="L1176:L1181" si="1194">IF(OR(A1176=J1176,A1176=K1176),"ДА","НЕТ")</f>
        <v>НЕТ</v>
      </c>
      <c r="M1176" s="10">
        <v>537</v>
      </c>
      <c r="N1176" s="10" t="s">
        <v>1575</v>
      </c>
      <c r="O1176" s="10">
        <v>17.058</v>
      </c>
      <c r="P1176" s="10">
        <f t="shared" si="1142"/>
        <v>17.058</v>
      </c>
      <c r="Q1176" s="10" t="str">
        <f t="shared" si="1143"/>
        <v>NA</v>
      </c>
      <c r="R1176" s="10" t="s">
        <v>1575</v>
      </c>
      <c r="S1176" s="10" t="s">
        <v>1575</v>
      </c>
      <c r="T1176" s="10" t="s">
        <v>1575</v>
      </c>
      <c r="U1176" s="10" t="s">
        <v>1575</v>
      </c>
      <c r="V1176" s="10">
        <f>0.216407*31.7645</f>
        <v>6.8740601515000002</v>
      </c>
      <c r="W1176" s="10" t="s">
        <v>1575</v>
      </c>
      <c r="X1176" s="10" t="str">
        <f t="shared" ref="X1176:X1181" si="1195">IFERROR(V1176+W1176,"NA")</f>
        <v>NA</v>
      </c>
      <c r="Y1176" s="10" t="str">
        <f t="shared" ref="Y1176:Y1181" si="1196">IFERROR(P1176/R1176,"NA")</f>
        <v>NA</v>
      </c>
      <c r="Z1176" s="10" t="str">
        <f t="shared" ref="Z1176:Z1181" si="1197">IFERROR(P1176/U1176,"NA")</f>
        <v>NA</v>
      </c>
      <c r="AA1176" s="10">
        <f t="shared" ref="AA1176:AA1181" si="1198">IFERROR(P1176/V1176,"NA")</f>
        <v>2.4815028708001261</v>
      </c>
      <c r="AB1176" s="10" t="str">
        <f t="shared" ref="AB1176:AB1181" si="1199">IFERROR(Q1176/R1176,"NA")</f>
        <v>NA</v>
      </c>
      <c r="AC1176" s="10" t="str">
        <f t="shared" ref="AC1176:AC1181" si="1200">IFERROR(Q1176/S1176,"NA")</f>
        <v>NA</v>
      </c>
      <c r="AD1176" s="10" t="str">
        <f t="shared" ref="AD1176:AD1181" si="1201">IFERROR(Q1176/T1176,"NA")</f>
        <v>NA</v>
      </c>
      <c r="AE1176" s="10" t="str">
        <f t="shared" ref="AE1176:AE1181" si="1202">IFERROR(Q1176/X1176,"NA")</f>
        <v>NA</v>
      </c>
      <c r="AF1176" s="1" t="s">
        <v>4553</v>
      </c>
    </row>
    <row r="1177" spans="1:32" x14ac:dyDescent="0.2">
      <c r="A1177" s="1" t="s">
        <v>1678</v>
      </c>
      <c r="B1177" s="1" t="s">
        <v>5</v>
      </c>
      <c r="C1177" s="1" t="s">
        <v>1679</v>
      </c>
      <c r="D1177" s="1" t="s">
        <v>1600</v>
      </c>
      <c r="E1177" s="1" t="s">
        <v>1659</v>
      </c>
      <c r="F1177" s="1" t="s">
        <v>118</v>
      </c>
      <c r="G1177" s="4">
        <v>2.0000000000000001E-4</v>
      </c>
      <c r="H1177" s="28">
        <v>40908</v>
      </c>
      <c r="I1177" s="29">
        <f t="shared" si="1193"/>
        <v>2011</v>
      </c>
      <c r="J1177" s="1" t="s">
        <v>1674</v>
      </c>
      <c r="K1177" s="1" t="s">
        <v>7</v>
      </c>
      <c r="L1177" s="11" t="str">
        <f t="shared" si="1194"/>
        <v>НЕТ</v>
      </c>
      <c r="M1177" s="10">
        <v>0.28299999999999997</v>
      </c>
      <c r="N1177" s="10" t="s">
        <v>1575</v>
      </c>
      <c r="O1177" s="10">
        <f>M1177*32.1961/1000</f>
        <v>9.111496299999999E-3</v>
      </c>
      <c r="P1177" s="10">
        <f t="shared" si="1142"/>
        <v>45.557481499999994</v>
      </c>
      <c r="Q1177" s="10" t="str">
        <f t="shared" si="1143"/>
        <v>NA</v>
      </c>
      <c r="R1177" s="10" t="s">
        <v>1575</v>
      </c>
      <c r="S1177" s="10" t="s">
        <v>1575</v>
      </c>
      <c r="T1177" s="10" t="s">
        <v>1575</v>
      </c>
      <c r="U1177" s="10" t="s">
        <v>1575</v>
      </c>
      <c r="V1177" s="10" t="s">
        <v>1575</v>
      </c>
      <c r="W1177" s="10" t="s">
        <v>1575</v>
      </c>
      <c r="X1177" s="10" t="str">
        <f t="shared" si="1195"/>
        <v>NA</v>
      </c>
      <c r="Y1177" s="10" t="str">
        <f t="shared" si="1196"/>
        <v>NA</v>
      </c>
      <c r="Z1177" s="10" t="str">
        <f t="shared" si="1197"/>
        <v>NA</v>
      </c>
      <c r="AA1177" s="10" t="str">
        <f t="shared" si="1198"/>
        <v>NA</v>
      </c>
      <c r="AB1177" s="10" t="str">
        <f t="shared" si="1199"/>
        <v>NA</v>
      </c>
      <c r="AC1177" s="10" t="str">
        <f t="shared" si="1200"/>
        <v>NA</v>
      </c>
      <c r="AD1177" s="10" t="str">
        <f t="shared" si="1201"/>
        <v>NA</v>
      </c>
      <c r="AE1177" s="10" t="str">
        <f t="shared" si="1202"/>
        <v>NA</v>
      </c>
      <c r="AF1177" s="1" t="s">
        <v>4576</v>
      </c>
    </row>
    <row r="1178" spans="1:32" x14ac:dyDescent="0.2">
      <c r="A1178" s="1" t="s">
        <v>4580</v>
      </c>
      <c r="B1178" s="1" t="s">
        <v>5</v>
      </c>
      <c r="C1178" s="1" t="s">
        <v>1575</v>
      </c>
      <c r="D1178" s="1" t="s">
        <v>1580</v>
      </c>
      <c r="E1178" s="1" t="s">
        <v>1694</v>
      </c>
      <c r="F1178" s="1" t="s">
        <v>68</v>
      </c>
      <c r="G1178" s="4">
        <v>0.93059999999999998</v>
      </c>
      <c r="H1178" s="28">
        <v>40543</v>
      </c>
      <c r="I1178" s="29">
        <f t="shared" si="1193"/>
        <v>2010</v>
      </c>
      <c r="J1178" s="1" t="s">
        <v>7</v>
      </c>
      <c r="K1178" s="1" t="s">
        <v>1674</v>
      </c>
      <c r="L1178" s="11" t="str">
        <f t="shared" ref="L1178" si="1203">IF(OR(A1178=J1178,A1178=K1178),"ДА","НЕТ")</f>
        <v>НЕТ</v>
      </c>
      <c r="M1178" s="10" t="s">
        <v>1575</v>
      </c>
      <c r="N1178" s="10" t="s">
        <v>1575</v>
      </c>
      <c r="O1178" s="10" t="s">
        <v>1575</v>
      </c>
      <c r="P1178" s="10" t="str">
        <f t="shared" si="1142"/>
        <v>NA</v>
      </c>
      <c r="Q1178" s="10" t="str">
        <f t="shared" si="1143"/>
        <v>NA</v>
      </c>
      <c r="R1178" s="10" t="s">
        <v>1575</v>
      </c>
      <c r="S1178" s="10" t="s">
        <v>1575</v>
      </c>
      <c r="T1178" s="10" t="s">
        <v>1575</v>
      </c>
      <c r="U1178" s="10" t="s">
        <v>1575</v>
      </c>
      <c r="V1178" s="10" t="s">
        <v>1575</v>
      </c>
      <c r="W1178" s="10" t="s">
        <v>1575</v>
      </c>
      <c r="X1178" s="10" t="str">
        <f t="shared" ref="X1178" si="1204">IFERROR(V1178+W1178,"NA")</f>
        <v>NA</v>
      </c>
      <c r="Y1178" s="10" t="str">
        <f t="shared" ref="Y1178" si="1205">IFERROR(P1178/R1178,"NA")</f>
        <v>NA</v>
      </c>
      <c r="Z1178" s="10" t="str">
        <f t="shared" ref="Z1178" si="1206">IFERROR(P1178/U1178,"NA")</f>
        <v>NA</v>
      </c>
      <c r="AA1178" s="10" t="str">
        <f t="shared" ref="AA1178" si="1207">IFERROR(P1178/V1178,"NA")</f>
        <v>NA</v>
      </c>
      <c r="AB1178" s="10" t="str">
        <f t="shared" ref="AB1178" si="1208">IFERROR(Q1178/R1178,"NA")</f>
        <v>NA</v>
      </c>
      <c r="AC1178" s="10" t="str">
        <f t="shared" ref="AC1178" si="1209">IFERROR(Q1178/S1178,"NA")</f>
        <v>NA</v>
      </c>
      <c r="AD1178" s="10" t="str">
        <f t="shared" ref="AD1178" si="1210">IFERROR(Q1178/T1178,"NA")</f>
        <v>NA</v>
      </c>
      <c r="AE1178" s="10" t="str">
        <f t="shared" ref="AE1178" si="1211">IFERROR(Q1178/X1178,"NA")</f>
        <v>NA</v>
      </c>
      <c r="AF1178" s="1" t="s">
        <v>4579</v>
      </c>
    </row>
    <row r="1179" spans="1:32" x14ac:dyDescent="0.2">
      <c r="A1179" s="1" t="s">
        <v>4580</v>
      </c>
      <c r="B1179" s="1" t="s">
        <v>5</v>
      </c>
      <c r="C1179" s="1" t="s">
        <v>1575</v>
      </c>
      <c r="D1179" s="1" t="s">
        <v>1580</v>
      </c>
      <c r="E1179" s="1" t="s">
        <v>1694</v>
      </c>
      <c r="F1179" s="1" t="s">
        <v>68</v>
      </c>
      <c r="G1179" s="4">
        <v>9.69E-2</v>
      </c>
      <c r="H1179" s="28">
        <v>40543</v>
      </c>
      <c r="I1179" s="29">
        <f t="shared" ref="I1179" si="1212">YEAR(H1179)</f>
        <v>2010</v>
      </c>
      <c r="J1179" s="1" t="s">
        <v>1674</v>
      </c>
      <c r="K1179" s="1" t="s">
        <v>7</v>
      </c>
      <c r="L1179" s="11" t="str">
        <f t="shared" si="1194"/>
        <v>НЕТ</v>
      </c>
      <c r="M1179" s="10" t="s">
        <v>1575</v>
      </c>
      <c r="N1179" s="10" t="s">
        <v>1575</v>
      </c>
      <c r="O1179" s="10" t="s">
        <v>1575</v>
      </c>
      <c r="P1179" s="10" t="str">
        <f t="shared" si="1142"/>
        <v>NA</v>
      </c>
      <c r="Q1179" s="10" t="str">
        <f t="shared" si="1143"/>
        <v>NA</v>
      </c>
      <c r="R1179" s="10" t="s">
        <v>1575</v>
      </c>
      <c r="S1179" s="10" t="s">
        <v>1575</v>
      </c>
      <c r="T1179" s="10" t="s">
        <v>1575</v>
      </c>
      <c r="U1179" s="10" t="s">
        <v>1575</v>
      </c>
      <c r="V1179" s="10" t="s">
        <v>1575</v>
      </c>
      <c r="W1179" s="10" t="s">
        <v>1575</v>
      </c>
      <c r="X1179" s="10" t="str">
        <f t="shared" si="1195"/>
        <v>NA</v>
      </c>
      <c r="Y1179" s="10" t="str">
        <f t="shared" si="1196"/>
        <v>NA</v>
      </c>
      <c r="Z1179" s="10" t="str">
        <f t="shared" si="1197"/>
        <v>NA</v>
      </c>
      <c r="AA1179" s="10" t="str">
        <f t="shared" si="1198"/>
        <v>NA</v>
      </c>
      <c r="AB1179" s="10" t="str">
        <f t="shared" si="1199"/>
        <v>NA</v>
      </c>
      <c r="AC1179" s="10" t="str">
        <f t="shared" si="1200"/>
        <v>NA</v>
      </c>
      <c r="AD1179" s="10" t="str">
        <f t="shared" si="1201"/>
        <v>NA</v>
      </c>
      <c r="AE1179" s="10" t="str">
        <f t="shared" si="1202"/>
        <v>NA</v>
      </c>
      <c r="AF1179" s="1" t="s">
        <v>4579</v>
      </c>
    </row>
    <row r="1180" spans="1:32" x14ac:dyDescent="0.2">
      <c r="A1180" s="1" t="s">
        <v>4580</v>
      </c>
      <c r="B1180" s="1" t="s">
        <v>5</v>
      </c>
      <c r="C1180" s="1" t="s">
        <v>1575</v>
      </c>
      <c r="D1180" s="1" t="s">
        <v>1580</v>
      </c>
      <c r="E1180" s="1" t="s">
        <v>1694</v>
      </c>
      <c r="F1180" s="1" t="s">
        <v>68</v>
      </c>
      <c r="G1180" s="4">
        <v>0.40579999999999999</v>
      </c>
      <c r="H1180" s="28">
        <v>40270</v>
      </c>
      <c r="I1180" s="29">
        <f t="shared" si="1193"/>
        <v>2010</v>
      </c>
      <c r="J1180" s="1" t="s">
        <v>1674</v>
      </c>
      <c r="K1180" s="1" t="s">
        <v>7</v>
      </c>
      <c r="L1180" s="11" t="str">
        <f t="shared" ref="L1180" si="1213">IF(OR(A1180=J1180,A1180=K1180),"ДА","НЕТ")</f>
        <v>НЕТ</v>
      </c>
      <c r="M1180" s="10" t="s">
        <v>1575</v>
      </c>
      <c r="N1180" s="10" t="s">
        <v>1575</v>
      </c>
      <c r="O1180" s="10" t="s">
        <v>1575</v>
      </c>
      <c r="P1180" s="10" t="str">
        <f t="shared" si="1142"/>
        <v>NA</v>
      </c>
      <c r="Q1180" s="10" t="str">
        <f t="shared" si="1143"/>
        <v>NA</v>
      </c>
      <c r="R1180" s="10" t="s">
        <v>1575</v>
      </c>
      <c r="S1180" s="10" t="s">
        <v>1575</v>
      </c>
      <c r="T1180" s="10" t="s">
        <v>1575</v>
      </c>
      <c r="U1180" s="10" t="s">
        <v>1575</v>
      </c>
      <c r="V1180" s="10" t="s">
        <v>1575</v>
      </c>
      <c r="W1180" s="10" t="s">
        <v>1575</v>
      </c>
      <c r="X1180" s="10" t="str">
        <f t="shared" ref="X1180" si="1214">IFERROR(V1180+W1180,"NA")</f>
        <v>NA</v>
      </c>
      <c r="Y1180" s="10" t="str">
        <f t="shared" ref="Y1180" si="1215">IFERROR(P1180/R1180,"NA")</f>
        <v>NA</v>
      </c>
      <c r="Z1180" s="10" t="str">
        <f t="shared" ref="Z1180" si="1216">IFERROR(P1180/U1180,"NA")</f>
        <v>NA</v>
      </c>
      <c r="AA1180" s="10" t="str">
        <f t="shared" ref="AA1180" si="1217">IFERROR(P1180/V1180,"NA")</f>
        <v>NA</v>
      </c>
      <c r="AB1180" s="10" t="str">
        <f t="shared" ref="AB1180" si="1218">IFERROR(Q1180/R1180,"NA")</f>
        <v>NA</v>
      </c>
      <c r="AC1180" s="10" t="str">
        <f t="shared" ref="AC1180" si="1219">IFERROR(Q1180/S1180,"NA")</f>
        <v>NA</v>
      </c>
      <c r="AD1180" s="10" t="str">
        <f t="shared" ref="AD1180" si="1220">IFERROR(Q1180/T1180,"NA")</f>
        <v>NA</v>
      </c>
      <c r="AE1180" s="10" t="str">
        <f t="shared" ref="AE1180" si="1221">IFERROR(Q1180/X1180,"NA")</f>
        <v>NA</v>
      </c>
      <c r="AF1180" s="1" t="s">
        <v>4579</v>
      </c>
    </row>
    <row r="1181" spans="1:32" x14ac:dyDescent="0.2">
      <c r="A1181" s="1" t="s">
        <v>109</v>
      </c>
      <c r="B1181" s="1" t="s">
        <v>111</v>
      </c>
      <c r="C1181" s="1" t="s">
        <v>1575</v>
      </c>
      <c r="D1181" s="1" t="s">
        <v>1601</v>
      </c>
      <c r="E1181" s="1" t="s">
        <v>1608</v>
      </c>
      <c r="F1181" s="1" t="s">
        <v>110</v>
      </c>
      <c r="G1181" s="4">
        <v>0.51</v>
      </c>
      <c r="H1181" s="28">
        <v>40521</v>
      </c>
      <c r="I1181" s="29">
        <f t="shared" si="1193"/>
        <v>2010</v>
      </c>
      <c r="J1181" s="1" t="s">
        <v>1674</v>
      </c>
      <c r="K1181" s="1" t="s">
        <v>7</v>
      </c>
      <c r="L1181" s="11" t="str">
        <f t="shared" si="1194"/>
        <v>НЕТ</v>
      </c>
      <c r="M1181" s="10">
        <v>71.932000000000002</v>
      </c>
      <c r="N1181" s="10" t="s">
        <v>1575</v>
      </c>
      <c r="O1181" s="10">
        <f>M1181*30.9831/1000</f>
        <v>2.2286763492000001</v>
      </c>
      <c r="P1181" s="10">
        <f t="shared" si="1142"/>
        <v>4.3699536258823528</v>
      </c>
      <c r="Q1181" s="10" t="str">
        <f t="shared" si="1143"/>
        <v>NA</v>
      </c>
      <c r="R1181" s="10">
        <f>4.355*30.9831/1000</f>
        <v>0.13493140050000002</v>
      </c>
      <c r="S1181" s="10" t="s">
        <v>1575</v>
      </c>
      <c r="T1181" s="10" t="s">
        <v>1575</v>
      </c>
      <c r="U1181" s="10">
        <f>-0.6*30.9831/1000</f>
        <v>-1.858986E-2</v>
      </c>
      <c r="V1181" s="10">
        <f>55.81*30.9831/1000</f>
        <v>1.729166811</v>
      </c>
      <c r="W1181" s="10" t="s">
        <v>1575</v>
      </c>
      <c r="X1181" s="10" t="str">
        <f t="shared" si="1195"/>
        <v>NA</v>
      </c>
      <c r="Y1181" s="10">
        <f t="shared" si="1196"/>
        <v>32.386483870241548</v>
      </c>
      <c r="Z1181" s="10">
        <f t="shared" si="1197"/>
        <v>-235.07189542483661</v>
      </c>
      <c r="AA1181" s="10">
        <f t="shared" si="1198"/>
        <v>2.5272018859505816</v>
      </c>
      <c r="AB1181" s="10" t="str">
        <f t="shared" si="1199"/>
        <v>NA</v>
      </c>
      <c r="AC1181" s="10" t="str">
        <f t="shared" si="1200"/>
        <v>NA</v>
      </c>
      <c r="AD1181" s="10" t="str">
        <f t="shared" si="1201"/>
        <v>NA</v>
      </c>
      <c r="AE1181" s="10" t="str">
        <f t="shared" si="1202"/>
        <v>NA</v>
      </c>
      <c r="AF1181" s="1" t="s">
        <v>4573</v>
      </c>
    </row>
    <row r="1182" spans="1:32" x14ac:dyDescent="0.2">
      <c r="A1182" s="1" t="s">
        <v>130</v>
      </c>
      <c r="B1182" s="1" t="s">
        <v>133</v>
      </c>
      <c r="C1182" s="1" t="s">
        <v>1575</v>
      </c>
      <c r="D1182" s="1" t="s">
        <v>1600</v>
      </c>
      <c r="E1182" s="1" t="s">
        <v>2050</v>
      </c>
      <c r="F1182" s="1" t="s">
        <v>123</v>
      </c>
      <c r="G1182" s="4">
        <v>1</v>
      </c>
      <c r="H1182" s="28">
        <v>40347</v>
      </c>
      <c r="I1182" s="29">
        <f t="shared" si="1141"/>
        <v>2010</v>
      </c>
      <c r="J1182" s="1" t="s">
        <v>1674</v>
      </c>
      <c r="K1182" s="1" t="s">
        <v>7</v>
      </c>
      <c r="L1182" s="11" t="str">
        <f t="shared" si="912"/>
        <v>НЕТ</v>
      </c>
      <c r="M1182" s="10">
        <v>3</v>
      </c>
      <c r="N1182" s="10" t="s">
        <v>1575</v>
      </c>
      <c r="O1182" s="10">
        <f>M1182*31.1854/1000</f>
        <v>9.3556200000000006E-2</v>
      </c>
      <c r="P1182" s="10">
        <f t="shared" si="1142"/>
        <v>9.3556200000000006E-2</v>
      </c>
      <c r="Q1182" s="10" t="str">
        <f t="shared" si="1143"/>
        <v>NA</v>
      </c>
      <c r="R1182" s="10" t="s">
        <v>1575</v>
      </c>
      <c r="S1182" s="10" t="s">
        <v>1575</v>
      </c>
      <c r="T1182" s="10" t="s">
        <v>1575</v>
      </c>
      <c r="U1182" s="10" t="s">
        <v>1575</v>
      </c>
      <c r="V1182" s="10">
        <f>0.58*31.1854/1000</f>
        <v>1.8087532E-2</v>
      </c>
      <c r="W1182" s="10" t="s">
        <v>1575</v>
      </c>
      <c r="X1182" s="10" t="str">
        <f t="shared" si="1113"/>
        <v>NA</v>
      </c>
      <c r="Y1182" s="10" t="str">
        <f t="shared" si="1114"/>
        <v>NA</v>
      </c>
      <c r="Z1182" s="10" t="str">
        <f t="shared" si="1115"/>
        <v>NA</v>
      </c>
      <c r="AA1182" s="10">
        <f t="shared" si="1116"/>
        <v>5.1724137931034484</v>
      </c>
      <c r="AB1182" s="10" t="str">
        <f t="shared" si="1117"/>
        <v>NA</v>
      </c>
      <c r="AC1182" s="10" t="str">
        <f t="shared" si="1118"/>
        <v>NA</v>
      </c>
      <c r="AD1182" s="10" t="str">
        <f t="shared" si="1119"/>
        <v>NA</v>
      </c>
      <c r="AE1182" s="10" t="str">
        <f t="shared" si="1120"/>
        <v>NA</v>
      </c>
      <c r="AF1182" s="1" t="s">
        <v>4574</v>
      </c>
    </row>
    <row r="1183" spans="1:32" x14ac:dyDescent="0.2">
      <c r="A1183" s="1" t="s">
        <v>131</v>
      </c>
      <c r="B1183" s="1" t="s">
        <v>132</v>
      </c>
      <c r="C1183" s="1" t="s">
        <v>1575</v>
      </c>
      <c r="D1183" s="1" t="s">
        <v>1600</v>
      </c>
      <c r="E1183" s="1" t="s">
        <v>2050</v>
      </c>
      <c r="F1183" s="1" t="s">
        <v>120</v>
      </c>
      <c r="G1183" s="4">
        <v>1</v>
      </c>
      <c r="H1183" s="28">
        <v>40234</v>
      </c>
      <c r="I1183" s="29">
        <f t="shared" si="1141"/>
        <v>2010</v>
      </c>
      <c r="J1183" s="1" t="s">
        <v>1674</v>
      </c>
      <c r="K1183" s="1" t="s">
        <v>7</v>
      </c>
      <c r="L1183" s="11" t="str">
        <f t="shared" si="912"/>
        <v>НЕТ</v>
      </c>
      <c r="M1183" s="10" t="s">
        <v>1575</v>
      </c>
      <c r="N1183" s="10">
        <v>8.6999999999999993</v>
      </c>
      <c r="O1183" s="10">
        <f>N1183*40.6498/1000</f>
        <v>0.35365325999999997</v>
      </c>
      <c r="P1183" s="10">
        <f t="shared" si="1142"/>
        <v>0.35365325999999997</v>
      </c>
      <c r="Q1183" s="10" t="str">
        <f t="shared" si="1143"/>
        <v>NA</v>
      </c>
      <c r="R1183" s="10" t="s">
        <v>1575</v>
      </c>
      <c r="S1183" s="10" t="s">
        <v>1575</v>
      </c>
      <c r="T1183" s="10" t="s">
        <v>1575</v>
      </c>
      <c r="U1183" s="10" t="s">
        <v>1575</v>
      </c>
      <c r="V1183" s="10">
        <f>19.357*30.0309/1000</f>
        <v>0.58130813130000003</v>
      </c>
      <c r="W1183" s="10" t="s">
        <v>1575</v>
      </c>
      <c r="X1183" s="10" t="str">
        <f t="shared" si="1113"/>
        <v>NA</v>
      </c>
      <c r="Y1183" s="10" t="str">
        <f t="shared" si="1114"/>
        <v>NA</v>
      </c>
      <c r="Z1183" s="10" t="str">
        <f t="shared" si="1115"/>
        <v>NA</v>
      </c>
      <c r="AA1183" s="10">
        <f t="shared" si="1116"/>
        <v>0.60837487204782881</v>
      </c>
      <c r="AB1183" s="10" t="str">
        <f t="shared" si="1117"/>
        <v>NA</v>
      </c>
      <c r="AC1183" s="10" t="str">
        <f t="shared" si="1118"/>
        <v>NA</v>
      </c>
      <c r="AD1183" s="10" t="str">
        <f t="shared" si="1119"/>
        <v>NA</v>
      </c>
      <c r="AE1183" s="10" t="str">
        <f t="shared" si="1120"/>
        <v>NA</v>
      </c>
      <c r="AF1183" s="1" t="s">
        <v>4575</v>
      </c>
    </row>
    <row r="1184" spans="1:32" x14ac:dyDescent="0.2">
      <c r="A1184" s="1" t="s">
        <v>1678</v>
      </c>
      <c r="B1184" s="1" t="s">
        <v>5</v>
      </c>
      <c r="C1184" s="1" t="s">
        <v>1679</v>
      </c>
      <c r="D1184" s="1" t="s">
        <v>1600</v>
      </c>
      <c r="E1184" s="1" t="s">
        <v>1659</v>
      </c>
      <c r="F1184" s="1" t="s">
        <v>118</v>
      </c>
      <c r="G1184" s="4">
        <v>7.1000000000000004E-3</v>
      </c>
      <c r="H1184" s="28">
        <v>40543</v>
      </c>
      <c r="I1184" s="29">
        <f t="shared" si="1141"/>
        <v>2010</v>
      </c>
      <c r="J1184" s="1" t="s">
        <v>1674</v>
      </c>
      <c r="K1184" s="1" t="s">
        <v>7</v>
      </c>
      <c r="L1184" s="11" t="str">
        <f t="shared" si="912"/>
        <v>НЕТ</v>
      </c>
      <c r="M1184" s="10">
        <v>16.504999999999999</v>
      </c>
      <c r="N1184" s="10" t="s">
        <v>1575</v>
      </c>
      <c r="O1184" s="10">
        <f>M1184*30.4769/1000</f>
        <v>0.50302123450000003</v>
      </c>
      <c r="P1184" s="10">
        <f t="shared" si="1142"/>
        <v>70.8480611971831</v>
      </c>
      <c r="Q1184" s="10" t="str">
        <f t="shared" si="1143"/>
        <v>NA</v>
      </c>
      <c r="R1184" s="10" t="s">
        <v>1575</v>
      </c>
      <c r="S1184" s="10" t="s">
        <v>1575</v>
      </c>
      <c r="T1184" s="10" t="s">
        <v>1575</v>
      </c>
      <c r="U1184" s="10" t="s">
        <v>1575</v>
      </c>
      <c r="V1184" s="10" t="s">
        <v>1575</v>
      </c>
      <c r="W1184" s="10" t="s">
        <v>1575</v>
      </c>
      <c r="X1184" s="10" t="str">
        <f t="shared" si="1113"/>
        <v>NA</v>
      </c>
      <c r="Y1184" s="10" t="str">
        <f t="shared" si="1114"/>
        <v>NA</v>
      </c>
      <c r="Z1184" s="10" t="str">
        <f t="shared" si="1115"/>
        <v>NA</v>
      </c>
      <c r="AA1184" s="10" t="str">
        <f t="shared" si="1116"/>
        <v>NA</v>
      </c>
      <c r="AB1184" s="10" t="str">
        <f t="shared" si="1117"/>
        <v>NA</v>
      </c>
      <c r="AC1184" s="10" t="str">
        <f t="shared" si="1118"/>
        <v>NA</v>
      </c>
      <c r="AD1184" s="10" t="str">
        <f t="shared" si="1119"/>
        <v>NA</v>
      </c>
      <c r="AE1184" s="10" t="str">
        <f t="shared" si="1120"/>
        <v>NA</v>
      </c>
      <c r="AF1184" s="1" t="s">
        <v>4577</v>
      </c>
    </row>
    <row r="1185" spans="1:32" x14ac:dyDescent="0.2">
      <c r="A1185" s="1" t="s">
        <v>1678</v>
      </c>
      <c r="B1185" s="1" t="s">
        <v>5</v>
      </c>
      <c r="C1185" s="1" t="s">
        <v>1679</v>
      </c>
      <c r="D1185" s="1" t="s">
        <v>1600</v>
      </c>
      <c r="E1185" s="1" t="s">
        <v>1659</v>
      </c>
      <c r="F1185" s="1" t="s">
        <v>118</v>
      </c>
      <c r="G1185" s="4">
        <v>4.4000000000000003E-3</v>
      </c>
      <c r="H1185" s="28">
        <v>40117</v>
      </c>
      <c r="I1185" s="29">
        <f t="shared" ref="I1185:I1189" si="1222">YEAR(H1185)</f>
        <v>2009</v>
      </c>
      <c r="J1185" s="1" t="s">
        <v>1674</v>
      </c>
      <c r="K1185" s="1" t="s">
        <v>7</v>
      </c>
      <c r="L1185" s="11" t="str">
        <f t="shared" ref="L1185:L1189" si="1223">IF(OR(A1185=J1185,A1185=K1185),"ДА","НЕТ")</f>
        <v>НЕТ</v>
      </c>
      <c r="M1185" s="10">
        <v>11.131</v>
      </c>
      <c r="N1185" s="10" t="s">
        <v>1575</v>
      </c>
      <c r="O1185" s="10">
        <f>M1185*29.0488/1000</f>
        <v>0.32334219280000004</v>
      </c>
      <c r="P1185" s="10">
        <f t="shared" si="1142"/>
        <v>73.486862000000002</v>
      </c>
      <c r="Q1185" s="10" t="str">
        <f t="shared" si="1143"/>
        <v>NA</v>
      </c>
      <c r="R1185" s="10" t="s">
        <v>1575</v>
      </c>
      <c r="S1185" s="10" t="s">
        <v>1575</v>
      </c>
      <c r="T1185" s="10" t="s">
        <v>1575</v>
      </c>
      <c r="U1185" s="10" t="s">
        <v>1575</v>
      </c>
      <c r="V1185" s="10" t="s">
        <v>1575</v>
      </c>
      <c r="W1185" s="10" t="s">
        <v>1575</v>
      </c>
      <c r="X1185" s="10" t="str">
        <f t="shared" ref="X1185:X1189" si="1224">IFERROR(V1185+W1185,"NA")</f>
        <v>NA</v>
      </c>
      <c r="Y1185" s="10" t="str">
        <f t="shared" ref="Y1185:Y1189" si="1225">IFERROR(P1185/R1185,"NA")</f>
        <v>NA</v>
      </c>
      <c r="Z1185" s="10" t="str">
        <f t="shared" ref="Z1185:Z1189" si="1226">IFERROR(P1185/U1185,"NA")</f>
        <v>NA</v>
      </c>
      <c r="AA1185" s="10" t="str">
        <f t="shared" ref="AA1185:AA1189" si="1227">IFERROR(P1185/V1185,"NA")</f>
        <v>NA</v>
      </c>
      <c r="AB1185" s="10" t="str">
        <f t="shared" ref="AB1185:AB1189" si="1228">IFERROR(Q1185/R1185,"NA")</f>
        <v>NA</v>
      </c>
      <c r="AC1185" s="10" t="str">
        <f t="shared" ref="AC1185:AC1189" si="1229">IFERROR(Q1185/S1185,"NA")</f>
        <v>NA</v>
      </c>
      <c r="AD1185" s="10" t="str">
        <f t="shared" ref="AD1185:AD1189" si="1230">IFERROR(Q1185/T1185,"NA")</f>
        <v>NA</v>
      </c>
      <c r="AE1185" s="10" t="str">
        <f t="shared" ref="AE1185:AE1189" si="1231">IFERROR(Q1185/X1185,"NA")</f>
        <v>NA</v>
      </c>
      <c r="AF1185" s="1" t="s">
        <v>4582</v>
      </c>
    </row>
    <row r="1186" spans="1:32" x14ac:dyDescent="0.2">
      <c r="A1186" s="1" t="s">
        <v>1678</v>
      </c>
      <c r="B1186" s="1" t="s">
        <v>5</v>
      </c>
      <c r="C1186" s="1" t="s">
        <v>1679</v>
      </c>
      <c r="D1186" s="1" t="s">
        <v>1600</v>
      </c>
      <c r="E1186" s="1" t="s">
        <v>1659</v>
      </c>
      <c r="F1186" s="1" t="s">
        <v>118</v>
      </c>
      <c r="G1186" s="4">
        <v>2.3999999999999998E-3</v>
      </c>
      <c r="H1186" s="28">
        <v>39994</v>
      </c>
      <c r="I1186" s="29">
        <f t="shared" si="1222"/>
        <v>2009</v>
      </c>
      <c r="J1186" s="1" t="s">
        <v>1674</v>
      </c>
      <c r="K1186" s="1" t="s">
        <v>7</v>
      </c>
      <c r="L1186" s="11" t="str">
        <f t="shared" si="1223"/>
        <v>НЕТ</v>
      </c>
      <c r="M1186" s="10">
        <v>13.646000000000001</v>
      </c>
      <c r="N1186" s="10" t="s">
        <v>1575</v>
      </c>
      <c r="O1186" s="10">
        <f>M1186*31.2904/1000</f>
        <v>0.42698879840000009</v>
      </c>
      <c r="P1186" s="10">
        <f t="shared" si="1142"/>
        <v>177.9119993333334</v>
      </c>
      <c r="Q1186" s="10" t="str">
        <f t="shared" si="1143"/>
        <v>NA</v>
      </c>
      <c r="R1186" s="10" t="s">
        <v>1575</v>
      </c>
      <c r="S1186" s="10" t="s">
        <v>1575</v>
      </c>
      <c r="T1186" s="10" t="s">
        <v>1575</v>
      </c>
      <c r="U1186" s="10" t="s">
        <v>1575</v>
      </c>
      <c r="V1186" s="10" t="s">
        <v>1575</v>
      </c>
      <c r="W1186" s="10" t="s">
        <v>1575</v>
      </c>
      <c r="X1186" s="10" t="str">
        <f t="shared" si="1224"/>
        <v>NA</v>
      </c>
      <c r="Y1186" s="10" t="str">
        <f t="shared" si="1225"/>
        <v>NA</v>
      </c>
      <c r="Z1186" s="10" t="str">
        <f t="shared" si="1226"/>
        <v>NA</v>
      </c>
      <c r="AA1186" s="10" t="str">
        <f t="shared" si="1227"/>
        <v>NA</v>
      </c>
      <c r="AB1186" s="10" t="str">
        <f t="shared" si="1228"/>
        <v>NA</v>
      </c>
      <c r="AC1186" s="10" t="str">
        <f t="shared" si="1229"/>
        <v>NA</v>
      </c>
      <c r="AD1186" s="10" t="str">
        <f t="shared" si="1230"/>
        <v>NA</v>
      </c>
      <c r="AE1186" s="10" t="str">
        <f t="shared" si="1231"/>
        <v>NA</v>
      </c>
      <c r="AF1186" s="1" t="s">
        <v>4589</v>
      </c>
    </row>
    <row r="1187" spans="1:32" x14ac:dyDescent="0.2">
      <c r="A1187" s="1" t="s">
        <v>4584</v>
      </c>
      <c r="B1187" s="1" t="s">
        <v>5</v>
      </c>
      <c r="C1187" s="1" t="s">
        <v>1679</v>
      </c>
      <c r="D1187" s="1" t="s">
        <v>1600</v>
      </c>
      <c r="E1187" s="1" t="s">
        <v>1659</v>
      </c>
      <c r="F1187" s="1" t="s">
        <v>118</v>
      </c>
      <c r="G1187" s="4">
        <v>0.1898</v>
      </c>
      <c r="H1187" s="28">
        <v>39994</v>
      </c>
      <c r="I1187" s="29">
        <f t="shared" ref="I1187" si="1232">YEAR(H1187)</f>
        <v>2009</v>
      </c>
      <c r="J1187" s="1" t="s">
        <v>4585</v>
      </c>
      <c r="K1187" s="1" t="s">
        <v>1674</v>
      </c>
      <c r="L1187" s="11" t="str">
        <f t="shared" ref="L1187" si="1233">IF(OR(A1187=J1187,A1187=K1187),"ДА","НЕТ")</f>
        <v>НЕТ</v>
      </c>
      <c r="M1187" s="10">
        <v>2.343</v>
      </c>
      <c r="N1187" s="10" t="s">
        <v>1575</v>
      </c>
      <c r="O1187" s="10">
        <f>M1187*31.2904/1000</f>
        <v>7.33134072E-2</v>
      </c>
      <c r="P1187" s="10">
        <f t="shared" si="1142"/>
        <v>0.38626663435194941</v>
      </c>
      <c r="Q1187" s="10" t="str">
        <f t="shared" si="1143"/>
        <v>NA</v>
      </c>
      <c r="R1187" s="10" t="s">
        <v>1575</v>
      </c>
      <c r="S1187" s="10" t="s">
        <v>1575</v>
      </c>
      <c r="T1187" s="10" t="s">
        <v>1575</v>
      </c>
      <c r="U1187" s="10" t="s">
        <v>1575</v>
      </c>
      <c r="V1187" s="10" t="s">
        <v>1575</v>
      </c>
      <c r="W1187" s="10" t="s">
        <v>1575</v>
      </c>
      <c r="X1187" s="10" t="str">
        <f t="shared" ref="X1187" si="1234">IFERROR(V1187+W1187,"NA")</f>
        <v>NA</v>
      </c>
      <c r="Y1187" s="10" t="str">
        <f t="shared" ref="Y1187" si="1235">IFERROR(P1187/R1187,"NA")</f>
        <v>NA</v>
      </c>
      <c r="Z1187" s="10" t="str">
        <f t="shared" ref="Z1187" si="1236">IFERROR(P1187/U1187,"NA")</f>
        <v>NA</v>
      </c>
      <c r="AA1187" s="10" t="str">
        <f t="shared" ref="AA1187" si="1237">IFERROR(P1187/V1187,"NA")</f>
        <v>NA</v>
      </c>
      <c r="AB1187" s="10" t="str">
        <f t="shared" ref="AB1187" si="1238">IFERROR(Q1187/R1187,"NA")</f>
        <v>NA</v>
      </c>
      <c r="AC1187" s="10" t="str">
        <f t="shared" ref="AC1187" si="1239">IFERROR(Q1187/S1187,"NA")</f>
        <v>NA</v>
      </c>
      <c r="AD1187" s="10" t="str">
        <f t="shared" ref="AD1187" si="1240">IFERROR(Q1187/T1187,"NA")</f>
        <v>NA</v>
      </c>
      <c r="AE1187" s="10" t="str">
        <f t="shared" ref="AE1187" si="1241">IFERROR(Q1187/X1187,"NA")</f>
        <v>NA</v>
      </c>
      <c r="AF1187" s="1" t="s">
        <v>4583</v>
      </c>
    </row>
    <row r="1188" spans="1:32" x14ac:dyDescent="0.2">
      <c r="A1188" s="1" t="s">
        <v>138</v>
      </c>
      <c r="B1188" s="1" t="s">
        <v>1575</v>
      </c>
      <c r="C1188" s="1" t="s">
        <v>1575</v>
      </c>
      <c r="D1188" s="1" t="s">
        <v>1580</v>
      </c>
      <c r="E1188" s="1" t="s">
        <v>2165</v>
      </c>
      <c r="F1188" s="1" t="s">
        <v>124</v>
      </c>
      <c r="G1188" s="4">
        <v>0.1</v>
      </c>
      <c r="H1188" s="28">
        <v>39844</v>
      </c>
      <c r="I1188" s="29">
        <f t="shared" si="1222"/>
        <v>2009</v>
      </c>
      <c r="J1188" s="1" t="s">
        <v>1674</v>
      </c>
      <c r="K1188" s="1" t="s">
        <v>7</v>
      </c>
      <c r="L1188" s="11" t="str">
        <f t="shared" si="1223"/>
        <v>НЕТ</v>
      </c>
      <c r="M1188" s="10">
        <v>3</v>
      </c>
      <c r="N1188" s="10" t="s">
        <v>1575</v>
      </c>
      <c r="O1188" s="10">
        <f>M1188*35.4146/1000</f>
        <v>0.1062438</v>
      </c>
      <c r="P1188" s="10">
        <f t="shared" si="1142"/>
        <v>1.062438</v>
      </c>
      <c r="Q1188" s="10" t="str">
        <f t="shared" si="1143"/>
        <v>NA</v>
      </c>
      <c r="R1188" s="10" t="s">
        <v>1575</v>
      </c>
      <c r="S1188" s="10" t="s">
        <v>1575</v>
      </c>
      <c r="T1188" s="10" t="s">
        <v>1575</v>
      </c>
      <c r="U1188" s="10" t="s">
        <v>1575</v>
      </c>
      <c r="V1188" s="10" t="s">
        <v>1575</v>
      </c>
      <c r="W1188" s="10" t="s">
        <v>1575</v>
      </c>
      <c r="X1188" s="10" t="str">
        <f t="shared" si="1224"/>
        <v>NA</v>
      </c>
      <c r="Y1188" s="10" t="str">
        <f t="shared" si="1225"/>
        <v>NA</v>
      </c>
      <c r="Z1188" s="10" t="str">
        <f t="shared" si="1226"/>
        <v>NA</v>
      </c>
      <c r="AA1188" s="10" t="str">
        <f t="shared" si="1227"/>
        <v>NA</v>
      </c>
      <c r="AB1188" s="10" t="str">
        <f t="shared" si="1228"/>
        <v>NA</v>
      </c>
      <c r="AC1188" s="10" t="str">
        <f t="shared" si="1229"/>
        <v>NA</v>
      </c>
      <c r="AD1188" s="10" t="str">
        <f t="shared" si="1230"/>
        <v>NA</v>
      </c>
      <c r="AE1188" s="10" t="str">
        <f t="shared" si="1231"/>
        <v>NA</v>
      </c>
      <c r="AF1188" s="1" t="s">
        <v>4581</v>
      </c>
    </row>
    <row r="1189" spans="1:32" x14ac:dyDescent="0.2">
      <c r="A1189" s="1" t="s">
        <v>139</v>
      </c>
      <c r="B1189" s="1" t="s">
        <v>1575</v>
      </c>
      <c r="C1189" s="1" t="s">
        <v>1575</v>
      </c>
      <c r="D1189" s="1" t="s">
        <v>1580</v>
      </c>
      <c r="E1189" s="1" t="s">
        <v>2165</v>
      </c>
      <c r="F1189" s="1" t="s">
        <v>124</v>
      </c>
      <c r="G1189" s="4">
        <v>0.1</v>
      </c>
      <c r="H1189" s="28">
        <v>39844</v>
      </c>
      <c r="I1189" s="29">
        <f t="shared" si="1222"/>
        <v>2009</v>
      </c>
      <c r="J1189" s="1" t="s">
        <v>1674</v>
      </c>
      <c r="K1189" s="1" t="s">
        <v>7</v>
      </c>
      <c r="L1189" s="11" t="str">
        <f t="shared" si="1223"/>
        <v>НЕТ</v>
      </c>
      <c r="M1189" s="10">
        <v>0.5</v>
      </c>
      <c r="N1189" s="10" t="s">
        <v>1575</v>
      </c>
      <c r="O1189" s="10">
        <f>M1189*35.4146/1000</f>
        <v>1.7707299999999999E-2</v>
      </c>
      <c r="P1189" s="10">
        <f t="shared" si="1142"/>
        <v>0.17707299999999998</v>
      </c>
      <c r="Q1189" s="10" t="str">
        <f t="shared" si="1143"/>
        <v>NA</v>
      </c>
      <c r="R1189" s="10" t="s">
        <v>1575</v>
      </c>
      <c r="S1189" s="10" t="s">
        <v>1575</v>
      </c>
      <c r="T1189" s="10" t="s">
        <v>1575</v>
      </c>
      <c r="U1189" s="10" t="s">
        <v>1575</v>
      </c>
      <c r="V1189" s="10" t="s">
        <v>1575</v>
      </c>
      <c r="W1189" s="10" t="s">
        <v>1575</v>
      </c>
      <c r="X1189" s="10" t="str">
        <f t="shared" si="1224"/>
        <v>NA</v>
      </c>
      <c r="Y1189" s="10" t="str">
        <f t="shared" si="1225"/>
        <v>NA</v>
      </c>
      <c r="Z1189" s="10" t="str">
        <f t="shared" si="1226"/>
        <v>NA</v>
      </c>
      <c r="AA1189" s="10" t="str">
        <f t="shared" si="1227"/>
        <v>NA</v>
      </c>
      <c r="AB1189" s="10" t="str">
        <f t="shared" si="1228"/>
        <v>NA</v>
      </c>
      <c r="AC1189" s="10" t="str">
        <f t="shared" si="1229"/>
        <v>NA</v>
      </c>
      <c r="AD1189" s="10" t="str">
        <f t="shared" si="1230"/>
        <v>NA</v>
      </c>
      <c r="AE1189" s="10" t="str">
        <f t="shared" si="1231"/>
        <v>NA</v>
      </c>
      <c r="AF1189" s="1" t="s">
        <v>4581</v>
      </c>
    </row>
    <row r="1190" spans="1:32" x14ac:dyDescent="0.2">
      <c r="A1190" s="1" t="s">
        <v>134</v>
      </c>
      <c r="B1190" s="1" t="s">
        <v>3</v>
      </c>
      <c r="C1190" s="1" t="s">
        <v>1575</v>
      </c>
      <c r="D1190" s="1" t="s">
        <v>1600</v>
      </c>
      <c r="E1190" s="1" t="s">
        <v>2050</v>
      </c>
      <c r="F1190" s="1" t="s">
        <v>123</v>
      </c>
      <c r="G1190" s="4">
        <v>1</v>
      </c>
      <c r="H1190" s="28">
        <v>39717</v>
      </c>
      <c r="I1190" s="29">
        <f t="shared" si="1141"/>
        <v>2008</v>
      </c>
      <c r="J1190" s="1" t="s">
        <v>1674</v>
      </c>
      <c r="K1190" s="1" t="s">
        <v>7</v>
      </c>
      <c r="L1190" s="11" t="str">
        <f t="shared" si="912"/>
        <v>НЕТ</v>
      </c>
      <c r="M1190" s="10">
        <v>55.854999999999997</v>
      </c>
      <c r="N1190" s="10" t="s">
        <v>1575</v>
      </c>
      <c r="O1190" s="10">
        <f>M1190*24.8982/1000</f>
        <v>1.3906889609999999</v>
      </c>
      <c r="P1190" s="10">
        <f t="shared" si="1142"/>
        <v>1.3906889609999999</v>
      </c>
      <c r="Q1190" s="10" t="str">
        <f t="shared" si="1143"/>
        <v>NA</v>
      </c>
      <c r="R1190" s="10" t="s">
        <v>1575</v>
      </c>
      <c r="S1190" s="10" t="s">
        <v>1575</v>
      </c>
      <c r="T1190" s="10" t="s">
        <v>1575</v>
      </c>
      <c r="U1190" s="10" t="s">
        <v>1575</v>
      </c>
      <c r="V1190" s="10">
        <f>55.855*24.8982/1000</f>
        <v>1.3906889609999999</v>
      </c>
      <c r="W1190" s="10" t="s">
        <v>1575</v>
      </c>
      <c r="X1190" s="10" t="str">
        <f t="shared" si="1113"/>
        <v>NA</v>
      </c>
      <c r="Y1190" s="10" t="str">
        <f t="shared" si="1114"/>
        <v>NA</v>
      </c>
      <c r="Z1190" s="10" t="str">
        <f t="shared" si="1115"/>
        <v>NA</v>
      </c>
      <c r="AA1190" s="10">
        <f t="shared" si="1116"/>
        <v>1</v>
      </c>
      <c r="AB1190" s="10" t="str">
        <f t="shared" si="1117"/>
        <v>NA</v>
      </c>
      <c r="AC1190" s="10" t="str">
        <f t="shared" si="1118"/>
        <v>NA</v>
      </c>
      <c r="AD1190" s="10" t="str">
        <f t="shared" si="1119"/>
        <v>NA</v>
      </c>
      <c r="AE1190" s="10" t="str">
        <f t="shared" si="1120"/>
        <v>NA</v>
      </c>
      <c r="AF1190" s="1" t="s">
        <v>4590</v>
      </c>
    </row>
    <row r="1191" spans="1:32" x14ac:dyDescent="0.2">
      <c r="A1191" s="1" t="s">
        <v>135</v>
      </c>
      <c r="B1191" s="1" t="s">
        <v>132</v>
      </c>
      <c r="C1191" s="1" t="s">
        <v>1575</v>
      </c>
      <c r="D1191" s="1" t="s">
        <v>1600</v>
      </c>
      <c r="E1191" s="1" t="s">
        <v>2050</v>
      </c>
      <c r="F1191" s="1" t="s">
        <v>120</v>
      </c>
      <c r="G1191" s="4">
        <v>1</v>
      </c>
      <c r="H1191" s="28">
        <v>39546</v>
      </c>
      <c r="I1191" s="29">
        <f t="shared" si="1141"/>
        <v>2008</v>
      </c>
      <c r="J1191" s="1" t="s">
        <v>1674</v>
      </c>
      <c r="K1191" s="1" t="s">
        <v>7</v>
      </c>
      <c r="L1191" s="11" t="str">
        <f t="shared" si="912"/>
        <v>НЕТ</v>
      </c>
      <c r="M1191" s="10">
        <v>224.00299999999999</v>
      </c>
      <c r="N1191" s="10" t="s">
        <v>1575</v>
      </c>
      <c r="O1191" s="10">
        <f>M1191*23.6028/1000</f>
        <v>5.2870980083999992</v>
      </c>
      <c r="P1191" s="10">
        <f t="shared" si="1142"/>
        <v>5.2870980083999992</v>
      </c>
      <c r="Q1191" s="10" t="str">
        <f t="shared" si="1143"/>
        <v>NA</v>
      </c>
      <c r="R1191" s="10" t="s">
        <v>1575</v>
      </c>
      <c r="S1191" s="10" t="s">
        <v>1575</v>
      </c>
      <c r="T1191" s="10" t="s">
        <v>1575</v>
      </c>
      <c r="U1191" s="10" t="s">
        <v>1575</v>
      </c>
      <c r="V1191" s="10">
        <f>91.313*23.6028/1000</f>
        <v>2.1552424763999998</v>
      </c>
      <c r="W1191" s="10" t="s">
        <v>1575</v>
      </c>
      <c r="X1191" s="10" t="str">
        <f t="shared" si="1113"/>
        <v>NA</v>
      </c>
      <c r="Y1191" s="10" t="str">
        <f t="shared" si="1114"/>
        <v>NA</v>
      </c>
      <c r="Z1191" s="10" t="str">
        <f t="shared" si="1115"/>
        <v>NA</v>
      </c>
      <c r="AA1191" s="10">
        <f t="shared" si="1116"/>
        <v>2.4531337268515983</v>
      </c>
      <c r="AB1191" s="10" t="str">
        <f t="shared" si="1117"/>
        <v>NA</v>
      </c>
      <c r="AC1191" s="10" t="str">
        <f t="shared" si="1118"/>
        <v>NA</v>
      </c>
      <c r="AD1191" s="10" t="str">
        <f t="shared" si="1119"/>
        <v>NA</v>
      </c>
      <c r="AE1191" s="10" t="str">
        <f t="shared" si="1120"/>
        <v>NA</v>
      </c>
      <c r="AF1191" s="1" t="s">
        <v>4591</v>
      </c>
    </row>
    <row r="1192" spans="1:32" x14ac:dyDescent="0.2">
      <c r="A1192" s="1" t="s">
        <v>136</v>
      </c>
      <c r="B1192" s="1" t="s">
        <v>122</v>
      </c>
      <c r="C1192" s="1" t="s">
        <v>1575</v>
      </c>
      <c r="D1192" s="1" t="s">
        <v>1600</v>
      </c>
      <c r="E1192" s="1" t="s">
        <v>3023</v>
      </c>
      <c r="F1192" s="1" t="s">
        <v>137</v>
      </c>
      <c r="G1192" s="4">
        <v>1</v>
      </c>
      <c r="H1192" s="28">
        <v>39752</v>
      </c>
      <c r="I1192" s="29">
        <f t="shared" si="1141"/>
        <v>2008</v>
      </c>
      <c r="J1192" s="1" t="s">
        <v>1674</v>
      </c>
      <c r="K1192" s="1" t="s">
        <v>7</v>
      </c>
      <c r="L1192" s="11" t="str">
        <f t="shared" si="912"/>
        <v>НЕТ</v>
      </c>
      <c r="M1192" s="10">
        <v>1467.5139999999999</v>
      </c>
      <c r="N1192" s="10" t="s">
        <v>1575</v>
      </c>
      <c r="O1192" s="10">
        <f>M1192*26.543/1000</f>
        <v>38.952224101999995</v>
      </c>
      <c r="P1192" s="10">
        <f t="shared" si="1142"/>
        <v>38.952224101999995</v>
      </c>
      <c r="Q1192" s="10" t="str">
        <f t="shared" si="1143"/>
        <v>NA</v>
      </c>
      <c r="R1192" s="10" t="s">
        <v>1575</v>
      </c>
      <c r="S1192" s="10" t="s">
        <v>1575</v>
      </c>
      <c r="T1192" s="10" t="s">
        <v>1575</v>
      </c>
      <c r="U1192" s="10" t="s">
        <v>1575</v>
      </c>
      <c r="V1192" s="10">
        <f>1462.179*26.543/1000</f>
        <v>38.810617196999999</v>
      </c>
      <c r="W1192" s="10" t="s">
        <v>1575</v>
      </c>
      <c r="X1192" s="10" t="str">
        <f t="shared" si="1113"/>
        <v>NA</v>
      </c>
      <c r="Y1192" s="10" t="str">
        <f t="shared" si="1114"/>
        <v>NA</v>
      </c>
      <c r="Z1192" s="10" t="str">
        <f t="shared" si="1115"/>
        <v>NA</v>
      </c>
      <c r="AA1192" s="10">
        <f t="shared" si="1116"/>
        <v>1.0036486640828517</v>
      </c>
      <c r="AB1192" s="10" t="str">
        <f t="shared" si="1117"/>
        <v>NA</v>
      </c>
      <c r="AC1192" s="10" t="str">
        <f t="shared" si="1118"/>
        <v>NA</v>
      </c>
      <c r="AD1192" s="10" t="str">
        <f t="shared" si="1119"/>
        <v>NA</v>
      </c>
      <c r="AE1192" s="10" t="str">
        <f t="shared" si="1120"/>
        <v>NA</v>
      </c>
      <c r="AF1192" s="1" t="s">
        <v>4592</v>
      </c>
    </row>
    <row r="1193" spans="1:32" x14ac:dyDescent="0.2">
      <c r="A1193" s="1" t="s">
        <v>140</v>
      </c>
      <c r="B1193" s="1" t="s">
        <v>5</v>
      </c>
      <c r="C1193" s="1" t="s">
        <v>1680</v>
      </c>
      <c r="D1193" s="1" t="s">
        <v>1600</v>
      </c>
      <c r="E1193" s="1" t="s">
        <v>3024</v>
      </c>
      <c r="F1193" s="1" t="s">
        <v>141</v>
      </c>
      <c r="G1193" s="4">
        <v>4.1500000000000002E-2</v>
      </c>
      <c r="H1193" s="28">
        <v>39599</v>
      </c>
      <c r="I1193" s="29">
        <f t="shared" si="1141"/>
        <v>2008</v>
      </c>
      <c r="J1193" s="1" t="s">
        <v>1674</v>
      </c>
      <c r="K1193" s="1" t="s">
        <v>7</v>
      </c>
      <c r="L1193" s="11" t="str">
        <f t="shared" si="912"/>
        <v>НЕТ</v>
      </c>
      <c r="M1193" s="10">
        <v>31.78</v>
      </c>
      <c r="N1193" s="10" t="s">
        <v>1575</v>
      </c>
      <c r="O1193" s="10">
        <f>M1193*23.7384/1000</f>
        <v>0.75440635199999995</v>
      </c>
      <c r="P1193" s="10">
        <f t="shared" si="1142"/>
        <v>18.178466313253011</v>
      </c>
      <c r="Q1193" s="10" t="str">
        <f t="shared" si="1143"/>
        <v>NA</v>
      </c>
      <c r="R1193" s="10" t="s">
        <v>1575</v>
      </c>
      <c r="S1193" s="10" t="s">
        <v>1575</v>
      </c>
      <c r="T1193" s="10" t="s">
        <v>1575</v>
      </c>
      <c r="U1193" s="10" t="s">
        <v>1575</v>
      </c>
      <c r="V1193" s="10" t="s">
        <v>1575</v>
      </c>
      <c r="W1193" s="10" t="s">
        <v>1575</v>
      </c>
      <c r="X1193" s="10" t="str">
        <f t="shared" si="1113"/>
        <v>NA</v>
      </c>
      <c r="Y1193" s="10" t="str">
        <f t="shared" si="1114"/>
        <v>NA</v>
      </c>
      <c r="Z1193" s="10" t="str">
        <f t="shared" si="1115"/>
        <v>NA</v>
      </c>
      <c r="AA1193" s="10" t="str">
        <f t="shared" si="1116"/>
        <v>NA</v>
      </c>
      <c r="AB1193" s="10" t="str">
        <f t="shared" si="1117"/>
        <v>NA</v>
      </c>
      <c r="AC1193" s="10" t="str">
        <f t="shared" si="1118"/>
        <v>NA</v>
      </c>
      <c r="AD1193" s="10" t="str">
        <f t="shared" si="1119"/>
        <v>NA</v>
      </c>
      <c r="AE1193" s="10" t="str">
        <f t="shared" si="1120"/>
        <v>NA</v>
      </c>
      <c r="AF1193" s="1" t="s">
        <v>4593</v>
      </c>
    </row>
    <row r="1194" spans="1:32" x14ac:dyDescent="0.2">
      <c r="A1194" s="1" t="s">
        <v>1227</v>
      </c>
      <c r="B1194" s="1" t="s">
        <v>5</v>
      </c>
      <c r="C1194" s="1" t="s">
        <v>4454</v>
      </c>
      <c r="D1194" s="1" t="s">
        <v>1600</v>
      </c>
      <c r="E1194" s="1" t="s">
        <v>2050</v>
      </c>
      <c r="F1194" s="1" t="s">
        <v>120</v>
      </c>
      <c r="G1194" s="4">
        <v>3.8999999999999998E-3</v>
      </c>
      <c r="H1194" s="28">
        <v>39690</v>
      </c>
      <c r="I1194" s="29">
        <f t="shared" si="1141"/>
        <v>2008</v>
      </c>
      <c r="J1194" s="1" t="s">
        <v>1674</v>
      </c>
      <c r="K1194" s="1" t="s">
        <v>7</v>
      </c>
      <c r="L1194" s="11" t="str">
        <f t="shared" si="912"/>
        <v>НЕТ</v>
      </c>
      <c r="M1194" s="10">
        <v>4.6609999999999996</v>
      </c>
      <c r="N1194" s="10" t="s">
        <v>1575</v>
      </c>
      <c r="O1194" s="10">
        <f>M1194*24.5769/1000</f>
        <v>0.11455293089999997</v>
      </c>
      <c r="P1194" s="10">
        <f t="shared" si="1142"/>
        <v>29.372546384615379</v>
      </c>
      <c r="Q1194" s="10" t="str">
        <f t="shared" si="1143"/>
        <v>NA</v>
      </c>
      <c r="R1194" s="10" t="s">
        <v>1575</v>
      </c>
      <c r="S1194" s="10" t="s">
        <v>1575</v>
      </c>
      <c r="T1194" s="10" t="s">
        <v>1575</v>
      </c>
      <c r="U1194" s="10" t="s">
        <v>1575</v>
      </c>
      <c r="V1194" s="10" t="s">
        <v>1575</v>
      </c>
      <c r="W1194" s="10" t="s">
        <v>1575</v>
      </c>
      <c r="X1194" s="10" t="str">
        <f t="shared" si="1113"/>
        <v>NA</v>
      </c>
      <c r="Y1194" s="10" t="str">
        <f t="shared" si="1114"/>
        <v>NA</v>
      </c>
      <c r="Z1194" s="10" t="str">
        <f t="shared" si="1115"/>
        <v>NA</v>
      </c>
      <c r="AA1194" s="10" t="str">
        <f t="shared" si="1116"/>
        <v>NA</v>
      </c>
      <c r="AB1194" s="10" t="str">
        <f t="shared" si="1117"/>
        <v>NA</v>
      </c>
      <c r="AC1194" s="10" t="str">
        <f t="shared" si="1118"/>
        <v>NA</v>
      </c>
      <c r="AD1194" s="10" t="str">
        <f t="shared" si="1119"/>
        <v>NA</v>
      </c>
      <c r="AE1194" s="10" t="str">
        <f t="shared" si="1120"/>
        <v>NA</v>
      </c>
      <c r="AF1194" s="1" t="s">
        <v>4594</v>
      </c>
    </row>
    <row r="1195" spans="1:32" x14ac:dyDescent="0.2">
      <c r="A1195" s="1" t="s">
        <v>119</v>
      </c>
      <c r="B1195" s="1" t="s">
        <v>5</v>
      </c>
      <c r="C1195" s="1" t="s">
        <v>1575</v>
      </c>
      <c r="D1195" s="1" t="s">
        <v>1600</v>
      </c>
      <c r="E1195" s="1" t="s">
        <v>2050</v>
      </c>
      <c r="F1195" s="1" t="s">
        <v>120</v>
      </c>
      <c r="G1195" s="4">
        <v>1E-4</v>
      </c>
      <c r="H1195" s="28">
        <v>39568</v>
      </c>
      <c r="I1195" s="29">
        <f t="shared" si="1141"/>
        <v>2008</v>
      </c>
      <c r="J1195" s="1" t="s">
        <v>1674</v>
      </c>
      <c r="K1195" s="1" t="s">
        <v>7</v>
      </c>
      <c r="L1195" s="11" t="str">
        <f t="shared" si="912"/>
        <v>НЕТ</v>
      </c>
      <c r="M1195" s="10">
        <v>6.0000000000000001E-3</v>
      </c>
      <c r="N1195" s="10" t="s">
        <v>1575</v>
      </c>
      <c r="O1195" s="10">
        <f>M1195*23.6471/1000</f>
        <v>1.4188260000000001E-4</v>
      </c>
      <c r="P1195" s="10">
        <f t="shared" si="1142"/>
        <v>1.4188259999999999</v>
      </c>
      <c r="Q1195" s="10" t="str">
        <f t="shared" si="1143"/>
        <v>NA</v>
      </c>
      <c r="R1195" s="10" t="s">
        <v>1575</v>
      </c>
      <c r="S1195" s="10" t="s">
        <v>1575</v>
      </c>
      <c r="T1195" s="10" t="s">
        <v>1575</v>
      </c>
      <c r="U1195" s="10" t="s">
        <v>1575</v>
      </c>
      <c r="V1195" s="10" t="s">
        <v>1575</v>
      </c>
      <c r="W1195" s="10" t="s">
        <v>1575</v>
      </c>
      <c r="X1195" s="10" t="str">
        <f t="shared" si="1113"/>
        <v>NA</v>
      </c>
      <c r="Y1195" s="10" t="str">
        <f t="shared" si="1114"/>
        <v>NA</v>
      </c>
      <c r="Z1195" s="10" t="str">
        <f t="shared" si="1115"/>
        <v>NA</v>
      </c>
      <c r="AA1195" s="10" t="str">
        <f t="shared" si="1116"/>
        <v>NA</v>
      </c>
      <c r="AB1195" s="10" t="str">
        <f t="shared" si="1117"/>
        <v>NA</v>
      </c>
      <c r="AC1195" s="10" t="str">
        <f t="shared" si="1118"/>
        <v>NA</v>
      </c>
      <c r="AD1195" s="10" t="str">
        <f t="shared" si="1119"/>
        <v>NA</v>
      </c>
      <c r="AE1195" s="10" t="str">
        <f t="shared" si="1120"/>
        <v>NA</v>
      </c>
    </row>
    <row r="1196" spans="1:32" x14ac:dyDescent="0.2">
      <c r="A1196" s="1" t="s">
        <v>115</v>
      </c>
      <c r="B1196" s="1" t="s">
        <v>5</v>
      </c>
      <c r="C1196" s="1" t="s">
        <v>4549</v>
      </c>
      <c r="D1196" s="1" t="s">
        <v>1600</v>
      </c>
      <c r="E1196" s="1" t="s">
        <v>2050</v>
      </c>
      <c r="F1196" s="1" t="s">
        <v>120</v>
      </c>
      <c r="G1196" s="4">
        <v>2E-3</v>
      </c>
      <c r="H1196" s="28">
        <v>39599</v>
      </c>
      <c r="I1196" s="29">
        <f t="shared" si="1141"/>
        <v>2008</v>
      </c>
      <c r="J1196" s="1" t="s">
        <v>1674</v>
      </c>
      <c r="K1196" s="1" t="s">
        <v>7</v>
      </c>
      <c r="L1196" s="11" t="str">
        <f t="shared" si="912"/>
        <v>НЕТ</v>
      </c>
      <c r="M1196" s="10">
        <v>0.19400000000000001</v>
      </c>
      <c r="N1196" s="10" t="s">
        <v>1575</v>
      </c>
      <c r="O1196" s="10">
        <f>M1196*23.7384/1000</f>
        <v>4.6052495999999998E-3</v>
      </c>
      <c r="P1196" s="10">
        <f t="shared" si="1142"/>
        <v>2.3026247999999998</v>
      </c>
      <c r="Q1196" s="10" t="str">
        <f t="shared" si="1143"/>
        <v>NA</v>
      </c>
      <c r="R1196" s="10" t="s">
        <v>1575</v>
      </c>
      <c r="S1196" s="10" t="s">
        <v>1575</v>
      </c>
      <c r="T1196" s="10" t="s">
        <v>1575</v>
      </c>
      <c r="U1196" s="10" t="s">
        <v>1575</v>
      </c>
      <c r="V1196" s="10" t="s">
        <v>1575</v>
      </c>
      <c r="W1196" s="10" t="s">
        <v>1575</v>
      </c>
      <c r="X1196" s="10" t="str">
        <f t="shared" si="1113"/>
        <v>NA</v>
      </c>
      <c r="Y1196" s="10" t="str">
        <f t="shared" si="1114"/>
        <v>NA</v>
      </c>
      <c r="Z1196" s="10" t="str">
        <f t="shared" si="1115"/>
        <v>NA</v>
      </c>
      <c r="AA1196" s="10" t="str">
        <f t="shared" si="1116"/>
        <v>NA</v>
      </c>
      <c r="AB1196" s="10" t="str">
        <f t="shared" si="1117"/>
        <v>NA</v>
      </c>
      <c r="AC1196" s="10" t="str">
        <f t="shared" si="1118"/>
        <v>NA</v>
      </c>
      <c r="AD1196" s="10" t="str">
        <f t="shared" si="1119"/>
        <v>NA</v>
      </c>
      <c r="AE1196" s="10" t="str">
        <f t="shared" si="1120"/>
        <v>NA</v>
      </c>
    </row>
    <row r="1197" spans="1:32" x14ac:dyDescent="0.2">
      <c r="A1197" s="1" t="s">
        <v>142</v>
      </c>
      <c r="B1197" s="1" t="s">
        <v>5</v>
      </c>
      <c r="C1197" s="1" t="s">
        <v>1575</v>
      </c>
      <c r="D1197" s="1" t="s">
        <v>1601</v>
      </c>
      <c r="E1197" s="1" t="s">
        <v>1608</v>
      </c>
      <c r="F1197" s="1" t="s">
        <v>1562</v>
      </c>
      <c r="G1197" s="4">
        <v>2.8000000000000001E-2</v>
      </c>
      <c r="H1197" s="28">
        <v>39599</v>
      </c>
      <c r="I1197" s="29">
        <f t="shared" si="1141"/>
        <v>2008</v>
      </c>
      <c r="J1197" s="1" t="s">
        <v>1674</v>
      </c>
      <c r="K1197" s="1" t="s">
        <v>7</v>
      </c>
      <c r="L1197" s="11" t="str">
        <f t="shared" ref="L1197:L1324" si="1242">IF(OR(A1197=J1197,A1197=K1197),"ДА","НЕТ")</f>
        <v>НЕТ</v>
      </c>
      <c r="M1197" s="10">
        <v>0.4</v>
      </c>
      <c r="N1197" s="10" t="s">
        <v>1575</v>
      </c>
      <c r="O1197" s="10">
        <f>M1197*23.7384/1000</f>
        <v>9.4953599999999996E-3</v>
      </c>
      <c r="P1197" s="10">
        <f t="shared" si="1142"/>
        <v>0.33911999999999998</v>
      </c>
      <c r="Q1197" s="10" t="str">
        <f t="shared" si="1143"/>
        <v>NA</v>
      </c>
      <c r="R1197" s="10" t="s">
        <v>1575</v>
      </c>
      <c r="S1197" s="10" t="s">
        <v>1575</v>
      </c>
      <c r="T1197" s="10" t="s">
        <v>1575</v>
      </c>
      <c r="U1197" s="10" t="s">
        <v>1575</v>
      </c>
      <c r="V1197" s="10" t="s">
        <v>1575</v>
      </c>
      <c r="W1197" s="10" t="s">
        <v>1575</v>
      </c>
      <c r="X1197" s="10" t="str">
        <f t="shared" si="1113"/>
        <v>NA</v>
      </c>
      <c r="Y1197" s="10" t="str">
        <f t="shared" si="1114"/>
        <v>NA</v>
      </c>
      <c r="Z1197" s="10" t="str">
        <f t="shared" si="1115"/>
        <v>NA</v>
      </c>
      <c r="AA1197" s="10" t="str">
        <f t="shared" si="1116"/>
        <v>NA</v>
      </c>
      <c r="AB1197" s="10" t="str">
        <f t="shared" si="1117"/>
        <v>NA</v>
      </c>
      <c r="AC1197" s="10" t="str">
        <f t="shared" si="1118"/>
        <v>NA</v>
      </c>
      <c r="AD1197" s="10" t="str">
        <f t="shared" si="1119"/>
        <v>NA</v>
      </c>
      <c r="AE1197" s="10" t="str">
        <f t="shared" si="1120"/>
        <v>NA</v>
      </c>
    </row>
    <row r="1198" spans="1:32" x14ac:dyDescent="0.2">
      <c r="A1198" s="1" t="s">
        <v>143</v>
      </c>
      <c r="B1198" s="1" t="s">
        <v>5</v>
      </c>
      <c r="C1198" s="1" t="s">
        <v>1610</v>
      </c>
      <c r="D1198" s="1" t="s">
        <v>1601</v>
      </c>
      <c r="E1198" s="1" t="s">
        <v>1608</v>
      </c>
      <c r="F1198" s="1" t="s">
        <v>1562</v>
      </c>
      <c r="G1198" s="4">
        <v>2.2000000000000001E-3</v>
      </c>
      <c r="H1198" s="28">
        <v>39538</v>
      </c>
      <c r="I1198" s="29">
        <f t="shared" si="1141"/>
        <v>2008</v>
      </c>
      <c r="J1198" s="1" t="s">
        <v>1674</v>
      </c>
      <c r="K1198" s="1" t="s">
        <v>7</v>
      </c>
      <c r="L1198" s="11" t="str">
        <f t="shared" si="1242"/>
        <v>НЕТ</v>
      </c>
      <c r="M1198" s="10">
        <v>0.65800000000000003</v>
      </c>
      <c r="N1198" s="10" t="s">
        <v>1575</v>
      </c>
      <c r="O1198" s="10">
        <f>M1198*23.5156/1000</f>
        <v>1.5473264800000001E-2</v>
      </c>
      <c r="P1198" s="10">
        <f t="shared" si="1142"/>
        <v>7.0333021818181818</v>
      </c>
      <c r="Q1198" s="10" t="str">
        <f t="shared" si="1143"/>
        <v>NA</v>
      </c>
      <c r="R1198" s="10" t="s">
        <v>1575</v>
      </c>
      <c r="S1198" s="10" t="s">
        <v>1575</v>
      </c>
      <c r="T1198" s="10" t="s">
        <v>1575</v>
      </c>
      <c r="U1198" s="10" t="s">
        <v>1575</v>
      </c>
      <c r="V1198" s="10" t="s">
        <v>1575</v>
      </c>
      <c r="W1198" s="10" t="s">
        <v>1575</v>
      </c>
      <c r="X1198" s="10" t="str">
        <f t="shared" si="1113"/>
        <v>NA</v>
      </c>
      <c r="Y1198" s="10" t="str">
        <f t="shared" si="1114"/>
        <v>NA</v>
      </c>
      <c r="Z1198" s="10" t="str">
        <f t="shared" si="1115"/>
        <v>NA</v>
      </c>
      <c r="AA1198" s="10" t="str">
        <f t="shared" si="1116"/>
        <v>NA</v>
      </c>
      <c r="AB1198" s="10" t="str">
        <f t="shared" si="1117"/>
        <v>NA</v>
      </c>
      <c r="AC1198" s="10" t="str">
        <f t="shared" si="1118"/>
        <v>NA</v>
      </c>
      <c r="AD1198" s="10" t="str">
        <f t="shared" si="1119"/>
        <v>NA</v>
      </c>
      <c r="AE1198" s="10" t="str">
        <f t="shared" si="1120"/>
        <v>NA</v>
      </c>
    </row>
    <row r="1199" spans="1:32" x14ac:dyDescent="0.2">
      <c r="A1199" s="1" t="s">
        <v>116</v>
      </c>
      <c r="B1199" s="1" t="s">
        <v>5</v>
      </c>
      <c r="C1199" s="1" t="s">
        <v>1575</v>
      </c>
      <c r="D1199" s="1" t="s">
        <v>1600</v>
      </c>
      <c r="E1199" s="1" t="s">
        <v>1659</v>
      </c>
      <c r="F1199" s="1" t="s">
        <v>118</v>
      </c>
      <c r="G1199" s="4">
        <v>5.9999999999999995E-4</v>
      </c>
      <c r="H1199" s="28">
        <v>39568</v>
      </c>
      <c r="I1199" s="29">
        <f t="shared" si="1141"/>
        <v>2008</v>
      </c>
      <c r="J1199" s="1" t="s">
        <v>1674</v>
      </c>
      <c r="K1199" s="1" t="s">
        <v>7</v>
      </c>
      <c r="L1199" s="11" t="str">
        <f t="shared" si="1242"/>
        <v>НЕТ</v>
      </c>
      <c r="M1199" s="10">
        <v>1E-3</v>
      </c>
      <c r="N1199" s="10" t="s">
        <v>1575</v>
      </c>
      <c r="O1199" s="10">
        <f>M1199*23.6471/1000</f>
        <v>2.3647099999999996E-5</v>
      </c>
      <c r="P1199" s="10">
        <f t="shared" si="1142"/>
        <v>3.9411833333333327E-2</v>
      </c>
      <c r="Q1199" s="10" t="str">
        <f t="shared" si="1143"/>
        <v>NA</v>
      </c>
      <c r="R1199" s="10" t="s">
        <v>1575</v>
      </c>
      <c r="S1199" s="10" t="s">
        <v>1575</v>
      </c>
      <c r="T1199" s="10" t="s">
        <v>1575</v>
      </c>
      <c r="U1199" s="10" t="s">
        <v>1575</v>
      </c>
      <c r="V1199" s="10" t="s">
        <v>1575</v>
      </c>
      <c r="W1199" s="10" t="s">
        <v>1575</v>
      </c>
      <c r="X1199" s="10" t="str">
        <f t="shared" si="1113"/>
        <v>NA</v>
      </c>
      <c r="Y1199" s="10" t="str">
        <f t="shared" si="1114"/>
        <v>NA</v>
      </c>
      <c r="Z1199" s="10" t="str">
        <f t="shared" si="1115"/>
        <v>NA</v>
      </c>
      <c r="AA1199" s="10" t="str">
        <f t="shared" si="1116"/>
        <v>NA</v>
      </c>
      <c r="AB1199" s="10" t="str">
        <f t="shared" si="1117"/>
        <v>NA</v>
      </c>
      <c r="AC1199" s="10" t="str">
        <f t="shared" si="1118"/>
        <v>NA</v>
      </c>
      <c r="AD1199" s="10" t="str">
        <f t="shared" si="1119"/>
        <v>NA</v>
      </c>
      <c r="AE1199" s="10" t="str">
        <f t="shared" si="1120"/>
        <v>NA</v>
      </c>
    </row>
    <row r="1200" spans="1:32" x14ac:dyDescent="0.2">
      <c r="A1200" s="1" t="s">
        <v>4595</v>
      </c>
      <c r="B1200" s="1" t="s">
        <v>5</v>
      </c>
      <c r="C1200" s="1" t="s">
        <v>1575</v>
      </c>
      <c r="D1200" s="1" t="s">
        <v>1601</v>
      </c>
      <c r="E1200" s="1" t="s">
        <v>1602</v>
      </c>
      <c r="F1200" s="1" t="s">
        <v>4596</v>
      </c>
      <c r="G1200" s="4">
        <v>1.1000000000000001E-3</v>
      </c>
      <c r="H1200" s="28">
        <v>39478</v>
      </c>
      <c r="I1200" s="29">
        <f t="shared" ref="I1200" si="1243">YEAR(H1200)</f>
        <v>2008</v>
      </c>
      <c r="J1200" s="1" t="s">
        <v>1674</v>
      </c>
      <c r="K1200" s="1" t="s">
        <v>7</v>
      </c>
      <c r="L1200" s="11" t="str">
        <f t="shared" ref="L1200" si="1244">IF(OR(A1200=J1200,A1200=K1200),"ДА","НЕТ")</f>
        <v>НЕТ</v>
      </c>
      <c r="M1200" s="10" t="s">
        <v>1575</v>
      </c>
      <c r="N1200" s="10" t="s">
        <v>1575</v>
      </c>
      <c r="O1200" s="10">
        <v>0</v>
      </c>
      <c r="P1200" s="10">
        <f t="shared" si="1142"/>
        <v>0</v>
      </c>
      <c r="Q1200" s="10" t="str">
        <f t="shared" si="1143"/>
        <v>NA</v>
      </c>
      <c r="R1200" s="10" t="s">
        <v>1575</v>
      </c>
      <c r="S1200" s="10" t="s">
        <v>1575</v>
      </c>
      <c r="T1200" s="10" t="s">
        <v>1575</v>
      </c>
      <c r="U1200" s="10" t="s">
        <v>1575</v>
      </c>
      <c r="V1200" s="10" t="s">
        <v>1575</v>
      </c>
      <c r="W1200" s="10" t="s">
        <v>1575</v>
      </c>
      <c r="X1200" s="10" t="str">
        <f t="shared" ref="X1200" si="1245">IFERROR(V1200+W1200,"NA")</f>
        <v>NA</v>
      </c>
      <c r="Y1200" s="10" t="str">
        <f t="shared" ref="Y1200" si="1246">IFERROR(P1200/R1200,"NA")</f>
        <v>NA</v>
      </c>
      <c r="Z1200" s="10" t="str">
        <f t="shared" ref="Z1200" si="1247">IFERROR(P1200/U1200,"NA")</f>
        <v>NA</v>
      </c>
      <c r="AA1200" s="10" t="str">
        <f t="shared" ref="AA1200" si="1248">IFERROR(P1200/V1200,"NA")</f>
        <v>NA</v>
      </c>
      <c r="AB1200" s="10" t="str">
        <f t="shared" ref="AB1200" si="1249">IFERROR(Q1200/R1200,"NA")</f>
        <v>NA</v>
      </c>
      <c r="AC1200" s="10" t="str">
        <f t="shared" ref="AC1200" si="1250">IFERROR(Q1200/S1200,"NA")</f>
        <v>NA</v>
      </c>
      <c r="AD1200" s="10" t="str">
        <f t="shared" ref="AD1200" si="1251">IFERROR(Q1200/T1200,"NA")</f>
        <v>NA</v>
      </c>
      <c r="AE1200" s="10" t="str">
        <f t="shared" ref="AE1200" si="1252">IFERROR(Q1200/X1200,"NA")</f>
        <v>NA</v>
      </c>
    </row>
    <row r="1201" spans="1:32" x14ac:dyDescent="0.2">
      <c r="A1201" s="1" t="s">
        <v>109</v>
      </c>
      <c r="B1201" s="1" t="s">
        <v>111</v>
      </c>
      <c r="C1201" s="1" t="s">
        <v>1575</v>
      </c>
      <c r="D1201" s="1" t="s">
        <v>1601</v>
      </c>
      <c r="E1201" s="1" t="s">
        <v>1608</v>
      </c>
      <c r="F1201" s="1" t="s">
        <v>110</v>
      </c>
      <c r="G1201" s="4">
        <v>0.49</v>
      </c>
      <c r="H1201" s="28">
        <v>39433</v>
      </c>
      <c r="I1201" s="29">
        <f t="shared" ref="I1201:I1202" si="1253">YEAR(H1201)</f>
        <v>2007</v>
      </c>
      <c r="J1201" s="1" t="s">
        <v>1674</v>
      </c>
      <c r="K1201" s="1" t="s">
        <v>7</v>
      </c>
      <c r="L1201" s="11" t="str">
        <f t="shared" ref="L1201:L1202" si="1254">IF(OR(A1201=J1201,A1201=K1201),"ДА","НЕТ")</f>
        <v>НЕТ</v>
      </c>
      <c r="M1201" s="10">
        <v>73.539000000000001</v>
      </c>
      <c r="N1201" s="10" t="s">
        <v>1575</v>
      </c>
      <c r="O1201" s="10">
        <f>M1201*24.5092/1000</f>
        <v>1.8023820588000001</v>
      </c>
      <c r="P1201" s="10">
        <f t="shared" si="1142"/>
        <v>3.6783307322448984</v>
      </c>
      <c r="Q1201" s="10" t="str">
        <f t="shared" si="1143"/>
        <v>NA</v>
      </c>
      <c r="R1201" s="10" t="s">
        <v>1575</v>
      </c>
      <c r="S1201" s="10" t="s">
        <v>1575</v>
      </c>
      <c r="T1201" s="10" t="s">
        <v>1575</v>
      </c>
      <c r="U1201" s="10" t="s">
        <v>1575</v>
      </c>
      <c r="V1201" s="10" t="s">
        <v>1575</v>
      </c>
      <c r="W1201" s="10" t="s">
        <v>1575</v>
      </c>
      <c r="X1201" s="10" t="str">
        <f t="shared" ref="X1201:X1202" si="1255">IFERROR(V1201+W1201,"NA")</f>
        <v>NA</v>
      </c>
      <c r="Y1201" s="10" t="str">
        <f t="shared" ref="Y1201:Y1202" si="1256">IFERROR(P1201/R1201,"NA")</f>
        <v>NA</v>
      </c>
      <c r="Z1201" s="10" t="str">
        <f t="shared" ref="Z1201:Z1202" si="1257">IFERROR(P1201/U1201,"NA")</f>
        <v>NA</v>
      </c>
      <c r="AA1201" s="10" t="str">
        <f t="shared" ref="AA1201:AA1202" si="1258">IFERROR(P1201/V1201,"NA")</f>
        <v>NA</v>
      </c>
      <c r="AB1201" s="10" t="str">
        <f t="shared" ref="AB1201:AB1202" si="1259">IFERROR(Q1201/R1201,"NA")</f>
        <v>NA</v>
      </c>
      <c r="AC1201" s="10" t="str">
        <f t="shared" ref="AC1201:AC1202" si="1260">IFERROR(Q1201/S1201,"NA")</f>
        <v>NA</v>
      </c>
      <c r="AD1201" s="10" t="str">
        <f t="shared" ref="AD1201:AD1202" si="1261">IFERROR(Q1201/T1201,"NA")</f>
        <v>NA</v>
      </c>
      <c r="AE1201" s="10" t="str">
        <f t="shared" ref="AE1201:AE1202" si="1262">IFERROR(Q1201/X1201,"NA")</f>
        <v>NA</v>
      </c>
      <c r="AF1201" s="1" t="s">
        <v>4572</v>
      </c>
    </row>
    <row r="1202" spans="1:32" x14ac:dyDescent="0.2">
      <c r="A1202" s="1" t="s">
        <v>5871</v>
      </c>
      <c r="B1202" s="1" t="s">
        <v>5</v>
      </c>
      <c r="C1202" s="1" t="s">
        <v>1575</v>
      </c>
      <c r="D1202" s="1" t="s">
        <v>1600</v>
      </c>
      <c r="E1202" s="1" t="s">
        <v>1677</v>
      </c>
      <c r="F1202" s="1" t="s">
        <v>1392</v>
      </c>
      <c r="G1202" s="4">
        <f>92%-88%</f>
        <v>4.0000000000000036E-2</v>
      </c>
      <c r="H1202" s="28">
        <v>43676</v>
      </c>
      <c r="I1202" s="29">
        <f t="shared" si="1253"/>
        <v>2019</v>
      </c>
      <c r="J1202" s="1" t="s">
        <v>1683</v>
      </c>
      <c r="K1202" s="1" t="s">
        <v>7</v>
      </c>
      <c r="L1202" s="11" t="str">
        <f t="shared" si="1254"/>
        <v>НЕТ</v>
      </c>
      <c r="M1202" s="10" t="s">
        <v>1575</v>
      </c>
      <c r="N1202" s="10" t="s">
        <v>1575</v>
      </c>
      <c r="O1202" s="10">
        <v>1.2023470000000001</v>
      </c>
      <c r="P1202" s="10">
        <f t="shared" si="1142"/>
        <v>30.058674999999976</v>
      </c>
      <c r="Q1202" s="10" t="str">
        <f t="shared" si="1143"/>
        <v>NA</v>
      </c>
      <c r="R1202" s="10" t="s">
        <v>1575</v>
      </c>
      <c r="S1202" s="10" t="s">
        <v>1575</v>
      </c>
      <c r="T1202" s="10" t="s">
        <v>1575</v>
      </c>
      <c r="U1202" s="10" t="s">
        <v>1575</v>
      </c>
      <c r="V1202" s="10" t="s">
        <v>1575</v>
      </c>
      <c r="W1202" s="10" t="s">
        <v>1575</v>
      </c>
      <c r="X1202" s="10" t="str">
        <f t="shared" si="1255"/>
        <v>NA</v>
      </c>
      <c r="Y1202" s="10" t="str">
        <f t="shared" si="1256"/>
        <v>NA</v>
      </c>
      <c r="Z1202" s="10" t="str">
        <f t="shared" si="1257"/>
        <v>NA</v>
      </c>
      <c r="AA1202" s="10" t="str">
        <f t="shared" si="1258"/>
        <v>NA</v>
      </c>
      <c r="AB1202" s="10" t="str">
        <f t="shared" si="1259"/>
        <v>NA</v>
      </c>
      <c r="AC1202" s="10" t="str">
        <f t="shared" si="1260"/>
        <v>NA</v>
      </c>
      <c r="AD1202" s="10" t="str">
        <f t="shared" si="1261"/>
        <v>NA</v>
      </c>
      <c r="AE1202" s="10" t="str">
        <f t="shared" si="1262"/>
        <v>NA</v>
      </c>
      <c r="AF1202" s="1" t="s">
        <v>4601</v>
      </c>
    </row>
    <row r="1203" spans="1:32" x14ac:dyDescent="0.2">
      <c r="A1203" s="1" t="s">
        <v>5871</v>
      </c>
      <c r="B1203" s="1" t="s">
        <v>5</v>
      </c>
      <c r="C1203" s="1" t="s">
        <v>1575</v>
      </c>
      <c r="D1203" s="1" t="s">
        <v>1600</v>
      </c>
      <c r="E1203" s="1" t="s">
        <v>1677</v>
      </c>
      <c r="F1203" s="1" t="s">
        <v>1392</v>
      </c>
      <c r="G1203" s="4">
        <f>88%-84%</f>
        <v>4.0000000000000036E-2</v>
      </c>
      <c r="H1203" s="28">
        <v>43646</v>
      </c>
      <c r="I1203" s="29">
        <f t="shared" ref="I1203:I1206" si="1263">YEAR(H1203)</f>
        <v>2019</v>
      </c>
      <c r="J1203" s="1" t="s">
        <v>1683</v>
      </c>
      <c r="K1203" s="1" t="s">
        <v>7</v>
      </c>
      <c r="L1203" s="11" t="str">
        <f t="shared" ref="L1203:L1206" si="1264">IF(OR(A1203=J1203,A1203=K1203),"ДА","НЕТ")</f>
        <v>НЕТ</v>
      </c>
      <c r="M1203" s="10" t="s">
        <v>1575</v>
      </c>
      <c r="N1203" s="10" t="s">
        <v>1575</v>
      </c>
      <c r="O1203" s="10" t="s">
        <v>1575</v>
      </c>
      <c r="P1203" s="10" t="str">
        <f t="shared" si="1142"/>
        <v>NA</v>
      </c>
      <c r="Q1203" s="10" t="str">
        <f t="shared" si="1143"/>
        <v>NA</v>
      </c>
      <c r="R1203" s="10" t="s">
        <v>1575</v>
      </c>
      <c r="S1203" s="10" t="s">
        <v>1575</v>
      </c>
      <c r="T1203" s="10" t="s">
        <v>1575</v>
      </c>
      <c r="U1203" s="10" t="s">
        <v>1575</v>
      </c>
      <c r="V1203" s="10" t="s">
        <v>1575</v>
      </c>
      <c r="W1203" s="10" t="s">
        <v>1575</v>
      </c>
      <c r="X1203" s="10" t="str">
        <f t="shared" ref="X1203:X1206" si="1265">IFERROR(V1203+W1203,"NA")</f>
        <v>NA</v>
      </c>
      <c r="Y1203" s="10" t="str">
        <f t="shared" ref="Y1203:Y1206" si="1266">IFERROR(P1203/R1203,"NA")</f>
        <v>NA</v>
      </c>
      <c r="Z1203" s="10" t="str">
        <f t="shared" ref="Z1203:Z1206" si="1267">IFERROR(P1203/U1203,"NA")</f>
        <v>NA</v>
      </c>
      <c r="AA1203" s="10" t="str">
        <f t="shared" ref="AA1203:AA1206" si="1268">IFERROR(P1203/V1203,"NA")</f>
        <v>NA</v>
      </c>
      <c r="AB1203" s="10" t="str">
        <f t="shared" ref="AB1203:AB1206" si="1269">IFERROR(Q1203/R1203,"NA")</f>
        <v>NA</v>
      </c>
      <c r="AC1203" s="10" t="str">
        <f t="shared" ref="AC1203:AC1206" si="1270">IFERROR(Q1203/S1203,"NA")</f>
        <v>NA</v>
      </c>
      <c r="AD1203" s="10" t="str">
        <f t="shared" ref="AD1203:AD1206" si="1271">IFERROR(Q1203/T1203,"NA")</f>
        <v>NA</v>
      </c>
      <c r="AE1203" s="10" t="str">
        <f t="shared" ref="AE1203:AE1206" si="1272">IFERROR(Q1203/X1203,"NA")</f>
        <v>NA</v>
      </c>
      <c r="AF1203" s="1" t="s">
        <v>4603</v>
      </c>
    </row>
    <row r="1204" spans="1:32" x14ac:dyDescent="0.2">
      <c r="A1204" s="1" t="s">
        <v>5871</v>
      </c>
      <c r="B1204" s="1" t="s">
        <v>5</v>
      </c>
      <c r="C1204" s="1" t="s">
        <v>1575</v>
      </c>
      <c r="D1204" s="1" t="s">
        <v>1600</v>
      </c>
      <c r="E1204" s="1" t="s">
        <v>1677</v>
      </c>
      <c r="F1204" s="1" t="s">
        <v>1392</v>
      </c>
      <c r="G1204" s="4">
        <f>84%-61%</f>
        <v>0.22999999999999998</v>
      </c>
      <c r="H1204" s="28">
        <v>43445</v>
      </c>
      <c r="I1204" s="29">
        <f t="shared" si="1263"/>
        <v>2018</v>
      </c>
      <c r="J1204" s="1" t="s">
        <v>1683</v>
      </c>
      <c r="K1204" s="1" t="s">
        <v>7</v>
      </c>
      <c r="L1204" s="11" t="str">
        <f t="shared" si="1264"/>
        <v>НЕТ</v>
      </c>
      <c r="M1204" s="10" t="s">
        <v>1575</v>
      </c>
      <c r="N1204" s="10" t="s">
        <v>1575</v>
      </c>
      <c r="O1204" s="10">
        <v>0.50443499999999997</v>
      </c>
      <c r="P1204" s="10">
        <f t="shared" si="1142"/>
        <v>2.1931956521739129</v>
      </c>
      <c r="Q1204" s="10" t="str">
        <f t="shared" si="1143"/>
        <v>NA</v>
      </c>
      <c r="R1204" s="10">
        <v>3.4133079999999998</v>
      </c>
      <c r="S1204" s="10" t="s">
        <v>1575</v>
      </c>
      <c r="T1204" s="10" t="s">
        <v>1575</v>
      </c>
      <c r="U1204" s="10">
        <v>0.28809699999999999</v>
      </c>
      <c r="V1204" s="10">
        <v>8.8560280000000002</v>
      </c>
      <c r="W1204" s="10" t="s">
        <v>1575</v>
      </c>
      <c r="X1204" s="10" t="str">
        <f t="shared" si="1265"/>
        <v>NA</v>
      </c>
      <c r="Y1204" s="10">
        <f t="shared" si="1266"/>
        <v>0.64254255759337076</v>
      </c>
      <c r="Z1204" s="10">
        <f t="shared" si="1267"/>
        <v>7.6126986819505689</v>
      </c>
      <c r="AA1204" s="10">
        <f t="shared" si="1268"/>
        <v>0.24765003590479986</v>
      </c>
      <c r="AB1204" s="10" t="str">
        <f t="shared" si="1269"/>
        <v>NA</v>
      </c>
      <c r="AC1204" s="10" t="str">
        <f t="shared" si="1270"/>
        <v>NA</v>
      </c>
      <c r="AD1204" s="10" t="str">
        <f t="shared" si="1271"/>
        <v>NA</v>
      </c>
      <c r="AE1204" s="10" t="str">
        <f t="shared" si="1272"/>
        <v>NA</v>
      </c>
      <c r="AF1204" s="1" t="s">
        <v>1393</v>
      </c>
    </row>
    <row r="1205" spans="1:32" x14ac:dyDescent="0.2">
      <c r="A1205" s="1" t="s">
        <v>5871</v>
      </c>
      <c r="B1205" s="1" t="s">
        <v>5</v>
      </c>
      <c r="C1205" s="1" t="s">
        <v>1575</v>
      </c>
      <c r="D1205" s="1" t="s">
        <v>1600</v>
      </c>
      <c r="E1205" s="1" t="s">
        <v>1677</v>
      </c>
      <c r="F1205" s="1" t="s">
        <v>1392</v>
      </c>
      <c r="G1205" s="4">
        <v>0.61</v>
      </c>
      <c r="H1205" s="28">
        <v>43269</v>
      </c>
      <c r="I1205" s="29">
        <f t="shared" si="1263"/>
        <v>2018</v>
      </c>
      <c r="J1205" s="1" t="s">
        <v>1683</v>
      </c>
      <c r="K1205" s="1" t="s">
        <v>7</v>
      </c>
      <c r="L1205" s="11" t="str">
        <f t="shared" si="1264"/>
        <v>НЕТ</v>
      </c>
      <c r="M1205" s="10" t="s">
        <v>1575</v>
      </c>
      <c r="N1205" s="10" t="s">
        <v>1575</v>
      </c>
      <c r="O1205" s="10" t="s">
        <v>1575</v>
      </c>
      <c r="P1205" s="10" t="str">
        <f t="shared" si="1142"/>
        <v>NA</v>
      </c>
      <c r="Q1205" s="10" t="str">
        <f t="shared" si="1143"/>
        <v>NA</v>
      </c>
      <c r="R1205" s="10" t="s">
        <v>1575</v>
      </c>
      <c r="S1205" s="10" t="s">
        <v>1575</v>
      </c>
      <c r="T1205" s="10" t="s">
        <v>1575</v>
      </c>
      <c r="U1205" s="10" t="s">
        <v>1575</v>
      </c>
      <c r="V1205" s="10" t="s">
        <v>1575</v>
      </c>
      <c r="W1205" s="10" t="s">
        <v>1575</v>
      </c>
      <c r="X1205" s="10" t="str">
        <f t="shared" si="1265"/>
        <v>NA</v>
      </c>
      <c r="Y1205" s="10" t="str">
        <f t="shared" si="1266"/>
        <v>NA</v>
      </c>
      <c r="Z1205" s="10" t="str">
        <f t="shared" si="1267"/>
        <v>NA</v>
      </c>
      <c r="AA1205" s="10" t="str">
        <f t="shared" si="1268"/>
        <v>NA</v>
      </c>
      <c r="AB1205" s="10" t="str">
        <f t="shared" si="1269"/>
        <v>NA</v>
      </c>
      <c r="AC1205" s="10" t="str">
        <f t="shared" si="1270"/>
        <v>NA</v>
      </c>
      <c r="AD1205" s="10" t="str">
        <f t="shared" si="1271"/>
        <v>NA</v>
      </c>
      <c r="AE1205" s="10" t="str">
        <f t="shared" si="1272"/>
        <v>NA</v>
      </c>
      <c r="AF1205" s="1" t="s">
        <v>4602</v>
      </c>
    </row>
    <row r="1206" spans="1:32" x14ac:dyDescent="0.2">
      <c r="A1206" s="1" t="s">
        <v>4612</v>
      </c>
      <c r="B1206" s="1" t="s">
        <v>122</v>
      </c>
      <c r="C1206" s="1" t="s">
        <v>1575</v>
      </c>
      <c r="D1206" s="1" t="s">
        <v>1600</v>
      </c>
      <c r="E1206" s="1" t="s">
        <v>4607</v>
      </c>
      <c r="F1206" s="1" t="s">
        <v>1392</v>
      </c>
      <c r="G1206" s="4">
        <v>1</v>
      </c>
      <c r="H1206" s="28">
        <v>43251</v>
      </c>
      <c r="I1206" s="29">
        <f t="shared" si="1263"/>
        <v>2018</v>
      </c>
      <c r="J1206" s="1" t="s">
        <v>7</v>
      </c>
      <c r="K1206" s="1" t="s">
        <v>1683</v>
      </c>
      <c r="L1206" s="11" t="str">
        <f t="shared" si="1264"/>
        <v>НЕТ</v>
      </c>
      <c r="M1206" s="10" t="s">
        <v>1575</v>
      </c>
      <c r="N1206" s="10" t="s">
        <v>1575</v>
      </c>
      <c r="O1206" s="10">
        <v>0.67690300000000003</v>
      </c>
      <c r="P1206" s="10">
        <f t="shared" si="1142"/>
        <v>0.67690300000000003</v>
      </c>
      <c r="Q1206" s="10">
        <f t="shared" si="1143"/>
        <v>3.4052000000000082E-2</v>
      </c>
      <c r="R1206" s="10">
        <v>7.9599409999999997</v>
      </c>
      <c r="S1206" s="10" t="s">
        <v>1575</v>
      </c>
      <c r="T1206" s="10">
        <v>0.18861900000000001</v>
      </c>
      <c r="U1206" s="10">
        <v>0.156583</v>
      </c>
      <c r="V1206" s="10">
        <v>1.2239899999999999</v>
      </c>
      <c r="W1206" s="10">
        <f>0.000664-0.643515</f>
        <v>-0.64285099999999995</v>
      </c>
      <c r="X1206" s="10">
        <f t="shared" si="1265"/>
        <v>0.58113899999999996</v>
      </c>
      <c r="Y1206" s="10">
        <f t="shared" si="1266"/>
        <v>8.5038695638573206E-2</v>
      </c>
      <c r="Z1206" s="10">
        <f t="shared" si="1267"/>
        <v>4.3229660946590629</v>
      </c>
      <c r="AA1206" s="10">
        <f t="shared" si="1268"/>
        <v>0.55302984501507368</v>
      </c>
      <c r="AB1206" s="10">
        <f t="shared" si="1269"/>
        <v>4.2779211554457609E-3</v>
      </c>
      <c r="AC1206" s="10" t="str">
        <f t="shared" si="1270"/>
        <v>NA</v>
      </c>
      <c r="AD1206" s="10">
        <f t="shared" si="1271"/>
        <v>0.1805332442648942</v>
      </c>
      <c r="AE1206" s="10">
        <f t="shared" si="1272"/>
        <v>5.8595275829018675E-2</v>
      </c>
      <c r="AF1206" s="1" t="s">
        <v>4605</v>
      </c>
    </row>
    <row r="1207" spans="1:32" x14ac:dyDescent="0.2">
      <c r="A1207" s="1" t="s">
        <v>1683</v>
      </c>
      <c r="B1207" s="1" t="s">
        <v>5</v>
      </c>
      <c r="C1207" s="1" t="s">
        <v>4606</v>
      </c>
      <c r="D1207" s="1" t="s">
        <v>1600</v>
      </c>
      <c r="E1207" s="1" t="s">
        <v>4607</v>
      </c>
      <c r="F1207" s="1" t="s">
        <v>1392</v>
      </c>
      <c r="G1207" s="4">
        <v>0.26950000000000002</v>
      </c>
      <c r="H1207" s="28">
        <v>42038</v>
      </c>
      <c r="I1207" s="29">
        <f t="shared" ref="I1207" si="1273">YEAR(H1207)</f>
        <v>2015</v>
      </c>
      <c r="J1207" s="1" t="s">
        <v>1683</v>
      </c>
      <c r="K1207" s="1" t="s">
        <v>7</v>
      </c>
      <c r="L1207" s="11" t="str">
        <f t="shared" ref="L1207" si="1274">IF(OR(A1207=J1207,A1207=K1207),"ДА","НЕТ")</f>
        <v>ДА</v>
      </c>
      <c r="M1207" s="10" t="s">
        <v>1575</v>
      </c>
      <c r="N1207" s="10" t="s">
        <v>1575</v>
      </c>
      <c r="O1207" s="10" t="s">
        <v>1575</v>
      </c>
      <c r="P1207" s="10" t="str">
        <f t="shared" si="1142"/>
        <v>NA</v>
      </c>
      <c r="Q1207" s="10" t="str">
        <f t="shared" si="1143"/>
        <v>NA</v>
      </c>
      <c r="R1207" s="10">
        <v>16.507999999999999</v>
      </c>
      <c r="S1207" s="10">
        <v>4.181</v>
      </c>
      <c r="T1207" s="10">
        <v>3.1960000000000002</v>
      </c>
      <c r="U1207" s="10">
        <v>2.3530000000000002</v>
      </c>
      <c r="V1207" s="10">
        <v>14.106999999999999</v>
      </c>
      <c r="W1207" s="10">
        <v>-3.42</v>
      </c>
      <c r="X1207" s="10">
        <f t="shared" ref="X1207" si="1275">IFERROR(V1207+W1207,"NA")</f>
        <v>10.686999999999999</v>
      </c>
      <c r="Y1207" s="10" t="str">
        <f t="shared" ref="Y1207" si="1276">IFERROR(P1207/R1207,"NA")</f>
        <v>NA</v>
      </c>
      <c r="Z1207" s="10" t="str">
        <f t="shared" ref="Z1207" si="1277">IFERROR(P1207/U1207,"NA")</f>
        <v>NA</v>
      </c>
      <c r="AA1207" s="10" t="str">
        <f t="shared" ref="AA1207" si="1278">IFERROR(P1207/V1207,"NA")</f>
        <v>NA</v>
      </c>
      <c r="AB1207" s="10" t="str">
        <f t="shared" ref="AB1207" si="1279">IFERROR(Q1207/R1207,"NA")</f>
        <v>NA</v>
      </c>
      <c r="AC1207" s="10" t="str">
        <f t="shared" ref="AC1207" si="1280">IFERROR(Q1207/S1207,"NA")</f>
        <v>NA</v>
      </c>
      <c r="AD1207" s="10" t="str">
        <f t="shared" ref="AD1207" si="1281">IFERROR(Q1207/T1207,"NA")</f>
        <v>NA</v>
      </c>
      <c r="AE1207" s="10" t="str">
        <f t="shared" ref="AE1207" si="1282">IFERROR(Q1207/X1207,"NA")</f>
        <v>NA</v>
      </c>
      <c r="AF1207" s="1" t="s">
        <v>4608</v>
      </c>
    </row>
    <row r="1208" spans="1:32" x14ac:dyDescent="0.2">
      <c r="A1208" s="1" t="s">
        <v>5872</v>
      </c>
      <c r="B1208" s="1" t="s">
        <v>5</v>
      </c>
      <c r="C1208" s="1" t="s">
        <v>1575</v>
      </c>
      <c r="D1208" s="1" t="s">
        <v>1600</v>
      </c>
      <c r="E1208" s="1" t="s">
        <v>1677</v>
      </c>
      <c r="F1208" s="1" t="s">
        <v>1392</v>
      </c>
      <c r="G1208" s="4">
        <v>1</v>
      </c>
      <c r="H1208" s="28">
        <v>42185</v>
      </c>
      <c r="I1208" s="29">
        <f t="shared" ref="I1208:I1209" si="1283">YEAR(H1208)</f>
        <v>2015</v>
      </c>
      <c r="J1208" s="1" t="s">
        <v>1683</v>
      </c>
      <c r="K1208" s="1" t="s">
        <v>7</v>
      </c>
      <c r="L1208" s="11" t="str">
        <f t="shared" ref="L1208:L1209" si="1284">IF(OR(A1208=J1208,A1208=K1208),"ДА","НЕТ")</f>
        <v>НЕТ</v>
      </c>
      <c r="M1208" s="10" t="s">
        <v>1575</v>
      </c>
      <c r="N1208" s="10" t="s">
        <v>1575</v>
      </c>
      <c r="O1208" s="10" t="s">
        <v>1575</v>
      </c>
      <c r="P1208" s="10" t="str">
        <f t="shared" si="1142"/>
        <v>NA</v>
      </c>
      <c r="Q1208" s="10" t="str">
        <f t="shared" si="1143"/>
        <v>NA</v>
      </c>
      <c r="R1208" s="10" t="s">
        <v>1575</v>
      </c>
      <c r="S1208" s="10" t="s">
        <v>1575</v>
      </c>
      <c r="T1208" s="10" t="s">
        <v>1575</v>
      </c>
      <c r="U1208" s="10" t="s">
        <v>1575</v>
      </c>
      <c r="V1208" s="10" t="s">
        <v>1575</v>
      </c>
      <c r="W1208" s="10" t="s">
        <v>1575</v>
      </c>
      <c r="X1208" s="10" t="str">
        <f t="shared" ref="X1208:X1209" si="1285">IFERROR(V1208+W1208,"NA")</f>
        <v>NA</v>
      </c>
      <c r="Y1208" s="10" t="str">
        <f t="shared" ref="Y1208:Y1209" si="1286">IFERROR(P1208/R1208,"NA")</f>
        <v>NA</v>
      </c>
      <c r="Z1208" s="10" t="str">
        <f t="shared" ref="Z1208:Z1209" si="1287">IFERROR(P1208/U1208,"NA")</f>
        <v>NA</v>
      </c>
      <c r="AA1208" s="10" t="str">
        <f t="shared" ref="AA1208:AA1209" si="1288">IFERROR(P1208/V1208,"NA")</f>
        <v>NA</v>
      </c>
      <c r="AB1208" s="10" t="str">
        <f t="shared" ref="AB1208:AB1209" si="1289">IFERROR(Q1208/R1208,"NA")</f>
        <v>NA</v>
      </c>
      <c r="AC1208" s="10" t="str">
        <f t="shared" ref="AC1208:AC1209" si="1290">IFERROR(Q1208/S1208,"NA")</f>
        <v>NA</v>
      </c>
      <c r="AD1208" s="10" t="str">
        <f t="shared" ref="AD1208:AD1209" si="1291">IFERROR(Q1208/T1208,"NA")</f>
        <v>NA</v>
      </c>
      <c r="AE1208" s="10" t="str">
        <f t="shared" ref="AE1208:AE1209" si="1292">IFERROR(Q1208/X1208,"NA")</f>
        <v>NA</v>
      </c>
      <c r="AF1208" s="1" t="s">
        <v>4604</v>
      </c>
    </row>
    <row r="1209" spans="1:32" x14ac:dyDescent="0.2">
      <c r="A1209" s="1" t="s">
        <v>1683</v>
      </c>
      <c r="B1209" s="1" t="s">
        <v>5</v>
      </c>
      <c r="C1209" s="1" t="s">
        <v>4606</v>
      </c>
      <c r="D1209" s="1" t="s">
        <v>1600</v>
      </c>
      <c r="E1209" s="1" t="s">
        <v>4607</v>
      </c>
      <c r="F1209" s="1" t="s">
        <v>1392</v>
      </c>
      <c r="G1209" s="4">
        <v>0.11</v>
      </c>
      <c r="H1209" s="28">
        <v>41697</v>
      </c>
      <c r="I1209" s="29">
        <f t="shared" si="1283"/>
        <v>2014</v>
      </c>
      <c r="J1209" s="1" t="s">
        <v>1683</v>
      </c>
      <c r="K1209" s="1" t="s">
        <v>7</v>
      </c>
      <c r="L1209" s="11" t="str">
        <f t="shared" si="1284"/>
        <v>ДА</v>
      </c>
      <c r="M1209" s="10" t="s">
        <v>1575</v>
      </c>
      <c r="N1209" s="10" t="s">
        <v>1575</v>
      </c>
      <c r="O1209" s="10" t="s">
        <v>1575</v>
      </c>
      <c r="P1209" s="10" t="str">
        <f t="shared" si="1142"/>
        <v>NA</v>
      </c>
      <c r="Q1209" s="10" t="str">
        <f t="shared" si="1143"/>
        <v>NA</v>
      </c>
      <c r="R1209" s="10">
        <v>13.061999999999999</v>
      </c>
      <c r="S1209" s="10">
        <v>0.72899999999999998</v>
      </c>
      <c r="T1209" s="10">
        <v>-0.28300000000000003</v>
      </c>
      <c r="U1209" s="10">
        <v>-0.20799999999999999</v>
      </c>
      <c r="V1209" s="10">
        <v>10.463000000000001</v>
      </c>
      <c r="W1209" s="10">
        <v>-1.2989999999999999</v>
      </c>
      <c r="X1209" s="10">
        <f t="shared" si="1285"/>
        <v>9.1640000000000015</v>
      </c>
      <c r="Y1209" s="10" t="str">
        <f t="shared" si="1286"/>
        <v>NA</v>
      </c>
      <c r="Z1209" s="10" t="str">
        <f t="shared" si="1287"/>
        <v>NA</v>
      </c>
      <c r="AA1209" s="10" t="str">
        <f t="shared" si="1288"/>
        <v>NA</v>
      </c>
      <c r="AB1209" s="10" t="str">
        <f t="shared" si="1289"/>
        <v>NA</v>
      </c>
      <c r="AC1209" s="10" t="str">
        <f t="shared" si="1290"/>
        <v>NA</v>
      </c>
      <c r="AD1209" s="10" t="str">
        <f t="shared" si="1291"/>
        <v>NA</v>
      </c>
      <c r="AE1209" s="10" t="str">
        <f t="shared" si="1292"/>
        <v>NA</v>
      </c>
      <c r="AF1209" s="1" t="s">
        <v>4610</v>
      </c>
    </row>
    <row r="1210" spans="1:32" x14ac:dyDescent="0.2">
      <c r="A1210" s="1" t="s">
        <v>1683</v>
      </c>
      <c r="B1210" s="1" t="s">
        <v>5</v>
      </c>
      <c r="C1210" s="1" t="s">
        <v>4606</v>
      </c>
      <c r="D1210" s="1" t="s">
        <v>1600</v>
      </c>
      <c r="E1210" s="1" t="s">
        <v>4607</v>
      </c>
      <c r="F1210" s="1" t="s">
        <v>1392</v>
      </c>
      <c r="G1210" s="4">
        <v>0.15459999999999999</v>
      </c>
      <c r="H1210" s="28">
        <v>41673</v>
      </c>
      <c r="I1210" s="29">
        <f t="shared" ref="I1210" si="1293">YEAR(H1210)</f>
        <v>2014</v>
      </c>
      <c r="J1210" s="1" t="s">
        <v>1683</v>
      </c>
      <c r="K1210" s="1" t="s">
        <v>7</v>
      </c>
      <c r="L1210" s="11" t="str">
        <f t="shared" ref="L1210" si="1294">IF(OR(A1210=J1210,A1210=K1210),"ДА","НЕТ")</f>
        <v>ДА</v>
      </c>
      <c r="M1210" s="10" t="s">
        <v>1575</v>
      </c>
      <c r="N1210" s="10" t="s">
        <v>1575</v>
      </c>
      <c r="O1210" s="10" t="s">
        <v>1575</v>
      </c>
      <c r="P1210" s="10" t="str">
        <f t="shared" si="1142"/>
        <v>NA</v>
      </c>
      <c r="Q1210" s="10" t="str">
        <f t="shared" si="1143"/>
        <v>NA</v>
      </c>
      <c r="R1210" s="10">
        <v>13.061999999999999</v>
      </c>
      <c r="S1210" s="10">
        <v>0.72899999999999998</v>
      </c>
      <c r="T1210" s="10">
        <v>-0.28300000000000003</v>
      </c>
      <c r="U1210" s="10">
        <v>-0.20799999999999999</v>
      </c>
      <c r="V1210" s="10">
        <v>10.463000000000001</v>
      </c>
      <c r="W1210" s="10">
        <v>-1.2989999999999999</v>
      </c>
      <c r="X1210" s="10">
        <f t="shared" ref="X1210" si="1295">IFERROR(V1210+W1210,"NA")</f>
        <v>9.1640000000000015</v>
      </c>
      <c r="Y1210" s="10" t="str">
        <f t="shared" ref="Y1210" si="1296">IFERROR(P1210/R1210,"NA")</f>
        <v>NA</v>
      </c>
      <c r="Z1210" s="10" t="str">
        <f t="shared" ref="Z1210" si="1297">IFERROR(P1210/U1210,"NA")</f>
        <v>NA</v>
      </c>
      <c r="AA1210" s="10" t="str">
        <f t="shared" ref="AA1210" si="1298">IFERROR(P1210/V1210,"NA")</f>
        <v>NA</v>
      </c>
      <c r="AB1210" s="10" t="str">
        <f t="shared" ref="AB1210" si="1299">IFERROR(Q1210/R1210,"NA")</f>
        <v>NA</v>
      </c>
      <c r="AC1210" s="10" t="str">
        <f t="shared" ref="AC1210" si="1300">IFERROR(Q1210/S1210,"NA")</f>
        <v>NA</v>
      </c>
      <c r="AD1210" s="10" t="str">
        <f t="shared" ref="AD1210" si="1301">IFERROR(Q1210/T1210,"NA")</f>
        <v>NA</v>
      </c>
      <c r="AE1210" s="10" t="str">
        <f t="shared" ref="AE1210" si="1302">IFERROR(Q1210/X1210,"NA")</f>
        <v>NA</v>
      </c>
      <c r="AF1210" s="1" t="s">
        <v>4609</v>
      </c>
    </row>
    <row r="1211" spans="1:32" x14ac:dyDescent="0.2">
      <c r="A1211" s="1" t="s">
        <v>4612</v>
      </c>
      <c r="B1211" s="1" t="s">
        <v>122</v>
      </c>
      <c r="C1211" s="1" t="s">
        <v>1575</v>
      </c>
      <c r="D1211" s="1" t="s">
        <v>1600</v>
      </c>
      <c r="E1211" s="1" t="s">
        <v>4607</v>
      </c>
      <c r="F1211" s="1" t="s">
        <v>1392</v>
      </c>
      <c r="G1211" s="4">
        <v>1</v>
      </c>
      <c r="H1211" s="28">
        <v>39262</v>
      </c>
      <c r="I1211" s="29">
        <f t="shared" ref="I1211:I1214" si="1303">YEAR(H1211)</f>
        <v>2007</v>
      </c>
      <c r="J1211" s="1" t="s">
        <v>1683</v>
      </c>
      <c r="K1211" s="1" t="s">
        <v>7</v>
      </c>
      <c r="L1211" s="11" t="str">
        <f t="shared" ref="L1211:L1214" si="1304">IF(OR(A1211=J1211,A1211=K1211),"ДА","НЕТ")</f>
        <v>НЕТ</v>
      </c>
      <c r="M1211" s="10" t="s">
        <v>1575</v>
      </c>
      <c r="N1211" s="10" t="s">
        <v>1575</v>
      </c>
      <c r="O1211" s="10">
        <v>0.46098299999999998</v>
      </c>
      <c r="P1211" s="10">
        <f t="shared" si="1142"/>
        <v>0.46098299999999998</v>
      </c>
      <c r="Q1211" s="10">
        <f t="shared" si="1143"/>
        <v>0.410244</v>
      </c>
      <c r="R1211" s="10" t="s">
        <v>1575</v>
      </c>
      <c r="S1211" s="10" t="s">
        <v>1575</v>
      </c>
      <c r="T1211" s="10" t="s">
        <v>1575</v>
      </c>
      <c r="U1211" s="10" t="s">
        <v>1575</v>
      </c>
      <c r="V1211" s="10">
        <v>0.480794</v>
      </c>
      <c r="W1211" s="10">
        <f>0-0.050739</f>
        <v>-5.0738999999999999E-2</v>
      </c>
      <c r="X1211" s="10">
        <f t="shared" ref="X1211:X1214" si="1305">IFERROR(V1211+W1211,"NA")</f>
        <v>0.43005500000000002</v>
      </c>
      <c r="Y1211" s="10" t="str">
        <f t="shared" ref="Y1211:Y1214" si="1306">IFERROR(P1211/R1211,"NA")</f>
        <v>NA</v>
      </c>
      <c r="Z1211" s="10" t="str">
        <f t="shared" ref="Z1211:Z1214" si="1307">IFERROR(P1211/U1211,"NA")</f>
        <v>NA</v>
      </c>
      <c r="AA1211" s="10">
        <f t="shared" ref="AA1211:AA1214" si="1308">IFERROR(P1211/V1211,"NA")</f>
        <v>0.95879524286908735</v>
      </c>
      <c r="AB1211" s="10" t="str">
        <f t="shared" ref="AB1211:AB1214" si="1309">IFERROR(Q1211/R1211,"NA")</f>
        <v>NA</v>
      </c>
      <c r="AC1211" s="10" t="str">
        <f t="shared" ref="AC1211:AC1214" si="1310">IFERROR(Q1211/S1211,"NA")</f>
        <v>NA</v>
      </c>
      <c r="AD1211" s="10" t="str">
        <f t="shared" ref="AD1211:AD1214" si="1311">IFERROR(Q1211/T1211,"NA")</f>
        <v>NA</v>
      </c>
      <c r="AE1211" s="10">
        <f t="shared" ref="AE1211:AE1214" si="1312">IFERROR(Q1211/X1211,"NA")</f>
        <v>0.95393379916522303</v>
      </c>
      <c r="AF1211" s="1" t="s">
        <v>4611</v>
      </c>
    </row>
    <row r="1212" spans="1:32" x14ac:dyDescent="0.2">
      <c r="A1212" s="1" t="s">
        <v>5873</v>
      </c>
      <c r="B1212" s="1" t="s">
        <v>4615</v>
      </c>
      <c r="C1212" s="1" t="s">
        <v>1575</v>
      </c>
      <c r="D1212" s="1" t="s">
        <v>1600</v>
      </c>
      <c r="E1212" s="1" t="s">
        <v>4607</v>
      </c>
      <c r="F1212" s="1" t="s">
        <v>1392</v>
      </c>
      <c r="G1212" s="4">
        <v>0.51</v>
      </c>
      <c r="H1212" s="28">
        <v>38817</v>
      </c>
      <c r="I1212" s="29">
        <f t="shared" ref="I1212" si="1313">YEAR(H1212)</f>
        <v>2006</v>
      </c>
      <c r="J1212" s="1" t="s">
        <v>1683</v>
      </c>
      <c r="K1212" s="1" t="s">
        <v>7</v>
      </c>
      <c r="L1212" s="11" t="str">
        <f t="shared" ref="L1212" si="1314">IF(OR(A1212=J1212,A1212=K1212),"ДА","НЕТ")</f>
        <v>НЕТ</v>
      </c>
      <c r="M1212" s="10" t="s">
        <v>1575</v>
      </c>
      <c r="N1212" s="10" t="s">
        <v>1575</v>
      </c>
      <c r="O1212" s="10">
        <v>3.7530730000000001</v>
      </c>
      <c r="P1212" s="10">
        <f t="shared" si="1142"/>
        <v>7.3589666666666664</v>
      </c>
      <c r="Q1212" s="10">
        <f t="shared" si="1143"/>
        <v>8.4602176666666669</v>
      </c>
      <c r="R1212" s="10" t="s">
        <v>1575</v>
      </c>
      <c r="S1212" s="10" t="s">
        <v>1575</v>
      </c>
      <c r="T1212" s="10" t="s">
        <v>1575</v>
      </c>
      <c r="U1212" s="10" t="s">
        <v>1575</v>
      </c>
      <c r="V1212" s="10">
        <v>2.886927</v>
      </c>
      <c r="W1212" s="10">
        <f>1.138647-0.037396</f>
        <v>1.101251</v>
      </c>
      <c r="X1212" s="10">
        <f t="shared" ref="X1212" si="1315">IFERROR(V1212+W1212,"NA")</f>
        <v>3.988178</v>
      </c>
      <c r="Y1212" s="10" t="str">
        <f t="shared" ref="Y1212" si="1316">IFERROR(P1212/R1212,"NA")</f>
        <v>NA</v>
      </c>
      <c r="Z1212" s="10" t="str">
        <f t="shared" ref="Z1212" si="1317">IFERROR(P1212/U1212,"NA")</f>
        <v>NA</v>
      </c>
      <c r="AA1212" s="10">
        <f t="shared" ref="AA1212" si="1318">IFERROR(P1212/V1212,"NA")</f>
        <v>2.54906572513495</v>
      </c>
      <c r="AB1212" s="10" t="str">
        <f t="shared" ref="AB1212" si="1319">IFERROR(Q1212/R1212,"NA")</f>
        <v>NA</v>
      </c>
      <c r="AC1212" s="10" t="str">
        <f t="shared" ref="AC1212" si="1320">IFERROR(Q1212/S1212,"NA")</f>
        <v>NA</v>
      </c>
      <c r="AD1212" s="10" t="str">
        <f t="shared" ref="AD1212" si="1321">IFERROR(Q1212/T1212,"NA")</f>
        <v>NA</v>
      </c>
      <c r="AE1212" s="10">
        <f t="shared" ref="AE1212" si="1322">IFERROR(Q1212/X1212,"NA")</f>
        <v>2.1213239897182792</v>
      </c>
      <c r="AF1212" s="1" t="s">
        <v>4614</v>
      </c>
    </row>
    <row r="1213" spans="1:32" x14ac:dyDescent="0.2">
      <c r="A1213" s="1" t="s">
        <v>1683</v>
      </c>
      <c r="B1213" s="1" t="s">
        <v>5</v>
      </c>
      <c r="C1213" s="1" t="s">
        <v>4606</v>
      </c>
      <c r="D1213" s="1" t="s">
        <v>1600</v>
      </c>
      <c r="E1213" s="1" t="s">
        <v>4607</v>
      </c>
      <c r="F1213" s="1" t="s">
        <v>1392</v>
      </c>
      <c r="G1213" s="4">
        <v>1.14E-2</v>
      </c>
      <c r="H1213" s="28">
        <v>38898</v>
      </c>
      <c r="I1213" s="29">
        <f t="shared" si="1303"/>
        <v>2006</v>
      </c>
      <c r="J1213" s="1" t="s">
        <v>7</v>
      </c>
      <c r="K1213" s="1" t="s">
        <v>1683</v>
      </c>
      <c r="L1213" s="11" t="str">
        <f t="shared" si="1304"/>
        <v>ДА</v>
      </c>
      <c r="M1213" s="10" t="s">
        <v>1575</v>
      </c>
      <c r="N1213" s="10" t="s">
        <v>1575</v>
      </c>
      <c r="O1213" s="10">
        <v>2.5399999999999999E-2</v>
      </c>
      <c r="P1213" s="10">
        <f t="shared" si="1142"/>
        <v>2.2280701754385963</v>
      </c>
      <c r="Q1213" s="10" t="str">
        <f t="shared" si="1143"/>
        <v>NA</v>
      </c>
      <c r="R1213" s="10" t="s">
        <v>1575</v>
      </c>
      <c r="S1213" s="10" t="s">
        <v>1575</v>
      </c>
      <c r="T1213" s="10" t="s">
        <v>1575</v>
      </c>
      <c r="U1213" s="10" t="s">
        <v>1575</v>
      </c>
      <c r="V1213" s="10" t="s">
        <v>1575</v>
      </c>
      <c r="W1213" s="10" t="s">
        <v>1575</v>
      </c>
      <c r="X1213" s="10" t="str">
        <f t="shared" si="1305"/>
        <v>NA</v>
      </c>
      <c r="Y1213" s="10" t="str">
        <f t="shared" si="1306"/>
        <v>NA</v>
      </c>
      <c r="Z1213" s="10" t="str">
        <f t="shared" si="1307"/>
        <v>NA</v>
      </c>
      <c r="AA1213" s="10" t="str">
        <f t="shared" si="1308"/>
        <v>NA</v>
      </c>
      <c r="AB1213" s="10" t="str">
        <f t="shared" si="1309"/>
        <v>NA</v>
      </c>
      <c r="AC1213" s="10" t="str">
        <f t="shared" si="1310"/>
        <v>NA</v>
      </c>
      <c r="AD1213" s="10" t="str">
        <f t="shared" si="1311"/>
        <v>NA</v>
      </c>
      <c r="AE1213" s="10" t="str">
        <f t="shared" si="1312"/>
        <v>NA</v>
      </c>
      <c r="AF1213" s="1" t="s">
        <v>4613</v>
      </c>
    </row>
    <row r="1214" spans="1:32" x14ac:dyDescent="0.2">
      <c r="A1214" s="1" t="s">
        <v>1683</v>
      </c>
      <c r="B1214" s="1" t="s">
        <v>5</v>
      </c>
      <c r="C1214" s="1" t="s">
        <v>4606</v>
      </c>
      <c r="D1214" s="1" t="s">
        <v>1600</v>
      </c>
      <c r="E1214" s="1" t="s">
        <v>4607</v>
      </c>
      <c r="F1214" s="1" t="s">
        <v>1392</v>
      </c>
      <c r="G1214" s="4">
        <v>1.14E-2</v>
      </c>
      <c r="H1214" s="28">
        <v>38837</v>
      </c>
      <c r="I1214" s="29">
        <f t="shared" si="1303"/>
        <v>2006</v>
      </c>
      <c r="J1214" s="1" t="s">
        <v>1683</v>
      </c>
      <c r="K1214" s="1" t="s">
        <v>7</v>
      </c>
      <c r="L1214" s="11" t="str">
        <f t="shared" si="1304"/>
        <v>ДА</v>
      </c>
      <c r="M1214" s="10" t="s">
        <v>1575</v>
      </c>
      <c r="N1214" s="10" t="s">
        <v>1575</v>
      </c>
      <c r="O1214" s="10">
        <v>2.18E-2</v>
      </c>
      <c r="P1214" s="10">
        <f t="shared" si="1142"/>
        <v>1.9122807017543859</v>
      </c>
      <c r="Q1214" s="10" t="str">
        <f t="shared" si="1143"/>
        <v>NA</v>
      </c>
      <c r="R1214" s="10" t="s">
        <v>1575</v>
      </c>
      <c r="S1214" s="10" t="s">
        <v>1575</v>
      </c>
      <c r="T1214" s="10" t="s">
        <v>1575</v>
      </c>
      <c r="U1214" s="10" t="s">
        <v>1575</v>
      </c>
      <c r="V1214" s="10" t="s">
        <v>1575</v>
      </c>
      <c r="W1214" s="10" t="s">
        <v>1575</v>
      </c>
      <c r="X1214" s="10" t="str">
        <f t="shared" si="1305"/>
        <v>NA</v>
      </c>
      <c r="Y1214" s="10" t="str">
        <f t="shared" si="1306"/>
        <v>NA</v>
      </c>
      <c r="Z1214" s="10" t="str">
        <f t="shared" si="1307"/>
        <v>NA</v>
      </c>
      <c r="AA1214" s="10" t="str">
        <f t="shared" si="1308"/>
        <v>NA</v>
      </c>
      <c r="AB1214" s="10" t="str">
        <f t="shared" si="1309"/>
        <v>NA</v>
      </c>
      <c r="AC1214" s="10" t="str">
        <f t="shared" si="1310"/>
        <v>NA</v>
      </c>
      <c r="AD1214" s="10" t="str">
        <f t="shared" si="1311"/>
        <v>NA</v>
      </c>
      <c r="AE1214" s="10" t="str">
        <f t="shared" si="1312"/>
        <v>NA</v>
      </c>
      <c r="AF1214" s="1" t="s">
        <v>4613</v>
      </c>
    </row>
    <row r="1215" spans="1:32" x14ac:dyDescent="0.2">
      <c r="A1215" s="1" t="s">
        <v>1683</v>
      </c>
      <c r="B1215" s="1" t="s">
        <v>5</v>
      </c>
      <c r="C1215" s="1" t="s">
        <v>4606</v>
      </c>
      <c r="D1215" s="1" t="s">
        <v>1600</v>
      </c>
      <c r="E1215" s="1" t="s">
        <v>4607</v>
      </c>
      <c r="F1215" s="1" t="s">
        <v>1392</v>
      </c>
      <c r="G1215" s="4">
        <f>325173/5419541</f>
        <v>6.0000099639434409E-2</v>
      </c>
      <c r="H1215" s="28">
        <v>39051</v>
      </c>
      <c r="I1215" s="29">
        <f t="shared" ref="I1215:I1217" si="1323">YEAR(H1215)</f>
        <v>2006</v>
      </c>
      <c r="J1215" s="1" t="s">
        <v>1683</v>
      </c>
      <c r="K1215" s="1" t="s">
        <v>7</v>
      </c>
      <c r="L1215" s="11" t="str">
        <f t="shared" ref="L1215:L1217" si="1324">IF(OR(A1215=J1215,A1215=K1215),"ДА","НЕТ")</f>
        <v>ДА</v>
      </c>
      <c r="M1215" s="10" t="s">
        <v>1575</v>
      </c>
      <c r="N1215" s="10" t="s">
        <v>1575</v>
      </c>
      <c r="O1215" s="10">
        <f>1.324</f>
        <v>1.3240000000000001</v>
      </c>
      <c r="P1215" s="10">
        <f t="shared" si="1142"/>
        <v>22.066630021557756</v>
      </c>
      <c r="Q1215" s="10" t="str">
        <f t="shared" si="1143"/>
        <v>NA</v>
      </c>
      <c r="R1215" s="10" t="s">
        <v>1575</v>
      </c>
      <c r="S1215" s="10" t="s">
        <v>1575</v>
      </c>
      <c r="T1215" s="10" t="s">
        <v>1575</v>
      </c>
      <c r="U1215" s="10" t="s">
        <v>1575</v>
      </c>
      <c r="V1215" s="10" t="s">
        <v>1575</v>
      </c>
      <c r="W1215" s="10" t="s">
        <v>1575</v>
      </c>
      <c r="X1215" s="10" t="str">
        <f t="shared" ref="X1215:X1217" si="1325">IFERROR(V1215+W1215,"NA")</f>
        <v>NA</v>
      </c>
      <c r="Y1215" s="10" t="str">
        <f t="shared" ref="Y1215:Y1217" si="1326">IFERROR(P1215/R1215,"NA")</f>
        <v>NA</v>
      </c>
      <c r="Z1215" s="10" t="str">
        <f t="shared" ref="Z1215:Z1217" si="1327">IFERROR(P1215/U1215,"NA")</f>
        <v>NA</v>
      </c>
      <c r="AA1215" s="10" t="str">
        <f t="shared" ref="AA1215:AA1217" si="1328">IFERROR(P1215/V1215,"NA")</f>
        <v>NA</v>
      </c>
      <c r="AB1215" s="10" t="str">
        <f t="shared" ref="AB1215:AB1217" si="1329">IFERROR(Q1215/R1215,"NA")</f>
        <v>NA</v>
      </c>
      <c r="AC1215" s="10" t="str">
        <f t="shared" ref="AC1215:AC1217" si="1330">IFERROR(Q1215/S1215,"NA")</f>
        <v>NA</v>
      </c>
      <c r="AD1215" s="10" t="str">
        <f t="shared" ref="AD1215:AD1217" si="1331">IFERROR(Q1215/T1215,"NA")</f>
        <v>NA</v>
      </c>
      <c r="AE1215" s="10" t="str">
        <f t="shared" ref="AE1215:AE1217" si="1332">IFERROR(Q1215/X1215,"NA")</f>
        <v>NA</v>
      </c>
      <c r="AF1215" s="1" t="s">
        <v>4616</v>
      </c>
    </row>
    <row r="1216" spans="1:32" x14ac:dyDescent="0.2">
      <c r="A1216" s="1" t="s">
        <v>5874</v>
      </c>
      <c r="B1216" s="1" t="s">
        <v>5</v>
      </c>
      <c r="C1216" s="1" t="s">
        <v>1575</v>
      </c>
      <c r="D1216" s="1" t="s">
        <v>1600</v>
      </c>
      <c r="E1216" s="1" t="s">
        <v>2048</v>
      </c>
      <c r="F1216" s="1" t="s">
        <v>235</v>
      </c>
      <c r="G1216" s="4" t="s">
        <v>11</v>
      </c>
      <c r="H1216" s="28">
        <v>45199</v>
      </c>
      <c r="I1216" s="29">
        <f t="shared" ref="I1216" si="1333">YEAR(H1216)</f>
        <v>2023</v>
      </c>
      <c r="J1216" s="1" t="s">
        <v>7</v>
      </c>
      <c r="K1216" s="1" t="s">
        <v>4600</v>
      </c>
      <c r="L1216" s="11" t="str">
        <f t="shared" ref="L1216" si="1334">IF(OR(A1216=J1216,A1216=K1216),"ДА","НЕТ")</f>
        <v>НЕТ</v>
      </c>
      <c r="M1216" s="10" t="s">
        <v>1575</v>
      </c>
      <c r="N1216" s="10" t="s">
        <v>1575</v>
      </c>
      <c r="O1216" s="10" t="s">
        <v>1575</v>
      </c>
      <c r="P1216" s="10" t="str">
        <f t="shared" si="1142"/>
        <v>NA</v>
      </c>
      <c r="Q1216" s="10" t="str">
        <f t="shared" si="1143"/>
        <v>NA</v>
      </c>
      <c r="R1216" s="10" t="s">
        <v>1575</v>
      </c>
      <c r="S1216" s="10" t="s">
        <v>1575</v>
      </c>
      <c r="T1216" s="10" t="s">
        <v>1575</v>
      </c>
      <c r="U1216" s="10" t="s">
        <v>1575</v>
      </c>
      <c r="V1216" s="10">
        <v>5.9880000000000004</v>
      </c>
      <c r="W1216" s="10" t="s">
        <v>1575</v>
      </c>
      <c r="X1216" s="10" t="str">
        <f t="shared" ref="X1216" si="1335">IFERROR(V1216+W1216,"NA")</f>
        <v>NA</v>
      </c>
      <c r="Y1216" s="10" t="str">
        <f t="shared" ref="Y1216" si="1336">IFERROR(P1216/R1216,"NA")</f>
        <v>NA</v>
      </c>
      <c r="Z1216" s="10" t="str">
        <f t="shared" ref="Z1216" si="1337">IFERROR(P1216/U1216,"NA")</f>
        <v>NA</v>
      </c>
      <c r="AA1216" s="10" t="str">
        <f t="shared" ref="AA1216" si="1338">IFERROR(P1216/V1216,"NA")</f>
        <v>NA</v>
      </c>
      <c r="AB1216" s="10" t="str">
        <f t="shared" ref="AB1216" si="1339">IFERROR(Q1216/R1216,"NA")</f>
        <v>NA</v>
      </c>
      <c r="AC1216" s="10" t="str">
        <f t="shared" ref="AC1216" si="1340">IFERROR(Q1216/S1216,"NA")</f>
        <v>NA</v>
      </c>
      <c r="AD1216" s="10" t="str">
        <f t="shared" ref="AD1216" si="1341">IFERROR(Q1216/T1216,"NA")</f>
        <v>NA</v>
      </c>
      <c r="AE1216" s="10" t="str">
        <f t="shared" ref="AE1216" si="1342">IFERROR(Q1216/X1216,"NA")</f>
        <v>NA</v>
      </c>
      <c r="AF1216" s="1" t="s">
        <v>4652</v>
      </c>
    </row>
    <row r="1217" spans="1:32" x14ac:dyDescent="0.2">
      <c r="A1217" s="1" t="s">
        <v>5875</v>
      </c>
      <c r="B1217" s="1" t="s">
        <v>5</v>
      </c>
      <c r="C1217" s="1" t="s">
        <v>1575</v>
      </c>
      <c r="D1217" s="1" t="s">
        <v>1600</v>
      </c>
      <c r="E1217" s="1" t="s">
        <v>2048</v>
      </c>
      <c r="F1217" s="1" t="s">
        <v>235</v>
      </c>
      <c r="G1217" s="4" t="s">
        <v>11</v>
      </c>
      <c r="H1217" s="28">
        <v>44620</v>
      </c>
      <c r="I1217" s="29">
        <f t="shared" si="1323"/>
        <v>2022</v>
      </c>
      <c r="J1217" s="1" t="s">
        <v>7</v>
      </c>
      <c r="K1217" s="1" t="s">
        <v>4600</v>
      </c>
      <c r="L1217" s="11" t="str">
        <f t="shared" si="1324"/>
        <v>НЕТ</v>
      </c>
      <c r="M1217" s="10" t="s">
        <v>1575</v>
      </c>
      <c r="N1217" s="10" t="s">
        <v>1575</v>
      </c>
      <c r="O1217" s="10" t="s">
        <v>1575</v>
      </c>
      <c r="P1217" s="10" t="str">
        <f t="shared" si="1142"/>
        <v>NA</v>
      </c>
      <c r="Q1217" s="10" t="str">
        <f t="shared" si="1143"/>
        <v>NA</v>
      </c>
      <c r="R1217" s="10" t="s">
        <v>1575</v>
      </c>
      <c r="S1217" s="10" t="s">
        <v>1575</v>
      </c>
      <c r="T1217" s="10" t="s">
        <v>1575</v>
      </c>
      <c r="U1217" s="10" t="s">
        <v>1575</v>
      </c>
      <c r="V1217" s="10">
        <v>0.73099999999999998</v>
      </c>
      <c r="W1217" s="10" t="s">
        <v>1575</v>
      </c>
      <c r="X1217" s="10" t="str">
        <f t="shared" si="1325"/>
        <v>NA</v>
      </c>
      <c r="Y1217" s="10" t="str">
        <f t="shared" si="1326"/>
        <v>NA</v>
      </c>
      <c r="Z1217" s="10" t="str">
        <f t="shared" si="1327"/>
        <v>NA</v>
      </c>
      <c r="AA1217" s="10" t="str">
        <f t="shared" si="1328"/>
        <v>NA</v>
      </c>
      <c r="AB1217" s="10" t="str">
        <f t="shared" si="1329"/>
        <v>NA</v>
      </c>
      <c r="AC1217" s="10" t="str">
        <f t="shared" si="1330"/>
        <v>NA</v>
      </c>
      <c r="AD1217" s="10" t="str">
        <f t="shared" si="1331"/>
        <v>NA</v>
      </c>
      <c r="AE1217" s="10" t="str">
        <f t="shared" si="1332"/>
        <v>NA</v>
      </c>
      <c r="AF1217" s="1" t="s">
        <v>4653</v>
      </c>
    </row>
    <row r="1218" spans="1:32" x14ac:dyDescent="0.2">
      <c r="A1218" s="1" t="s">
        <v>5876</v>
      </c>
      <c r="B1218" s="1" t="s">
        <v>5</v>
      </c>
      <c r="C1218" s="1" t="s">
        <v>1575</v>
      </c>
      <c r="D1218" s="1" t="s">
        <v>1600</v>
      </c>
      <c r="E1218" s="1" t="s">
        <v>2048</v>
      </c>
      <c r="F1218" s="1" t="s">
        <v>235</v>
      </c>
      <c r="G1218" s="4" t="s">
        <v>11</v>
      </c>
      <c r="H1218" s="28">
        <v>44651</v>
      </c>
      <c r="I1218" s="29">
        <f t="shared" ref="I1218" si="1343">YEAR(H1218)</f>
        <v>2022</v>
      </c>
      <c r="J1218" s="1" t="s">
        <v>4617</v>
      </c>
      <c r="K1218" s="1" t="s">
        <v>4600</v>
      </c>
      <c r="L1218" s="11" t="str">
        <f t="shared" ref="L1218" si="1344">IF(OR(A1218=J1218,A1218=K1218),"ДА","НЕТ")</f>
        <v>НЕТ</v>
      </c>
      <c r="M1218" s="10" t="s">
        <v>1575</v>
      </c>
      <c r="N1218" s="10" t="s">
        <v>1575</v>
      </c>
      <c r="O1218" s="10" t="s">
        <v>1575</v>
      </c>
      <c r="P1218" s="10" t="str">
        <f t="shared" si="1142"/>
        <v>NA</v>
      </c>
      <c r="Q1218" s="10" t="str">
        <f t="shared" si="1143"/>
        <v>NA</v>
      </c>
      <c r="R1218" s="10" t="s">
        <v>1575</v>
      </c>
      <c r="S1218" s="10" t="s">
        <v>1575</v>
      </c>
      <c r="T1218" s="10" t="s">
        <v>1575</v>
      </c>
      <c r="U1218" s="10" t="s">
        <v>1575</v>
      </c>
      <c r="V1218" s="10">
        <v>3.3250000000000002</v>
      </c>
      <c r="W1218" s="10" t="s">
        <v>1575</v>
      </c>
      <c r="X1218" s="10" t="str">
        <f t="shared" ref="X1218" si="1345">IFERROR(V1218+W1218,"NA")</f>
        <v>NA</v>
      </c>
      <c r="Y1218" s="10" t="str">
        <f t="shared" ref="Y1218" si="1346">IFERROR(P1218/R1218,"NA")</f>
        <v>NA</v>
      </c>
      <c r="Z1218" s="10" t="str">
        <f t="shared" ref="Z1218" si="1347">IFERROR(P1218/U1218,"NA")</f>
        <v>NA</v>
      </c>
      <c r="AA1218" s="10" t="str">
        <f t="shared" ref="AA1218" si="1348">IFERROR(P1218/V1218,"NA")</f>
        <v>NA</v>
      </c>
      <c r="AB1218" s="10" t="str">
        <f t="shared" ref="AB1218" si="1349">IFERROR(Q1218/R1218,"NA")</f>
        <v>NA</v>
      </c>
      <c r="AC1218" s="10" t="str">
        <f t="shared" ref="AC1218" si="1350">IFERROR(Q1218/S1218,"NA")</f>
        <v>NA</v>
      </c>
      <c r="AD1218" s="10" t="str">
        <f t="shared" ref="AD1218" si="1351">IFERROR(Q1218/T1218,"NA")</f>
        <v>NA</v>
      </c>
      <c r="AE1218" s="10" t="str">
        <f t="shared" ref="AE1218" si="1352">IFERROR(Q1218/X1218,"NA")</f>
        <v>NA</v>
      </c>
      <c r="AF1218" s="1" t="s">
        <v>4654</v>
      </c>
    </row>
    <row r="1219" spans="1:32" x14ac:dyDescent="0.2">
      <c r="A1219" s="1" t="s">
        <v>5877</v>
      </c>
      <c r="B1219" s="1" t="s">
        <v>5</v>
      </c>
      <c r="C1219" s="1" t="s">
        <v>1575</v>
      </c>
      <c r="D1219" s="1" t="s">
        <v>1597</v>
      </c>
      <c r="E1219" s="1" t="s">
        <v>1598</v>
      </c>
      <c r="F1219" s="1" t="s">
        <v>149</v>
      </c>
      <c r="G1219" s="4" t="s">
        <v>11</v>
      </c>
      <c r="H1219" s="28">
        <v>44260</v>
      </c>
      <c r="I1219" s="29">
        <f t="shared" si="1141"/>
        <v>2021</v>
      </c>
      <c r="J1219" s="1" t="s">
        <v>7</v>
      </c>
      <c r="K1219" s="1" t="s">
        <v>4600</v>
      </c>
      <c r="L1219" s="11" t="str">
        <f t="shared" si="1242"/>
        <v>НЕТ</v>
      </c>
      <c r="M1219" s="10" t="s">
        <v>1575</v>
      </c>
      <c r="N1219" s="10" t="s">
        <v>1575</v>
      </c>
      <c r="O1219" s="10">
        <v>10.138999999999999</v>
      </c>
      <c r="P1219" s="10" t="str">
        <f t="shared" ref="P1219:P1282" si="1353">IFERROR(O1219/G1219,"NA")</f>
        <v>NA</v>
      </c>
      <c r="Q1219" s="10" t="str">
        <f t="shared" ref="Q1219:Q1282" si="1354">IFERROR(P1219+W1219,"NA")</f>
        <v>NA</v>
      </c>
      <c r="R1219" s="10">
        <v>13.946</v>
      </c>
      <c r="S1219" s="10" t="s">
        <v>1575</v>
      </c>
      <c r="T1219" s="10" t="s">
        <v>1575</v>
      </c>
      <c r="U1219" s="10">
        <v>1.004</v>
      </c>
      <c r="V1219" s="10">
        <f>9.959+1.637</f>
        <v>11.596</v>
      </c>
      <c r="W1219" s="10">
        <f>1.651+1.715+0.035-0.429+0-1.09</f>
        <v>1.8820000000000003</v>
      </c>
      <c r="X1219" s="10">
        <f t="shared" si="1113"/>
        <v>13.478</v>
      </c>
      <c r="Y1219" s="10" t="str">
        <f t="shared" si="1114"/>
        <v>NA</v>
      </c>
      <c r="Z1219" s="10" t="str">
        <f t="shared" si="1115"/>
        <v>NA</v>
      </c>
      <c r="AA1219" s="10" t="str">
        <f t="shared" si="1116"/>
        <v>NA</v>
      </c>
      <c r="AB1219" s="10" t="str">
        <f t="shared" si="1117"/>
        <v>NA</v>
      </c>
      <c r="AC1219" s="10" t="str">
        <f t="shared" si="1118"/>
        <v>NA</v>
      </c>
      <c r="AD1219" s="10" t="str">
        <f t="shared" si="1119"/>
        <v>NA</v>
      </c>
      <c r="AE1219" s="10" t="str">
        <f t="shared" si="1120"/>
        <v>NA</v>
      </c>
      <c r="AF1219" s="1" t="s">
        <v>1401</v>
      </c>
    </row>
    <row r="1220" spans="1:32" x14ac:dyDescent="0.2">
      <c r="A1220" s="1" t="s">
        <v>5878</v>
      </c>
      <c r="B1220" s="1" t="s">
        <v>5</v>
      </c>
      <c r="C1220" s="1" t="s">
        <v>1575</v>
      </c>
      <c r="D1220" s="1" t="s">
        <v>1580</v>
      </c>
      <c r="E1220" s="1" t="s">
        <v>2165</v>
      </c>
      <c r="F1220" s="1" t="s">
        <v>1406</v>
      </c>
      <c r="G1220" s="4">
        <v>1</v>
      </c>
      <c r="H1220" s="28">
        <v>44196</v>
      </c>
      <c r="I1220" s="29">
        <f t="shared" si="1141"/>
        <v>2020</v>
      </c>
      <c r="J1220" s="1" t="s">
        <v>4600</v>
      </c>
      <c r="K1220" s="1" t="s">
        <v>7</v>
      </c>
      <c r="L1220" s="11" t="str">
        <f t="shared" si="1242"/>
        <v>НЕТ</v>
      </c>
      <c r="M1220" s="10" t="s">
        <v>1575</v>
      </c>
      <c r="N1220" s="10" t="s">
        <v>1575</v>
      </c>
      <c r="O1220" s="10">
        <v>3.2869999999999999</v>
      </c>
      <c r="P1220" s="10">
        <f t="shared" si="1353"/>
        <v>3.2869999999999999</v>
      </c>
      <c r="Q1220" s="10" t="str">
        <f t="shared" si="1354"/>
        <v>NA</v>
      </c>
      <c r="R1220" s="10" t="s">
        <v>1575</v>
      </c>
      <c r="S1220" s="10" t="s">
        <v>1575</v>
      </c>
      <c r="T1220" s="10" t="s">
        <v>1575</v>
      </c>
      <c r="U1220" s="10" t="s">
        <v>1575</v>
      </c>
      <c r="V1220" s="10" t="s">
        <v>1575</v>
      </c>
      <c r="W1220" s="10" t="s">
        <v>1575</v>
      </c>
      <c r="X1220" s="10" t="str">
        <f t="shared" si="1113"/>
        <v>NA</v>
      </c>
      <c r="Y1220" s="10" t="str">
        <f t="shared" si="1114"/>
        <v>NA</v>
      </c>
      <c r="Z1220" s="10" t="str">
        <f t="shared" si="1115"/>
        <v>NA</v>
      </c>
      <c r="AA1220" s="10" t="str">
        <f t="shared" si="1116"/>
        <v>NA</v>
      </c>
      <c r="AB1220" s="10" t="str">
        <f t="shared" si="1117"/>
        <v>NA</v>
      </c>
      <c r="AC1220" s="10" t="str">
        <f t="shared" si="1118"/>
        <v>NA</v>
      </c>
      <c r="AD1220" s="10" t="str">
        <f t="shared" si="1119"/>
        <v>NA</v>
      </c>
      <c r="AE1220" s="10" t="str">
        <f t="shared" si="1120"/>
        <v>NA</v>
      </c>
      <c r="AF1220" s="1" t="s">
        <v>1405</v>
      </c>
    </row>
    <row r="1221" spans="1:32" x14ac:dyDescent="0.2">
      <c r="A1221" s="1" t="s">
        <v>4600</v>
      </c>
      <c r="B1221" s="1" t="s">
        <v>5</v>
      </c>
      <c r="C1221" s="1" t="s">
        <v>2254</v>
      </c>
      <c r="D1221" s="1" t="s">
        <v>1600</v>
      </c>
      <c r="E1221" s="1" t="s">
        <v>2048</v>
      </c>
      <c r="F1221" s="1" t="s">
        <v>235</v>
      </c>
      <c r="G1221" s="4">
        <f>20412/472382880</f>
        <v>4.3210710769196376E-5</v>
      </c>
      <c r="H1221" s="28">
        <v>43616</v>
      </c>
      <c r="I1221" s="29">
        <f t="shared" si="1141"/>
        <v>2019</v>
      </c>
      <c r="J1221" s="1" t="s">
        <v>4600</v>
      </c>
      <c r="K1221" s="1" t="s">
        <v>7</v>
      </c>
      <c r="L1221" s="11" t="str">
        <f t="shared" si="1242"/>
        <v>ДА</v>
      </c>
      <c r="M1221" s="10" t="s">
        <v>1575</v>
      </c>
      <c r="N1221" s="10" t="s">
        <v>1575</v>
      </c>
      <c r="O1221" s="10">
        <v>2E-3</v>
      </c>
      <c r="P1221" s="10">
        <f t="shared" si="1353"/>
        <v>46.284820693709584</v>
      </c>
      <c r="Q1221" s="10">
        <f t="shared" si="1354"/>
        <v>111.37682069370959</v>
      </c>
      <c r="R1221" s="10">
        <v>178.84</v>
      </c>
      <c r="S1221" s="10">
        <v>27.019000000000002</v>
      </c>
      <c r="T1221" s="10">
        <v>20.126000000000001</v>
      </c>
      <c r="U1221" s="10">
        <v>7.726</v>
      </c>
      <c r="V1221" s="10">
        <v>3.8109999999999999</v>
      </c>
      <c r="W1221" s="10">
        <v>65.091999999999999</v>
      </c>
      <c r="X1221" s="10">
        <f t="shared" si="1113"/>
        <v>68.902999999999992</v>
      </c>
      <c r="Y1221" s="10">
        <f t="shared" si="1114"/>
        <v>0.25880575203371498</v>
      </c>
      <c r="Z1221" s="10">
        <f t="shared" si="1115"/>
        <v>5.9907870429341941</v>
      </c>
      <c r="AA1221" s="10">
        <f t="shared" si="1116"/>
        <v>12.145059221650376</v>
      </c>
      <c r="AB1221" s="10">
        <f t="shared" si="1117"/>
        <v>0.622773544473885</v>
      </c>
      <c r="AC1221" s="10">
        <f t="shared" si="1118"/>
        <v>4.1221666491620557</v>
      </c>
      <c r="AD1221" s="10">
        <f t="shared" si="1119"/>
        <v>5.5339769797132856</v>
      </c>
      <c r="AE1221" s="10">
        <f t="shared" si="1120"/>
        <v>1.6164291931223547</v>
      </c>
      <c r="AF1221" s="1" t="s">
        <v>4618</v>
      </c>
    </row>
    <row r="1222" spans="1:32" x14ac:dyDescent="0.2">
      <c r="A1222" s="1" t="s">
        <v>1403</v>
      </c>
      <c r="B1222" s="1" t="s">
        <v>5</v>
      </c>
      <c r="C1222" s="1" t="s">
        <v>4598</v>
      </c>
      <c r="D1222" s="1" t="s">
        <v>2160</v>
      </c>
      <c r="E1222" s="1" t="s">
        <v>2882</v>
      </c>
      <c r="F1222" s="1" t="s">
        <v>1404</v>
      </c>
      <c r="G1222" s="4">
        <f>94.35%-88.38%</f>
        <v>5.9699999999999975E-2</v>
      </c>
      <c r="H1222" s="28">
        <v>43830</v>
      </c>
      <c r="I1222" s="29">
        <f t="shared" si="1141"/>
        <v>2019</v>
      </c>
      <c r="J1222" s="1" t="s">
        <v>4600</v>
      </c>
      <c r="K1222" s="1" t="s">
        <v>7</v>
      </c>
      <c r="L1222" s="11" t="str">
        <f t="shared" si="1242"/>
        <v>НЕТ</v>
      </c>
      <c r="M1222" s="10" t="s">
        <v>1575</v>
      </c>
      <c r="N1222" s="10" t="s">
        <v>1575</v>
      </c>
      <c r="O1222" s="10">
        <v>8.5999999999999993E-2</v>
      </c>
      <c r="P1222" s="10">
        <f t="shared" si="1353"/>
        <v>1.4405360134003355</v>
      </c>
      <c r="Q1222" s="10" t="str">
        <f t="shared" si="1354"/>
        <v>NA</v>
      </c>
      <c r="R1222" s="10" t="s">
        <v>1575</v>
      </c>
      <c r="S1222" s="10" t="s">
        <v>1575</v>
      </c>
      <c r="T1222" s="10" t="s">
        <v>1575</v>
      </c>
      <c r="U1222" s="10" t="s">
        <v>1575</v>
      </c>
      <c r="V1222" s="10" t="s">
        <v>1575</v>
      </c>
      <c r="W1222" s="10" t="s">
        <v>1575</v>
      </c>
      <c r="X1222" s="10" t="str">
        <f t="shared" si="1113"/>
        <v>NA</v>
      </c>
      <c r="Y1222" s="10" t="str">
        <f t="shared" si="1114"/>
        <v>NA</v>
      </c>
      <c r="Z1222" s="10" t="str">
        <f t="shared" si="1115"/>
        <v>NA</v>
      </c>
      <c r="AA1222" s="10" t="str">
        <f t="shared" si="1116"/>
        <v>NA</v>
      </c>
      <c r="AB1222" s="10" t="str">
        <f t="shared" si="1117"/>
        <v>NA</v>
      </c>
      <c r="AC1222" s="10" t="str">
        <f t="shared" si="1118"/>
        <v>NA</v>
      </c>
      <c r="AD1222" s="10" t="str">
        <f t="shared" si="1119"/>
        <v>NA</v>
      </c>
      <c r="AE1222" s="10" t="str">
        <f t="shared" si="1120"/>
        <v>NA</v>
      </c>
      <c r="AF1222" s="1" t="s">
        <v>1402</v>
      </c>
    </row>
    <row r="1223" spans="1:32" x14ac:dyDescent="0.2">
      <c r="A1223" s="1" t="s">
        <v>1403</v>
      </c>
      <c r="B1223" s="1" t="s">
        <v>5</v>
      </c>
      <c r="C1223" s="1" t="s">
        <v>4598</v>
      </c>
      <c r="D1223" s="1" t="s">
        <v>2160</v>
      </c>
      <c r="E1223" s="1" t="s">
        <v>2882</v>
      </c>
      <c r="F1223" s="1" t="s">
        <v>1404</v>
      </c>
      <c r="G1223" s="4">
        <f>100%-50.11%</f>
        <v>0.49890000000000001</v>
      </c>
      <c r="H1223" s="28">
        <v>43465</v>
      </c>
      <c r="I1223" s="29">
        <f t="shared" si="1141"/>
        <v>2018</v>
      </c>
      <c r="J1223" s="1" t="s">
        <v>4600</v>
      </c>
      <c r="K1223" s="1" t="s">
        <v>7</v>
      </c>
      <c r="L1223" s="11" t="str">
        <f t="shared" si="1242"/>
        <v>НЕТ</v>
      </c>
      <c r="M1223" s="10" t="s">
        <v>1575</v>
      </c>
      <c r="N1223" s="10" t="s">
        <v>1575</v>
      </c>
      <c r="O1223" s="10">
        <v>0.20399999999999999</v>
      </c>
      <c r="P1223" s="10">
        <f t="shared" si="1353"/>
        <v>0.40889957907396268</v>
      </c>
      <c r="Q1223" s="10" t="str">
        <f t="shared" si="1354"/>
        <v>NA</v>
      </c>
      <c r="R1223" s="10" t="s">
        <v>1575</v>
      </c>
      <c r="S1223" s="10" t="s">
        <v>1575</v>
      </c>
      <c r="T1223" s="10" t="s">
        <v>1575</v>
      </c>
      <c r="U1223" s="10" t="s">
        <v>1575</v>
      </c>
      <c r="V1223" s="10" t="s">
        <v>1575</v>
      </c>
      <c r="W1223" s="10" t="s">
        <v>1575</v>
      </c>
      <c r="X1223" s="10" t="str">
        <f t="shared" si="1113"/>
        <v>NA</v>
      </c>
      <c r="Y1223" s="10" t="str">
        <f t="shared" si="1114"/>
        <v>NA</v>
      </c>
      <c r="Z1223" s="10" t="str">
        <f t="shared" si="1115"/>
        <v>NA</v>
      </c>
      <c r="AA1223" s="10" t="str">
        <f t="shared" si="1116"/>
        <v>NA</v>
      </c>
      <c r="AB1223" s="10" t="str">
        <f t="shared" si="1117"/>
        <v>NA</v>
      </c>
      <c r="AC1223" s="10" t="str">
        <f t="shared" si="1118"/>
        <v>NA</v>
      </c>
      <c r="AD1223" s="10" t="str">
        <f t="shared" si="1119"/>
        <v>NA</v>
      </c>
      <c r="AE1223" s="10" t="str">
        <f t="shared" si="1120"/>
        <v>NA</v>
      </c>
      <c r="AF1223" s="1" t="s">
        <v>1408</v>
      </c>
    </row>
    <row r="1224" spans="1:32" x14ac:dyDescent="0.2">
      <c r="A1224" s="1" t="s">
        <v>5879</v>
      </c>
      <c r="B1224" s="1" t="s">
        <v>4638</v>
      </c>
      <c r="C1224" s="1" t="s">
        <v>1575</v>
      </c>
      <c r="D1224" s="1" t="s">
        <v>1600</v>
      </c>
      <c r="E1224" s="1" t="s">
        <v>2048</v>
      </c>
      <c r="F1224" s="1" t="s">
        <v>1407</v>
      </c>
      <c r="G1224" s="4">
        <f>100%-50.11%</f>
        <v>0.49890000000000001</v>
      </c>
      <c r="H1224" s="28">
        <v>43465</v>
      </c>
      <c r="I1224" s="29">
        <f t="shared" si="1141"/>
        <v>2018</v>
      </c>
      <c r="J1224" s="1" t="s">
        <v>4600</v>
      </c>
      <c r="K1224" s="1" t="s">
        <v>7</v>
      </c>
      <c r="L1224" s="11" t="str">
        <f t="shared" si="1242"/>
        <v>НЕТ</v>
      </c>
      <c r="M1224" s="10" t="s">
        <v>1575</v>
      </c>
      <c r="N1224" s="10" t="s">
        <v>1575</v>
      </c>
      <c r="O1224" s="10">
        <v>5.3</v>
      </c>
      <c r="P1224" s="10">
        <f t="shared" si="1353"/>
        <v>10.623371417117658</v>
      </c>
      <c r="Q1224" s="10" t="str">
        <f t="shared" si="1354"/>
        <v>NA</v>
      </c>
      <c r="R1224" s="10" t="s">
        <v>1575</v>
      </c>
      <c r="S1224" s="10" t="s">
        <v>1575</v>
      </c>
      <c r="T1224" s="10" t="s">
        <v>1575</v>
      </c>
      <c r="U1224" s="10" t="s">
        <v>1575</v>
      </c>
      <c r="V1224" s="10" t="s">
        <v>1575</v>
      </c>
      <c r="W1224" s="10" t="s">
        <v>1575</v>
      </c>
      <c r="X1224" s="10" t="str">
        <f t="shared" si="1113"/>
        <v>NA</v>
      </c>
      <c r="Y1224" s="10" t="str">
        <f t="shared" si="1114"/>
        <v>NA</v>
      </c>
      <c r="Z1224" s="10" t="str">
        <f t="shared" si="1115"/>
        <v>NA</v>
      </c>
      <c r="AA1224" s="10" t="str">
        <f t="shared" si="1116"/>
        <v>NA</v>
      </c>
      <c r="AB1224" s="10" t="str">
        <f t="shared" si="1117"/>
        <v>NA</v>
      </c>
      <c r="AC1224" s="10" t="str">
        <f t="shared" si="1118"/>
        <v>NA</v>
      </c>
      <c r="AD1224" s="10" t="str">
        <f t="shared" si="1119"/>
        <v>NA</v>
      </c>
      <c r="AE1224" s="10" t="str">
        <f t="shared" si="1120"/>
        <v>NA</v>
      </c>
      <c r="AF1224" s="1" t="s">
        <v>1409</v>
      </c>
    </row>
    <row r="1225" spans="1:32" x14ac:dyDescent="0.2">
      <c r="A1225" s="1" t="s">
        <v>4600</v>
      </c>
      <c r="B1225" s="1" t="s">
        <v>5</v>
      </c>
      <c r="C1225" s="1" t="s">
        <v>2254</v>
      </c>
      <c r="D1225" s="1" t="s">
        <v>1600</v>
      </c>
      <c r="E1225" s="1" t="s">
        <v>2048</v>
      </c>
      <c r="F1225" s="1" t="s">
        <v>235</v>
      </c>
      <c r="G1225" s="4">
        <f>2850000/472382880</f>
        <v>6.0332415095144852E-3</v>
      </c>
      <c r="H1225" s="28">
        <v>43404</v>
      </c>
      <c r="I1225" s="29">
        <f t="shared" ref="I1225" si="1355">YEAR(H1225)</f>
        <v>2018</v>
      </c>
      <c r="J1225" s="1" t="s">
        <v>7</v>
      </c>
      <c r="K1225" s="1" t="s">
        <v>4600</v>
      </c>
      <c r="L1225" s="11" t="str">
        <f t="shared" ref="L1225" si="1356">IF(OR(A1225=J1225,A1225=K1225),"ДА","НЕТ")</f>
        <v>ДА</v>
      </c>
      <c r="M1225" s="10" t="s">
        <v>1575</v>
      </c>
      <c r="N1225" s="10" t="s">
        <v>1575</v>
      </c>
      <c r="O1225" s="10">
        <v>0.32500000000000001</v>
      </c>
      <c r="P1225" s="10">
        <f t="shared" si="1353"/>
        <v>53.868223157894739</v>
      </c>
      <c r="Q1225" s="10">
        <f t="shared" si="1354"/>
        <v>118.22722315789474</v>
      </c>
      <c r="R1225" s="10">
        <v>158.25700000000001</v>
      </c>
      <c r="S1225" s="10">
        <v>23.236000000000001</v>
      </c>
      <c r="T1225" s="10">
        <v>15.848000000000001</v>
      </c>
      <c r="U1225" s="10">
        <v>4.032</v>
      </c>
      <c r="V1225" s="10">
        <v>4.9459999999999997</v>
      </c>
      <c r="W1225" s="10">
        <v>64.358999999999995</v>
      </c>
      <c r="X1225" s="10">
        <f t="shared" ref="X1225" si="1357">IFERROR(V1225+W1225,"NA")</f>
        <v>69.304999999999993</v>
      </c>
      <c r="Y1225" s="10">
        <f t="shared" ref="Y1225" si="1358">IFERROR(P1225/R1225,"NA")</f>
        <v>0.34038445792536659</v>
      </c>
      <c r="Z1225" s="10">
        <f t="shared" ref="Z1225" si="1359">IFERROR(P1225/U1225,"NA")</f>
        <v>13.360174394319131</v>
      </c>
      <c r="AA1225" s="10">
        <f t="shared" ref="AA1225" si="1360">IFERROR(P1225/V1225,"NA")</f>
        <v>10.891270351373786</v>
      </c>
      <c r="AB1225" s="10">
        <f t="shared" ref="AB1225" si="1361">IFERROR(Q1225/R1225,"NA")</f>
        <v>0.74705841231600967</v>
      </c>
      <c r="AC1225" s="10">
        <f t="shared" ref="AC1225" si="1362">IFERROR(Q1225/S1225,"NA")</f>
        <v>5.0881056618133389</v>
      </c>
      <c r="AD1225" s="10">
        <f t="shared" ref="AD1225" si="1363">IFERROR(Q1225/T1225,"NA")</f>
        <v>7.4600721326283903</v>
      </c>
      <c r="AE1225" s="10">
        <f t="shared" ref="AE1225" si="1364">IFERROR(Q1225/X1225,"NA")</f>
        <v>1.7058974555644579</v>
      </c>
      <c r="AF1225" s="1" t="s">
        <v>4619</v>
      </c>
    </row>
    <row r="1226" spans="1:32" x14ac:dyDescent="0.2">
      <c r="A1226" s="1" t="s">
        <v>4600</v>
      </c>
      <c r="B1226" s="1" t="s">
        <v>5</v>
      </c>
      <c r="C1226" s="1" t="s">
        <v>2254</v>
      </c>
      <c r="D1226" s="1" t="s">
        <v>1600</v>
      </c>
      <c r="E1226" s="1" t="s">
        <v>2048</v>
      </c>
      <c r="F1226" s="1" t="s">
        <v>235</v>
      </c>
      <c r="G1226" s="4">
        <f>971306/472382880</f>
        <v>2.0561837465405183E-3</v>
      </c>
      <c r="H1226" s="28">
        <v>42855</v>
      </c>
      <c r="I1226" s="29">
        <f t="shared" ref="I1226" si="1365">YEAR(H1226)</f>
        <v>2017</v>
      </c>
      <c r="J1226" s="1" t="s">
        <v>7</v>
      </c>
      <c r="K1226" s="1" t="s">
        <v>4600</v>
      </c>
      <c r="L1226" s="11" t="str">
        <f t="shared" ref="L1226" si="1366">IF(OR(A1226=J1226,A1226=K1226),"ДА","НЕТ")</f>
        <v>ДА</v>
      </c>
      <c r="M1226" s="10" t="s">
        <v>1575</v>
      </c>
      <c r="N1226" s="10" t="s">
        <v>1575</v>
      </c>
      <c r="O1226" s="10">
        <v>0.13800000000000001</v>
      </c>
      <c r="P1226" s="10">
        <f t="shared" si="1353"/>
        <v>67.114624474676361</v>
      </c>
      <c r="Q1226" s="10">
        <f t="shared" si="1354"/>
        <v>134.48762447467635</v>
      </c>
      <c r="R1226" s="10">
        <v>135.45599999999999</v>
      </c>
      <c r="S1226" s="10">
        <v>27.887</v>
      </c>
      <c r="T1226" s="10">
        <v>19.670999999999999</v>
      </c>
      <c r="U1226" s="10">
        <v>6.3570000000000002</v>
      </c>
      <c r="V1226" s="10">
        <v>13.337999999999999</v>
      </c>
      <c r="W1226" s="10">
        <v>67.37299999999999</v>
      </c>
      <c r="X1226" s="10">
        <f t="shared" ref="X1226" si="1367">IFERROR(V1226+W1226,"NA")</f>
        <v>80.710999999999984</v>
      </c>
      <c r="Y1226" s="10">
        <f t="shared" ref="Y1226" si="1368">IFERROR(P1226/R1226,"NA")</f>
        <v>0.49547177293494837</v>
      </c>
      <c r="Z1226" s="10">
        <f t="shared" ref="Z1226" si="1369">IFERROR(P1226/U1226,"NA")</f>
        <v>10.557593908239163</v>
      </c>
      <c r="AA1226" s="10">
        <f t="shared" ref="AA1226" si="1370">IFERROR(P1226/V1226,"NA")</f>
        <v>5.0318356931081398</v>
      </c>
      <c r="AB1226" s="10">
        <f t="shared" ref="AB1226" si="1371">IFERROR(Q1226/R1226,"NA")</f>
        <v>0.99285099570839508</v>
      </c>
      <c r="AC1226" s="10">
        <f t="shared" ref="AC1226" si="1372">IFERROR(Q1226/S1226,"NA")</f>
        <v>4.8225920491510861</v>
      </c>
      <c r="AD1226" s="10">
        <f t="shared" ref="AD1226" si="1373">IFERROR(Q1226/T1226,"NA")</f>
        <v>6.8368473628527457</v>
      </c>
      <c r="AE1226" s="10">
        <f t="shared" ref="AE1226" si="1374">IFERROR(Q1226/X1226,"NA")</f>
        <v>1.666286187442559</v>
      </c>
      <c r="AF1226" s="1" t="s">
        <v>4621</v>
      </c>
    </row>
    <row r="1227" spans="1:32" x14ac:dyDescent="0.2">
      <c r="A1227" s="1" t="s">
        <v>4600</v>
      </c>
      <c r="B1227" s="1" t="s">
        <v>5</v>
      </c>
      <c r="C1227" s="1" t="s">
        <v>2254</v>
      </c>
      <c r="D1227" s="1" t="s">
        <v>1600</v>
      </c>
      <c r="E1227" s="1" t="s">
        <v>2048</v>
      </c>
      <c r="F1227" s="1" t="s">
        <v>235</v>
      </c>
      <c r="G1227" s="4">
        <f>8967871/472382880</f>
        <v>1.8984326866375852E-2</v>
      </c>
      <c r="H1227" s="28">
        <v>43008</v>
      </c>
      <c r="I1227" s="29">
        <f t="shared" ref="I1227" si="1375">YEAR(H1227)</f>
        <v>2017</v>
      </c>
      <c r="J1227" s="1" t="s">
        <v>7</v>
      </c>
      <c r="K1227" s="1" t="s">
        <v>4600</v>
      </c>
      <c r="L1227" s="11" t="str">
        <f t="shared" ref="L1227" si="1376">IF(OR(A1227=J1227,A1227=K1227),"ДА","НЕТ")</f>
        <v>ДА</v>
      </c>
      <c r="M1227" s="10" t="s">
        <v>1575</v>
      </c>
      <c r="N1227" s="10" t="s">
        <v>1575</v>
      </c>
      <c r="O1227" s="10">
        <v>1.19</v>
      </c>
      <c r="P1227" s="10">
        <f t="shared" si="1353"/>
        <v>62.683286501333477</v>
      </c>
      <c r="Q1227" s="10">
        <f t="shared" si="1354"/>
        <v>130.05628650133346</v>
      </c>
      <c r="R1227" s="10">
        <v>135.45599999999999</v>
      </c>
      <c r="S1227" s="10">
        <v>27.887</v>
      </c>
      <c r="T1227" s="10">
        <v>19.670999999999999</v>
      </c>
      <c r="U1227" s="10">
        <v>6.3570000000000002</v>
      </c>
      <c r="V1227" s="10">
        <v>13.337999999999999</v>
      </c>
      <c r="W1227" s="10">
        <v>67.37299999999999</v>
      </c>
      <c r="X1227" s="10">
        <f t="shared" ref="X1227" si="1377">IFERROR(V1227+W1227,"NA")</f>
        <v>80.710999999999984</v>
      </c>
      <c r="Y1227" s="10">
        <f t="shared" ref="Y1227" si="1378">IFERROR(P1227/R1227,"NA")</f>
        <v>0.46275754858650398</v>
      </c>
      <c r="Z1227" s="10">
        <f t="shared" ref="Z1227" si="1379">IFERROR(P1227/U1227,"NA")</f>
        <v>9.8605138432174737</v>
      </c>
      <c r="AA1227" s="10">
        <f t="shared" ref="AA1227" si="1380">IFERROR(P1227/V1227,"NA")</f>
        <v>4.6996016270305505</v>
      </c>
      <c r="AB1227" s="10">
        <f t="shared" ref="AB1227" si="1381">IFERROR(Q1227/R1227,"NA")</f>
        <v>0.96013677135995057</v>
      </c>
      <c r="AC1227" s="10">
        <f t="shared" ref="AC1227" si="1382">IFERROR(Q1227/S1227,"NA")</f>
        <v>4.6636886901184589</v>
      </c>
      <c r="AD1227" s="10">
        <f t="shared" ref="AD1227" si="1383">IFERROR(Q1227/T1227,"NA")</f>
        <v>6.6115747293647233</v>
      </c>
      <c r="AE1227" s="10">
        <f t="shared" ref="AE1227" si="1384">IFERROR(Q1227/X1227,"NA")</f>
        <v>1.61138242000884</v>
      </c>
      <c r="AF1227" s="1" t="s">
        <v>4622</v>
      </c>
    </row>
    <row r="1228" spans="1:32" x14ac:dyDescent="0.2">
      <c r="A1228" s="1" t="s">
        <v>5880</v>
      </c>
      <c r="B1228" s="1" t="s">
        <v>5</v>
      </c>
      <c r="C1228" s="1" t="s">
        <v>1575</v>
      </c>
      <c r="D1228" s="1" t="s">
        <v>1615</v>
      </c>
      <c r="E1228" s="1" t="s">
        <v>5352</v>
      </c>
      <c r="F1228" s="1" t="s">
        <v>4599</v>
      </c>
      <c r="G1228" s="4">
        <v>1</v>
      </c>
      <c r="H1228" s="28">
        <v>43100</v>
      </c>
      <c r="I1228" s="29">
        <f t="shared" si="1141"/>
        <v>2017</v>
      </c>
      <c r="J1228" s="1" t="s">
        <v>7</v>
      </c>
      <c r="K1228" s="1" t="s">
        <v>4600</v>
      </c>
      <c r="L1228" s="11" t="str">
        <f t="shared" si="1242"/>
        <v>НЕТ</v>
      </c>
      <c r="M1228" s="10" t="s">
        <v>1575</v>
      </c>
      <c r="N1228" s="10" t="s">
        <v>1575</v>
      </c>
      <c r="O1228" s="10">
        <v>0.104</v>
      </c>
      <c r="P1228" s="10">
        <f t="shared" si="1353"/>
        <v>0.104</v>
      </c>
      <c r="Q1228" s="10">
        <f t="shared" si="1354"/>
        <v>0.107</v>
      </c>
      <c r="R1228" s="10" t="s">
        <v>1575</v>
      </c>
      <c r="S1228" s="10" t="s">
        <v>1575</v>
      </c>
      <c r="T1228" s="10" t="s">
        <v>1575</v>
      </c>
      <c r="U1228" s="10" t="s">
        <v>1575</v>
      </c>
      <c r="V1228" s="10">
        <v>1.6E-2</v>
      </c>
      <c r="W1228" s="10">
        <f>0.003</f>
        <v>3.0000000000000001E-3</v>
      </c>
      <c r="X1228" s="10">
        <f t="shared" si="1113"/>
        <v>1.9E-2</v>
      </c>
      <c r="Y1228" s="10" t="str">
        <f t="shared" si="1114"/>
        <v>NA</v>
      </c>
      <c r="Z1228" s="10" t="str">
        <f t="shared" si="1115"/>
        <v>NA</v>
      </c>
      <c r="AA1228" s="10">
        <f t="shared" si="1116"/>
        <v>6.5</v>
      </c>
      <c r="AB1228" s="10" t="str">
        <f t="shared" si="1117"/>
        <v>NA</v>
      </c>
      <c r="AC1228" s="10" t="str">
        <f t="shared" si="1118"/>
        <v>NA</v>
      </c>
      <c r="AD1228" s="10" t="str">
        <f t="shared" si="1119"/>
        <v>NA</v>
      </c>
      <c r="AE1228" s="10">
        <f t="shared" si="1120"/>
        <v>5.6315789473684212</v>
      </c>
      <c r="AF1228" s="1" t="s">
        <v>4620</v>
      </c>
    </row>
    <row r="1229" spans="1:32" x14ac:dyDescent="0.2">
      <c r="A1229" s="1" t="s">
        <v>1403</v>
      </c>
      <c r="B1229" s="1" t="s">
        <v>5</v>
      </c>
      <c r="C1229" s="1" t="s">
        <v>4598</v>
      </c>
      <c r="D1229" s="1" t="s">
        <v>2160</v>
      </c>
      <c r="E1229" s="1" t="s">
        <v>2882</v>
      </c>
      <c r="F1229" s="1" t="s">
        <v>1404</v>
      </c>
      <c r="G1229" s="4">
        <v>0.12529999999999999</v>
      </c>
      <c r="H1229" s="28">
        <v>42825</v>
      </c>
      <c r="I1229" s="29">
        <f t="shared" ref="I1229" si="1385">YEAR(H1229)</f>
        <v>2017</v>
      </c>
      <c r="J1229" s="1" t="s">
        <v>4600</v>
      </c>
      <c r="K1229" s="1" t="s">
        <v>7</v>
      </c>
      <c r="L1229" s="11" t="str">
        <f t="shared" ref="L1229" si="1386">IF(OR(A1229=J1229,A1229=K1229),"ДА","НЕТ")</f>
        <v>НЕТ</v>
      </c>
      <c r="M1229" s="10" t="s">
        <v>1575</v>
      </c>
      <c r="N1229" s="10" t="s">
        <v>1575</v>
      </c>
      <c r="O1229" s="10">
        <v>0.188</v>
      </c>
      <c r="P1229" s="10">
        <f t="shared" si="1353"/>
        <v>1.5003990422984836</v>
      </c>
      <c r="Q1229" s="10" t="str">
        <f t="shared" si="1354"/>
        <v>NA</v>
      </c>
      <c r="R1229" s="10">
        <v>1.917</v>
      </c>
      <c r="S1229" s="10" t="s">
        <v>1575</v>
      </c>
      <c r="T1229" s="10" t="s">
        <v>1575</v>
      </c>
      <c r="U1229" s="10">
        <v>-6.5000000000000002E-2</v>
      </c>
      <c r="V1229" s="10">
        <v>0.80200000000000005</v>
      </c>
      <c r="W1229" s="10" t="s">
        <v>1575</v>
      </c>
      <c r="X1229" s="10" t="str">
        <f t="shared" ref="X1229" si="1387">IFERROR(V1229+W1229,"NA")</f>
        <v>NA</v>
      </c>
      <c r="Y1229" s="10">
        <f t="shared" ref="Y1229" si="1388">IFERROR(P1229/R1229,"NA")</f>
        <v>0.7826807732386456</v>
      </c>
      <c r="Z1229" s="10">
        <f t="shared" ref="Z1229" si="1389">IFERROR(P1229/U1229,"NA")</f>
        <v>-23.083062189207439</v>
      </c>
      <c r="AA1229" s="10">
        <f t="shared" ref="AA1229" si="1390">IFERROR(P1229/V1229,"NA")</f>
        <v>1.8708217485018499</v>
      </c>
      <c r="AB1229" s="10" t="str">
        <f t="shared" ref="AB1229" si="1391">IFERROR(Q1229/R1229,"NA")</f>
        <v>NA</v>
      </c>
      <c r="AC1229" s="10" t="str">
        <f t="shared" ref="AC1229" si="1392">IFERROR(Q1229/S1229,"NA")</f>
        <v>NA</v>
      </c>
      <c r="AD1229" s="10" t="str">
        <f t="shared" ref="AD1229" si="1393">IFERROR(Q1229/T1229,"NA")</f>
        <v>NA</v>
      </c>
      <c r="AE1229" s="10" t="str">
        <f t="shared" ref="AE1229" si="1394">IFERROR(Q1229/X1229,"NA")</f>
        <v>NA</v>
      </c>
      <c r="AF1229" s="1" t="s">
        <v>4624</v>
      </c>
    </row>
    <row r="1230" spans="1:32" x14ac:dyDescent="0.2">
      <c r="A1230" s="1" t="s">
        <v>4600</v>
      </c>
      <c r="B1230" s="1" t="s">
        <v>5</v>
      </c>
      <c r="C1230" s="1" t="s">
        <v>2254</v>
      </c>
      <c r="D1230" s="1" t="s">
        <v>1600</v>
      </c>
      <c r="E1230" s="1" t="s">
        <v>2048</v>
      </c>
      <c r="F1230" s="1" t="s">
        <v>235</v>
      </c>
      <c r="G1230" s="4">
        <f>3280819/472382880</f>
        <v>6.9452538161416857E-3</v>
      </c>
      <c r="H1230" s="28">
        <v>42643</v>
      </c>
      <c r="I1230" s="29">
        <f t="shared" si="1141"/>
        <v>2016</v>
      </c>
      <c r="J1230" s="1" t="s">
        <v>7</v>
      </c>
      <c r="K1230" s="1" t="s">
        <v>4600</v>
      </c>
      <c r="L1230" s="11" t="str">
        <f t="shared" si="1242"/>
        <v>ДА</v>
      </c>
      <c r="M1230" s="10" t="s">
        <v>1575</v>
      </c>
      <c r="N1230" s="10" t="s">
        <v>1575</v>
      </c>
      <c r="O1230" s="10">
        <v>0.45300000000000001</v>
      </c>
      <c r="P1230" s="10">
        <f t="shared" si="1353"/>
        <v>65.224398127418795</v>
      </c>
      <c r="Q1230" s="10">
        <f t="shared" si="1354"/>
        <v>145.24539812741881</v>
      </c>
      <c r="R1230" s="10">
        <v>148.36699999999999</v>
      </c>
      <c r="S1230" s="10">
        <v>28.894000000000002</v>
      </c>
      <c r="T1230" s="10">
        <v>21.396000000000001</v>
      </c>
      <c r="U1230" s="10">
        <v>6.0410000000000004</v>
      </c>
      <c r="V1230" s="10">
        <v>8.2959999999999994</v>
      </c>
      <c r="W1230" s="10">
        <v>80.021000000000001</v>
      </c>
      <c r="X1230" s="10">
        <f t="shared" si="1113"/>
        <v>88.317000000000007</v>
      </c>
      <c r="Y1230" s="10">
        <f t="shared" si="1114"/>
        <v>0.43961526570880854</v>
      </c>
      <c r="Z1230" s="10">
        <f t="shared" si="1115"/>
        <v>10.796953836685779</v>
      </c>
      <c r="AA1230" s="10">
        <f t="shared" si="1116"/>
        <v>7.8621502082230954</v>
      </c>
      <c r="AB1230" s="10">
        <f t="shared" si="1117"/>
        <v>0.9789602683037254</v>
      </c>
      <c r="AC1230" s="10">
        <f t="shared" si="1118"/>
        <v>5.0268359565106531</v>
      </c>
      <c r="AD1230" s="10">
        <f t="shared" si="1119"/>
        <v>6.7884370035249022</v>
      </c>
      <c r="AE1230" s="10">
        <f t="shared" si="1120"/>
        <v>1.6445916202703761</v>
      </c>
      <c r="AF1230" s="1" t="s">
        <v>4623</v>
      </c>
    </row>
    <row r="1231" spans="1:32" x14ac:dyDescent="0.2">
      <c r="A1231" s="1" t="s">
        <v>5881</v>
      </c>
      <c r="B1231" s="1" t="s">
        <v>5</v>
      </c>
      <c r="C1231" s="1" t="s">
        <v>1575</v>
      </c>
      <c r="D1231" s="1" t="s">
        <v>1597</v>
      </c>
      <c r="E1231" s="1" t="s">
        <v>1598</v>
      </c>
      <c r="F1231" s="1" t="s">
        <v>149</v>
      </c>
      <c r="G1231" s="4">
        <v>1</v>
      </c>
      <c r="H1231" s="28">
        <v>42735</v>
      </c>
      <c r="I1231" s="29">
        <f t="shared" si="1141"/>
        <v>2016</v>
      </c>
      <c r="J1231" s="1" t="s">
        <v>7</v>
      </c>
      <c r="K1231" s="1" t="s">
        <v>4600</v>
      </c>
      <c r="L1231" s="11" t="str">
        <f t="shared" si="1242"/>
        <v>НЕТ</v>
      </c>
      <c r="M1231" s="10" t="s">
        <v>1575</v>
      </c>
      <c r="N1231" s="10" t="s">
        <v>1575</v>
      </c>
      <c r="O1231" s="10">
        <v>0.20599999999999999</v>
      </c>
      <c r="P1231" s="10">
        <f t="shared" si="1353"/>
        <v>0.20599999999999999</v>
      </c>
      <c r="Q1231" s="10">
        <f t="shared" si="1354"/>
        <v>0.28399999999999997</v>
      </c>
      <c r="R1231" s="10" t="s">
        <v>1575</v>
      </c>
      <c r="S1231" s="10" t="s">
        <v>1575</v>
      </c>
      <c r="T1231" s="10" t="s">
        <v>1575</v>
      </c>
      <c r="U1231" s="10" t="s">
        <v>1575</v>
      </c>
      <c r="V1231" s="10">
        <v>0.32700000000000001</v>
      </c>
      <c r="W1231" s="10">
        <f>0.082-0.004</f>
        <v>7.8E-2</v>
      </c>
      <c r="X1231" s="10">
        <f t="shared" si="1113"/>
        <v>0.40500000000000003</v>
      </c>
      <c r="Y1231" s="10" t="str">
        <f t="shared" si="1114"/>
        <v>NA</v>
      </c>
      <c r="Z1231" s="10" t="str">
        <f t="shared" si="1115"/>
        <v>NA</v>
      </c>
      <c r="AA1231" s="10">
        <f t="shared" si="1116"/>
        <v>0.62996941896024461</v>
      </c>
      <c r="AB1231" s="10" t="str">
        <f t="shared" si="1117"/>
        <v>NA</v>
      </c>
      <c r="AC1231" s="10" t="str">
        <f t="shared" si="1118"/>
        <v>NA</v>
      </c>
      <c r="AD1231" s="10" t="str">
        <f t="shared" si="1119"/>
        <v>NA</v>
      </c>
      <c r="AE1231" s="10">
        <f t="shared" si="1120"/>
        <v>0.70123456790123451</v>
      </c>
      <c r="AF1231" s="1" t="s">
        <v>1410</v>
      </c>
    </row>
    <row r="1232" spans="1:32" x14ac:dyDescent="0.2">
      <c r="A1232" s="1" t="s">
        <v>4600</v>
      </c>
      <c r="B1232" s="1" t="s">
        <v>5</v>
      </c>
      <c r="C1232" s="1" t="s">
        <v>2254</v>
      </c>
      <c r="D1232" s="1" t="s">
        <v>1600</v>
      </c>
      <c r="E1232" s="1" t="s">
        <v>2048</v>
      </c>
      <c r="F1232" s="1" t="s">
        <v>235</v>
      </c>
      <c r="G1232" s="4">
        <f>6695218/472382880</f>
        <v>1.4173286720297738E-2</v>
      </c>
      <c r="H1232" s="28">
        <v>42277</v>
      </c>
      <c r="I1232" s="29">
        <f t="shared" si="1141"/>
        <v>2015</v>
      </c>
      <c r="J1232" s="1" t="s">
        <v>7</v>
      </c>
      <c r="K1232" s="1" t="s">
        <v>4600</v>
      </c>
      <c r="L1232" s="11" t="str">
        <f t="shared" si="1242"/>
        <v>ДА</v>
      </c>
      <c r="M1232" s="10" t="s">
        <v>1575</v>
      </c>
      <c r="N1232" s="10" t="s">
        <v>1575</v>
      </c>
      <c r="O1232" s="10">
        <v>0.30609700000000001</v>
      </c>
      <c r="P1232" s="10">
        <f t="shared" si="1353"/>
        <v>21.596754940520235</v>
      </c>
      <c r="Q1232" s="10">
        <f t="shared" si="1354"/>
        <v>109.96275494052023</v>
      </c>
      <c r="R1232" s="10">
        <v>128.12299999999999</v>
      </c>
      <c r="S1232" s="10">
        <v>22.737000000000002</v>
      </c>
      <c r="T1232" s="10">
        <v>15.375</v>
      </c>
      <c r="U1232" s="10">
        <v>-1.216</v>
      </c>
      <c r="V1232" s="10">
        <v>-2.5420000000000016</v>
      </c>
      <c r="W1232" s="10">
        <v>88.365999999999985</v>
      </c>
      <c r="X1232" s="10">
        <f t="shared" si="1113"/>
        <v>85.823999999999984</v>
      </c>
      <c r="Y1232" s="10">
        <f t="shared" si="1114"/>
        <v>0.1685626697823204</v>
      </c>
      <c r="Z1232" s="10">
        <f t="shared" si="1115"/>
        <v>-17.760489260296247</v>
      </c>
      <c r="AA1232" s="10">
        <f t="shared" si="1116"/>
        <v>-8.4959696854918256</v>
      </c>
      <c r="AB1232" s="10">
        <f t="shared" si="1117"/>
        <v>0.85825928943687113</v>
      </c>
      <c r="AC1232" s="10">
        <f t="shared" si="1118"/>
        <v>4.8362912847130328</v>
      </c>
      <c r="AD1232" s="10">
        <f t="shared" si="1119"/>
        <v>7.1520491018224535</v>
      </c>
      <c r="AE1232" s="10">
        <f t="shared" si="1120"/>
        <v>1.2812587963800364</v>
      </c>
      <c r="AF1232" s="1" t="s">
        <v>4625</v>
      </c>
    </row>
    <row r="1233" spans="1:32" x14ac:dyDescent="0.2">
      <c r="A1233" s="1" t="s">
        <v>4600</v>
      </c>
      <c r="B1233" s="1" t="s">
        <v>5</v>
      </c>
      <c r="C1233" s="1" t="s">
        <v>2254</v>
      </c>
      <c r="D1233" s="1" t="s">
        <v>1600</v>
      </c>
      <c r="E1233" s="1" t="s">
        <v>2048</v>
      </c>
      <c r="F1233" s="1" t="s">
        <v>235</v>
      </c>
      <c r="G1233" s="4">
        <f>750952/472382880</f>
        <v>1.5897104484396216E-3</v>
      </c>
      <c r="H1233" s="28">
        <v>42124</v>
      </c>
      <c r="I1233" s="29">
        <f t="shared" si="1141"/>
        <v>2015</v>
      </c>
      <c r="J1233" s="1" t="s">
        <v>4600</v>
      </c>
      <c r="K1233" s="1" t="s">
        <v>7</v>
      </c>
      <c r="L1233" s="11" t="str">
        <f t="shared" si="1242"/>
        <v>ДА</v>
      </c>
      <c r="M1233" s="10" t="s">
        <v>1575</v>
      </c>
      <c r="N1233" s="10" t="s">
        <v>1575</v>
      </c>
      <c r="O1233" s="10">
        <v>3.3778000000000002E-2</v>
      </c>
      <c r="P1233" s="10">
        <f t="shared" si="1353"/>
        <v>21.24789456668336</v>
      </c>
      <c r="Q1233" s="10">
        <f t="shared" si="1354"/>
        <v>109.61389456668334</v>
      </c>
      <c r="R1233" s="10">
        <v>128.12299999999999</v>
      </c>
      <c r="S1233" s="10">
        <v>22.737000000000002</v>
      </c>
      <c r="T1233" s="10">
        <v>15.375</v>
      </c>
      <c r="U1233" s="10">
        <v>-1.216</v>
      </c>
      <c r="V1233" s="10">
        <v>-2.5420000000000016</v>
      </c>
      <c r="W1233" s="10">
        <v>88.365999999999985</v>
      </c>
      <c r="X1233" s="10">
        <f t="shared" si="1113"/>
        <v>85.823999999999984</v>
      </c>
      <c r="Y1233" s="10">
        <f t="shared" si="1114"/>
        <v>0.16583981460536643</v>
      </c>
      <c r="Z1233" s="10">
        <f t="shared" si="1115"/>
        <v>-17.473597505496183</v>
      </c>
      <c r="AA1233" s="10">
        <f t="shared" si="1116"/>
        <v>-8.3587311434631584</v>
      </c>
      <c r="AB1233" s="10">
        <f t="shared" si="1117"/>
        <v>0.85553643425991699</v>
      </c>
      <c r="AC1233" s="10">
        <f t="shared" si="1118"/>
        <v>4.8209479951921246</v>
      </c>
      <c r="AD1233" s="10">
        <f t="shared" si="1119"/>
        <v>7.1293589962070465</v>
      </c>
      <c r="AE1233" s="10">
        <f t="shared" si="1120"/>
        <v>1.2771939616736969</v>
      </c>
      <c r="AF1233" s="1" t="s">
        <v>4626</v>
      </c>
    </row>
    <row r="1234" spans="1:32" x14ac:dyDescent="0.2">
      <c r="A1234" s="1" t="s">
        <v>4600</v>
      </c>
      <c r="B1234" s="1" t="s">
        <v>5</v>
      </c>
      <c r="C1234" s="1" t="s">
        <v>2254</v>
      </c>
      <c r="D1234" s="1" t="s">
        <v>1600</v>
      </c>
      <c r="E1234" s="1" t="s">
        <v>2048</v>
      </c>
      <c r="F1234" s="1" t="s">
        <v>235</v>
      </c>
      <c r="G1234" s="4">
        <f>1098151/472382880</f>
        <v>2.3247053322508217E-3</v>
      </c>
      <c r="H1234" s="28">
        <v>41790</v>
      </c>
      <c r="I1234" s="29">
        <f t="shared" ref="I1234" si="1395">YEAR(H1234)</f>
        <v>2014</v>
      </c>
      <c r="J1234" s="1" t="s">
        <v>4600</v>
      </c>
      <c r="K1234" s="1" t="s">
        <v>7</v>
      </c>
      <c r="L1234" s="11" t="str">
        <f t="shared" ref="L1234" si="1396">IF(OR(A1234=J1234,A1234=K1234),"ДА","НЕТ")</f>
        <v>ДА</v>
      </c>
      <c r="M1234" s="10" t="s">
        <v>1575</v>
      </c>
      <c r="N1234" s="10" t="s">
        <v>1575</v>
      </c>
      <c r="O1234" s="10">
        <v>4.9625000000000002E-2</v>
      </c>
      <c r="P1234" s="10">
        <f t="shared" si="1353"/>
        <v>21.346791488602204</v>
      </c>
      <c r="Q1234" s="10">
        <f t="shared" si="1354"/>
        <v>119.89079148860219</v>
      </c>
      <c r="R1234" s="10">
        <v>112.428</v>
      </c>
      <c r="S1234" s="10">
        <v>18.086000000000002</v>
      </c>
      <c r="T1234" s="10">
        <v>10.905000000000001</v>
      </c>
      <c r="U1234" s="10">
        <v>-1.8680000000000001</v>
      </c>
      <c r="V1234" s="10">
        <v>-10.816000000000001</v>
      </c>
      <c r="W1234" s="10">
        <v>98.543999999999983</v>
      </c>
      <c r="X1234" s="10">
        <f t="shared" ref="X1234" si="1397">IFERROR(V1234+W1234,"NA")</f>
        <v>87.72799999999998</v>
      </c>
      <c r="Y1234" s="10">
        <f t="shared" ref="Y1234" si="1398">IFERROR(P1234/R1234,"NA")</f>
        <v>0.18987077497244639</v>
      </c>
      <c r="Z1234" s="10">
        <f t="shared" ref="Z1234" si="1399">IFERROR(P1234/U1234,"NA")</f>
        <v>-11.427618569915525</v>
      </c>
      <c r="AA1234" s="10">
        <f t="shared" ref="AA1234" si="1400">IFERROR(P1234/V1234,"NA")</f>
        <v>-1.9736308698781622</v>
      </c>
      <c r="AB1234" s="10">
        <f t="shared" ref="AB1234" si="1401">IFERROR(Q1234/R1234,"NA")</f>
        <v>1.0663784065233055</v>
      </c>
      <c r="AC1234" s="10">
        <f t="shared" ref="AC1234" si="1402">IFERROR(Q1234/S1234,"NA")</f>
        <v>6.628927982340052</v>
      </c>
      <c r="AD1234" s="10">
        <f t="shared" ref="AD1234" si="1403">IFERROR(Q1234/T1234,"NA")</f>
        <v>10.994112011792955</v>
      </c>
      <c r="AE1234" s="10">
        <f t="shared" ref="AE1234" si="1404">IFERROR(Q1234/X1234,"NA")</f>
        <v>1.3666194543201966</v>
      </c>
      <c r="AF1234" s="1" t="s">
        <v>4629</v>
      </c>
    </row>
    <row r="1235" spans="1:32" x14ac:dyDescent="0.2">
      <c r="A1235" s="1" t="s">
        <v>4600</v>
      </c>
      <c r="B1235" s="1" t="s">
        <v>5</v>
      </c>
      <c r="C1235" s="1" t="s">
        <v>2254</v>
      </c>
      <c r="D1235" s="1" t="s">
        <v>1600</v>
      </c>
      <c r="E1235" s="1" t="s">
        <v>2048</v>
      </c>
      <c r="F1235" s="1" t="s">
        <v>235</v>
      </c>
      <c r="G1235" s="4">
        <f>5545470/472382880</f>
        <v>1.1739354313602559E-2</v>
      </c>
      <c r="H1235" s="28">
        <v>41364</v>
      </c>
      <c r="I1235" s="29">
        <f t="shared" ref="I1235" si="1405">YEAR(H1235)</f>
        <v>2013</v>
      </c>
      <c r="J1235" s="1" t="s">
        <v>4600</v>
      </c>
      <c r="K1235" s="1" t="s">
        <v>7</v>
      </c>
      <c r="L1235" s="11" t="str">
        <f t="shared" ref="L1235" si="1406">IF(OR(A1235=J1235,A1235=K1235),"ДА","НЕТ")</f>
        <v>ДА</v>
      </c>
      <c r="M1235" s="10" t="s">
        <v>1575</v>
      </c>
      <c r="N1235" s="10" t="s">
        <v>1575</v>
      </c>
      <c r="O1235" s="10">
        <v>0.24899199999999999</v>
      </c>
      <c r="P1235" s="10">
        <f t="shared" si="1353"/>
        <v>21.210025129873571</v>
      </c>
      <c r="Q1235" s="10">
        <f t="shared" si="1354"/>
        <v>119.11202512987357</v>
      </c>
      <c r="R1235" s="10">
        <v>116.88200000000001</v>
      </c>
      <c r="S1235" s="10">
        <v>19.701000000000001</v>
      </c>
      <c r="T1235" s="10">
        <v>12.939</v>
      </c>
      <c r="U1235" s="10">
        <v>1.133</v>
      </c>
      <c r="V1235" s="10">
        <v>-8.8219999999999992</v>
      </c>
      <c r="W1235" s="10">
        <v>97.902000000000001</v>
      </c>
      <c r="X1235" s="10">
        <f t="shared" ref="X1235" si="1407">IFERROR(V1235+W1235,"NA")</f>
        <v>89.08</v>
      </c>
      <c r="Y1235" s="10">
        <f t="shared" ref="Y1235" si="1408">IFERROR(P1235/R1235,"NA")</f>
        <v>0.18146528233494952</v>
      </c>
      <c r="Z1235" s="10">
        <f t="shared" ref="Z1235" si="1409">IFERROR(P1235/U1235,"NA")</f>
        <v>18.720234006949312</v>
      </c>
      <c r="AA1235" s="10">
        <f t="shared" ref="AA1235" si="1410">IFERROR(P1235/V1235,"NA")</f>
        <v>-2.4042195794461088</v>
      </c>
      <c r="AB1235" s="10">
        <f t="shared" ref="AB1235" si="1411">IFERROR(Q1235/R1235,"NA")</f>
        <v>1.0190792862020976</v>
      </c>
      <c r="AC1235" s="10">
        <f t="shared" ref="AC1235" si="1412">IFERROR(Q1235/S1235,"NA")</f>
        <v>6.0459887888875476</v>
      </c>
      <c r="AD1235" s="10">
        <f t="shared" ref="AD1235" si="1413">IFERROR(Q1235/T1235,"NA")</f>
        <v>9.2056592572744087</v>
      </c>
      <c r="AE1235" s="10">
        <f t="shared" ref="AE1235" si="1414">IFERROR(Q1235/X1235,"NA")</f>
        <v>1.3371354415118273</v>
      </c>
      <c r="AF1235" s="1" t="s">
        <v>4632</v>
      </c>
    </row>
    <row r="1236" spans="1:32" x14ac:dyDescent="0.2">
      <c r="A1236" s="1" t="s">
        <v>144</v>
      </c>
      <c r="B1236" s="1" t="s">
        <v>5</v>
      </c>
      <c r="C1236" s="1" t="s">
        <v>1575</v>
      </c>
      <c r="D1236" s="1" t="s">
        <v>1597</v>
      </c>
      <c r="E1236" s="1" t="s">
        <v>1598</v>
      </c>
      <c r="F1236" s="1" t="s">
        <v>149</v>
      </c>
      <c r="G1236" s="4">
        <v>1</v>
      </c>
      <c r="H1236" s="28">
        <v>41364</v>
      </c>
      <c r="I1236" s="29">
        <f t="shared" si="1141"/>
        <v>2013</v>
      </c>
      <c r="J1236" s="1" t="s">
        <v>7</v>
      </c>
      <c r="K1236" s="1" t="s">
        <v>4600</v>
      </c>
      <c r="L1236" s="11" t="str">
        <f t="shared" si="1242"/>
        <v>НЕТ</v>
      </c>
      <c r="M1236" s="10" t="s">
        <v>1575</v>
      </c>
      <c r="N1236" s="10" t="s">
        <v>1575</v>
      </c>
      <c r="O1236" s="10">
        <v>0.13150000000000001</v>
      </c>
      <c r="P1236" s="10">
        <f t="shared" si="1353"/>
        <v>0.13150000000000001</v>
      </c>
      <c r="Q1236" s="10">
        <f t="shared" si="1354"/>
        <v>0.12997500000000001</v>
      </c>
      <c r="R1236" s="10" t="s">
        <v>1575</v>
      </c>
      <c r="S1236" s="10" t="s">
        <v>1575</v>
      </c>
      <c r="T1236" s="10" t="s">
        <v>1575</v>
      </c>
      <c r="U1236" s="10" t="s">
        <v>1575</v>
      </c>
      <c r="V1236" s="10">
        <v>9.4767000000000004E-2</v>
      </c>
      <c r="W1236" s="10">
        <v>-1.5250000000000001E-3</v>
      </c>
      <c r="X1236" s="10">
        <f t="shared" si="1113"/>
        <v>9.3242000000000005E-2</v>
      </c>
      <c r="Y1236" s="10" t="str">
        <f t="shared" si="1114"/>
        <v>NA</v>
      </c>
      <c r="Z1236" s="10" t="str">
        <f t="shared" si="1115"/>
        <v>NA</v>
      </c>
      <c r="AA1236" s="10">
        <f t="shared" si="1116"/>
        <v>1.3876138318190931</v>
      </c>
      <c r="AB1236" s="10" t="str">
        <f t="shared" si="1117"/>
        <v>NA</v>
      </c>
      <c r="AC1236" s="10" t="str">
        <f t="shared" si="1118"/>
        <v>NA</v>
      </c>
      <c r="AD1236" s="10" t="str">
        <f t="shared" si="1119"/>
        <v>NA</v>
      </c>
      <c r="AE1236" s="10">
        <f t="shared" si="1120"/>
        <v>1.393953368653611</v>
      </c>
      <c r="AF1236" s="1" t="s">
        <v>4627</v>
      </c>
    </row>
    <row r="1237" spans="1:32" x14ac:dyDescent="0.2">
      <c r="A1237" s="1" t="s">
        <v>146</v>
      </c>
      <c r="B1237" s="1" t="s">
        <v>5</v>
      </c>
      <c r="C1237" s="1" t="s">
        <v>1575</v>
      </c>
      <c r="D1237" s="1" t="s">
        <v>1597</v>
      </c>
      <c r="E1237" s="1" t="s">
        <v>1598</v>
      </c>
      <c r="F1237" s="1" t="s">
        <v>149</v>
      </c>
      <c r="G1237" s="4">
        <v>1</v>
      </c>
      <c r="H1237" s="28">
        <v>41639</v>
      </c>
      <c r="I1237" s="29">
        <f t="shared" si="1141"/>
        <v>2013</v>
      </c>
      <c r="J1237" s="1" t="s">
        <v>7</v>
      </c>
      <c r="K1237" s="1" t="s">
        <v>4600</v>
      </c>
      <c r="L1237" s="11" t="str">
        <f t="shared" si="1242"/>
        <v>НЕТ</v>
      </c>
      <c r="M1237" s="10" t="s">
        <v>1575</v>
      </c>
      <c r="N1237" s="10" t="s">
        <v>1575</v>
      </c>
      <c r="O1237" s="10">
        <v>2.0000000000000002E-5</v>
      </c>
      <c r="P1237" s="10">
        <f t="shared" si="1353"/>
        <v>2.0000000000000002E-5</v>
      </c>
      <c r="Q1237" s="10">
        <f t="shared" si="1354"/>
        <v>0.99569200000000002</v>
      </c>
      <c r="R1237" s="10" t="s">
        <v>1575</v>
      </c>
      <c r="S1237" s="10" t="s">
        <v>1575</v>
      </c>
      <c r="T1237" s="10" t="s">
        <v>1575</v>
      </c>
      <c r="U1237" s="10" t="s">
        <v>1575</v>
      </c>
      <c r="V1237" s="10">
        <v>-1.216194</v>
      </c>
      <c r="W1237" s="10">
        <f>0.998586-0.002914</f>
        <v>0.995672</v>
      </c>
      <c r="X1237" s="10">
        <f t="shared" si="1113"/>
        <v>-0.220522</v>
      </c>
      <c r="Y1237" s="10" t="str">
        <f t="shared" si="1114"/>
        <v>NA</v>
      </c>
      <c r="Z1237" s="10" t="str">
        <f t="shared" si="1115"/>
        <v>NA</v>
      </c>
      <c r="AA1237" s="10">
        <f t="shared" si="1116"/>
        <v>-1.6444744835116768E-5</v>
      </c>
      <c r="AB1237" s="10" t="str">
        <f t="shared" si="1117"/>
        <v>NA</v>
      </c>
      <c r="AC1237" s="10" t="str">
        <f t="shared" si="1118"/>
        <v>NA</v>
      </c>
      <c r="AD1237" s="10" t="str">
        <f t="shared" si="1119"/>
        <v>NA</v>
      </c>
      <c r="AE1237" s="10">
        <f t="shared" si="1120"/>
        <v>-4.515159485221429</v>
      </c>
      <c r="AF1237" s="1" t="s">
        <v>4628</v>
      </c>
    </row>
    <row r="1238" spans="1:32" x14ac:dyDescent="0.2">
      <c r="A1238" s="1" t="s">
        <v>147</v>
      </c>
      <c r="B1238" s="1" t="s">
        <v>5</v>
      </c>
      <c r="C1238" s="1" t="s">
        <v>1575</v>
      </c>
      <c r="D1238" s="1" t="s">
        <v>1597</v>
      </c>
      <c r="E1238" s="1" t="s">
        <v>1598</v>
      </c>
      <c r="F1238" s="1" t="s">
        <v>149</v>
      </c>
      <c r="G1238" s="4">
        <v>1</v>
      </c>
      <c r="H1238" s="28">
        <v>41090</v>
      </c>
      <c r="I1238" s="29">
        <f t="shared" si="1141"/>
        <v>2012</v>
      </c>
      <c r="J1238" s="1" t="s">
        <v>7</v>
      </c>
      <c r="K1238" s="1" t="s">
        <v>4600</v>
      </c>
      <c r="L1238" s="11" t="str">
        <f t="shared" si="1242"/>
        <v>НЕТ</v>
      </c>
      <c r="M1238" s="10" t="s">
        <v>1575</v>
      </c>
      <c r="N1238" s="10" t="s">
        <v>1575</v>
      </c>
      <c r="O1238" s="10">
        <v>1.0000000000000001E-5</v>
      </c>
      <c r="P1238" s="10">
        <f t="shared" si="1353"/>
        <v>1.0000000000000001E-5</v>
      </c>
      <c r="Q1238" s="10">
        <f t="shared" si="1354"/>
        <v>-3.7984999999999998E-2</v>
      </c>
      <c r="R1238" s="10" t="s">
        <v>1575</v>
      </c>
      <c r="S1238" s="10" t="s">
        <v>1575</v>
      </c>
      <c r="T1238" s="10" t="s">
        <v>1575</v>
      </c>
      <c r="U1238" s="10" t="s">
        <v>1575</v>
      </c>
      <c r="V1238" s="10">
        <v>-3.5209999999999998E-3</v>
      </c>
      <c r="W1238" s="10">
        <f>0.032815-0.002527-0.068283</f>
        <v>-3.7995000000000001E-2</v>
      </c>
      <c r="X1238" s="10">
        <f t="shared" si="1113"/>
        <v>-4.1515999999999997E-2</v>
      </c>
      <c r="Y1238" s="10" t="str">
        <f t="shared" si="1114"/>
        <v>NA</v>
      </c>
      <c r="Z1238" s="10" t="str">
        <f t="shared" si="1115"/>
        <v>NA</v>
      </c>
      <c r="AA1238" s="10">
        <f t="shared" si="1116"/>
        <v>-2.8401022436807728E-3</v>
      </c>
      <c r="AB1238" s="10" t="str">
        <f t="shared" si="1117"/>
        <v>NA</v>
      </c>
      <c r="AC1238" s="10" t="str">
        <f t="shared" si="1118"/>
        <v>NA</v>
      </c>
      <c r="AD1238" s="10" t="str">
        <f t="shared" si="1119"/>
        <v>NA</v>
      </c>
      <c r="AE1238" s="10">
        <f t="shared" si="1120"/>
        <v>0.91494845360824739</v>
      </c>
      <c r="AF1238" s="1" t="s">
        <v>4630</v>
      </c>
    </row>
    <row r="1239" spans="1:32" x14ac:dyDescent="0.2">
      <c r="A1239" s="1" t="s">
        <v>4600</v>
      </c>
      <c r="B1239" s="1" t="s">
        <v>5</v>
      </c>
      <c r="C1239" s="1" t="s">
        <v>2254</v>
      </c>
      <c r="D1239" s="1" t="s">
        <v>1600</v>
      </c>
      <c r="E1239" s="1" t="s">
        <v>2048</v>
      </c>
      <c r="F1239" s="1" t="s">
        <v>235</v>
      </c>
      <c r="G1239" s="4">
        <f>15263051/472382880</f>
        <v>3.2310762405275993E-2</v>
      </c>
      <c r="H1239" s="28">
        <v>40908</v>
      </c>
      <c r="I1239" s="29">
        <f t="shared" si="1141"/>
        <v>2011</v>
      </c>
      <c r="J1239" s="1" t="s">
        <v>4600</v>
      </c>
      <c r="K1239" s="1" t="s">
        <v>7</v>
      </c>
      <c r="L1239" s="11" t="str">
        <f t="shared" si="1242"/>
        <v>ДА</v>
      </c>
      <c r="M1239" s="10" t="s">
        <v>1575</v>
      </c>
      <c r="N1239" s="10" t="s">
        <v>1575</v>
      </c>
      <c r="O1239" s="10">
        <v>1.8596189999999999</v>
      </c>
      <c r="P1239" s="10">
        <f t="shared" si="1353"/>
        <v>57.554166524289272</v>
      </c>
      <c r="Q1239" s="10">
        <f t="shared" si="1354"/>
        <v>165.48916652428926</v>
      </c>
      <c r="R1239" s="10">
        <v>113.971</v>
      </c>
      <c r="S1239" s="10">
        <v>16.663</v>
      </c>
      <c r="T1239" s="10">
        <v>10.895</v>
      </c>
      <c r="U1239" s="10">
        <v>0.46899999999999997</v>
      </c>
      <c r="V1239" s="10">
        <v>-9.7380000000000031</v>
      </c>
      <c r="W1239" s="10">
        <v>107.935</v>
      </c>
      <c r="X1239" s="10">
        <f t="shared" si="1113"/>
        <v>98.197000000000003</v>
      </c>
      <c r="Y1239" s="10">
        <f t="shared" si="1114"/>
        <v>0.50498957212176143</v>
      </c>
      <c r="Z1239" s="10">
        <f t="shared" si="1115"/>
        <v>122.71677297289824</v>
      </c>
      <c r="AA1239" s="10">
        <f t="shared" si="1116"/>
        <v>-5.9102656114488861</v>
      </c>
      <c r="AB1239" s="10">
        <f t="shared" si="1117"/>
        <v>1.4520287312060898</v>
      </c>
      <c r="AC1239" s="10">
        <f t="shared" si="1118"/>
        <v>9.9315349291417672</v>
      </c>
      <c r="AD1239" s="10">
        <f t="shared" si="1119"/>
        <v>15.189459983872352</v>
      </c>
      <c r="AE1239" s="10">
        <f t="shared" si="1120"/>
        <v>1.6852772134005036</v>
      </c>
      <c r="AF1239" s="1" t="s">
        <v>4639</v>
      </c>
    </row>
    <row r="1240" spans="1:32" x14ac:dyDescent="0.2">
      <c r="A1240" s="1" t="s">
        <v>4600</v>
      </c>
      <c r="B1240" s="1" t="s">
        <v>5</v>
      </c>
      <c r="C1240" s="1" t="s">
        <v>2254</v>
      </c>
      <c r="D1240" s="1" t="s">
        <v>1600</v>
      </c>
      <c r="E1240" s="1" t="s">
        <v>2048</v>
      </c>
      <c r="F1240" s="1" t="s">
        <v>235</v>
      </c>
      <c r="G1240" s="4">
        <f>112805031/472382880</f>
        <v>0.23879999842500643</v>
      </c>
      <c r="H1240" s="28">
        <v>40908</v>
      </c>
      <c r="I1240" s="29">
        <f t="shared" si="1141"/>
        <v>2011</v>
      </c>
      <c r="J1240" s="1" t="s">
        <v>4600</v>
      </c>
      <c r="K1240" s="1" t="s">
        <v>4641</v>
      </c>
      <c r="L1240" s="11" t="str">
        <f t="shared" si="1242"/>
        <v>ДА</v>
      </c>
      <c r="M1240" s="10" t="s">
        <v>1575</v>
      </c>
      <c r="N1240" s="10" t="s">
        <v>1575</v>
      </c>
      <c r="O1240" s="10">
        <v>13.189653</v>
      </c>
      <c r="P1240" s="10">
        <f t="shared" si="1353"/>
        <v>55.233053128105958</v>
      </c>
      <c r="Q1240" s="10">
        <f t="shared" si="1354"/>
        <v>163.16805312810595</v>
      </c>
      <c r="R1240" s="10">
        <v>113.971</v>
      </c>
      <c r="S1240" s="10">
        <v>16.663</v>
      </c>
      <c r="T1240" s="10">
        <v>10.895</v>
      </c>
      <c r="U1240" s="10">
        <v>0.46899999999999997</v>
      </c>
      <c r="V1240" s="10">
        <v>-9.7380000000000031</v>
      </c>
      <c r="W1240" s="10">
        <v>107.935</v>
      </c>
      <c r="X1240" s="10">
        <f t="shared" si="1113"/>
        <v>98.197000000000003</v>
      </c>
      <c r="Y1240" s="10">
        <f t="shared" si="1114"/>
        <v>0.48462374751564835</v>
      </c>
      <c r="Z1240" s="10">
        <f t="shared" si="1115"/>
        <v>117.76770389788051</v>
      </c>
      <c r="AA1240" s="10">
        <f t="shared" si="1116"/>
        <v>-5.6719093374518321</v>
      </c>
      <c r="AB1240" s="10">
        <f t="shared" si="1117"/>
        <v>1.4316629065999766</v>
      </c>
      <c r="AC1240" s="10">
        <f t="shared" si="1118"/>
        <v>9.7922374799319414</v>
      </c>
      <c r="AD1240" s="10">
        <f t="shared" si="1119"/>
        <v>14.976416074172185</v>
      </c>
      <c r="AE1240" s="10">
        <f t="shared" si="1120"/>
        <v>1.6616398986537873</v>
      </c>
      <c r="AF1240" s="1" t="s">
        <v>4640</v>
      </c>
    </row>
    <row r="1241" spans="1:32" x14ac:dyDescent="0.2">
      <c r="A1241" s="1" t="s">
        <v>145</v>
      </c>
      <c r="B1241" s="1" t="s">
        <v>5</v>
      </c>
      <c r="C1241" s="1" t="s">
        <v>1575</v>
      </c>
      <c r="D1241" s="1" t="s">
        <v>1597</v>
      </c>
      <c r="E1241" s="1" t="s">
        <v>1598</v>
      </c>
      <c r="F1241" s="1" t="s">
        <v>149</v>
      </c>
      <c r="G1241" s="4">
        <v>1</v>
      </c>
      <c r="H1241" s="28">
        <v>40908</v>
      </c>
      <c r="I1241" s="29">
        <f t="shared" si="1141"/>
        <v>2011</v>
      </c>
      <c r="J1241" s="1" t="s">
        <v>7</v>
      </c>
      <c r="K1241" s="1" t="s">
        <v>4600</v>
      </c>
      <c r="L1241" s="11" t="str">
        <f t="shared" si="1242"/>
        <v>НЕТ</v>
      </c>
      <c r="M1241" s="10" t="s">
        <v>1575</v>
      </c>
      <c r="N1241" s="10" t="s">
        <v>1575</v>
      </c>
      <c r="O1241" s="10">
        <v>1.1230000000000001E-3</v>
      </c>
      <c r="P1241" s="10">
        <f t="shared" si="1353"/>
        <v>1.1230000000000001E-3</v>
      </c>
      <c r="Q1241" s="10">
        <f t="shared" si="1354"/>
        <v>0.29618299999999997</v>
      </c>
      <c r="R1241" s="10" t="s">
        <v>1575</v>
      </c>
      <c r="S1241" s="10" t="s">
        <v>1575</v>
      </c>
      <c r="T1241" s="10" t="s">
        <v>1575</v>
      </c>
      <c r="U1241" s="10" t="s">
        <v>1575</v>
      </c>
      <c r="V1241" s="10">
        <v>-0.32166099999999997</v>
      </c>
      <c r="W1241" s="10">
        <f>0.303313-0.008253</f>
        <v>0.29505999999999999</v>
      </c>
      <c r="X1241" s="10">
        <f t="shared" si="1113"/>
        <v>-2.6600999999999986E-2</v>
      </c>
      <c r="Y1241" s="10" t="str">
        <f t="shared" si="1114"/>
        <v>NA</v>
      </c>
      <c r="Z1241" s="10" t="str">
        <f t="shared" si="1115"/>
        <v>NA</v>
      </c>
      <c r="AA1241" s="10">
        <f t="shared" si="1116"/>
        <v>-3.4912532137871865E-3</v>
      </c>
      <c r="AB1241" s="10" t="str">
        <f t="shared" si="1117"/>
        <v>NA</v>
      </c>
      <c r="AC1241" s="10" t="str">
        <f t="shared" si="1118"/>
        <v>NA</v>
      </c>
      <c r="AD1241" s="10" t="str">
        <f t="shared" si="1119"/>
        <v>NA</v>
      </c>
      <c r="AE1241" s="10">
        <f t="shared" si="1120"/>
        <v>-11.134280666140375</v>
      </c>
      <c r="AF1241" s="1" t="s">
        <v>4631</v>
      </c>
    </row>
    <row r="1242" spans="1:32" x14ac:dyDescent="0.2">
      <c r="A1242" s="1" t="s">
        <v>148</v>
      </c>
      <c r="B1242" s="1" t="s">
        <v>5</v>
      </c>
      <c r="C1242" s="1" t="s">
        <v>1575</v>
      </c>
      <c r="D1242" s="1" t="s">
        <v>1597</v>
      </c>
      <c r="E1242" s="1" t="s">
        <v>1598</v>
      </c>
      <c r="F1242" s="1" t="s">
        <v>149</v>
      </c>
      <c r="G1242" s="4">
        <v>1</v>
      </c>
      <c r="H1242" s="28">
        <v>40718</v>
      </c>
      <c r="I1242" s="29">
        <f t="shared" si="1141"/>
        <v>2011</v>
      </c>
      <c r="J1242" s="1" t="s">
        <v>4600</v>
      </c>
      <c r="K1242" s="1" t="s">
        <v>7</v>
      </c>
      <c r="L1242" s="11" t="str">
        <f t="shared" si="1242"/>
        <v>НЕТ</v>
      </c>
      <c r="M1242" s="10" t="s">
        <v>1575</v>
      </c>
      <c r="N1242" s="10" t="s">
        <v>1575</v>
      </c>
      <c r="O1242" s="10">
        <v>0.74978999999999996</v>
      </c>
      <c r="P1242" s="10">
        <f t="shared" si="1353"/>
        <v>0.74978999999999996</v>
      </c>
      <c r="Q1242" s="10">
        <f t="shared" si="1354"/>
        <v>0.79283799999999993</v>
      </c>
      <c r="R1242" s="10" t="s">
        <v>1575</v>
      </c>
      <c r="S1242" s="10" t="s">
        <v>1575</v>
      </c>
      <c r="T1242" s="10" t="s">
        <v>1575</v>
      </c>
      <c r="U1242" s="10" t="s">
        <v>1575</v>
      </c>
      <c r="V1242" s="10">
        <v>0.39689000000000002</v>
      </c>
      <c r="W1242" s="10">
        <f>0.051326-0.008278</f>
        <v>4.3047999999999996E-2</v>
      </c>
      <c r="X1242" s="10">
        <f t="shared" si="1113"/>
        <v>0.439938</v>
      </c>
      <c r="Y1242" s="10" t="str">
        <f t="shared" si="1114"/>
        <v>NA</v>
      </c>
      <c r="Z1242" s="10" t="str">
        <f t="shared" si="1115"/>
        <v>NA</v>
      </c>
      <c r="AA1242" s="10">
        <f t="shared" si="1116"/>
        <v>1.8891632442238402</v>
      </c>
      <c r="AB1242" s="10" t="str">
        <f t="shared" si="1117"/>
        <v>NA</v>
      </c>
      <c r="AC1242" s="10" t="str">
        <f t="shared" si="1118"/>
        <v>NA</v>
      </c>
      <c r="AD1242" s="10" t="str">
        <f t="shared" si="1119"/>
        <v>NA</v>
      </c>
      <c r="AE1242" s="10">
        <f t="shared" si="1120"/>
        <v>1.8021584859684772</v>
      </c>
      <c r="AF1242" s="1" t="s">
        <v>4633</v>
      </c>
    </row>
    <row r="1243" spans="1:32" x14ac:dyDescent="0.2">
      <c r="A1243" s="1" t="s">
        <v>5882</v>
      </c>
      <c r="B1243" s="1" t="s">
        <v>5</v>
      </c>
      <c r="C1243" s="1" t="s">
        <v>1575</v>
      </c>
      <c r="D1243" s="1" t="s">
        <v>2160</v>
      </c>
      <c r="E1243" s="1" t="s">
        <v>2882</v>
      </c>
      <c r="F1243" s="1" t="s">
        <v>1404</v>
      </c>
      <c r="G1243" s="4" t="s">
        <v>11</v>
      </c>
      <c r="H1243" s="28">
        <v>40567</v>
      </c>
      <c r="I1243" s="29">
        <f t="shared" si="1141"/>
        <v>2011</v>
      </c>
      <c r="J1243" s="1" t="s">
        <v>4600</v>
      </c>
      <c r="K1243" s="1" t="s">
        <v>7</v>
      </c>
      <c r="L1243" s="11" t="str">
        <f t="shared" si="1242"/>
        <v>НЕТ</v>
      </c>
      <c r="M1243" s="10" t="s">
        <v>1575</v>
      </c>
      <c r="N1243" s="10" t="s">
        <v>1575</v>
      </c>
      <c r="O1243" s="10">
        <v>0.64649900000000005</v>
      </c>
      <c r="P1243" s="10" t="str">
        <f t="shared" si="1353"/>
        <v>NA</v>
      </c>
      <c r="Q1243" s="10" t="str">
        <f t="shared" si="1354"/>
        <v>NA</v>
      </c>
      <c r="R1243" s="10" t="s">
        <v>1575</v>
      </c>
      <c r="S1243" s="10" t="s">
        <v>1575</v>
      </c>
      <c r="T1243" s="10" t="s">
        <v>1575</v>
      </c>
      <c r="U1243" s="10" t="s">
        <v>1575</v>
      </c>
      <c r="V1243" s="10">
        <v>1.1141859999999999</v>
      </c>
      <c r="W1243" s="10">
        <f>0.12105+0.016777-0.0029-0.135227</f>
        <v>-2.9999999999999472E-4</v>
      </c>
      <c r="X1243" s="10">
        <f t="shared" si="1113"/>
        <v>1.1138859999999999</v>
      </c>
      <c r="Y1243" s="10" t="str">
        <f t="shared" si="1114"/>
        <v>NA</v>
      </c>
      <c r="Z1243" s="10" t="str">
        <f t="shared" si="1115"/>
        <v>NA</v>
      </c>
      <c r="AA1243" s="10" t="str">
        <f t="shared" si="1116"/>
        <v>NA</v>
      </c>
      <c r="AB1243" s="10" t="str">
        <f t="shared" si="1117"/>
        <v>NA</v>
      </c>
      <c r="AC1243" s="10" t="str">
        <f t="shared" si="1118"/>
        <v>NA</v>
      </c>
      <c r="AD1243" s="10" t="str">
        <f t="shared" si="1119"/>
        <v>NA</v>
      </c>
      <c r="AE1243" s="10" t="str">
        <f t="shared" si="1120"/>
        <v>NA</v>
      </c>
      <c r="AF1243" s="1" t="s">
        <v>4634</v>
      </c>
    </row>
    <row r="1244" spans="1:32" x14ac:dyDescent="0.2">
      <c r="A1244" s="1" t="s">
        <v>5883</v>
      </c>
      <c r="B1244" s="1" t="s">
        <v>5</v>
      </c>
      <c r="C1244" s="1" t="s">
        <v>1575</v>
      </c>
      <c r="D1244" s="1" t="s">
        <v>1600</v>
      </c>
      <c r="E1244" s="1" t="s">
        <v>1677</v>
      </c>
      <c r="F1244" s="1" t="s">
        <v>4651</v>
      </c>
      <c r="G1244" s="4">
        <v>0.3</v>
      </c>
      <c r="H1244" s="28">
        <v>40908</v>
      </c>
      <c r="I1244" s="29">
        <f t="shared" ref="I1244" si="1415">YEAR(H1244)</f>
        <v>2011</v>
      </c>
      <c r="J1244" s="1" t="s">
        <v>4600</v>
      </c>
      <c r="K1244" s="1" t="s">
        <v>7</v>
      </c>
      <c r="L1244" s="11" t="str">
        <f t="shared" ref="L1244" si="1416">IF(OR(A1244=J1244,A1244=K1244),"ДА","НЕТ")</f>
        <v>НЕТ</v>
      </c>
      <c r="M1244" s="10" t="s">
        <v>1575</v>
      </c>
      <c r="N1244" s="10" t="s">
        <v>1575</v>
      </c>
      <c r="O1244" s="10">
        <v>3.2128749999999999</v>
      </c>
      <c r="P1244" s="10">
        <f t="shared" si="1353"/>
        <v>10.709583333333333</v>
      </c>
      <c r="Q1244" s="10" t="str">
        <f t="shared" si="1354"/>
        <v>NA</v>
      </c>
      <c r="R1244" s="10" t="s">
        <v>1575</v>
      </c>
      <c r="S1244" s="10" t="s">
        <v>1575</v>
      </c>
      <c r="T1244" s="10" t="s">
        <v>1575</v>
      </c>
      <c r="U1244" s="10" t="s">
        <v>1575</v>
      </c>
      <c r="V1244" s="10" t="s">
        <v>1575</v>
      </c>
      <c r="W1244" s="10" t="s">
        <v>1575</v>
      </c>
      <c r="X1244" s="10" t="str">
        <f t="shared" ref="X1244" si="1417">IFERROR(V1244+W1244,"NA")</f>
        <v>NA</v>
      </c>
      <c r="Y1244" s="10" t="str">
        <f t="shared" ref="Y1244" si="1418">IFERROR(P1244/R1244,"NA")</f>
        <v>NA</v>
      </c>
      <c r="Z1244" s="10" t="str">
        <f t="shared" ref="Z1244" si="1419">IFERROR(P1244/U1244,"NA")</f>
        <v>NA</v>
      </c>
      <c r="AA1244" s="10" t="str">
        <f t="shared" ref="AA1244" si="1420">IFERROR(P1244/V1244,"NA")</f>
        <v>NA</v>
      </c>
      <c r="AB1244" s="10" t="str">
        <f t="shared" ref="AB1244" si="1421">IFERROR(Q1244/R1244,"NA")</f>
        <v>NA</v>
      </c>
      <c r="AC1244" s="10" t="str">
        <f t="shared" ref="AC1244" si="1422">IFERROR(Q1244/S1244,"NA")</f>
        <v>NA</v>
      </c>
      <c r="AD1244" s="10" t="str">
        <f t="shared" ref="AD1244" si="1423">IFERROR(Q1244/T1244,"NA")</f>
        <v>NA</v>
      </c>
      <c r="AE1244" s="10" t="str">
        <f t="shared" ref="AE1244" si="1424">IFERROR(Q1244/X1244,"NA")</f>
        <v>NA</v>
      </c>
      <c r="AF1244" s="1" t="s">
        <v>4646</v>
      </c>
    </row>
    <row r="1245" spans="1:32" x14ac:dyDescent="0.2">
      <c r="A1245" s="1" t="s">
        <v>150</v>
      </c>
      <c r="B1245" s="1" t="s">
        <v>5</v>
      </c>
      <c r="C1245" s="1" t="s">
        <v>1575</v>
      </c>
      <c r="D1245" s="1" t="s">
        <v>1600</v>
      </c>
      <c r="E1245" s="1" t="s">
        <v>2048</v>
      </c>
      <c r="F1245" s="1" t="s">
        <v>151</v>
      </c>
      <c r="G1245" s="4">
        <v>1</v>
      </c>
      <c r="H1245" s="28">
        <v>40329</v>
      </c>
      <c r="I1245" s="29">
        <f t="shared" si="1141"/>
        <v>2010</v>
      </c>
      <c r="J1245" s="1" t="s">
        <v>4600</v>
      </c>
      <c r="K1245" s="1" t="s">
        <v>7</v>
      </c>
      <c r="L1245" s="11" t="str">
        <f t="shared" si="1242"/>
        <v>НЕТ</v>
      </c>
      <c r="M1245" s="10" t="s">
        <v>1575</v>
      </c>
      <c r="N1245" s="10" t="s">
        <v>1575</v>
      </c>
      <c r="O1245" s="10">
        <v>6.163119</v>
      </c>
      <c r="P1245" s="10">
        <f t="shared" si="1353"/>
        <v>6.163119</v>
      </c>
      <c r="Q1245" s="10">
        <f t="shared" si="1354"/>
        <v>5.7471189999999996</v>
      </c>
      <c r="R1245" s="10" t="s">
        <v>1575</v>
      </c>
      <c r="S1245" s="10" t="s">
        <v>1575</v>
      </c>
      <c r="T1245" s="10" t="s">
        <v>1575</v>
      </c>
      <c r="U1245" s="10" t="s">
        <v>1575</v>
      </c>
      <c r="V1245" s="10">
        <v>2.9143080000000001</v>
      </c>
      <c r="W1245" s="10">
        <f>0-0.416</f>
        <v>-0.41599999999999998</v>
      </c>
      <c r="X1245" s="10">
        <f t="shared" si="1113"/>
        <v>2.4983080000000002</v>
      </c>
      <c r="Y1245" s="10" t="str">
        <f t="shared" si="1114"/>
        <v>NA</v>
      </c>
      <c r="Z1245" s="10" t="str">
        <f t="shared" si="1115"/>
        <v>NA</v>
      </c>
      <c r="AA1245" s="10">
        <f t="shared" si="1116"/>
        <v>2.114779563450397</v>
      </c>
      <c r="AB1245" s="10" t="str">
        <f t="shared" si="1117"/>
        <v>NA</v>
      </c>
      <c r="AC1245" s="10" t="str">
        <f t="shared" si="1118"/>
        <v>NA</v>
      </c>
      <c r="AD1245" s="10" t="str">
        <f t="shared" si="1119"/>
        <v>NA</v>
      </c>
      <c r="AE1245" s="10">
        <f t="shared" si="1120"/>
        <v>2.3004045137749225</v>
      </c>
      <c r="AF1245" s="1" t="s">
        <v>4635</v>
      </c>
    </row>
    <row r="1246" spans="1:32" x14ac:dyDescent="0.2">
      <c r="A1246" s="1" t="s">
        <v>4637</v>
      </c>
      <c r="B1246" s="1" t="s">
        <v>1192</v>
      </c>
      <c r="C1246" s="1" t="s">
        <v>1575</v>
      </c>
      <c r="D1246" s="1" t="s">
        <v>1600</v>
      </c>
      <c r="E1246" s="1" t="s">
        <v>2048</v>
      </c>
      <c r="F1246" s="1" t="s">
        <v>152</v>
      </c>
      <c r="G1246" s="4">
        <v>1</v>
      </c>
      <c r="H1246" s="28">
        <v>40415</v>
      </c>
      <c r="I1246" s="29">
        <f t="shared" si="1141"/>
        <v>2010</v>
      </c>
      <c r="J1246" s="1" t="s">
        <v>4600</v>
      </c>
      <c r="K1246" s="1" t="s">
        <v>7</v>
      </c>
      <c r="L1246" s="11" t="str">
        <f t="shared" si="1242"/>
        <v>НЕТ</v>
      </c>
      <c r="M1246" s="10" t="s">
        <v>1575</v>
      </c>
      <c r="N1246" s="10" t="s">
        <v>1575</v>
      </c>
      <c r="O1246" s="10">
        <v>1.7513639999999999</v>
      </c>
      <c r="P1246" s="10">
        <f t="shared" si="1353"/>
        <v>1.7513639999999999</v>
      </c>
      <c r="Q1246" s="10">
        <f t="shared" si="1354"/>
        <v>2.3269549999999999</v>
      </c>
      <c r="R1246" s="10" t="s">
        <v>1575</v>
      </c>
      <c r="S1246" s="10" t="s">
        <v>1575</v>
      </c>
      <c r="T1246" s="10" t="s">
        <v>1575</v>
      </c>
      <c r="U1246" s="10" t="s">
        <v>1575</v>
      </c>
      <c r="V1246" s="10">
        <v>0.193297</v>
      </c>
      <c r="W1246" s="10">
        <f>0.544194+0.078073+0.013989-0.060665</f>
        <v>0.57559099999999996</v>
      </c>
      <c r="X1246" s="10">
        <f t="shared" ref="X1246:X1377" si="1425">IFERROR(V1246+W1246,"NA")</f>
        <v>0.76888800000000002</v>
      </c>
      <c r="Y1246" s="10" t="str">
        <f t="shared" ref="Y1246:Y1377" si="1426">IFERROR(P1246/R1246,"NA")</f>
        <v>NA</v>
      </c>
      <c r="Z1246" s="10" t="str">
        <f t="shared" ref="Z1246:Z1377" si="1427">IFERROR(P1246/U1246,"NA")</f>
        <v>NA</v>
      </c>
      <c r="AA1246" s="10">
        <f t="shared" ref="AA1246:AA1377" si="1428">IFERROR(P1246/V1246,"NA")</f>
        <v>9.0604820561105441</v>
      </c>
      <c r="AB1246" s="10" t="str">
        <f t="shared" ref="AB1246:AB1377" si="1429">IFERROR(Q1246/R1246,"NA")</f>
        <v>NA</v>
      </c>
      <c r="AC1246" s="10" t="str">
        <f t="shared" ref="AC1246:AC1377" si="1430">IFERROR(Q1246/S1246,"NA")</f>
        <v>NA</v>
      </c>
      <c r="AD1246" s="10" t="str">
        <f t="shared" ref="AD1246:AD1377" si="1431">IFERROR(Q1246/T1246,"NA")</f>
        <v>NA</v>
      </c>
      <c r="AE1246" s="10">
        <f t="shared" ref="AE1246:AE1377" si="1432">IFERROR(Q1246/X1246,"NA")</f>
        <v>3.0263900594104731</v>
      </c>
      <c r="AF1246" s="1" t="s">
        <v>4636</v>
      </c>
    </row>
    <row r="1247" spans="1:32" x14ac:dyDescent="0.2">
      <c r="A1247" s="1" t="s">
        <v>5884</v>
      </c>
      <c r="B1247" s="1" t="s">
        <v>5</v>
      </c>
      <c r="C1247" s="1" t="s">
        <v>1575</v>
      </c>
      <c r="D1247" s="1" t="s">
        <v>1597</v>
      </c>
      <c r="E1247" s="1" t="s">
        <v>1598</v>
      </c>
      <c r="F1247" s="1" t="s">
        <v>149</v>
      </c>
      <c r="G1247" s="4" t="s">
        <v>11</v>
      </c>
      <c r="H1247" s="28">
        <v>40543</v>
      </c>
      <c r="I1247" s="29">
        <f t="shared" si="1141"/>
        <v>2010</v>
      </c>
      <c r="J1247" s="1" t="s">
        <v>7</v>
      </c>
      <c r="K1247" s="1" t="s">
        <v>4600</v>
      </c>
      <c r="L1247" s="11" t="str">
        <f t="shared" si="1242"/>
        <v>НЕТ</v>
      </c>
      <c r="M1247" s="10" t="s">
        <v>1575</v>
      </c>
      <c r="N1247" s="10" t="s">
        <v>1575</v>
      </c>
      <c r="O1247" s="10">
        <v>1E-4</v>
      </c>
      <c r="P1247" s="10" t="str">
        <f t="shared" si="1353"/>
        <v>NA</v>
      </c>
      <c r="Q1247" s="10" t="str">
        <f t="shared" si="1354"/>
        <v>NA</v>
      </c>
      <c r="R1247" s="10" t="s">
        <v>1575</v>
      </c>
      <c r="S1247" s="10" t="s">
        <v>1575</v>
      </c>
      <c r="T1247" s="10" t="s">
        <v>1575</v>
      </c>
      <c r="U1247" s="10" t="s">
        <v>1575</v>
      </c>
      <c r="V1247" s="10">
        <v>-0.39654</v>
      </c>
      <c r="W1247" s="10">
        <f>0.444216+0.016057-0.004094-0.010013</f>
        <v>0.44616600000000001</v>
      </c>
      <c r="X1247" s="10">
        <f t="shared" si="1425"/>
        <v>4.9626000000000003E-2</v>
      </c>
      <c r="Y1247" s="10" t="str">
        <f t="shared" si="1426"/>
        <v>NA</v>
      </c>
      <c r="Z1247" s="10" t="str">
        <f t="shared" si="1427"/>
        <v>NA</v>
      </c>
      <c r="AA1247" s="10" t="str">
        <f t="shared" si="1428"/>
        <v>NA</v>
      </c>
      <c r="AB1247" s="10" t="str">
        <f t="shared" si="1429"/>
        <v>NA</v>
      </c>
      <c r="AC1247" s="10" t="str">
        <f t="shared" si="1430"/>
        <v>NA</v>
      </c>
      <c r="AD1247" s="10" t="str">
        <f t="shared" si="1431"/>
        <v>NA</v>
      </c>
      <c r="AE1247" s="10" t="str">
        <f t="shared" si="1432"/>
        <v>NA</v>
      </c>
      <c r="AF1247" s="1" t="s">
        <v>4642</v>
      </c>
    </row>
    <row r="1248" spans="1:32" x14ac:dyDescent="0.2">
      <c r="A1248" s="1" t="s">
        <v>153</v>
      </c>
      <c r="B1248" s="1" t="s">
        <v>5</v>
      </c>
      <c r="C1248" s="1" t="s">
        <v>1575</v>
      </c>
      <c r="D1248" s="1" t="s">
        <v>1597</v>
      </c>
      <c r="E1248" s="1" t="s">
        <v>1598</v>
      </c>
      <c r="F1248" s="1" t="s">
        <v>149</v>
      </c>
      <c r="G1248" s="4">
        <v>1</v>
      </c>
      <c r="H1248" s="28">
        <v>40298</v>
      </c>
      <c r="I1248" s="29">
        <f t="shared" si="1141"/>
        <v>2010</v>
      </c>
      <c r="J1248" s="1" t="s">
        <v>7</v>
      </c>
      <c r="K1248" s="1" t="s">
        <v>4600</v>
      </c>
      <c r="L1248" s="11" t="str">
        <f t="shared" si="1242"/>
        <v>НЕТ</v>
      </c>
      <c r="M1248" s="10" t="s">
        <v>1575</v>
      </c>
      <c r="N1248" s="10" t="s">
        <v>1575</v>
      </c>
      <c r="O1248" s="10">
        <v>1.0000000000000001E-5</v>
      </c>
      <c r="P1248" s="10">
        <f t="shared" si="1353"/>
        <v>1.0000000000000001E-5</v>
      </c>
      <c r="Q1248" s="10">
        <f t="shared" si="1354"/>
        <v>2.9455000000000002E-2</v>
      </c>
      <c r="R1248" s="10" t="s">
        <v>1575</v>
      </c>
      <c r="S1248" s="10" t="s">
        <v>1575</v>
      </c>
      <c r="T1248" s="10" t="s">
        <v>1575</v>
      </c>
      <c r="U1248" s="10" t="s">
        <v>1575</v>
      </c>
      <c r="V1248" s="10">
        <v>-4.9674999999999997E-2</v>
      </c>
      <c r="W1248" s="10">
        <f>0.029759-0.000314</f>
        <v>2.9445000000000002E-2</v>
      </c>
      <c r="X1248" s="10">
        <f t="shared" si="1425"/>
        <v>-2.0229999999999995E-2</v>
      </c>
      <c r="Y1248" s="10" t="str">
        <f t="shared" si="1426"/>
        <v>NA</v>
      </c>
      <c r="Z1248" s="10" t="str">
        <f t="shared" si="1427"/>
        <v>NA</v>
      </c>
      <c r="AA1248" s="10">
        <f t="shared" si="1428"/>
        <v>-2.013085052843483E-4</v>
      </c>
      <c r="AB1248" s="10" t="str">
        <f t="shared" si="1429"/>
        <v>NA</v>
      </c>
      <c r="AC1248" s="10" t="str">
        <f t="shared" si="1430"/>
        <v>NA</v>
      </c>
      <c r="AD1248" s="10" t="str">
        <f t="shared" si="1431"/>
        <v>NA</v>
      </c>
      <c r="AE1248" s="10">
        <f t="shared" si="1432"/>
        <v>-1.4560059317844789</v>
      </c>
      <c r="AF1248" s="1" t="s">
        <v>4643</v>
      </c>
    </row>
    <row r="1249" spans="1:32" x14ac:dyDescent="0.2">
      <c r="A1249" s="1" t="s">
        <v>5885</v>
      </c>
      <c r="B1249" s="1" t="s">
        <v>5</v>
      </c>
      <c r="C1249" s="1" t="s">
        <v>1575</v>
      </c>
      <c r="D1249" s="1" t="s">
        <v>1600</v>
      </c>
      <c r="E1249" s="1" t="s">
        <v>2052</v>
      </c>
      <c r="F1249" s="1" t="s">
        <v>154</v>
      </c>
      <c r="G1249" s="4" t="s">
        <v>11</v>
      </c>
      <c r="H1249" s="28">
        <v>40086</v>
      </c>
      <c r="I1249" s="29">
        <f t="shared" si="1141"/>
        <v>2009</v>
      </c>
      <c r="J1249" s="1" t="s">
        <v>4600</v>
      </c>
      <c r="K1249" s="1" t="s">
        <v>7</v>
      </c>
      <c r="L1249" s="11" t="str">
        <f t="shared" si="1242"/>
        <v>НЕТ</v>
      </c>
      <c r="M1249" s="10" t="s">
        <v>1575</v>
      </c>
      <c r="N1249" s="10" t="s">
        <v>1575</v>
      </c>
      <c r="O1249" s="10">
        <v>1.6833999999999998E-2</v>
      </c>
      <c r="P1249" s="10" t="str">
        <f t="shared" si="1353"/>
        <v>NA</v>
      </c>
      <c r="Q1249" s="10" t="str">
        <f t="shared" si="1354"/>
        <v>NA</v>
      </c>
      <c r="R1249" s="10" t="s">
        <v>1575</v>
      </c>
      <c r="S1249" s="10" t="s">
        <v>1575</v>
      </c>
      <c r="T1249" s="10" t="s">
        <v>1575</v>
      </c>
      <c r="U1249" s="10" t="s">
        <v>1575</v>
      </c>
      <c r="V1249" s="10">
        <v>-0.32146400000000003</v>
      </c>
      <c r="W1249" s="10">
        <f>0.001144-0.014692-0.009813</f>
        <v>-2.3361E-2</v>
      </c>
      <c r="X1249" s="10">
        <f t="shared" si="1425"/>
        <v>-0.34482500000000005</v>
      </c>
      <c r="Y1249" s="10" t="str">
        <f t="shared" si="1426"/>
        <v>NA</v>
      </c>
      <c r="Z1249" s="10" t="str">
        <f t="shared" si="1427"/>
        <v>NA</v>
      </c>
      <c r="AA1249" s="10" t="str">
        <f t="shared" si="1428"/>
        <v>NA</v>
      </c>
      <c r="AB1249" s="10" t="str">
        <f t="shared" si="1429"/>
        <v>NA</v>
      </c>
      <c r="AC1249" s="10" t="str">
        <f t="shared" si="1430"/>
        <v>NA</v>
      </c>
      <c r="AD1249" s="10" t="str">
        <f t="shared" si="1431"/>
        <v>NA</v>
      </c>
      <c r="AE1249" s="10" t="str">
        <f t="shared" si="1432"/>
        <v>NA</v>
      </c>
      <c r="AF1249" s="1" t="s">
        <v>4648</v>
      </c>
    </row>
    <row r="1250" spans="1:32" x14ac:dyDescent="0.2">
      <c r="A1250" s="1" t="s">
        <v>5886</v>
      </c>
      <c r="B1250" s="1" t="s">
        <v>5</v>
      </c>
      <c r="C1250" s="1" t="s">
        <v>1575</v>
      </c>
      <c r="D1250" s="1" t="s">
        <v>1600</v>
      </c>
      <c r="E1250" s="1" t="s">
        <v>2052</v>
      </c>
      <c r="F1250" s="1" t="s">
        <v>154</v>
      </c>
      <c r="G1250" s="4">
        <v>0.999</v>
      </c>
      <c r="H1250" s="28">
        <v>39905</v>
      </c>
      <c r="I1250" s="29">
        <f t="shared" si="1141"/>
        <v>2009</v>
      </c>
      <c r="J1250" s="1" t="s">
        <v>4600</v>
      </c>
      <c r="K1250" s="1" t="s">
        <v>7</v>
      </c>
      <c r="L1250" s="11" t="str">
        <f t="shared" si="1242"/>
        <v>НЕТ</v>
      </c>
      <c r="M1250" s="10" t="s">
        <v>1575</v>
      </c>
      <c r="N1250" s="10" t="s">
        <v>1575</v>
      </c>
      <c r="O1250" s="10">
        <v>0.17693700000000001</v>
      </c>
      <c r="P1250" s="10">
        <f t="shared" si="1353"/>
        <v>0.17711411411411412</v>
      </c>
      <c r="Q1250" s="10">
        <f t="shared" si="1354"/>
        <v>1.4398231141141142</v>
      </c>
      <c r="R1250" s="10">
        <v>1.350671</v>
      </c>
      <c r="S1250" s="10" t="s">
        <v>1575</v>
      </c>
      <c r="T1250" s="10" t="s">
        <v>1575</v>
      </c>
      <c r="U1250" s="10">
        <v>-0.49596000000000001</v>
      </c>
      <c r="V1250" s="10">
        <v>-0.29433599999999999</v>
      </c>
      <c r="W1250" s="10">
        <f>1.345167-0.077959-0.004499</f>
        <v>1.2627090000000001</v>
      </c>
      <c r="X1250" s="10">
        <f t="shared" si="1425"/>
        <v>0.96837300000000015</v>
      </c>
      <c r="Y1250" s="10">
        <f t="shared" si="1426"/>
        <v>0.13113046338754156</v>
      </c>
      <c r="Z1250" s="10">
        <f t="shared" si="1427"/>
        <v>-0.35711370698063172</v>
      </c>
      <c r="AA1250" s="10">
        <f t="shared" si="1428"/>
        <v>-0.60174125528006817</v>
      </c>
      <c r="AB1250" s="10">
        <f t="shared" si="1429"/>
        <v>1.066005795722359</v>
      </c>
      <c r="AC1250" s="10" t="str">
        <f t="shared" si="1430"/>
        <v>NA</v>
      </c>
      <c r="AD1250" s="10" t="str">
        <f t="shared" si="1431"/>
        <v>NA</v>
      </c>
      <c r="AE1250" s="10">
        <f t="shared" si="1432"/>
        <v>1.4868476445688945</v>
      </c>
      <c r="AF1250" s="1" t="s">
        <v>4647</v>
      </c>
    </row>
    <row r="1251" spans="1:32" x14ac:dyDescent="0.2">
      <c r="A1251" s="1" t="s">
        <v>5887</v>
      </c>
      <c r="B1251" s="1" t="s">
        <v>5</v>
      </c>
      <c r="C1251" s="1" t="s">
        <v>4644</v>
      </c>
      <c r="D1251" s="1" t="s">
        <v>2160</v>
      </c>
      <c r="E1251" s="1" t="s">
        <v>2882</v>
      </c>
      <c r="F1251" s="1" t="s">
        <v>1404</v>
      </c>
      <c r="G1251" s="4" t="s">
        <v>11</v>
      </c>
      <c r="H1251" s="28">
        <v>40086</v>
      </c>
      <c r="I1251" s="29">
        <f t="shared" si="1141"/>
        <v>2009</v>
      </c>
      <c r="J1251" s="1" t="s">
        <v>7</v>
      </c>
      <c r="K1251" s="1" t="s">
        <v>4600</v>
      </c>
      <c r="L1251" s="11" t="str">
        <f t="shared" si="1242"/>
        <v>НЕТ</v>
      </c>
      <c r="M1251" s="10" t="s">
        <v>1575</v>
      </c>
      <c r="N1251" s="10" t="s">
        <v>1575</v>
      </c>
      <c r="O1251" s="10">
        <v>0.1</v>
      </c>
      <c r="P1251" s="10" t="str">
        <f t="shared" si="1353"/>
        <v>NA</v>
      </c>
      <c r="Q1251" s="10" t="str">
        <f t="shared" si="1354"/>
        <v>NA</v>
      </c>
      <c r="R1251" s="10" t="s">
        <v>1575</v>
      </c>
      <c r="S1251" s="10" t="s">
        <v>1575</v>
      </c>
      <c r="T1251" s="10" t="s">
        <v>1575</v>
      </c>
      <c r="U1251" s="10" t="s">
        <v>1575</v>
      </c>
      <c r="V1251" s="10">
        <v>0.37512899999999999</v>
      </c>
      <c r="W1251" s="10">
        <f>0.020912-0.001448</f>
        <v>1.9463999999999999E-2</v>
      </c>
      <c r="X1251" s="10">
        <f t="shared" si="1425"/>
        <v>0.39459299999999997</v>
      </c>
      <c r="Y1251" s="10" t="str">
        <f t="shared" si="1426"/>
        <v>NA</v>
      </c>
      <c r="Z1251" s="10" t="str">
        <f t="shared" si="1427"/>
        <v>NA</v>
      </c>
      <c r="AA1251" s="10" t="str">
        <f t="shared" si="1428"/>
        <v>NA</v>
      </c>
      <c r="AB1251" s="10" t="str">
        <f t="shared" si="1429"/>
        <v>NA</v>
      </c>
      <c r="AC1251" s="10" t="str">
        <f t="shared" si="1430"/>
        <v>NA</v>
      </c>
      <c r="AD1251" s="10" t="str">
        <f t="shared" si="1431"/>
        <v>NA</v>
      </c>
      <c r="AE1251" s="10" t="str">
        <f t="shared" si="1432"/>
        <v>NA</v>
      </c>
      <c r="AF1251" s="1" t="s">
        <v>4649</v>
      </c>
    </row>
    <row r="1252" spans="1:32" x14ac:dyDescent="0.2">
      <c r="A1252" s="1" t="s">
        <v>4600</v>
      </c>
      <c r="B1252" s="1" t="s">
        <v>5</v>
      </c>
      <c r="C1252" s="1" t="s">
        <v>2254</v>
      </c>
      <c r="D1252" s="1" t="s">
        <v>1600</v>
      </c>
      <c r="E1252" s="1" t="s">
        <v>2048</v>
      </c>
      <c r="F1252" s="1" t="s">
        <v>235</v>
      </c>
      <c r="G1252" s="4">
        <f>1919543/472382880</f>
        <v>4.0635321076834957E-3</v>
      </c>
      <c r="H1252" s="28">
        <v>40178</v>
      </c>
      <c r="I1252" s="29">
        <f t="shared" si="1141"/>
        <v>2009</v>
      </c>
      <c r="J1252" s="1" t="s">
        <v>7</v>
      </c>
      <c r="K1252" s="1" t="s">
        <v>4600</v>
      </c>
      <c r="L1252" s="11" t="str">
        <f t="shared" si="1242"/>
        <v>ДА</v>
      </c>
      <c r="M1252" s="10" t="s">
        <v>1575</v>
      </c>
      <c r="N1252" s="10" t="s">
        <v>1575</v>
      </c>
      <c r="O1252" s="10">
        <v>8.6379999999999998E-2</v>
      </c>
      <c r="P1252" s="10">
        <f t="shared" si="1353"/>
        <v>21.25736864159855</v>
      </c>
      <c r="Q1252" s="10" t="str">
        <f t="shared" si="1354"/>
        <v>NA</v>
      </c>
      <c r="R1252" s="10" t="e">
        <v>#N/A</v>
      </c>
      <c r="S1252" s="10" t="e">
        <v>#N/A</v>
      </c>
      <c r="T1252" s="10" t="e">
        <v>#N/A</v>
      </c>
      <c r="U1252" s="10" t="e">
        <v>#N/A</v>
      </c>
      <c r="V1252" s="10" t="e">
        <v>#N/A</v>
      </c>
      <c r="W1252" s="10" t="e">
        <v>#N/A</v>
      </c>
      <c r="X1252" s="10" t="str">
        <f t="shared" ref="X1252" si="1433">IFERROR(V1252+W1252,"NA")</f>
        <v>NA</v>
      </c>
      <c r="Y1252" s="10" t="str">
        <f t="shared" ref="Y1252" si="1434">IFERROR(P1252/R1252,"NA")</f>
        <v>NA</v>
      </c>
      <c r="Z1252" s="10" t="str">
        <f t="shared" ref="Z1252" si="1435">IFERROR(P1252/U1252,"NA")</f>
        <v>NA</v>
      </c>
      <c r="AA1252" s="10" t="str">
        <f t="shared" ref="AA1252" si="1436">IFERROR(P1252/V1252,"NA")</f>
        <v>NA</v>
      </c>
      <c r="AB1252" s="10" t="str">
        <f t="shared" ref="AB1252" si="1437">IFERROR(Q1252/R1252,"NA")</f>
        <v>NA</v>
      </c>
      <c r="AC1252" s="10" t="str">
        <f t="shared" ref="AC1252" si="1438">IFERROR(Q1252/S1252,"NA")</f>
        <v>NA</v>
      </c>
      <c r="AD1252" s="10" t="str">
        <f t="shared" ref="AD1252" si="1439">IFERROR(Q1252/T1252,"NA")</f>
        <v>NA</v>
      </c>
      <c r="AE1252" s="10" t="str">
        <f t="shared" ref="AE1252" si="1440">IFERROR(Q1252/X1252,"NA")</f>
        <v>NA</v>
      </c>
      <c r="AF1252" s="1" t="s">
        <v>4650</v>
      </c>
    </row>
    <row r="1253" spans="1:32" x14ac:dyDescent="0.2">
      <c r="A1253" s="1" t="s">
        <v>4600</v>
      </c>
      <c r="B1253" s="1" t="s">
        <v>5</v>
      </c>
      <c r="C1253" s="1" t="s">
        <v>2254</v>
      </c>
      <c r="D1253" s="1" t="s">
        <v>1600</v>
      </c>
      <c r="E1253" s="1" t="s">
        <v>2048</v>
      </c>
      <c r="F1253" s="1" t="s">
        <v>235</v>
      </c>
      <c r="G1253" s="4">
        <f>24172111/472382880</f>
        <v>5.1170590686944455E-2</v>
      </c>
      <c r="H1253" s="28">
        <v>39813</v>
      </c>
      <c r="I1253" s="29">
        <f t="shared" ref="I1253:I1254" si="1441">YEAR(H1253)</f>
        <v>2008</v>
      </c>
      <c r="J1253" s="1" t="s">
        <v>7</v>
      </c>
      <c r="K1253" s="1" t="s">
        <v>4600</v>
      </c>
      <c r="L1253" s="11" t="str">
        <f t="shared" ref="L1253:L1254" si="1442">IF(OR(A1253=J1253,A1253=K1253),"ДА","НЕТ")</f>
        <v>ДА</v>
      </c>
      <c r="M1253" s="10" t="s">
        <v>1575</v>
      </c>
      <c r="N1253" s="10" t="s">
        <v>1575</v>
      </c>
      <c r="O1253" s="10">
        <v>2.42639</v>
      </c>
      <c r="P1253" s="10">
        <f t="shared" si="1353"/>
        <v>47.417666425708539</v>
      </c>
      <c r="Q1253" s="10" t="str">
        <f t="shared" si="1354"/>
        <v>NA</v>
      </c>
      <c r="R1253" s="10" t="e">
        <v>#N/A</v>
      </c>
      <c r="S1253" s="10" t="e">
        <v>#N/A</v>
      </c>
      <c r="T1253" s="10" t="e">
        <v>#N/A</v>
      </c>
      <c r="U1253" s="10" t="e">
        <v>#N/A</v>
      </c>
      <c r="V1253" s="10" t="e">
        <v>#N/A</v>
      </c>
      <c r="W1253" s="10" t="e">
        <v>#N/A</v>
      </c>
      <c r="X1253" s="10" t="str">
        <f t="shared" si="1425"/>
        <v>NA</v>
      </c>
      <c r="Y1253" s="10" t="str">
        <f t="shared" si="1426"/>
        <v>NA</v>
      </c>
      <c r="Z1253" s="10" t="str">
        <f t="shared" si="1427"/>
        <v>NA</v>
      </c>
      <c r="AA1253" s="10" t="str">
        <f t="shared" si="1428"/>
        <v>NA</v>
      </c>
      <c r="AB1253" s="10" t="str">
        <f t="shared" si="1429"/>
        <v>NA</v>
      </c>
      <c r="AC1253" s="10" t="str">
        <f t="shared" si="1430"/>
        <v>NA</v>
      </c>
      <c r="AD1253" s="10" t="str">
        <f t="shared" si="1431"/>
        <v>NA</v>
      </c>
      <c r="AE1253" s="10" t="str">
        <f t="shared" si="1432"/>
        <v>NA</v>
      </c>
      <c r="AF1253" s="1" t="s">
        <v>4645</v>
      </c>
    </row>
    <row r="1254" spans="1:32" x14ac:dyDescent="0.2">
      <c r="A1254" s="1" t="s">
        <v>4663</v>
      </c>
      <c r="B1254" s="1" t="s">
        <v>5</v>
      </c>
      <c r="C1254" s="1" t="s">
        <v>1575</v>
      </c>
      <c r="D1254" s="1" t="s">
        <v>1600</v>
      </c>
      <c r="E1254" s="1" t="s">
        <v>2050</v>
      </c>
      <c r="F1254" s="1" t="s">
        <v>4664</v>
      </c>
      <c r="G1254" s="4">
        <v>0.5</v>
      </c>
      <c r="H1254" s="28">
        <v>45278</v>
      </c>
      <c r="I1254" s="29">
        <f t="shared" si="1441"/>
        <v>2023</v>
      </c>
      <c r="J1254" s="1" t="s">
        <v>1308</v>
      </c>
      <c r="K1254" s="1" t="s">
        <v>7</v>
      </c>
      <c r="L1254" s="11" t="str">
        <f t="shared" si="1442"/>
        <v>НЕТ</v>
      </c>
      <c r="M1254" s="10" t="s">
        <v>1575</v>
      </c>
      <c r="N1254" s="10" t="s">
        <v>1575</v>
      </c>
      <c r="O1254" s="10" t="s">
        <v>1575</v>
      </c>
      <c r="P1254" s="10" t="str">
        <f t="shared" si="1353"/>
        <v>NA</v>
      </c>
      <c r="Q1254" s="10" t="str">
        <f t="shared" si="1354"/>
        <v>NA</v>
      </c>
      <c r="R1254" s="10" t="s">
        <v>1575</v>
      </c>
      <c r="S1254" s="10" t="s">
        <v>1575</v>
      </c>
      <c r="T1254" s="10" t="s">
        <v>1575</v>
      </c>
      <c r="U1254" s="10" t="s">
        <v>1575</v>
      </c>
      <c r="V1254" s="10" t="s">
        <v>1575</v>
      </c>
      <c r="W1254" s="10" t="s">
        <v>1575</v>
      </c>
      <c r="X1254" s="10" t="str">
        <f t="shared" ref="X1254" si="1443">IFERROR(V1254+W1254,"NA")</f>
        <v>NA</v>
      </c>
      <c r="Y1254" s="10" t="str">
        <f t="shared" ref="Y1254" si="1444">IFERROR(P1254/R1254,"NA")</f>
        <v>NA</v>
      </c>
      <c r="Z1254" s="10" t="str">
        <f t="shared" ref="Z1254" si="1445">IFERROR(P1254/U1254,"NA")</f>
        <v>NA</v>
      </c>
      <c r="AA1254" s="10" t="str">
        <f t="shared" ref="AA1254" si="1446">IFERROR(P1254/V1254,"NA")</f>
        <v>NA</v>
      </c>
      <c r="AB1254" s="10" t="str">
        <f t="shared" ref="AB1254" si="1447">IFERROR(Q1254/R1254,"NA")</f>
        <v>NA</v>
      </c>
      <c r="AC1254" s="10" t="str">
        <f t="shared" ref="AC1254" si="1448">IFERROR(Q1254/S1254,"NA")</f>
        <v>NA</v>
      </c>
      <c r="AD1254" s="10" t="str">
        <f t="shared" ref="AD1254" si="1449">IFERROR(Q1254/T1254,"NA")</f>
        <v>NA</v>
      </c>
      <c r="AE1254" s="10" t="str">
        <f t="shared" ref="AE1254" si="1450">IFERROR(Q1254/X1254,"NA")</f>
        <v>NA</v>
      </c>
      <c r="AF1254" s="1" t="s">
        <v>4656</v>
      </c>
    </row>
    <row r="1255" spans="1:32" x14ac:dyDescent="0.2">
      <c r="A1255" s="1" t="s">
        <v>5888</v>
      </c>
      <c r="B1255" s="1" t="s">
        <v>5</v>
      </c>
      <c r="C1255" s="1" t="s">
        <v>1575</v>
      </c>
      <c r="D1255" s="1" t="s">
        <v>1597</v>
      </c>
      <c r="E1255" s="1" t="s">
        <v>1661</v>
      </c>
      <c r="F1255" s="1" t="s">
        <v>4666</v>
      </c>
      <c r="G1255" s="4">
        <v>0.5</v>
      </c>
      <c r="H1255" s="28">
        <v>45197</v>
      </c>
      <c r="I1255" s="29">
        <f t="shared" ref="I1255" si="1451">YEAR(H1255)</f>
        <v>2023</v>
      </c>
      <c r="J1255" s="1" t="s">
        <v>1308</v>
      </c>
      <c r="K1255" s="1" t="s">
        <v>7</v>
      </c>
      <c r="L1255" s="11" t="str">
        <f t="shared" ref="L1255" si="1452">IF(OR(A1255=J1255,A1255=K1255),"ДА","НЕТ")</f>
        <v>НЕТ</v>
      </c>
      <c r="M1255" s="10" t="s">
        <v>1575</v>
      </c>
      <c r="N1255" s="10" t="s">
        <v>1575</v>
      </c>
      <c r="O1255" s="10" t="s">
        <v>1575</v>
      </c>
      <c r="P1255" s="10" t="str">
        <f t="shared" si="1353"/>
        <v>NA</v>
      </c>
      <c r="Q1255" s="10" t="str">
        <f t="shared" si="1354"/>
        <v>NA</v>
      </c>
      <c r="R1255" s="10" t="s">
        <v>1575</v>
      </c>
      <c r="S1255" s="10" t="s">
        <v>1575</v>
      </c>
      <c r="T1255" s="10" t="s">
        <v>1575</v>
      </c>
      <c r="U1255" s="10" t="s">
        <v>1575</v>
      </c>
      <c r="V1255" s="10" t="s">
        <v>1575</v>
      </c>
      <c r="W1255" s="10" t="s">
        <v>1575</v>
      </c>
      <c r="X1255" s="10" t="str">
        <f t="shared" ref="X1255" si="1453">IFERROR(V1255+W1255,"NA")</f>
        <v>NA</v>
      </c>
      <c r="Y1255" s="10" t="str">
        <f t="shared" ref="Y1255" si="1454">IFERROR(P1255/R1255,"NA")</f>
        <v>NA</v>
      </c>
      <c r="Z1255" s="10" t="str">
        <f t="shared" ref="Z1255" si="1455">IFERROR(P1255/U1255,"NA")</f>
        <v>NA</v>
      </c>
      <c r="AA1255" s="10" t="str">
        <f t="shared" ref="AA1255" si="1456">IFERROR(P1255/V1255,"NA")</f>
        <v>NA</v>
      </c>
      <c r="AB1255" s="10" t="str">
        <f t="shared" ref="AB1255" si="1457">IFERROR(Q1255/R1255,"NA")</f>
        <v>NA</v>
      </c>
      <c r="AC1255" s="10" t="str">
        <f t="shared" ref="AC1255" si="1458">IFERROR(Q1255/S1255,"NA")</f>
        <v>NA</v>
      </c>
      <c r="AD1255" s="10" t="str">
        <f t="shared" ref="AD1255" si="1459">IFERROR(Q1255/T1255,"NA")</f>
        <v>NA</v>
      </c>
      <c r="AE1255" s="10" t="str">
        <f t="shared" ref="AE1255" si="1460">IFERROR(Q1255/X1255,"NA")</f>
        <v>NA</v>
      </c>
      <c r="AF1255" s="1" t="s">
        <v>4657</v>
      </c>
    </row>
    <row r="1256" spans="1:32" x14ac:dyDescent="0.2">
      <c r="A1256" s="1" t="s">
        <v>5889</v>
      </c>
      <c r="B1256" s="1" t="s">
        <v>5</v>
      </c>
      <c r="C1256" s="1" t="s">
        <v>1575</v>
      </c>
      <c r="D1256" s="1" t="s">
        <v>1600</v>
      </c>
      <c r="E1256" s="1" t="s">
        <v>4667</v>
      </c>
      <c r="F1256" s="1" t="s">
        <v>4665</v>
      </c>
      <c r="G1256" s="4">
        <v>0.5</v>
      </c>
      <c r="H1256" s="28">
        <v>44753</v>
      </c>
      <c r="I1256" s="29">
        <f t="shared" ref="I1256" si="1461">YEAR(H1256)</f>
        <v>2022</v>
      </c>
      <c r="J1256" s="1" t="s">
        <v>1308</v>
      </c>
      <c r="K1256" s="1" t="s">
        <v>7</v>
      </c>
      <c r="L1256" s="11" t="str">
        <f t="shared" ref="L1256" si="1462">IF(OR(A1256=J1256,A1256=K1256),"ДА","НЕТ")</f>
        <v>НЕТ</v>
      </c>
      <c r="M1256" s="10" t="s">
        <v>1575</v>
      </c>
      <c r="N1256" s="10" t="s">
        <v>1575</v>
      </c>
      <c r="O1256" s="10" t="s">
        <v>1575</v>
      </c>
      <c r="P1256" s="10" t="str">
        <f t="shared" si="1353"/>
        <v>NA</v>
      </c>
      <c r="Q1256" s="10" t="str">
        <f t="shared" si="1354"/>
        <v>NA</v>
      </c>
      <c r="R1256" s="10" t="s">
        <v>1575</v>
      </c>
      <c r="S1256" s="10" t="s">
        <v>1575</v>
      </c>
      <c r="T1256" s="10" t="s">
        <v>1575</v>
      </c>
      <c r="U1256" s="10" t="s">
        <v>1575</v>
      </c>
      <c r="V1256" s="10" t="s">
        <v>1575</v>
      </c>
      <c r="W1256" s="10" t="s">
        <v>1575</v>
      </c>
      <c r="X1256" s="10" t="str">
        <f t="shared" ref="X1256" si="1463">IFERROR(V1256+W1256,"NA")</f>
        <v>NA</v>
      </c>
      <c r="Y1256" s="10" t="str">
        <f t="shared" ref="Y1256" si="1464">IFERROR(P1256/R1256,"NA")</f>
        <v>NA</v>
      </c>
      <c r="Z1256" s="10" t="str">
        <f t="shared" ref="Z1256" si="1465">IFERROR(P1256/U1256,"NA")</f>
        <v>NA</v>
      </c>
      <c r="AA1256" s="10" t="str">
        <f t="shared" ref="AA1256" si="1466">IFERROR(P1256/V1256,"NA")</f>
        <v>NA</v>
      </c>
      <c r="AB1256" s="10" t="str">
        <f t="shared" ref="AB1256" si="1467">IFERROR(Q1256/R1256,"NA")</f>
        <v>NA</v>
      </c>
      <c r="AC1256" s="10" t="str">
        <f t="shared" ref="AC1256" si="1468">IFERROR(Q1256/S1256,"NA")</f>
        <v>NA</v>
      </c>
      <c r="AD1256" s="10" t="str">
        <f t="shared" ref="AD1256" si="1469">IFERROR(Q1256/T1256,"NA")</f>
        <v>NA</v>
      </c>
      <c r="AE1256" s="10" t="str">
        <f t="shared" ref="AE1256" si="1470">IFERROR(Q1256/X1256,"NA")</f>
        <v>NA</v>
      </c>
      <c r="AF1256" s="1" t="s">
        <v>4658</v>
      </c>
    </row>
    <row r="1257" spans="1:32" x14ac:dyDescent="0.2">
      <c r="A1257" s="1" t="s">
        <v>4668</v>
      </c>
      <c r="B1257" s="1" t="s">
        <v>75</v>
      </c>
      <c r="C1257" s="1" t="s">
        <v>1575</v>
      </c>
      <c r="D1257" s="1" t="s">
        <v>1600</v>
      </c>
      <c r="E1257" s="1" t="s">
        <v>4456</v>
      </c>
      <c r="F1257" s="1" t="s">
        <v>4662</v>
      </c>
      <c r="G1257" s="4">
        <v>1</v>
      </c>
      <c r="H1257" s="28">
        <v>45113</v>
      </c>
      <c r="I1257" s="29">
        <f t="shared" ref="I1257" si="1471">YEAR(H1257)</f>
        <v>2023</v>
      </c>
      <c r="J1257" s="1" t="s">
        <v>1308</v>
      </c>
      <c r="K1257" s="1" t="s">
        <v>7</v>
      </c>
      <c r="L1257" s="11" t="str">
        <f t="shared" ref="L1257" si="1472">IF(OR(A1257=J1257,A1257=K1257),"ДА","НЕТ")</f>
        <v>НЕТ</v>
      </c>
      <c r="M1257" s="10" t="s">
        <v>1575</v>
      </c>
      <c r="N1257" s="10" t="s">
        <v>1575</v>
      </c>
      <c r="O1257" s="10">
        <v>0.73199999999999998</v>
      </c>
      <c r="P1257" s="10">
        <f t="shared" si="1353"/>
        <v>0.73199999999999998</v>
      </c>
      <c r="Q1257" s="10" t="str">
        <f t="shared" si="1354"/>
        <v>NA</v>
      </c>
      <c r="R1257" s="10" t="s">
        <v>1575</v>
      </c>
      <c r="S1257" s="10" t="s">
        <v>1575</v>
      </c>
      <c r="T1257" s="10" t="s">
        <v>1575</v>
      </c>
      <c r="U1257" s="10" t="s">
        <v>1575</v>
      </c>
      <c r="V1257" s="10">
        <v>3.9830000000000001</v>
      </c>
      <c r="W1257" s="10" t="s">
        <v>1575</v>
      </c>
      <c r="X1257" s="10" t="str">
        <f t="shared" ref="X1257" si="1473">IFERROR(V1257+W1257,"NA")</f>
        <v>NA</v>
      </c>
      <c r="Y1257" s="10" t="str">
        <f t="shared" ref="Y1257" si="1474">IFERROR(P1257/R1257,"NA")</f>
        <v>NA</v>
      </c>
      <c r="Z1257" s="10" t="str">
        <f t="shared" ref="Z1257" si="1475">IFERROR(P1257/U1257,"NA")</f>
        <v>NA</v>
      </c>
      <c r="AA1257" s="10">
        <f t="shared" ref="AA1257" si="1476">IFERROR(P1257/V1257,"NA")</f>
        <v>0.18378106954556866</v>
      </c>
      <c r="AB1257" s="10" t="str">
        <f t="shared" ref="AB1257" si="1477">IFERROR(Q1257/R1257,"NA")</f>
        <v>NA</v>
      </c>
      <c r="AC1257" s="10" t="str">
        <f t="shared" ref="AC1257" si="1478">IFERROR(Q1257/S1257,"NA")</f>
        <v>NA</v>
      </c>
      <c r="AD1257" s="10" t="str">
        <f t="shared" ref="AD1257" si="1479">IFERROR(Q1257/T1257,"NA")</f>
        <v>NA</v>
      </c>
      <c r="AE1257" s="10" t="str">
        <f t="shared" ref="AE1257" si="1480">IFERROR(Q1257/X1257,"NA")</f>
        <v>NA</v>
      </c>
      <c r="AF1257" s="1" t="s">
        <v>4659</v>
      </c>
    </row>
    <row r="1258" spans="1:32" x14ac:dyDescent="0.2">
      <c r="A1258" s="1" t="s">
        <v>5890</v>
      </c>
      <c r="B1258" s="1" t="s">
        <v>5</v>
      </c>
      <c r="C1258" s="1" t="s">
        <v>1575</v>
      </c>
      <c r="D1258" s="1" t="s">
        <v>1615</v>
      </c>
      <c r="E1258" s="1" t="s">
        <v>2172</v>
      </c>
      <c r="F1258" s="1" t="s">
        <v>2790</v>
      </c>
      <c r="G1258" s="4">
        <v>1</v>
      </c>
      <c r="H1258" s="28">
        <v>44645</v>
      </c>
      <c r="I1258" s="29">
        <f t="shared" ref="I1258:I1259" si="1481">YEAR(H1258)</f>
        <v>2022</v>
      </c>
      <c r="J1258" s="1" t="s">
        <v>1308</v>
      </c>
      <c r="K1258" s="1" t="s">
        <v>7</v>
      </c>
      <c r="L1258" s="11" t="str">
        <f t="shared" ref="L1258:L1259" si="1482">IF(OR(A1258=J1258,A1258=K1258),"ДА","НЕТ")</f>
        <v>НЕТ</v>
      </c>
      <c r="M1258" s="10" t="s">
        <v>1575</v>
      </c>
      <c r="N1258" s="10" t="s">
        <v>1575</v>
      </c>
      <c r="O1258" s="10">
        <v>1E-3</v>
      </c>
      <c r="P1258" s="10">
        <f t="shared" si="1353"/>
        <v>1E-3</v>
      </c>
      <c r="Q1258" s="10" t="str">
        <f t="shared" si="1354"/>
        <v>NA</v>
      </c>
      <c r="R1258" s="10" t="s">
        <v>1575</v>
      </c>
      <c r="S1258" s="10" t="s">
        <v>1575</v>
      </c>
      <c r="T1258" s="10" t="s">
        <v>1575</v>
      </c>
      <c r="U1258" s="10" t="s">
        <v>1575</v>
      </c>
      <c r="V1258" s="10" t="s">
        <v>1575</v>
      </c>
      <c r="W1258" s="10" t="s">
        <v>1575</v>
      </c>
      <c r="X1258" s="10" t="str">
        <f t="shared" ref="X1258:X1259" si="1483">IFERROR(V1258+W1258,"NA")</f>
        <v>NA</v>
      </c>
      <c r="Y1258" s="10" t="str">
        <f t="shared" ref="Y1258:Y1259" si="1484">IFERROR(P1258/R1258,"NA")</f>
        <v>NA</v>
      </c>
      <c r="Z1258" s="10" t="str">
        <f t="shared" ref="Z1258:Z1259" si="1485">IFERROR(P1258/U1258,"NA")</f>
        <v>NA</v>
      </c>
      <c r="AA1258" s="10" t="str">
        <f t="shared" ref="AA1258:AA1259" si="1486">IFERROR(P1258/V1258,"NA")</f>
        <v>NA</v>
      </c>
      <c r="AB1258" s="10" t="str">
        <f t="shared" ref="AB1258:AB1259" si="1487">IFERROR(Q1258/R1258,"NA")</f>
        <v>NA</v>
      </c>
      <c r="AC1258" s="10" t="str">
        <f t="shared" ref="AC1258:AC1259" si="1488">IFERROR(Q1258/S1258,"NA")</f>
        <v>NA</v>
      </c>
      <c r="AD1258" s="10" t="str">
        <f t="shared" ref="AD1258:AD1259" si="1489">IFERROR(Q1258/T1258,"NA")</f>
        <v>NA</v>
      </c>
      <c r="AE1258" s="10" t="str">
        <f t="shared" ref="AE1258:AE1259" si="1490">IFERROR(Q1258/X1258,"NA")</f>
        <v>NA</v>
      </c>
      <c r="AF1258" s="1" t="s">
        <v>4660</v>
      </c>
    </row>
    <row r="1259" spans="1:32" x14ac:dyDescent="0.2">
      <c r="A1259" s="1" t="s">
        <v>1308</v>
      </c>
      <c r="B1259" s="1" t="s">
        <v>5</v>
      </c>
      <c r="C1259" s="1" t="s">
        <v>1681</v>
      </c>
      <c r="D1259" s="1" t="s">
        <v>1600</v>
      </c>
      <c r="E1259" s="1" t="s">
        <v>3024</v>
      </c>
      <c r="F1259" s="1" t="s">
        <v>1309</v>
      </c>
      <c r="G1259" s="4">
        <f>5382079/153654624</f>
        <v>3.5027120303258823E-2</v>
      </c>
      <c r="H1259" s="28">
        <v>44376</v>
      </c>
      <c r="I1259" s="29">
        <f t="shared" si="1481"/>
        <v>2021</v>
      </c>
      <c r="J1259" s="1" t="s">
        <v>1308</v>
      </c>
      <c r="K1259" s="1" t="s">
        <v>7</v>
      </c>
      <c r="L1259" s="11" t="str">
        <f t="shared" si="1482"/>
        <v>ДА</v>
      </c>
      <c r="M1259" s="10" t="s">
        <v>1575</v>
      </c>
      <c r="N1259" s="10" t="s">
        <v>1575</v>
      </c>
      <c r="O1259" s="10">
        <v>149.61500000000001</v>
      </c>
      <c r="P1259" s="10">
        <f t="shared" si="1353"/>
        <v>4271.4045204018748</v>
      </c>
      <c r="Q1259" s="10">
        <f t="shared" si="1354"/>
        <v>4674.222520401875</v>
      </c>
      <c r="R1259" s="10">
        <v>1116.9690000000001</v>
      </c>
      <c r="S1259" s="10">
        <v>529.51199999999994</v>
      </c>
      <c r="T1259" s="10">
        <v>461.45699999999999</v>
      </c>
      <c r="U1259" s="10">
        <v>263.79199999999997</v>
      </c>
      <c r="V1259" s="10">
        <v>345.13299999999998</v>
      </c>
      <c r="W1259" s="10">
        <v>402.81799999999998</v>
      </c>
      <c r="X1259" s="10">
        <f t="shared" si="1483"/>
        <v>747.95100000000002</v>
      </c>
      <c r="Y1259" s="10">
        <f t="shared" si="1484"/>
        <v>3.8241030148570592</v>
      </c>
      <c r="Z1259" s="10">
        <f t="shared" si="1485"/>
        <v>16.192320162862693</v>
      </c>
      <c r="AA1259" s="10">
        <f t="shared" si="1486"/>
        <v>12.376111587132714</v>
      </c>
      <c r="AB1259" s="10">
        <f t="shared" si="1487"/>
        <v>4.1847379116178471</v>
      </c>
      <c r="AC1259" s="10">
        <f t="shared" si="1488"/>
        <v>8.8274156589498922</v>
      </c>
      <c r="AD1259" s="10">
        <f t="shared" si="1489"/>
        <v>10.129269943682456</v>
      </c>
      <c r="AE1259" s="10">
        <f t="shared" si="1490"/>
        <v>6.2493699726344039</v>
      </c>
      <c r="AF1259" s="1" t="s">
        <v>4661</v>
      </c>
    </row>
    <row r="1260" spans="1:32" x14ac:dyDescent="0.2">
      <c r="A1260" s="1" t="s">
        <v>1310</v>
      </c>
      <c r="B1260" s="1" t="s">
        <v>156</v>
      </c>
      <c r="C1260" s="1" t="s">
        <v>1575</v>
      </c>
      <c r="D1260" s="1" t="s">
        <v>1600</v>
      </c>
      <c r="E1260" s="1" t="s">
        <v>3024</v>
      </c>
      <c r="F1260" s="1" t="s">
        <v>1309</v>
      </c>
      <c r="G1260" s="4" t="s">
        <v>11</v>
      </c>
      <c r="H1260" s="28">
        <v>44104</v>
      </c>
      <c r="I1260" s="29">
        <f t="shared" si="1141"/>
        <v>2020</v>
      </c>
      <c r="J1260" s="1" t="s">
        <v>7</v>
      </c>
      <c r="K1260" s="1" t="s">
        <v>1308</v>
      </c>
      <c r="L1260" s="11" t="str">
        <f t="shared" si="1242"/>
        <v>НЕТ</v>
      </c>
      <c r="M1260" s="10" t="s">
        <v>1575</v>
      </c>
      <c r="N1260" s="10" t="s">
        <v>1575</v>
      </c>
      <c r="O1260" s="10">
        <v>2.286</v>
      </c>
      <c r="P1260" s="10" t="str">
        <f t="shared" si="1353"/>
        <v>NA</v>
      </c>
      <c r="Q1260" s="10" t="str">
        <f t="shared" si="1354"/>
        <v>NA</v>
      </c>
      <c r="R1260" s="10" t="s">
        <v>1575</v>
      </c>
      <c r="S1260" s="10" t="s">
        <v>1575</v>
      </c>
      <c r="T1260" s="10" t="s">
        <v>1575</v>
      </c>
      <c r="U1260" s="10" t="s">
        <v>1575</v>
      </c>
      <c r="V1260" s="10" t="s">
        <v>1575</v>
      </c>
      <c r="W1260" s="10" t="s">
        <v>1575</v>
      </c>
      <c r="X1260" s="10" t="str">
        <f t="shared" si="1425"/>
        <v>NA</v>
      </c>
      <c r="Y1260" s="10" t="str">
        <f t="shared" si="1426"/>
        <v>NA</v>
      </c>
      <c r="Z1260" s="10" t="str">
        <f t="shared" si="1427"/>
        <v>NA</v>
      </c>
      <c r="AA1260" s="10" t="str">
        <f t="shared" si="1428"/>
        <v>NA</v>
      </c>
      <c r="AB1260" s="10" t="str">
        <f t="shared" si="1429"/>
        <v>NA</v>
      </c>
      <c r="AC1260" s="10" t="str">
        <f t="shared" si="1430"/>
        <v>NA</v>
      </c>
      <c r="AD1260" s="10" t="str">
        <f t="shared" si="1431"/>
        <v>NA</v>
      </c>
      <c r="AE1260" s="10" t="str">
        <f t="shared" si="1432"/>
        <v>NA</v>
      </c>
      <c r="AF1260" s="1" t="s">
        <v>1311</v>
      </c>
    </row>
    <row r="1261" spans="1:32" x14ac:dyDescent="0.2">
      <c r="A1261" s="1" t="s">
        <v>1312</v>
      </c>
      <c r="B1261" s="1" t="s">
        <v>1575</v>
      </c>
      <c r="C1261" s="1" t="s">
        <v>1575</v>
      </c>
      <c r="D1261" s="1" t="s">
        <v>1584</v>
      </c>
      <c r="E1261" s="1" t="s">
        <v>3486</v>
      </c>
      <c r="F1261" s="1" t="s">
        <v>46</v>
      </c>
      <c r="G1261" s="4" t="s">
        <v>11</v>
      </c>
      <c r="H1261" s="28">
        <v>43650</v>
      </c>
      <c r="I1261" s="29">
        <f t="shared" ref="I1261:I1384" si="1491">YEAR(H1261)</f>
        <v>2019</v>
      </c>
      <c r="J1261" s="1" t="s">
        <v>7</v>
      </c>
      <c r="K1261" s="1" t="s">
        <v>1308</v>
      </c>
      <c r="L1261" s="11" t="str">
        <f t="shared" si="1242"/>
        <v>НЕТ</v>
      </c>
      <c r="M1261" s="10" t="s">
        <v>1575</v>
      </c>
      <c r="N1261" s="10" t="s">
        <v>1575</v>
      </c>
      <c r="O1261" s="10">
        <v>0.30199999999999999</v>
      </c>
      <c r="P1261" s="10" t="str">
        <f t="shared" si="1353"/>
        <v>NA</v>
      </c>
      <c r="Q1261" s="10" t="str">
        <f t="shared" si="1354"/>
        <v>NA</v>
      </c>
      <c r="R1261" s="10" t="s">
        <v>1575</v>
      </c>
      <c r="S1261" s="10" t="s">
        <v>1575</v>
      </c>
      <c r="T1261" s="10" t="s">
        <v>1575</v>
      </c>
      <c r="U1261" s="10" t="s">
        <v>1575</v>
      </c>
      <c r="V1261" s="10" t="s">
        <v>1575</v>
      </c>
      <c r="W1261" s="10" t="s">
        <v>1575</v>
      </c>
      <c r="X1261" s="10" t="str">
        <f t="shared" si="1425"/>
        <v>NA</v>
      </c>
      <c r="Y1261" s="10" t="str">
        <f t="shared" si="1426"/>
        <v>NA</v>
      </c>
      <c r="Z1261" s="10" t="str">
        <f t="shared" si="1427"/>
        <v>NA</v>
      </c>
      <c r="AA1261" s="10" t="str">
        <f t="shared" si="1428"/>
        <v>NA</v>
      </c>
      <c r="AB1261" s="10" t="str">
        <f t="shared" si="1429"/>
        <v>NA</v>
      </c>
      <c r="AC1261" s="10" t="str">
        <f t="shared" si="1430"/>
        <v>NA</v>
      </c>
      <c r="AD1261" s="10" t="str">
        <f t="shared" si="1431"/>
        <v>NA</v>
      </c>
      <c r="AE1261" s="10" t="str">
        <f t="shared" si="1432"/>
        <v>NA</v>
      </c>
      <c r="AF1261" s="1" t="s">
        <v>4669</v>
      </c>
    </row>
    <row r="1262" spans="1:32" x14ac:dyDescent="0.2">
      <c r="A1262" s="1" t="s">
        <v>5891</v>
      </c>
      <c r="B1262" s="1" t="s">
        <v>5</v>
      </c>
      <c r="C1262" s="1" t="s">
        <v>1575</v>
      </c>
      <c r="D1262" s="1" t="s">
        <v>1600</v>
      </c>
      <c r="E1262" s="1" t="s">
        <v>1677</v>
      </c>
      <c r="F1262" s="1" t="s">
        <v>1319</v>
      </c>
      <c r="G1262" s="4">
        <v>2.6599999999999999E-2</v>
      </c>
      <c r="H1262" s="28">
        <v>42886</v>
      </c>
      <c r="I1262" s="29">
        <f t="shared" si="1491"/>
        <v>2017</v>
      </c>
      <c r="J1262" s="1" t="s">
        <v>1315</v>
      </c>
      <c r="K1262" s="1" t="s">
        <v>1308</v>
      </c>
      <c r="L1262" s="11" t="str">
        <f t="shared" si="1242"/>
        <v>НЕТ</v>
      </c>
      <c r="M1262" s="10">
        <v>21</v>
      </c>
      <c r="N1262" s="10" t="s">
        <v>1575</v>
      </c>
      <c r="O1262" s="10">
        <v>1.2030000000000001</v>
      </c>
      <c r="P1262" s="10">
        <f t="shared" si="1353"/>
        <v>45.225563909774444</v>
      </c>
      <c r="Q1262" s="10" t="str">
        <f t="shared" si="1354"/>
        <v>NA</v>
      </c>
      <c r="R1262" s="10" t="s">
        <v>1575</v>
      </c>
      <c r="S1262" s="10" t="s">
        <v>1575</v>
      </c>
      <c r="T1262" s="10" t="s">
        <v>1575</v>
      </c>
      <c r="U1262" s="10">
        <v>-1.833</v>
      </c>
      <c r="V1262" s="10">
        <v>37.381999999999998</v>
      </c>
      <c r="W1262" s="10" t="s">
        <v>1575</v>
      </c>
      <c r="X1262" s="10" t="str">
        <f t="shared" si="1425"/>
        <v>NA</v>
      </c>
      <c r="Y1262" s="10" t="str">
        <f t="shared" si="1426"/>
        <v>NA</v>
      </c>
      <c r="Z1262" s="10">
        <f t="shared" si="1427"/>
        <v>-24.672975400858945</v>
      </c>
      <c r="AA1262" s="10">
        <f t="shared" si="1428"/>
        <v>1.2098219439777018</v>
      </c>
      <c r="AB1262" s="10" t="str">
        <f t="shared" si="1429"/>
        <v>NA</v>
      </c>
      <c r="AC1262" s="10" t="str">
        <f t="shared" si="1430"/>
        <v>NA</v>
      </c>
      <c r="AD1262" s="10" t="str">
        <f t="shared" si="1431"/>
        <v>NA</v>
      </c>
      <c r="AE1262" s="10" t="str">
        <f t="shared" si="1432"/>
        <v>NA</v>
      </c>
      <c r="AF1262" s="1" t="s">
        <v>1316</v>
      </c>
    </row>
    <row r="1263" spans="1:32" x14ac:dyDescent="0.2">
      <c r="A1263" s="1" t="s">
        <v>5891</v>
      </c>
      <c r="B1263" s="1" t="s">
        <v>5</v>
      </c>
      <c r="C1263" s="1" t="s">
        <v>1575</v>
      </c>
      <c r="D1263" s="1" t="s">
        <v>1600</v>
      </c>
      <c r="E1263" s="1" t="s">
        <v>1677</v>
      </c>
      <c r="F1263" s="1" t="s">
        <v>1319</v>
      </c>
      <c r="G1263" s="4">
        <v>0.36659999999999998</v>
      </c>
      <c r="H1263" s="28">
        <v>43039</v>
      </c>
      <c r="I1263" s="29">
        <f t="shared" si="1491"/>
        <v>2017</v>
      </c>
      <c r="J1263" s="1" t="s">
        <v>7</v>
      </c>
      <c r="K1263" s="1" t="s">
        <v>1308</v>
      </c>
      <c r="L1263" s="11" t="str">
        <f t="shared" si="1242"/>
        <v>НЕТ</v>
      </c>
      <c r="M1263" s="10">
        <v>275</v>
      </c>
      <c r="N1263" s="10" t="s">
        <v>1575</v>
      </c>
      <c r="O1263" s="10">
        <v>15.699</v>
      </c>
      <c r="P1263" s="10">
        <f t="shared" si="1353"/>
        <v>42.823240589198036</v>
      </c>
      <c r="Q1263" s="10" t="str">
        <f t="shared" si="1354"/>
        <v>NA</v>
      </c>
      <c r="R1263" s="10" t="s">
        <v>1575</v>
      </c>
      <c r="S1263" s="10" t="s">
        <v>1575</v>
      </c>
      <c r="T1263" s="10" t="s">
        <v>1575</v>
      </c>
      <c r="U1263" s="10">
        <v>-1.833</v>
      </c>
      <c r="V1263" s="10">
        <v>37.381999999999998</v>
      </c>
      <c r="W1263" s="10" t="s">
        <v>1575</v>
      </c>
      <c r="X1263" s="10" t="str">
        <f t="shared" si="1425"/>
        <v>NA</v>
      </c>
      <c r="Y1263" s="10" t="str">
        <f t="shared" si="1426"/>
        <v>NA</v>
      </c>
      <c r="Z1263" s="10">
        <f t="shared" si="1427"/>
        <v>-23.3623789357327</v>
      </c>
      <c r="AA1263" s="10">
        <f t="shared" si="1428"/>
        <v>1.1455577708308287</v>
      </c>
      <c r="AB1263" s="10" t="str">
        <f t="shared" si="1429"/>
        <v>NA</v>
      </c>
      <c r="AC1263" s="10" t="str">
        <f t="shared" si="1430"/>
        <v>NA</v>
      </c>
      <c r="AD1263" s="10" t="str">
        <f t="shared" si="1431"/>
        <v>NA</v>
      </c>
      <c r="AE1263" s="10" t="str">
        <f t="shared" si="1432"/>
        <v>NA</v>
      </c>
      <c r="AF1263" s="1" t="s">
        <v>1317</v>
      </c>
    </row>
    <row r="1264" spans="1:32" x14ac:dyDescent="0.2">
      <c r="A1264" s="1" t="s">
        <v>1314</v>
      </c>
      <c r="B1264" s="1" t="s">
        <v>1575</v>
      </c>
      <c r="C1264" s="1" t="s">
        <v>1575</v>
      </c>
      <c r="D1264" s="1" t="s">
        <v>1584</v>
      </c>
      <c r="E1264" s="1" t="s">
        <v>1586</v>
      </c>
      <c r="F1264" s="1" t="s">
        <v>66</v>
      </c>
      <c r="G1264" s="4" t="s">
        <v>11</v>
      </c>
      <c r="H1264" s="28">
        <v>42831</v>
      </c>
      <c r="I1264" s="29">
        <f t="shared" si="1491"/>
        <v>2017</v>
      </c>
      <c r="J1264" s="1" t="s">
        <v>7</v>
      </c>
      <c r="K1264" s="1" t="s">
        <v>1308</v>
      </c>
      <c r="L1264" s="11" t="str">
        <f t="shared" si="1242"/>
        <v>НЕТ</v>
      </c>
      <c r="M1264" s="10" t="s">
        <v>1575</v>
      </c>
      <c r="N1264" s="10" t="s">
        <v>1575</v>
      </c>
      <c r="O1264" s="10">
        <v>6.3490000000000002</v>
      </c>
      <c r="P1264" s="10" t="str">
        <f t="shared" si="1353"/>
        <v>NA</v>
      </c>
      <c r="Q1264" s="10" t="str">
        <f t="shared" si="1354"/>
        <v>NA</v>
      </c>
      <c r="R1264" s="10" t="s">
        <v>1575</v>
      </c>
      <c r="S1264" s="10" t="s">
        <v>1575</v>
      </c>
      <c r="T1264" s="10" t="s">
        <v>1575</v>
      </c>
      <c r="U1264" s="10" t="s">
        <v>1575</v>
      </c>
      <c r="V1264" s="10" t="s">
        <v>1575</v>
      </c>
      <c r="W1264" s="10" t="s">
        <v>1575</v>
      </c>
      <c r="X1264" s="10" t="str">
        <f t="shared" si="1425"/>
        <v>NA</v>
      </c>
      <c r="Y1264" s="10" t="str">
        <f t="shared" si="1426"/>
        <v>NA</v>
      </c>
      <c r="Z1264" s="10" t="str">
        <f t="shared" si="1427"/>
        <v>NA</v>
      </c>
      <c r="AA1264" s="10" t="str">
        <f t="shared" si="1428"/>
        <v>NA</v>
      </c>
      <c r="AB1264" s="10" t="str">
        <f t="shared" si="1429"/>
        <v>NA</v>
      </c>
      <c r="AC1264" s="10" t="str">
        <f t="shared" si="1430"/>
        <v>NA</v>
      </c>
      <c r="AD1264" s="10" t="str">
        <f t="shared" si="1431"/>
        <v>NA</v>
      </c>
      <c r="AE1264" s="10" t="str">
        <f t="shared" si="1432"/>
        <v>NA</v>
      </c>
      <c r="AF1264" s="1" t="s">
        <v>1313</v>
      </c>
    </row>
    <row r="1265" spans="1:32" x14ac:dyDescent="0.2">
      <c r="A1265" s="1" t="s">
        <v>5891</v>
      </c>
      <c r="B1265" s="1" t="s">
        <v>5</v>
      </c>
      <c r="C1265" s="1" t="s">
        <v>1575</v>
      </c>
      <c r="D1265" s="1" t="s">
        <v>1600</v>
      </c>
      <c r="E1265" s="1" t="s">
        <v>1677</v>
      </c>
      <c r="F1265" s="1" t="s">
        <v>1319</v>
      </c>
      <c r="G1265" s="4">
        <v>0.1067</v>
      </c>
      <c r="H1265" s="28">
        <v>42581</v>
      </c>
      <c r="I1265" s="29">
        <f t="shared" si="1491"/>
        <v>2016</v>
      </c>
      <c r="J1265" s="1" t="s">
        <v>1315</v>
      </c>
      <c r="K1265" s="1" t="s">
        <v>1308</v>
      </c>
      <c r="L1265" s="11" t="str">
        <f t="shared" si="1242"/>
        <v>НЕТ</v>
      </c>
      <c r="M1265" s="10">
        <v>80</v>
      </c>
      <c r="N1265" s="10" t="s">
        <v>1575</v>
      </c>
      <c r="O1265" s="10">
        <v>5.0490000000000004</v>
      </c>
      <c r="P1265" s="10">
        <f t="shared" si="1353"/>
        <v>47.319587628865982</v>
      </c>
      <c r="Q1265" s="10" t="str">
        <f t="shared" si="1354"/>
        <v>NA</v>
      </c>
      <c r="R1265" s="10" t="s">
        <v>1575</v>
      </c>
      <c r="S1265" s="10" t="s">
        <v>1575</v>
      </c>
      <c r="T1265" s="10" t="s">
        <v>1575</v>
      </c>
      <c r="U1265" s="10">
        <v>-0.30499999999999999</v>
      </c>
      <c r="V1265" s="10">
        <v>34.938000000000002</v>
      </c>
      <c r="W1265" s="10" t="s">
        <v>1575</v>
      </c>
      <c r="X1265" s="10" t="str">
        <f t="shared" si="1425"/>
        <v>NA</v>
      </c>
      <c r="Y1265" s="10" t="str">
        <f t="shared" si="1426"/>
        <v>NA</v>
      </c>
      <c r="Z1265" s="10">
        <f t="shared" si="1427"/>
        <v>-155.14618894710159</v>
      </c>
      <c r="AA1265" s="10">
        <f t="shared" si="1428"/>
        <v>1.3543874185375802</v>
      </c>
      <c r="AB1265" s="10" t="str">
        <f t="shared" si="1429"/>
        <v>NA</v>
      </c>
      <c r="AC1265" s="10" t="str">
        <f t="shared" si="1430"/>
        <v>NA</v>
      </c>
      <c r="AD1265" s="10" t="str">
        <f t="shared" si="1431"/>
        <v>NA</v>
      </c>
      <c r="AE1265" s="10" t="str">
        <f t="shared" si="1432"/>
        <v>NA</v>
      </c>
      <c r="AF1265" s="1" t="s">
        <v>1318</v>
      </c>
    </row>
    <row r="1266" spans="1:32" x14ac:dyDescent="0.2">
      <c r="A1266" s="1" t="s">
        <v>5892</v>
      </c>
      <c r="B1266" s="1" t="s">
        <v>5</v>
      </c>
      <c r="C1266" s="1" t="s">
        <v>1575</v>
      </c>
      <c r="D1266" s="1" t="s">
        <v>1615</v>
      </c>
      <c r="E1266" s="1" t="s">
        <v>1616</v>
      </c>
      <c r="F1266" s="1" t="s">
        <v>1320</v>
      </c>
      <c r="G1266" s="4">
        <v>0.748</v>
      </c>
      <c r="H1266" s="28">
        <v>42703</v>
      </c>
      <c r="I1266" s="29">
        <f t="shared" si="1491"/>
        <v>2016</v>
      </c>
      <c r="J1266" s="1" t="s">
        <v>7</v>
      </c>
      <c r="K1266" s="1" t="s">
        <v>1308</v>
      </c>
      <c r="L1266" s="11" t="str">
        <f t="shared" si="1242"/>
        <v>НЕТ</v>
      </c>
      <c r="M1266" s="10" t="s">
        <v>1575</v>
      </c>
      <c r="N1266" s="10" t="s">
        <v>1575</v>
      </c>
      <c r="O1266" s="10">
        <v>0.41899999999999998</v>
      </c>
      <c r="P1266" s="10">
        <f t="shared" si="1353"/>
        <v>0.56016042780748665</v>
      </c>
      <c r="Q1266" s="10" t="str">
        <f t="shared" si="1354"/>
        <v>NA</v>
      </c>
      <c r="R1266" s="10" t="s">
        <v>1575</v>
      </c>
      <c r="S1266" s="10" t="s">
        <v>1575</v>
      </c>
      <c r="T1266" s="10" t="s">
        <v>1575</v>
      </c>
      <c r="U1266" s="10" t="s">
        <v>1575</v>
      </c>
      <c r="V1266" s="10" t="s">
        <v>1575</v>
      </c>
      <c r="W1266" s="10" t="s">
        <v>1575</v>
      </c>
      <c r="X1266" s="10" t="str">
        <f t="shared" si="1425"/>
        <v>NA</v>
      </c>
      <c r="Y1266" s="10" t="str">
        <f t="shared" si="1426"/>
        <v>NA</v>
      </c>
      <c r="Z1266" s="10" t="str">
        <f t="shared" si="1427"/>
        <v>NA</v>
      </c>
      <c r="AA1266" s="10" t="str">
        <f t="shared" si="1428"/>
        <v>NA</v>
      </c>
      <c r="AB1266" s="10" t="str">
        <f t="shared" si="1429"/>
        <v>NA</v>
      </c>
      <c r="AC1266" s="10" t="str">
        <f t="shared" si="1430"/>
        <v>NA</v>
      </c>
      <c r="AD1266" s="10" t="str">
        <f t="shared" si="1431"/>
        <v>NA</v>
      </c>
      <c r="AE1266" s="10" t="str">
        <f t="shared" si="1432"/>
        <v>NA</v>
      </c>
      <c r="AF1266" s="1" t="s">
        <v>1321</v>
      </c>
    </row>
    <row r="1267" spans="1:32" x14ac:dyDescent="0.2">
      <c r="A1267" s="1" t="s">
        <v>5893</v>
      </c>
      <c r="B1267" s="1" t="s">
        <v>5</v>
      </c>
      <c r="C1267" s="1" t="s">
        <v>1575</v>
      </c>
      <c r="D1267" s="1" t="s">
        <v>1615</v>
      </c>
      <c r="E1267" s="1" t="s">
        <v>2172</v>
      </c>
      <c r="F1267" s="1" t="s">
        <v>155</v>
      </c>
      <c r="G1267" s="4">
        <v>0.96799999999999997</v>
      </c>
      <c r="H1267" s="28">
        <v>42475</v>
      </c>
      <c r="I1267" s="29">
        <f t="shared" si="1491"/>
        <v>2016</v>
      </c>
      <c r="J1267" s="1" t="s">
        <v>7</v>
      </c>
      <c r="K1267" s="1" t="s">
        <v>1308</v>
      </c>
      <c r="L1267" s="11" t="str">
        <f t="shared" si="1242"/>
        <v>НЕТ</v>
      </c>
      <c r="M1267" s="10" t="s">
        <v>1575</v>
      </c>
      <c r="N1267" s="10" t="s">
        <v>1575</v>
      </c>
      <c r="O1267" s="10">
        <v>0.64</v>
      </c>
      <c r="P1267" s="10">
        <f t="shared" si="1353"/>
        <v>0.66115702479338845</v>
      </c>
      <c r="Q1267" s="10" t="str">
        <f t="shared" si="1354"/>
        <v>NA</v>
      </c>
      <c r="R1267" s="10" t="s">
        <v>1575</v>
      </c>
      <c r="S1267" s="10" t="s">
        <v>1575</v>
      </c>
      <c r="T1267" s="10" t="s">
        <v>1575</v>
      </c>
      <c r="U1267" s="10" t="s">
        <v>1575</v>
      </c>
      <c r="V1267" s="10" t="s">
        <v>1575</v>
      </c>
      <c r="W1267" s="10" t="s">
        <v>1575</v>
      </c>
      <c r="X1267" s="10" t="str">
        <f t="shared" si="1425"/>
        <v>NA</v>
      </c>
      <c r="Y1267" s="10" t="str">
        <f t="shared" si="1426"/>
        <v>NA</v>
      </c>
      <c r="Z1267" s="10" t="str">
        <f t="shared" si="1427"/>
        <v>NA</v>
      </c>
      <c r="AA1267" s="10" t="str">
        <f t="shared" si="1428"/>
        <v>NA</v>
      </c>
      <c r="AB1267" s="10" t="str">
        <f t="shared" si="1429"/>
        <v>NA</v>
      </c>
      <c r="AC1267" s="10" t="str">
        <f t="shared" si="1430"/>
        <v>NA</v>
      </c>
      <c r="AD1267" s="10" t="str">
        <f t="shared" si="1431"/>
        <v>NA</v>
      </c>
      <c r="AE1267" s="10" t="str">
        <f t="shared" si="1432"/>
        <v>NA</v>
      </c>
      <c r="AF1267" s="1" t="s">
        <v>4676</v>
      </c>
    </row>
    <row r="1268" spans="1:32" x14ac:dyDescent="0.2">
      <c r="A1268" s="1" t="s">
        <v>1308</v>
      </c>
      <c r="B1268" s="1" t="s">
        <v>5</v>
      </c>
      <c r="C1268" s="1" t="s">
        <v>1681</v>
      </c>
      <c r="D1268" s="1" t="s">
        <v>1600</v>
      </c>
      <c r="E1268" s="1" t="s">
        <v>3024</v>
      </c>
      <c r="F1268" s="1" t="s">
        <v>1309</v>
      </c>
      <c r="G1268" s="4">
        <f>1250075/153654624</f>
        <v>8.1356158861838092E-3</v>
      </c>
      <c r="H1268" s="28">
        <v>42735</v>
      </c>
      <c r="I1268" s="29">
        <f t="shared" si="1491"/>
        <v>2016</v>
      </c>
      <c r="J1268" s="1" t="s">
        <v>7</v>
      </c>
      <c r="K1268" s="1" t="s">
        <v>1308</v>
      </c>
      <c r="L1268" s="11" t="str">
        <f t="shared" si="1242"/>
        <v>ДА</v>
      </c>
      <c r="M1268" s="10" t="s">
        <v>1575</v>
      </c>
      <c r="N1268" s="10" t="s">
        <v>1575</v>
      </c>
      <c r="O1268" s="10">
        <v>9.8550000000000004</v>
      </c>
      <c r="P1268" s="10">
        <f t="shared" si="1353"/>
        <v>1211.3403751934884</v>
      </c>
      <c r="Q1268" s="10">
        <f t="shared" si="1354"/>
        <v>1556.9273751934884</v>
      </c>
      <c r="R1268" s="10">
        <v>548.56399999999996</v>
      </c>
      <c r="S1268" s="10">
        <v>253.797</v>
      </c>
      <c r="T1268" s="10">
        <v>216.523</v>
      </c>
      <c r="U1268" s="10">
        <v>167.44399999999999</v>
      </c>
      <c r="V1268" s="10">
        <v>236.501</v>
      </c>
      <c r="W1268" s="10">
        <v>345.58699999999999</v>
      </c>
      <c r="X1268" s="10">
        <f t="shared" si="1425"/>
        <v>582.08799999999997</v>
      </c>
      <c r="Y1268" s="10">
        <f t="shared" si="1426"/>
        <v>2.2082024616881322</v>
      </c>
      <c r="Z1268" s="10">
        <f t="shared" si="1427"/>
        <v>7.2343014691090062</v>
      </c>
      <c r="AA1268" s="10">
        <f t="shared" si="1428"/>
        <v>5.1219249609662896</v>
      </c>
      <c r="AB1268" s="10">
        <f t="shared" si="1429"/>
        <v>2.8381872948160809</v>
      </c>
      <c r="AC1268" s="10">
        <f t="shared" si="1430"/>
        <v>6.134538135570903</v>
      </c>
      <c r="AD1268" s="10">
        <f t="shared" si="1431"/>
        <v>7.1905865667549795</v>
      </c>
      <c r="AE1268" s="10">
        <f t="shared" si="1432"/>
        <v>2.6747285207623048</v>
      </c>
      <c r="AF1268" s="1" t="s">
        <v>4678</v>
      </c>
    </row>
    <row r="1269" spans="1:32" x14ac:dyDescent="0.2">
      <c r="A1269" s="1" t="s">
        <v>1308</v>
      </c>
      <c r="B1269" s="1" t="s">
        <v>5</v>
      </c>
      <c r="C1269" s="1" t="s">
        <v>1681</v>
      </c>
      <c r="D1269" s="1" t="s">
        <v>1600</v>
      </c>
      <c r="E1269" s="1" t="s">
        <v>3024</v>
      </c>
      <c r="F1269" s="1" t="s">
        <v>1309</v>
      </c>
      <c r="G1269" s="4">
        <f>1250075/153654624</f>
        <v>8.1356158861838092E-3</v>
      </c>
      <c r="H1269" s="28">
        <v>42369</v>
      </c>
      <c r="I1269" s="29">
        <f t="shared" ref="I1269" si="1492">YEAR(H1269)</f>
        <v>2015</v>
      </c>
      <c r="J1269" s="1" t="s">
        <v>1308</v>
      </c>
      <c r="K1269" s="1" t="s">
        <v>7</v>
      </c>
      <c r="L1269" s="11" t="str">
        <f t="shared" ref="L1269" si="1493">IF(OR(A1269=J1269,A1269=K1269),"ДА","НЕТ")</f>
        <v>ДА</v>
      </c>
      <c r="M1269" s="10" t="s">
        <v>1575</v>
      </c>
      <c r="N1269" s="10" t="s">
        <v>1575</v>
      </c>
      <c r="O1269" s="10">
        <v>12.012</v>
      </c>
      <c r="P1269" s="10">
        <f t="shared" si="1353"/>
        <v>1476.4708865372079</v>
      </c>
      <c r="Q1269" s="10">
        <f t="shared" si="1354"/>
        <v>1821.9898865372079</v>
      </c>
      <c r="R1269" s="10">
        <v>506.14</v>
      </c>
      <c r="S1269" s="10">
        <v>226.72399999999999</v>
      </c>
      <c r="T1269" s="10">
        <v>195.988</v>
      </c>
      <c r="U1269" s="10">
        <v>104.056</v>
      </c>
      <c r="V1269" s="10">
        <v>164.88499999999999</v>
      </c>
      <c r="W1269" s="10">
        <v>345.51900000000001</v>
      </c>
      <c r="X1269" s="10">
        <f t="shared" ref="X1269" si="1494">IFERROR(V1269+W1269,"NA")</f>
        <v>510.404</v>
      </c>
      <c r="Y1269" s="10">
        <f t="shared" ref="Y1269" si="1495">IFERROR(P1269/R1269,"NA")</f>
        <v>2.9171195450610661</v>
      </c>
      <c r="Z1269" s="10">
        <f t="shared" ref="Z1269" si="1496">IFERROR(P1269/U1269,"NA")</f>
        <v>14.189195111643807</v>
      </c>
      <c r="AA1269" s="10">
        <f t="shared" ref="AA1269" si="1497">IFERROR(P1269/V1269,"NA")</f>
        <v>8.9545494528744758</v>
      </c>
      <c r="AB1269" s="10">
        <f t="shared" ref="AB1269" si="1498">IFERROR(Q1269/R1269,"NA")</f>
        <v>3.5997745417023115</v>
      </c>
      <c r="AC1269" s="10">
        <f t="shared" ref="AC1269" si="1499">IFERROR(Q1269/S1269,"NA")</f>
        <v>8.0361580006404623</v>
      </c>
      <c r="AD1269" s="10">
        <f t="shared" ref="AD1269" si="1500">IFERROR(Q1269/T1269,"NA")</f>
        <v>9.296435937594179</v>
      </c>
      <c r="AE1269" s="10">
        <f t="shared" ref="AE1269" si="1501">IFERROR(Q1269/X1269,"NA")</f>
        <v>3.5697014258062394</v>
      </c>
      <c r="AF1269" s="1" t="s">
        <v>4679</v>
      </c>
    </row>
    <row r="1270" spans="1:32" x14ac:dyDescent="0.2">
      <c r="A1270" s="1" t="s">
        <v>4671</v>
      </c>
      <c r="B1270" s="1" t="s">
        <v>5</v>
      </c>
      <c r="C1270" s="1" t="s">
        <v>1603</v>
      </c>
      <c r="D1270" s="1" t="s">
        <v>1601</v>
      </c>
      <c r="E1270" s="1" t="s">
        <v>1608</v>
      </c>
      <c r="F1270" s="1" t="s">
        <v>1562</v>
      </c>
      <c r="G1270" s="4">
        <v>0.1235</v>
      </c>
      <c r="H1270" s="28">
        <v>42369</v>
      </c>
      <c r="I1270" s="29">
        <f t="shared" ref="I1270" si="1502">YEAR(H1270)</f>
        <v>2015</v>
      </c>
      <c r="J1270" s="1" t="s">
        <v>7</v>
      </c>
      <c r="K1270" s="1" t="s">
        <v>1308</v>
      </c>
      <c r="L1270" s="11" t="str">
        <f t="shared" ref="L1270" si="1503">IF(OR(A1270=J1270,A1270=K1270),"ДА","НЕТ")</f>
        <v>НЕТ</v>
      </c>
      <c r="M1270" s="10" t="s">
        <v>1575</v>
      </c>
      <c r="N1270" s="10" t="s">
        <v>1575</v>
      </c>
      <c r="O1270" s="10">
        <v>14.063000000000001</v>
      </c>
      <c r="P1270" s="10">
        <f t="shared" si="1353"/>
        <v>113.87044534412956</v>
      </c>
      <c r="Q1270" s="10">
        <f t="shared" si="1354"/>
        <v>106.31244534412957</v>
      </c>
      <c r="R1270" s="10">
        <v>831.98699999999997</v>
      </c>
      <c r="S1270" s="10">
        <v>48.721000000000004</v>
      </c>
      <c r="T1270" s="10">
        <v>25.742999999999999</v>
      </c>
      <c r="U1270" s="10">
        <v>23.821999999999999</v>
      </c>
      <c r="V1270" s="10">
        <v>365.36799999999994</v>
      </c>
      <c r="W1270" s="10">
        <v>-7.5579999999999998</v>
      </c>
      <c r="X1270" s="10">
        <f t="shared" ref="X1270" si="1504">IFERROR(V1270+W1270,"NA")</f>
        <v>357.80999999999995</v>
      </c>
      <c r="Y1270" s="10">
        <f t="shared" ref="Y1270" si="1505">IFERROR(P1270/R1270,"NA")</f>
        <v>0.13686565456446984</v>
      </c>
      <c r="Z1270" s="10">
        <f t="shared" ref="Z1270" si="1506">IFERROR(P1270/U1270,"NA")</f>
        <v>4.780053956180403</v>
      </c>
      <c r="AA1270" s="10">
        <f t="shared" ref="AA1270" si="1507">IFERROR(P1270/V1270,"NA")</f>
        <v>0.31165960167318862</v>
      </c>
      <c r="AB1270" s="10">
        <f t="shared" ref="AB1270" si="1508">IFERROR(Q1270/R1270,"NA")</f>
        <v>0.12778137800726402</v>
      </c>
      <c r="AC1270" s="10">
        <f t="shared" ref="AC1270" si="1509">IFERROR(Q1270/S1270,"NA")</f>
        <v>2.1820661592358443</v>
      </c>
      <c r="AD1270" s="10">
        <f t="shared" ref="AD1270" si="1510">IFERROR(Q1270/T1270,"NA")</f>
        <v>4.1297613077003295</v>
      </c>
      <c r="AE1270" s="10">
        <f t="shared" ref="AE1270" si="1511">IFERROR(Q1270/X1270,"NA")</f>
        <v>0.29711982712649054</v>
      </c>
      <c r="AF1270" s="1" t="s">
        <v>4673</v>
      </c>
    </row>
    <row r="1271" spans="1:32" x14ac:dyDescent="0.2">
      <c r="A1271" s="1" t="s">
        <v>159</v>
      </c>
      <c r="B1271" s="1" t="s">
        <v>156</v>
      </c>
      <c r="C1271" s="1" t="s">
        <v>1575</v>
      </c>
      <c r="D1271" s="1" t="s">
        <v>1600</v>
      </c>
      <c r="E1271" s="1" t="s">
        <v>1653</v>
      </c>
      <c r="F1271" s="1" t="s">
        <v>157</v>
      </c>
      <c r="G1271" s="4" t="s">
        <v>7</v>
      </c>
      <c r="H1271" s="28">
        <v>42004</v>
      </c>
      <c r="I1271" s="29">
        <f t="shared" si="1491"/>
        <v>2014</v>
      </c>
      <c r="J1271" s="1" t="s">
        <v>7</v>
      </c>
      <c r="K1271" s="1" t="s">
        <v>1308</v>
      </c>
      <c r="L1271" s="11" t="str">
        <f t="shared" si="1242"/>
        <v>НЕТ</v>
      </c>
      <c r="M1271" s="10" t="s">
        <v>1575</v>
      </c>
      <c r="N1271" s="10" t="s">
        <v>1575</v>
      </c>
      <c r="O1271" s="10">
        <v>0.151</v>
      </c>
      <c r="P1271" s="10" t="str">
        <f t="shared" si="1353"/>
        <v>NA</v>
      </c>
      <c r="Q1271" s="10" t="str">
        <f t="shared" si="1354"/>
        <v>NA</v>
      </c>
      <c r="R1271" s="10" t="s">
        <v>1575</v>
      </c>
      <c r="S1271" s="10" t="s">
        <v>1575</v>
      </c>
      <c r="T1271" s="10" t="s">
        <v>1575</v>
      </c>
      <c r="U1271" s="10" t="s">
        <v>1575</v>
      </c>
      <c r="V1271" s="10">
        <v>-0.98</v>
      </c>
      <c r="W1271" s="10" t="s">
        <v>1575</v>
      </c>
      <c r="X1271" s="10" t="str">
        <f t="shared" si="1425"/>
        <v>NA</v>
      </c>
      <c r="Y1271" s="10" t="str">
        <f t="shared" si="1426"/>
        <v>NA</v>
      </c>
      <c r="Z1271" s="10" t="str">
        <f t="shared" si="1427"/>
        <v>NA</v>
      </c>
      <c r="AA1271" s="10" t="str">
        <f t="shared" si="1428"/>
        <v>NA</v>
      </c>
      <c r="AB1271" s="10" t="str">
        <f t="shared" si="1429"/>
        <v>NA</v>
      </c>
      <c r="AC1271" s="10" t="str">
        <f t="shared" si="1430"/>
        <v>NA</v>
      </c>
      <c r="AD1271" s="10" t="str">
        <f t="shared" si="1431"/>
        <v>NA</v>
      </c>
      <c r="AE1271" s="10" t="str">
        <f t="shared" si="1432"/>
        <v>NA</v>
      </c>
      <c r="AF1271" s="1" t="s">
        <v>4677</v>
      </c>
    </row>
    <row r="1272" spans="1:32" x14ac:dyDescent="0.2">
      <c r="A1272" s="1" t="s">
        <v>5894</v>
      </c>
      <c r="B1272" s="1" t="s">
        <v>88</v>
      </c>
      <c r="C1272" s="1" t="s">
        <v>1575</v>
      </c>
      <c r="D1272" s="1" t="s">
        <v>1600</v>
      </c>
      <c r="E1272" s="1" t="s">
        <v>3024</v>
      </c>
      <c r="F1272" s="1" t="s">
        <v>1319</v>
      </c>
      <c r="G1272" s="4" t="s">
        <v>1575</v>
      </c>
      <c r="H1272" s="28">
        <v>41929</v>
      </c>
      <c r="I1272" s="29">
        <f t="shared" si="1491"/>
        <v>2014</v>
      </c>
      <c r="J1272" s="1" t="s">
        <v>4675</v>
      </c>
      <c r="K1272" s="1" t="s">
        <v>1308</v>
      </c>
      <c r="L1272" s="11" t="str">
        <f t="shared" si="1242"/>
        <v>НЕТ</v>
      </c>
      <c r="M1272" s="10">
        <v>337</v>
      </c>
      <c r="N1272" s="10" t="s">
        <v>1575</v>
      </c>
      <c r="O1272" s="10">
        <v>18.96</v>
      </c>
      <c r="P1272" s="10" t="str">
        <f t="shared" si="1353"/>
        <v>NA</v>
      </c>
      <c r="Q1272" s="10" t="str">
        <f t="shared" si="1354"/>
        <v>NA</v>
      </c>
      <c r="R1272" s="10" t="s">
        <v>1575</v>
      </c>
      <c r="S1272" s="10" t="s">
        <v>1575</v>
      </c>
      <c r="T1272" s="10" t="s">
        <v>1575</v>
      </c>
      <c r="U1272" s="10" t="s">
        <v>1575</v>
      </c>
      <c r="V1272" s="10">
        <f>(564.503+11.565+4.36+115.972+10.484+3.954+16.808+201.706-441.311-26.751-31.714-21.416-35.05-97.794-18.223-0.186-8.846)*39.3866/1000</f>
        <v>9.7702793826000072</v>
      </c>
      <c r="W1272" s="10">
        <f>(441.311+21.416+35.05-201.706)*39.3866/1000</f>
        <v>11.661230048600002</v>
      </c>
      <c r="X1272" s="10">
        <f t="shared" si="1425"/>
        <v>21.431509431200009</v>
      </c>
      <c r="Y1272" s="10" t="str">
        <f t="shared" si="1426"/>
        <v>NA</v>
      </c>
      <c r="Z1272" s="10" t="str">
        <f t="shared" si="1427"/>
        <v>NA</v>
      </c>
      <c r="AA1272" s="10" t="str">
        <f t="shared" si="1428"/>
        <v>NA</v>
      </c>
      <c r="AB1272" s="10" t="str">
        <f t="shared" si="1429"/>
        <v>NA</v>
      </c>
      <c r="AC1272" s="10" t="str">
        <f t="shared" si="1430"/>
        <v>NA</v>
      </c>
      <c r="AD1272" s="10" t="str">
        <f t="shared" si="1431"/>
        <v>NA</v>
      </c>
      <c r="AE1272" s="10" t="str">
        <f t="shared" si="1432"/>
        <v>NA</v>
      </c>
      <c r="AF1272" s="1" t="s">
        <v>4674</v>
      </c>
    </row>
    <row r="1273" spans="1:32" x14ac:dyDescent="0.2">
      <c r="A1273" s="1" t="s">
        <v>5895</v>
      </c>
      <c r="B1273" s="1" t="s">
        <v>5</v>
      </c>
      <c r="C1273" s="1" t="s">
        <v>1575</v>
      </c>
      <c r="D1273" s="1" t="s">
        <v>1615</v>
      </c>
      <c r="E1273" s="1" t="s">
        <v>3897</v>
      </c>
      <c r="F1273" s="1" t="s">
        <v>161</v>
      </c>
      <c r="G1273" s="4">
        <v>0.1105</v>
      </c>
      <c r="H1273" s="28">
        <v>42044</v>
      </c>
      <c r="I1273" s="29">
        <f t="shared" si="1491"/>
        <v>2015</v>
      </c>
      <c r="J1273" s="1" t="s">
        <v>1308</v>
      </c>
      <c r="K1273" s="1" t="s">
        <v>7</v>
      </c>
      <c r="L1273" s="11" t="str">
        <f t="shared" si="1242"/>
        <v>НЕТ</v>
      </c>
      <c r="M1273" s="10" t="s">
        <v>1575</v>
      </c>
      <c r="N1273" s="10" t="s">
        <v>1575</v>
      </c>
      <c r="O1273" s="10">
        <v>0.161</v>
      </c>
      <c r="P1273" s="10">
        <f t="shared" si="1353"/>
        <v>1.4570135746606334</v>
      </c>
      <c r="Q1273" s="10" t="str">
        <f t="shared" si="1354"/>
        <v>NA</v>
      </c>
      <c r="R1273" s="10" t="s">
        <v>1575</v>
      </c>
      <c r="S1273" s="10" t="s">
        <v>1575</v>
      </c>
      <c r="T1273" s="10" t="s">
        <v>1575</v>
      </c>
      <c r="U1273" s="10" t="s">
        <v>1575</v>
      </c>
      <c r="V1273" s="10" t="s">
        <v>1575</v>
      </c>
      <c r="W1273" s="10" t="s">
        <v>1575</v>
      </c>
      <c r="X1273" s="10" t="str">
        <f t="shared" si="1425"/>
        <v>NA</v>
      </c>
      <c r="Y1273" s="10" t="str">
        <f t="shared" si="1426"/>
        <v>NA</v>
      </c>
      <c r="Z1273" s="10" t="str">
        <f t="shared" si="1427"/>
        <v>NA</v>
      </c>
      <c r="AA1273" s="10" t="str">
        <f t="shared" si="1428"/>
        <v>NA</v>
      </c>
      <c r="AB1273" s="10" t="str">
        <f t="shared" si="1429"/>
        <v>NA</v>
      </c>
      <c r="AC1273" s="10" t="str">
        <f t="shared" si="1430"/>
        <v>NA</v>
      </c>
      <c r="AD1273" s="10" t="str">
        <f t="shared" si="1431"/>
        <v>NA</v>
      </c>
      <c r="AE1273" s="10" t="str">
        <f t="shared" si="1432"/>
        <v>NA</v>
      </c>
      <c r="AF1273" s="1" t="s">
        <v>4683</v>
      </c>
    </row>
    <row r="1274" spans="1:32" x14ac:dyDescent="0.2">
      <c r="A1274" s="1" t="s">
        <v>5896</v>
      </c>
      <c r="B1274" s="1" t="s">
        <v>5</v>
      </c>
      <c r="C1274" s="1" t="s">
        <v>1575</v>
      </c>
      <c r="D1274" s="1" t="s">
        <v>1597</v>
      </c>
      <c r="E1274" s="1" t="s">
        <v>1661</v>
      </c>
      <c r="F1274" s="1" t="s">
        <v>160</v>
      </c>
      <c r="G1274" s="4">
        <v>0.39050000000000001</v>
      </c>
      <c r="H1274" s="28">
        <v>42074</v>
      </c>
      <c r="I1274" s="29">
        <f t="shared" si="1491"/>
        <v>2015</v>
      </c>
      <c r="J1274" s="1" t="s">
        <v>1308</v>
      </c>
      <c r="K1274" s="1" t="s">
        <v>7</v>
      </c>
      <c r="L1274" s="11" t="str">
        <f t="shared" si="1242"/>
        <v>НЕТ</v>
      </c>
      <c r="M1274" s="10" t="s">
        <v>1575</v>
      </c>
      <c r="N1274" s="10" t="s">
        <v>1575</v>
      </c>
      <c r="O1274" s="10">
        <v>1.369</v>
      </c>
      <c r="P1274" s="10">
        <f t="shared" si="1353"/>
        <v>3.5057618437900127</v>
      </c>
      <c r="Q1274" s="10">
        <f t="shared" si="1354"/>
        <v>4.5587618437900126</v>
      </c>
      <c r="R1274" s="10" t="s">
        <v>1575</v>
      </c>
      <c r="S1274" s="10" t="s">
        <v>1575</v>
      </c>
      <c r="T1274" s="10" t="s">
        <v>1575</v>
      </c>
      <c r="U1274" s="10" t="s">
        <v>1575</v>
      </c>
      <c r="V1274" s="10">
        <v>1.9430000000000001</v>
      </c>
      <c r="W1274" s="10">
        <f>1.174-0.121</f>
        <v>1.0529999999999999</v>
      </c>
      <c r="X1274" s="10">
        <f t="shared" si="1425"/>
        <v>2.996</v>
      </c>
      <c r="Y1274" s="10" t="str">
        <f t="shared" si="1426"/>
        <v>NA</v>
      </c>
      <c r="Z1274" s="10" t="str">
        <f t="shared" si="1427"/>
        <v>NA</v>
      </c>
      <c r="AA1274" s="10">
        <f t="shared" si="1428"/>
        <v>1.8043035737467898</v>
      </c>
      <c r="AB1274" s="10" t="str">
        <f t="shared" si="1429"/>
        <v>NA</v>
      </c>
      <c r="AC1274" s="10" t="str">
        <f t="shared" si="1430"/>
        <v>NA</v>
      </c>
      <c r="AD1274" s="10" t="str">
        <f t="shared" si="1431"/>
        <v>NA</v>
      </c>
      <c r="AE1274" s="10">
        <f t="shared" si="1432"/>
        <v>1.521616102733649</v>
      </c>
      <c r="AF1274" s="1" t="s">
        <v>4682</v>
      </c>
    </row>
    <row r="1275" spans="1:32" x14ac:dyDescent="0.2">
      <c r="A1275" s="1" t="s">
        <v>5896</v>
      </c>
      <c r="B1275" s="1" t="s">
        <v>5</v>
      </c>
      <c r="C1275" s="1" t="s">
        <v>1575</v>
      </c>
      <c r="D1275" s="1" t="s">
        <v>1597</v>
      </c>
      <c r="E1275" s="1" t="s">
        <v>1661</v>
      </c>
      <c r="F1275" s="1" t="s">
        <v>160</v>
      </c>
      <c r="G1275" s="4">
        <v>0.157</v>
      </c>
      <c r="H1275" s="28">
        <v>41334</v>
      </c>
      <c r="I1275" s="29">
        <f t="shared" si="1491"/>
        <v>2013</v>
      </c>
      <c r="J1275" s="1" t="s">
        <v>1308</v>
      </c>
      <c r="K1275" s="1" t="s">
        <v>7</v>
      </c>
      <c r="L1275" s="11" t="str">
        <f t="shared" si="1242"/>
        <v>НЕТ</v>
      </c>
      <c r="M1275" s="10" t="s">
        <v>1575</v>
      </c>
      <c r="N1275" s="10" t="s">
        <v>1575</v>
      </c>
      <c r="O1275" s="10">
        <v>0.57599999999999996</v>
      </c>
      <c r="P1275" s="10">
        <f t="shared" si="1353"/>
        <v>3.6687898089171971</v>
      </c>
      <c r="Q1275" s="10">
        <f t="shared" si="1354"/>
        <v>4.7217898089171975</v>
      </c>
      <c r="R1275" s="10" t="s">
        <v>1575</v>
      </c>
      <c r="S1275" s="10" t="s">
        <v>1575</v>
      </c>
      <c r="T1275" s="10" t="s">
        <v>1575</v>
      </c>
      <c r="U1275" s="10" t="s">
        <v>1575</v>
      </c>
      <c r="V1275" s="10">
        <v>2.9430000000000001</v>
      </c>
      <c r="W1275" s="10">
        <f>1.174-0.121</f>
        <v>1.0529999999999999</v>
      </c>
      <c r="X1275" s="10">
        <f t="shared" si="1425"/>
        <v>3.996</v>
      </c>
      <c r="Y1275" s="10" t="str">
        <f t="shared" si="1426"/>
        <v>NA</v>
      </c>
      <c r="Z1275" s="10" t="str">
        <f t="shared" si="1427"/>
        <v>NA</v>
      </c>
      <c r="AA1275" s="10">
        <f t="shared" si="1428"/>
        <v>1.2466156333391767</v>
      </c>
      <c r="AB1275" s="10" t="str">
        <f t="shared" si="1429"/>
        <v>NA</v>
      </c>
      <c r="AC1275" s="10" t="str">
        <f t="shared" si="1430"/>
        <v>NA</v>
      </c>
      <c r="AD1275" s="10" t="str">
        <f t="shared" si="1431"/>
        <v>NA</v>
      </c>
      <c r="AE1275" s="10">
        <f t="shared" si="1432"/>
        <v>1.1816290813106101</v>
      </c>
      <c r="AF1275" s="1" t="s">
        <v>4680</v>
      </c>
    </row>
    <row r="1276" spans="1:32" x14ac:dyDescent="0.2">
      <c r="A1276" s="1" t="s">
        <v>5897</v>
      </c>
      <c r="B1276" s="1" t="s">
        <v>5</v>
      </c>
      <c r="C1276" s="1" t="s">
        <v>1575</v>
      </c>
      <c r="D1276" s="1" t="s">
        <v>1580</v>
      </c>
      <c r="E1276" s="1" t="s">
        <v>1581</v>
      </c>
      <c r="F1276" s="1" t="s">
        <v>158</v>
      </c>
      <c r="G1276" s="4" t="s">
        <v>1575</v>
      </c>
      <c r="H1276" s="28">
        <v>41557</v>
      </c>
      <c r="I1276" s="29">
        <f t="shared" ref="I1276" si="1512">YEAR(H1276)</f>
        <v>2013</v>
      </c>
      <c r="J1276" s="1" t="s">
        <v>7</v>
      </c>
      <c r="K1276" s="1" t="s">
        <v>1308</v>
      </c>
      <c r="L1276" s="11" t="str">
        <f t="shared" ref="L1276" si="1513">IF(OR(A1276=J1276,A1276=K1276),"ДА","НЕТ")</f>
        <v>НЕТ</v>
      </c>
      <c r="M1276" s="10" t="s">
        <v>1575</v>
      </c>
      <c r="N1276" s="10" t="s">
        <v>1575</v>
      </c>
      <c r="O1276" s="10">
        <v>2.75</v>
      </c>
      <c r="P1276" s="10" t="str">
        <f t="shared" si="1353"/>
        <v>NA</v>
      </c>
      <c r="Q1276" s="10" t="str">
        <f t="shared" si="1354"/>
        <v>NA</v>
      </c>
      <c r="R1276" s="10" t="s">
        <v>1575</v>
      </c>
      <c r="S1276" s="10" t="s">
        <v>1575</v>
      </c>
      <c r="T1276" s="10" t="s">
        <v>1575</v>
      </c>
      <c r="U1276" s="10" t="s">
        <v>1575</v>
      </c>
      <c r="V1276" s="10" t="s">
        <v>1575</v>
      </c>
      <c r="W1276" s="10" t="s">
        <v>1575</v>
      </c>
      <c r="X1276" s="10" t="str">
        <f t="shared" ref="X1276" si="1514">IFERROR(V1276+W1276,"NA")</f>
        <v>NA</v>
      </c>
      <c r="Y1276" s="10" t="str">
        <f t="shared" ref="Y1276" si="1515">IFERROR(P1276/R1276,"NA")</f>
        <v>NA</v>
      </c>
      <c r="Z1276" s="10" t="str">
        <f t="shared" ref="Z1276" si="1516">IFERROR(P1276/U1276,"NA")</f>
        <v>NA</v>
      </c>
      <c r="AA1276" s="10" t="str">
        <f t="shared" ref="AA1276" si="1517">IFERROR(P1276/V1276,"NA")</f>
        <v>NA</v>
      </c>
      <c r="AB1276" s="10" t="str">
        <f t="shared" ref="AB1276" si="1518">IFERROR(Q1276/R1276,"NA")</f>
        <v>NA</v>
      </c>
      <c r="AC1276" s="10" t="str">
        <f t="shared" ref="AC1276" si="1519">IFERROR(Q1276/S1276,"NA")</f>
        <v>NA</v>
      </c>
      <c r="AD1276" s="10" t="str">
        <f t="shared" ref="AD1276" si="1520">IFERROR(Q1276/T1276,"NA")</f>
        <v>NA</v>
      </c>
      <c r="AE1276" s="10" t="str">
        <f t="shared" ref="AE1276" si="1521">IFERROR(Q1276/X1276,"NA")</f>
        <v>NA</v>
      </c>
      <c r="AF1276" s="1" t="s">
        <v>4681</v>
      </c>
    </row>
    <row r="1277" spans="1:32" x14ac:dyDescent="0.2">
      <c r="A1277" s="1" t="s">
        <v>1308</v>
      </c>
      <c r="B1277" s="1" t="s">
        <v>5</v>
      </c>
      <c r="C1277" s="1" t="s">
        <v>1681</v>
      </c>
      <c r="D1277" s="1" t="s">
        <v>1600</v>
      </c>
      <c r="E1277" s="1" t="s">
        <v>3024</v>
      </c>
      <c r="F1277" s="1" t="s">
        <v>1309</v>
      </c>
      <c r="G1277" s="4">
        <f>10014/190627747</f>
        <v>5.2531702008732235E-5</v>
      </c>
      <c r="H1277" s="28">
        <v>41394</v>
      </c>
      <c r="I1277" s="29">
        <f t="shared" si="1491"/>
        <v>2013</v>
      </c>
      <c r="J1277" s="1" t="s">
        <v>7</v>
      </c>
      <c r="K1277" s="1" t="s">
        <v>1308</v>
      </c>
      <c r="L1277" s="11" t="str">
        <f t="shared" si="1242"/>
        <v>ДА</v>
      </c>
      <c r="M1277" s="10" t="s">
        <v>1575</v>
      </c>
      <c r="N1277" s="10" t="s">
        <v>1575</v>
      </c>
      <c r="O1277" s="10">
        <v>7.9000000000000001E-2</v>
      </c>
      <c r="P1277" s="10">
        <f t="shared" si="1353"/>
        <v>1503.8538059716398</v>
      </c>
      <c r="Q1277" s="10">
        <f t="shared" si="1354"/>
        <v>1605.5608059716399</v>
      </c>
      <c r="R1277" s="10">
        <v>384.488</v>
      </c>
      <c r="S1277" s="10">
        <v>139.029</v>
      </c>
      <c r="T1277" s="10">
        <v>114.49600000000001</v>
      </c>
      <c r="U1277" s="10">
        <v>67.355000000000004</v>
      </c>
      <c r="V1277" s="10">
        <v>393.02000000000004</v>
      </c>
      <c r="W1277" s="10">
        <v>101.70700000000002</v>
      </c>
      <c r="X1277" s="10">
        <f t="shared" si="1425"/>
        <v>494.72700000000009</v>
      </c>
      <c r="Y1277" s="10">
        <f t="shared" si="1426"/>
        <v>3.9113153231612943</v>
      </c>
      <c r="Z1277" s="10">
        <f t="shared" si="1427"/>
        <v>22.327277944794591</v>
      </c>
      <c r="AA1277" s="10">
        <f t="shared" si="1428"/>
        <v>3.8264052871905747</v>
      </c>
      <c r="AB1277" s="10">
        <f t="shared" si="1429"/>
        <v>4.1758411341098807</v>
      </c>
      <c r="AC1277" s="10">
        <f t="shared" si="1430"/>
        <v>11.548387789393868</v>
      </c>
      <c r="AD1277" s="10">
        <f t="shared" si="1431"/>
        <v>14.022854999053589</v>
      </c>
      <c r="AE1277" s="10">
        <f t="shared" si="1432"/>
        <v>3.2453470418465935</v>
      </c>
    </row>
    <row r="1278" spans="1:32" x14ac:dyDescent="0.2">
      <c r="A1278" s="1" t="s">
        <v>5893</v>
      </c>
      <c r="B1278" s="1" t="s">
        <v>5</v>
      </c>
      <c r="C1278" s="1" t="s">
        <v>1575</v>
      </c>
      <c r="D1278" s="1" t="s">
        <v>1615</v>
      </c>
      <c r="E1278" s="1" t="s">
        <v>2172</v>
      </c>
      <c r="F1278" s="1" t="s">
        <v>155</v>
      </c>
      <c r="G1278" s="4">
        <v>0.25</v>
      </c>
      <c r="H1278" s="28">
        <v>41044</v>
      </c>
      <c r="I1278" s="29">
        <f t="shared" si="1491"/>
        <v>2012</v>
      </c>
      <c r="J1278" s="1" t="s">
        <v>1308</v>
      </c>
      <c r="K1278" s="1" t="s">
        <v>7</v>
      </c>
      <c r="L1278" s="11" t="str">
        <f t="shared" si="1242"/>
        <v>НЕТ</v>
      </c>
      <c r="M1278" s="10" t="s">
        <v>1575</v>
      </c>
      <c r="N1278" s="10" t="s">
        <v>1575</v>
      </c>
      <c r="O1278" s="10">
        <v>6.0999999999999999E-2</v>
      </c>
      <c r="P1278" s="10">
        <f t="shared" si="1353"/>
        <v>0.24399999999999999</v>
      </c>
      <c r="Q1278" s="10" t="str">
        <f t="shared" si="1354"/>
        <v>NA</v>
      </c>
      <c r="R1278" s="10" t="s">
        <v>1575</v>
      </c>
      <c r="S1278" s="10" t="s">
        <v>1575</v>
      </c>
      <c r="T1278" s="10" t="s">
        <v>1575</v>
      </c>
      <c r="U1278" s="10" t="s">
        <v>1575</v>
      </c>
      <c r="V1278" s="10" t="s">
        <v>1575</v>
      </c>
      <c r="W1278" s="10" t="s">
        <v>1575</v>
      </c>
      <c r="X1278" s="10" t="str">
        <f t="shared" si="1425"/>
        <v>NA</v>
      </c>
      <c r="Y1278" s="10" t="str">
        <f t="shared" si="1426"/>
        <v>NA</v>
      </c>
      <c r="Z1278" s="10" t="str">
        <f t="shared" si="1427"/>
        <v>NA</v>
      </c>
      <c r="AA1278" s="10" t="str">
        <f t="shared" si="1428"/>
        <v>NA</v>
      </c>
      <c r="AB1278" s="10" t="str">
        <f t="shared" si="1429"/>
        <v>NA</v>
      </c>
      <c r="AC1278" s="10" t="str">
        <f t="shared" si="1430"/>
        <v>NA</v>
      </c>
      <c r="AD1278" s="10" t="str">
        <f t="shared" si="1431"/>
        <v>NA</v>
      </c>
      <c r="AE1278" s="10" t="str">
        <f t="shared" si="1432"/>
        <v>NA</v>
      </c>
      <c r="AF1278" s="1" t="s">
        <v>4684</v>
      </c>
    </row>
    <row r="1279" spans="1:32" x14ac:dyDescent="0.2">
      <c r="A1279" s="1" t="s">
        <v>5896</v>
      </c>
      <c r="B1279" s="1" t="s">
        <v>5</v>
      </c>
      <c r="C1279" s="1" t="s">
        <v>1575</v>
      </c>
      <c r="D1279" s="1" t="s">
        <v>1597</v>
      </c>
      <c r="E1279" s="1" t="s">
        <v>1661</v>
      </c>
      <c r="F1279" s="1" t="s">
        <v>160</v>
      </c>
      <c r="G1279" s="4" t="s">
        <v>1575</v>
      </c>
      <c r="H1279" s="28">
        <v>41215</v>
      </c>
      <c r="I1279" s="29">
        <f t="shared" si="1491"/>
        <v>2012</v>
      </c>
      <c r="J1279" s="1" t="s">
        <v>1308</v>
      </c>
      <c r="K1279" s="1" t="s">
        <v>7</v>
      </c>
      <c r="L1279" s="11" t="str">
        <f t="shared" si="1242"/>
        <v>НЕТ</v>
      </c>
      <c r="M1279" s="10" t="s">
        <v>1575</v>
      </c>
      <c r="N1279" s="10" t="s">
        <v>1575</v>
      </c>
      <c r="O1279" s="10">
        <v>0.40600000000000003</v>
      </c>
      <c r="P1279" s="10" t="str">
        <f t="shared" si="1353"/>
        <v>NA</v>
      </c>
      <c r="Q1279" s="10" t="str">
        <f t="shared" si="1354"/>
        <v>NA</v>
      </c>
      <c r="R1279" s="10" t="s">
        <v>1575</v>
      </c>
      <c r="S1279" s="10" t="s">
        <v>1575</v>
      </c>
      <c r="T1279" s="10" t="s">
        <v>1575</v>
      </c>
      <c r="U1279" s="10" t="s">
        <v>1575</v>
      </c>
      <c r="V1279" s="10" t="s">
        <v>1575</v>
      </c>
      <c r="W1279" s="10" t="s">
        <v>1575</v>
      </c>
      <c r="X1279" s="10" t="str">
        <f t="shared" si="1425"/>
        <v>NA</v>
      </c>
      <c r="Y1279" s="10" t="str">
        <f t="shared" si="1426"/>
        <v>NA</v>
      </c>
      <c r="Z1279" s="10" t="str">
        <f t="shared" si="1427"/>
        <v>NA</v>
      </c>
      <c r="AA1279" s="10" t="str">
        <f t="shared" si="1428"/>
        <v>NA</v>
      </c>
      <c r="AB1279" s="10" t="str">
        <f t="shared" si="1429"/>
        <v>NA</v>
      </c>
      <c r="AC1279" s="10" t="str">
        <f t="shared" si="1430"/>
        <v>NA</v>
      </c>
      <c r="AD1279" s="10" t="str">
        <f t="shared" si="1431"/>
        <v>NA</v>
      </c>
      <c r="AE1279" s="10" t="str">
        <f t="shared" si="1432"/>
        <v>NA</v>
      </c>
      <c r="AF1279" s="1" t="s">
        <v>4685</v>
      </c>
    </row>
    <row r="1280" spans="1:32" x14ac:dyDescent="0.2">
      <c r="A1280" s="1" t="s">
        <v>1308</v>
      </c>
      <c r="B1280" s="1" t="s">
        <v>5</v>
      </c>
      <c r="C1280" s="1" t="s">
        <v>1681</v>
      </c>
      <c r="D1280" s="1" t="s">
        <v>1600</v>
      </c>
      <c r="E1280" s="1" t="s">
        <v>3024</v>
      </c>
      <c r="F1280" s="1" t="s">
        <v>1309</v>
      </c>
      <c r="G1280" s="4">
        <f>6881662/190627747</f>
        <v>3.6100001748433821E-2</v>
      </c>
      <c r="H1280" s="28">
        <v>40633</v>
      </c>
      <c r="I1280" s="29">
        <f t="shared" si="1491"/>
        <v>2011</v>
      </c>
      <c r="J1280" s="1" t="s">
        <v>7</v>
      </c>
      <c r="K1280" s="1" t="s">
        <v>1308</v>
      </c>
      <c r="L1280" s="11" t="str">
        <f t="shared" si="1242"/>
        <v>ДА</v>
      </c>
      <c r="M1280" s="10">
        <v>1.246</v>
      </c>
      <c r="N1280" s="10" t="s">
        <v>1575</v>
      </c>
      <c r="O1280" s="10">
        <v>4.4655E-2</v>
      </c>
      <c r="P1280" s="10">
        <f t="shared" si="1353"/>
        <v>1.2369805495075172</v>
      </c>
      <c r="Q1280" s="10">
        <f t="shared" si="1354"/>
        <v>-88.487013050492479</v>
      </c>
      <c r="R1280" s="10" t="s">
        <v>1575</v>
      </c>
      <c r="S1280" s="10" t="s">
        <v>1575</v>
      </c>
      <c r="T1280" s="10" t="s">
        <v>1575</v>
      </c>
      <c r="U1280" s="10" t="s">
        <v>1575</v>
      </c>
      <c r="V1280" s="10">
        <v>547.79180059999999</v>
      </c>
      <c r="W1280" s="10">
        <v>-89.7239936</v>
      </c>
      <c r="X1280" s="10">
        <f t="shared" si="1425"/>
        <v>458.06780700000002</v>
      </c>
      <c r="Y1280" s="10" t="str">
        <f t="shared" si="1426"/>
        <v>NA</v>
      </c>
      <c r="Z1280" s="10" t="str">
        <f t="shared" si="1427"/>
        <v>NA</v>
      </c>
      <c r="AA1280" s="10">
        <f t="shared" si="1428"/>
        <v>2.2581216954190336E-3</v>
      </c>
      <c r="AB1280" s="10" t="str">
        <f t="shared" si="1429"/>
        <v>NA</v>
      </c>
      <c r="AC1280" s="10" t="str">
        <f t="shared" si="1430"/>
        <v>NA</v>
      </c>
      <c r="AD1280" s="10" t="str">
        <f t="shared" si="1431"/>
        <v>NA</v>
      </c>
      <c r="AE1280" s="10">
        <f t="shared" si="1432"/>
        <v>-0.19317448573829263</v>
      </c>
      <c r="AF1280" s="1" t="s">
        <v>4695</v>
      </c>
    </row>
    <row r="1281" spans="1:32" x14ac:dyDescent="0.2">
      <c r="A1281" s="1" t="s">
        <v>1308</v>
      </c>
      <c r="B1281" s="1" t="s">
        <v>5</v>
      </c>
      <c r="C1281" s="1" t="s">
        <v>1681</v>
      </c>
      <c r="D1281" s="1" t="s">
        <v>1600</v>
      </c>
      <c r="E1281" s="1" t="s">
        <v>3024</v>
      </c>
      <c r="F1281" s="1" t="s">
        <v>1309</v>
      </c>
      <c r="G1281" s="4">
        <f>(13067656+4529947+14658319)/190627747</f>
        <v>0.16920895571409131</v>
      </c>
      <c r="H1281" s="28">
        <v>40908</v>
      </c>
      <c r="I1281" s="29">
        <f t="shared" si="1491"/>
        <v>2011</v>
      </c>
      <c r="J1281" s="1" t="s">
        <v>1308</v>
      </c>
      <c r="K1281" s="1" t="s">
        <v>7</v>
      </c>
      <c r="L1281" s="11" t="str">
        <f t="shared" si="1242"/>
        <v>ДА</v>
      </c>
      <c r="M1281" s="10" t="s">
        <v>1575</v>
      </c>
      <c r="N1281" s="10" t="s">
        <v>1575</v>
      </c>
      <c r="O1281" s="10">
        <f>0.098396+0.034011+0.136578</f>
        <v>0.26898500000000003</v>
      </c>
      <c r="P1281" s="10">
        <f t="shared" si="1353"/>
        <v>1.589661722482929</v>
      </c>
      <c r="Q1281" s="10">
        <f t="shared" si="1354"/>
        <v>79.171661722482895</v>
      </c>
      <c r="R1281" s="10">
        <v>415.01799999999997</v>
      </c>
      <c r="S1281" s="10">
        <v>204.91800000000001</v>
      </c>
      <c r="T1281" s="10">
        <v>182.54</v>
      </c>
      <c r="U1281" s="10">
        <v>105.797</v>
      </c>
      <c r="V1281" s="10">
        <v>361.33799999999997</v>
      </c>
      <c r="W1281" s="10">
        <v>77.581999999999965</v>
      </c>
      <c r="X1281" s="10">
        <f t="shared" si="1425"/>
        <v>438.91999999999996</v>
      </c>
      <c r="Y1281" s="10">
        <f t="shared" si="1426"/>
        <v>3.8303440392535482E-3</v>
      </c>
      <c r="Z1281" s="10">
        <f t="shared" si="1427"/>
        <v>1.5025584113754918E-2</v>
      </c>
      <c r="AA1281" s="10">
        <f t="shared" si="1428"/>
        <v>4.3993759927904875E-3</v>
      </c>
      <c r="AB1281" s="10">
        <f t="shared" si="1429"/>
        <v>0.19076681426464129</v>
      </c>
      <c r="AC1281" s="10">
        <f t="shared" si="1430"/>
        <v>0.38635777102295987</v>
      </c>
      <c r="AD1281" s="10">
        <f t="shared" si="1431"/>
        <v>0.43372226209314613</v>
      </c>
      <c r="AE1281" s="10">
        <f t="shared" si="1432"/>
        <v>0.18037834166245079</v>
      </c>
      <c r="AF1281" s="1" t="s">
        <v>4693</v>
      </c>
    </row>
    <row r="1282" spans="1:32" x14ac:dyDescent="0.2">
      <c r="A1282" s="1" t="s">
        <v>1308</v>
      </c>
      <c r="B1282" s="1" t="s">
        <v>5</v>
      </c>
      <c r="C1282" s="1" t="s">
        <v>1681</v>
      </c>
      <c r="D1282" s="1" t="s">
        <v>1600</v>
      </c>
      <c r="E1282" s="1" t="s">
        <v>3024</v>
      </c>
      <c r="F1282" s="1" t="s">
        <v>1309</v>
      </c>
      <c r="G1282" s="4">
        <f>(788302+8482977)/190627747</f>
        <v>4.8635516843201214E-2</v>
      </c>
      <c r="H1282" s="28">
        <v>40543</v>
      </c>
      <c r="I1282" s="29">
        <f t="shared" ref="I1282" si="1522">YEAR(H1282)</f>
        <v>2010</v>
      </c>
      <c r="J1282" s="1" t="s">
        <v>7</v>
      </c>
      <c r="K1282" s="1" t="s">
        <v>1308</v>
      </c>
      <c r="L1282" s="11" t="str">
        <f t="shared" ref="L1282" si="1523">IF(OR(A1282=J1282,A1282=K1282),"ДА","НЕТ")</f>
        <v>ДА</v>
      </c>
      <c r="M1282" s="10" t="s">
        <v>1575</v>
      </c>
      <c r="N1282" s="10" t="s">
        <v>1575</v>
      </c>
      <c r="O1282" s="10">
        <f>0.088+1.496</f>
        <v>1.5840000000000001</v>
      </c>
      <c r="P1282" s="10">
        <f t="shared" si="1353"/>
        <v>32.568791344538333</v>
      </c>
      <c r="Q1282" s="10">
        <f t="shared" si="1354"/>
        <v>-57.155202255461667</v>
      </c>
      <c r="R1282" s="10" t="s">
        <v>1575</v>
      </c>
      <c r="S1282" s="10" t="s">
        <v>1575</v>
      </c>
      <c r="T1282" s="10" t="s">
        <v>1575</v>
      </c>
      <c r="U1282" s="10" t="s">
        <v>1575</v>
      </c>
      <c r="V1282" s="10">
        <v>547.79180059999999</v>
      </c>
      <c r="W1282" s="10">
        <v>-89.7239936</v>
      </c>
      <c r="X1282" s="10">
        <f t="shared" ref="X1282" si="1524">IFERROR(V1282+W1282,"NA")</f>
        <v>458.06780700000002</v>
      </c>
      <c r="Y1282" s="10" t="str">
        <f t="shared" ref="Y1282" si="1525">IFERROR(P1282/R1282,"NA")</f>
        <v>NA</v>
      </c>
      <c r="Z1282" s="10" t="str">
        <f t="shared" ref="Z1282" si="1526">IFERROR(P1282/U1282,"NA")</f>
        <v>NA</v>
      </c>
      <c r="AA1282" s="10">
        <f t="shared" ref="AA1282" si="1527">IFERROR(P1282/V1282,"NA")</f>
        <v>5.9454689370789265E-2</v>
      </c>
      <c r="AB1282" s="10" t="str">
        <f t="shared" ref="AB1282" si="1528">IFERROR(Q1282/R1282,"NA")</f>
        <v>NA</v>
      </c>
      <c r="AC1282" s="10" t="str">
        <f t="shared" ref="AC1282" si="1529">IFERROR(Q1282/S1282,"NA")</f>
        <v>NA</v>
      </c>
      <c r="AD1282" s="10" t="str">
        <f t="shared" ref="AD1282" si="1530">IFERROR(Q1282/T1282,"NA")</f>
        <v>NA</v>
      </c>
      <c r="AE1282" s="10">
        <f t="shared" ref="AE1282" si="1531">IFERROR(Q1282/X1282,"NA")</f>
        <v>-0.12477454512637616</v>
      </c>
      <c r="AF1282" s="1" t="s">
        <v>4694</v>
      </c>
    </row>
    <row r="1283" spans="1:32" x14ac:dyDescent="0.2">
      <c r="A1283" s="1" t="s">
        <v>162</v>
      </c>
      <c r="B1283" s="1" t="s">
        <v>75</v>
      </c>
      <c r="C1283" s="1" t="s">
        <v>1575</v>
      </c>
      <c r="D1283" s="1" t="s">
        <v>1600</v>
      </c>
      <c r="E1283" s="1" t="s">
        <v>9185</v>
      </c>
      <c r="F1283" s="1" t="s">
        <v>163</v>
      </c>
      <c r="G1283" s="4">
        <v>0.51700000000000002</v>
      </c>
      <c r="H1283" s="28">
        <v>40525</v>
      </c>
      <c r="I1283" s="29">
        <f t="shared" si="1491"/>
        <v>2010</v>
      </c>
      <c r="J1283" s="1" t="s">
        <v>7</v>
      </c>
      <c r="K1283" s="1" t="s">
        <v>1308</v>
      </c>
      <c r="L1283" s="11" t="str">
        <f t="shared" si="1242"/>
        <v>НЕТ</v>
      </c>
      <c r="M1283" s="10">
        <v>881</v>
      </c>
      <c r="N1283" s="10" t="s">
        <v>1575</v>
      </c>
      <c r="O1283" s="10">
        <f>M1283*30.4769/1000</f>
        <v>26.850148900000001</v>
      </c>
      <c r="P1283" s="10">
        <f t="shared" ref="P1283:P1346" si="1532">IFERROR(O1283/G1283,"NA")</f>
        <v>51.934523984526109</v>
      </c>
      <c r="Q1283" s="10" t="str">
        <f t="shared" ref="Q1283:Q1346" si="1533">IFERROR(P1283+W1283,"NA")</f>
        <v>NA</v>
      </c>
      <c r="R1283" s="10" t="s">
        <v>1575</v>
      </c>
      <c r="S1283" s="10" t="s">
        <v>1575</v>
      </c>
      <c r="T1283" s="10" t="s">
        <v>1575</v>
      </c>
      <c r="U1283" s="10" t="s">
        <v>1575</v>
      </c>
      <c r="V1283" s="10" t="s">
        <v>1575</v>
      </c>
      <c r="W1283" s="10" t="s">
        <v>1575</v>
      </c>
      <c r="X1283" s="10" t="str">
        <f t="shared" si="1425"/>
        <v>NA</v>
      </c>
      <c r="Y1283" s="10" t="str">
        <f t="shared" si="1426"/>
        <v>NA</v>
      </c>
      <c r="Z1283" s="10" t="str">
        <f t="shared" si="1427"/>
        <v>NA</v>
      </c>
      <c r="AA1283" s="10" t="str">
        <f t="shared" si="1428"/>
        <v>NA</v>
      </c>
      <c r="AB1283" s="10" t="str">
        <f t="shared" si="1429"/>
        <v>NA</v>
      </c>
      <c r="AC1283" s="10" t="str">
        <f t="shared" si="1430"/>
        <v>NA</v>
      </c>
      <c r="AD1283" s="10" t="str">
        <f t="shared" si="1431"/>
        <v>NA</v>
      </c>
      <c r="AE1283" s="10" t="str">
        <f t="shared" si="1432"/>
        <v>NA</v>
      </c>
      <c r="AF1283" s="1" t="s">
        <v>4687</v>
      </c>
    </row>
    <row r="1284" spans="1:32" x14ac:dyDescent="0.2">
      <c r="A1284" s="1" t="s">
        <v>4671</v>
      </c>
      <c r="B1284" s="1" t="s">
        <v>5</v>
      </c>
      <c r="C1284" s="1" t="s">
        <v>1603</v>
      </c>
      <c r="D1284" s="1" t="s">
        <v>1601</v>
      </c>
      <c r="E1284" s="1" t="s">
        <v>1608</v>
      </c>
      <c r="F1284" s="1" t="s">
        <v>1562</v>
      </c>
      <c r="G1284" s="33">
        <v>0.13600000000000001</v>
      </c>
      <c r="H1284" s="28">
        <v>40540</v>
      </c>
      <c r="I1284" s="29">
        <f t="shared" ref="I1284" si="1534">YEAR(H1284)</f>
        <v>2010</v>
      </c>
      <c r="J1284" s="1" t="s">
        <v>1308</v>
      </c>
      <c r="K1284" s="1" t="s">
        <v>7</v>
      </c>
      <c r="L1284" s="11" t="str">
        <f t="shared" ref="L1284" si="1535">IF(OR(A1284=J1284,A1284=K1284),"ДА","НЕТ")</f>
        <v>НЕТ</v>
      </c>
      <c r="M1284" s="10">
        <v>2142</v>
      </c>
      <c r="N1284" s="10" t="s">
        <v>1575</v>
      </c>
      <c r="O1284" s="10">
        <f t="shared" ref="O1284" si="1536">M1284*30.4769/1000</f>
        <v>65.281519799999998</v>
      </c>
      <c r="P1284" s="10">
        <f t="shared" si="1532"/>
        <v>480.01117499999992</v>
      </c>
      <c r="Q1284" s="10" t="str">
        <f t="shared" si="1533"/>
        <v>NA</v>
      </c>
      <c r="R1284" s="10" t="s">
        <v>1575</v>
      </c>
      <c r="S1284" s="10" t="s">
        <v>1575</v>
      </c>
      <c r="T1284" s="10" t="s">
        <v>1575</v>
      </c>
      <c r="U1284" s="10" t="s">
        <v>1575</v>
      </c>
      <c r="V1284" s="10" t="s">
        <v>1575</v>
      </c>
      <c r="W1284" s="10" t="s">
        <v>1575</v>
      </c>
      <c r="X1284" s="10" t="str">
        <f t="shared" ref="X1284" si="1537">IFERROR(V1284+W1284,"NA")</f>
        <v>NA</v>
      </c>
      <c r="Y1284" s="10" t="str">
        <f t="shared" ref="Y1284" si="1538">IFERROR(P1284/R1284,"NA")</f>
        <v>NA</v>
      </c>
      <c r="Z1284" s="10" t="str">
        <f t="shared" ref="Z1284" si="1539">IFERROR(P1284/U1284,"NA")</f>
        <v>NA</v>
      </c>
      <c r="AA1284" s="10" t="str">
        <f t="shared" ref="AA1284" si="1540">IFERROR(P1284/V1284,"NA")</f>
        <v>NA</v>
      </c>
      <c r="AB1284" s="10" t="str">
        <f t="shared" ref="AB1284" si="1541">IFERROR(Q1284/R1284,"NA")</f>
        <v>NA</v>
      </c>
      <c r="AC1284" s="10" t="str">
        <f t="shared" ref="AC1284" si="1542">IFERROR(Q1284/S1284,"NA")</f>
        <v>NA</v>
      </c>
      <c r="AD1284" s="10" t="str">
        <f t="shared" ref="AD1284" si="1543">IFERROR(Q1284/T1284,"NA")</f>
        <v>NA</v>
      </c>
      <c r="AE1284" s="10" t="str">
        <f t="shared" ref="AE1284" si="1544">IFERROR(Q1284/X1284,"NA")</f>
        <v>NA</v>
      </c>
      <c r="AF1284" s="1" t="s">
        <v>4692</v>
      </c>
    </row>
    <row r="1285" spans="1:32" x14ac:dyDescent="0.2">
      <c r="A1285" s="1" t="s">
        <v>1768</v>
      </c>
      <c r="B1285" s="1" t="s">
        <v>5</v>
      </c>
      <c r="C1285" s="1" t="s">
        <v>1609</v>
      </c>
      <c r="D1285" s="1" t="s">
        <v>1601</v>
      </c>
      <c r="E1285" s="1" t="s">
        <v>1608</v>
      </c>
      <c r="F1285" s="1" t="s">
        <v>1562</v>
      </c>
      <c r="G1285" s="33">
        <v>0.82699999999999996</v>
      </c>
      <c r="H1285" s="28">
        <v>40540</v>
      </c>
      <c r="I1285" s="29">
        <f t="shared" si="1491"/>
        <v>2010</v>
      </c>
      <c r="J1285" s="1" t="s">
        <v>7</v>
      </c>
      <c r="K1285" s="1" t="s">
        <v>1308</v>
      </c>
      <c r="L1285" s="11" t="str">
        <f t="shared" si="1242"/>
        <v>НЕТ</v>
      </c>
      <c r="M1285" s="10">
        <v>2142</v>
      </c>
      <c r="N1285" s="10" t="s">
        <v>1575</v>
      </c>
      <c r="O1285" s="10">
        <f t="shared" ref="O1285:O1286" si="1545">M1285*30.4769/1000</f>
        <v>65.281519799999998</v>
      </c>
      <c r="P1285" s="10">
        <f t="shared" si="1532"/>
        <v>78.937750665054409</v>
      </c>
      <c r="Q1285" s="10">
        <f t="shared" si="1533"/>
        <v>65.496750665054407</v>
      </c>
      <c r="R1285" s="10">
        <v>12.461</v>
      </c>
      <c r="S1285" s="10"/>
      <c r="T1285" s="10">
        <f>R1285-10.155-0.357+0.046</f>
        <v>1.995000000000001</v>
      </c>
      <c r="U1285" s="10">
        <v>-16.114999999999998</v>
      </c>
      <c r="V1285" s="10">
        <v>81.259</v>
      </c>
      <c r="W1285" s="10">
        <v>-13.441000000000001</v>
      </c>
      <c r="X1285" s="10">
        <f t="shared" si="1425"/>
        <v>67.817999999999998</v>
      </c>
      <c r="Y1285" s="10">
        <f t="shared" si="1426"/>
        <v>6.3347845810973764</v>
      </c>
      <c r="Z1285" s="10">
        <f t="shared" si="1427"/>
        <v>-4.8984021511048352</v>
      </c>
      <c r="AA1285" s="10">
        <f t="shared" si="1428"/>
        <v>0.9714339416563631</v>
      </c>
      <c r="AB1285" s="10">
        <f t="shared" si="1429"/>
        <v>5.2561392075318514</v>
      </c>
      <c r="AC1285" s="10" t="str">
        <f t="shared" si="1430"/>
        <v>NA</v>
      </c>
      <c r="AD1285" s="10">
        <f t="shared" si="1431"/>
        <v>32.830451461180139</v>
      </c>
      <c r="AE1285" s="10">
        <f t="shared" si="1432"/>
        <v>0.96577237112646208</v>
      </c>
      <c r="AF1285" s="1" t="s">
        <v>4692</v>
      </c>
    </row>
    <row r="1286" spans="1:32" x14ac:dyDescent="0.2">
      <c r="A1286" s="1" t="s">
        <v>5898</v>
      </c>
      <c r="B1286" s="1" t="s">
        <v>5</v>
      </c>
      <c r="C1286" s="1" t="s">
        <v>1575</v>
      </c>
      <c r="D1286" s="1" t="s">
        <v>1600</v>
      </c>
      <c r="E1286" s="1" t="s">
        <v>1677</v>
      </c>
      <c r="F1286" s="1" t="s">
        <v>164</v>
      </c>
      <c r="G1286" s="4" t="s">
        <v>1575</v>
      </c>
      <c r="H1286" s="28">
        <v>40497</v>
      </c>
      <c r="I1286" s="29">
        <f t="shared" si="1491"/>
        <v>2010</v>
      </c>
      <c r="J1286" s="1" t="s">
        <v>7</v>
      </c>
      <c r="K1286" s="1" t="s">
        <v>1308</v>
      </c>
      <c r="L1286" s="11" t="str">
        <f t="shared" si="1242"/>
        <v>НЕТ</v>
      </c>
      <c r="M1286" s="10">
        <v>58</v>
      </c>
      <c r="N1286" s="10" t="s">
        <v>1575</v>
      </c>
      <c r="O1286" s="10">
        <f t="shared" si="1545"/>
        <v>1.7676602000000001</v>
      </c>
      <c r="P1286" s="10" t="str">
        <f t="shared" si="1532"/>
        <v>NA</v>
      </c>
      <c r="Q1286" s="10" t="str">
        <f t="shared" si="1533"/>
        <v>NA</v>
      </c>
      <c r="R1286" s="10" t="s">
        <v>1575</v>
      </c>
      <c r="S1286" s="10" t="s">
        <v>1575</v>
      </c>
      <c r="T1286" s="10" t="s">
        <v>1575</v>
      </c>
      <c r="U1286" s="10" t="s">
        <v>1575</v>
      </c>
      <c r="V1286" s="10" t="s">
        <v>1575</v>
      </c>
      <c r="W1286" s="10" t="s">
        <v>1575</v>
      </c>
      <c r="X1286" s="10" t="str">
        <f t="shared" si="1425"/>
        <v>NA</v>
      </c>
      <c r="Y1286" s="10" t="str">
        <f t="shared" si="1426"/>
        <v>NA</v>
      </c>
      <c r="Z1286" s="10" t="str">
        <f t="shared" si="1427"/>
        <v>NA</v>
      </c>
      <c r="AA1286" s="10" t="str">
        <f t="shared" si="1428"/>
        <v>NA</v>
      </c>
      <c r="AB1286" s="10" t="str">
        <f t="shared" si="1429"/>
        <v>NA</v>
      </c>
      <c r="AC1286" s="10" t="str">
        <f t="shared" si="1430"/>
        <v>NA</v>
      </c>
      <c r="AD1286" s="10" t="str">
        <f t="shared" si="1431"/>
        <v>NA</v>
      </c>
      <c r="AE1286" s="10" t="str">
        <f t="shared" si="1432"/>
        <v>NA</v>
      </c>
      <c r="AF1286" s="1" t="s">
        <v>4686</v>
      </c>
    </row>
    <row r="1287" spans="1:32" x14ac:dyDescent="0.2">
      <c r="A1287" s="1" t="s">
        <v>4689</v>
      </c>
      <c r="B1287" s="1" t="s">
        <v>5</v>
      </c>
      <c r="C1287" s="1" t="s">
        <v>4690</v>
      </c>
      <c r="D1287" s="1" t="s">
        <v>1601</v>
      </c>
      <c r="E1287" s="1" t="s">
        <v>1608</v>
      </c>
      <c r="F1287" s="1" t="s">
        <v>1562</v>
      </c>
      <c r="G1287" s="4" t="s">
        <v>1575</v>
      </c>
      <c r="H1287" s="28">
        <v>40512</v>
      </c>
      <c r="I1287" s="29">
        <f t="shared" ref="I1287" si="1546">YEAR(H1287)</f>
        <v>2010</v>
      </c>
      <c r="J1287" s="1" t="s">
        <v>7</v>
      </c>
      <c r="K1287" s="1" t="s">
        <v>1308</v>
      </c>
      <c r="L1287" s="11" t="str">
        <f t="shared" ref="L1287" si="1547">IF(OR(A1287=J1287,A1287=K1287),"ДА","НЕТ")</f>
        <v>НЕТ</v>
      </c>
      <c r="M1287" s="10">
        <v>248</v>
      </c>
      <c r="N1287" s="10" t="s">
        <v>1575</v>
      </c>
      <c r="O1287" s="10">
        <f>M1287*31.3061/1000</f>
        <v>7.7639127999999999</v>
      </c>
      <c r="P1287" s="10" t="str">
        <f t="shared" si="1532"/>
        <v>NA</v>
      </c>
      <c r="Q1287" s="10" t="str">
        <f t="shared" si="1533"/>
        <v>NA</v>
      </c>
      <c r="R1287" s="10" t="s">
        <v>1575</v>
      </c>
      <c r="S1287" s="10" t="s">
        <v>1575</v>
      </c>
      <c r="T1287" s="10" t="s">
        <v>1575</v>
      </c>
      <c r="U1287" s="10" t="s">
        <v>1575</v>
      </c>
      <c r="V1287" s="10" t="s">
        <v>1575</v>
      </c>
      <c r="W1287" s="10" t="s">
        <v>1575</v>
      </c>
      <c r="X1287" s="10" t="str">
        <f t="shared" ref="X1287" si="1548">IFERROR(V1287+W1287,"NA")</f>
        <v>NA</v>
      </c>
      <c r="Y1287" s="10" t="str">
        <f t="shared" ref="Y1287" si="1549">IFERROR(P1287/R1287,"NA")</f>
        <v>NA</v>
      </c>
      <c r="Z1287" s="10" t="str">
        <f t="shared" ref="Z1287" si="1550">IFERROR(P1287/U1287,"NA")</f>
        <v>NA</v>
      </c>
      <c r="AA1287" s="10" t="str">
        <f t="shared" ref="AA1287" si="1551">IFERROR(P1287/V1287,"NA")</f>
        <v>NA</v>
      </c>
      <c r="AB1287" s="10" t="str">
        <f t="shared" ref="AB1287" si="1552">IFERROR(Q1287/R1287,"NA")</f>
        <v>NA</v>
      </c>
      <c r="AC1287" s="10" t="str">
        <f t="shared" ref="AC1287" si="1553">IFERROR(Q1287/S1287,"NA")</f>
        <v>NA</v>
      </c>
      <c r="AD1287" s="10" t="str">
        <f t="shared" ref="AD1287" si="1554">IFERROR(Q1287/T1287,"NA")</f>
        <v>NA</v>
      </c>
      <c r="AE1287" s="10" t="str">
        <f t="shared" ref="AE1287" si="1555">IFERROR(Q1287/X1287,"NA")</f>
        <v>NA</v>
      </c>
      <c r="AF1287" s="1" t="s">
        <v>4691</v>
      </c>
    </row>
    <row r="1288" spans="1:32" x14ac:dyDescent="0.2">
      <c r="A1288" s="1" t="s">
        <v>4689</v>
      </c>
      <c r="B1288" s="1" t="s">
        <v>5</v>
      </c>
      <c r="C1288" s="1" t="s">
        <v>4690</v>
      </c>
      <c r="D1288" s="1" t="s">
        <v>1601</v>
      </c>
      <c r="E1288" s="1" t="s">
        <v>1608</v>
      </c>
      <c r="F1288" s="1" t="s">
        <v>1562</v>
      </c>
      <c r="G1288" s="4" t="s">
        <v>1575</v>
      </c>
      <c r="H1288" s="28">
        <v>40371</v>
      </c>
      <c r="I1288" s="29">
        <f t="shared" si="1491"/>
        <v>2010</v>
      </c>
      <c r="J1288" s="1" t="s">
        <v>1308</v>
      </c>
      <c r="K1288" s="1" t="s">
        <v>7</v>
      </c>
      <c r="L1288" s="11" t="str">
        <f t="shared" si="1242"/>
        <v>НЕТ</v>
      </c>
      <c r="M1288" s="10">
        <v>13</v>
      </c>
      <c r="N1288" s="10" t="s">
        <v>1575</v>
      </c>
      <c r="O1288" s="10">
        <f>M1288*30.7953/1000</f>
        <v>0.4003389</v>
      </c>
      <c r="P1288" s="10" t="str">
        <f t="shared" si="1532"/>
        <v>NA</v>
      </c>
      <c r="Q1288" s="10" t="str">
        <f t="shared" si="1533"/>
        <v>NA</v>
      </c>
      <c r="R1288" s="10" t="s">
        <v>1575</v>
      </c>
      <c r="S1288" s="10" t="s">
        <v>1575</v>
      </c>
      <c r="T1288" s="10" t="s">
        <v>1575</v>
      </c>
      <c r="U1288" s="10" t="s">
        <v>1575</v>
      </c>
      <c r="V1288" s="10" t="s">
        <v>1575</v>
      </c>
      <c r="W1288" s="10" t="s">
        <v>1575</v>
      </c>
      <c r="X1288" s="10" t="str">
        <f t="shared" si="1425"/>
        <v>NA</v>
      </c>
      <c r="Y1288" s="10" t="str">
        <f t="shared" si="1426"/>
        <v>NA</v>
      </c>
      <c r="Z1288" s="10" t="str">
        <f t="shared" si="1427"/>
        <v>NA</v>
      </c>
      <c r="AA1288" s="10" t="str">
        <f t="shared" si="1428"/>
        <v>NA</v>
      </c>
      <c r="AB1288" s="10" t="str">
        <f t="shared" si="1429"/>
        <v>NA</v>
      </c>
      <c r="AC1288" s="10" t="str">
        <f t="shared" si="1430"/>
        <v>NA</v>
      </c>
      <c r="AD1288" s="10" t="str">
        <f t="shared" si="1431"/>
        <v>NA</v>
      </c>
      <c r="AE1288" s="10" t="str">
        <f t="shared" si="1432"/>
        <v>NA</v>
      </c>
      <c r="AF1288" s="1" t="s">
        <v>4691</v>
      </c>
    </row>
    <row r="1289" spans="1:32" x14ac:dyDescent="0.2">
      <c r="A1289" s="1" t="s">
        <v>1308</v>
      </c>
      <c r="B1289" s="1" t="s">
        <v>5</v>
      </c>
      <c r="C1289" s="1" t="s">
        <v>1681</v>
      </c>
      <c r="D1289" s="1" t="s">
        <v>1600</v>
      </c>
      <c r="E1289" s="1" t="s">
        <v>3024</v>
      </c>
      <c r="F1289" s="1" t="s">
        <v>1309</v>
      </c>
      <c r="G1289" s="4">
        <f>254855/190627747</f>
        <v>1.3369249965483776E-3</v>
      </c>
      <c r="H1289" s="28">
        <v>40543</v>
      </c>
      <c r="I1289" s="29">
        <f t="shared" si="1491"/>
        <v>2010</v>
      </c>
      <c r="J1289" s="1" t="s">
        <v>7</v>
      </c>
      <c r="K1289" s="1" t="s">
        <v>1308</v>
      </c>
      <c r="L1289" s="11" t="str">
        <f t="shared" si="1242"/>
        <v>ДА</v>
      </c>
      <c r="M1289" s="10" t="s">
        <v>1575</v>
      </c>
      <c r="N1289" s="10" t="s">
        <v>1575</v>
      </c>
      <c r="O1289" s="10">
        <v>2.5999999999999999E-2</v>
      </c>
      <c r="P1289" s="10">
        <f t="shared" si="1532"/>
        <v>19.447613042710561</v>
      </c>
      <c r="Q1289" s="10">
        <f t="shared" si="1533"/>
        <v>-70.276380557289443</v>
      </c>
      <c r="R1289" s="10" t="s">
        <v>1575</v>
      </c>
      <c r="S1289" s="10" t="s">
        <v>1575</v>
      </c>
      <c r="T1289" s="10" t="s">
        <v>1575</v>
      </c>
      <c r="U1289" s="10" t="s">
        <v>1575</v>
      </c>
      <c r="V1289" s="10">
        <v>547.79180059999999</v>
      </c>
      <c r="W1289" s="10">
        <v>-89.7239936</v>
      </c>
      <c r="X1289" s="10">
        <f t="shared" si="1425"/>
        <v>458.06780700000002</v>
      </c>
      <c r="Y1289" s="10" t="str">
        <f t="shared" si="1426"/>
        <v>NA</v>
      </c>
      <c r="Z1289" s="10" t="str">
        <f t="shared" si="1427"/>
        <v>NA</v>
      </c>
      <c r="AA1289" s="10">
        <f t="shared" si="1428"/>
        <v>3.5501833034757846E-2</v>
      </c>
      <c r="AB1289" s="10" t="str">
        <f t="shared" si="1429"/>
        <v>NA</v>
      </c>
      <c r="AC1289" s="10" t="str">
        <f t="shared" si="1430"/>
        <v>NA</v>
      </c>
      <c r="AD1289" s="10" t="str">
        <f t="shared" si="1431"/>
        <v>NA</v>
      </c>
      <c r="AE1289" s="10">
        <f t="shared" si="1432"/>
        <v>-0.15341916520514057</v>
      </c>
    </row>
    <row r="1290" spans="1:32" x14ac:dyDescent="0.2">
      <c r="A1290" s="1" t="s">
        <v>3419</v>
      </c>
      <c r="B1290" s="1" t="s">
        <v>5</v>
      </c>
      <c r="C1290" s="1" t="s">
        <v>3420</v>
      </c>
      <c r="D1290" s="1" t="s">
        <v>1601</v>
      </c>
      <c r="E1290" s="1" t="s">
        <v>1608</v>
      </c>
      <c r="F1290" s="1" t="s">
        <v>1562</v>
      </c>
      <c r="G1290" s="4" t="s">
        <v>1575</v>
      </c>
      <c r="H1290" s="28">
        <v>39937</v>
      </c>
      <c r="I1290" s="29">
        <f t="shared" ref="I1290:I1292" si="1556">YEAR(H1290)</f>
        <v>2009</v>
      </c>
      <c r="J1290" s="1" t="s">
        <v>7</v>
      </c>
      <c r="K1290" s="1" t="s">
        <v>1308</v>
      </c>
      <c r="L1290" s="11" t="str">
        <f t="shared" ref="L1290:L1292" si="1557">IF(OR(A1290=J1290,A1290=K1290),"ДА","НЕТ")</f>
        <v>НЕТ</v>
      </c>
      <c r="M1290" s="10">
        <v>26</v>
      </c>
      <c r="N1290" s="10" t="s">
        <v>1575</v>
      </c>
      <c r="O1290" s="10">
        <f>M1290*32.974/1000</f>
        <v>0.85732399999999997</v>
      </c>
      <c r="P1290" s="10" t="str">
        <f t="shared" si="1532"/>
        <v>NA</v>
      </c>
      <c r="Q1290" s="10" t="str">
        <f t="shared" si="1533"/>
        <v>NA</v>
      </c>
      <c r="R1290" s="10" t="s">
        <v>1575</v>
      </c>
      <c r="S1290" s="10" t="s">
        <v>1575</v>
      </c>
      <c r="T1290" s="10" t="s">
        <v>1575</v>
      </c>
      <c r="U1290" s="10" t="s">
        <v>1575</v>
      </c>
      <c r="V1290" s="10" t="s">
        <v>1575</v>
      </c>
      <c r="W1290" s="10" t="s">
        <v>1575</v>
      </c>
      <c r="X1290" s="10" t="str">
        <f t="shared" ref="X1290:X1292" si="1558">IFERROR(V1290+W1290,"NA")</f>
        <v>NA</v>
      </c>
      <c r="Y1290" s="10" t="str">
        <f t="shared" ref="Y1290:Y1292" si="1559">IFERROR(P1290/R1290,"NA")</f>
        <v>NA</v>
      </c>
      <c r="Z1290" s="10" t="str">
        <f t="shared" ref="Z1290:Z1292" si="1560">IFERROR(P1290/U1290,"NA")</f>
        <v>NA</v>
      </c>
      <c r="AA1290" s="10" t="str">
        <f t="shared" ref="AA1290:AA1292" si="1561">IFERROR(P1290/V1290,"NA")</f>
        <v>NA</v>
      </c>
      <c r="AB1290" s="10" t="str">
        <f t="shared" ref="AB1290:AB1292" si="1562">IFERROR(Q1290/R1290,"NA")</f>
        <v>NA</v>
      </c>
      <c r="AC1290" s="10" t="str">
        <f t="shared" ref="AC1290:AC1292" si="1563">IFERROR(Q1290/S1290,"NA")</f>
        <v>NA</v>
      </c>
      <c r="AD1290" s="10" t="str">
        <f t="shared" ref="AD1290:AD1292" si="1564">IFERROR(Q1290/T1290,"NA")</f>
        <v>NA</v>
      </c>
      <c r="AE1290" s="10" t="str">
        <f t="shared" ref="AE1290:AE1292" si="1565">IFERROR(Q1290/X1290,"NA")</f>
        <v>NA</v>
      </c>
      <c r="AF1290" s="1" t="s">
        <v>4688</v>
      </c>
    </row>
    <row r="1291" spans="1:32" x14ac:dyDescent="0.2">
      <c r="A1291" s="1" t="s">
        <v>1266</v>
      </c>
      <c r="B1291" s="1" t="s">
        <v>5</v>
      </c>
      <c r="C1291" s="1" t="s">
        <v>1658</v>
      </c>
      <c r="D1291" s="1" t="s">
        <v>1600</v>
      </c>
      <c r="E1291" s="1" t="s">
        <v>1659</v>
      </c>
      <c r="F1291" s="1" t="s">
        <v>118</v>
      </c>
      <c r="G1291" s="4">
        <f>67230/99258355</f>
        <v>6.7732333464522957E-4</v>
      </c>
      <c r="H1291" s="28">
        <v>44196</v>
      </c>
      <c r="I1291" s="29">
        <f t="shared" si="1556"/>
        <v>2020</v>
      </c>
      <c r="J1291" s="1" t="s">
        <v>1266</v>
      </c>
      <c r="K1291" s="1" t="s">
        <v>7</v>
      </c>
      <c r="L1291" s="11" t="str">
        <f t="shared" si="1557"/>
        <v>ДА</v>
      </c>
      <c r="M1291" s="10" t="s">
        <v>1575</v>
      </c>
      <c r="N1291" s="10" t="s">
        <v>1575</v>
      </c>
      <c r="O1291" s="10">
        <v>1.0999999999999999E-2</v>
      </c>
      <c r="P1291" s="10">
        <f t="shared" si="1532"/>
        <v>16.240397218503645</v>
      </c>
      <c r="Q1291" s="10">
        <f t="shared" si="1533"/>
        <v>23.734397218503645</v>
      </c>
      <c r="R1291" s="10">
        <v>39.494999999999997</v>
      </c>
      <c r="S1291" s="10">
        <v>-2.2869999999999999</v>
      </c>
      <c r="T1291" s="10">
        <v>-4.931</v>
      </c>
      <c r="U1291" s="10">
        <v>-4.78</v>
      </c>
      <c r="V1291" s="10">
        <v>8.9369999999999994</v>
      </c>
      <c r="W1291" s="10">
        <v>7.4939999999999998</v>
      </c>
      <c r="X1291" s="10">
        <f t="shared" si="1558"/>
        <v>16.430999999999997</v>
      </c>
      <c r="Y1291" s="10">
        <f t="shared" si="1559"/>
        <v>0.41120134747445619</v>
      </c>
      <c r="Z1291" s="10">
        <f t="shared" si="1560"/>
        <v>-3.3975726398543187</v>
      </c>
      <c r="AA1291" s="10">
        <f t="shared" si="1561"/>
        <v>1.8172090431356882</v>
      </c>
      <c r="AB1291" s="10">
        <f t="shared" si="1562"/>
        <v>0.60094688488425485</v>
      </c>
      <c r="AC1291" s="10">
        <f t="shared" si="1563"/>
        <v>-10.377961179931633</v>
      </c>
      <c r="AD1291" s="10">
        <f t="shared" si="1564"/>
        <v>-4.8133030254519662</v>
      </c>
      <c r="AE1291" s="10">
        <f t="shared" si="1565"/>
        <v>1.4444889062445163</v>
      </c>
    </row>
    <row r="1292" spans="1:32" x14ac:dyDescent="0.2">
      <c r="A1292" s="1" t="s">
        <v>5899</v>
      </c>
      <c r="B1292" s="1" t="s">
        <v>5</v>
      </c>
      <c r="C1292" s="1" t="s">
        <v>1575</v>
      </c>
      <c r="D1292" s="1" t="s">
        <v>1600</v>
      </c>
      <c r="E1292" s="1" t="s">
        <v>1659</v>
      </c>
      <c r="F1292" s="1" t="s">
        <v>118</v>
      </c>
      <c r="G1292" s="4" t="s">
        <v>1575</v>
      </c>
      <c r="H1292" s="28">
        <v>40967</v>
      </c>
      <c r="I1292" s="29">
        <f t="shared" si="1556"/>
        <v>2012</v>
      </c>
      <c r="J1292" s="1" t="s">
        <v>1266</v>
      </c>
      <c r="K1292" s="1" t="s">
        <v>7</v>
      </c>
      <c r="L1292" s="11" t="str">
        <f t="shared" si="1557"/>
        <v>НЕТ</v>
      </c>
      <c r="M1292" s="10" t="s">
        <v>1575</v>
      </c>
      <c r="N1292" s="10" t="s">
        <v>1575</v>
      </c>
      <c r="O1292" s="10" t="s">
        <v>1575</v>
      </c>
      <c r="P1292" s="10" t="str">
        <f t="shared" si="1532"/>
        <v>NA</v>
      </c>
      <c r="Q1292" s="10" t="str">
        <f t="shared" si="1533"/>
        <v>NA</v>
      </c>
      <c r="R1292" s="10" t="s">
        <v>1575</v>
      </c>
      <c r="S1292" s="10" t="s">
        <v>1575</v>
      </c>
      <c r="T1292" s="10" t="s">
        <v>1575</v>
      </c>
      <c r="U1292" s="10" t="s">
        <v>1575</v>
      </c>
      <c r="V1292" s="10" t="s">
        <v>1575</v>
      </c>
      <c r="W1292" s="10" t="s">
        <v>1575</v>
      </c>
      <c r="X1292" s="10" t="str">
        <f t="shared" si="1558"/>
        <v>NA</v>
      </c>
      <c r="Y1292" s="10" t="str">
        <f t="shared" si="1559"/>
        <v>NA</v>
      </c>
      <c r="Z1292" s="10" t="str">
        <f t="shared" si="1560"/>
        <v>NA</v>
      </c>
      <c r="AA1292" s="10" t="str">
        <f t="shared" si="1561"/>
        <v>NA</v>
      </c>
      <c r="AB1292" s="10" t="str">
        <f t="shared" si="1562"/>
        <v>NA</v>
      </c>
      <c r="AC1292" s="10" t="str">
        <f t="shared" si="1563"/>
        <v>NA</v>
      </c>
      <c r="AD1292" s="10" t="str">
        <f t="shared" si="1564"/>
        <v>NA</v>
      </c>
      <c r="AE1292" s="10" t="str">
        <f t="shared" si="1565"/>
        <v>NA</v>
      </c>
      <c r="AF1292" s="1" t="s">
        <v>4699</v>
      </c>
    </row>
    <row r="1293" spans="1:32" x14ac:dyDescent="0.2">
      <c r="A1293" s="1" t="s">
        <v>5900</v>
      </c>
      <c r="B1293" s="1" t="s">
        <v>5</v>
      </c>
      <c r="C1293" s="1" t="s">
        <v>1575</v>
      </c>
      <c r="D1293" s="1" t="s">
        <v>1600</v>
      </c>
      <c r="E1293" s="1" t="s">
        <v>4670</v>
      </c>
      <c r="F1293" s="1" t="s">
        <v>165</v>
      </c>
      <c r="G1293" s="4">
        <v>1</v>
      </c>
      <c r="H1293" s="28">
        <v>40725</v>
      </c>
      <c r="I1293" s="29">
        <f t="shared" si="1491"/>
        <v>2011</v>
      </c>
      <c r="J1293" s="1" t="s">
        <v>1266</v>
      </c>
      <c r="K1293" s="1" t="s">
        <v>7</v>
      </c>
      <c r="L1293" s="11" t="str">
        <f t="shared" si="1242"/>
        <v>НЕТ</v>
      </c>
      <c r="M1293" s="10" t="s">
        <v>1575</v>
      </c>
      <c r="N1293" s="10" t="s">
        <v>1575</v>
      </c>
      <c r="O1293" s="10">
        <v>0.01</v>
      </c>
      <c r="P1293" s="10">
        <f t="shared" si="1532"/>
        <v>0.01</v>
      </c>
      <c r="Q1293" s="10">
        <f t="shared" si="1533"/>
        <v>1.8000000000000002E-2</v>
      </c>
      <c r="R1293" s="10" t="s">
        <v>1575</v>
      </c>
      <c r="S1293" s="10" t="s">
        <v>1575</v>
      </c>
      <c r="T1293" s="10" t="s">
        <v>1575</v>
      </c>
      <c r="U1293" s="10" t="s">
        <v>1575</v>
      </c>
      <c r="V1293" s="10">
        <v>1.0999999999999999E-2</v>
      </c>
      <c r="W1293" s="10">
        <v>8.0000000000000002E-3</v>
      </c>
      <c r="X1293" s="10">
        <f t="shared" si="1425"/>
        <v>1.9E-2</v>
      </c>
      <c r="Y1293" s="10" t="str">
        <f t="shared" si="1426"/>
        <v>NA</v>
      </c>
      <c r="Z1293" s="10" t="str">
        <f t="shared" si="1427"/>
        <v>NA</v>
      </c>
      <c r="AA1293" s="10">
        <f t="shared" si="1428"/>
        <v>0.90909090909090917</v>
      </c>
      <c r="AB1293" s="10" t="str">
        <f t="shared" si="1429"/>
        <v>NA</v>
      </c>
      <c r="AC1293" s="10" t="str">
        <f t="shared" si="1430"/>
        <v>NA</v>
      </c>
      <c r="AD1293" s="10" t="str">
        <f t="shared" si="1431"/>
        <v>NA</v>
      </c>
      <c r="AE1293" s="10">
        <f t="shared" si="1432"/>
        <v>0.94736842105263175</v>
      </c>
      <c r="AF1293" s="1" t="s">
        <v>4696</v>
      </c>
    </row>
    <row r="1294" spans="1:32" x14ac:dyDescent="0.2">
      <c r="A1294" s="1" t="s">
        <v>5901</v>
      </c>
      <c r="B1294" s="1" t="s">
        <v>5</v>
      </c>
      <c r="C1294" s="1" t="s">
        <v>1575</v>
      </c>
      <c r="D1294" s="1" t="s">
        <v>1600</v>
      </c>
      <c r="E1294" s="1" t="s">
        <v>4670</v>
      </c>
      <c r="F1294" s="1" t="s">
        <v>165</v>
      </c>
      <c r="G1294" s="4">
        <v>0.25</v>
      </c>
      <c r="H1294" s="28">
        <v>40360</v>
      </c>
      <c r="I1294" s="29">
        <f t="shared" si="1491"/>
        <v>2010</v>
      </c>
      <c r="J1294" s="1" t="s">
        <v>1266</v>
      </c>
      <c r="K1294" s="1" t="s">
        <v>7</v>
      </c>
      <c r="L1294" s="11" t="str">
        <f t="shared" si="1242"/>
        <v>НЕТ</v>
      </c>
      <c r="M1294" s="10" t="s">
        <v>1575</v>
      </c>
      <c r="N1294" s="10" t="s">
        <v>1575</v>
      </c>
      <c r="O1294" s="10">
        <v>0.02</v>
      </c>
      <c r="P1294" s="10">
        <f t="shared" si="1532"/>
        <v>0.08</v>
      </c>
      <c r="Q1294" s="10" t="str">
        <f t="shared" si="1533"/>
        <v>NA</v>
      </c>
      <c r="R1294" s="10" t="s">
        <v>1575</v>
      </c>
      <c r="S1294" s="10" t="s">
        <v>1575</v>
      </c>
      <c r="T1294" s="10" t="s">
        <v>1575</v>
      </c>
      <c r="U1294" s="10" t="s">
        <v>1575</v>
      </c>
      <c r="V1294" s="10" t="s">
        <v>1575</v>
      </c>
      <c r="W1294" s="10" t="s">
        <v>1575</v>
      </c>
      <c r="X1294" s="10" t="str">
        <f t="shared" si="1425"/>
        <v>NA</v>
      </c>
      <c r="Y1294" s="10" t="str">
        <f t="shared" si="1426"/>
        <v>NA</v>
      </c>
      <c r="Z1294" s="10" t="str">
        <f t="shared" si="1427"/>
        <v>NA</v>
      </c>
      <c r="AA1294" s="10" t="str">
        <f t="shared" si="1428"/>
        <v>NA</v>
      </c>
      <c r="AB1294" s="10" t="str">
        <f t="shared" si="1429"/>
        <v>NA</v>
      </c>
      <c r="AC1294" s="10" t="str">
        <f t="shared" si="1430"/>
        <v>NA</v>
      </c>
      <c r="AD1294" s="10" t="str">
        <f t="shared" si="1431"/>
        <v>NA</v>
      </c>
      <c r="AE1294" s="10" t="str">
        <f t="shared" si="1432"/>
        <v>NA</v>
      </c>
      <c r="AF1294" s="1" t="s">
        <v>4697</v>
      </c>
    </row>
    <row r="1295" spans="1:32" x14ac:dyDescent="0.2">
      <c r="A1295" s="1" t="s">
        <v>1266</v>
      </c>
      <c r="B1295" s="1" t="s">
        <v>5</v>
      </c>
      <c r="C1295" s="1" t="s">
        <v>1658</v>
      </c>
      <c r="D1295" s="1" t="s">
        <v>1600</v>
      </c>
      <c r="E1295" s="1" t="s">
        <v>1659</v>
      </c>
      <c r="F1295" s="1" t="s">
        <v>118</v>
      </c>
      <c r="G1295" s="4">
        <v>0.15</v>
      </c>
      <c r="H1295" s="28">
        <v>40298</v>
      </c>
      <c r="I1295" s="29">
        <f t="shared" si="1491"/>
        <v>2010</v>
      </c>
      <c r="J1295" s="1" t="s">
        <v>1266</v>
      </c>
      <c r="K1295" s="1" t="s">
        <v>7</v>
      </c>
      <c r="L1295" s="11" t="str">
        <f t="shared" si="1242"/>
        <v>ДА</v>
      </c>
      <c r="M1295" s="10" t="s">
        <v>1575</v>
      </c>
      <c r="N1295" s="10" t="s">
        <v>1575</v>
      </c>
      <c r="O1295" s="10">
        <v>2.964</v>
      </c>
      <c r="P1295" s="10">
        <f t="shared" si="1532"/>
        <v>19.760000000000002</v>
      </c>
      <c r="Q1295" s="10" t="str">
        <f t="shared" si="1533"/>
        <v>NA</v>
      </c>
      <c r="R1295" s="10" t="s">
        <v>1575</v>
      </c>
      <c r="S1295" s="10" t="s">
        <v>1575</v>
      </c>
      <c r="T1295" s="10" t="s">
        <v>1575</v>
      </c>
      <c r="U1295" s="10" t="s">
        <v>1575</v>
      </c>
      <c r="V1295" s="10" t="s">
        <v>1575</v>
      </c>
      <c r="W1295" s="10" t="s">
        <v>1575</v>
      </c>
      <c r="X1295" s="10" t="str">
        <f t="shared" si="1425"/>
        <v>NA</v>
      </c>
      <c r="Y1295" s="10" t="str">
        <f t="shared" si="1426"/>
        <v>NA</v>
      </c>
      <c r="Z1295" s="10" t="str">
        <f t="shared" si="1427"/>
        <v>NA</v>
      </c>
      <c r="AA1295" s="10" t="str">
        <f t="shared" si="1428"/>
        <v>NA</v>
      </c>
      <c r="AB1295" s="10" t="str">
        <f t="shared" si="1429"/>
        <v>NA</v>
      </c>
      <c r="AC1295" s="10" t="str">
        <f t="shared" si="1430"/>
        <v>NA</v>
      </c>
      <c r="AD1295" s="10" t="str">
        <f t="shared" si="1431"/>
        <v>NA</v>
      </c>
      <c r="AE1295" s="10" t="str">
        <f t="shared" si="1432"/>
        <v>NA</v>
      </c>
      <c r="AF1295" s="1" t="s">
        <v>4698</v>
      </c>
    </row>
    <row r="1296" spans="1:32" x14ac:dyDescent="0.2">
      <c r="A1296" s="1" t="s">
        <v>1390</v>
      </c>
      <c r="B1296" s="1" t="s">
        <v>5</v>
      </c>
      <c r="C1296" s="1" t="s">
        <v>1575</v>
      </c>
      <c r="D1296" s="1" t="s">
        <v>1600</v>
      </c>
      <c r="E1296" s="1" t="s">
        <v>1653</v>
      </c>
      <c r="F1296" s="1" t="s">
        <v>101</v>
      </c>
      <c r="G1296" s="4" t="s">
        <v>11</v>
      </c>
      <c r="H1296" s="28">
        <v>44316</v>
      </c>
      <c r="I1296" s="29">
        <f t="shared" si="1491"/>
        <v>2021</v>
      </c>
      <c r="J1296" s="1" t="s">
        <v>1685</v>
      </c>
      <c r="K1296" s="1" t="s">
        <v>7</v>
      </c>
      <c r="L1296" s="11" t="str">
        <f t="shared" si="1242"/>
        <v>НЕТ</v>
      </c>
      <c r="M1296" s="10" t="s">
        <v>1575</v>
      </c>
      <c r="N1296" s="10" t="s">
        <v>1575</v>
      </c>
      <c r="O1296" s="10">
        <v>0.2</v>
      </c>
      <c r="P1296" s="10" t="str">
        <f t="shared" si="1532"/>
        <v>NA</v>
      </c>
      <c r="Q1296" s="10" t="str">
        <f t="shared" si="1533"/>
        <v>NA</v>
      </c>
      <c r="R1296" s="10" t="s">
        <v>1575</v>
      </c>
      <c r="S1296" s="10" t="s">
        <v>1575</v>
      </c>
      <c r="T1296" s="10" t="s">
        <v>1575</v>
      </c>
      <c r="U1296" s="10" t="s">
        <v>1575</v>
      </c>
      <c r="V1296" s="10">
        <v>-0.34487099999999998</v>
      </c>
      <c r="W1296" s="10">
        <f>0.03296+0.078907+0.015087+0.242782-0.253015</f>
        <v>0.11672100000000002</v>
      </c>
      <c r="X1296" s="10">
        <f t="shared" si="1425"/>
        <v>-0.22814999999999996</v>
      </c>
      <c r="Y1296" s="10" t="str">
        <f t="shared" si="1426"/>
        <v>NA</v>
      </c>
      <c r="Z1296" s="10" t="str">
        <f t="shared" si="1427"/>
        <v>NA</v>
      </c>
      <c r="AA1296" s="10" t="str">
        <f t="shared" si="1428"/>
        <v>NA</v>
      </c>
      <c r="AB1296" s="10" t="str">
        <f t="shared" si="1429"/>
        <v>NA</v>
      </c>
      <c r="AC1296" s="10" t="str">
        <f t="shared" si="1430"/>
        <v>NA</v>
      </c>
      <c r="AD1296" s="10" t="str">
        <f t="shared" si="1431"/>
        <v>NA</v>
      </c>
      <c r="AE1296" s="10" t="str">
        <f t="shared" si="1432"/>
        <v>NA</v>
      </c>
      <c r="AF1296" s="1" t="s">
        <v>1391</v>
      </c>
    </row>
    <row r="1297" spans="1:32" x14ac:dyDescent="0.2">
      <c r="A1297" s="1" t="s">
        <v>5265</v>
      </c>
      <c r="B1297" s="1" t="s">
        <v>5</v>
      </c>
      <c r="C1297" s="1" t="s">
        <v>1575</v>
      </c>
      <c r="D1297" s="1" t="s">
        <v>1600</v>
      </c>
      <c r="E1297" s="1" t="s">
        <v>1653</v>
      </c>
      <c r="F1297" s="1" t="s">
        <v>101</v>
      </c>
      <c r="G1297" s="4">
        <v>1</v>
      </c>
      <c r="H1297" s="28">
        <v>45473</v>
      </c>
      <c r="I1297" s="29">
        <f t="shared" si="1491"/>
        <v>2024</v>
      </c>
      <c r="J1297" s="1" t="s">
        <v>7</v>
      </c>
      <c r="K1297" s="1" t="s">
        <v>1684</v>
      </c>
      <c r="L1297" s="11" t="str">
        <f t="shared" ref="L1297:L1298" si="1566">IF(OR(A1297=J1297,A1297=K1297),"ДА","НЕТ")</f>
        <v>НЕТ</v>
      </c>
      <c r="M1297" s="10" t="s">
        <v>1575</v>
      </c>
      <c r="N1297" s="10" t="s">
        <v>1575</v>
      </c>
      <c r="O1297" s="10">
        <v>5.44</v>
      </c>
      <c r="P1297" s="10">
        <f t="shared" si="1532"/>
        <v>5.44</v>
      </c>
      <c r="Q1297" s="10" t="str">
        <f t="shared" si="1533"/>
        <v>NA</v>
      </c>
      <c r="R1297" s="10" t="s">
        <v>1575</v>
      </c>
      <c r="S1297" s="10" t="s">
        <v>1575</v>
      </c>
      <c r="T1297" s="10" t="s">
        <v>1575</v>
      </c>
      <c r="U1297" s="10" t="s">
        <v>1575</v>
      </c>
      <c r="V1297" s="10" t="s">
        <v>1575</v>
      </c>
      <c r="W1297" s="10" t="s">
        <v>1575</v>
      </c>
      <c r="X1297" s="10" t="str">
        <f t="shared" ref="X1297:X1298" si="1567">IFERROR(V1297+W1297,"NA")</f>
        <v>NA</v>
      </c>
      <c r="Y1297" s="10" t="str">
        <f t="shared" ref="Y1297:Y1298" si="1568">IFERROR(P1297/R1297,"NA")</f>
        <v>NA</v>
      </c>
      <c r="Z1297" s="10" t="str">
        <f t="shared" ref="Z1297:Z1298" si="1569">IFERROR(P1297/U1297,"NA")</f>
        <v>NA</v>
      </c>
      <c r="AA1297" s="10" t="str">
        <f t="shared" ref="AA1297:AA1298" si="1570">IFERROR(P1297/V1297,"NA")</f>
        <v>NA</v>
      </c>
      <c r="AB1297" s="10" t="str">
        <f t="shared" ref="AB1297:AB1298" si="1571">IFERROR(Q1297/R1297,"NA")</f>
        <v>NA</v>
      </c>
      <c r="AC1297" s="10" t="str">
        <f t="shared" ref="AC1297:AC1298" si="1572">IFERROR(Q1297/S1297,"NA")</f>
        <v>NA</v>
      </c>
      <c r="AD1297" s="10" t="str">
        <f t="shared" ref="AD1297:AD1298" si="1573">IFERROR(Q1297/T1297,"NA")</f>
        <v>NA</v>
      </c>
      <c r="AE1297" s="10" t="str">
        <f t="shared" ref="AE1297:AE1298" si="1574">IFERROR(Q1297/X1297,"NA")</f>
        <v>NA</v>
      </c>
      <c r="AF1297" s="1" t="s">
        <v>5262</v>
      </c>
    </row>
    <row r="1298" spans="1:32" x14ac:dyDescent="0.2">
      <c r="A1298" s="1" t="s">
        <v>5266</v>
      </c>
      <c r="B1298" s="1" t="s">
        <v>5</v>
      </c>
      <c r="C1298" s="1" t="s">
        <v>1575</v>
      </c>
      <c r="D1298" s="1" t="s">
        <v>1600</v>
      </c>
      <c r="E1298" s="1" t="s">
        <v>1653</v>
      </c>
      <c r="F1298" s="1" t="s">
        <v>101</v>
      </c>
      <c r="G1298" s="4">
        <v>1</v>
      </c>
      <c r="H1298" s="28">
        <v>45107</v>
      </c>
      <c r="I1298" s="29">
        <f t="shared" si="1491"/>
        <v>2023</v>
      </c>
      <c r="J1298" s="1" t="s">
        <v>7</v>
      </c>
      <c r="K1298" s="1" t="s">
        <v>1684</v>
      </c>
      <c r="L1298" s="11" t="str">
        <f t="shared" si="1566"/>
        <v>НЕТ</v>
      </c>
      <c r="M1298" s="10" t="s">
        <v>1575</v>
      </c>
      <c r="N1298" s="10" t="s">
        <v>1575</v>
      </c>
      <c r="O1298" s="10">
        <v>3.7050000000000001</v>
      </c>
      <c r="P1298" s="10">
        <f t="shared" si="1532"/>
        <v>3.7050000000000001</v>
      </c>
      <c r="Q1298" s="10" t="str">
        <f t="shared" si="1533"/>
        <v>NA</v>
      </c>
      <c r="R1298" s="10" t="s">
        <v>1575</v>
      </c>
      <c r="S1298" s="10" t="s">
        <v>1575</v>
      </c>
      <c r="T1298" s="10" t="s">
        <v>1575</v>
      </c>
      <c r="U1298" s="10" t="s">
        <v>1575</v>
      </c>
      <c r="V1298" s="10" t="s">
        <v>1575</v>
      </c>
      <c r="W1298" s="10" t="s">
        <v>1575</v>
      </c>
      <c r="X1298" s="10" t="str">
        <f t="shared" si="1567"/>
        <v>NA</v>
      </c>
      <c r="Y1298" s="10" t="str">
        <f t="shared" si="1568"/>
        <v>NA</v>
      </c>
      <c r="Z1298" s="10" t="str">
        <f t="shared" si="1569"/>
        <v>NA</v>
      </c>
      <c r="AA1298" s="10" t="str">
        <f t="shared" si="1570"/>
        <v>NA</v>
      </c>
      <c r="AB1298" s="10" t="str">
        <f t="shared" si="1571"/>
        <v>NA</v>
      </c>
      <c r="AC1298" s="10" t="str">
        <f t="shared" si="1572"/>
        <v>NA</v>
      </c>
      <c r="AD1298" s="10" t="str">
        <f t="shared" si="1573"/>
        <v>NA</v>
      </c>
      <c r="AE1298" s="10" t="str">
        <f t="shared" si="1574"/>
        <v>NA</v>
      </c>
      <c r="AF1298" s="1" t="s">
        <v>5263</v>
      </c>
    </row>
    <row r="1299" spans="1:32" x14ac:dyDescent="0.2">
      <c r="A1299" s="1" t="s">
        <v>1684</v>
      </c>
      <c r="B1299" s="1" t="s">
        <v>5</v>
      </c>
      <c r="C1299" s="1" t="s">
        <v>5267</v>
      </c>
      <c r="D1299" s="1" t="s">
        <v>1600</v>
      </c>
      <c r="E1299" s="1" t="s">
        <v>1653</v>
      </c>
      <c r="F1299" s="1" t="s">
        <v>101</v>
      </c>
      <c r="G1299" s="4">
        <f>40799587/94742000</f>
        <v>0.43063886132866097</v>
      </c>
      <c r="H1299" s="28">
        <v>45137</v>
      </c>
      <c r="I1299" s="29">
        <f t="shared" si="1491"/>
        <v>2023</v>
      </c>
      <c r="J1299" s="1" t="s">
        <v>1684</v>
      </c>
      <c r="K1299" s="1" t="s">
        <v>7</v>
      </c>
      <c r="L1299" s="11" t="str">
        <f t="shared" ref="L1299" si="1575">IF(OR(A1299=J1299,A1299=K1299),"ДА","НЕТ")</f>
        <v>ДА</v>
      </c>
      <c r="M1299" s="10" t="s">
        <v>1575</v>
      </c>
      <c r="N1299" s="10" t="s">
        <v>1575</v>
      </c>
      <c r="O1299" s="10">
        <v>579.42899999999997</v>
      </c>
      <c r="P1299" s="10">
        <f t="shared" si="1532"/>
        <v>1345.5102454345922</v>
      </c>
      <c r="Q1299" s="10" t="str">
        <f t="shared" si="1533"/>
        <v>NA</v>
      </c>
      <c r="R1299" s="10" t="s">
        <v>1575</v>
      </c>
      <c r="S1299" s="10" t="s">
        <v>1575</v>
      </c>
      <c r="T1299" s="10" t="s">
        <v>1575</v>
      </c>
      <c r="U1299" s="10" t="s">
        <v>1575</v>
      </c>
      <c r="V1299" s="10" t="s">
        <v>1575</v>
      </c>
      <c r="W1299" s="10" t="s">
        <v>1575</v>
      </c>
      <c r="X1299" s="10" t="str">
        <f t="shared" si="1425"/>
        <v>NA</v>
      </c>
      <c r="Y1299" s="10" t="str">
        <f t="shared" si="1426"/>
        <v>NA</v>
      </c>
      <c r="Z1299" s="10" t="str">
        <f t="shared" si="1427"/>
        <v>NA</v>
      </c>
      <c r="AA1299" s="10" t="str">
        <f t="shared" si="1428"/>
        <v>NA</v>
      </c>
      <c r="AB1299" s="10" t="str">
        <f t="shared" si="1429"/>
        <v>NA</v>
      </c>
      <c r="AC1299" s="10" t="str">
        <f t="shared" si="1430"/>
        <v>NA</v>
      </c>
      <c r="AD1299" s="10" t="str">
        <f t="shared" si="1431"/>
        <v>NA</v>
      </c>
      <c r="AE1299" s="10" t="str">
        <f t="shared" si="1432"/>
        <v>NA</v>
      </c>
      <c r="AF1299" s="1" t="s">
        <v>5264</v>
      </c>
    </row>
    <row r="1300" spans="1:32" x14ac:dyDescent="0.2">
      <c r="A1300" s="1" t="s">
        <v>5902</v>
      </c>
      <c r="B1300" s="1" t="s">
        <v>5</v>
      </c>
      <c r="C1300" s="1" t="s">
        <v>1575</v>
      </c>
      <c r="D1300" s="1" t="s">
        <v>1600</v>
      </c>
      <c r="E1300" s="1" t="s">
        <v>1653</v>
      </c>
      <c r="F1300" s="1" t="s">
        <v>101</v>
      </c>
      <c r="G1300" s="4">
        <v>1</v>
      </c>
      <c r="H1300" s="28">
        <v>44742</v>
      </c>
      <c r="I1300" s="29">
        <f t="shared" si="1491"/>
        <v>2022</v>
      </c>
      <c r="J1300" s="1" t="s">
        <v>1684</v>
      </c>
      <c r="K1300" s="1" t="s">
        <v>1358</v>
      </c>
      <c r="L1300" s="11" t="str">
        <f t="shared" si="1242"/>
        <v>НЕТ</v>
      </c>
      <c r="M1300" s="10" t="s">
        <v>1575</v>
      </c>
      <c r="N1300" s="10" t="s">
        <v>1575</v>
      </c>
      <c r="O1300" s="10">
        <v>8.5909999999999993</v>
      </c>
      <c r="P1300" s="10">
        <f t="shared" si="1532"/>
        <v>8.5909999999999993</v>
      </c>
      <c r="Q1300" s="10">
        <f t="shared" si="1533"/>
        <v>8.1760000000000002</v>
      </c>
      <c r="R1300" s="10" t="s">
        <v>1575</v>
      </c>
      <c r="S1300" s="10" t="s">
        <v>1575</v>
      </c>
      <c r="T1300" s="10" t="s">
        <v>1575</v>
      </c>
      <c r="U1300" s="10" t="s">
        <v>1575</v>
      </c>
      <c r="V1300" s="10">
        <v>9.48</v>
      </c>
      <c r="W1300" s="10">
        <f>0-0.415</f>
        <v>-0.41499999999999998</v>
      </c>
      <c r="X1300" s="10">
        <f t="shared" si="1425"/>
        <v>9.0650000000000013</v>
      </c>
      <c r="Y1300" s="10" t="str">
        <f t="shared" si="1426"/>
        <v>NA</v>
      </c>
      <c r="Z1300" s="10" t="str">
        <f t="shared" si="1427"/>
        <v>NA</v>
      </c>
      <c r="AA1300" s="10">
        <f t="shared" si="1428"/>
        <v>0.90622362869198303</v>
      </c>
      <c r="AB1300" s="10" t="str">
        <f t="shared" si="1429"/>
        <v>NA</v>
      </c>
      <c r="AC1300" s="10" t="str">
        <f t="shared" si="1430"/>
        <v>NA</v>
      </c>
      <c r="AD1300" s="10" t="str">
        <f t="shared" si="1431"/>
        <v>NA</v>
      </c>
      <c r="AE1300" s="10">
        <f t="shared" si="1432"/>
        <v>0.90193050193050184</v>
      </c>
      <c r="AF1300" s="1" t="s">
        <v>1359</v>
      </c>
    </row>
    <row r="1301" spans="1:32" x14ac:dyDescent="0.2">
      <c r="A1301" s="1" t="s">
        <v>1684</v>
      </c>
      <c r="B1301" s="1" t="s">
        <v>5</v>
      </c>
      <c r="C1301" s="1" t="s">
        <v>5267</v>
      </c>
      <c r="D1301" s="1" t="s">
        <v>1600</v>
      </c>
      <c r="E1301" s="1" t="s">
        <v>1653</v>
      </c>
      <c r="F1301" s="1" t="s">
        <v>101</v>
      </c>
      <c r="G1301" s="4">
        <f>70000/136069000</f>
        <v>5.1444487723140467E-4</v>
      </c>
      <c r="H1301" s="28">
        <v>44926</v>
      </c>
      <c r="I1301" s="29">
        <f t="shared" ref="I1301" si="1576">YEAR(H1301)</f>
        <v>2022</v>
      </c>
      <c r="J1301" s="1" t="s">
        <v>1684</v>
      </c>
      <c r="K1301" s="1" t="s">
        <v>7</v>
      </c>
      <c r="L1301" s="11" t="str">
        <f t="shared" si="1242"/>
        <v>ДА</v>
      </c>
      <c r="M1301" s="10" t="s">
        <v>1575</v>
      </c>
      <c r="N1301" s="10" t="s">
        <v>1575</v>
      </c>
      <c r="O1301" s="10">
        <v>0.71299999999999997</v>
      </c>
      <c r="P1301" s="10">
        <f t="shared" si="1532"/>
        <v>1385.9599571428571</v>
      </c>
      <c r="Q1301" s="10" t="str">
        <f t="shared" si="1533"/>
        <v>NA</v>
      </c>
      <c r="R1301" s="10" t="s">
        <v>1575</v>
      </c>
      <c r="S1301" s="10" t="s">
        <v>1575</v>
      </c>
      <c r="T1301" s="10" t="s">
        <v>1575</v>
      </c>
      <c r="U1301" s="10" t="s">
        <v>1575</v>
      </c>
      <c r="V1301" s="10" t="s">
        <v>1575</v>
      </c>
      <c r="W1301" s="10" t="s">
        <v>1575</v>
      </c>
      <c r="X1301" s="10" t="str">
        <f t="shared" ref="X1301" si="1577">IFERROR(V1301+W1301,"NA")</f>
        <v>NA</v>
      </c>
      <c r="Y1301" s="10" t="str">
        <f t="shared" ref="Y1301" si="1578">IFERROR(P1301/R1301,"NA")</f>
        <v>NA</v>
      </c>
      <c r="Z1301" s="10" t="str">
        <f t="shared" ref="Z1301" si="1579">IFERROR(P1301/U1301,"NA")</f>
        <v>NA</v>
      </c>
      <c r="AA1301" s="10" t="str">
        <f t="shared" ref="AA1301" si="1580">IFERROR(P1301/V1301,"NA")</f>
        <v>NA</v>
      </c>
      <c r="AB1301" s="10" t="str">
        <f t="shared" ref="AB1301" si="1581">IFERROR(Q1301/R1301,"NA")</f>
        <v>NA</v>
      </c>
      <c r="AC1301" s="10" t="str">
        <f t="shared" ref="AC1301" si="1582">IFERROR(Q1301/S1301,"NA")</f>
        <v>NA</v>
      </c>
      <c r="AD1301" s="10" t="str">
        <f t="shared" ref="AD1301" si="1583">IFERROR(Q1301/T1301,"NA")</f>
        <v>NA</v>
      </c>
      <c r="AE1301" s="10" t="str">
        <f t="shared" ref="AE1301" si="1584">IFERROR(Q1301/X1301,"NA")</f>
        <v>NA</v>
      </c>
      <c r="AF1301" s="1" t="s">
        <v>5268</v>
      </c>
    </row>
    <row r="1302" spans="1:32" x14ac:dyDescent="0.2">
      <c r="A1302" s="1" t="s">
        <v>1684</v>
      </c>
      <c r="B1302" s="1" t="s">
        <v>5</v>
      </c>
      <c r="C1302" s="1" t="s">
        <v>5267</v>
      </c>
      <c r="D1302" s="1" t="s">
        <v>1600</v>
      </c>
      <c r="E1302" s="1" t="s">
        <v>1653</v>
      </c>
      <c r="F1302" s="1" t="s">
        <v>101</v>
      </c>
      <c r="G1302" s="4">
        <f>62000/136069000</f>
        <v>4.55651176976387E-4</v>
      </c>
      <c r="H1302" s="28">
        <v>44286</v>
      </c>
      <c r="I1302" s="29">
        <f t="shared" ref="I1302" si="1585">YEAR(H1302)</f>
        <v>2021</v>
      </c>
      <c r="J1302" s="1" t="s">
        <v>1684</v>
      </c>
      <c r="K1302" s="1" t="s">
        <v>7</v>
      </c>
      <c r="L1302" s="11" t="str">
        <f t="shared" ref="L1302" si="1586">IF(OR(A1302=J1302,A1302=K1302),"ДА","НЕТ")</f>
        <v>ДА</v>
      </c>
      <c r="M1302" s="10" t="s">
        <v>1575</v>
      </c>
      <c r="N1302" s="10" t="s">
        <v>1575</v>
      </c>
      <c r="O1302" s="10" t="s">
        <v>1575</v>
      </c>
      <c r="P1302" s="10" t="str">
        <f t="shared" si="1532"/>
        <v>NA</v>
      </c>
      <c r="Q1302" s="10" t="str">
        <f t="shared" si="1533"/>
        <v>NA</v>
      </c>
      <c r="R1302" s="10">
        <v>364.21600000000001</v>
      </c>
      <c r="S1302" s="10">
        <v>249.239</v>
      </c>
      <c r="T1302" s="10">
        <v>224.065</v>
      </c>
      <c r="U1302" s="10">
        <v>122.628</v>
      </c>
      <c r="V1302" s="10">
        <v>180.65799999999999</v>
      </c>
      <c r="W1302" s="10">
        <v>210.08800000000002</v>
      </c>
      <c r="X1302" s="10">
        <f t="shared" ref="X1302" si="1587">IFERROR(V1302+W1302,"NA")</f>
        <v>390.74599999999998</v>
      </c>
      <c r="Y1302" s="10" t="str">
        <f t="shared" ref="Y1302" si="1588">IFERROR(P1302/R1302,"NA")</f>
        <v>NA</v>
      </c>
      <c r="Z1302" s="10" t="str">
        <f t="shared" ref="Z1302" si="1589">IFERROR(P1302/U1302,"NA")</f>
        <v>NA</v>
      </c>
      <c r="AA1302" s="10" t="str">
        <f t="shared" ref="AA1302" si="1590">IFERROR(P1302/V1302,"NA")</f>
        <v>NA</v>
      </c>
      <c r="AB1302" s="10" t="str">
        <f t="shared" ref="AB1302" si="1591">IFERROR(Q1302/R1302,"NA")</f>
        <v>NA</v>
      </c>
      <c r="AC1302" s="10" t="str">
        <f t="shared" ref="AC1302" si="1592">IFERROR(Q1302/S1302,"NA")</f>
        <v>NA</v>
      </c>
      <c r="AD1302" s="10" t="str">
        <f t="shared" ref="AD1302" si="1593">IFERROR(Q1302/T1302,"NA")</f>
        <v>NA</v>
      </c>
      <c r="AE1302" s="10" t="str">
        <f t="shared" ref="AE1302" si="1594">IFERROR(Q1302/X1302,"NA")</f>
        <v>NA</v>
      </c>
      <c r="AF1302" s="1" t="s">
        <v>5269</v>
      </c>
    </row>
    <row r="1303" spans="1:32" x14ac:dyDescent="0.2">
      <c r="A1303" s="1" t="s">
        <v>5903</v>
      </c>
      <c r="B1303" s="1" t="s">
        <v>5</v>
      </c>
      <c r="C1303" s="1" t="s">
        <v>1682</v>
      </c>
      <c r="D1303" s="1" t="s">
        <v>1600</v>
      </c>
      <c r="E1303" s="1" t="s">
        <v>1653</v>
      </c>
      <c r="F1303" s="1" t="s">
        <v>101</v>
      </c>
      <c r="G1303" s="4">
        <f>1002/1140300</f>
        <v>8.7871612733491191E-4</v>
      </c>
      <c r="H1303" s="28">
        <v>44227</v>
      </c>
      <c r="I1303" s="29">
        <f t="shared" si="1491"/>
        <v>2021</v>
      </c>
      <c r="J1303" s="1" t="s">
        <v>5904</v>
      </c>
      <c r="K1303" s="1" t="s">
        <v>7</v>
      </c>
      <c r="L1303" s="11" t="str">
        <f t="shared" si="1242"/>
        <v>НЕТ</v>
      </c>
      <c r="M1303" s="10" t="s">
        <v>1575</v>
      </c>
      <c r="N1303" s="10" t="s">
        <v>1575</v>
      </c>
      <c r="O1303" s="10">
        <v>1.9599999999999999E-2</v>
      </c>
      <c r="P1303" s="10">
        <f t="shared" si="1532"/>
        <v>22.305269461077842</v>
      </c>
      <c r="Q1303" s="10">
        <f t="shared" si="1533"/>
        <v>-0.61373053892215879</v>
      </c>
      <c r="R1303" s="10">
        <v>13.553000000000001</v>
      </c>
      <c r="S1303" s="10">
        <v>8.0609999999999999</v>
      </c>
      <c r="T1303" s="10">
        <v>7.0489999999999995</v>
      </c>
      <c r="U1303" s="10">
        <v>24.901</v>
      </c>
      <c r="V1303" s="10">
        <f>23.235+0.116-0.022</f>
        <v>23.329000000000001</v>
      </c>
      <c r="W1303" s="10">
        <v>-22.919</v>
      </c>
      <c r="X1303" s="10">
        <f t="shared" si="1425"/>
        <v>0.41000000000000014</v>
      </c>
      <c r="Y1303" s="10">
        <f t="shared" si="1426"/>
        <v>1.6457809681308817</v>
      </c>
      <c r="Z1303" s="10">
        <f t="shared" si="1427"/>
        <v>0.89575798004408824</v>
      </c>
      <c r="AA1303" s="10">
        <f t="shared" si="1428"/>
        <v>0.95611768447330969</v>
      </c>
      <c r="AB1303" s="10">
        <f t="shared" si="1429"/>
        <v>-4.5283740789652381E-2</v>
      </c>
      <c r="AC1303" s="10">
        <f t="shared" si="1430"/>
        <v>-7.6135782027311596E-2</v>
      </c>
      <c r="AD1303" s="10">
        <f t="shared" si="1431"/>
        <v>-8.7066326985694262E-2</v>
      </c>
      <c r="AE1303" s="10">
        <f t="shared" si="1432"/>
        <v>-1.4969037534686795</v>
      </c>
      <c r="AF1303" s="1" t="s">
        <v>1389</v>
      </c>
    </row>
    <row r="1304" spans="1:32" x14ac:dyDescent="0.2">
      <c r="A1304" s="1" t="s">
        <v>5905</v>
      </c>
      <c r="B1304" s="1" t="s">
        <v>5</v>
      </c>
      <c r="C1304" s="1" t="s">
        <v>1575</v>
      </c>
      <c r="D1304" s="1" t="s">
        <v>1600</v>
      </c>
      <c r="E1304" s="1" t="s">
        <v>1653</v>
      </c>
      <c r="F1304" s="1" t="s">
        <v>101</v>
      </c>
      <c r="G1304" s="4">
        <v>0.94399999999999995</v>
      </c>
      <c r="H1304" s="28">
        <v>44096</v>
      </c>
      <c r="I1304" s="29">
        <f t="shared" si="1491"/>
        <v>2020</v>
      </c>
      <c r="J1304" s="1" t="s">
        <v>5904</v>
      </c>
      <c r="K1304" s="1" t="s">
        <v>7</v>
      </c>
      <c r="L1304" s="11" t="str">
        <f t="shared" si="1242"/>
        <v>НЕТ</v>
      </c>
      <c r="M1304" s="10">
        <v>262</v>
      </c>
      <c r="N1304" s="10" t="s">
        <v>1575</v>
      </c>
      <c r="O1304" s="10">
        <v>19.899999999999999</v>
      </c>
      <c r="P1304" s="10">
        <f t="shared" si="1532"/>
        <v>21.08050847457627</v>
      </c>
      <c r="Q1304" s="10" t="str">
        <f t="shared" si="1533"/>
        <v>NA</v>
      </c>
      <c r="R1304" s="10" t="s">
        <v>1575</v>
      </c>
      <c r="S1304" s="10" t="s">
        <v>1575</v>
      </c>
      <c r="T1304" s="10" t="s">
        <v>1575</v>
      </c>
      <c r="U1304" s="10" t="s">
        <v>1575</v>
      </c>
      <c r="V1304" s="10" t="s">
        <v>1575</v>
      </c>
      <c r="W1304" s="10" t="s">
        <v>1575</v>
      </c>
      <c r="X1304" s="10" t="str">
        <f t="shared" si="1425"/>
        <v>NA</v>
      </c>
      <c r="Y1304" s="10" t="str">
        <f t="shared" si="1426"/>
        <v>NA</v>
      </c>
      <c r="Z1304" s="10" t="str">
        <f t="shared" si="1427"/>
        <v>NA</v>
      </c>
      <c r="AA1304" s="10" t="str">
        <f t="shared" si="1428"/>
        <v>NA</v>
      </c>
      <c r="AB1304" s="10" t="str">
        <f t="shared" si="1429"/>
        <v>NA</v>
      </c>
      <c r="AC1304" s="10" t="str">
        <f t="shared" si="1430"/>
        <v>NA</v>
      </c>
      <c r="AD1304" s="10" t="str">
        <f t="shared" si="1431"/>
        <v>NA</v>
      </c>
      <c r="AE1304" s="10" t="str">
        <f t="shared" si="1432"/>
        <v>NA</v>
      </c>
      <c r="AF1304" s="1" t="s">
        <v>1388</v>
      </c>
    </row>
    <row r="1305" spans="1:32" x14ac:dyDescent="0.2">
      <c r="A1305" s="1" t="s">
        <v>5903</v>
      </c>
      <c r="B1305" s="1" t="s">
        <v>5</v>
      </c>
      <c r="C1305" s="1" t="s">
        <v>1682</v>
      </c>
      <c r="D1305" s="1" t="s">
        <v>1600</v>
      </c>
      <c r="E1305" s="1" t="s">
        <v>1653</v>
      </c>
      <c r="F1305" s="1" t="s">
        <v>101</v>
      </c>
      <c r="G1305" s="4">
        <f>(126345+15498)/1140300</f>
        <v>0.12439094975006577</v>
      </c>
      <c r="H1305" s="28">
        <v>44196</v>
      </c>
      <c r="I1305" s="29">
        <f t="shared" ref="I1305" si="1595">YEAR(H1305)</f>
        <v>2020</v>
      </c>
      <c r="J1305" s="1" t="s">
        <v>5904</v>
      </c>
      <c r="K1305" s="1" t="s">
        <v>7</v>
      </c>
      <c r="L1305" s="11" t="str">
        <f t="shared" ref="L1305" si="1596">IF(OR(A1305=J1305,A1305=K1305),"ДА","НЕТ")</f>
        <v>НЕТ</v>
      </c>
      <c r="M1305" s="10" t="s">
        <v>1575</v>
      </c>
      <c r="N1305" s="10" t="s">
        <v>1575</v>
      </c>
      <c r="O1305" s="10">
        <v>2.448</v>
      </c>
      <c r="P1305" s="10">
        <f t="shared" si="1532"/>
        <v>19.679888327235041</v>
      </c>
      <c r="Q1305" s="10">
        <f t="shared" si="1533"/>
        <v>-3.2391116727649596</v>
      </c>
      <c r="R1305" s="10">
        <v>13.553000000000001</v>
      </c>
      <c r="S1305" s="10">
        <v>8.0609999999999999</v>
      </c>
      <c r="T1305" s="10">
        <v>7.0489999999999995</v>
      </c>
      <c r="U1305" s="10">
        <v>24.901</v>
      </c>
      <c r="V1305" s="10">
        <f>23.235+0.116-0.022</f>
        <v>23.329000000000001</v>
      </c>
      <c r="W1305" s="10">
        <v>-22.919</v>
      </c>
      <c r="X1305" s="10">
        <f t="shared" ref="X1305" si="1597">IFERROR(V1305+W1305,"NA")</f>
        <v>0.41000000000000014</v>
      </c>
      <c r="Y1305" s="10">
        <f t="shared" ref="Y1305" si="1598">IFERROR(P1305/R1305,"NA")</f>
        <v>1.4520687912074848</v>
      </c>
      <c r="Z1305" s="10">
        <f t="shared" ref="Z1305" si="1599">IFERROR(P1305/U1305,"NA")</f>
        <v>0.7903252209644207</v>
      </c>
      <c r="AA1305" s="10">
        <f t="shared" ref="AA1305" si="1600">IFERROR(P1305/V1305,"NA")</f>
        <v>0.84358045039371765</v>
      </c>
      <c r="AB1305" s="10">
        <f t="shared" ref="AB1305" si="1601">IFERROR(Q1305/R1305,"NA")</f>
        <v>-0.23899591771304945</v>
      </c>
      <c r="AC1305" s="10">
        <f t="shared" ref="AC1305" si="1602">IFERROR(Q1305/S1305,"NA")</f>
        <v>-0.40182504314166478</v>
      </c>
      <c r="AD1305" s="10">
        <f t="shared" ref="AD1305" si="1603">IFERROR(Q1305/T1305,"NA")</f>
        <v>-0.45951364346218754</v>
      </c>
      <c r="AE1305" s="10">
        <f t="shared" ref="AE1305" si="1604">IFERROR(Q1305/X1305,"NA")</f>
        <v>-7.9002723725974597</v>
      </c>
      <c r="AF1305" s="1" t="s">
        <v>5270</v>
      </c>
    </row>
    <row r="1306" spans="1:32" x14ac:dyDescent="0.2">
      <c r="A1306" s="1" t="s">
        <v>5906</v>
      </c>
      <c r="B1306" s="1" t="s">
        <v>5</v>
      </c>
      <c r="C1306" s="1" t="s">
        <v>1575</v>
      </c>
      <c r="D1306" s="1" t="s">
        <v>1600</v>
      </c>
      <c r="E1306" s="1" t="s">
        <v>1653</v>
      </c>
      <c r="F1306" s="1" t="s">
        <v>101</v>
      </c>
      <c r="G1306" s="4">
        <f>78%-68.2%</f>
        <v>9.7999999999999976E-2</v>
      </c>
      <c r="H1306" s="28">
        <v>43921</v>
      </c>
      <c r="I1306" s="29">
        <f t="shared" si="1491"/>
        <v>2020</v>
      </c>
      <c r="J1306" s="1" t="s">
        <v>1684</v>
      </c>
      <c r="K1306" s="1" t="s">
        <v>1361</v>
      </c>
      <c r="L1306" s="11" t="str">
        <f t="shared" si="1242"/>
        <v>НЕТ</v>
      </c>
      <c r="M1306" s="10">
        <f>28+29</f>
        <v>57</v>
      </c>
      <c r="N1306" s="10" t="s">
        <v>1575</v>
      </c>
      <c r="O1306" s="10">
        <f>1.836+1.928</f>
        <v>3.7640000000000002</v>
      </c>
      <c r="P1306" s="10">
        <f t="shared" si="1532"/>
        <v>38.408163265306136</v>
      </c>
      <c r="Q1306" s="10" t="str">
        <f t="shared" si="1533"/>
        <v>NA</v>
      </c>
      <c r="R1306" s="10" t="s">
        <v>1575</v>
      </c>
      <c r="S1306" s="10" t="s">
        <v>1575</v>
      </c>
      <c r="T1306" s="10" t="s">
        <v>1575</v>
      </c>
      <c r="U1306" s="10" t="s">
        <v>1575</v>
      </c>
      <c r="V1306" s="10" t="s">
        <v>1575</v>
      </c>
      <c r="W1306" s="10" t="s">
        <v>1575</v>
      </c>
      <c r="X1306" s="10" t="str">
        <f t="shared" si="1425"/>
        <v>NA</v>
      </c>
      <c r="Y1306" s="10" t="str">
        <f t="shared" si="1426"/>
        <v>NA</v>
      </c>
      <c r="Z1306" s="10" t="str">
        <f t="shared" si="1427"/>
        <v>NA</v>
      </c>
      <c r="AA1306" s="10" t="str">
        <f t="shared" si="1428"/>
        <v>NA</v>
      </c>
      <c r="AB1306" s="10" t="str">
        <f t="shared" si="1429"/>
        <v>NA</v>
      </c>
      <c r="AC1306" s="10" t="str">
        <f t="shared" si="1430"/>
        <v>NA</v>
      </c>
      <c r="AD1306" s="10" t="str">
        <f t="shared" si="1431"/>
        <v>NA</v>
      </c>
      <c r="AE1306" s="10" t="str">
        <f t="shared" si="1432"/>
        <v>NA</v>
      </c>
      <c r="AF1306" s="1" t="s">
        <v>3206</v>
      </c>
    </row>
    <row r="1307" spans="1:32" x14ac:dyDescent="0.2">
      <c r="A1307" s="1" t="s">
        <v>5906</v>
      </c>
      <c r="B1307" s="1" t="s">
        <v>5</v>
      </c>
      <c r="C1307" s="1" t="s">
        <v>1575</v>
      </c>
      <c r="D1307" s="1" t="s">
        <v>1600</v>
      </c>
      <c r="E1307" s="1" t="s">
        <v>1653</v>
      </c>
      <c r="F1307" s="1" t="s">
        <v>101</v>
      </c>
      <c r="G1307" s="4">
        <f>68.2%-58.4%</f>
        <v>9.8000000000000087E-2</v>
      </c>
      <c r="H1307" s="28">
        <v>43555</v>
      </c>
      <c r="I1307" s="29">
        <f t="shared" si="1491"/>
        <v>2019</v>
      </c>
      <c r="J1307" s="1" t="s">
        <v>1684</v>
      </c>
      <c r="K1307" s="1" t="s">
        <v>1361</v>
      </c>
      <c r="L1307" s="11" t="str">
        <f t="shared" si="1242"/>
        <v>НЕТ</v>
      </c>
      <c r="M1307" s="10">
        <f>28+29</f>
        <v>57</v>
      </c>
      <c r="N1307" s="10" t="s">
        <v>1575</v>
      </c>
      <c r="O1307" s="10">
        <f>M1307*64.7347/1000</f>
        <v>3.6898779000000004</v>
      </c>
      <c r="P1307" s="10">
        <f t="shared" si="1532"/>
        <v>37.651815306122423</v>
      </c>
      <c r="Q1307" s="10" t="str">
        <f t="shared" si="1533"/>
        <v>NA</v>
      </c>
      <c r="R1307" s="10" t="s">
        <v>1575</v>
      </c>
      <c r="S1307" s="10" t="s">
        <v>1575</v>
      </c>
      <c r="T1307" s="10" t="s">
        <v>1575</v>
      </c>
      <c r="U1307" s="10" t="s">
        <v>1575</v>
      </c>
      <c r="V1307" s="10" t="s">
        <v>1575</v>
      </c>
      <c r="W1307" s="10" t="s">
        <v>1575</v>
      </c>
      <c r="X1307" s="10" t="str">
        <f t="shared" si="1425"/>
        <v>NA</v>
      </c>
      <c r="Y1307" s="10" t="str">
        <f t="shared" si="1426"/>
        <v>NA</v>
      </c>
      <c r="Z1307" s="10" t="str">
        <f t="shared" si="1427"/>
        <v>NA</v>
      </c>
      <c r="AA1307" s="10" t="str">
        <f t="shared" si="1428"/>
        <v>NA</v>
      </c>
      <c r="AB1307" s="10" t="str">
        <f t="shared" si="1429"/>
        <v>NA</v>
      </c>
      <c r="AC1307" s="10" t="str">
        <f t="shared" si="1430"/>
        <v>NA</v>
      </c>
      <c r="AD1307" s="10" t="str">
        <f t="shared" si="1431"/>
        <v>NA</v>
      </c>
      <c r="AE1307" s="10" t="str">
        <f t="shared" si="1432"/>
        <v>NA</v>
      </c>
      <c r="AF1307" s="1" t="s">
        <v>3207</v>
      </c>
    </row>
    <row r="1308" spans="1:32" x14ac:dyDescent="0.2">
      <c r="A1308" s="1" t="s">
        <v>5906</v>
      </c>
      <c r="B1308" s="1" t="s">
        <v>5</v>
      </c>
      <c r="C1308" s="1" t="s">
        <v>1575</v>
      </c>
      <c r="D1308" s="1" t="s">
        <v>1600</v>
      </c>
      <c r="E1308" s="1" t="s">
        <v>1653</v>
      </c>
      <c r="F1308" s="1" t="s">
        <v>101</v>
      </c>
      <c r="G1308" s="4">
        <f>58.4%-51%</f>
        <v>7.3999999999999955E-2</v>
      </c>
      <c r="H1308" s="28">
        <v>43100</v>
      </c>
      <c r="I1308" s="29">
        <f t="shared" si="1491"/>
        <v>2017</v>
      </c>
      <c r="J1308" s="1" t="s">
        <v>1684</v>
      </c>
      <c r="K1308" s="1" t="s">
        <v>1361</v>
      </c>
      <c r="L1308" s="11" t="str">
        <f t="shared" si="1242"/>
        <v>НЕТ</v>
      </c>
      <c r="M1308" s="10">
        <f>21+22</f>
        <v>43</v>
      </c>
      <c r="N1308" s="10" t="s">
        <v>1575</v>
      </c>
      <c r="O1308" s="10">
        <f>M1308*57.6002/1000</f>
        <v>2.4768086</v>
      </c>
      <c r="P1308" s="10">
        <f t="shared" si="1532"/>
        <v>33.470386486486504</v>
      </c>
      <c r="Q1308" s="10" t="str">
        <f t="shared" si="1533"/>
        <v>NA</v>
      </c>
      <c r="R1308" s="10" t="s">
        <v>1575</v>
      </c>
      <c r="S1308" s="10" t="s">
        <v>1575</v>
      </c>
      <c r="T1308" s="10" t="s">
        <v>1575</v>
      </c>
      <c r="U1308" s="10" t="s">
        <v>1575</v>
      </c>
      <c r="V1308" s="10" t="s">
        <v>1575</v>
      </c>
      <c r="W1308" s="10" t="s">
        <v>1575</v>
      </c>
      <c r="X1308" s="10" t="str">
        <f t="shared" si="1425"/>
        <v>NA</v>
      </c>
      <c r="Y1308" s="10" t="str">
        <f t="shared" si="1426"/>
        <v>NA</v>
      </c>
      <c r="Z1308" s="10" t="str">
        <f t="shared" si="1427"/>
        <v>NA</v>
      </c>
      <c r="AA1308" s="10" t="str">
        <f t="shared" si="1428"/>
        <v>NA</v>
      </c>
      <c r="AB1308" s="10" t="str">
        <f t="shared" si="1429"/>
        <v>NA</v>
      </c>
      <c r="AC1308" s="10" t="str">
        <f t="shared" si="1430"/>
        <v>NA</v>
      </c>
      <c r="AD1308" s="10" t="str">
        <f t="shared" si="1431"/>
        <v>NA</v>
      </c>
      <c r="AE1308" s="10" t="str">
        <f t="shared" si="1432"/>
        <v>NA</v>
      </c>
      <c r="AF1308" s="1" t="s">
        <v>1360</v>
      </c>
    </row>
    <row r="1309" spans="1:32" x14ac:dyDescent="0.2">
      <c r="A1309" s="1" t="s">
        <v>1363</v>
      </c>
      <c r="B1309" s="1" t="s">
        <v>5</v>
      </c>
      <c r="C1309" s="1" t="s">
        <v>1575</v>
      </c>
      <c r="D1309" s="1" t="s">
        <v>1600</v>
      </c>
      <c r="E1309" s="1" t="s">
        <v>1653</v>
      </c>
      <c r="F1309" s="1" t="s">
        <v>101</v>
      </c>
      <c r="G1309" s="4">
        <v>1</v>
      </c>
      <c r="H1309" s="28">
        <v>42783</v>
      </c>
      <c r="I1309" s="29">
        <f t="shared" si="1491"/>
        <v>2017</v>
      </c>
      <c r="J1309" s="1" t="s">
        <v>5907</v>
      </c>
      <c r="K1309" s="1" t="s">
        <v>1362</v>
      </c>
      <c r="L1309" s="11" t="str">
        <f t="shared" si="1242"/>
        <v>НЕТ</v>
      </c>
      <c r="M1309" s="10" t="s">
        <v>1575</v>
      </c>
      <c r="N1309" s="10" t="s">
        <v>1575</v>
      </c>
      <c r="O1309" s="10">
        <v>9.4060000000000006</v>
      </c>
      <c r="P1309" s="10">
        <f t="shared" si="1532"/>
        <v>9.4060000000000006</v>
      </c>
      <c r="Q1309" s="10" t="str">
        <f t="shared" si="1533"/>
        <v>NA</v>
      </c>
      <c r="R1309" s="10" t="s">
        <v>1575</v>
      </c>
      <c r="S1309" s="10" t="s">
        <v>1575</v>
      </c>
      <c r="T1309" s="10" t="s">
        <v>1575</v>
      </c>
      <c r="U1309" s="10" t="s">
        <v>1575</v>
      </c>
      <c r="V1309" s="10" t="s">
        <v>1575</v>
      </c>
      <c r="W1309" s="10" t="s">
        <v>1575</v>
      </c>
      <c r="X1309" s="10" t="str">
        <f t="shared" si="1425"/>
        <v>NA</v>
      </c>
      <c r="Y1309" s="10" t="str">
        <f t="shared" si="1426"/>
        <v>NA</v>
      </c>
      <c r="Z1309" s="10" t="str">
        <f t="shared" si="1427"/>
        <v>NA</v>
      </c>
      <c r="AA1309" s="10" t="str">
        <f t="shared" si="1428"/>
        <v>NA</v>
      </c>
      <c r="AB1309" s="10" t="str">
        <f t="shared" si="1429"/>
        <v>NA</v>
      </c>
      <c r="AC1309" s="10" t="str">
        <f t="shared" si="1430"/>
        <v>NA</v>
      </c>
      <c r="AD1309" s="10" t="str">
        <f t="shared" si="1431"/>
        <v>NA</v>
      </c>
      <c r="AE1309" s="10" t="str">
        <f t="shared" si="1432"/>
        <v>NA</v>
      </c>
      <c r="AF1309" s="1" t="s">
        <v>1364</v>
      </c>
    </row>
    <row r="1310" spans="1:32" x14ac:dyDescent="0.2">
      <c r="A1310" s="1" t="s">
        <v>1684</v>
      </c>
      <c r="B1310" s="1" t="s">
        <v>5</v>
      </c>
      <c r="C1310" s="1" t="s">
        <v>5267</v>
      </c>
      <c r="D1310" s="1" t="s">
        <v>1600</v>
      </c>
      <c r="E1310" s="1" t="s">
        <v>1653</v>
      </c>
      <c r="F1310" s="1" t="s">
        <v>101</v>
      </c>
      <c r="G1310" s="4">
        <f>14000/190627747</f>
        <v>7.3441564621754669E-5</v>
      </c>
      <c r="H1310" s="28">
        <v>42797</v>
      </c>
      <c r="I1310" s="29">
        <f t="shared" si="1491"/>
        <v>2017</v>
      </c>
      <c r="J1310" s="1" t="s">
        <v>1684</v>
      </c>
      <c r="K1310" s="1" t="s">
        <v>7</v>
      </c>
      <c r="L1310" s="11" t="str">
        <f t="shared" si="1242"/>
        <v>ДА</v>
      </c>
      <c r="M1310" s="10" t="s">
        <v>1575</v>
      </c>
      <c r="N1310" s="10" t="s">
        <v>1575</v>
      </c>
      <c r="O1310" s="10">
        <v>6.2E-2</v>
      </c>
      <c r="P1310" s="10">
        <f t="shared" si="1532"/>
        <v>844.20859385714289</v>
      </c>
      <c r="Q1310" s="10">
        <f t="shared" si="1533"/>
        <v>1084.3045938571429</v>
      </c>
      <c r="R1310" s="10">
        <v>163.273</v>
      </c>
      <c r="S1310" s="10">
        <v>100.67</v>
      </c>
      <c r="T1310" s="10">
        <v>90.816000000000003</v>
      </c>
      <c r="U1310" s="10">
        <v>95.263000000000005</v>
      </c>
      <c r="V1310" s="10">
        <v>-25.128999999999991</v>
      </c>
      <c r="W1310" s="10">
        <v>240.09599999999998</v>
      </c>
      <c r="X1310" s="10">
        <f t="shared" si="1425"/>
        <v>214.96699999999998</v>
      </c>
      <c r="Y1310" s="10">
        <f t="shared" si="1426"/>
        <v>5.1705339759613835</v>
      </c>
      <c r="Z1310" s="10">
        <f t="shared" si="1427"/>
        <v>8.8618728557482225</v>
      </c>
      <c r="AA1310" s="10">
        <f t="shared" si="1428"/>
        <v>-33.594993587374873</v>
      </c>
      <c r="AB1310" s="10">
        <f t="shared" si="1429"/>
        <v>6.6410526777675605</v>
      </c>
      <c r="AC1310" s="10">
        <f t="shared" si="1430"/>
        <v>10.770881035632689</v>
      </c>
      <c r="AD1310" s="10">
        <f t="shared" si="1431"/>
        <v>11.939576658927313</v>
      </c>
      <c r="AE1310" s="10">
        <f t="shared" si="1432"/>
        <v>5.0440513839665764</v>
      </c>
      <c r="AF1310" s="1" t="s">
        <v>5271</v>
      </c>
    </row>
    <row r="1311" spans="1:32" x14ac:dyDescent="0.2">
      <c r="A1311" s="1" t="s">
        <v>1684</v>
      </c>
      <c r="B1311" s="1" t="s">
        <v>5</v>
      </c>
      <c r="C1311" s="1" t="s">
        <v>5267</v>
      </c>
      <c r="D1311" s="1" t="s">
        <v>1600</v>
      </c>
      <c r="E1311" s="1" t="s">
        <v>1653</v>
      </c>
      <c r="F1311" s="1" t="s">
        <v>101</v>
      </c>
      <c r="G1311" s="4">
        <f>60519/190627747</f>
        <v>3.1747214638171221E-4</v>
      </c>
      <c r="H1311" s="28">
        <v>42735</v>
      </c>
      <c r="I1311" s="29">
        <f t="shared" si="1491"/>
        <v>2016</v>
      </c>
      <c r="J1311" s="1" t="s">
        <v>1684</v>
      </c>
      <c r="K1311" s="1" t="s">
        <v>7</v>
      </c>
      <c r="L1311" s="11" t="str">
        <f t="shared" si="1242"/>
        <v>ДА</v>
      </c>
      <c r="M1311" s="10" t="s">
        <v>1575</v>
      </c>
      <c r="N1311" s="10" t="s">
        <v>1575</v>
      </c>
      <c r="O1311" s="10">
        <v>0.24465600000000001</v>
      </c>
      <c r="P1311" s="10">
        <f t="shared" si="1532"/>
        <v>770.63768519030396</v>
      </c>
      <c r="Q1311" s="10">
        <f t="shared" si="1533"/>
        <v>1010.733685190304</v>
      </c>
      <c r="R1311" s="10">
        <v>163.273</v>
      </c>
      <c r="S1311" s="10">
        <v>100.67</v>
      </c>
      <c r="T1311" s="10">
        <v>90.816000000000003</v>
      </c>
      <c r="U1311" s="10">
        <v>95.263000000000005</v>
      </c>
      <c r="V1311" s="10">
        <v>-25.128999999999991</v>
      </c>
      <c r="W1311" s="10">
        <v>240.09599999999998</v>
      </c>
      <c r="X1311" s="10">
        <f t="shared" ref="X1311" si="1605">IFERROR(V1311+W1311,"NA")</f>
        <v>214.96699999999998</v>
      </c>
      <c r="Y1311" s="10">
        <f t="shared" ref="Y1311" si="1606">IFERROR(P1311/R1311,"NA")</f>
        <v>4.7199333949293756</v>
      </c>
      <c r="Z1311" s="10">
        <f t="shared" ref="Z1311" si="1607">IFERROR(P1311/U1311,"NA")</f>
        <v>8.0895802692577803</v>
      </c>
      <c r="AA1311" s="10">
        <f t="shared" ref="AA1311" si="1608">IFERROR(P1311/V1311,"NA")</f>
        <v>-30.667264323701868</v>
      </c>
      <c r="AB1311" s="10">
        <f t="shared" ref="AB1311" si="1609">IFERROR(Q1311/R1311,"NA")</f>
        <v>6.1904520967355534</v>
      </c>
      <c r="AC1311" s="10">
        <f t="shared" ref="AC1311" si="1610">IFERROR(Q1311/S1311,"NA")</f>
        <v>10.04006839366548</v>
      </c>
      <c r="AD1311" s="10">
        <f t="shared" ref="AD1311" si="1611">IFERROR(Q1311/T1311,"NA")</f>
        <v>11.129467111415433</v>
      </c>
      <c r="AE1311" s="10">
        <f t="shared" ref="AE1311" si="1612">IFERROR(Q1311/X1311,"NA")</f>
        <v>4.7018085808068406</v>
      </c>
      <c r="AF1311" s="1" t="s">
        <v>5272</v>
      </c>
    </row>
    <row r="1312" spans="1:32" x14ac:dyDescent="0.2">
      <c r="A1312" s="1" t="s">
        <v>167</v>
      </c>
      <c r="B1312" s="1" t="s">
        <v>5</v>
      </c>
      <c r="C1312" s="1" t="s">
        <v>1575</v>
      </c>
      <c r="D1312" s="1" t="s">
        <v>1600</v>
      </c>
      <c r="E1312" s="1" t="s">
        <v>1653</v>
      </c>
      <c r="F1312" s="1" t="s">
        <v>101</v>
      </c>
      <c r="G1312" s="4">
        <v>1</v>
      </c>
      <c r="H1312" s="28">
        <v>42370</v>
      </c>
      <c r="I1312" s="29">
        <f t="shared" si="1491"/>
        <v>2016</v>
      </c>
      <c r="J1312" s="1" t="s">
        <v>1687</v>
      </c>
      <c r="K1312" s="1" t="s">
        <v>1684</v>
      </c>
      <c r="L1312" s="11" t="str">
        <f t="shared" si="1242"/>
        <v>НЕТ</v>
      </c>
      <c r="M1312" s="10" t="s">
        <v>1575</v>
      </c>
      <c r="N1312" s="10" t="s">
        <v>1575</v>
      </c>
      <c r="O1312" s="10" t="s">
        <v>1575</v>
      </c>
      <c r="P1312" s="10" t="str">
        <f t="shared" si="1532"/>
        <v>NA</v>
      </c>
      <c r="Q1312" s="10" t="str">
        <f t="shared" si="1533"/>
        <v>NA</v>
      </c>
      <c r="R1312" s="10" t="s">
        <v>1575</v>
      </c>
      <c r="S1312" s="10" t="s">
        <v>1575</v>
      </c>
      <c r="T1312" s="10" t="s">
        <v>1575</v>
      </c>
      <c r="U1312" s="10" t="s">
        <v>1575</v>
      </c>
      <c r="V1312" s="10" t="s">
        <v>1575</v>
      </c>
      <c r="W1312" s="10" t="s">
        <v>1575</v>
      </c>
      <c r="X1312" s="10" t="str">
        <f t="shared" si="1425"/>
        <v>NA</v>
      </c>
      <c r="Y1312" s="10" t="str">
        <f t="shared" si="1426"/>
        <v>NA</v>
      </c>
      <c r="Z1312" s="10" t="str">
        <f t="shared" si="1427"/>
        <v>NA</v>
      </c>
      <c r="AA1312" s="10" t="str">
        <f t="shared" si="1428"/>
        <v>NA</v>
      </c>
      <c r="AB1312" s="10" t="str">
        <f t="shared" si="1429"/>
        <v>NA</v>
      </c>
      <c r="AC1312" s="10" t="str">
        <f t="shared" si="1430"/>
        <v>NA</v>
      </c>
      <c r="AD1312" s="10" t="str">
        <f t="shared" si="1431"/>
        <v>NA</v>
      </c>
      <c r="AE1312" s="10" t="str">
        <f t="shared" si="1432"/>
        <v>NA</v>
      </c>
      <c r="AF1312" s="1" t="s">
        <v>5273</v>
      </c>
    </row>
    <row r="1313" spans="1:32" x14ac:dyDescent="0.2">
      <c r="A1313" s="1" t="s">
        <v>167</v>
      </c>
      <c r="B1313" s="1" t="s">
        <v>5</v>
      </c>
      <c r="C1313" s="1" t="s">
        <v>1575</v>
      </c>
      <c r="D1313" s="1" t="s">
        <v>1600</v>
      </c>
      <c r="E1313" s="1" t="s">
        <v>1653</v>
      </c>
      <c r="F1313" s="1" t="s">
        <v>101</v>
      </c>
      <c r="G1313" s="4">
        <v>0.35930000000000001</v>
      </c>
      <c r="H1313" s="28">
        <v>42369</v>
      </c>
      <c r="I1313" s="29">
        <f t="shared" ref="I1313:I1314" si="1613">YEAR(H1313)</f>
        <v>2015</v>
      </c>
      <c r="J1313" s="1" t="s">
        <v>1684</v>
      </c>
      <c r="K1313" s="1" t="s">
        <v>168</v>
      </c>
      <c r="L1313" s="11" t="str">
        <f t="shared" ref="L1313:L1314" si="1614">IF(OR(A1313=J1313,A1313=K1313),"ДА","НЕТ")</f>
        <v>НЕТ</v>
      </c>
      <c r="M1313" s="10">
        <v>65</v>
      </c>
      <c r="N1313" s="10" t="s">
        <v>1575</v>
      </c>
      <c r="O1313" s="10">
        <v>4.3</v>
      </c>
      <c r="P1313" s="10">
        <f t="shared" si="1532"/>
        <v>11.967715001391594</v>
      </c>
      <c r="Q1313" s="10" t="str">
        <f t="shared" si="1533"/>
        <v>NA</v>
      </c>
      <c r="R1313" s="10" t="s">
        <v>1575</v>
      </c>
      <c r="S1313" s="10" t="s">
        <v>1575</v>
      </c>
      <c r="T1313" s="10" t="s">
        <v>1575</v>
      </c>
      <c r="U1313" s="10" t="s">
        <v>1575</v>
      </c>
      <c r="V1313" s="10" t="s">
        <v>1575</v>
      </c>
      <c r="W1313" s="10" t="s">
        <v>1575</v>
      </c>
      <c r="X1313" s="10" t="str">
        <f t="shared" ref="X1313:X1314" si="1615">IFERROR(V1313+W1313,"NA")</f>
        <v>NA</v>
      </c>
      <c r="Y1313" s="10" t="str">
        <f t="shared" ref="Y1313:Y1314" si="1616">IFERROR(P1313/R1313,"NA")</f>
        <v>NA</v>
      </c>
      <c r="Z1313" s="10" t="str">
        <f t="shared" ref="Z1313:Z1314" si="1617">IFERROR(P1313/U1313,"NA")</f>
        <v>NA</v>
      </c>
      <c r="AA1313" s="10" t="str">
        <f t="shared" ref="AA1313:AA1314" si="1618">IFERROR(P1313/V1313,"NA")</f>
        <v>NA</v>
      </c>
      <c r="AB1313" s="10" t="str">
        <f t="shared" ref="AB1313:AB1314" si="1619">IFERROR(Q1313/R1313,"NA")</f>
        <v>NA</v>
      </c>
      <c r="AC1313" s="10" t="str">
        <f t="shared" ref="AC1313:AC1314" si="1620">IFERROR(Q1313/S1313,"NA")</f>
        <v>NA</v>
      </c>
      <c r="AD1313" s="10" t="str">
        <f t="shared" ref="AD1313:AD1314" si="1621">IFERROR(Q1313/T1313,"NA")</f>
        <v>NA</v>
      </c>
      <c r="AE1313" s="10" t="str">
        <f t="shared" ref="AE1313:AE1314" si="1622">IFERROR(Q1313/X1313,"NA")</f>
        <v>NA</v>
      </c>
      <c r="AF1313" s="1" t="s">
        <v>5274</v>
      </c>
    </row>
    <row r="1314" spans="1:32" x14ac:dyDescent="0.2">
      <c r="A1314" s="1" t="s">
        <v>170</v>
      </c>
      <c r="B1314" s="1" t="s">
        <v>1575</v>
      </c>
      <c r="C1314" s="1" t="s">
        <v>1575</v>
      </c>
      <c r="D1314" s="1" t="s">
        <v>1600</v>
      </c>
      <c r="E1314" s="1" t="s">
        <v>1653</v>
      </c>
      <c r="F1314" s="1" t="s">
        <v>101</v>
      </c>
      <c r="G1314" s="4">
        <v>0.50460000000000005</v>
      </c>
      <c r="H1314" s="28">
        <v>42369</v>
      </c>
      <c r="I1314" s="29">
        <f t="shared" si="1613"/>
        <v>2015</v>
      </c>
      <c r="J1314" s="1" t="s">
        <v>1684</v>
      </c>
      <c r="K1314" s="1" t="s">
        <v>168</v>
      </c>
      <c r="L1314" s="11" t="str">
        <f t="shared" si="1614"/>
        <v>НЕТ</v>
      </c>
      <c r="M1314" s="10">
        <v>165</v>
      </c>
      <c r="N1314" s="10" t="s">
        <v>1575</v>
      </c>
      <c r="O1314" s="10">
        <v>11.742000000000001</v>
      </c>
      <c r="P1314" s="10">
        <f t="shared" si="1532"/>
        <v>23.269916765755053</v>
      </c>
      <c r="Q1314" s="10" t="str">
        <f t="shared" si="1533"/>
        <v>NA</v>
      </c>
      <c r="R1314" s="10" t="s">
        <v>1575</v>
      </c>
      <c r="S1314" s="10" t="s">
        <v>1575</v>
      </c>
      <c r="T1314" s="10" t="s">
        <v>1575</v>
      </c>
      <c r="U1314" s="10" t="s">
        <v>1575</v>
      </c>
      <c r="V1314" s="10" t="s">
        <v>1575</v>
      </c>
      <c r="W1314" s="10" t="s">
        <v>1575</v>
      </c>
      <c r="X1314" s="10" t="str">
        <f t="shared" si="1615"/>
        <v>NA</v>
      </c>
      <c r="Y1314" s="10" t="str">
        <f t="shared" si="1616"/>
        <v>NA</v>
      </c>
      <c r="Z1314" s="10" t="str">
        <f t="shared" si="1617"/>
        <v>NA</v>
      </c>
      <c r="AA1314" s="10" t="str">
        <f t="shared" si="1618"/>
        <v>NA</v>
      </c>
      <c r="AB1314" s="10" t="str">
        <f t="shared" si="1619"/>
        <v>NA</v>
      </c>
      <c r="AC1314" s="10" t="str">
        <f t="shared" si="1620"/>
        <v>NA</v>
      </c>
      <c r="AD1314" s="10" t="str">
        <f t="shared" si="1621"/>
        <v>NA</v>
      </c>
      <c r="AE1314" s="10" t="str">
        <f t="shared" si="1622"/>
        <v>NA</v>
      </c>
      <c r="AF1314" s="1" t="s">
        <v>5274</v>
      </c>
    </row>
    <row r="1315" spans="1:32" x14ac:dyDescent="0.2">
      <c r="A1315" s="1" t="s">
        <v>167</v>
      </c>
      <c r="B1315" s="1" t="s">
        <v>5</v>
      </c>
      <c r="C1315" s="1" t="s">
        <v>1575</v>
      </c>
      <c r="D1315" s="1" t="s">
        <v>1600</v>
      </c>
      <c r="E1315" s="1" t="s">
        <v>1653</v>
      </c>
      <c r="F1315" s="1" t="s">
        <v>101</v>
      </c>
      <c r="G1315" s="4">
        <v>0.35930000000000001</v>
      </c>
      <c r="H1315" s="28">
        <v>42004</v>
      </c>
      <c r="I1315" s="29">
        <f t="shared" si="1491"/>
        <v>2014</v>
      </c>
      <c r="J1315" s="1" t="s">
        <v>168</v>
      </c>
      <c r="K1315" s="1" t="s">
        <v>169</v>
      </c>
      <c r="L1315" s="11" t="str">
        <f t="shared" si="1242"/>
        <v>НЕТ</v>
      </c>
      <c r="M1315" s="10">
        <v>193</v>
      </c>
      <c r="N1315" s="10" t="s">
        <v>1575</v>
      </c>
      <c r="O1315" s="10">
        <v>11.78</v>
      </c>
      <c r="P1315" s="10">
        <f t="shared" si="1532"/>
        <v>32.78597272474255</v>
      </c>
      <c r="Q1315" s="10" t="str">
        <f t="shared" si="1533"/>
        <v>NA</v>
      </c>
      <c r="R1315" s="10" t="s">
        <v>1575</v>
      </c>
      <c r="S1315" s="10" t="s">
        <v>1575</v>
      </c>
      <c r="T1315" s="10" t="s">
        <v>1575</v>
      </c>
      <c r="U1315" s="10" t="s">
        <v>1575</v>
      </c>
      <c r="V1315" s="10" t="s">
        <v>1575</v>
      </c>
      <c r="W1315" s="10" t="s">
        <v>1575</v>
      </c>
      <c r="X1315" s="10" t="str">
        <f t="shared" si="1425"/>
        <v>NA</v>
      </c>
      <c r="Y1315" s="10" t="str">
        <f t="shared" si="1426"/>
        <v>NA</v>
      </c>
      <c r="Z1315" s="10" t="str">
        <f t="shared" si="1427"/>
        <v>NA</v>
      </c>
      <c r="AA1315" s="10" t="str">
        <f t="shared" si="1428"/>
        <v>NA</v>
      </c>
      <c r="AB1315" s="10" t="str">
        <f t="shared" si="1429"/>
        <v>NA</v>
      </c>
      <c r="AC1315" s="10" t="str">
        <f t="shared" si="1430"/>
        <v>NA</v>
      </c>
      <c r="AD1315" s="10" t="str">
        <f t="shared" si="1431"/>
        <v>NA</v>
      </c>
      <c r="AE1315" s="10" t="str">
        <f t="shared" si="1432"/>
        <v>NA</v>
      </c>
      <c r="AF1315" s="1" t="s">
        <v>5275</v>
      </c>
    </row>
    <row r="1316" spans="1:32" x14ac:dyDescent="0.2">
      <c r="A1316" s="1" t="s">
        <v>170</v>
      </c>
      <c r="B1316" s="1" t="s">
        <v>1575</v>
      </c>
      <c r="C1316" s="1" t="s">
        <v>1575</v>
      </c>
      <c r="D1316" s="1" t="s">
        <v>1600</v>
      </c>
      <c r="E1316" s="1" t="s">
        <v>1653</v>
      </c>
      <c r="F1316" s="1" t="s">
        <v>101</v>
      </c>
      <c r="G1316" s="4">
        <v>0.50460000000000005</v>
      </c>
      <c r="H1316" s="28">
        <v>42004</v>
      </c>
      <c r="I1316" s="29">
        <f t="shared" si="1491"/>
        <v>2014</v>
      </c>
      <c r="J1316" s="1" t="s">
        <v>168</v>
      </c>
      <c r="K1316" s="1" t="s">
        <v>169</v>
      </c>
      <c r="L1316" s="11" t="str">
        <f t="shared" si="1242"/>
        <v>НЕТ</v>
      </c>
      <c r="M1316" s="10">
        <v>108</v>
      </c>
      <c r="N1316" s="10" t="s">
        <v>1575</v>
      </c>
      <c r="O1316" s="10">
        <v>6.5570000000000004</v>
      </c>
      <c r="P1316" s="10">
        <f t="shared" si="1532"/>
        <v>12.994451050336901</v>
      </c>
      <c r="Q1316" s="10" t="str">
        <f t="shared" si="1533"/>
        <v>NA</v>
      </c>
      <c r="R1316" s="10" t="s">
        <v>1575</v>
      </c>
      <c r="S1316" s="10" t="s">
        <v>1575</v>
      </c>
      <c r="T1316" s="10" t="s">
        <v>1575</v>
      </c>
      <c r="U1316" s="10" t="s">
        <v>1575</v>
      </c>
      <c r="V1316" s="10" t="s">
        <v>1575</v>
      </c>
      <c r="W1316" s="10" t="s">
        <v>1575</v>
      </c>
      <c r="X1316" s="10" t="str">
        <f t="shared" si="1425"/>
        <v>NA</v>
      </c>
      <c r="Y1316" s="10" t="str">
        <f t="shared" si="1426"/>
        <v>NA</v>
      </c>
      <c r="Z1316" s="10" t="str">
        <f t="shared" si="1427"/>
        <v>NA</v>
      </c>
      <c r="AA1316" s="10" t="str">
        <f t="shared" si="1428"/>
        <v>NA</v>
      </c>
      <c r="AB1316" s="10" t="str">
        <f t="shared" si="1429"/>
        <v>NA</v>
      </c>
      <c r="AC1316" s="10" t="str">
        <f t="shared" si="1430"/>
        <v>NA</v>
      </c>
      <c r="AD1316" s="10" t="str">
        <f t="shared" si="1431"/>
        <v>NA</v>
      </c>
      <c r="AE1316" s="10" t="str">
        <f t="shared" si="1432"/>
        <v>NA</v>
      </c>
      <c r="AF1316" s="1" t="s">
        <v>5275</v>
      </c>
    </row>
    <row r="1317" spans="1:32" x14ac:dyDescent="0.2">
      <c r="A1317" s="1" t="s">
        <v>1684</v>
      </c>
      <c r="B1317" s="1" t="s">
        <v>5</v>
      </c>
      <c r="C1317" s="1" t="s">
        <v>5267</v>
      </c>
      <c r="D1317" s="1" t="s">
        <v>1600</v>
      </c>
      <c r="E1317" s="1" t="s">
        <v>1653</v>
      </c>
      <c r="F1317" s="1" t="s">
        <v>101</v>
      </c>
      <c r="G1317" s="4">
        <f>4497930/190627747</f>
        <v>2.3595358339937783E-2</v>
      </c>
      <c r="H1317" s="28">
        <v>42004</v>
      </c>
      <c r="I1317" s="29">
        <f t="shared" ref="I1317" si="1623">YEAR(H1317)</f>
        <v>2014</v>
      </c>
      <c r="J1317" s="1" t="s">
        <v>168</v>
      </c>
      <c r="K1317" s="1" t="s">
        <v>1684</v>
      </c>
      <c r="L1317" s="11" t="str">
        <f t="shared" si="1242"/>
        <v>ДА</v>
      </c>
      <c r="M1317" s="10">
        <v>95</v>
      </c>
      <c r="N1317" s="10" t="s">
        <v>1575</v>
      </c>
      <c r="O1317" s="10">
        <v>5.81</v>
      </c>
      <c r="P1317" s="10">
        <f t="shared" si="1532"/>
        <v>246.23487027810572</v>
      </c>
      <c r="Q1317" s="10">
        <f t="shared" si="1533"/>
        <v>280.75187027810568</v>
      </c>
      <c r="R1317" s="10">
        <v>86.341999999999999</v>
      </c>
      <c r="S1317" s="10">
        <v>41.324000000000005</v>
      </c>
      <c r="T1317" s="10">
        <v>34.349000000000004</v>
      </c>
      <c r="U1317" s="10">
        <v>-22.027000000000001</v>
      </c>
      <c r="V1317" s="10">
        <v>101.20600000000002</v>
      </c>
      <c r="W1317" s="10">
        <v>34.516999999999996</v>
      </c>
      <c r="X1317" s="10">
        <f t="shared" ref="X1317" si="1624">IFERROR(V1317+W1317,"NA")</f>
        <v>135.72300000000001</v>
      </c>
      <c r="Y1317" s="10">
        <f t="shared" ref="Y1317" si="1625">IFERROR(P1317/R1317,"NA")</f>
        <v>2.851855067963514</v>
      </c>
      <c r="Z1317" s="10">
        <f t="shared" ref="Z1317" si="1626">IFERROR(P1317/U1317,"NA")</f>
        <v>-11.178774698238785</v>
      </c>
      <c r="AA1317" s="10">
        <f t="shared" ref="AA1317" si="1627">IFERROR(P1317/V1317,"NA")</f>
        <v>2.4330066426704513</v>
      </c>
      <c r="AB1317" s="10">
        <f t="shared" ref="AB1317" si="1628">IFERROR(Q1317/R1317,"NA")</f>
        <v>3.2516257473547716</v>
      </c>
      <c r="AC1317" s="10">
        <f t="shared" ref="AC1317" si="1629">IFERROR(Q1317/S1317,"NA")</f>
        <v>6.793918068872947</v>
      </c>
      <c r="AD1317" s="10">
        <f t="shared" ref="AD1317" si="1630">IFERROR(Q1317/T1317,"NA")</f>
        <v>8.1735092805643728</v>
      </c>
      <c r="AE1317" s="10">
        <f t="shared" ref="AE1317" si="1631">IFERROR(Q1317/X1317,"NA")</f>
        <v>2.0685651678647368</v>
      </c>
      <c r="AF1317" s="1" t="s">
        <v>5276</v>
      </c>
    </row>
    <row r="1318" spans="1:32" x14ac:dyDescent="0.2">
      <c r="A1318" s="1" t="s">
        <v>1684</v>
      </c>
      <c r="B1318" s="1" t="s">
        <v>5</v>
      </c>
      <c r="C1318" s="1" t="s">
        <v>5267</v>
      </c>
      <c r="D1318" s="1" t="s">
        <v>1600</v>
      </c>
      <c r="E1318" s="1" t="s">
        <v>1653</v>
      </c>
      <c r="F1318" s="1" t="s">
        <v>101</v>
      </c>
      <c r="G1318" s="4">
        <f>(151608+50198+25154)/190627747</f>
        <v>1.1905926790395315E-3</v>
      </c>
      <c r="H1318" s="28">
        <v>41040</v>
      </c>
      <c r="I1318" s="29">
        <f t="shared" ref="I1318:I1320" si="1632">YEAR(H1318)</f>
        <v>2012</v>
      </c>
      <c r="J1318" s="1" t="s">
        <v>5908</v>
      </c>
      <c r="K1318" s="1" t="s">
        <v>169</v>
      </c>
      <c r="L1318" s="11" t="str">
        <f t="shared" ref="L1318" si="1633">IF(OR(A1318=J1318,A1318=K1318),"ДА","НЕТ")</f>
        <v>НЕТ</v>
      </c>
      <c r="M1318" s="10" t="s">
        <v>1575</v>
      </c>
      <c r="N1318" s="10" t="s">
        <v>1575</v>
      </c>
      <c r="O1318" s="10">
        <f>18.942-0.331</f>
        <v>18.611000000000001</v>
      </c>
      <c r="P1318" s="10">
        <f t="shared" si="1532"/>
        <v>15631.71043098784</v>
      </c>
      <c r="Q1318" s="10">
        <f t="shared" si="1533"/>
        <v>15618.870430987839</v>
      </c>
      <c r="R1318" s="10">
        <v>68.296999999999997</v>
      </c>
      <c r="S1318" s="10">
        <v>30.633000000000003</v>
      </c>
      <c r="T1318" s="10">
        <v>25.379000000000001</v>
      </c>
      <c r="U1318" s="10">
        <v>18.779</v>
      </c>
      <c r="V1318" s="10">
        <v>102.38300000000001</v>
      </c>
      <c r="W1318" s="10">
        <v>-12.84</v>
      </c>
      <c r="X1318" s="10">
        <f t="shared" ref="X1318" si="1634">IFERROR(V1318+W1318,"NA")</f>
        <v>89.543000000000006</v>
      </c>
      <c r="Y1318" s="10">
        <f t="shared" ref="Y1318" si="1635">IFERROR(P1318/R1318,"NA")</f>
        <v>228.8784343527218</v>
      </c>
      <c r="Z1318" s="10">
        <f t="shared" ref="Z1318" si="1636">IFERROR(P1318/U1318,"NA")</f>
        <v>832.40377181893814</v>
      </c>
      <c r="AA1318" s="10">
        <f t="shared" ref="AA1318" si="1637">IFERROR(P1318/V1318,"NA")</f>
        <v>152.67876923891504</v>
      </c>
      <c r="AB1318" s="10">
        <f t="shared" ref="AB1318" si="1638">IFERROR(Q1318/R1318,"NA")</f>
        <v>228.69043195144502</v>
      </c>
      <c r="AC1318" s="10">
        <f t="shared" ref="AC1318" si="1639">IFERROR(Q1318/S1318,"NA")</f>
        <v>509.87074171605258</v>
      </c>
      <c r="AD1318" s="10">
        <f t="shared" ref="AD1318" si="1640">IFERROR(Q1318/T1318,"NA")</f>
        <v>615.42497462421056</v>
      </c>
      <c r="AE1318" s="10">
        <f t="shared" ref="AE1318" si="1641">IFERROR(Q1318/X1318,"NA")</f>
        <v>174.42871504179934</v>
      </c>
      <c r="AF1318" s="1" t="s">
        <v>5277</v>
      </c>
    </row>
    <row r="1319" spans="1:32" x14ac:dyDescent="0.2">
      <c r="A1319" s="1" t="s">
        <v>1684</v>
      </c>
      <c r="B1319" s="1" t="s">
        <v>5</v>
      </c>
      <c r="C1319" s="1" t="s">
        <v>5267</v>
      </c>
      <c r="D1319" s="1" t="s">
        <v>1600</v>
      </c>
      <c r="E1319" s="1" t="s">
        <v>1653</v>
      </c>
      <c r="F1319" s="1" t="s">
        <v>101</v>
      </c>
      <c r="G1319" s="4">
        <f>7263644/190627747</f>
        <v>3.8103812872530042E-2</v>
      </c>
      <c r="H1319" s="28">
        <v>40893</v>
      </c>
      <c r="I1319" s="29">
        <f t="shared" si="1632"/>
        <v>2011</v>
      </c>
      <c r="J1319" s="1" t="s">
        <v>168</v>
      </c>
      <c r="K1319" s="1" t="s">
        <v>7</v>
      </c>
      <c r="L1319" s="11" t="str">
        <f t="shared" ref="L1319" si="1642">IF(OR(A1319=J1319,A1319=K1319),"ДА","НЕТ")</f>
        <v>НЕТ</v>
      </c>
      <c r="M1319" s="10">
        <v>446.10300000000001</v>
      </c>
      <c r="N1319" s="10" t="s">
        <v>1575</v>
      </c>
      <c r="O1319" s="10">
        <f>M1319*30.3727/1000</f>
        <v>13.549352588099998</v>
      </c>
      <c r="P1319" s="10">
        <f t="shared" si="1532"/>
        <v>355.59046632490822</v>
      </c>
      <c r="Q1319" s="10">
        <f t="shared" si="1533"/>
        <v>355.22358540270824</v>
      </c>
      <c r="R1319" s="10" t="s">
        <v>1575</v>
      </c>
      <c r="S1319" s="10" t="s">
        <v>1575</v>
      </c>
      <c r="T1319" s="10" t="s">
        <v>1575</v>
      </c>
      <c r="U1319" s="10" t="s">
        <v>1575</v>
      </c>
      <c r="V1319" s="10">
        <v>98.761339233900003</v>
      </c>
      <c r="W1319" s="10">
        <v>-0.36688092219999846</v>
      </c>
      <c r="X1319" s="10">
        <f t="shared" ref="X1319" si="1643">IFERROR(V1319+W1319,"NA")</f>
        <v>98.394458311700006</v>
      </c>
      <c r="Y1319" s="10" t="str">
        <f t="shared" ref="Y1319" si="1644">IFERROR(P1319/R1319,"NA")</f>
        <v>NA</v>
      </c>
      <c r="Z1319" s="10" t="str">
        <f t="shared" ref="Z1319" si="1645">IFERROR(P1319/U1319,"NA")</f>
        <v>NA</v>
      </c>
      <c r="AA1319" s="10">
        <f t="shared" ref="AA1319" si="1646">IFERROR(P1319/V1319,"NA")</f>
        <v>3.600502677295117</v>
      </c>
      <c r="AB1319" s="10" t="str">
        <f t="shared" ref="AB1319" si="1647">IFERROR(Q1319/R1319,"NA")</f>
        <v>NA</v>
      </c>
      <c r="AC1319" s="10" t="str">
        <f t="shared" ref="AC1319" si="1648">IFERROR(Q1319/S1319,"NA")</f>
        <v>NA</v>
      </c>
      <c r="AD1319" s="10" t="str">
        <f t="shared" ref="AD1319" si="1649">IFERROR(Q1319/T1319,"NA")</f>
        <v>NA</v>
      </c>
      <c r="AE1319" s="10">
        <f t="shared" ref="AE1319" si="1650">IFERROR(Q1319/X1319,"NA")</f>
        <v>3.6101991056997251</v>
      </c>
      <c r="AF1319" s="1" t="s">
        <v>5278</v>
      </c>
    </row>
    <row r="1320" spans="1:32" x14ac:dyDescent="0.2">
      <c r="A1320" s="1" t="s">
        <v>1684</v>
      </c>
      <c r="B1320" s="1" t="s">
        <v>5</v>
      </c>
      <c r="C1320" s="1" t="s">
        <v>5267</v>
      </c>
      <c r="D1320" s="1" t="s">
        <v>1600</v>
      </c>
      <c r="E1320" s="1" t="s">
        <v>1653</v>
      </c>
      <c r="F1320" s="1" t="s">
        <v>101</v>
      </c>
      <c r="G1320" s="4">
        <v>1.09E-2</v>
      </c>
      <c r="H1320" s="28">
        <v>40753</v>
      </c>
      <c r="I1320" s="29">
        <f t="shared" si="1632"/>
        <v>2011</v>
      </c>
      <c r="J1320" s="1" t="s">
        <v>169</v>
      </c>
      <c r="K1320" s="1" t="s">
        <v>7</v>
      </c>
      <c r="L1320" s="11" t="str">
        <f t="shared" ref="L1320:L1322" si="1651">IF(OR(A1320=J1320,A1320=K1320),"ДА","НЕТ")</f>
        <v>НЕТ</v>
      </c>
      <c r="M1320" s="10">
        <v>119.623</v>
      </c>
      <c r="N1320" s="10" t="s">
        <v>1575</v>
      </c>
      <c r="O1320" s="10">
        <f>M1320*28.0758/1000</f>
        <v>3.3585114234000004</v>
      </c>
      <c r="P1320" s="10">
        <f t="shared" si="1532"/>
        <v>308.12031407339452</v>
      </c>
      <c r="Q1320" s="10">
        <f t="shared" si="1533"/>
        <v>307.75343315119454</v>
      </c>
      <c r="R1320" s="10" t="s">
        <v>1575</v>
      </c>
      <c r="S1320" s="10" t="s">
        <v>1575</v>
      </c>
      <c r="T1320" s="10" t="s">
        <v>1575</v>
      </c>
      <c r="U1320" s="10" t="s">
        <v>1575</v>
      </c>
      <c r="V1320" s="10">
        <v>98.761339233900003</v>
      </c>
      <c r="W1320" s="10">
        <v>-0.36688092219999846</v>
      </c>
      <c r="X1320" s="10">
        <f t="shared" ref="X1320:X1322" si="1652">IFERROR(V1320+W1320,"NA")</f>
        <v>98.394458311700006</v>
      </c>
      <c r="Y1320" s="10" t="str">
        <f t="shared" ref="Y1320:Y1322" si="1653">IFERROR(P1320/R1320,"NA")</f>
        <v>NA</v>
      </c>
      <c r="Z1320" s="10" t="str">
        <f t="shared" ref="Z1320:Z1322" si="1654">IFERROR(P1320/U1320,"NA")</f>
        <v>NA</v>
      </c>
      <c r="AA1320" s="10">
        <f t="shared" ref="AA1320:AA1322" si="1655">IFERROR(P1320/V1320,"NA")</f>
        <v>3.1198474672732233</v>
      </c>
      <c r="AB1320" s="10" t="str">
        <f t="shared" ref="AB1320:AB1322" si="1656">IFERROR(Q1320/R1320,"NA")</f>
        <v>NA</v>
      </c>
      <c r="AC1320" s="10" t="str">
        <f t="shared" ref="AC1320:AC1322" si="1657">IFERROR(Q1320/S1320,"NA")</f>
        <v>NA</v>
      </c>
      <c r="AD1320" s="10" t="str">
        <f t="shared" ref="AD1320:AD1322" si="1658">IFERROR(Q1320/T1320,"NA")</f>
        <v>NA</v>
      </c>
      <c r="AE1320" s="10">
        <f t="shared" ref="AE1320:AE1322" si="1659">IFERROR(Q1320/X1320,"NA")</f>
        <v>3.1277516887818448</v>
      </c>
      <c r="AF1320" s="1" t="s">
        <v>5279</v>
      </c>
    </row>
    <row r="1321" spans="1:32" x14ac:dyDescent="0.2">
      <c r="A1321" s="1" t="s">
        <v>1684</v>
      </c>
      <c r="B1321" s="1" t="s">
        <v>5</v>
      </c>
      <c r="C1321" s="1" t="s">
        <v>5267</v>
      </c>
      <c r="D1321" s="1" t="s">
        <v>1600</v>
      </c>
      <c r="E1321" s="1" t="s">
        <v>1653</v>
      </c>
      <c r="F1321" s="1" t="s">
        <v>101</v>
      </c>
      <c r="G1321" s="4">
        <v>1.2699999999999999E-2</v>
      </c>
      <c r="H1321" s="28">
        <v>40785</v>
      </c>
      <c r="I1321" s="29">
        <f t="shared" ref="I1321" si="1660">YEAR(H1321)</f>
        <v>2011</v>
      </c>
      <c r="J1321" s="1" t="s">
        <v>169</v>
      </c>
      <c r="K1321" s="1" t="s">
        <v>7</v>
      </c>
      <c r="L1321" s="11" t="str">
        <f t="shared" ref="L1321" si="1661">IF(OR(A1321=J1321,A1321=K1321),"ДА","НЕТ")</f>
        <v>НЕТ</v>
      </c>
      <c r="M1321" s="10">
        <v>142.71299999999999</v>
      </c>
      <c r="N1321" s="10" t="s">
        <v>1575</v>
      </c>
      <c r="O1321" s="10">
        <f>M1321*28.0758/1000</f>
        <v>4.0067816454000003</v>
      </c>
      <c r="P1321" s="10">
        <f t="shared" si="1532"/>
        <v>315.49461774803154</v>
      </c>
      <c r="Q1321" s="10">
        <f t="shared" si="1533"/>
        <v>315.12773682583156</v>
      </c>
      <c r="R1321" s="10" t="s">
        <v>1575</v>
      </c>
      <c r="S1321" s="10" t="s">
        <v>1575</v>
      </c>
      <c r="T1321" s="10" t="s">
        <v>1575</v>
      </c>
      <c r="U1321" s="10" t="s">
        <v>1575</v>
      </c>
      <c r="V1321" s="10">
        <v>98.761339233900003</v>
      </c>
      <c r="W1321" s="10">
        <v>-0.36688092219999846</v>
      </c>
      <c r="X1321" s="10">
        <f t="shared" ref="X1321" si="1662">IFERROR(V1321+W1321,"NA")</f>
        <v>98.394458311700006</v>
      </c>
      <c r="Y1321" s="10" t="str">
        <f t="shared" ref="Y1321" si="1663">IFERROR(P1321/R1321,"NA")</f>
        <v>NA</v>
      </c>
      <c r="Z1321" s="10" t="str">
        <f t="shared" ref="Z1321" si="1664">IFERROR(P1321/U1321,"NA")</f>
        <v>NA</v>
      </c>
      <c r="AA1321" s="10">
        <f t="shared" ref="AA1321" si="1665">IFERROR(P1321/V1321,"NA")</f>
        <v>3.1945153862366569</v>
      </c>
      <c r="AB1321" s="10" t="str">
        <f t="shared" ref="AB1321" si="1666">IFERROR(Q1321/R1321,"NA")</f>
        <v>NA</v>
      </c>
      <c r="AC1321" s="10" t="str">
        <f t="shared" ref="AC1321" si="1667">IFERROR(Q1321/S1321,"NA")</f>
        <v>NA</v>
      </c>
      <c r="AD1321" s="10" t="str">
        <f t="shared" ref="AD1321" si="1668">IFERROR(Q1321/T1321,"NA")</f>
        <v>NA</v>
      </c>
      <c r="AE1321" s="10">
        <f t="shared" ref="AE1321" si="1669">IFERROR(Q1321/X1321,"NA")</f>
        <v>3.2026980201217286</v>
      </c>
      <c r="AF1321" s="1" t="s">
        <v>5280</v>
      </c>
    </row>
    <row r="1322" spans="1:32" x14ac:dyDescent="0.2">
      <c r="A1322" s="1" t="s">
        <v>171</v>
      </c>
      <c r="B1322" s="1" t="s">
        <v>21</v>
      </c>
      <c r="C1322" s="1" t="s">
        <v>1575</v>
      </c>
      <c r="D1322" s="1" t="s">
        <v>1600</v>
      </c>
      <c r="E1322" s="1" t="s">
        <v>1653</v>
      </c>
      <c r="F1322" s="1" t="s">
        <v>101</v>
      </c>
      <c r="G1322" s="4">
        <f>65%-50.2%</f>
        <v>0.14800000000000002</v>
      </c>
      <c r="H1322" s="28">
        <v>40360</v>
      </c>
      <c r="I1322" s="29">
        <f t="shared" ref="I1322" si="1670">YEAR(H1322)</f>
        <v>2010</v>
      </c>
      <c r="J1322" s="1" t="s">
        <v>1684</v>
      </c>
      <c r="K1322" s="1" t="s">
        <v>7</v>
      </c>
      <c r="L1322" s="11" t="str">
        <f t="shared" si="1651"/>
        <v>НЕТ</v>
      </c>
      <c r="M1322" s="10">
        <f>51194922*1.5/1000000</f>
        <v>76.792383000000001</v>
      </c>
      <c r="N1322" s="10" t="s">
        <v>1575</v>
      </c>
      <c r="O1322" s="10">
        <f>M1322*31.2554/1000</f>
        <v>2.4001766476182</v>
      </c>
      <c r="P1322" s="10">
        <f t="shared" si="1532"/>
        <v>16.217409781204051</v>
      </c>
      <c r="Q1322" s="10" t="str">
        <f t="shared" si="1533"/>
        <v>NA</v>
      </c>
      <c r="R1322" s="10" t="s">
        <v>1575</v>
      </c>
      <c r="S1322" s="10" t="s">
        <v>1575</v>
      </c>
      <c r="T1322" s="10" t="s">
        <v>1575</v>
      </c>
      <c r="U1322" s="10" t="s">
        <v>1575</v>
      </c>
      <c r="V1322" s="10" t="s">
        <v>1575</v>
      </c>
      <c r="W1322" s="10" t="s">
        <v>1575</v>
      </c>
      <c r="X1322" s="10" t="str">
        <f t="shared" si="1652"/>
        <v>NA</v>
      </c>
      <c r="Y1322" s="10" t="str">
        <f t="shared" si="1653"/>
        <v>NA</v>
      </c>
      <c r="Z1322" s="10" t="str">
        <f t="shared" si="1654"/>
        <v>NA</v>
      </c>
      <c r="AA1322" s="10" t="str">
        <f t="shared" si="1655"/>
        <v>NA</v>
      </c>
      <c r="AB1322" s="10" t="str">
        <f t="shared" si="1656"/>
        <v>NA</v>
      </c>
      <c r="AC1322" s="10" t="str">
        <f t="shared" si="1657"/>
        <v>NA</v>
      </c>
      <c r="AD1322" s="10" t="str">
        <f t="shared" si="1658"/>
        <v>NA</v>
      </c>
      <c r="AE1322" s="10" t="str">
        <f t="shared" si="1659"/>
        <v>NA</v>
      </c>
      <c r="AF1322" s="1" t="s">
        <v>5281</v>
      </c>
    </row>
    <row r="1323" spans="1:32" x14ac:dyDescent="0.2">
      <c r="A1323" s="1" t="s">
        <v>171</v>
      </c>
      <c r="B1323" s="1" t="s">
        <v>21</v>
      </c>
      <c r="C1323" s="1" t="s">
        <v>1575</v>
      </c>
      <c r="D1323" s="1" t="s">
        <v>1600</v>
      </c>
      <c r="E1323" s="1" t="s">
        <v>1653</v>
      </c>
      <c r="F1323" s="1" t="s">
        <v>101</v>
      </c>
      <c r="G1323" s="4">
        <v>0.502</v>
      </c>
      <c r="H1323" s="28">
        <v>40039</v>
      </c>
      <c r="I1323" s="29">
        <f t="shared" si="1491"/>
        <v>2009</v>
      </c>
      <c r="J1323" s="1" t="s">
        <v>1684</v>
      </c>
      <c r="K1323" s="1" t="s">
        <v>1684</v>
      </c>
      <c r="L1323" s="11" t="str">
        <f t="shared" si="1242"/>
        <v>НЕТ</v>
      </c>
      <c r="M1323" s="10">
        <v>164.328</v>
      </c>
      <c r="N1323" s="10" t="s">
        <v>1575</v>
      </c>
      <c r="O1323" s="10">
        <f>M1323*32.1457/1000</f>
        <v>5.282438589599999</v>
      </c>
      <c r="P1323" s="10">
        <f t="shared" si="1532"/>
        <v>10.52278603505976</v>
      </c>
      <c r="Q1323" s="10">
        <f t="shared" si="1533"/>
        <v>10.744328035059759</v>
      </c>
      <c r="R1323" s="10" t="s">
        <v>1575</v>
      </c>
      <c r="S1323" s="10" t="s">
        <v>1575</v>
      </c>
      <c r="T1323" s="10" t="s">
        <v>1575</v>
      </c>
      <c r="U1323" s="10" t="s">
        <v>1575</v>
      </c>
      <c r="V1323" s="10">
        <f>0.051202</f>
        <v>5.1201999999999998E-2</v>
      </c>
      <c r="W1323" s="10">
        <f>0.207147+0.022763-0.008368</f>
        <v>0.22154200000000002</v>
      </c>
      <c r="X1323" s="10">
        <f t="shared" si="1425"/>
        <v>0.27274399999999999</v>
      </c>
      <c r="Y1323" s="10" t="str">
        <f t="shared" si="1426"/>
        <v>NA</v>
      </c>
      <c r="Z1323" s="10" t="str">
        <f t="shared" si="1427"/>
        <v>NA</v>
      </c>
      <c r="AA1323" s="10">
        <f t="shared" si="1428"/>
        <v>205.5151368122292</v>
      </c>
      <c r="AB1323" s="10" t="str">
        <f t="shared" si="1429"/>
        <v>NA</v>
      </c>
      <c r="AC1323" s="10" t="str">
        <f t="shared" si="1430"/>
        <v>NA</v>
      </c>
      <c r="AD1323" s="10" t="str">
        <f t="shared" si="1431"/>
        <v>NA</v>
      </c>
      <c r="AE1323" s="10">
        <f t="shared" si="1432"/>
        <v>39.393453330081542</v>
      </c>
      <c r="AF1323" s="1" t="s">
        <v>5282</v>
      </c>
    </row>
    <row r="1324" spans="1:32" x14ac:dyDescent="0.2">
      <c r="A1324" s="1" t="s">
        <v>5909</v>
      </c>
      <c r="B1324" s="1" t="s">
        <v>5</v>
      </c>
      <c r="C1324" s="1" t="s">
        <v>1575</v>
      </c>
      <c r="D1324" s="1" t="s">
        <v>1600</v>
      </c>
      <c r="E1324" s="1" t="s">
        <v>1659</v>
      </c>
      <c r="F1324" s="1" t="s">
        <v>118</v>
      </c>
      <c r="G1324" s="33">
        <v>1</v>
      </c>
      <c r="H1324" s="28">
        <v>44286</v>
      </c>
      <c r="I1324" s="29">
        <f t="shared" si="1491"/>
        <v>2021</v>
      </c>
      <c r="J1324" s="1" t="s">
        <v>7</v>
      </c>
      <c r="K1324" s="1" t="s">
        <v>1177</v>
      </c>
      <c r="L1324" s="11" t="str">
        <f t="shared" si="1242"/>
        <v>НЕТ</v>
      </c>
      <c r="M1324" s="10" t="s">
        <v>1575</v>
      </c>
      <c r="N1324" s="10" t="s">
        <v>1575</v>
      </c>
      <c r="O1324" s="10">
        <v>0.46</v>
      </c>
      <c r="P1324" s="10">
        <f t="shared" si="1532"/>
        <v>0.46</v>
      </c>
      <c r="Q1324" s="10" t="str">
        <f t="shared" si="1533"/>
        <v>NA</v>
      </c>
      <c r="R1324" s="10" t="s">
        <v>1575</v>
      </c>
      <c r="S1324" s="10" t="s">
        <v>1575</v>
      </c>
      <c r="T1324" s="10" t="s">
        <v>1575</v>
      </c>
      <c r="U1324" s="10" t="s">
        <v>1575</v>
      </c>
      <c r="V1324" s="10">
        <v>-1.98</v>
      </c>
      <c r="W1324" s="10" t="s">
        <v>1575</v>
      </c>
      <c r="X1324" s="10" t="str">
        <f t="shared" ref="X1324" si="1671">IFERROR(V1324+W1324,"NA")</f>
        <v>NA</v>
      </c>
      <c r="Y1324" s="10" t="str">
        <f t="shared" ref="Y1324" si="1672">IFERROR(P1324/R1324,"NA")</f>
        <v>NA</v>
      </c>
      <c r="Z1324" s="10" t="str">
        <f t="shared" ref="Z1324" si="1673">IFERROR(P1324/U1324,"NA")</f>
        <v>NA</v>
      </c>
      <c r="AA1324" s="10">
        <f t="shared" ref="AA1324" si="1674">IFERROR(P1324/V1324,"NA")</f>
        <v>-0.23232323232323235</v>
      </c>
      <c r="AB1324" s="10" t="str">
        <f t="shared" ref="AB1324" si="1675">IFERROR(Q1324/R1324,"NA")</f>
        <v>NA</v>
      </c>
      <c r="AC1324" s="10" t="str">
        <f t="shared" ref="AC1324" si="1676">IFERROR(Q1324/S1324,"NA")</f>
        <v>NA</v>
      </c>
      <c r="AD1324" s="10" t="str">
        <f t="shared" ref="AD1324" si="1677">IFERROR(Q1324/T1324,"NA")</f>
        <v>NA</v>
      </c>
      <c r="AE1324" s="10" t="str">
        <f t="shared" ref="AE1324" si="1678">IFERROR(Q1324/X1324,"NA")</f>
        <v>NA</v>
      </c>
      <c r="AF1324" s="1" t="s">
        <v>5283</v>
      </c>
    </row>
    <row r="1325" spans="1:32" x14ac:dyDescent="0.2">
      <c r="A1325" s="1" t="s">
        <v>1177</v>
      </c>
      <c r="B1325" s="1" t="s">
        <v>5</v>
      </c>
      <c r="C1325" s="1" t="s">
        <v>1686</v>
      </c>
      <c r="D1325" s="1" t="s">
        <v>1600</v>
      </c>
      <c r="E1325" s="1" t="s">
        <v>1659</v>
      </c>
      <c r="F1325" s="1" t="s">
        <v>118</v>
      </c>
      <c r="G1325" s="33">
        <v>2.5100000000000001E-2</v>
      </c>
      <c r="H1325" s="28">
        <v>44253</v>
      </c>
      <c r="I1325" s="29">
        <f t="shared" si="1491"/>
        <v>2021</v>
      </c>
      <c r="J1325" s="1" t="s">
        <v>1177</v>
      </c>
      <c r="K1325" s="1" t="s">
        <v>7</v>
      </c>
      <c r="L1325" s="11" t="str">
        <f t="shared" ref="L1325" si="1679">IF(OR(A1325=J1325,A1325=K1325),"ДА","НЕТ")</f>
        <v>ДА</v>
      </c>
      <c r="M1325" s="10">
        <v>38</v>
      </c>
      <c r="N1325" s="10" t="s">
        <v>1575</v>
      </c>
      <c r="O1325" s="10">
        <v>2.8079999999999998</v>
      </c>
      <c r="P1325" s="10">
        <f t="shared" si="1532"/>
        <v>111.87250996015935</v>
      </c>
      <c r="Q1325" s="10">
        <f t="shared" si="1533"/>
        <v>94.079509960159342</v>
      </c>
      <c r="R1325" s="10">
        <v>44.654000000000003</v>
      </c>
      <c r="S1325" s="10">
        <v>20.666</v>
      </c>
      <c r="T1325" s="10">
        <v>15.724</v>
      </c>
      <c r="U1325" s="10">
        <v>12.743</v>
      </c>
      <c r="V1325" s="10">
        <v>79.584999999999994</v>
      </c>
      <c r="W1325" s="10">
        <v>-17.793000000000003</v>
      </c>
      <c r="X1325" s="10">
        <f t="shared" ref="X1325" si="1680">IFERROR(V1325+W1325,"NA")</f>
        <v>61.791999999999987</v>
      </c>
      <c r="Y1325" s="10">
        <f t="shared" ref="Y1325" si="1681">IFERROR(P1325/R1325,"NA")</f>
        <v>2.5053188955112495</v>
      </c>
      <c r="Z1325" s="10">
        <f t="shared" ref="Z1325" si="1682">IFERROR(P1325/U1325,"NA")</f>
        <v>8.7791344236176219</v>
      </c>
      <c r="AA1325" s="10">
        <f t="shared" ref="AA1325" si="1683">IFERROR(P1325/V1325,"NA")</f>
        <v>1.405698435134251</v>
      </c>
      <c r="AB1325" s="10">
        <f t="shared" ref="AB1325" si="1684">IFERROR(Q1325/R1325,"NA")</f>
        <v>2.1068551520616143</v>
      </c>
      <c r="AC1325" s="10">
        <f t="shared" ref="AC1325" si="1685">IFERROR(Q1325/S1325,"NA")</f>
        <v>4.5523812039175136</v>
      </c>
      <c r="AD1325" s="10">
        <f t="shared" ref="AD1325" si="1686">IFERROR(Q1325/T1325,"NA")</f>
        <v>5.9831792139506064</v>
      </c>
      <c r="AE1325" s="10">
        <f t="shared" ref="AE1325" si="1687">IFERROR(Q1325/X1325,"NA")</f>
        <v>1.5225192575116417</v>
      </c>
      <c r="AF1325" s="1" t="s">
        <v>5288</v>
      </c>
    </row>
    <row r="1326" spans="1:32" x14ac:dyDescent="0.2">
      <c r="A1326" s="1" t="s">
        <v>5910</v>
      </c>
      <c r="B1326" s="1" t="s">
        <v>5</v>
      </c>
      <c r="C1326" s="1" t="s">
        <v>1575</v>
      </c>
      <c r="D1326" s="1" t="s">
        <v>1600</v>
      </c>
      <c r="E1326" s="1" t="s">
        <v>1659</v>
      </c>
      <c r="F1326" s="1" t="s">
        <v>118</v>
      </c>
      <c r="G1326" s="33">
        <v>1</v>
      </c>
      <c r="H1326" s="28">
        <v>44196</v>
      </c>
      <c r="I1326" s="29">
        <f t="shared" si="1491"/>
        <v>2020</v>
      </c>
      <c r="J1326" s="1" t="s">
        <v>1177</v>
      </c>
      <c r="K1326" s="1" t="s">
        <v>1224</v>
      </c>
      <c r="L1326" s="11" t="str">
        <f t="shared" ref="L1326:L1423" si="1688">IF(OR(A1326=J1326,A1326=K1326),"ДА","НЕТ")</f>
        <v>НЕТ</v>
      </c>
      <c r="M1326" s="10">
        <v>920</v>
      </c>
      <c r="N1326" s="10" t="s">
        <v>1575</v>
      </c>
      <c r="O1326" s="10">
        <f>67.741+0.872</f>
        <v>68.613</v>
      </c>
      <c r="P1326" s="10">
        <f t="shared" si="1532"/>
        <v>68.613</v>
      </c>
      <c r="Q1326" s="10">
        <f t="shared" si="1533"/>
        <v>88.384</v>
      </c>
      <c r="R1326" s="10" t="s">
        <v>1575</v>
      </c>
      <c r="S1326" s="10" t="s">
        <v>1575</v>
      </c>
      <c r="T1326" s="10" t="s">
        <v>1575</v>
      </c>
      <c r="U1326" s="10" t="s">
        <v>1575</v>
      </c>
      <c r="V1326" s="10">
        <v>68.106999999999999</v>
      </c>
      <c r="W1326" s="10">
        <f>8.429+11.409-0.067</f>
        <v>19.771000000000001</v>
      </c>
      <c r="X1326" s="10">
        <f t="shared" si="1425"/>
        <v>87.878</v>
      </c>
      <c r="Y1326" s="10" t="str">
        <f t="shared" si="1426"/>
        <v>NA</v>
      </c>
      <c r="Z1326" s="10" t="str">
        <f t="shared" si="1427"/>
        <v>NA</v>
      </c>
      <c r="AA1326" s="10">
        <f t="shared" si="1428"/>
        <v>1.0074294859559223</v>
      </c>
      <c r="AB1326" s="10" t="str">
        <f t="shared" si="1429"/>
        <v>NA</v>
      </c>
      <c r="AC1326" s="10" t="str">
        <f t="shared" si="1430"/>
        <v>NA</v>
      </c>
      <c r="AD1326" s="10" t="str">
        <f t="shared" si="1431"/>
        <v>NA</v>
      </c>
      <c r="AE1326" s="10">
        <f t="shared" si="1432"/>
        <v>1.0057579826577756</v>
      </c>
      <c r="AF1326" s="1" t="s">
        <v>1223</v>
      </c>
    </row>
    <row r="1327" spans="1:32" x14ac:dyDescent="0.2">
      <c r="A1327" s="1" t="s">
        <v>5911</v>
      </c>
      <c r="B1327" s="1" t="s">
        <v>5</v>
      </c>
      <c r="C1327" s="1" t="s">
        <v>1575</v>
      </c>
      <c r="D1327" s="1" t="s">
        <v>1600</v>
      </c>
      <c r="E1327" s="1" t="s">
        <v>1659</v>
      </c>
      <c r="F1327" s="1" t="s">
        <v>118</v>
      </c>
      <c r="G1327" s="33">
        <v>1</v>
      </c>
      <c r="H1327" s="28">
        <v>44195</v>
      </c>
      <c r="I1327" s="29">
        <f t="shared" si="1491"/>
        <v>2020</v>
      </c>
      <c r="J1327" s="1" t="s">
        <v>1177</v>
      </c>
      <c r="K1327" s="1" t="s">
        <v>7</v>
      </c>
      <c r="L1327" s="11" t="str">
        <f t="shared" si="1688"/>
        <v>НЕТ</v>
      </c>
      <c r="M1327" s="10" t="s">
        <v>1575</v>
      </c>
      <c r="N1327" s="10" t="s">
        <v>1575</v>
      </c>
      <c r="O1327" s="10" t="s">
        <v>1575</v>
      </c>
      <c r="P1327" s="10" t="str">
        <f t="shared" si="1532"/>
        <v>NA</v>
      </c>
      <c r="Q1327" s="10" t="str">
        <f t="shared" si="1533"/>
        <v>NA</v>
      </c>
      <c r="R1327" s="10" t="s">
        <v>1575</v>
      </c>
      <c r="S1327" s="10" t="s">
        <v>1575</v>
      </c>
      <c r="T1327" s="10" t="s">
        <v>1575</v>
      </c>
      <c r="U1327" s="10" t="s">
        <v>1575</v>
      </c>
      <c r="V1327" s="10" t="s">
        <v>1575</v>
      </c>
      <c r="W1327" s="10" t="s">
        <v>1575</v>
      </c>
      <c r="X1327" s="10" t="str">
        <f t="shared" ref="X1327:X1328" si="1689">IFERROR(V1327+W1327,"NA")</f>
        <v>NA</v>
      </c>
      <c r="Y1327" s="10" t="str">
        <f t="shared" ref="Y1327:Y1328" si="1690">IFERROR(P1327/R1327,"NA")</f>
        <v>NA</v>
      </c>
      <c r="Z1327" s="10" t="str">
        <f t="shared" ref="Z1327:Z1328" si="1691">IFERROR(P1327/U1327,"NA")</f>
        <v>NA</v>
      </c>
      <c r="AA1327" s="10" t="str">
        <f t="shared" ref="AA1327:AA1328" si="1692">IFERROR(P1327/V1327,"NA")</f>
        <v>NA</v>
      </c>
      <c r="AB1327" s="10" t="str">
        <f t="shared" ref="AB1327:AB1328" si="1693">IFERROR(Q1327/R1327,"NA")</f>
        <v>NA</v>
      </c>
      <c r="AC1327" s="10" t="str">
        <f t="shared" ref="AC1327:AC1328" si="1694">IFERROR(Q1327/S1327,"NA")</f>
        <v>NA</v>
      </c>
      <c r="AD1327" s="10" t="str">
        <f t="shared" ref="AD1327:AD1328" si="1695">IFERROR(Q1327/T1327,"NA")</f>
        <v>NA</v>
      </c>
      <c r="AE1327" s="10" t="str">
        <f t="shared" ref="AE1327:AE1328" si="1696">IFERROR(Q1327/X1327,"NA")</f>
        <v>NA</v>
      </c>
      <c r="AF1327" s="1" t="s">
        <v>5284</v>
      </c>
    </row>
    <row r="1328" spans="1:32" x14ac:dyDescent="0.2">
      <c r="A1328" s="1" t="s">
        <v>1177</v>
      </c>
      <c r="B1328" s="1" t="s">
        <v>5</v>
      </c>
      <c r="C1328" s="1" t="s">
        <v>1686</v>
      </c>
      <c r="D1328" s="1" t="s">
        <v>1600</v>
      </c>
      <c r="E1328" s="1" t="s">
        <v>1659</v>
      </c>
      <c r="F1328" s="1" t="s">
        <v>118</v>
      </c>
      <c r="G1328" s="33">
        <f>20412828/703191442</f>
        <v>2.9028834511896692E-2</v>
      </c>
      <c r="H1328" s="28">
        <v>43643</v>
      </c>
      <c r="I1328" s="29">
        <f t="shared" si="1491"/>
        <v>2019</v>
      </c>
      <c r="J1328" s="1" t="s">
        <v>1177</v>
      </c>
      <c r="K1328" s="1" t="s">
        <v>7</v>
      </c>
      <c r="L1328" s="11" t="str">
        <f t="shared" si="1688"/>
        <v>ДА</v>
      </c>
      <c r="M1328" s="10">
        <v>46</v>
      </c>
      <c r="N1328" s="10" t="s">
        <v>1575</v>
      </c>
      <c r="O1328" s="10">
        <v>2.8780000000000001</v>
      </c>
      <c r="P1328" s="10">
        <f t="shared" si="1532"/>
        <v>99.142802265124658</v>
      </c>
      <c r="Q1328" s="10">
        <f t="shared" si="1533"/>
        <v>81.70580226512466</v>
      </c>
      <c r="R1328" s="10">
        <v>67.992000000000004</v>
      </c>
      <c r="S1328" s="10">
        <v>37.919999999999995</v>
      </c>
      <c r="T1328" s="10">
        <v>34.900999999999996</v>
      </c>
      <c r="U1328" s="10">
        <v>27.962</v>
      </c>
      <c r="V1328" s="10">
        <v>66.105999999999995</v>
      </c>
      <c r="W1328" s="10">
        <v>-17.436999999999998</v>
      </c>
      <c r="X1328" s="10">
        <f t="shared" si="1689"/>
        <v>48.668999999999997</v>
      </c>
      <c r="Y1328" s="10">
        <f t="shared" si="1690"/>
        <v>1.4581539337734535</v>
      </c>
      <c r="Z1328" s="10">
        <f t="shared" si="1691"/>
        <v>3.5456262880024556</v>
      </c>
      <c r="AA1328" s="10">
        <f t="shared" si="1692"/>
        <v>1.4997549733023428</v>
      </c>
      <c r="AB1328" s="10">
        <f t="shared" si="1693"/>
        <v>1.2016972918155762</v>
      </c>
      <c r="AC1328" s="10">
        <f t="shared" si="1694"/>
        <v>2.1546888782997011</v>
      </c>
      <c r="AD1328" s="10">
        <f t="shared" si="1695"/>
        <v>2.3410733865827531</v>
      </c>
      <c r="AE1328" s="10">
        <f t="shared" si="1696"/>
        <v>1.6788058572217359</v>
      </c>
      <c r="AF1328" s="1" t="s">
        <v>5289</v>
      </c>
    </row>
    <row r="1329" spans="1:32" x14ac:dyDescent="0.2">
      <c r="A1329" s="1" t="s">
        <v>1177</v>
      </c>
      <c r="B1329" s="1" t="s">
        <v>5</v>
      </c>
      <c r="C1329" s="1" t="s">
        <v>1686</v>
      </c>
      <c r="D1329" s="1" t="s">
        <v>1600</v>
      </c>
      <c r="E1329" s="1" t="s">
        <v>1659</v>
      </c>
      <c r="F1329" s="1" t="s">
        <v>118</v>
      </c>
      <c r="G1329" s="33">
        <f>77608366/703191442</f>
        <v>0.1103659136966573</v>
      </c>
      <c r="H1329" s="28">
        <v>41019</v>
      </c>
      <c r="I1329" s="29">
        <f t="shared" ref="I1329" si="1697">YEAR(H1329)</f>
        <v>2012</v>
      </c>
      <c r="J1329" s="1" t="s">
        <v>1177</v>
      </c>
      <c r="K1329" s="1" t="s">
        <v>7</v>
      </c>
      <c r="L1329" s="11" t="str">
        <f t="shared" ref="L1329" si="1698">IF(OR(A1329=J1329,A1329=K1329),"ДА","НЕТ")</f>
        <v>ДА</v>
      </c>
      <c r="M1329" s="10" t="s">
        <v>1575</v>
      </c>
      <c r="N1329" s="10" t="s">
        <v>1575</v>
      </c>
      <c r="O1329" s="10">
        <v>11.6412549</v>
      </c>
      <c r="P1329" s="10">
        <f t="shared" si="1532"/>
        <v>105.4787163</v>
      </c>
      <c r="Q1329" s="10">
        <f t="shared" si="1533"/>
        <v>112.3747163</v>
      </c>
      <c r="R1329" s="10">
        <v>21.338000000000001</v>
      </c>
      <c r="S1329" s="10">
        <v>9.213000000000001</v>
      </c>
      <c r="T1329" s="10">
        <v>5.5410000000000004</v>
      </c>
      <c r="U1329" s="10">
        <v>3.9889999999999999</v>
      </c>
      <c r="V1329" s="10">
        <v>45.901000000000003</v>
      </c>
      <c r="W1329" s="10">
        <v>6.8960000000000008</v>
      </c>
      <c r="X1329" s="10">
        <f t="shared" ref="X1329" si="1699">IFERROR(V1329+W1329,"NA")</f>
        <v>52.797000000000004</v>
      </c>
      <c r="Y1329" s="10">
        <f t="shared" ref="Y1329" si="1700">IFERROR(P1329/R1329,"NA")</f>
        <v>4.9432334942356357</v>
      </c>
      <c r="Z1329" s="10">
        <f t="shared" ref="Z1329" si="1701">IFERROR(P1329/U1329,"NA")</f>
        <v>26.442395663073452</v>
      </c>
      <c r="AA1329" s="10">
        <f t="shared" ref="AA1329" si="1702">IFERROR(P1329/V1329,"NA")</f>
        <v>2.2979611838522036</v>
      </c>
      <c r="AB1329" s="10">
        <f t="shared" ref="AB1329" si="1703">IFERROR(Q1329/R1329,"NA")</f>
        <v>5.2664127987627705</v>
      </c>
      <c r="AC1329" s="10">
        <f t="shared" ref="AC1329" si="1704">IFERROR(Q1329/S1329,"NA")</f>
        <v>12.197407608813633</v>
      </c>
      <c r="AD1329" s="10">
        <f t="shared" ref="AD1329" si="1705">IFERROR(Q1329/T1329,"NA")</f>
        <v>20.28058406424833</v>
      </c>
      <c r="AE1329" s="10">
        <f t="shared" ref="AE1329" si="1706">IFERROR(Q1329/X1329,"NA")</f>
        <v>2.128429954353467</v>
      </c>
      <c r="AF1329" s="1" t="s">
        <v>5285</v>
      </c>
    </row>
    <row r="1330" spans="1:32" x14ac:dyDescent="0.2">
      <c r="A1330" s="1" t="s">
        <v>1177</v>
      </c>
      <c r="B1330" s="1" t="s">
        <v>5</v>
      </c>
      <c r="C1330" s="1" t="s">
        <v>1686</v>
      </c>
      <c r="D1330" s="1" t="s">
        <v>1600</v>
      </c>
      <c r="E1330" s="1" t="s">
        <v>1659</v>
      </c>
      <c r="F1330" s="1" t="s">
        <v>118</v>
      </c>
      <c r="G1330" s="33">
        <v>0.1</v>
      </c>
      <c r="H1330" s="28">
        <v>40862</v>
      </c>
      <c r="I1330" s="29">
        <f t="shared" ref="I1330" si="1707">YEAR(H1330)</f>
        <v>2011</v>
      </c>
      <c r="J1330" s="1" t="s">
        <v>1177</v>
      </c>
      <c r="K1330" s="1" t="s">
        <v>7</v>
      </c>
      <c r="L1330" s="11" t="str">
        <f t="shared" ref="L1330" si="1708">IF(OR(A1330=J1330,A1330=K1330),"ДА","НЕТ")</f>
        <v>ДА</v>
      </c>
      <c r="M1330" s="10">
        <v>363.77100000000002</v>
      </c>
      <c r="N1330" s="10" t="s">
        <v>1575</v>
      </c>
      <c r="O1330" s="10">
        <f>78079980*150/10^9</f>
        <v>11.711997</v>
      </c>
      <c r="P1330" s="10">
        <f t="shared" si="1532"/>
        <v>117.11997</v>
      </c>
      <c r="Q1330" s="10">
        <f t="shared" si="1533"/>
        <v>122.40332347639999</v>
      </c>
      <c r="R1330" s="10" t="s">
        <v>1575</v>
      </c>
      <c r="S1330" s="10" t="s">
        <v>1575</v>
      </c>
      <c r="T1330" s="10" t="s">
        <v>1575</v>
      </c>
      <c r="U1330" s="10" t="s">
        <v>1575</v>
      </c>
      <c r="V1330" s="10">
        <v>45.847345453900004</v>
      </c>
      <c r="W1330" s="10">
        <v>5.2833534764000003</v>
      </c>
      <c r="X1330" s="10">
        <f t="shared" ref="X1330" si="1709">IFERROR(V1330+W1330,"NA")</f>
        <v>51.130698930300007</v>
      </c>
      <c r="Y1330" s="10" t="str">
        <f t="shared" ref="Y1330" si="1710">IFERROR(P1330/R1330,"NA")</f>
        <v>NA</v>
      </c>
      <c r="Z1330" s="10" t="str">
        <f t="shared" ref="Z1330" si="1711">IFERROR(P1330/U1330,"NA")</f>
        <v>NA</v>
      </c>
      <c r="AA1330" s="10">
        <f t="shared" ref="AA1330" si="1712">IFERROR(P1330/V1330,"NA")</f>
        <v>2.5545638213179731</v>
      </c>
      <c r="AB1330" s="10" t="str">
        <f t="shared" ref="AB1330" si="1713">IFERROR(Q1330/R1330,"NA")</f>
        <v>NA</v>
      </c>
      <c r="AC1330" s="10" t="str">
        <f t="shared" ref="AC1330" si="1714">IFERROR(Q1330/S1330,"NA")</f>
        <v>NA</v>
      </c>
      <c r="AD1330" s="10" t="str">
        <f t="shared" ref="AD1330" si="1715">IFERROR(Q1330/T1330,"NA")</f>
        <v>NA</v>
      </c>
      <c r="AE1330" s="10">
        <f t="shared" ref="AE1330" si="1716">IFERROR(Q1330/X1330,"NA")</f>
        <v>2.3939301835724347</v>
      </c>
      <c r="AF1330" s="1" t="s">
        <v>5287</v>
      </c>
    </row>
    <row r="1331" spans="1:32" x14ac:dyDescent="0.2">
      <c r="A1331" s="1" t="s">
        <v>5912</v>
      </c>
      <c r="B1331" s="1" t="s">
        <v>5</v>
      </c>
      <c r="C1331" s="1" t="s">
        <v>1575</v>
      </c>
      <c r="D1331" s="1" t="s">
        <v>1600</v>
      </c>
      <c r="E1331" s="1" t="s">
        <v>1659</v>
      </c>
      <c r="F1331" s="1" t="s">
        <v>118</v>
      </c>
      <c r="G1331" s="4">
        <v>1</v>
      </c>
      <c r="H1331" s="28">
        <v>40298</v>
      </c>
      <c r="I1331" s="29">
        <f t="shared" si="1491"/>
        <v>2010</v>
      </c>
      <c r="J1331" s="1" t="s">
        <v>1177</v>
      </c>
      <c r="K1331" s="1" t="s">
        <v>71</v>
      </c>
      <c r="L1331" s="11" t="str">
        <f t="shared" si="1688"/>
        <v>НЕТ</v>
      </c>
      <c r="M1331" s="10">
        <v>40</v>
      </c>
      <c r="N1331" s="10" t="s">
        <v>1575</v>
      </c>
      <c r="O1331" s="10">
        <v>1.1624920000000001</v>
      </c>
      <c r="P1331" s="10">
        <f t="shared" si="1532"/>
        <v>1.1624920000000001</v>
      </c>
      <c r="Q1331" s="10">
        <f t="shared" si="1533"/>
        <v>1.7066719456000001</v>
      </c>
      <c r="R1331" s="10" t="s">
        <v>1575</v>
      </c>
      <c r="S1331" s="10" t="s">
        <v>1575</v>
      </c>
      <c r="T1331" s="10" t="s">
        <v>1575</v>
      </c>
      <c r="U1331" s="10" t="s">
        <v>1575</v>
      </c>
      <c r="V1331" s="10">
        <f>0.144735*29.3232</f>
        <v>4.2440933520000002</v>
      </c>
      <c r="W1331" s="10">
        <f>(0.024537-0.005979)*29.3232</f>
        <v>0.54417994559999994</v>
      </c>
      <c r="X1331" s="10">
        <f t="shared" si="1425"/>
        <v>4.7882732976</v>
      </c>
      <c r="Y1331" s="10" t="str">
        <f t="shared" si="1426"/>
        <v>NA</v>
      </c>
      <c r="Z1331" s="10" t="str">
        <f t="shared" si="1427"/>
        <v>NA</v>
      </c>
      <c r="AA1331" s="10">
        <f t="shared" si="1428"/>
        <v>0.27390820690882861</v>
      </c>
      <c r="AB1331" s="10" t="str">
        <f t="shared" si="1429"/>
        <v>NA</v>
      </c>
      <c r="AC1331" s="10" t="str">
        <f t="shared" si="1430"/>
        <v>NA</v>
      </c>
      <c r="AD1331" s="10" t="str">
        <f t="shared" si="1431"/>
        <v>NA</v>
      </c>
      <c r="AE1331" s="10">
        <f t="shared" si="1432"/>
        <v>0.35642742999975086</v>
      </c>
      <c r="AF1331" s="1" t="s">
        <v>5286</v>
      </c>
    </row>
    <row r="1332" spans="1:32" x14ac:dyDescent="0.2">
      <c r="A1332" s="1" t="s">
        <v>5302</v>
      </c>
      <c r="B1332" s="1" t="s">
        <v>5</v>
      </c>
      <c r="C1332" s="1" t="s">
        <v>1575</v>
      </c>
      <c r="D1332" s="1" t="s">
        <v>1600</v>
      </c>
      <c r="E1332" s="1" t="s">
        <v>1659</v>
      </c>
      <c r="F1332" s="1" t="s">
        <v>118</v>
      </c>
      <c r="G1332" s="4">
        <v>0.399841</v>
      </c>
      <c r="H1332" s="28">
        <v>44196</v>
      </c>
      <c r="I1332" s="29">
        <f t="shared" si="1491"/>
        <v>2020</v>
      </c>
      <c r="J1332" s="1" t="s">
        <v>71</v>
      </c>
      <c r="K1332" s="1" t="s">
        <v>7</v>
      </c>
      <c r="L1332" s="11" t="str">
        <f t="shared" si="1688"/>
        <v>НЕТ</v>
      </c>
      <c r="M1332" s="10">
        <f>30+39</f>
        <v>69</v>
      </c>
      <c r="N1332" s="10" t="s">
        <v>1575</v>
      </c>
      <c r="O1332" s="10">
        <f>M1332*73.8757/1000</f>
        <v>5.0974232999999991</v>
      </c>
      <c r="P1332" s="10">
        <f t="shared" si="1532"/>
        <v>12.748625828766933</v>
      </c>
      <c r="Q1332" s="10" t="str">
        <f t="shared" si="1533"/>
        <v>NA</v>
      </c>
      <c r="R1332" s="10" t="s">
        <v>1575</v>
      </c>
      <c r="S1332" s="10" t="s">
        <v>1575</v>
      </c>
      <c r="T1332" s="10" t="s">
        <v>1575</v>
      </c>
      <c r="U1332" s="10" t="s">
        <v>1575</v>
      </c>
      <c r="V1332" s="10" t="s">
        <v>1575</v>
      </c>
      <c r="W1332" s="10" t="s">
        <v>1575</v>
      </c>
      <c r="X1332" s="10" t="str">
        <f t="shared" ref="X1332" si="1717">IFERROR(V1332+W1332,"NA")</f>
        <v>NA</v>
      </c>
      <c r="Y1332" s="10" t="str">
        <f t="shared" ref="Y1332" si="1718">IFERROR(P1332/R1332,"NA")</f>
        <v>NA</v>
      </c>
      <c r="Z1332" s="10" t="str">
        <f t="shared" ref="Z1332" si="1719">IFERROR(P1332/U1332,"NA")</f>
        <v>NA</v>
      </c>
      <c r="AA1332" s="10" t="str">
        <f t="shared" ref="AA1332" si="1720">IFERROR(P1332/V1332,"NA")</f>
        <v>NA</v>
      </c>
      <c r="AB1332" s="10" t="str">
        <f t="shared" ref="AB1332" si="1721">IFERROR(Q1332/R1332,"NA")</f>
        <v>NA</v>
      </c>
      <c r="AC1332" s="10" t="str">
        <f t="shared" ref="AC1332" si="1722">IFERROR(Q1332/S1332,"NA")</f>
        <v>NA</v>
      </c>
      <c r="AD1332" s="10" t="str">
        <f t="shared" ref="AD1332" si="1723">IFERROR(Q1332/T1332,"NA")</f>
        <v>NA</v>
      </c>
      <c r="AE1332" s="10" t="str">
        <f t="shared" ref="AE1332" si="1724">IFERROR(Q1332/X1332,"NA")</f>
        <v>NA</v>
      </c>
      <c r="AF1332" s="1" t="s">
        <v>5292</v>
      </c>
    </row>
    <row r="1333" spans="1:32" x14ac:dyDescent="0.2">
      <c r="A1333" s="1" t="s">
        <v>1177</v>
      </c>
      <c r="B1333" s="1" t="s">
        <v>5</v>
      </c>
      <c r="C1333" s="1" t="s">
        <v>1686</v>
      </c>
      <c r="D1333" s="1" t="s">
        <v>1600</v>
      </c>
      <c r="E1333" s="1" t="s">
        <v>1659</v>
      </c>
      <c r="F1333" s="1" t="s">
        <v>118</v>
      </c>
      <c r="G1333" s="4">
        <v>2.7300000000000001E-2</v>
      </c>
      <c r="H1333" s="28">
        <v>44196</v>
      </c>
      <c r="I1333" s="29">
        <f t="shared" ref="I1333:I1334" si="1725">YEAR(H1333)</f>
        <v>2020</v>
      </c>
      <c r="J1333" s="1" t="s">
        <v>71</v>
      </c>
      <c r="K1333" s="1" t="s">
        <v>7</v>
      </c>
      <c r="L1333" s="11" t="str">
        <f t="shared" ref="L1333:L1334" si="1726">IF(OR(A1333=J1333,A1333=K1333),"ДА","НЕТ")</f>
        <v>НЕТ</v>
      </c>
      <c r="M1333" s="10">
        <v>27</v>
      </c>
      <c r="N1333" s="10" t="s">
        <v>1575</v>
      </c>
      <c r="O1333" s="10">
        <f>M1333*73.8757/1000</f>
        <v>1.9946438999999998</v>
      </c>
      <c r="P1333" s="10">
        <f t="shared" si="1532"/>
        <v>73.063879120879108</v>
      </c>
      <c r="Q1333" s="10">
        <f t="shared" si="1533"/>
        <v>55.270879120879101</v>
      </c>
      <c r="R1333" s="10">
        <v>44.654000000000003</v>
      </c>
      <c r="S1333" s="10">
        <v>20.666</v>
      </c>
      <c r="T1333" s="10">
        <v>15.724</v>
      </c>
      <c r="U1333" s="10">
        <v>12.743</v>
      </c>
      <c r="V1333" s="10">
        <v>79.584999999999994</v>
      </c>
      <c r="W1333" s="10">
        <v>-17.793000000000003</v>
      </c>
      <c r="X1333" s="10">
        <f t="shared" si="1425"/>
        <v>61.791999999999987</v>
      </c>
      <c r="Y1333" s="10">
        <f t="shared" si="1426"/>
        <v>1.636222491173895</v>
      </c>
      <c r="Z1333" s="10">
        <f t="shared" si="1427"/>
        <v>5.7336482084971436</v>
      </c>
      <c r="AA1333" s="10">
        <f t="shared" si="1428"/>
        <v>0.91806093008580902</v>
      </c>
      <c r="AB1333" s="10">
        <f t="shared" si="1429"/>
        <v>1.2377587477242598</v>
      </c>
      <c r="AC1333" s="10">
        <f t="shared" si="1430"/>
        <v>2.6744836504828751</v>
      </c>
      <c r="AD1333" s="10">
        <f t="shared" si="1431"/>
        <v>3.5150648130805839</v>
      </c>
      <c r="AE1333" s="10">
        <f t="shared" si="1432"/>
        <v>0.89446658339071583</v>
      </c>
      <c r="AF1333" s="1" t="s">
        <v>1178</v>
      </c>
    </row>
    <row r="1334" spans="1:32" x14ac:dyDescent="0.2">
      <c r="A1334" s="1" t="s">
        <v>1177</v>
      </c>
      <c r="B1334" s="1" t="s">
        <v>5</v>
      </c>
      <c r="C1334" s="1" t="s">
        <v>1686</v>
      </c>
      <c r="D1334" s="1" t="s">
        <v>1600</v>
      </c>
      <c r="E1334" s="1" t="s">
        <v>1659</v>
      </c>
      <c r="F1334" s="1" t="s">
        <v>118</v>
      </c>
      <c r="G1334" s="4">
        <v>1.7999999999999999E-2</v>
      </c>
      <c r="H1334" s="28">
        <v>43830</v>
      </c>
      <c r="I1334" s="29">
        <f t="shared" si="1725"/>
        <v>2019</v>
      </c>
      <c r="J1334" s="1" t="s">
        <v>71</v>
      </c>
      <c r="K1334" s="1" t="s">
        <v>7</v>
      </c>
      <c r="L1334" s="11" t="str">
        <f t="shared" si="1726"/>
        <v>НЕТ</v>
      </c>
      <c r="M1334" s="10">
        <v>25</v>
      </c>
      <c r="N1334" s="10" t="s">
        <v>1575</v>
      </c>
      <c r="O1334" s="10">
        <f>M1334*61.9057/1000</f>
        <v>1.5476425000000003</v>
      </c>
      <c r="P1334" s="10">
        <f t="shared" si="1532"/>
        <v>85.980138888888916</v>
      </c>
      <c r="Q1334" s="10">
        <f t="shared" si="1533"/>
        <v>55.864138888888917</v>
      </c>
      <c r="R1334" s="10">
        <v>64.641000000000005</v>
      </c>
      <c r="S1334" s="10">
        <v>19.392000000000003</v>
      </c>
      <c r="T1334" s="10">
        <v>15.889000000000001</v>
      </c>
      <c r="U1334" s="10">
        <v>13.664</v>
      </c>
      <c r="V1334" s="10">
        <v>74.995000000000005</v>
      </c>
      <c r="W1334" s="10">
        <v>-30.116</v>
      </c>
      <c r="X1334" s="10">
        <f t="shared" si="1425"/>
        <v>44.879000000000005</v>
      </c>
      <c r="Y1334" s="10">
        <f t="shared" si="1426"/>
        <v>1.3301177099501695</v>
      </c>
      <c r="Z1334" s="10">
        <f t="shared" si="1427"/>
        <v>6.2924574713765313</v>
      </c>
      <c r="AA1334" s="10">
        <f t="shared" si="1428"/>
        <v>1.1464782837374345</v>
      </c>
      <c r="AB1334" s="10">
        <f t="shared" si="1429"/>
        <v>0.86422145215712798</v>
      </c>
      <c r="AC1334" s="10">
        <f t="shared" si="1430"/>
        <v>2.8807827397323074</v>
      </c>
      <c r="AD1334" s="10">
        <f t="shared" si="1431"/>
        <v>3.5159002384598725</v>
      </c>
      <c r="AE1334" s="10">
        <f t="shared" si="1432"/>
        <v>1.2447723632186303</v>
      </c>
      <c r="AF1334" s="1" t="s">
        <v>1179</v>
      </c>
    </row>
    <row r="1335" spans="1:32" x14ac:dyDescent="0.2">
      <c r="A1335" s="1" t="s">
        <v>1166</v>
      </c>
      <c r="B1335" s="1" t="s">
        <v>23</v>
      </c>
      <c r="C1335" s="1" t="s">
        <v>1575</v>
      </c>
      <c r="D1335" s="1" t="s">
        <v>1600</v>
      </c>
      <c r="E1335" s="1" t="s">
        <v>2050</v>
      </c>
      <c r="F1335" s="1" t="s">
        <v>1164</v>
      </c>
      <c r="G1335" s="4">
        <v>1</v>
      </c>
      <c r="H1335" s="28">
        <v>43801</v>
      </c>
      <c r="I1335" s="29">
        <f t="shared" si="1491"/>
        <v>2019</v>
      </c>
      <c r="J1335" s="1" t="s">
        <v>7</v>
      </c>
      <c r="K1335" s="1" t="s">
        <v>71</v>
      </c>
      <c r="L1335" s="11" t="str">
        <f t="shared" ref="L1335:L1359" si="1727">IF(OR(A1335=J1335,A1335=K1335),"ДА","НЕТ")</f>
        <v>НЕТ</v>
      </c>
      <c r="M1335" s="10">
        <v>36</v>
      </c>
      <c r="N1335" s="10" t="s">
        <v>1575</v>
      </c>
      <c r="O1335" s="10">
        <f>M1335*61.9057/1000</f>
        <v>2.2286052000000001</v>
      </c>
      <c r="P1335" s="10">
        <f t="shared" si="1532"/>
        <v>2.2286052000000001</v>
      </c>
      <c r="Q1335" s="10" t="str">
        <f t="shared" si="1533"/>
        <v>NA</v>
      </c>
      <c r="R1335" s="10" t="s">
        <v>1575</v>
      </c>
      <c r="S1335" s="10" t="s">
        <v>1575</v>
      </c>
      <c r="T1335" s="10" t="s">
        <v>1575</v>
      </c>
      <c r="U1335" s="10" t="s">
        <v>1575</v>
      </c>
      <c r="V1335" s="10" t="s">
        <v>1575</v>
      </c>
      <c r="W1335" s="10" t="s">
        <v>1575</v>
      </c>
      <c r="X1335" s="10" t="str">
        <f t="shared" si="1425"/>
        <v>NA</v>
      </c>
      <c r="Y1335" s="10" t="str">
        <f t="shared" si="1426"/>
        <v>NA</v>
      </c>
      <c r="Z1335" s="10" t="str">
        <f t="shared" si="1427"/>
        <v>NA</v>
      </c>
      <c r="AA1335" s="10" t="str">
        <f t="shared" si="1428"/>
        <v>NA</v>
      </c>
      <c r="AB1335" s="10" t="str">
        <f t="shared" si="1429"/>
        <v>NA</v>
      </c>
      <c r="AC1335" s="10" t="str">
        <f t="shared" si="1430"/>
        <v>NA</v>
      </c>
      <c r="AD1335" s="10" t="str">
        <f t="shared" si="1431"/>
        <v>NA</v>
      </c>
      <c r="AE1335" s="10" t="str">
        <f t="shared" si="1432"/>
        <v>NA</v>
      </c>
      <c r="AF1335" s="1" t="s">
        <v>1167</v>
      </c>
    </row>
    <row r="1336" spans="1:32" x14ac:dyDescent="0.2">
      <c r="A1336" s="1" t="s">
        <v>1163</v>
      </c>
      <c r="B1336" s="1" t="s">
        <v>5</v>
      </c>
      <c r="C1336" s="1" t="s">
        <v>1575</v>
      </c>
      <c r="D1336" s="1" t="s">
        <v>1600</v>
      </c>
      <c r="E1336" s="1" t="s">
        <v>2050</v>
      </c>
      <c r="F1336" s="1" t="s">
        <v>1164</v>
      </c>
      <c r="G1336" s="4" t="s">
        <v>11</v>
      </c>
      <c r="H1336" s="28">
        <v>43799</v>
      </c>
      <c r="I1336" s="29">
        <f t="shared" si="1491"/>
        <v>2019</v>
      </c>
      <c r="J1336" s="1" t="s">
        <v>7</v>
      </c>
      <c r="K1336" s="1" t="s">
        <v>71</v>
      </c>
      <c r="L1336" s="11" t="str">
        <f t="shared" si="1727"/>
        <v>НЕТ</v>
      </c>
      <c r="M1336" s="10">
        <v>66</v>
      </c>
      <c r="N1336" s="10" t="s">
        <v>1575</v>
      </c>
      <c r="O1336" s="10">
        <f>M1336*61.9057/1000</f>
        <v>4.0857762000000006</v>
      </c>
      <c r="P1336" s="10" t="str">
        <f t="shared" si="1532"/>
        <v>NA</v>
      </c>
      <c r="Q1336" s="10" t="str">
        <f t="shared" si="1533"/>
        <v>NA</v>
      </c>
      <c r="R1336" s="10" t="s">
        <v>1575</v>
      </c>
      <c r="S1336" s="10" t="s">
        <v>1575</v>
      </c>
      <c r="T1336" s="10" t="s">
        <v>1575</v>
      </c>
      <c r="U1336" s="10" t="s">
        <v>1575</v>
      </c>
      <c r="V1336" s="10" t="s">
        <v>1575</v>
      </c>
      <c r="W1336" s="10" t="s">
        <v>1575</v>
      </c>
      <c r="X1336" s="10" t="str">
        <f t="shared" si="1425"/>
        <v>NA</v>
      </c>
      <c r="Y1336" s="10" t="str">
        <f t="shared" si="1426"/>
        <v>NA</v>
      </c>
      <c r="Z1336" s="10" t="str">
        <f t="shared" si="1427"/>
        <v>NA</v>
      </c>
      <c r="AA1336" s="10" t="str">
        <f t="shared" si="1428"/>
        <v>NA</v>
      </c>
      <c r="AB1336" s="10" t="str">
        <f t="shared" si="1429"/>
        <v>NA</v>
      </c>
      <c r="AC1336" s="10" t="str">
        <f t="shared" si="1430"/>
        <v>NA</v>
      </c>
      <c r="AD1336" s="10" t="str">
        <f t="shared" si="1431"/>
        <v>NA</v>
      </c>
      <c r="AE1336" s="10" t="str">
        <f t="shared" si="1432"/>
        <v>NA</v>
      </c>
      <c r="AF1336" s="1" t="s">
        <v>1165</v>
      </c>
    </row>
    <row r="1337" spans="1:32" x14ac:dyDescent="0.2">
      <c r="A1337" s="1" t="s">
        <v>5290</v>
      </c>
      <c r="B1337" s="1" t="s">
        <v>5</v>
      </c>
      <c r="C1337" s="1" t="s">
        <v>1575</v>
      </c>
      <c r="D1337" s="1" t="s">
        <v>1600</v>
      </c>
      <c r="E1337" s="1" t="s">
        <v>2050</v>
      </c>
      <c r="F1337" s="1" t="s">
        <v>1164</v>
      </c>
      <c r="G1337" s="4" t="s">
        <v>11</v>
      </c>
      <c r="H1337" s="28">
        <v>43799</v>
      </c>
      <c r="I1337" s="29">
        <f t="shared" si="1491"/>
        <v>2019</v>
      </c>
      <c r="J1337" s="1" t="s">
        <v>71</v>
      </c>
      <c r="K1337" s="1" t="s">
        <v>7</v>
      </c>
      <c r="L1337" s="11" t="str">
        <f t="shared" si="1727"/>
        <v>НЕТ</v>
      </c>
      <c r="M1337" s="10">
        <v>22</v>
      </c>
      <c r="N1337" s="10" t="s">
        <v>1575</v>
      </c>
      <c r="O1337" s="10">
        <f>M1337*61.9057/1000</f>
        <v>1.3619254000000001</v>
      </c>
      <c r="P1337" s="10" t="str">
        <f t="shared" si="1532"/>
        <v>NA</v>
      </c>
      <c r="Q1337" s="10" t="str">
        <f t="shared" si="1533"/>
        <v>NA</v>
      </c>
      <c r="R1337" s="10" t="s">
        <v>1575</v>
      </c>
      <c r="S1337" s="10" t="s">
        <v>1575</v>
      </c>
      <c r="T1337" s="10" t="s">
        <v>1575</v>
      </c>
      <c r="U1337" s="10" t="s">
        <v>1575</v>
      </c>
      <c r="V1337" s="10" t="s">
        <v>1575</v>
      </c>
      <c r="W1337" s="10" t="s">
        <v>1575</v>
      </c>
      <c r="X1337" s="10" t="str">
        <f t="shared" si="1425"/>
        <v>NA</v>
      </c>
      <c r="Y1337" s="10" t="str">
        <f t="shared" si="1426"/>
        <v>NA</v>
      </c>
      <c r="Z1337" s="10" t="str">
        <f t="shared" si="1427"/>
        <v>NA</v>
      </c>
      <c r="AA1337" s="10" t="str">
        <f t="shared" si="1428"/>
        <v>NA</v>
      </c>
      <c r="AB1337" s="10" t="str">
        <f t="shared" si="1429"/>
        <v>NA</v>
      </c>
      <c r="AC1337" s="10" t="str">
        <f t="shared" si="1430"/>
        <v>NA</v>
      </c>
      <c r="AD1337" s="10" t="str">
        <f t="shared" si="1431"/>
        <v>NA</v>
      </c>
      <c r="AE1337" s="10" t="str">
        <f t="shared" si="1432"/>
        <v>NA</v>
      </c>
      <c r="AF1337" s="1" t="s">
        <v>1165</v>
      </c>
    </row>
    <row r="1338" spans="1:32" x14ac:dyDescent="0.2">
      <c r="A1338" s="1" t="s">
        <v>5913</v>
      </c>
      <c r="B1338" s="1" t="s">
        <v>91</v>
      </c>
      <c r="C1338" s="1" t="s">
        <v>1575</v>
      </c>
      <c r="D1338" s="1" t="s">
        <v>1615</v>
      </c>
      <c r="E1338" s="1" t="s">
        <v>2176</v>
      </c>
      <c r="F1338" s="1" t="s">
        <v>1162</v>
      </c>
      <c r="G1338" s="4">
        <v>1</v>
      </c>
      <c r="H1338" s="28">
        <v>43784</v>
      </c>
      <c r="I1338" s="29">
        <f t="shared" si="1491"/>
        <v>2019</v>
      </c>
      <c r="J1338" s="1" t="s">
        <v>7</v>
      </c>
      <c r="K1338" s="1" t="s">
        <v>71</v>
      </c>
      <c r="L1338" s="11" t="str">
        <f t="shared" si="1727"/>
        <v>НЕТ</v>
      </c>
      <c r="M1338" s="10">
        <v>8</v>
      </c>
      <c r="N1338" s="10" t="s">
        <v>1575</v>
      </c>
      <c r="O1338" s="10">
        <f>M1338*64.4156/1000</f>
        <v>0.51532480000000003</v>
      </c>
      <c r="P1338" s="10">
        <f t="shared" si="1532"/>
        <v>0.51532480000000003</v>
      </c>
      <c r="Q1338" s="10" t="str">
        <f t="shared" si="1533"/>
        <v>NA</v>
      </c>
      <c r="R1338" s="10" t="s">
        <v>1575</v>
      </c>
      <c r="S1338" s="10" t="s">
        <v>1575</v>
      </c>
      <c r="T1338" s="10" t="s">
        <v>1575</v>
      </c>
      <c r="U1338" s="10" t="s">
        <v>1575</v>
      </c>
      <c r="V1338" s="10" t="s">
        <v>1575</v>
      </c>
      <c r="W1338" s="10" t="s">
        <v>1575</v>
      </c>
      <c r="X1338" s="10" t="str">
        <f t="shared" si="1425"/>
        <v>NA</v>
      </c>
      <c r="Y1338" s="10" t="str">
        <f t="shared" si="1426"/>
        <v>NA</v>
      </c>
      <c r="Z1338" s="10" t="str">
        <f t="shared" si="1427"/>
        <v>NA</v>
      </c>
      <c r="AA1338" s="10" t="str">
        <f t="shared" si="1428"/>
        <v>NA</v>
      </c>
      <c r="AB1338" s="10" t="str">
        <f t="shared" si="1429"/>
        <v>NA</v>
      </c>
      <c r="AC1338" s="10" t="str">
        <f t="shared" si="1430"/>
        <v>NA</v>
      </c>
      <c r="AD1338" s="10" t="str">
        <f t="shared" si="1431"/>
        <v>NA</v>
      </c>
      <c r="AE1338" s="10" t="str">
        <f t="shared" si="1432"/>
        <v>NA</v>
      </c>
      <c r="AF1338" s="1" t="s">
        <v>1161</v>
      </c>
    </row>
    <row r="1339" spans="1:32" x14ac:dyDescent="0.2">
      <c r="A1339" s="1" t="s">
        <v>1158</v>
      </c>
      <c r="B1339" s="1" t="s">
        <v>75</v>
      </c>
      <c r="C1339" s="1" t="s">
        <v>1575</v>
      </c>
      <c r="D1339" s="1" t="s">
        <v>1600</v>
      </c>
      <c r="E1339" s="1" t="s">
        <v>3386</v>
      </c>
      <c r="F1339" s="1" t="s">
        <v>1159</v>
      </c>
      <c r="G1339" s="4">
        <v>1</v>
      </c>
      <c r="H1339" s="28">
        <v>43749</v>
      </c>
      <c r="I1339" s="29">
        <f t="shared" si="1491"/>
        <v>2019</v>
      </c>
      <c r="J1339" s="1" t="s">
        <v>7</v>
      </c>
      <c r="K1339" s="1" t="s">
        <v>71</v>
      </c>
      <c r="L1339" s="11" t="str">
        <f t="shared" si="1727"/>
        <v>НЕТ</v>
      </c>
      <c r="M1339" s="10">
        <v>9.9999999999999995E-7</v>
      </c>
      <c r="N1339" s="10" t="s">
        <v>1575</v>
      </c>
      <c r="O1339" s="10">
        <f>M1339*64.4156/1000</f>
        <v>6.4415600000000004E-8</v>
      </c>
      <c r="P1339" s="10">
        <f t="shared" si="1532"/>
        <v>6.4415600000000004E-8</v>
      </c>
      <c r="Q1339" s="10" t="str">
        <f t="shared" si="1533"/>
        <v>NA</v>
      </c>
      <c r="R1339" s="10" t="s">
        <v>1575</v>
      </c>
      <c r="S1339" s="10" t="s">
        <v>1575</v>
      </c>
      <c r="T1339" s="10" t="s">
        <v>1575</v>
      </c>
      <c r="U1339" s="10" t="s">
        <v>1575</v>
      </c>
      <c r="V1339" s="10" t="s">
        <v>1575</v>
      </c>
      <c r="W1339" s="10" t="s">
        <v>1575</v>
      </c>
      <c r="X1339" s="10" t="str">
        <f t="shared" si="1425"/>
        <v>NA</v>
      </c>
      <c r="Y1339" s="10" t="str">
        <f t="shared" si="1426"/>
        <v>NA</v>
      </c>
      <c r="Z1339" s="10" t="str">
        <f t="shared" si="1427"/>
        <v>NA</v>
      </c>
      <c r="AA1339" s="10" t="str">
        <f t="shared" si="1428"/>
        <v>NA</v>
      </c>
      <c r="AB1339" s="10" t="str">
        <f t="shared" si="1429"/>
        <v>NA</v>
      </c>
      <c r="AC1339" s="10" t="str">
        <f t="shared" si="1430"/>
        <v>NA</v>
      </c>
      <c r="AD1339" s="10" t="str">
        <f t="shared" si="1431"/>
        <v>NA</v>
      </c>
      <c r="AE1339" s="10" t="str">
        <f t="shared" si="1432"/>
        <v>NA</v>
      </c>
      <c r="AF1339" s="1" t="s">
        <v>1171</v>
      </c>
    </row>
    <row r="1340" spans="1:32" x14ac:dyDescent="0.2">
      <c r="A1340" s="1" t="s">
        <v>5296</v>
      </c>
      <c r="B1340" s="1" t="s">
        <v>5</v>
      </c>
      <c r="C1340" s="1" t="s">
        <v>1575</v>
      </c>
      <c r="D1340" s="1" t="s">
        <v>1600</v>
      </c>
      <c r="E1340" s="1" t="s">
        <v>3386</v>
      </c>
      <c r="F1340" s="1" t="s">
        <v>5297</v>
      </c>
      <c r="G1340" s="4">
        <v>1</v>
      </c>
      <c r="H1340" s="28">
        <v>43799</v>
      </c>
      <c r="I1340" s="29">
        <f t="shared" si="1491"/>
        <v>2019</v>
      </c>
      <c r="J1340" s="1" t="s">
        <v>71</v>
      </c>
      <c r="K1340" s="1" t="s">
        <v>7</v>
      </c>
      <c r="L1340" s="11" t="str">
        <f t="shared" ref="L1340" si="1728">IF(OR(A1340=J1340,A1340=K1340),"ДА","НЕТ")</f>
        <v>НЕТ</v>
      </c>
      <c r="M1340" s="10">
        <v>3</v>
      </c>
      <c r="N1340" s="10" t="s">
        <v>1575</v>
      </c>
      <c r="O1340" s="10">
        <f>M1340*61.9057/1000</f>
        <v>0.18571710000000002</v>
      </c>
      <c r="P1340" s="10">
        <f t="shared" si="1532"/>
        <v>0.18571710000000002</v>
      </c>
      <c r="Q1340" s="10" t="str">
        <f t="shared" si="1533"/>
        <v>NA</v>
      </c>
      <c r="R1340" s="10" t="s">
        <v>1575</v>
      </c>
      <c r="S1340" s="10" t="s">
        <v>1575</v>
      </c>
      <c r="T1340" s="10" t="s">
        <v>1575</v>
      </c>
      <c r="U1340" s="10" t="s">
        <v>1575</v>
      </c>
      <c r="V1340" s="10" t="s">
        <v>1575</v>
      </c>
      <c r="W1340" s="10" t="s">
        <v>1575</v>
      </c>
      <c r="X1340" s="10" t="str">
        <f t="shared" ref="X1340" si="1729">IFERROR(V1340+W1340,"NA")</f>
        <v>NA</v>
      </c>
      <c r="Y1340" s="10" t="str">
        <f t="shared" ref="Y1340" si="1730">IFERROR(P1340/R1340,"NA")</f>
        <v>NA</v>
      </c>
      <c r="Z1340" s="10" t="str">
        <f t="shared" ref="Z1340" si="1731">IFERROR(P1340/U1340,"NA")</f>
        <v>NA</v>
      </c>
      <c r="AA1340" s="10" t="str">
        <f t="shared" ref="AA1340" si="1732">IFERROR(P1340/V1340,"NA")</f>
        <v>NA</v>
      </c>
      <c r="AB1340" s="10" t="str">
        <f t="shared" ref="AB1340" si="1733">IFERROR(Q1340/R1340,"NA")</f>
        <v>NA</v>
      </c>
      <c r="AC1340" s="10" t="str">
        <f t="shared" ref="AC1340" si="1734">IFERROR(Q1340/S1340,"NA")</f>
        <v>NA</v>
      </c>
      <c r="AD1340" s="10" t="str">
        <f t="shared" ref="AD1340" si="1735">IFERROR(Q1340/T1340,"NA")</f>
        <v>NA</v>
      </c>
      <c r="AE1340" s="10" t="str">
        <f t="shared" ref="AE1340" si="1736">IFERROR(Q1340/X1340,"NA")</f>
        <v>NA</v>
      </c>
      <c r="AF1340" s="1" t="s">
        <v>5295</v>
      </c>
    </row>
    <row r="1341" spans="1:32" x14ac:dyDescent="0.2">
      <c r="A1341" s="1" t="s">
        <v>1177</v>
      </c>
      <c r="B1341" s="1" t="s">
        <v>5</v>
      </c>
      <c r="C1341" s="1" t="s">
        <v>1686</v>
      </c>
      <c r="D1341" s="1" t="s">
        <v>1600</v>
      </c>
      <c r="E1341" s="1" t="s">
        <v>1659</v>
      </c>
      <c r="F1341" s="1" t="s">
        <v>118</v>
      </c>
      <c r="G1341" s="4">
        <v>1.89E-2</v>
      </c>
      <c r="H1341" s="28">
        <v>43465</v>
      </c>
      <c r="I1341" s="29">
        <f t="shared" ref="I1341" si="1737">YEAR(H1341)</f>
        <v>2018</v>
      </c>
      <c r="J1341" s="1" t="s">
        <v>71</v>
      </c>
      <c r="K1341" s="1" t="s">
        <v>7</v>
      </c>
      <c r="L1341" s="11" t="str">
        <f t="shared" si="1727"/>
        <v>НЕТ</v>
      </c>
      <c r="M1341" s="10">
        <v>24</v>
      </c>
      <c r="N1341" s="10" t="s">
        <v>1575</v>
      </c>
      <c r="O1341" s="10">
        <f>M1341*69.4706/1000</f>
        <v>1.6672944000000003</v>
      </c>
      <c r="P1341" s="10">
        <f t="shared" si="1532"/>
        <v>88.216634920634931</v>
      </c>
      <c r="Q1341" s="10">
        <f t="shared" si="1533"/>
        <v>70.779634920634933</v>
      </c>
      <c r="R1341" s="10">
        <v>67.992000000000004</v>
      </c>
      <c r="S1341" s="10">
        <v>37.919999999999995</v>
      </c>
      <c r="T1341" s="10">
        <v>34.900999999999996</v>
      </c>
      <c r="U1341" s="10">
        <v>27.962</v>
      </c>
      <c r="V1341" s="10">
        <v>66.105999999999995</v>
      </c>
      <c r="W1341" s="10">
        <v>-17.436999999999998</v>
      </c>
      <c r="X1341" s="10">
        <f t="shared" si="1425"/>
        <v>48.668999999999997</v>
      </c>
      <c r="Y1341" s="10">
        <f t="shared" si="1426"/>
        <v>1.2974560966089381</v>
      </c>
      <c r="Z1341" s="10">
        <f t="shared" si="1427"/>
        <v>3.1548757213588061</v>
      </c>
      <c r="AA1341" s="10">
        <f t="shared" si="1428"/>
        <v>1.3344724370047338</v>
      </c>
      <c r="AB1341" s="10">
        <f t="shared" si="1429"/>
        <v>1.0409994546510608</v>
      </c>
      <c r="AC1341" s="10">
        <f t="shared" si="1430"/>
        <v>1.8665515538142126</v>
      </c>
      <c r="AD1341" s="10">
        <f t="shared" si="1431"/>
        <v>2.0280116592829702</v>
      </c>
      <c r="AE1341" s="10">
        <f t="shared" si="1432"/>
        <v>1.4543063329970811</v>
      </c>
      <c r="AF1341" s="1" t="s">
        <v>1180</v>
      </c>
    </row>
    <row r="1342" spans="1:32" x14ac:dyDescent="0.2">
      <c r="A1342" s="1" t="s">
        <v>5914</v>
      </c>
      <c r="B1342" s="1" t="s">
        <v>91</v>
      </c>
      <c r="C1342" s="1" t="s">
        <v>1575</v>
      </c>
      <c r="D1342" s="1" t="s">
        <v>1600</v>
      </c>
      <c r="E1342" s="1" t="s">
        <v>2050</v>
      </c>
      <c r="F1342" s="1" t="s">
        <v>120</v>
      </c>
      <c r="G1342" s="4">
        <v>0.97729999999999995</v>
      </c>
      <c r="H1342" s="28">
        <v>43165</v>
      </c>
      <c r="I1342" s="29">
        <f t="shared" si="1491"/>
        <v>2018</v>
      </c>
      <c r="J1342" s="1" t="s">
        <v>7</v>
      </c>
      <c r="K1342" s="1" t="s">
        <v>71</v>
      </c>
      <c r="L1342" s="11" t="str">
        <f t="shared" si="1727"/>
        <v>НЕТ</v>
      </c>
      <c r="M1342" s="10">
        <v>35</v>
      </c>
      <c r="N1342" s="10" t="s">
        <v>1575</v>
      </c>
      <c r="O1342" s="10">
        <f>M1342*57.2649/1000</f>
        <v>2.0042714999999998</v>
      </c>
      <c r="P1342" s="10">
        <f t="shared" si="1532"/>
        <v>2.0508252327842014</v>
      </c>
      <c r="Q1342" s="10" t="str">
        <f t="shared" si="1533"/>
        <v>NA</v>
      </c>
      <c r="R1342" s="10" t="s">
        <v>1575</v>
      </c>
      <c r="S1342" s="10" t="s">
        <v>1575</v>
      </c>
      <c r="T1342" s="10" t="s">
        <v>1575</v>
      </c>
      <c r="U1342" s="10" t="s">
        <v>1575</v>
      </c>
      <c r="V1342" s="10" t="s">
        <v>1575</v>
      </c>
      <c r="W1342" s="10" t="s">
        <v>1575</v>
      </c>
      <c r="X1342" s="10" t="str">
        <f t="shared" si="1425"/>
        <v>NA</v>
      </c>
      <c r="Y1342" s="10" t="str">
        <f t="shared" si="1426"/>
        <v>NA</v>
      </c>
      <c r="Z1342" s="10" t="str">
        <f t="shared" si="1427"/>
        <v>NA</v>
      </c>
      <c r="AA1342" s="10" t="str">
        <f t="shared" si="1428"/>
        <v>NA</v>
      </c>
      <c r="AB1342" s="10" t="str">
        <f t="shared" si="1429"/>
        <v>NA</v>
      </c>
      <c r="AC1342" s="10" t="str">
        <f t="shared" si="1430"/>
        <v>NA</v>
      </c>
      <c r="AD1342" s="10" t="str">
        <f t="shared" si="1431"/>
        <v>NA</v>
      </c>
      <c r="AE1342" s="10" t="str">
        <f t="shared" si="1432"/>
        <v>NA</v>
      </c>
      <c r="AF1342" s="1" t="s">
        <v>1176</v>
      </c>
    </row>
    <row r="1343" spans="1:32" x14ac:dyDescent="0.2">
      <c r="A1343" s="1" t="s">
        <v>5291</v>
      </c>
      <c r="B1343" s="1" t="s">
        <v>75</v>
      </c>
      <c r="C1343" s="1" t="s">
        <v>1575</v>
      </c>
      <c r="D1343" s="1" t="s">
        <v>1600</v>
      </c>
      <c r="E1343" s="1" t="s">
        <v>3386</v>
      </c>
      <c r="F1343" s="1" t="s">
        <v>1159</v>
      </c>
      <c r="G1343" s="4">
        <v>0.78759999999999997</v>
      </c>
      <c r="H1343" s="28">
        <v>42831</v>
      </c>
      <c r="I1343" s="29">
        <f t="shared" si="1491"/>
        <v>2017</v>
      </c>
      <c r="J1343" s="1" t="s">
        <v>7</v>
      </c>
      <c r="K1343" s="1" t="s">
        <v>71</v>
      </c>
      <c r="L1343" s="11" t="str">
        <f t="shared" si="1727"/>
        <v>НЕТ</v>
      </c>
      <c r="M1343" s="10">
        <v>16</v>
      </c>
      <c r="N1343" s="10" t="s">
        <v>1575</v>
      </c>
      <c r="O1343" s="10">
        <f>M1343*56.3779/1000</f>
        <v>0.90204639999999991</v>
      </c>
      <c r="P1343" s="10">
        <f t="shared" si="1532"/>
        <v>1.1453103098019299</v>
      </c>
      <c r="Q1343" s="10" t="str">
        <f t="shared" si="1533"/>
        <v>NA</v>
      </c>
      <c r="R1343" s="10" t="s">
        <v>1575</v>
      </c>
      <c r="S1343" s="10" t="s">
        <v>1575</v>
      </c>
      <c r="T1343" s="10" t="s">
        <v>1575</v>
      </c>
      <c r="U1343" s="10" t="s">
        <v>1575</v>
      </c>
      <c r="V1343" s="10" t="s">
        <v>1575</v>
      </c>
      <c r="W1343" s="10" t="s">
        <v>1575</v>
      </c>
      <c r="X1343" s="10" t="str">
        <f t="shared" si="1425"/>
        <v>NA</v>
      </c>
      <c r="Y1343" s="10" t="str">
        <f t="shared" si="1426"/>
        <v>NA</v>
      </c>
      <c r="Z1343" s="10" t="str">
        <f t="shared" si="1427"/>
        <v>NA</v>
      </c>
      <c r="AA1343" s="10" t="str">
        <f t="shared" si="1428"/>
        <v>NA</v>
      </c>
      <c r="AB1343" s="10" t="str">
        <f t="shared" si="1429"/>
        <v>NA</v>
      </c>
      <c r="AC1343" s="10" t="str">
        <f t="shared" si="1430"/>
        <v>NA</v>
      </c>
      <c r="AD1343" s="10" t="str">
        <f t="shared" si="1431"/>
        <v>NA</v>
      </c>
      <c r="AE1343" s="10" t="str">
        <f t="shared" si="1432"/>
        <v>NA</v>
      </c>
      <c r="AF1343" s="1" t="s">
        <v>5294</v>
      </c>
    </row>
    <row r="1344" spans="1:32" x14ac:dyDescent="0.2">
      <c r="A1344" s="1" t="s">
        <v>1181</v>
      </c>
      <c r="B1344" s="1" t="s">
        <v>94</v>
      </c>
      <c r="C1344" s="1" t="s">
        <v>1575</v>
      </c>
      <c r="D1344" s="1" t="s">
        <v>1597</v>
      </c>
      <c r="E1344" s="1" t="s">
        <v>1598</v>
      </c>
      <c r="F1344" s="1" t="s">
        <v>6</v>
      </c>
      <c r="G1344" s="4" t="s">
        <v>11</v>
      </c>
      <c r="H1344" s="28">
        <v>42916</v>
      </c>
      <c r="I1344" s="29">
        <f t="shared" si="1491"/>
        <v>2017</v>
      </c>
      <c r="J1344" s="1" t="s">
        <v>71</v>
      </c>
      <c r="K1344" s="1" t="s">
        <v>7</v>
      </c>
      <c r="L1344" s="11" t="str">
        <f t="shared" si="1727"/>
        <v>НЕТ</v>
      </c>
      <c r="M1344" s="10">
        <v>5</v>
      </c>
      <c r="N1344" s="10" t="s">
        <v>1575</v>
      </c>
      <c r="O1344" s="10">
        <f>M1344*59.0855/1000</f>
        <v>0.29542750000000001</v>
      </c>
      <c r="P1344" s="10" t="str">
        <f t="shared" si="1532"/>
        <v>NA</v>
      </c>
      <c r="Q1344" s="10" t="str">
        <f t="shared" si="1533"/>
        <v>NA</v>
      </c>
      <c r="R1344" s="10" t="s">
        <v>1575</v>
      </c>
      <c r="S1344" s="10" t="s">
        <v>1575</v>
      </c>
      <c r="T1344" s="10" t="s">
        <v>1575</v>
      </c>
      <c r="U1344" s="10" t="s">
        <v>1575</v>
      </c>
      <c r="V1344" s="10" t="s">
        <v>1575</v>
      </c>
      <c r="W1344" s="10" t="s">
        <v>1575</v>
      </c>
      <c r="X1344" s="10" t="str">
        <f t="shared" si="1425"/>
        <v>NA</v>
      </c>
      <c r="Y1344" s="10" t="str">
        <f t="shared" si="1426"/>
        <v>NA</v>
      </c>
      <c r="Z1344" s="10" t="str">
        <f t="shared" si="1427"/>
        <v>NA</v>
      </c>
      <c r="AA1344" s="10" t="str">
        <f t="shared" si="1428"/>
        <v>NA</v>
      </c>
      <c r="AB1344" s="10" t="str">
        <f t="shared" si="1429"/>
        <v>NA</v>
      </c>
      <c r="AC1344" s="10" t="str">
        <f t="shared" si="1430"/>
        <v>NA</v>
      </c>
      <c r="AD1344" s="10" t="str">
        <f t="shared" si="1431"/>
        <v>NA</v>
      </c>
      <c r="AE1344" s="10" t="str">
        <f t="shared" si="1432"/>
        <v>NA</v>
      </c>
      <c r="AF1344" s="1" t="s">
        <v>1182</v>
      </c>
    </row>
    <row r="1345" spans="1:32" x14ac:dyDescent="0.2">
      <c r="A1345" s="1" t="s">
        <v>5915</v>
      </c>
      <c r="B1345" s="1" t="s">
        <v>91</v>
      </c>
      <c r="C1345" s="1" t="s">
        <v>1575</v>
      </c>
      <c r="D1345" s="1" t="s">
        <v>1600</v>
      </c>
      <c r="E1345" s="1" t="s">
        <v>1671</v>
      </c>
      <c r="F1345" s="1" t="s">
        <v>72</v>
      </c>
      <c r="G1345" s="4">
        <v>0.99419999999999997</v>
      </c>
      <c r="H1345" s="28">
        <v>42887</v>
      </c>
      <c r="I1345" s="29">
        <f t="shared" si="1491"/>
        <v>2017</v>
      </c>
      <c r="J1345" s="1" t="s">
        <v>7</v>
      </c>
      <c r="K1345" s="1" t="s">
        <v>71</v>
      </c>
      <c r="L1345" s="11" t="str">
        <f t="shared" si="1727"/>
        <v>НЕТ</v>
      </c>
      <c r="M1345" s="10">
        <v>109</v>
      </c>
      <c r="N1345" s="10" t="s">
        <v>1575</v>
      </c>
      <c r="O1345" s="10">
        <f>M1345*59.0855/1000</f>
        <v>6.4403195000000002</v>
      </c>
      <c r="P1345" s="10">
        <f t="shared" si="1532"/>
        <v>6.4778912693623019</v>
      </c>
      <c r="Q1345" s="10" t="str">
        <f t="shared" si="1533"/>
        <v>NA</v>
      </c>
      <c r="R1345" s="10" t="s">
        <v>1575</v>
      </c>
      <c r="S1345" s="10" t="s">
        <v>1575</v>
      </c>
      <c r="T1345" s="10" t="s">
        <v>1575</v>
      </c>
      <c r="U1345" s="10" t="s">
        <v>1575</v>
      </c>
      <c r="V1345" s="10" t="s">
        <v>1575</v>
      </c>
      <c r="W1345" s="10" t="s">
        <v>1575</v>
      </c>
      <c r="X1345" s="10" t="str">
        <f t="shared" si="1425"/>
        <v>NA</v>
      </c>
      <c r="Y1345" s="10" t="str">
        <f t="shared" si="1426"/>
        <v>NA</v>
      </c>
      <c r="Z1345" s="10" t="str">
        <f t="shared" si="1427"/>
        <v>NA</v>
      </c>
      <c r="AA1345" s="10" t="str">
        <f t="shared" si="1428"/>
        <v>NA</v>
      </c>
      <c r="AB1345" s="10" t="str">
        <f t="shared" si="1429"/>
        <v>NA</v>
      </c>
      <c r="AC1345" s="10" t="str">
        <f t="shared" si="1430"/>
        <v>NA</v>
      </c>
      <c r="AD1345" s="10" t="str">
        <f t="shared" si="1431"/>
        <v>NA</v>
      </c>
      <c r="AE1345" s="10" t="str">
        <f t="shared" si="1432"/>
        <v>NA</v>
      </c>
      <c r="AF1345" s="1" t="s">
        <v>1170</v>
      </c>
    </row>
    <row r="1346" spans="1:32" x14ac:dyDescent="0.2">
      <c r="A1346" s="1" t="s">
        <v>5916</v>
      </c>
      <c r="B1346" s="1" t="s">
        <v>5</v>
      </c>
      <c r="C1346" s="1" t="s">
        <v>1575</v>
      </c>
      <c r="D1346" s="1" t="s">
        <v>1615</v>
      </c>
      <c r="E1346" s="1" t="s">
        <v>1616</v>
      </c>
      <c r="F1346" s="1" t="s">
        <v>1172</v>
      </c>
      <c r="G1346" s="4">
        <v>1</v>
      </c>
      <c r="H1346" s="28">
        <v>42901</v>
      </c>
      <c r="I1346" s="29">
        <f t="shared" si="1491"/>
        <v>2017</v>
      </c>
      <c r="J1346" s="1" t="s">
        <v>1168</v>
      </c>
      <c r="K1346" s="1" t="s">
        <v>71</v>
      </c>
      <c r="L1346" s="11" t="str">
        <f t="shared" si="1727"/>
        <v>НЕТ</v>
      </c>
      <c r="M1346" s="10">
        <v>332</v>
      </c>
      <c r="N1346" s="10" t="s">
        <v>1575</v>
      </c>
      <c r="O1346" s="10">
        <f>M1346*59.0855/1000</f>
        <v>19.616386000000002</v>
      </c>
      <c r="P1346" s="10">
        <f t="shared" si="1532"/>
        <v>19.616386000000002</v>
      </c>
      <c r="Q1346" s="10" t="str">
        <f t="shared" si="1533"/>
        <v>NA</v>
      </c>
      <c r="R1346" s="10" t="s">
        <v>1575</v>
      </c>
      <c r="S1346" s="10" t="s">
        <v>1575</v>
      </c>
      <c r="T1346" s="10" t="s">
        <v>1575</v>
      </c>
      <c r="U1346" s="10" t="s">
        <v>1575</v>
      </c>
      <c r="V1346" s="10" t="s">
        <v>1575</v>
      </c>
      <c r="W1346" s="10" t="s">
        <v>1575</v>
      </c>
      <c r="X1346" s="10" t="str">
        <f t="shared" si="1425"/>
        <v>NA</v>
      </c>
      <c r="Y1346" s="10" t="str">
        <f t="shared" si="1426"/>
        <v>NA</v>
      </c>
      <c r="Z1346" s="10" t="str">
        <f t="shared" si="1427"/>
        <v>NA</v>
      </c>
      <c r="AA1346" s="10" t="str">
        <f t="shared" si="1428"/>
        <v>NA</v>
      </c>
      <c r="AB1346" s="10" t="str">
        <f t="shared" si="1429"/>
        <v>NA</v>
      </c>
      <c r="AC1346" s="10" t="str">
        <f t="shared" si="1430"/>
        <v>NA</v>
      </c>
      <c r="AD1346" s="10" t="str">
        <f t="shared" si="1431"/>
        <v>NA</v>
      </c>
      <c r="AE1346" s="10" t="str">
        <f t="shared" si="1432"/>
        <v>NA</v>
      </c>
      <c r="AF1346" s="1" t="s">
        <v>1169</v>
      </c>
    </row>
    <row r="1347" spans="1:32" x14ac:dyDescent="0.2">
      <c r="A1347" s="1" t="s">
        <v>5917</v>
      </c>
      <c r="B1347" s="1" t="s">
        <v>91</v>
      </c>
      <c r="C1347" s="1" t="s">
        <v>1575</v>
      </c>
      <c r="D1347" s="1" t="s">
        <v>1600</v>
      </c>
      <c r="E1347" s="1" t="s">
        <v>2991</v>
      </c>
      <c r="F1347" s="1" t="s">
        <v>1173</v>
      </c>
      <c r="G1347" s="4">
        <v>0.9496</v>
      </c>
      <c r="H1347" s="28">
        <v>43088</v>
      </c>
      <c r="I1347" s="29">
        <f t="shared" si="1491"/>
        <v>2017</v>
      </c>
      <c r="J1347" s="1" t="s">
        <v>7</v>
      </c>
      <c r="K1347" s="1" t="s">
        <v>71</v>
      </c>
      <c r="L1347" s="11" t="str">
        <f t="shared" si="1727"/>
        <v>НЕТ</v>
      </c>
      <c r="M1347" s="10">
        <v>63</v>
      </c>
      <c r="N1347" s="10" t="s">
        <v>1575</v>
      </c>
      <c r="O1347" s="10">
        <f>M1347*57.6002/1000</f>
        <v>3.6288126000000003</v>
      </c>
      <c r="P1347" s="10">
        <f t="shared" ref="P1347:P1410" si="1738">IFERROR(O1347/G1347,"NA")</f>
        <v>3.8214117523167652</v>
      </c>
      <c r="Q1347" s="10" t="str">
        <f t="shared" ref="Q1347:Q1410" si="1739">IFERROR(P1347+W1347,"NA")</f>
        <v>NA</v>
      </c>
      <c r="R1347" s="10" t="s">
        <v>1575</v>
      </c>
      <c r="S1347" s="10" t="s">
        <v>1575</v>
      </c>
      <c r="T1347" s="10" t="s">
        <v>1575</v>
      </c>
      <c r="U1347" s="10" t="s">
        <v>1575</v>
      </c>
      <c r="V1347" s="10" t="s">
        <v>1575</v>
      </c>
      <c r="W1347" s="10" t="s">
        <v>1575</v>
      </c>
      <c r="X1347" s="10" t="str">
        <f t="shared" si="1425"/>
        <v>NA</v>
      </c>
      <c r="Y1347" s="10" t="str">
        <f t="shared" si="1426"/>
        <v>NA</v>
      </c>
      <c r="Z1347" s="10" t="str">
        <f t="shared" si="1427"/>
        <v>NA</v>
      </c>
      <c r="AA1347" s="10" t="str">
        <f t="shared" si="1428"/>
        <v>NA</v>
      </c>
      <c r="AB1347" s="10" t="str">
        <f t="shared" si="1429"/>
        <v>NA</v>
      </c>
      <c r="AC1347" s="10" t="str">
        <f t="shared" si="1430"/>
        <v>NA</v>
      </c>
      <c r="AD1347" s="10" t="str">
        <f t="shared" si="1431"/>
        <v>NA</v>
      </c>
      <c r="AE1347" s="10" t="str">
        <f t="shared" si="1432"/>
        <v>NA</v>
      </c>
      <c r="AF1347" s="1" t="s">
        <v>1174</v>
      </c>
    </row>
    <row r="1348" spans="1:32" x14ac:dyDescent="0.2">
      <c r="A1348" s="1" t="s">
        <v>71</v>
      </c>
      <c r="B1348" s="1" t="s">
        <v>122</v>
      </c>
      <c r="C1348" s="1" t="s">
        <v>1575</v>
      </c>
      <c r="D1348" s="1" t="s">
        <v>1600</v>
      </c>
      <c r="E1348" s="1" t="s">
        <v>1696</v>
      </c>
      <c r="F1348" s="1" t="s">
        <v>120</v>
      </c>
      <c r="G1348" s="4">
        <f>108458508/1408046045</f>
        <v>7.7027671350051619E-2</v>
      </c>
      <c r="H1348" s="28">
        <v>42369</v>
      </c>
      <c r="I1348" s="29">
        <f t="shared" si="1491"/>
        <v>2015</v>
      </c>
      <c r="J1348" s="1" t="s">
        <v>71</v>
      </c>
      <c r="K1348" s="1" t="s">
        <v>7</v>
      </c>
      <c r="L1348" s="11" t="str">
        <f t="shared" si="1727"/>
        <v>ДА</v>
      </c>
      <c r="M1348" s="10">
        <v>336</v>
      </c>
      <c r="N1348" s="10" t="s">
        <v>1575</v>
      </c>
      <c r="O1348" s="10">
        <f>M1348*72.8827/1000</f>
        <v>24.488587200000001</v>
      </c>
      <c r="P1348" s="10">
        <f t="shared" si="1738"/>
        <v>317.91934990104812</v>
      </c>
      <c r="Q1348" s="10">
        <f t="shared" si="1739"/>
        <v>723.60134990104814</v>
      </c>
      <c r="R1348" s="10">
        <v>815.65200000000004</v>
      </c>
      <c r="S1348" s="10">
        <v>348.71000000000004</v>
      </c>
      <c r="T1348" s="10">
        <v>229.94300000000001</v>
      </c>
      <c r="U1348" s="10">
        <v>143.42699999999999</v>
      </c>
      <c r="V1348" s="10">
        <v>1487.9559999999999</v>
      </c>
      <c r="W1348" s="10">
        <v>405.68200000000002</v>
      </c>
      <c r="X1348" s="10">
        <f t="shared" si="1425"/>
        <v>1893.6379999999999</v>
      </c>
      <c r="Y1348" s="10">
        <f t="shared" si="1426"/>
        <v>0.3897732732844989</v>
      </c>
      <c r="Z1348" s="10">
        <f t="shared" si="1427"/>
        <v>2.2165934580033615</v>
      </c>
      <c r="AA1348" s="10">
        <f t="shared" si="1428"/>
        <v>0.21366179504034269</v>
      </c>
      <c r="AB1348" s="10">
        <f t="shared" si="1429"/>
        <v>0.88714470129546441</v>
      </c>
      <c r="AC1348" s="10">
        <f t="shared" si="1430"/>
        <v>2.0750805824353993</v>
      </c>
      <c r="AD1348" s="10">
        <f t="shared" si="1431"/>
        <v>3.1468727028048171</v>
      </c>
      <c r="AE1348" s="10">
        <f t="shared" si="1432"/>
        <v>0.38212232216561359</v>
      </c>
      <c r="AF1348" s="1" t="s">
        <v>5293</v>
      </c>
    </row>
    <row r="1349" spans="1:32" x14ac:dyDescent="0.2">
      <c r="A1349" s="1" t="s">
        <v>5298</v>
      </c>
      <c r="B1349" s="1" t="s">
        <v>75</v>
      </c>
      <c r="C1349" s="1" t="s">
        <v>1575</v>
      </c>
      <c r="D1349" s="1" t="s">
        <v>1600</v>
      </c>
      <c r="E1349" s="1" t="s">
        <v>2048</v>
      </c>
      <c r="F1349" s="1" t="s">
        <v>235</v>
      </c>
      <c r="G1349" s="4" t="s">
        <v>11</v>
      </c>
      <c r="H1349" s="28">
        <v>42369</v>
      </c>
      <c r="I1349" s="29">
        <f t="shared" si="1491"/>
        <v>2015</v>
      </c>
      <c r="J1349" s="1" t="s">
        <v>7</v>
      </c>
      <c r="K1349" s="1" t="s">
        <v>71</v>
      </c>
      <c r="L1349" s="11" t="str">
        <f t="shared" si="1727"/>
        <v>НЕТ</v>
      </c>
      <c r="M1349" s="10">
        <v>51</v>
      </c>
      <c r="N1349" s="10" t="s">
        <v>1575</v>
      </c>
      <c r="O1349" s="10">
        <f>M1349*72.8827/1000</f>
        <v>3.7170177</v>
      </c>
      <c r="P1349" s="10" t="str">
        <f t="shared" si="1738"/>
        <v>NA</v>
      </c>
      <c r="Q1349" s="10" t="str">
        <f t="shared" si="1739"/>
        <v>NA</v>
      </c>
      <c r="R1349" s="10" t="s">
        <v>1575</v>
      </c>
      <c r="S1349" s="10" t="s">
        <v>1575</v>
      </c>
      <c r="T1349" s="10" t="s">
        <v>1575</v>
      </c>
      <c r="U1349" s="10" t="s">
        <v>1575</v>
      </c>
      <c r="V1349" s="10" t="s">
        <v>1575</v>
      </c>
      <c r="W1349" s="10" t="s">
        <v>1575</v>
      </c>
      <c r="X1349" s="10" t="str">
        <f t="shared" si="1425"/>
        <v>NA</v>
      </c>
      <c r="Y1349" s="10" t="str">
        <f t="shared" si="1426"/>
        <v>NA</v>
      </c>
      <c r="Z1349" s="10" t="str">
        <f t="shared" si="1427"/>
        <v>NA</v>
      </c>
      <c r="AA1349" s="10" t="str">
        <f t="shared" si="1428"/>
        <v>NA</v>
      </c>
      <c r="AB1349" s="10" t="str">
        <f t="shared" si="1429"/>
        <v>NA</v>
      </c>
      <c r="AC1349" s="10" t="str">
        <f t="shared" si="1430"/>
        <v>NA</v>
      </c>
      <c r="AD1349" s="10" t="str">
        <f t="shared" si="1431"/>
        <v>NA</v>
      </c>
      <c r="AE1349" s="10" t="str">
        <f t="shared" si="1432"/>
        <v>NA</v>
      </c>
      <c r="AF1349" s="1" t="s">
        <v>1175</v>
      </c>
    </row>
    <row r="1350" spans="1:32" x14ac:dyDescent="0.2">
      <c r="A1350" s="1" t="s">
        <v>1188</v>
      </c>
      <c r="B1350" s="1" t="s">
        <v>1575</v>
      </c>
      <c r="C1350" s="1" t="s">
        <v>1575</v>
      </c>
      <c r="D1350" s="1" t="s">
        <v>1600</v>
      </c>
      <c r="E1350" s="1" t="s">
        <v>2050</v>
      </c>
      <c r="F1350" s="1" t="s">
        <v>120</v>
      </c>
      <c r="G1350" s="4">
        <v>0.1</v>
      </c>
      <c r="H1350" s="28">
        <v>42369</v>
      </c>
      <c r="I1350" s="29">
        <f t="shared" ref="I1350" si="1740">YEAR(H1350)</f>
        <v>2015</v>
      </c>
      <c r="J1350" s="1" t="s">
        <v>7</v>
      </c>
      <c r="K1350" s="1" t="s">
        <v>71</v>
      </c>
      <c r="L1350" s="11" t="str">
        <f t="shared" si="1727"/>
        <v>НЕТ</v>
      </c>
      <c r="M1350" s="10">
        <v>1</v>
      </c>
      <c r="N1350" s="10" t="s">
        <v>1575</v>
      </c>
      <c r="O1350" s="10">
        <f>M1350*72.8827/1000</f>
        <v>7.2882699999999995E-2</v>
      </c>
      <c r="P1350" s="10">
        <f t="shared" si="1738"/>
        <v>0.72882699999999989</v>
      </c>
      <c r="Q1350" s="10" t="str">
        <f t="shared" si="1739"/>
        <v>NA</v>
      </c>
      <c r="R1350" s="10" t="s">
        <v>1575</v>
      </c>
      <c r="S1350" s="10" t="s">
        <v>1575</v>
      </c>
      <c r="T1350" s="10" t="s">
        <v>1575</v>
      </c>
      <c r="U1350" s="10" t="s">
        <v>1575</v>
      </c>
      <c r="V1350" s="10" t="s">
        <v>1575</v>
      </c>
      <c r="W1350" s="10" t="s">
        <v>1575</v>
      </c>
      <c r="X1350" s="10" t="str">
        <f t="shared" ref="X1350" si="1741">IFERROR(V1350+W1350,"NA")</f>
        <v>NA</v>
      </c>
      <c r="Y1350" s="10" t="str">
        <f t="shared" ref="Y1350" si="1742">IFERROR(P1350/R1350,"NA")</f>
        <v>NA</v>
      </c>
      <c r="Z1350" s="10" t="str">
        <f t="shared" ref="Z1350" si="1743">IFERROR(P1350/U1350,"NA")</f>
        <v>NA</v>
      </c>
      <c r="AA1350" s="10" t="str">
        <f t="shared" ref="AA1350" si="1744">IFERROR(P1350/V1350,"NA")</f>
        <v>NA</v>
      </c>
      <c r="AB1350" s="10" t="str">
        <f t="shared" ref="AB1350" si="1745">IFERROR(Q1350/R1350,"NA")</f>
        <v>NA</v>
      </c>
      <c r="AC1350" s="10" t="str">
        <f t="shared" ref="AC1350" si="1746">IFERROR(Q1350/S1350,"NA")</f>
        <v>NA</v>
      </c>
      <c r="AD1350" s="10" t="str">
        <f t="shared" ref="AD1350" si="1747">IFERROR(Q1350/T1350,"NA")</f>
        <v>NA</v>
      </c>
      <c r="AE1350" s="10" t="str">
        <f t="shared" ref="AE1350" si="1748">IFERROR(Q1350/X1350,"NA")</f>
        <v>NA</v>
      </c>
      <c r="AF1350" s="1" t="s">
        <v>1187</v>
      </c>
    </row>
    <row r="1351" spans="1:32" x14ac:dyDescent="0.2">
      <c r="A1351" s="1" t="s">
        <v>1191</v>
      </c>
      <c r="B1351" s="1" t="s">
        <v>1192</v>
      </c>
      <c r="C1351" s="1" t="s">
        <v>1575</v>
      </c>
      <c r="D1351" s="1" t="s">
        <v>1600</v>
      </c>
      <c r="E1351" s="1" t="s">
        <v>2050</v>
      </c>
      <c r="F1351" s="1" t="s">
        <v>120</v>
      </c>
      <c r="G1351" s="4">
        <v>1</v>
      </c>
      <c r="H1351" s="28">
        <v>41759</v>
      </c>
      <c r="I1351" s="29">
        <f t="shared" ref="I1351:I1354" si="1749">YEAR(H1351)</f>
        <v>2014</v>
      </c>
      <c r="J1351" s="1" t="s">
        <v>7</v>
      </c>
      <c r="K1351" s="1" t="s">
        <v>71</v>
      </c>
      <c r="L1351" s="11" t="str">
        <f t="shared" si="1727"/>
        <v>НЕТ</v>
      </c>
      <c r="M1351" s="10">
        <v>287</v>
      </c>
      <c r="N1351" s="10" t="s">
        <v>1575</v>
      </c>
      <c r="O1351" s="10">
        <f>M1351*35.6871/1000</f>
        <v>10.2421977</v>
      </c>
      <c r="P1351" s="10">
        <f t="shared" si="1738"/>
        <v>10.2421977</v>
      </c>
      <c r="Q1351" s="10" t="str">
        <f t="shared" si="1739"/>
        <v>NA</v>
      </c>
      <c r="R1351" s="10" t="s">
        <v>1575</v>
      </c>
      <c r="S1351" s="10" t="s">
        <v>1575</v>
      </c>
      <c r="T1351" s="10" t="s">
        <v>1575</v>
      </c>
      <c r="U1351" s="10" t="s">
        <v>1575</v>
      </c>
      <c r="V1351" s="10" t="s">
        <v>1575</v>
      </c>
      <c r="W1351" s="10" t="s">
        <v>1575</v>
      </c>
      <c r="X1351" s="10" t="str">
        <f t="shared" ref="X1351:X1354" si="1750">IFERROR(V1351+W1351,"NA")</f>
        <v>NA</v>
      </c>
      <c r="Y1351" s="10" t="str">
        <f t="shared" ref="Y1351:Y1354" si="1751">IFERROR(P1351/R1351,"NA")</f>
        <v>NA</v>
      </c>
      <c r="Z1351" s="10" t="str">
        <f t="shared" ref="Z1351:Z1354" si="1752">IFERROR(P1351/U1351,"NA")</f>
        <v>NA</v>
      </c>
      <c r="AA1351" s="10" t="str">
        <f t="shared" ref="AA1351:AA1354" si="1753">IFERROR(P1351/V1351,"NA")</f>
        <v>NA</v>
      </c>
      <c r="AB1351" s="10" t="str">
        <f t="shared" ref="AB1351:AB1354" si="1754">IFERROR(Q1351/R1351,"NA")</f>
        <v>NA</v>
      </c>
      <c r="AC1351" s="10" t="str">
        <f t="shared" ref="AC1351:AC1354" si="1755">IFERROR(Q1351/S1351,"NA")</f>
        <v>NA</v>
      </c>
      <c r="AD1351" s="10" t="str">
        <f t="shared" ref="AD1351:AD1354" si="1756">IFERROR(Q1351/T1351,"NA")</f>
        <v>NA</v>
      </c>
      <c r="AE1351" s="10" t="str">
        <f t="shared" ref="AE1351:AE1354" si="1757">IFERROR(Q1351/X1351,"NA")</f>
        <v>NA</v>
      </c>
      <c r="AF1351" s="1" t="s">
        <v>1193</v>
      </c>
    </row>
    <row r="1352" spans="1:32" x14ac:dyDescent="0.2">
      <c r="A1352" s="1" t="s">
        <v>1195</v>
      </c>
      <c r="B1352" s="1" t="s">
        <v>5</v>
      </c>
      <c r="C1352" s="1" t="s">
        <v>1575</v>
      </c>
      <c r="D1352" s="1" t="s">
        <v>1600</v>
      </c>
      <c r="E1352" s="1" t="s">
        <v>1671</v>
      </c>
      <c r="F1352" s="1" t="s">
        <v>1194</v>
      </c>
      <c r="G1352" s="4" t="s">
        <v>11</v>
      </c>
      <c r="H1352" s="28">
        <v>42004</v>
      </c>
      <c r="I1352" s="29">
        <f t="shared" si="1749"/>
        <v>2014</v>
      </c>
      <c r="J1352" s="1" t="s">
        <v>7</v>
      </c>
      <c r="K1352" s="1" t="s">
        <v>71</v>
      </c>
      <c r="L1352" s="11" t="str">
        <f t="shared" si="1727"/>
        <v>НЕТ</v>
      </c>
      <c r="M1352" s="10">
        <v>25</v>
      </c>
      <c r="N1352" s="10" t="s">
        <v>1575</v>
      </c>
      <c r="O1352" s="10">
        <f>M1352*56.2584/1000</f>
        <v>1.40646</v>
      </c>
      <c r="P1352" s="10" t="str">
        <f t="shared" si="1738"/>
        <v>NA</v>
      </c>
      <c r="Q1352" s="10" t="str">
        <f t="shared" si="1739"/>
        <v>NA</v>
      </c>
      <c r="R1352" s="10" t="s">
        <v>1575</v>
      </c>
      <c r="S1352" s="10" t="s">
        <v>1575</v>
      </c>
      <c r="T1352" s="10" t="s">
        <v>1575</v>
      </c>
      <c r="U1352" s="10" t="s">
        <v>1575</v>
      </c>
      <c r="V1352" s="10" t="s">
        <v>1575</v>
      </c>
      <c r="W1352" s="10" t="s">
        <v>1575</v>
      </c>
      <c r="X1352" s="10" t="str">
        <f t="shared" si="1750"/>
        <v>NA</v>
      </c>
      <c r="Y1352" s="10" t="str">
        <f t="shared" si="1751"/>
        <v>NA</v>
      </c>
      <c r="Z1352" s="10" t="str">
        <f t="shared" si="1752"/>
        <v>NA</v>
      </c>
      <c r="AA1352" s="10" t="str">
        <f t="shared" si="1753"/>
        <v>NA</v>
      </c>
      <c r="AB1352" s="10" t="str">
        <f t="shared" si="1754"/>
        <v>NA</v>
      </c>
      <c r="AC1352" s="10" t="str">
        <f t="shared" si="1755"/>
        <v>NA</v>
      </c>
      <c r="AD1352" s="10" t="str">
        <f t="shared" si="1756"/>
        <v>NA</v>
      </c>
      <c r="AE1352" s="10" t="str">
        <f t="shared" si="1757"/>
        <v>NA</v>
      </c>
      <c r="AF1352" s="1" t="s">
        <v>1196</v>
      </c>
    </row>
    <row r="1353" spans="1:32" x14ac:dyDescent="0.2">
      <c r="A1353" s="1" t="s">
        <v>71</v>
      </c>
      <c r="B1353" s="1" t="s">
        <v>122</v>
      </c>
      <c r="C1353" s="1" t="s">
        <v>1575</v>
      </c>
      <c r="D1353" s="1" t="s">
        <v>1600</v>
      </c>
      <c r="E1353" s="1" t="s">
        <v>1696</v>
      </c>
      <c r="F1353" s="1" t="s">
        <v>120</v>
      </c>
      <c r="G1353" s="4">
        <f>7439383/1506527294</f>
        <v>4.9381003780207648E-3</v>
      </c>
      <c r="H1353" s="28">
        <v>42004</v>
      </c>
      <c r="I1353" s="29">
        <f t="shared" si="1749"/>
        <v>2014</v>
      </c>
      <c r="J1353" s="1" t="s">
        <v>71</v>
      </c>
      <c r="K1353" s="1" t="s">
        <v>7</v>
      </c>
      <c r="L1353" s="11" t="str">
        <f t="shared" ref="L1353:L1354" si="1758">IF(OR(A1353=J1353,A1353=K1353),"ДА","НЕТ")</f>
        <v>ДА</v>
      </c>
      <c r="M1353" s="10">
        <v>13</v>
      </c>
      <c r="N1353" s="10" t="s">
        <v>1575</v>
      </c>
      <c r="O1353" s="10">
        <f>M1353*56.2584/1000</f>
        <v>0.73135919999999999</v>
      </c>
      <c r="P1353" s="10">
        <f t="shared" si="1738"/>
        <v>148.10537332437445</v>
      </c>
      <c r="Q1353" s="10">
        <f t="shared" si="1739"/>
        <v>432.73337332437444</v>
      </c>
      <c r="R1353" s="10">
        <v>774.38</v>
      </c>
      <c r="S1353" s="10">
        <v>343.15500000000003</v>
      </c>
      <c r="T1353" s="10">
        <v>231.33700000000005</v>
      </c>
      <c r="U1353" s="10">
        <v>59.5</v>
      </c>
      <c r="V1353" s="10">
        <v>1368.8630000000001</v>
      </c>
      <c r="W1353" s="10">
        <v>284.62799999999999</v>
      </c>
      <c r="X1353" s="10">
        <f t="shared" si="1750"/>
        <v>1653.491</v>
      </c>
      <c r="Y1353" s="10">
        <f t="shared" si="1751"/>
        <v>0.19125671288563037</v>
      </c>
      <c r="Z1353" s="10">
        <f t="shared" si="1752"/>
        <v>2.4891659382247808</v>
      </c>
      <c r="AA1353" s="10">
        <f t="shared" si="1753"/>
        <v>0.10819590662058544</v>
      </c>
      <c r="AB1353" s="10">
        <f t="shared" si="1754"/>
        <v>0.55881269315371584</v>
      </c>
      <c r="AC1353" s="10">
        <f t="shared" si="1755"/>
        <v>1.2610434740113781</v>
      </c>
      <c r="AD1353" s="10">
        <f t="shared" si="1756"/>
        <v>1.8705757112972605</v>
      </c>
      <c r="AE1353" s="10">
        <f t="shared" si="1757"/>
        <v>0.26170893783175986</v>
      </c>
      <c r="AF1353" s="1" t="s">
        <v>5299</v>
      </c>
    </row>
    <row r="1354" spans="1:32" x14ac:dyDescent="0.2">
      <c r="A1354" s="1" t="s">
        <v>1177</v>
      </c>
      <c r="B1354" s="1" t="s">
        <v>5</v>
      </c>
      <c r="C1354" s="1" t="s">
        <v>1686</v>
      </c>
      <c r="D1354" s="1" t="s">
        <v>1600</v>
      </c>
      <c r="E1354" s="1" t="s">
        <v>1659</v>
      </c>
      <c r="F1354" s="1" t="s">
        <v>118</v>
      </c>
      <c r="G1354" s="4">
        <v>0.5</v>
      </c>
      <c r="H1354" s="28">
        <v>41290</v>
      </c>
      <c r="I1354" s="29">
        <f t="shared" si="1749"/>
        <v>2013</v>
      </c>
      <c r="J1354" s="1" t="s">
        <v>71</v>
      </c>
      <c r="K1354" s="1" t="s">
        <v>7</v>
      </c>
      <c r="L1354" s="11" t="str">
        <f t="shared" si="1758"/>
        <v>НЕТ</v>
      </c>
      <c r="M1354" s="10">
        <v>964</v>
      </c>
      <c r="N1354" s="10" t="s">
        <v>1575</v>
      </c>
      <c r="O1354" s="10">
        <f>M1354*30.3727/1000</f>
        <v>29.279282799999997</v>
      </c>
      <c r="P1354" s="10">
        <f t="shared" si="1738"/>
        <v>58.558565599999994</v>
      </c>
      <c r="Q1354" s="10">
        <f t="shared" si="1739"/>
        <v>78.035565599999984</v>
      </c>
      <c r="R1354" s="10">
        <v>16.887</v>
      </c>
      <c r="S1354" s="10">
        <v>4.2949999999999999</v>
      </c>
      <c r="T1354" s="10">
        <v>0.17500000000000004</v>
      </c>
      <c r="U1354" s="10">
        <v>-0.91800000000000004</v>
      </c>
      <c r="V1354" s="10">
        <v>32.518000000000001</v>
      </c>
      <c r="W1354" s="10">
        <v>19.476999999999997</v>
      </c>
      <c r="X1354" s="10">
        <f t="shared" si="1750"/>
        <v>51.994999999999997</v>
      </c>
      <c r="Y1354" s="10">
        <f t="shared" si="1751"/>
        <v>3.4676713211346</v>
      </c>
      <c r="Z1354" s="10">
        <f t="shared" si="1752"/>
        <v>-63.789287145969489</v>
      </c>
      <c r="AA1354" s="10">
        <f t="shared" si="1753"/>
        <v>1.8008046497324557</v>
      </c>
      <c r="AB1354" s="10">
        <f t="shared" si="1754"/>
        <v>4.6210437377864615</v>
      </c>
      <c r="AC1354" s="10">
        <f t="shared" si="1755"/>
        <v>18.168932619324792</v>
      </c>
      <c r="AD1354" s="10">
        <f t="shared" si="1756"/>
        <v>445.91751771428551</v>
      </c>
      <c r="AE1354" s="10">
        <f t="shared" si="1757"/>
        <v>1.5008282642561783</v>
      </c>
      <c r="AF1354" s="1" t="s">
        <v>1183</v>
      </c>
    </row>
    <row r="1355" spans="1:32" x14ac:dyDescent="0.2">
      <c r="A1355" s="1" t="s">
        <v>5849</v>
      </c>
      <c r="B1355" s="1" t="s">
        <v>5</v>
      </c>
      <c r="C1355" s="1" t="s">
        <v>1575</v>
      </c>
      <c r="D1355" s="1" t="s">
        <v>1600</v>
      </c>
      <c r="E1355" s="1" t="s">
        <v>1671</v>
      </c>
      <c r="F1355" s="1" t="s">
        <v>72</v>
      </c>
      <c r="G1355" s="4">
        <v>0.51</v>
      </c>
      <c r="H1355" s="28">
        <v>41394</v>
      </c>
      <c r="I1355" s="29">
        <f t="shared" si="1491"/>
        <v>2013</v>
      </c>
      <c r="J1355" s="1" t="s">
        <v>71</v>
      </c>
      <c r="K1355" s="1" t="s">
        <v>4655</v>
      </c>
      <c r="L1355" s="11" t="str">
        <f t="shared" si="1727"/>
        <v>НЕТ</v>
      </c>
      <c r="M1355" s="10">
        <v>159</v>
      </c>
      <c r="N1355" s="10" t="s">
        <v>1575</v>
      </c>
      <c r="O1355" s="10">
        <v>4.95</v>
      </c>
      <c r="P1355" s="10">
        <f t="shared" si="1738"/>
        <v>9.7058823529411775</v>
      </c>
      <c r="Q1355" s="10">
        <f t="shared" si="1739"/>
        <v>11.011385152941177</v>
      </c>
      <c r="R1355" s="10" t="s">
        <v>1575</v>
      </c>
      <c r="S1355" s="10" t="s">
        <v>1575</v>
      </c>
      <c r="T1355" s="10" t="s">
        <v>1575</v>
      </c>
      <c r="U1355" s="10" t="s">
        <v>1575</v>
      </c>
      <c r="V1355" s="10">
        <f>0.293*31.0834</f>
        <v>9.1074362000000004</v>
      </c>
      <c r="W1355" s="10">
        <f>(0.037+0.007-0.002)*31.0834</f>
        <v>1.3055028</v>
      </c>
      <c r="X1355" s="10">
        <f t="shared" si="1425"/>
        <v>10.412939</v>
      </c>
      <c r="Y1355" s="10" t="str">
        <f t="shared" si="1426"/>
        <v>NA</v>
      </c>
      <c r="Z1355" s="10" t="str">
        <f t="shared" si="1427"/>
        <v>NA</v>
      </c>
      <c r="AA1355" s="10">
        <f t="shared" si="1428"/>
        <v>1.0657096179209224</v>
      </c>
      <c r="AB1355" s="10" t="str">
        <f t="shared" si="1429"/>
        <v>NA</v>
      </c>
      <c r="AC1355" s="10" t="str">
        <f t="shared" si="1430"/>
        <v>NA</v>
      </c>
      <c r="AD1355" s="10" t="str">
        <f t="shared" si="1431"/>
        <v>NA</v>
      </c>
      <c r="AE1355" s="10">
        <f t="shared" si="1432"/>
        <v>1.0574713971666574</v>
      </c>
      <c r="AF1355" s="1" t="s">
        <v>1160</v>
      </c>
    </row>
    <row r="1356" spans="1:32" x14ac:dyDescent="0.2">
      <c r="A1356" s="1" t="s">
        <v>1189</v>
      </c>
      <c r="B1356" s="1" t="s">
        <v>5</v>
      </c>
      <c r="C1356" s="1" t="s">
        <v>1575</v>
      </c>
      <c r="D1356" s="1" t="s">
        <v>1582</v>
      </c>
      <c r="E1356" s="1" t="s">
        <v>2019</v>
      </c>
      <c r="F1356" s="1" t="s">
        <v>1190</v>
      </c>
      <c r="G1356" s="4" t="s">
        <v>11</v>
      </c>
      <c r="H1356" s="28">
        <v>41639</v>
      </c>
      <c r="I1356" s="29">
        <f t="shared" ref="I1356:I1371" si="1759">YEAR(H1356)</f>
        <v>2013</v>
      </c>
      <c r="J1356" s="1" t="s">
        <v>71</v>
      </c>
      <c r="K1356" s="1" t="s">
        <v>7</v>
      </c>
      <c r="L1356" s="11" t="str">
        <f t="shared" si="1727"/>
        <v>НЕТ</v>
      </c>
      <c r="M1356" s="10">
        <v>1</v>
      </c>
      <c r="N1356" s="10" t="s">
        <v>1575</v>
      </c>
      <c r="O1356" s="10">
        <f>M1356*32.7292/1000</f>
        <v>3.27292E-2</v>
      </c>
      <c r="P1356" s="10" t="str">
        <f t="shared" si="1738"/>
        <v>NA</v>
      </c>
      <c r="Q1356" s="10" t="str">
        <f t="shared" si="1739"/>
        <v>NA</v>
      </c>
      <c r="R1356" s="10" t="s">
        <v>1575</v>
      </c>
      <c r="S1356" s="10" t="s">
        <v>1575</v>
      </c>
      <c r="T1356" s="10" t="s">
        <v>1575</v>
      </c>
      <c r="U1356" s="10" t="s">
        <v>1575</v>
      </c>
      <c r="V1356" s="10" t="s">
        <v>1575</v>
      </c>
      <c r="W1356" s="10" t="s">
        <v>1575</v>
      </c>
      <c r="X1356" s="10" t="str">
        <f t="shared" ref="X1356:X1359" si="1760">IFERROR(V1356+W1356,"NA")</f>
        <v>NA</v>
      </c>
      <c r="Y1356" s="10" t="str">
        <f t="shared" ref="Y1356:Y1359" si="1761">IFERROR(P1356/R1356,"NA")</f>
        <v>NA</v>
      </c>
      <c r="Z1356" s="10" t="str">
        <f t="shared" ref="Z1356:Z1359" si="1762">IFERROR(P1356/U1356,"NA")</f>
        <v>NA</v>
      </c>
      <c r="AA1356" s="10" t="str">
        <f t="shared" ref="AA1356:AA1359" si="1763">IFERROR(P1356/V1356,"NA")</f>
        <v>NA</v>
      </c>
      <c r="AB1356" s="10" t="str">
        <f t="shared" ref="AB1356:AB1359" si="1764">IFERROR(Q1356/R1356,"NA")</f>
        <v>NA</v>
      </c>
      <c r="AC1356" s="10" t="str">
        <f t="shared" ref="AC1356:AC1359" si="1765">IFERROR(Q1356/S1356,"NA")</f>
        <v>NA</v>
      </c>
      <c r="AD1356" s="10" t="str">
        <f t="shared" ref="AD1356:AD1359" si="1766">IFERROR(Q1356/T1356,"NA")</f>
        <v>NA</v>
      </c>
      <c r="AE1356" s="10" t="str">
        <f t="shared" ref="AE1356:AE1359" si="1767">IFERROR(Q1356/X1356,"NA")</f>
        <v>NA</v>
      </c>
      <c r="AF1356" s="1" t="s">
        <v>1186</v>
      </c>
    </row>
    <row r="1357" spans="1:32" x14ac:dyDescent="0.2">
      <c r="A1357" s="1" t="s">
        <v>1185</v>
      </c>
      <c r="B1357" s="1" t="s">
        <v>1575</v>
      </c>
      <c r="C1357" s="1" t="s">
        <v>1575</v>
      </c>
      <c r="D1357" s="1" t="s">
        <v>1582</v>
      </c>
      <c r="E1357" s="1" t="s">
        <v>2019</v>
      </c>
      <c r="F1357" s="1" t="s">
        <v>668</v>
      </c>
      <c r="G1357" s="4">
        <v>0.45500000000000002</v>
      </c>
      <c r="H1357" s="28">
        <v>41639</v>
      </c>
      <c r="I1357" s="29">
        <f t="shared" si="1759"/>
        <v>2013</v>
      </c>
      <c r="J1357" s="1" t="s">
        <v>71</v>
      </c>
      <c r="K1357" s="1" t="s">
        <v>7</v>
      </c>
      <c r="L1357" s="11" t="str">
        <f t="shared" si="1727"/>
        <v>НЕТ</v>
      </c>
      <c r="M1357" s="10">
        <v>11</v>
      </c>
      <c r="N1357" s="10" t="s">
        <v>1575</v>
      </c>
      <c r="O1357" s="10">
        <f>M1357*32.7292/1000</f>
        <v>0.36002119999999999</v>
      </c>
      <c r="P1357" s="10">
        <f t="shared" si="1738"/>
        <v>0.79125538461538458</v>
      </c>
      <c r="Q1357" s="10" t="str">
        <f t="shared" si="1739"/>
        <v>NA</v>
      </c>
      <c r="R1357" s="10" t="s">
        <v>1575</v>
      </c>
      <c r="S1357" s="10" t="s">
        <v>1575</v>
      </c>
      <c r="T1357" s="10" t="s">
        <v>1575</v>
      </c>
      <c r="U1357" s="10" t="s">
        <v>1575</v>
      </c>
      <c r="V1357" s="10" t="s">
        <v>1575</v>
      </c>
      <c r="W1357" s="10" t="s">
        <v>1575</v>
      </c>
      <c r="X1357" s="10" t="str">
        <f t="shared" si="1760"/>
        <v>NA</v>
      </c>
      <c r="Y1357" s="10" t="str">
        <f t="shared" si="1761"/>
        <v>NA</v>
      </c>
      <c r="Z1357" s="10" t="str">
        <f t="shared" si="1762"/>
        <v>NA</v>
      </c>
      <c r="AA1357" s="10" t="str">
        <f t="shared" si="1763"/>
        <v>NA</v>
      </c>
      <c r="AB1357" s="10" t="str">
        <f t="shared" si="1764"/>
        <v>NA</v>
      </c>
      <c r="AC1357" s="10" t="str">
        <f t="shared" si="1765"/>
        <v>NA</v>
      </c>
      <c r="AD1357" s="10" t="str">
        <f t="shared" si="1766"/>
        <v>NA</v>
      </c>
      <c r="AE1357" s="10" t="str">
        <f t="shared" si="1767"/>
        <v>NA</v>
      </c>
      <c r="AF1357" s="1" t="s">
        <v>1184</v>
      </c>
    </row>
    <row r="1358" spans="1:32" x14ac:dyDescent="0.2">
      <c r="A1358" s="1" t="s">
        <v>5918</v>
      </c>
      <c r="B1358" s="1" t="s">
        <v>5</v>
      </c>
      <c r="C1358" s="1" t="s">
        <v>1575</v>
      </c>
      <c r="D1358" s="1" t="s">
        <v>1600</v>
      </c>
      <c r="E1358" s="1" t="s">
        <v>1671</v>
      </c>
      <c r="F1358" s="1" t="s">
        <v>72</v>
      </c>
      <c r="G1358" s="33">
        <v>1</v>
      </c>
      <c r="H1358" s="28">
        <v>41578</v>
      </c>
      <c r="I1358" s="29">
        <f t="shared" si="1759"/>
        <v>2013</v>
      </c>
      <c r="J1358" s="1" t="s">
        <v>1201</v>
      </c>
      <c r="K1358" s="1" t="s">
        <v>71</v>
      </c>
      <c r="L1358" s="11" t="str">
        <f t="shared" si="1727"/>
        <v>НЕТ</v>
      </c>
      <c r="M1358" s="10">
        <v>20</v>
      </c>
      <c r="N1358" s="10" t="s">
        <v>1575</v>
      </c>
      <c r="O1358" s="10">
        <f>M1358*32.3451/1000</f>
        <v>0.64690200000000009</v>
      </c>
      <c r="P1358" s="10">
        <f t="shared" si="1738"/>
        <v>0.64690200000000009</v>
      </c>
      <c r="Q1358" s="10" t="str">
        <f t="shared" si="1739"/>
        <v>NA</v>
      </c>
      <c r="R1358" s="10" t="s">
        <v>1575</v>
      </c>
      <c r="S1358" s="10" t="s">
        <v>1575</v>
      </c>
      <c r="T1358" s="10" t="s">
        <v>1575</v>
      </c>
      <c r="U1358" s="10" t="s">
        <v>1575</v>
      </c>
      <c r="V1358" s="10" t="s">
        <v>1575</v>
      </c>
      <c r="W1358" s="10" t="s">
        <v>1575</v>
      </c>
      <c r="X1358" s="10" t="str">
        <f t="shared" si="1760"/>
        <v>NA</v>
      </c>
      <c r="Y1358" s="10" t="str">
        <f t="shared" si="1761"/>
        <v>NA</v>
      </c>
      <c r="Z1358" s="10" t="str">
        <f t="shared" si="1762"/>
        <v>NA</v>
      </c>
      <c r="AA1358" s="10" t="str">
        <f t="shared" si="1763"/>
        <v>NA</v>
      </c>
      <c r="AB1358" s="10" t="str">
        <f t="shared" si="1764"/>
        <v>NA</v>
      </c>
      <c r="AC1358" s="10" t="str">
        <f t="shared" si="1765"/>
        <v>NA</v>
      </c>
      <c r="AD1358" s="10" t="str">
        <f t="shared" si="1766"/>
        <v>NA</v>
      </c>
      <c r="AE1358" s="10" t="str">
        <f t="shared" si="1767"/>
        <v>NA</v>
      </c>
      <c r="AF1358" s="1" t="s">
        <v>1199</v>
      </c>
    </row>
    <row r="1359" spans="1:32" x14ac:dyDescent="0.2">
      <c r="A1359" s="1" t="s">
        <v>1198</v>
      </c>
      <c r="B1359" s="1" t="s">
        <v>5</v>
      </c>
      <c r="C1359" s="1" t="s">
        <v>1575</v>
      </c>
      <c r="D1359" s="1" t="s">
        <v>1601</v>
      </c>
      <c r="E1359" s="1" t="s">
        <v>1608</v>
      </c>
      <c r="F1359" s="1" t="s">
        <v>1562</v>
      </c>
      <c r="G1359" s="4" t="s">
        <v>11</v>
      </c>
      <c r="H1359" s="28">
        <v>41547</v>
      </c>
      <c r="I1359" s="29">
        <f t="shared" si="1759"/>
        <v>2013</v>
      </c>
      <c r="J1359" s="1" t="s">
        <v>7</v>
      </c>
      <c r="K1359" s="1" t="s">
        <v>71</v>
      </c>
      <c r="L1359" s="11" t="str">
        <f t="shared" si="1727"/>
        <v>НЕТ</v>
      </c>
      <c r="M1359" s="10">
        <v>2.9999999999999997E-4</v>
      </c>
      <c r="N1359" s="10" t="s">
        <v>1575</v>
      </c>
      <c r="O1359" s="10">
        <f>M1359*32.3451/1000</f>
        <v>9.7035299999999999E-6</v>
      </c>
      <c r="P1359" s="10" t="str">
        <f t="shared" si="1738"/>
        <v>NA</v>
      </c>
      <c r="Q1359" s="10" t="str">
        <f t="shared" si="1739"/>
        <v>NA</v>
      </c>
      <c r="R1359" s="10" t="s">
        <v>1575</v>
      </c>
      <c r="S1359" s="10" t="s">
        <v>1575</v>
      </c>
      <c r="T1359" s="10" t="s">
        <v>1575</v>
      </c>
      <c r="U1359" s="10" t="s">
        <v>1575</v>
      </c>
      <c r="V1359" s="10" t="s">
        <v>1575</v>
      </c>
      <c r="W1359" s="10" t="s">
        <v>1575</v>
      </c>
      <c r="X1359" s="10" t="str">
        <f t="shared" si="1760"/>
        <v>NA</v>
      </c>
      <c r="Y1359" s="10" t="str">
        <f t="shared" si="1761"/>
        <v>NA</v>
      </c>
      <c r="Z1359" s="10" t="str">
        <f t="shared" si="1762"/>
        <v>NA</v>
      </c>
      <c r="AA1359" s="10" t="str">
        <f t="shared" si="1763"/>
        <v>NA</v>
      </c>
      <c r="AB1359" s="10" t="str">
        <f t="shared" si="1764"/>
        <v>NA</v>
      </c>
      <c r="AC1359" s="10" t="str">
        <f t="shared" si="1765"/>
        <v>NA</v>
      </c>
      <c r="AD1359" s="10" t="str">
        <f t="shared" si="1766"/>
        <v>NA</v>
      </c>
      <c r="AE1359" s="10" t="str">
        <f t="shared" si="1767"/>
        <v>NA</v>
      </c>
      <c r="AF1359" s="1" t="s">
        <v>1200</v>
      </c>
    </row>
    <row r="1360" spans="1:32" x14ac:dyDescent="0.2">
      <c r="A1360" s="1" t="s">
        <v>5919</v>
      </c>
      <c r="B1360" s="1" t="s">
        <v>5</v>
      </c>
      <c r="C1360" s="1" t="s">
        <v>1575</v>
      </c>
      <c r="D1360" s="1" t="s">
        <v>1600</v>
      </c>
      <c r="E1360" s="1" t="s">
        <v>1659</v>
      </c>
      <c r="F1360" s="1" t="s">
        <v>118</v>
      </c>
      <c r="G1360" s="4" t="s">
        <v>11</v>
      </c>
      <c r="H1360" s="28">
        <v>41639</v>
      </c>
      <c r="I1360" s="29">
        <f t="shared" si="1759"/>
        <v>2013</v>
      </c>
      <c r="J1360" s="1" t="s">
        <v>7</v>
      </c>
      <c r="K1360" s="1" t="s">
        <v>71</v>
      </c>
      <c r="L1360" s="11" t="str">
        <f t="shared" ref="L1360:L1371" si="1768">IF(OR(A1360=J1360,A1360=K1360),"ДА","НЕТ")</f>
        <v>НЕТ</v>
      </c>
      <c r="M1360" s="10">
        <v>6.3000000000000003E-4</v>
      </c>
      <c r="N1360" s="10" t="s">
        <v>1575</v>
      </c>
      <c r="O1360" s="10">
        <f>M1360*32.7292/1000</f>
        <v>2.0619396E-5</v>
      </c>
      <c r="P1360" s="10" t="str">
        <f t="shared" si="1738"/>
        <v>NA</v>
      </c>
      <c r="Q1360" s="10" t="str">
        <f t="shared" si="1739"/>
        <v>NA</v>
      </c>
      <c r="R1360" s="10" t="s">
        <v>1575</v>
      </c>
      <c r="S1360" s="10" t="s">
        <v>1575</v>
      </c>
      <c r="T1360" s="10" t="s">
        <v>1575</v>
      </c>
      <c r="U1360" s="10" t="s">
        <v>1575</v>
      </c>
      <c r="V1360" s="10" t="s">
        <v>1575</v>
      </c>
      <c r="W1360" s="10" t="s">
        <v>1575</v>
      </c>
      <c r="X1360" s="10" t="str">
        <f t="shared" ref="X1360:X1367" si="1769">IFERROR(V1360+W1360,"NA")</f>
        <v>NA</v>
      </c>
      <c r="Y1360" s="10" t="str">
        <f t="shared" ref="Y1360:Y1367" si="1770">IFERROR(P1360/R1360,"NA")</f>
        <v>NA</v>
      </c>
      <c r="Z1360" s="10" t="str">
        <f t="shared" ref="Z1360:Z1367" si="1771">IFERROR(P1360/U1360,"NA")</f>
        <v>NA</v>
      </c>
      <c r="AA1360" s="10" t="str">
        <f t="shared" ref="AA1360:AA1367" si="1772">IFERROR(P1360/V1360,"NA")</f>
        <v>NA</v>
      </c>
      <c r="AB1360" s="10" t="str">
        <f t="shared" ref="AB1360:AB1367" si="1773">IFERROR(Q1360/R1360,"NA")</f>
        <v>NA</v>
      </c>
      <c r="AC1360" s="10" t="str">
        <f t="shared" ref="AC1360:AC1367" si="1774">IFERROR(Q1360/S1360,"NA")</f>
        <v>NA</v>
      </c>
      <c r="AD1360" s="10" t="str">
        <f t="shared" ref="AD1360:AD1367" si="1775">IFERROR(Q1360/T1360,"NA")</f>
        <v>NA</v>
      </c>
      <c r="AE1360" s="10" t="str">
        <f t="shared" ref="AE1360:AE1371" si="1776">IFERROR(Q1360/X1360,"NA")</f>
        <v>NA</v>
      </c>
      <c r="AF1360" s="1" t="s">
        <v>5300</v>
      </c>
    </row>
    <row r="1361" spans="1:32" x14ac:dyDescent="0.2">
      <c r="A1361" s="1" t="s">
        <v>71</v>
      </c>
      <c r="B1361" s="1" t="s">
        <v>122</v>
      </c>
      <c r="C1361" s="1" t="s">
        <v>1575</v>
      </c>
      <c r="D1361" s="1" t="s">
        <v>1600</v>
      </c>
      <c r="E1361" s="1" t="s">
        <v>1696</v>
      </c>
      <c r="F1361" s="1" t="s">
        <v>120</v>
      </c>
      <c r="G1361" s="4">
        <f>3720298/1506527294</f>
        <v>2.4694527704985608E-3</v>
      </c>
      <c r="H1361" s="28">
        <v>41639</v>
      </c>
      <c r="I1361" s="29">
        <f t="shared" si="1759"/>
        <v>2013</v>
      </c>
      <c r="J1361" s="1" t="s">
        <v>71</v>
      </c>
      <c r="K1361" s="1" t="s">
        <v>7</v>
      </c>
      <c r="L1361" s="11" t="str">
        <f t="shared" si="1768"/>
        <v>ДА</v>
      </c>
      <c r="M1361" s="10">
        <v>6</v>
      </c>
      <c r="N1361" s="10" t="s">
        <v>1575</v>
      </c>
      <c r="O1361" s="10">
        <f>M1361*32.7292/1000</f>
        <v>0.1963752</v>
      </c>
      <c r="P1361" s="10">
        <f t="shared" si="1738"/>
        <v>79.52174763008469</v>
      </c>
      <c r="Q1361" s="10">
        <f t="shared" si="1739"/>
        <v>294.11674763008483</v>
      </c>
      <c r="R1361" s="10">
        <v>749.61699999999996</v>
      </c>
      <c r="S1361" s="10">
        <v>340.57399999999996</v>
      </c>
      <c r="T1361" s="10">
        <v>238.31299999999999</v>
      </c>
      <c r="U1361" s="10">
        <v>158.017</v>
      </c>
      <c r="V1361" s="10">
        <v>1315.039</v>
      </c>
      <c r="W1361" s="10">
        <v>214.59500000000014</v>
      </c>
      <c r="X1361" s="10">
        <f>IFERROR(V1368+W1368,"NA")</f>
        <v>52.797000000000004</v>
      </c>
      <c r="Y1361" s="10">
        <f>IFERROR(P1361/R1368,"NA")</f>
        <v>3.7267666899467939</v>
      </c>
      <c r="Z1361" s="10">
        <f>IFERROR(P1361/U1368,"NA")</f>
        <v>19.935258869412056</v>
      </c>
      <c r="AA1361" s="10">
        <f>IFERROR(P1361/V1368,"NA")</f>
        <v>1.7324622040932591</v>
      </c>
      <c r="AB1361" s="10">
        <f>IFERROR(Q1361/R1368,"NA")</f>
        <v>13.783707359175406</v>
      </c>
      <c r="AC1361" s="10">
        <f>IFERROR(Q1361/S1368,"NA")</f>
        <v>31.924101555420037</v>
      </c>
      <c r="AD1361" s="10">
        <f>IFERROR(Q1361/T1368,"NA")</f>
        <v>53.080084394528932</v>
      </c>
      <c r="AE1361" s="10">
        <f t="shared" si="1776"/>
        <v>5.5707094651227305</v>
      </c>
      <c r="AF1361" s="1" t="s">
        <v>5301</v>
      </c>
    </row>
    <row r="1362" spans="1:32" x14ac:dyDescent="0.2">
      <c r="A1362" s="1" t="s">
        <v>1205</v>
      </c>
      <c r="B1362" s="1" t="s">
        <v>5</v>
      </c>
      <c r="C1362" s="1" t="s">
        <v>1575</v>
      </c>
      <c r="D1362" s="1" t="s">
        <v>1600</v>
      </c>
      <c r="E1362" s="1" t="s">
        <v>1659</v>
      </c>
      <c r="F1362" s="1" t="s">
        <v>118</v>
      </c>
      <c r="G1362" s="33">
        <v>0.5</v>
      </c>
      <c r="H1362" s="28">
        <v>41305</v>
      </c>
      <c r="I1362" s="29">
        <f t="shared" si="1759"/>
        <v>2013</v>
      </c>
      <c r="J1362" s="1" t="s">
        <v>71</v>
      </c>
      <c r="K1362" s="1" t="s">
        <v>5199</v>
      </c>
      <c r="L1362" s="11" t="str">
        <f t="shared" si="1768"/>
        <v>НЕТ</v>
      </c>
      <c r="M1362" s="10">
        <v>1.6699999999999999E-4</v>
      </c>
      <c r="N1362" s="10" t="s">
        <v>1575</v>
      </c>
      <c r="O1362" s="10">
        <f>M1362*30.3727/1000</f>
        <v>5.0722408999999992E-6</v>
      </c>
      <c r="P1362" s="10">
        <f t="shared" si="1738"/>
        <v>1.0144481799999998E-5</v>
      </c>
      <c r="Q1362" s="10" t="str">
        <f t="shared" si="1739"/>
        <v>NA</v>
      </c>
      <c r="R1362" s="10">
        <v>0</v>
      </c>
      <c r="S1362" s="10" t="s">
        <v>1575</v>
      </c>
      <c r="T1362" s="10" t="s">
        <v>1575</v>
      </c>
      <c r="U1362" s="10">
        <f>-0.023*31.0741718875502</f>
        <v>-0.71470595341365462</v>
      </c>
      <c r="V1362" s="10">
        <f>-0.123*30.3727</f>
        <v>-3.7358420999999997</v>
      </c>
      <c r="W1362" s="10" t="s">
        <v>1575</v>
      </c>
      <c r="X1362" s="10" t="str">
        <f t="shared" ref="X1362:X1363" si="1777">IFERROR(V1362+W1362,"NA")</f>
        <v>NA</v>
      </c>
      <c r="Y1362" s="10" t="str">
        <f t="shared" ref="Y1362:Y1363" si="1778">IFERROR(P1362/R1362,"NA")</f>
        <v>NA</v>
      </c>
      <c r="Z1362" s="10">
        <f t="shared" ref="Z1362:Z1363" si="1779">IFERROR(P1362/U1362,"NA")</f>
        <v>-1.4193923741011034E-5</v>
      </c>
      <c r="AA1362" s="10">
        <f t="shared" ref="AA1362:AA1363" si="1780">IFERROR(P1362/V1362,"NA")</f>
        <v>-2.7154471544715445E-6</v>
      </c>
      <c r="AB1362" s="10" t="str">
        <f t="shared" ref="AB1362:AB1363" si="1781">IFERROR(Q1362/R1362,"NA")</f>
        <v>NA</v>
      </c>
      <c r="AC1362" s="10" t="str">
        <f t="shared" ref="AC1362:AC1363" si="1782">IFERROR(Q1362/S1362,"NA")</f>
        <v>NA</v>
      </c>
      <c r="AD1362" s="10" t="str">
        <f t="shared" ref="AD1362:AD1363" si="1783">IFERROR(Q1362/T1362,"NA")</f>
        <v>NA</v>
      </c>
      <c r="AE1362" s="10" t="str">
        <f t="shared" si="1776"/>
        <v>NA</v>
      </c>
      <c r="AF1362" s="1" t="s">
        <v>1206</v>
      </c>
    </row>
    <row r="1363" spans="1:32" x14ac:dyDescent="0.2">
      <c r="A1363" s="1" t="s">
        <v>5304</v>
      </c>
      <c r="B1363" s="1" t="s">
        <v>5</v>
      </c>
      <c r="C1363" s="1" t="s">
        <v>1575</v>
      </c>
      <c r="D1363" s="1" t="s">
        <v>1600</v>
      </c>
      <c r="E1363" s="1" t="s">
        <v>1671</v>
      </c>
      <c r="F1363" s="1" t="s">
        <v>1194</v>
      </c>
      <c r="G1363" s="4" t="s">
        <v>11</v>
      </c>
      <c r="H1363" s="28">
        <v>41639</v>
      </c>
      <c r="I1363" s="29">
        <f t="shared" si="1759"/>
        <v>2013</v>
      </c>
      <c r="J1363" s="1" t="s">
        <v>7</v>
      </c>
      <c r="K1363" s="1" t="s">
        <v>71</v>
      </c>
      <c r="L1363" s="11" t="str">
        <f t="shared" si="1768"/>
        <v>НЕТ</v>
      </c>
      <c r="M1363" s="10">
        <v>21</v>
      </c>
      <c r="N1363" s="10" t="s">
        <v>1575</v>
      </c>
      <c r="O1363" s="10">
        <f>M1363*32.7292/1000</f>
        <v>0.68731319999999996</v>
      </c>
      <c r="P1363" s="10" t="str">
        <f t="shared" si="1738"/>
        <v>NA</v>
      </c>
      <c r="Q1363" s="10" t="str">
        <f t="shared" si="1739"/>
        <v>NA</v>
      </c>
      <c r="R1363" s="10" t="s">
        <v>1575</v>
      </c>
      <c r="S1363" s="10" t="s">
        <v>1575</v>
      </c>
      <c r="T1363" s="10" t="s">
        <v>1575</v>
      </c>
      <c r="U1363" s="10" t="s">
        <v>1575</v>
      </c>
      <c r="V1363" s="10" t="s">
        <v>1575</v>
      </c>
      <c r="W1363" s="10" t="s">
        <v>1575</v>
      </c>
      <c r="X1363" s="10" t="str">
        <f t="shared" si="1777"/>
        <v>NA</v>
      </c>
      <c r="Y1363" s="10" t="str">
        <f t="shared" si="1778"/>
        <v>NA</v>
      </c>
      <c r="Z1363" s="10" t="str">
        <f t="shared" si="1779"/>
        <v>NA</v>
      </c>
      <c r="AA1363" s="10" t="str">
        <f t="shared" si="1780"/>
        <v>NA</v>
      </c>
      <c r="AB1363" s="10" t="str">
        <f t="shared" si="1781"/>
        <v>NA</v>
      </c>
      <c r="AC1363" s="10" t="str">
        <f t="shared" si="1782"/>
        <v>NA</v>
      </c>
      <c r="AD1363" s="10" t="str">
        <f t="shared" si="1783"/>
        <v>NA</v>
      </c>
      <c r="AE1363" s="10" t="str">
        <f t="shared" si="1776"/>
        <v>NA</v>
      </c>
      <c r="AF1363" s="1" t="s">
        <v>1197</v>
      </c>
    </row>
    <row r="1364" spans="1:32" x14ac:dyDescent="0.2">
      <c r="A1364" s="1" t="s">
        <v>1213</v>
      </c>
      <c r="B1364" s="1" t="s">
        <v>5</v>
      </c>
      <c r="C1364" s="1" t="s">
        <v>1575</v>
      </c>
      <c r="D1364" s="1" t="s">
        <v>1601</v>
      </c>
      <c r="E1364" s="1" t="s">
        <v>1608</v>
      </c>
      <c r="F1364" s="1" t="s">
        <v>1562</v>
      </c>
      <c r="G1364" s="4" t="s">
        <v>11</v>
      </c>
      <c r="H1364" s="28">
        <v>40909</v>
      </c>
      <c r="I1364" s="29">
        <f t="shared" si="1759"/>
        <v>2012</v>
      </c>
      <c r="J1364" s="1" t="s">
        <v>71</v>
      </c>
      <c r="K1364" s="1" t="s">
        <v>7</v>
      </c>
      <c r="L1364" s="11" t="str">
        <f t="shared" si="1768"/>
        <v>НЕТ</v>
      </c>
      <c r="M1364" s="10">
        <v>20</v>
      </c>
      <c r="N1364" s="10" t="s">
        <v>1575</v>
      </c>
      <c r="O1364" s="10">
        <f>M1364*32.1961/1000</f>
        <v>0.64392199999999999</v>
      </c>
      <c r="P1364" s="10" t="str">
        <f t="shared" si="1738"/>
        <v>NA</v>
      </c>
      <c r="Q1364" s="10" t="str">
        <f t="shared" si="1739"/>
        <v>NA</v>
      </c>
      <c r="R1364" s="10" t="s">
        <v>1575</v>
      </c>
      <c r="S1364" s="10" t="s">
        <v>1575</v>
      </c>
      <c r="T1364" s="10" t="s">
        <v>1575</v>
      </c>
      <c r="U1364" s="10" t="s">
        <v>1575</v>
      </c>
      <c r="V1364" s="10" t="s">
        <v>1575</v>
      </c>
      <c r="W1364" s="10" t="s">
        <v>1575</v>
      </c>
      <c r="X1364" s="10" t="str">
        <f t="shared" si="1769"/>
        <v>NA</v>
      </c>
      <c r="Y1364" s="10" t="str">
        <f t="shared" si="1770"/>
        <v>NA</v>
      </c>
      <c r="Z1364" s="10" t="str">
        <f t="shared" si="1771"/>
        <v>NA</v>
      </c>
      <c r="AA1364" s="10" t="str">
        <f t="shared" si="1772"/>
        <v>NA</v>
      </c>
      <c r="AB1364" s="10" t="str">
        <f t="shared" si="1773"/>
        <v>NA</v>
      </c>
      <c r="AC1364" s="10" t="str">
        <f t="shared" si="1774"/>
        <v>NA</v>
      </c>
      <c r="AD1364" s="10" t="str">
        <f t="shared" si="1775"/>
        <v>NA</v>
      </c>
      <c r="AE1364" s="10" t="str">
        <f t="shared" si="1776"/>
        <v>NA</v>
      </c>
      <c r="AF1364" s="1" t="s">
        <v>1214</v>
      </c>
    </row>
    <row r="1365" spans="1:32" x14ac:dyDescent="0.2">
      <c r="A1365" s="1" t="s">
        <v>1216</v>
      </c>
      <c r="B1365" s="1" t="s">
        <v>75</v>
      </c>
      <c r="C1365" s="1" t="s">
        <v>1575</v>
      </c>
      <c r="D1365" s="1" t="s">
        <v>1600</v>
      </c>
      <c r="E1365" s="1" t="s">
        <v>3025</v>
      </c>
      <c r="F1365" s="1" t="s">
        <v>1215</v>
      </c>
      <c r="G1365" s="4" t="s">
        <v>11</v>
      </c>
      <c r="H1365" s="28">
        <v>41274</v>
      </c>
      <c r="I1365" s="29">
        <f t="shared" si="1759"/>
        <v>2012</v>
      </c>
      <c r="J1365" s="1" t="s">
        <v>71</v>
      </c>
      <c r="K1365" s="1" t="s">
        <v>7</v>
      </c>
      <c r="L1365" s="11" t="str">
        <f t="shared" si="1768"/>
        <v>НЕТ</v>
      </c>
      <c r="M1365" s="10">
        <v>12</v>
      </c>
      <c r="N1365" s="10" t="s">
        <v>1575</v>
      </c>
      <c r="O1365" s="10">
        <f>M1365*30.3727/1000</f>
        <v>0.36447239999999997</v>
      </c>
      <c r="P1365" s="10" t="str">
        <f t="shared" si="1738"/>
        <v>NA</v>
      </c>
      <c r="Q1365" s="10" t="str">
        <f t="shared" si="1739"/>
        <v>NA</v>
      </c>
      <c r="R1365" s="10" t="s">
        <v>1575</v>
      </c>
      <c r="S1365" s="10" t="s">
        <v>1575</v>
      </c>
      <c r="T1365" s="10" t="s">
        <v>1575</v>
      </c>
      <c r="U1365" s="10" t="s">
        <v>1575</v>
      </c>
      <c r="V1365" s="10" t="s">
        <v>1575</v>
      </c>
      <c r="W1365" s="10" t="s">
        <v>1575</v>
      </c>
      <c r="X1365" s="10" t="str">
        <f t="shared" si="1769"/>
        <v>NA</v>
      </c>
      <c r="Y1365" s="10" t="str">
        <f t="shared" si="1770"/>
        <v>NA</v>
      </c>
      <c r="Z1365" s="10" t="str">
        <f t="shared" si="1771"/>
        <v>NA</v>
      </c>
      <c r="AA1365" s="10" t="str">
        <f t="shared" si="1772"/>
        <v>NA</v>
      </c>
      <c r="AB1365" s="10" t="str">
        <f t="shared" si="1773"/>
        <v>NA</v>
      </c>
      <c r="AC1365" s="10" t="str">
        <f t="shared" si="1774"/>
        <v>NA</v>
      </c>
      <c r="AD1365" s="10" t="str">
        <f t="shared" si="1775"/>
        <v>NA</v>
      </c>
      <c r="AE1365" s="10" t="str">
        <f t="shared" si="1776"/>
        <v>NA</v>
      </c>
      <c r="AF1365" s="1" t="s">
        <v>1217</v>
      </c>
    </row>
    <row r="1366" spans="1:32" x14ac:dyDescent="0.2">
      <c r="A1366" s="1" t="s">
        <v>1219</v>
      </c>
      <c r="B1366" s="1" t="s">
        <v>1575</v>
      </c>
      <c r="C1366" s="1" t="s">
        <v>1575</v>
      </c>
      <c r="D1366" s="1" t="s">
        <v>1600</v>
      </c>
      <c r="E1366" s="1" t="s">
        <v>1696</v>
      </c>
      <c r="F1366" s="1" t="s">
        <v>120</v>
      </c>
      <c r="G1366" s="4" t="s">
        <v>1575</v>
      </c>
      <c r="H1366" s="28">
        <v>40956</v>
      </c>
      <c r="I1366" s="29">
        <f t="shared" si="1759"/>
        <v>2012</v>
      </c>
      <c r="J1366" s="1" t="s">
        <v>71</v>
      </c>
      <c r="K1366" s="1" t="s">
        <v>7</v>
      </c>
      <c r="L1366" s="11" t="str">
        <f t="shared" si="1768"/>
        <v>НЕТ</v>
      </c>
      <c r="M1366" s="10">
        <v>4</v>
      </c>
      <c r="N1366" s="10" t="s">
        <v>1575</v>
      </c>
      <c r="O1366" s="10">
        <f>M1366*29.3282/1000</f>
        <v>0.11731279999999999</v>
      </c>
      <c r="P1366" s="10" t="str">
        <f t="shared" si="1738"/>
        <v>NA</v>
      </c>
      <c r="Q1366" s="10" t="str">
        <f t="shared" si="1739"/>
        <v>NA</v>
      </c>
      <c r="R1366" s="10" t="s">
        <v>1575</v>
      </c>
      <c r="S1366" s="10" t="s">
        <v>1575</v>
      </c>
      <c r="T1366" s="10" t="s">
        <v>1575</v>
      </c>
      <c r="U1366" s="10" t="s">
        <v>1575</v>
      </c>
      <c r="V1366" s="10" t="s">
        <v>1575</v>
      </c>
      <c r="W1366" s="10" t="s">
        <v>1575</v>
      </c>
      <c r="X1366" s="10" t="str">
        <f t="shared" si="1769"/>
        <v>NA</v>
      </c>
      <c r="Y1366" s="10" t="str">
        <f t="shared" si="1770"/>
        <v>NA</v>
      </c>
      <c r="Z1366" s="10" t="str">
        <f t="shared" si="1771"/>
        <v>NA</v>
      </c>
      <c r="AA1366" s="10" t="str">
        <f t="shared" si="1772"/>
        <v>NA</v>
      </c>
      <c r="AB1366" s="10" t="str">
        <f t="shared" si="1773"/>
        <v>NA</v>
      </c>
      <c r="AC1366" s="10" t="str">
        <f t="shared" si="1774"/>
        <v>NA</v>
      </c>
      <c r="AD1366" s="10" t="str">
        <f t="shared" si="1775"/>
        <v>NA</v>
      </c>
      <c r="AE1366" s="10" t="str">
        <f t="shared" si="1776"/>
        <v>NA</v>
      </c>
      <c r="AF1366" s="1" t="s">
        <v>1218</v>
      </c>
    </row>
    <row r="1367" spans="1:32" x14ac:dyDescent="0.2">
      <c r="A1367" s="1" t="s">
        <v>5302</v>
      </c>
      <c r="B1367" s="1" t="s">
        <v>5</v>
      </c>
      <c r="C1367" s="1" t="s">
        <v>1575</v>
      </c>
      <c r="D1367" s="1" t="s">
        <v>1600</v>
      </c>
      <c r="E1367" s="1" t="s">
        <v>1659</v>
      </c>
      <c r="F1367" s="1" t="s">
        <v>118</v>
      </c>
      <c r="G1367" s="33">
        <v>9.9959999999999993E-2</v>
      </c>
      <c r="H1367" s="28">
        <v>41090</v>
      </c>
      <c r="I1367" s="29">
        <f t="shared" si="1759"/>
        <v>2012</v>
      </c>
      <c r="J1367" s="1" t="s">
        <v>71</v>
      </c>
      <c r="K1367" s="1" t="s">
        <v>7</v>
      </c>
      <c r="L1367" s="11" t="str">
        <f t="shared" si="1768"/>
        <v>НЕТ</v>
      </c>
      <c r="M1367" s="10">
        <v>36</v>
      </c>
      <c r="N1367" s="10" t="s">
        <v>1575</v>
      </c>
      <c r="O1367" s="10">
        <f>M1367*32.8169/1000</f>
        <v>1.1814083999999998</v>
      </c>
      <c r="P1367" s="10">
        <f t="shared" si="1738"/>
        <v>11.818811524609842</v>
      </c>
      <c r="Q1367" s="10" t="str">
        <f t="shared" si="1739"/>
        <v>NA</v>
      </c>
      <c r="R1367" s="10" t="s">
        <v>1575</v>
      </c>
      <c r="S1367" s="10" t="s">
        <v>1575</v>
      </c>
      <c r="T1367" s="10" t="s">
        <v>1575</v>
      </c>
      <c r="U1367" s="10" t="s">
        <v>1575</v>
      </c>
      <c r="V1367" s="10" t="s">
        <v>1575</v>
      </c>
      <c r="W1367" s="10" t="s">
        <v>1575</v>
      </c>
      <c r="X1367" s="10" t="str">
        <f t="shared" si="1769"/>
        <v>NA</v>
      </c>
      <c r="Y1367" s="10" t="str">
        <f t="shared" si="1770"/>
        <v>NA</v>
      </c>
      <c r="Z1367" s="10" t="str">
        <f t="shared" si="1771"/>
        <v>NA</v>
      </c>
      <c r="AA1367" s="10" t="str">
        <f t="shared" si="1772"/>
        <v>NA</v>
      </c>
      <c r="AB1367" s="10" t="str">
        <f t="shared" si="1773"/>
        <v>NA</v>
      </c>
      <c r="AC1367" s="10" t="str">
        <f t="shared" si="1774"/>
        <v>NA</v>
      </c>
      <c r="AD1367" s="10" t="str">
        <f t="shared" si="1775"/>
        <v>NA</v>
      </c>
      <c r="AE1367" s="10" t="str">
        <f t="shared" si="1776"/>
        <v>NA</v>
      </c>
      <c r="AF1367" s="1" t="s">
        <v>1202</v>
      </c>
    </row>
    <row r="1368" spans="1:32" x14ac:dyDescent="0.2">
      <c r="A1368" s="1" t="s">
        <v>1177</v>
      </c>
      <c r="B1368" s="1" t="s">
        <v>5</v>
      </c>
      <c r="C1368" s="1" t="s">
        <v>1686</v>
      </c>
      <c r="D1368" s="1" t="s">
        <v>1600</v>
      </c>
      <c r="E1368" s="1" t="s">
        <v>1659</v>
      </c>
      <c r="F1368" s="1" t="s">
        <v>118</v>
      </c>
      <c r="G1368" s="4">
        <v>9.9400000000000002E-2</v>
      </c>
      <c r="H1368" s="28">
        <v>40967</v>
      </c>
      <c r="I1368" s="29">
        <f t="shared" si="1759"/>
        <v>2012</v>
      </c>
      <c r="J1368" s="1" t="s">
        <v>1177</v>
      </c>
      <c r="K1368" s="1" t="s">
        <v>1203</v>
      </c>
      <c r="L1368" s="11" t="str">
        <f t="shared" si="1768"/>
        <v>ДА</v>
      </c>
      <c r="M1368" s="10">
        <v>248</v>
      </c>
      <c r="N1368" s="10" t="s">
        <v>1575</v>
      </c>
      <c r="O1368" s="10">
        <f>M1368*29.3282/1000</f>
        <v>7.2733935999999995</v>
      </c>
      <c r="P1368" s="10">
        <f t="shared" si="1738"/>
        <v>73.172973843058344</v>
      </c>
      <c r="Q1368" s="10">
        <f t="shared" si="1739"/>
        <v>80.068973843058345</v>
      </c>
      <c r="R1368" s="10">
        <v>21.338000000000001</v>
      </c>
      <c r="S1368" s="10">
        <v>9.213000000000001</v>
      </c>
      <c r="T1368" s="10">
        <v>5.5410000000000004</v>
      </c>
      <c r="U1368" s="10">
        <v>3.9889999999999999</v>
      </c>
      <c r="V1368" s="10">
        <v>45.901000000000003</v>
      </c>
      <c r="W1368" s="10">
        <v>6.8960000000000008</v>
      </c>
      <c r="X1368" s="10" t="str">
        <f>IFERROR(#REF!+#REF!,"NA")</f>
        <v>NA</v>
      </c>
      <c r="Y1368" s="10" t="str">
        <f>IFERROR(P1368/#REF!,"NA")</f>
        <v>NA</v>
      </c>
      <c r="Z1368" s="10" t="str">
        <f>IFERROR(P1368/#REF!,"NA")</f>
        <v>NA</v>
      </c>
      <c r="AA1368" s="10" t="str">
        <f>IFERROR(P1368/#REF!,"NA")</f>
        <v>NA</v>
      </c>
      <c r="AB1368" s="10" t="str">
        <f>IFERROR(Q1368/#REF!,"NA")</f>
        <v>NA</v>
      </c>
      <c r="AC1368" s="10" t="str">
        <f>IFERROR(Q1368/#REF!,"NA")</f>
        <v>NA</v>
      </c>
      <c r="AD1368" s="10" t="str">
        <f>IFERROR(Q1368/#REF!,"NA")</f>
        <v>NA</v>
      </c>
      <c r="AE1368" s="10" t="str">
        <f t="shared" si="1776"/>
        <v>NA</v>
      </c>
      <c r="AF1368" s="1" t="s">
        <v>1204</v>
      </c>
    </row>
    <row r="1369" spans="1:32" x14ac:dyDescent="0.2">
      <c r="A1369" s="1" t="s">
        <v>5920</v>
      </c>
      <c r="B1369" s="1" t="s">
        <v>5</v>
      </c>
      <c r="C1369" s="1" t="s">
        <v>1575</v>
      </c>
      <c r="D1369" s="1" t="s">
        <v>1615</v>
      </c>
      <c r="E1369" s="1" t="s">
        <v>2176</v>
      </c>
      <c r="F1369" s="1" t="s">
        <v>1162</v>
      </c>
      <c r="G1369" s="4" t="s">
        <v>11</v>
      </c>
      <c r="H1369" s="28">
        <v>41274</v>
      </c>
      <c r="I1369" s="29">
        <f t="shared" si="1759"/>
        <v>2012</v>
      </c>
      <c r="J1369" s="1" t="s">
        <v>7</v>
      </c>
      <c r="K1369" s="1" t="s">
        <v>71</v>
      </c>
      <c r="L1369" s="11" t="str">
        <f t="shared" si="1768"/>
        <v>НЕТ</v>
      </c>
      <c r="M1369" s="10">
        <v>306</v>
      </c>
      <c r="N1369" s="10" t="s">
        <v>1575</v>
      </c>
      <c r="O1369" s="10">
        <f>M1369*30.3727/1000</f>
        <v>9.2940461999999986</v>
      </c>
      <c r="P1369" s="10" t="str">
        <f t="shared" si="1738"/>
        <v>NA</v>
      </c>
      <c r="Q1369" s="10" t="str">
        <f t="shared" si="1739"/>
        <v>NA</v>
      </c>
      <c r="R1369" s="10" t="s">
        <v>1575</v>
      </c>
      <c r="S1369" s="10" t="s">
        <v>1575</v>
      </c>
      <c r="T1369" s="10" t="s">
        <v>1575</v>
      </c>
      <c r="U1369" s="10" t="s">
        <v>1575</v>
      </c>
      <c r="V1369" s="10" t="s">
        <v>1575</v>
      </c>
      <c r="W1369" s="10" t="s">
        <v>1575</v>
      </c>
      <c r="X1369" s="10" t="str">
        <f t="shared" ref="X1369:X1371" si="1784">IFERROR(V1369+W1369,"NA")</f>
        <v>NA</v>
      </c>
      <c r="Y1369" s="10" t="str">
        <f t="shared" ref="Y1369:Y1371" si="1785">IFERROR(P1369/R1369,"NA")</f>
        <v>NA</v>
      </c>
      <c r="Z1369" s="10" t="str">
        <f t="shared" ref="Z1369:Z1371" si="1786">IFERROR(P1369/U1369,"NA")</f>
        <v>NA</v>
      </c>
      <c r="AA1369" s="10" t="str">
        <f t="shared" ref="AA1369:AA1371" si="1787">IFERROR(P1369/V1369,"NA")</f>
        <v>NA</v>
      </c>
      <c r="AB1369" s="10" t="str">
        <f t="shared" ref="AB1369:AB1371" si="1788">IFERROR(Q1369/R1369,"NA")</f>
        <v>NA</v>
      </c>
      <c r="AC1369" s="10" t="str">
        <f t="shared" ref="AC1369:AC1371" si="1789">IFERROR(Q1369/S1369,"NA")</f>
        <v>NA</v>
      </c>
      <c r="AD1369" s="10" t="str">
        <f t="shared" ref="AD1369:AD1371" si="1790">IFERROR(Q1369/T1369,"NA")</f>
        <v>NA</v>
      </c>
      <c r="AE1369" s="10" t="str">
        <f t="shared" si="1776"/>
        <v>NA</v>
      </c>
      <c r="AF1369" s="1" t="s">
        <v>1209</v>
      </c>
    </row>
    <row r="1370" spans="1:32" x14ac:dyDescent="0.2">
      <c r="A1370" s="1" t="s">
        <v>1207</v>
      </c>
      <c r="B1370" s="1" t="s">
        <v>91</v>
      </c>
      <c r="C1370" s="1" t="s">
        <v>1575</v>
      </c>
      <c r="D1370" s="1" t="s">
        <v>1600</v>
      </c>
      <c r="E1370" s="1" t="s">
        <v>3025</v>
      </c>
      <c r="F1370" s="1" t="s">
        <v>1173</v>
      </c>
      <c r="G1370" s="4" t="s">
        <v>11</v>
      </c>
      <c r="H1370" s="28">
        <v>41152</v>
      </c>
      <c r="I1370" s="29">
        <f t="shared" si="1759"/>
        <v>2012</v>
      </c>
      <c r="J1370" s="1" t="s">
        <v>7</v>
      </c>
      <c r="K1370" s="1" t="s">
        <v>71</v>
      </c>
      <c r="L1370" s="11" t="str">
        <f t="shared" si="1768"/>
        <v>НЕТ</v>
      </c>
      <c r="M1370" s="10">
        <v>3.9999999999999998E-6</v>
      </c>
      <c r="N1370" s="10" t="s">
        <v>1575</v>
      </c>
      <c r="O1370" s="10">
        <f>M1370*32.8169/1000</f>
        <v>1.3126759999999999E-7</v>
      </c>
      <c r="P1370" s="10" t="str">
        <f t="shared" si="1738"/>
        <v>NA</v>
      </c>
      <c r="Q1370" s="10" t="str">
        <f t="shared" si="1739"/>
        <v>NA</v>
      </c>
      <c r="R1370" s="10" t="s">
        <v>1575</v>
      </c>
      <c r="S1370" s="10" t="s">
        <v>1575</v>
      </c>
      <c r="T1370" s="10" t="s">
        <v>1575</v>
      </c>
      <c r="U1370" s="10" t="s">
        <v>1575</v>
      </c>
      <c r="V1370" s="10" t="s">
        <v>1575</v>
      </c>
      <c r="W1370" s="10" t="s">
        <v>1575</v>
      </c>
      <c r="X1370" s="10" t="str">
        <f t="shared" si="1784"/>
        <v>NA</v>
      </c>
      <c r="Y1370" s="10" t="str">
        <f t="shared" si="1785"/>
        <v>NA</v>
      </c>
      <c r="Z1370" s="10" t="str">
        <f t="shared" si="1786"/>
        <v>NA</v>
      </c>
      <c r="AA1370" s="10" t="str">
        <f t="shared" si="1787"/>
        <v>NA</v>
      </c>
      <c r="AB1370" s="10" t="str">
        <f t="shared" si="1788"/>
        <v>NA</v>
      </c>
      <c r="AC1370" s="10" t="str">
        <f t="shared" si="1789"/>
        <v>NA</v>
      </c>
      <c r="AD1370" s="10" t="str">
        <f t="shared" si="1790"/>
        <v>NA</v>
      </c>
      <c r="AE1370" s="10" t="str">
        <f t="shared" si="1776"/>
        <v>NA</v>
      </c>
      <c r="AF1370" s="1" t="s">
        <v>1208</v>
      </c>
    </row>
    <row r="1371" spans="1:32" x14ac:dyDescent="0.2">
      <c r="A1371" s="1" t="s">
        <v>1210</v>
      </c>
      <c r="B1371" s="1" t="s">
        <v>1575</v>
      </c>
      <c r="C1371" s="1" t="s">
        <v>1575</v>
      </c>
      <c r="D1371" s="1" t="s">
        <v>1615</v>
      </c>
      <c r="E1371" s="1" t="s">
        <v>1616</v>
      </c>
      <c r="F1371" s="1" t="s">
        <v>1211</v>
      </c>
      <c r="G1371" s="4" t="s">
        <v>11</v>
      </c>
      <c r="H1371" s="28">
        <v>41029</v>
      </c>
      <c r="I1371" s="29">
        <f t="shared" si="1759"/>
        <v>2012</v>
      </c>
      <c r="J1371" s="1" t="s">
        <v>7</v>
      </c>
      <c r="K1371" s="1" t="s">
        <v>71</v>
      </c>
      <c r="L1371" s="11" t="str">
        <f t="shared" si="1768"/>
        <v>НЕТ</v>
      </c>
      <c r="M1371" s="10" t="s">
        <v>1575</v>
      </c>
      <c r="N1371" s="10" t="s">
        <v>1575</v>
      </c>
      <c r="O1371" s="10" t="s">
        <v>1575</v>
      </c>
      <c r="P1371" s="10" t="str">
        <f t="shared" si="1738"/>
        <v>NA</v>
      </c>
      <c r="Q1371" s="10" t="str">
        <f t="shared" si="1739"/>
        <v>NA</v>
      </c>
      <c r="R1371" s="10" t="s">
        <v>1575</v>
      </c>
      <c r="S1371" s="10" t="s">
        <v>1575</v>
      </c>
      <c r="T1371" s="10" t="s">
        <v>1575</v>
      </c>
      <c r="U1371" s="10" t="s">
        <v>1575</v>
      </c>
      <c r="V1371" s="10" t="s">
        <v>1575</v>
      </c>
      <c r="W1371" s="10" t="s">
        <v>1575</v>
      </c>
      <c r="X1371" s="10" t="str">
        <f t="shared" si="1784"/>
        <v>NA</v>
      </c>
      <c r="Y1371" s="10" t="str">
        <f t="shared" si="1785"/>
        <v>NA</v>
      </c>
      <c r="Z1371" s="10" t="str">
        <f t="shared" si="1786"/>
        <v>NA</v>
      </c>
      <c r="AA1371" s="10" t="str">
        <f t="shared" si="1787"/>
        <v>NA</v>
      </c>
      <c r="AB1371" s="10" t="str">
        <f t="shared" si="1788"/>
        <v>NA</v>
      </c>
      <c r="AC1371" s="10" t="str">
        <f t="shared" si="1789"/>
        <v>NA</v>
      </c>
      <c r="AD1371" s="10" t="str">
        <f t="shared" si="1790"/>
        <v>NA</v>
      </c>
      <c r="AE1371" s="10" t="str">
        <f t="shared" si="1776"/>
        <v>NA</v>
      </c>
      <c r="AF1371" s="1" t="s">
        <v>1212</v>
      </c>
    </row>
    <row r="1372" spans="1:32" x14ac:dyDescent="0.2">
      <c r="A1372" s="1" t="s">
        <v>71</v>
      </c>
      <c r="B1372" s="1" t="s">
        <v>122</v>
      </c>
      <c r="C1372" s="1" t="s">
        <v>1575</v>
      </c>
      <c r="D1372" s="1" t="s">
        <v>1600</v>
      </c>
      <c r="E1372" s="1" t="s">
        <v>1696</v>
      </c>
      <c r="F1372" s="1" t="s">
        <v>120</v>
      </c>
      <c r="G1372" s="4">
        <f>869469/1506527294</f>
        <v>5.7713458193741826E-4</v>
      </c>
      <c r="H1372" s="28">
        <v>41274</v>
      </c>
      <c r="I1372" s="29">
        <f t="shared" ref="I1372:I1375" si="1791">YEAR(H1372)</f>
        <v>2012</v>
      </c>
      <c r="J1372" s="1" t="s">
        <v>71</v>
      </c>
      <c r="K1372" s="1" t="s">
        <v>7</v>
      </c>
      <c r="L1372" s="11" t="str">
        <f t="shared" ref="L1372:L1375" si="1792">IF(OR(A1372=J1372,A1372=K1372),"ДА","НЕТ")</f>
        <v>ДА</v>
      </c>
      <c r="M1372" s="10">
        <v>4</v>
      </c>
      <c r="N1372" s="10" t="s">
        <v>1575</v>
      </c>
      <c r="O1372" s="10">
        <f>M1372*30.3727/1000</f>
        <v>0.1214908</v>
      </c>
      <c r="P1372" s="10">
        <f t="shared" si="1738"/>
        <v>210.50687968161623</v>
      </c>
      <c r="Q1372" s="10">
        <f t="shared" si="1739"/>
        <v>537.33687968161621</v>
      </c>
      <c r="R1372" s="10">
        <v>732.375</v>
      </c>
      <c r="S1372" s="10">
        <v>327.923</v>
      </c>
      <c r="T1372" s="10">
        <v>243.726</v>
      </c>
      <c r="U1372" s="10">
        <v>184.39</v>
      </c>
      <c r="V1372" s="10">
        <v>1173.33</v>
      </c>
      <c r="W1372" s="10">
        <v>326.83000000000004</v>
      </c>
      <c r="X1372" s="10" t="str">
        <f>IFERROR(#REF!+#REF!,"NA")</f>
        <v>NA</v>
      </c>
      <c r="Y1372" s="10" t="str">
        <f>IFERROR(P1372/#REF!,"NA")</f>
        <v>NA</v>
      </c>
      <c r="Z1372" s="10" t="str">
        <f>IFERROR(P1372/#REF!,"NA")</f>
        <v>NA</v>
      </c>
      <c r="AA1372" s="10" t="str">
        <f>IFERROR(P1372/#REF!,"NA")</f>
        <v>NA</v>
      </c>
      <c r="AB1372" s="10" t="str">
        <f>IFERROR(Q1372/#REF!,"NA")</f>
        <v>NA</v>
      </c>
      <c r="AC1372" s="10" t="str">
        <f>IFERROR(Q1372/#REF!,"NA")</f>
        <v>NA</v>
      </c>
      <c r="AD1372" s="10" t="str">
        <f>IFERROR(Q1372/#REF!,"NA")</f>
        <v>NA</v>
      </c>
      <c r="AE1372" s="10" t="str">
        <f t="shared" ref="AE1372:AE1375" si="1793">IFERROR(Q1372/X1372,"NA")</f>
        <v>NA</v>
      </c>
      <c r="AF1372" s="1" t="s">
        <v>5303</v>
      </c>
    </row>
    <row r="1373" spans="1:32" x14ac:dyDescent="0.2">
      <c r="A1373" s="1" t="s">
        <v>71</v>
      </c>
      <c r="B1373" s="1" t="s">
        <v>122</v>
      </c>
      <c r="C1373" s="1" t="s">
        <v>1575</v>
      </c>
      <c r="D1373" s="1" t="s">
        <v>1600</v>
      </c>
      <c r="E1373" s="1" t="s">
        <v>1696</v>
      </c>
      <c r="F1373" s="1" t="s">
        <v>120</v>
      </c>
      <c r="G1373" s="4">
        <f>235878/1506527294</f>
        <v>1.5657067810150144E-4</v>
      </c>
      <c r="H1373" s="28">
        <v>40908</v>
      </c>
      <c r="I1373" s="29">
        <f t="shared" ref="I1373" si="1794">YEAR(H1373)</f>
        <v>2011</v>
      </c>
      <c r="J1373" s="1" t="s">
        <v>71</v>
      </c>
      <c r="K1373" s="1" t="s">
        <v>7</v>
      </c>
      <c r="L1373" s="11" t="str">
        <f t="shared" ref="L1373" si="1795">IF(OR(A1373=J1373,A1373=K1373),"ДА","НЕТ")</f>
        <v>ДА</v>
      </c>
      <c r="M1373" s="10">
        <v>11</v>
      </c>
      <c r="N1373" s="10" t="s">
        <v>1575</v>
      </c>
      <c r="O1373" s="10">
        <f>M1373*32.1961/1000</f>
        <v>0.3541571</v>
      </c>
      <c r="P1373" s="10">
        <f t="shared" si="1738"/>
        <v>2261.9631229444349</v>
      </c>
      <c r="Q1373" s="10">
        <f t="shared" si="1739"/>
        <v>2622.8831229444349</v>
      </c>
      <c r="R1373" s="10">
        <v>670.27</v>
      </c>
      <c r="S1373" s="10">
        <v>322.67500000000001</v>
      </c>
      <c r="T1373" s="10">
        <v>243.90800000000002</v>
      </c>
      <c r="U1373" s="10">
        <v>191.21799999999999</v>
      </c>
      <c r="V1373" s="10">
        <v>996.52700000000004</v>
      </c>
      <c r="W1373" s="10">
        <v>360.9199999999999</v>
      </c>
      <c r="X1373" s="10" t="str">
        <f>IFERROR(#REF!+#REF!,"NA")</f>
        <v>NA</v>
      </c>
      <c r="Y1373" s="10" t="str">
        <f>IFERROR(P1373/#REF!,"NA")</f>
        <v>NA</v>
      </c>
      <c r="Z1373" s="10" t="str">
        <f>IFERROR(P1373/#REF!,"NA")</f>
        <v>NA</v>
      </c>
      <c r="AA1373" s="10" t="str">
        <f>IFERROR(P1373/#REF!,"NA")</f>
        <v>NA</v>
      </c>
      <c r="AB1373" s="10" t="str">
        <f>IFERROR(Q1373/#REF!,"NA")</f>
        <v>NA</v>
      </c>
      <c r="AC1373" s="10" t="str">
        <f>IFERROR(Q1373/#REF!,"NA")</f>
        <v>NA</v>
      </c>
      <c r="AD1373" s="10" t="str">
        <f>IFERROR(Q1373/#REF!,"NA")</f>
        <v>NA</v>
      </c>
      <c r="AE1373" s="10" t="str">
        <f t="shared" ref="AE1373" si="1796">IFERROR(Q1373/X1373,"NA")</f>
        <v>NA</v>
      </c>
      <c r="AF1373" s="1" t="s">
        <v>5305</v>
      </c>
    </row>
    <row r="1374" spans="1:32" x14ac:dyDescent="0.2">
      <c r="A1374" s="1" t="s">
        <v>71</v>
      </c>
      <c r="B1374" s="1" t="s">
        <v>122</v>
      </c>
      <c r="C1374" s="1" t="s">
        <v>1575</v>
      </c>
      <c r="D1374" s="1" t="s">
        <v>1600</v>
      </c>
      <c r="E1374" s="1" t="s">
        <v>1696</v>
      </c>
      <c r="F1374" s="1" t="s">
        <v>120</v>
      </c>
      <c r="G1374" s="4">
        <f>34332/1506527294</f>
        <v>2.2788833721588054E-5</v>
      </c>
      <c r="H1374" s="28">
        <v>40908</v>
      </c>
      <c r="I1374" s="29">
        <f t="shared" ref="I1374" si="1797">YEAR(H1374)</f>
        <v>2011</v>
      </c>
      <c r="J1374" s="1" t="s">
        <v>71</v>
      </c>
      <c r="K1374" s="1" t="s">
        <v>7</v>
      </c>
      <c r="L1374" s="11" t="str">
        <f t="shared" ref="L1374" si="1798">IF(OR(A1374=J1374,A1374=K1374),"ДА","НЕТ")</f>
        <v>ДА</v>
      </c>
      <c r="M1374" s="10">
        <v>3</v>
      </c>
      <c r="N1374" s="10" t="s">
        <v>1575</v>
      </c>
      <c r="O1374" s="10">
        <f>M1374*32.1961/1000</f>
        <v>9.6588300000000002E-2</v>
      </c>
      <c r="P1374" s="10">
        <f t="shared" si="1738"/>
        <v>4238.4047020581438</v>
      </c>
      <c r="Q1374" s="10">
        <f t="shared" si="1739"/>
        <v>4599.3247020581439</v>
      </c>
      <c r="R1374" s="10">
        <v>670.27</v>
      </c>
      <c r="S1374" s="10">
        <v>322.67500000000001</v>
      </c>
      <c r="T1374" s="10">
        <v>243.90800000000002</v>
      </c>
      <c r="U1374" s="10">
        <v>191.21799999999999</v>
      </c>
      <c r="V1374" s="10">
        <v>996.52700000000004</v>
      </c>
      <c r="W1374" s="10">
        <v>360.9199999999999</v>
      </c>
      <c r="X1374" s="10" t="str">
        <f>IFERROR(#REF!+#REF!,"NA")</f>
        <v>NA</v>
      </c>
      <c r="Y1374" s="10" t="str">
        <f>IFERROR(P1374/#REF!,"NA")</f>
        <v>NA</v>
      </c>
      <c r="Z1374" s="10" t="str">
        <f>IFERROR(P1374/#REF!,"NA")</f>
        <v>NA</v>
      </c>
      <c r="AA1374" s="10" t="str">
        <f>IFERROR(P1374/#REF!,"NA")</f>
        <v>NA</v>
      </c>
      <c r="AB1374" s="10" t="str">
        <f>IFERROR(Q1374/#REF!,"NA")</f>
        <v>NA</v>
      </c>
      <c r="AC1374" s="10" t="str">
        <f>IFERROR(Q1374/#REF!,"NA")</f>
        <v>NA</v>
      </c>
      <c r="AD1374" s="10" t="str">
        <f>IFERROR(Q1374/#REF!,"NA")</f>
        <v>NA</v>
      </c>
      <c r="AE1374" s="10" t="str">
        <f t="shared" ref="AE1374" si="1799">IFERROR(Q1374/X1374,"NA")</f>
        <v>NA</v>
      </c>
      <c r="AF1374" s="1" t="s">
        <v>5305</v>
      </c>
    </row>
    <row r="1375" spans="1:32" x14ac:dyDescent="0.2">
      <c r="A1375" s="1" t="s">
        <v>5920</v>
      </c>
      <c r="B1375" s="1" t="s">
        <v>5</v>
      </c>
      <c r="C1375" s="1" t="s">
        <v>1575</v>
      </c>
      <c r="D1375" s="1" t="s">
        <v>1615</v>
      </c>
      <c r="E1375" s="1" t="s">
        <v>2176</v>
      </c>
      <c r="F1375" s="1" t="s">
        <v>1162</v>
      </c>
      <c r="G1375" s="33">
        <v>0.24</v>
      </c>
      <c r="H1375" s="28">
        <v>40908</v>
      </c>
      <c r="I1375" s="29">
        <f t="shared" si="1791"/>
        <v>2011</v>
      </c>
      <c r="J1375" s="1" t="s">
        <v>71</v>
      </c>
      <c r="K1375" s="1" t="s">
        <v>7</v>
      </c>
      <c r="L1375" s="11" t="str">
        <f t="shared" si="1792"/>
        <v>НЕТ</v>
      </c>
      <c r="M1375" s="10">
        <v>51</v>
      </c>
      <c r="N1375" s="10" t="s">
        <v>1575</v>
      </c>
      <c r="O1375" s="10">
        <f>M1375*32.1961/1000</f>
        <v>1.6420010999999999</v>
      </c>
      <c r="P1375" s="10">
        <f t="shared" si="1738"/>
        <v>6.8416712500000001</v>
      </c>
      <c r="Q1375" s="10" t="str">
        <f t="shared" si="1739"/>
        <v>NA</v>
      </c>
      <c r="R1375" s="10" t="s">
        <v>1575</v>
      </c>
      <c r="S1375" s="10" t="s">
        <v>1575</v>
      </c>
      <c r="T1375" s="10" t="s">
        <v>1575</v>
      </c>
      <c r="U1375" s="10" t="s">
        <v>1575</v>
      </c>
      <c r="V1375" s="10" t="s">
        <v>1575</v>
      </c>
      <c r="W1375" s="10" t="s">
        <v>1575</v>
      </c>
      <c r="X1375" s="10" t="str">
        <f t="shared" ref="X1375" si="1800">IFERROR(V1375+W1375,"NA")</f>
        <v>NA</v>
      </c>
      <c r="Y1375" s="10" t="str">
        <f t="shared" ref="Y1375" si="1801">IFERROR(P1375/R1375,"NA")</f>
        <v>NA</v>
      </c>
      <c r="Z1375" s="10" t="str">
        <f t="shared" ref="Z1375" si="1802">IFERROR(P1375/U1375,"NA")</f>
        <v>NA</v>
      </c>
      <c r="AA1375" s="10" t="str">
        <f t="shared" ref="AA1375" si="1803">IFERROR(P1375/V1375,"NA")</f>
        <v>NA</v>
      </c>
      <c r="AB1375" s="10" t="str">
        <f t="shared" ref="AB1375" si="1804">IFERROR(Q1375/R1375,"NA")</f>
        <v>NA</v>
      </c>
      <c r="AC1375" s="10" t="str">
        <f t="shared" ref="AC1375" si="1805">IFERROR(Q1375/S1375,"NA")</f>
        <v>NA</v>
      </c>
      <c r="AD1375" s="10" t="str">
        <f t="shared" ref="AD1375" si="1806">IFERROR(Q1375/T1375,"NA")</f>
        <v>NA</v>
      </c>
      <c r="AE1375" s="10" t="str">
        <f t="shared" si="1793"/>
        <v>NA</v>
      </c>
      <c r="AF1375" s="1" t="s">
        <v>1220</v>
      </c>
    </row>
    <row r="1376" spans="1:32" x14ac:dyDescent="0.2">
      <c r="A1376" s="1" t="s">
        <v>5921</v>
      </c>
      <c r="B1376" s="1" t="s">
        <v>5</v>
      </c>
      <c r="C1376" s="1" t="s">
        <v>1575</v>
      </c>
      <c r="D1376" s="1" t="s">
        <v>1600</v>
      </c>
      <c r="E1376" s="1" t="s">
        <v>2048</v>
      </c>
      <c r="F1376" s="1" t="s">
        <v>235</v>
      </c>
      <c r="G1376" s="33">
        <v>0.25</v>
      </c>
      <c r="H1376" s="28">
        <v>40543</v>
      </c>
      <c r="I1376" s="29">
        <f t="shared" si="1491"/>
        <v>2010</v>
      </c>
      <c r="J1376" s="1" t="s">
        <v>71</v>
      </c>
      <c r="K1376" s="1" t="s">
        <v>7</v>
      </c>
      <c r="L1376" s="11" t="str">
        <f t="shared" si="1688"/>
        <v>НЕТ</v>
      </c>
      <c r="M1376" s="10">
        <v>8</v>
      </c>
      <c r="N1376" s="10" t="s">
        <v>1575</v>
      </c>
      <c r="O1376" s="10">
        <f>M1376*30.4769/1000</f>
        <v>0.24381520000000001</v>
      </c>
      <c r="P1376" s="10">
        <f t="shared" si="1738"/>
        <v>0.97526080000000004</v>
      </c>
      <c r="Q1376" s="10" t="str">
        <f t="shared" si="1739"/>
        <v>NA</v>
      </c>
      <c r="R1376" s="10" t="s">
        <v>1575</v>
      </c>
      <c r="S1376" s="10" t="s">
        <v>1575</v>
      </c>
      <c r="T1376" s="10" t="s">
        <v>1575</v>
      </c>
      <c r="U1376" s="10" t="s">
        <v>1575</v>
      </c>
      <c r="V1376" s="10" t="s">
        <v>1575</v>
      </c>
      <c r="W1376" s="10" t="s">
        <v>1575</v>
      </c>
      <c r="X1376" s="10" t="str">
        <f t="shared" si="1425"/>
        <v>NA</v>
      </c>
      <c r="Y1376" s="10" t="str">
        <f t="shared" si="1426"/>
        <v>NA</v>
      </c>
      <c r="Z1376" s="10" t="str">
        <f t="shared" si="1427"/>
        <v>NA</v>
      </c>
      <c r="AA1376" s="10" t="str">
        <f t="shared" si="1428"/>
        <v>NA</v>
      </c>
      <c r="AB1376" s="10" t="str">
        <f t="shared" si="1429"/>
        <v>NA</v>
      </c>
      <c r="AC1376" s="10" t="str">
        <f t="shared" si="1430"/>
        <v>NA</v>
      </c>
      <c r="AD1376" s="10" t="str">
        <f t="shared" si="1431"/>
        <v>NA</v>
      </c>
      <c r="AE1376" s="10" t="str">
        <f t="shared" si="1432"/>
        <v>NA</v>
      </c>
      <c r="AF1376" s="1" t="s">
        <v>1222</v>
      </c>
    </row>
    <row r="1377" spans="1:32" x14ac:dyDescent="0.2">
      <c r="A1377" s="1" t="s">
        <v>5922</v>
      </c>
      <c r="B1377" s="1" t="s">
        <v>75</v>
      </c>
      <c r="C1377" s="1" t="s">
        <v>1575</v>
      </c>
      <c r="D1377" s="1" t="s">
        <v>1600</v>
      </c>
      <c r="E1377" s="1" t="s">
        <v>3386</v>
      </c>
      <c r="F1377" s="1" t="s">
        <v>1159</v>
      </c>
      <c r="G1377" s="33">
        <v>5.9200000000000003E-2</v>
      </c>
      <c r="H1377" s="28">
        <v>40543</v>
      </c>
      <c r="I1377" s="29">
        <f t="shared" si="1491"/>
        <v>2010</v>
      </c>
      <c r="J1377" s="1" t="s">
        <v>71</v>
      </c>
      <c r="K1377" s="1" t="s">
        <v>7</v>
      </c>
      <c r="L1377" s="11" t="str">
        <f t="shared" si="1688"/>
        <v>НЕТ</v>
      </c>
      <c r="M1377" s="10">
        <v>8</v>
      </c>
      <c r="N1377" s="10" t="s">
        <v>1575</v>
      </c>
      <c r="O1377" s="10">
        <f>M1377*30.4769/1000</f>
        <v>0.24381520000000001</v>
      </c>
      <c r="P1377" s="10">
        <f t="shared" si="1738"/>
        <v>4.1185</v>
      </c>
      <c r="Q1377" s="10" t="str">
        <f t="shared" si="1739"/>
        <v>NA</v>
      </c>
      <c r="R1377" s="10" t="s">
        <v>1575</v>
      </c>
      <c r="S1377" s="10" t="s">
        <v>1575</v>
      </c>
      <c r="T1377" s="10" t="s">
        <v>1575</v>
      </c>
      <c r="U1377" s="10" t="s">
        <v>1575</v>
      </c>
      <c r="V1377" s="10" t="s">
        <v>1575</v>
      </c>
      <c r="W1377" s="10" t="s">
        <v>1575</v>
      </c>
      <c r="X1377" s="10" t="str">
        <f t="shared" si="1425"/>
        <v>NA</v>
      </c>
      <c r="Y1377" s="10" t="str">
        <f t="shared" si="1426"/>
        <v>NA</v>
      </c>
      <c r="Z1377" s="10" t="str">
        <f t="shared" si="1427"/>
        <v>NA</v>
      </c>
      <c r="AA1377" s="10" t="str">
        <f t="shared" si="1428"/>
        <v>NA</v>
      </c>
      <c r="AB1377" s="10" t="str">
        <f t="shared" si="1429"/>
        <v>NA</v>
      </c>
      <c r="AC1377" s="10" t="str">
        <f t="shared" si="1430"/>
        <v>NA</v>
      </c>
      <c r="AD1377" s="10" t="str">
        <f t="shared" si="1431"/>
        <v>NA</v>
      </c>
      <c r="AE1377" s="10" t="str">
        <f t="shared" si="1432"/>
        <v>NA</v>
      </c>
      <c r="AF1377" s="1" t="s">
        <v>1221</v>
      </c>
    </row>
    <row r="1378" spans="1:32" x14ac:dyDescent="0.2">
      <c r="A1378" s="1" t="s">
        <v>5923</v>
      </c>
      <c r="B1378" s="1" t="s">
        <v>5</v>
      </c>
      <c r="C1378" s="1" t="s">
        <v>1575</v>
      </c>
      <c r="D1378" s="1" t="s">
        <v>1600</v>
      </c>
      <c r="E1378" s="1" t="s">
        <v>3386</v>
      </c>
      <c r="F1378" s="1" t="s">
        <v>1159</v>
      </c>
      <c r="G1378" s="33">
        <v>0.15160000000000001</v>
      </c>
      <c r="H1378" s="28">
        <v>40481</v>
      </c>
      <c r="I1378" s="29">
        <f t="shared" ref="I1378:I1379" si="1807">YEAR(H1378)</f>
        <v>2010</v>
      </c>
      <c r="J1378" s="1" t="s">
        <v>71</v>
      </c>
      <c r="K1378" s="1" t="s">
        <v>7</v>
      </c>
      <c r="L1378" s="11" t="str">
        <f t="shared" si="1688"/>
        <v>НЕТ</v>
      </c>
      <c r="M1378" s="10">
        <v>18</v>
      </c>
      <c r="N1378" s="10" t="s">
        <v>1575</v>
      </c>
      <c r="O1378" s="10">
        <v>0.52100000000000002</v>
      </c>
      <c r="P1378" s="10">
        <f t="shared" si="1738"/>
        <v>3.4366754617414248</v>
      </c>
      <c r="Q1378" s="10">
        <f t="shared" si="1739"/>
        <v>3.7088732617414246</v>
      </c>
      <c r="R1378" s="10" t="s">
        <v>1575</v>
      </c>
      <c r="S1378" s="10" t="s">
        <v>1575</v>
      </c>
      <c r="T1378" s="10" t="s">
        <v>1575</v>
      </c>
      <c r="U1378" s="10" t="s">
        <v>1575</v>
      </c>
      <c r="V1378" s="10">
        <f>0.044*30.2442</f>
        <v>1.3307447999999999</v>
      </c>
      <c r="W1378" s="10">
        <f t="shared" ref="W1378:W1382" si="1808">0.009*30.2442</f>
        <v>0.27219779999999999</v>
      </c>
      <c r="X1378" s="10">
        <f t="shared" ref="X1378:X1379" si="1809">IFERROR(V1378+W1378,"NA")</f>
        <v>1.6029426</v>
      </c>
      <c r="Y1378" s="10" t="str">
        <f t="shared" ref="Y1378:Y1379" si="1810">IFERROR(P1378/R1378,"NA")</f>
        <v>NA</v>
      </c>
      <c r="Z1378" s="10" t="str">
        <f t="shared" ref="Z1378:Z1379" si="1811">IFERROR(P1378/U1378,"NA")</f>
        <v>NA</v>
      </c>
      <c r="AA1378" s="10">
        <f t="shared" ref="AA1378:AA1379" si="1812">IFERROR(P1378/V1378,"NA")</f>
        <v>2.5825203012188549</v>
      </c>
      <c r="AB1378" s="10" t="str">
        <f t="shared" ref="AB1378:AB1379" si="1813">IFERROR(Q1378/R1378,"NA")</f>
        <v>NA</v>
      </c>
      <c r="AC1378" s="10" t="str">
        <f t="shared" ref="AC1378:AC1379" si="1814">IFERROR(Q1378/S1378,"NA")</f>
        <v>NA</v>
      </c>
      <c r="AD1378" s="10" t="str">
        <f t="shared" ref="AD1378:AD1379" si="1815">IFERROR(Q1378/T1378,"NA")</f>
        <v>NA</v>
      </c>
      <c r="AE1378" s="10">
        <f t="shared" ref="AE1378:AE1379" si="1816">IFERROR(Q1378/X1378,"NA")</f>
        <v>2.3137904387477284</v>
      </c>
      <c r="AF1378" s="1" t="s">
        <v>5308</v>
      </c>
    </row>
    <row r="1379" spans="1:32" x14ac:dyDescent="0.2">
      <c r="A1379" s="1" t="s">
        <v>5310</v>
      </c>
      <c r="B1379" s="1" t="s">
        <v>5</v>
      </c>
      <c r="C1379" s="1" t="s">
        <v>1575</v>
      </c>
      <c r="D1379" s="1" t="s">
        <v>1600</v>
      </c>
      <c r="E1379" s="1" t="s">
        <v>2050</v>
      </c>
      <c r="F1379" s="1" t="s">
        <v>120</v>
      </c>
      <c r="G1379" s="33">
        <v>1</v>
      </c>
      <c r="H1379" s="28">
        <v>40534</v>
      </c>
      <c r="I1379" s="29">
        <f t="shared" si="1807"/>
        <v>2010</v>
      </c>
      <c r="J1379" s="1" t="s">
        <v>71</v>
      </c>
      <c r="K1379" s="1" t="s">
        <v>7</v>
      </c>
      <c r="L1379" s="11" t="str">
        <f t="shared" ref="L1379" si="1817">IF(OR(A1379=J1379,A1379=K1379),"ДА","НЕТ")</f>
        <v>НЕТ</v>
      </c>
      <c r="M1379" s="10">
        <f>19+21</f>
        <v>40</v>
      </c>
      <c r="N1379" s="10" t="s">
        <v>1575</v>
      </c>
      <c r="O1379" s="10">
        <f>M1379*30.4769/1000</f>
        <v>1.219076</v>
      </c>
      <c r="P1379" s="10">
        <f t="shared" si="1738"/>
        <v>1.219076</v>
      </c>
      <c r="Q1379" s="10" t="str">
        <f t="shared" si="1739"/>
        <v>NA</v>
      </c>
      <c r="R1379" s="10" t="s">
        <v>1575</v>
      </c>
      <c r="S1379" s="10" t="s">
        <v>1575</v>
      </c>
      <c r="T1379" s="10" t="s">
        <v>1575</v>
      </c>
      <c r="U1379" s="10" t="s">
        <v>1575</v>
      </c>
      <c r="V1379" s="10">
        <f>0.044*30.4769</f>
        <v>1.3409835999999999</v>
      </c>
      <c r="W1379" s="10" t="s">
        <v>1575</v>
      </c>
      <c r="X1379" s="10" t="str">
        <f t="shared" si="1809"/>
        <v>NA</v>
      </c>
      <c r="Y1379" s="10" t="str">
        <f t="shared" si="1810"/>
        <v>NA</v>
      </c>
      <c r="Z1379" s="10" t="str">
        <f t="shared" si="1811"/>
        <v>NA</v>
      </c>
      <c r="AA1379" s="10">
        <f t="shared" si="1812"/>
        <v>0.90909090909090917</v>
      </c>
      <c r="AB1379" s="10" t="str">
        <f t="shared" si="1813"/>
        <v>NA</v>
      </c>
      <c r="AC1379" s="10" t="str">
        <f t="shared" si="1814"/>
        <v>NA</v>
      </c>
      <c r="AD1379" s="10" t="str">
        <f t="shared" si="1815"/>
        <v>NA</v>
      </c>
      <c r="AE1379" s="10" t="str">
        <f t="shared" si="1816"/>
        <v>NA</v>
      </c>
      <c r="AF1379" s="1" t="s">
        <v>5311</v>
      </c>
    </row>
    <row r="1380" spans="1:32" x14ac:dyDescent="0.2">
      <c r="A1380" s="1" t="s">
        <v>5923</v>
      </c>
      <c r="B1380" s="1" t="s">
        <v>5</v>
      </c>
      <c r="C1380" s="1" t="s">
        <v>1575</v>
      </c>
      <c r="D1380" s="1" t="s">
        <v>1600</v>
      </c>
      <c r="E1380" s="1" t="s">
        <v>3386</v>
      </c>
      <c r="F1380" s="1" t="s">
        <v>1159</v>
      </c>
      <c r="G1380" s="33">
        <v>0.8296</v>
      </c>
      <c r="H1380" s="28">
        <v>40178</v>
      </c>
      <c r="I1380" s="29">
        <f t="shared" si="1491"/>
        <v>2009</v>
      </c>
      <c r="J1380" s="1" t="s">
        <v>71</v>
      </c>
      <c r="K1380" s="1" t="s">
        <v>7</v>
      </c>
      <c r="L1380" s="11" t="str">
        <f t="shared" ref="L1380:L1381" si="1818">IF(OR(A1380=J1380,A1380=K1380),"ДА","НЕТ")</f>
        <v>НЕТ</v>
      </c>
      <c r="M1380" s="10">
        <v>95</v>
      </c>
      <c r="N1380" s="10" t="s">
        <v>1575</v>
      </c>
      <c r="O1380" s="10">
        <v>2.8540000000000001</v>
      </c>
      <c r="P1380" s="10">
        <f t="shared" si="1738"/>
        <v>3.4402121504339442</v>
      </c>
      <c r="Q1380" s="10">
        <f t="shared" si="1739"/>
        <v>3.7124099504339441</v>
      </c>
      <c r="R1380" s="10" t="s">
        <v>1575</v>
      </c>
      <c r="S1380" s="10" t="s">
        <v>1575</v>
      </c>
      <c r="T1380" s="10" t="s">
        <v>1575</v>
      </c>
      <c r="U1380" s="10" t="s">
        <v>1575</v>
      </c>
      <c r="V1380" s="10">
        <f>0.044*30.2442</f>
        <v>1.3307447999999999</v>
      </c>
      <c r="W1380" s="10">
        <f>0.009*30.2442</f>
        <v>0.27219779999999999</v>
      </c>
      <c r="X1380" s="10">
        <f t="shared" ref="X1380:X1383" si="1819">IFERROR(V1380+W1380,"NA")</f>
        <v>1.6029426</v>
      </c>
      <c r="Y1380" s="10" t="str">
        <f t="shared" ref="Y1380:Y1383" si="1820">IFERROR(P1380/R1380,"NA")</f>
        <v>NA</v>
      </c>
      <c r="Z1380" s="10" t="str">
        <f t="shared" ref="Z1380:Z1383" si="1821">IFERROR(P1380/U1380,"NA")</f>
        <v>NA</v>
      </c>
      <c r="AA1380" s="10">
        <f t="shared" ref="AA1380:AA1383" si="1822">IFERROR(P1380/V1380,"NA")</f>
        <v>2.5851779773506869</v>
      </c>
      <c r="AB1380" s="10" t="str">
        <f t="shared" ref="AB1380:AB1383" si="1823">IFERROR(Q1380/R1380,"NA")</f>
        <v>NA</v>
      </c>
      <c r="AC1380" s="10" t="str">
        <f t="shared" ref="AC1380:AC1383" si="1824">IFERROR(Q1380/S1380,"NA")</f>
        <v>NA</v>
      </c>
      <c r="AD1380" s="10" t="str">
        <f t="shared" ref="AD1380:AD1383" si="1825">IFERROR(Q1380/T1380,"NA")</f>
        <v>NA</v>
      </c>
      <c r="AE1380" s="10">
        <f t="shared" ref="AE1380:AE1383" si="1826">IFERROR(Q1380/X1380,"NA")</f>
        <v>2.3159968113854759</v>
      </c>
      <c r="AF1380" s="1" t="s">
        <v>5306</v>
      </c>
    </row>
    <row r="1381" spans="1:32" x14ac:dyDescent="0.2">
      <c r="A1381" s="1" t="s">
        <v>5923</v>
      </c>
      <c r="B1381" s="1" t="s">
        <v>5</v>
      </c>
      <c r="C1381" s="1" t="s">
        <v>1575</v>
      </c>
      <c r="D1381" s="1" t="s">
        <v>1600</v>
      </c>
      <c r="E1381" s="1" t="s">
        <v>3386</v>
      </c>
      <c r="F1381" s="1" t="s">
        <v>1159</v>
      </c>
      <c r="G1381" s="33">
        <v>1.8800000000000001E-2</v>
      </c>
      <c r="H1381" s="28">
        <v>40178</v>
      </c>
      <c r="I1381" s="29">
        <f t="shared" si="1491"/>
        <v>2009</v>
      </c>
      <c r="J1381" s="1" t="s">
        <v>71</v>
      </c>
      <c r="K1381" s="1" t="s">
        <v>7</v>
      </c>
      <c r="L1381" s="11" t="str">
        <f t="shared" si="1818"/>
        <v>НЕТ</v>
      </c>
      <c r="M1381" s="10">
        <v>2</v>
      </c>
      <c r="N1381" s="10" t="s">
        <v>1575</v>
      </c>
      <c r="O1381" s="10">
        <f>M1381*30.2442/1000</f>
        <v>6.0488399999999998E-2</v>
      </c>
      <c r="P1381" s="10">
        <f t="shared" si="1738"/>
        <v>3.2174680851063826</v>
      </c>
      <c r="Q1381" s="10">
        <f t="shared" si="1739"/>
        <v>3.4896658851063824</v>
      </c>
      <c r="R1381" s="10" t="s">
        <v>1575</v>
      </c>
      <c r="S1381" s="10" t="s">
        <v>1575</v>
      </c>
      <c r="T1381" s="10" t="s">
        <v>1575</v>
      </c>
      <c r="U1381" s="10" t="s">
        <v>1575</v>
      </c>
      <c r="V1381" s="10">
        <f>0.044*30.2442</f>
        <v>1.3307447999999999</v>
      </c>
      <c r="W1381" s="10">
        <f t="shared" si="1808"/>
        <v>0.27219779999999999</v>
      </c>
      <c r="X1381" s="10">
        <f t="shared" si="1819"/>
        <v>1.6029426</v>
      </c>
      <c r="Y1381" s="10" t="str">
        <f t="shared" si="1820"/>
        <v>NA</v>
      </c>
      <c r="Z1381" s="10" t="str">
        <f t="shared" si="1821"/>
        <v>NA</v>
      </c>
      <c r="AA1381" s="10">
        <f t="shared" si="1822"/>
        <v>2.4177949709864603</v>
      </c>
      <c r="AB1381" s="10" t="str">
        <f t="shared" si="1823"/>
        <v>NA</v>
      </c>
      <c r="AC1381" s="10" t="str">
        <f t="shared" si="1824"/>
        <v>NA</v>
      </c>
      <c r="AD1381" s="10" t="str">
        <f t="shared" si="1825"/>
        <v>NA</v>
      </c>
      <c r="AE1381" s="10">
        <f t="shared" si="1826"/>
        <v>2.1770373344038534</v>
      </c>
      <c r="AF1381" s="1" t="s">
        <v>5307</v>
      </c>
    </row>
    <row r="1382" spans="1:32" x14ac:dyDescent="0.2">
      <c r="A1382" s="1" t="s">
        <v>5923</v>
      </c>
      <c r="B1382" s="1" t="s">
        <v>5</v>
      </c>
      <c r="C1382" s="1" t="s">
        <v>1575</v>
      </c>
      <c r="D1382" s="1" t="s">
        <v>1600</v>
      </c>
      <c r="E1382" s="1" t="s">
        <v>3386</v>
      </c>
      <c r="F1382" s="1" t="s">
        <v>1159</v>
      </c>
      <c r="G1382" s="33">
        <v>0.15160000000000001</v>
      </c>
      <c r="H1382" s="28">
        <v>40481</v>
      </c>
      <c r="I1382" s="29">
        <f t="shared" si="1491"/>
        <v>2010</v>
      </c>
      <c r="J1382" s="1" t="s">
        <v>71</v>
      </c>
      <c r="K1382" s="1" t="s">
        <v>7</v>
      </c>
      <c r="L1382" s="11" t="str">
        <f t="shared" ref="L1382" si="1827">IF(OR(A1382=J1382,A1382=K1382),"ДА","НЕТ")</f>
        <v>НЕТ</v>
      </c>
      <c r="M1382" s="10">
        <v>18</v>
      </c>
      <c r="N1382" s="10" t="s">
        <v>1575</v>
      </c>
      <c r="O1382" s="10">
        <v>0.52100000000000002</v>
      </c>
      <c r="P1382" s="10">
        <f t="shared" si="1738"/>
        <v>3.4366754617414248</v>
      </c>
      <c r="Q1382" s="10">
        <f t="shared" si="1739"/>
        <v>3.7088732617414246</v>
      </c>
      <c r="R1382" s="10" t="s">
        <v>1575</v>
      </c>
      <c r="S1382" s="10" t="s">
        <v>1575</v>
      </c>
      <c r="T1382" s="10" t="s">
        <v>1575</v>
      </c>
      <c r="U1382" s="10" t="s">
        <v>1575</v>
      </c>
      <c r="V1382" s="10">
        <f>0.044*30.2442</f>
        <v>1.3307447999999999</v>
      </c>
      <c r="W1382" s="10">
        <f t="shared" si="1808"/>
        <v>0.27219779999999999</v>
      </c>
      <c r="X1382" s="10">
        <f t="shared" si="1819"/>
        <v>1.6029426</v>
      </c>
      <c r="Y1382" s="10" t="str">
        <f t="shared" si="1820"/>
        <v>NA</v>
      </c>
      <c r="Z1382" s="10" t="str">
        <f t="shared" si="1821"/>
        <v>NA</v>
      </c>
      <c r="AA1382" s="10">
        <f t="shared" si="1822"/>
        <v>2.5825203012188549</v>
      </c>
      <c r="AB1382" s="10" t="str">
        <f t="shared" si="1823"/>
        <v>NA</v>
      </c>
      <c r="AC1382" s="10" t="str">
        <f t="shared" si="1824"/>
        <v>NA</v>
      </c>
      <c r="AD1382" s="10" t="str">
        <f t="shared" si="1825"/>
        <v>NA</v>
      </c>
      <c r="AE1382" s="10">
        <f t="shared" si="1826"/>
        <v>2.3137904387477284</v>
      </c>
      <c r="AF1382" s="1" t="s">
        <v>5308</v>
      </c>
    </row>
    <row r="1383" spans="1:32" x14ac:dyDescent="0.2">
      <c r="A1383" s="1" t="s">
        <v>5310</v>
      </c>
      <c r="B1383" s="1" t="s">
        <v>5</v>
      </c>
      <c r="C1383" s="1" t="s">
        <v>1575</v>
      </c>
      <c r="D1383" s="1" t="s">
        <v>1600</v>
      </c>
      <c r="E1383" s="1" t="s">
        <v>2050</v>
      </c>
      <c r="F1383" s="1" t="s">
        <v>120</v>
      </c>
      <c r="G1383" s="33">
        <v>1</v>
      </c>
      <c r="H1383" s="28">
        <v>40101</v>
      </c>
      <c r="I1383" s="29">
        <f t="shared" si="1491"/>
        <v>2009</v>
      </c>
      <c r="J1383" s="1" t="s">
        <v>71</v>
      </c>
      <c r="K1383" s="1" t="s">
        <v>7</v>
      </c>
      <c r="L1383" s="11" t="str">
        <f t="shared" ref="L1383" si="1828">IF(OR(A1383=J1383,A1383=K1383),"ДА","НЕТ")</f>
        <v>НЕТ</v>
      </c>
      <c r="M1383" s="10">
        <v>11</v>
      </c>
      <c r="N1383" s="10" t="s">
        <v>1575</v>
      </c>
      <c r="O1383" s="10">
        <f>M1383*29.4651/1000</f>
        <v>0.32411610000000002</v>
      </c>
      <c r="P1383" s="10">
        <f t="shared" si="1738"/>
        <v>0.32411610000000002</v>
      </c>
      <c r="Q1383" s="10">
        <f t="shared" si="1739"/>
        <v>0.20625570000000001</v>
      </c>
      <c r="R1383" s="10" t="s">
        <v>1575</v>
      </c>
      <c r="S1383" s="10" t="s">
        <v>1575</v>
      </c>
      <c r="T1383" s="10" t="s">
        <v>1575</v>
      </c>
      <c r="U1383" s="10" t="s">
        <v>1575</v>
      </c>
      <c r="V1383" s="10">
        <f>0.017*29.4651</f>
        <v>0.50090670000000004</v>
      </c>
      <c r="W1383" s="10">
        <f>-0.004*29.4651</f>
        <v>-0.1178604</v>
      </c>
      <c r="X1383" s="10">
        <f t="shared" si="1819"/>
        <v>0.38304630000000006</v>
      </c>
      <c r="Y1383" s="10" t="str">
        <f t="shared" si="1820"/>
        <v>NA</v>
      </c>
      <c r="Z1383" s="10" t="str">
        <f t="shared" si="1821"/>
        <v>NA</v>
      </c>
      <c r="AA1383" s="10">
        <f t="shared" si="1822"/>
        <v>0.6470588235294118</v>
      </c>
      <c r="AB1383" s="10" t="str">
        <f t="shared" si="1823"/>
        <v>NA</v>
      </c>
      <c r="AC1383" s="10" t="str">
        <f t="shared" si="1824"/>
        <v>NA</v>
      </c>
      <c r="AD1383" s="10" t="str">
        <f t="shared" si="1825"/>
        <v>NA</v>
      </c>
      <c r="AE1383" s="10">
        <f t="shared" si="1826"/>
        <v>0.53846153846153844</v>
      </c>
      <c r="AF1383" s="1" t="s">
        <v>5309</v>
      </c>
    </row>
    <row r="1384" spans="1:32" x14ac:dyDescent="0.2">
      <c r="A1384" s="1" t="s">
        <v>5313</v>
      </c>
      <c r="B1384" s="1" t="s">
        <v>5</v>
      </c>
      <c r="C1384" s="1" t="s">
        <v>1575</v>
      </c>
      <c r="D1384" s="1" t="s">
        <v>1600</v>
      </c>
      <c r="E1384" s="1" t="s">
        <v>1659</v>
      </c>
      <c r="F1384" s="1" t="s">
        <v>118</v>
      </c>
      <c r="G1384" s="33">
        <v>1</v>
      </c>
      <c r="H1384" s="28">
        <v>39965</v>
      </c>
      <c r="I1384" s="29">
        <f t="shared" si="1491"/>
        <v>2009</v>
      </c>
      <c r="J1384" s="1" t="s">
        <v>7</v>
      </c>
      <c r="K1384" s="1" t="s">
        <v>71</v>
      </c>
      <c r="L1384" s="11" t="str">
        <f t="shared" ref="L1384" si="1829">IF(OR(A1384=J1384,A1384=K1384),"ДА","НЕТ")</f>
        <v>НЕТ</v>
      </c>
      <c r="M1384" s="10">
        <v>2</v>
      </c>
      <c r="N1384" s="10" t="s">
        <v>1575</v>
      </c>
      <c r="O1384" s="10">
        <f>M1384*30.9843/1000</f>
        <v>6.1968599999999999E-2</v>
      </c>
      <c r="P1384" s="10">
        <f t="shared" si="1738"/>
        <v>6.1968599999999999E-2</v>
      </c>
      <c r="Q1384" s="10" t="str">
        <f t="shared" si="1739"/>
        <v>NA</v>
      </c>
      <c r="R1384" s="10" t="s">
        <v>1575</v>
      </c>
      <c r="S1384" s="10" t="s">
        <v>1575</v>
      </c>
      <c r="T1384" s="10" t="s">
        <v>1575</v>
      </c>
      <c r="U1384" s="10" t="s">
        <v>1575</v>
      </c>
      <c r="V1384" s="10" t="s">
        <v>1575</v>
      </c>
      <c r="W1384" s="10" t="s">
        <v>1575</v>
      </c>
      <c r="X1384" s="10" t="str">
        <f t="shared" ref="X1384" si="1830">IFERROR(V1384+W1384,"NA")</f>
        <v>NA</v>
      </c>
      <c r="Y1384" s="10" t="str">
        <f t="shared" ref="Y1384" si="1831">IFERROR(P1384/R1384,"NA")</f>
        <v>NA</v>
      </c>
      <c r="Z1384" s="10" t="str">
        <f t="shared" ref="Z1384" si="1832">IFERROR(P1384/U1384,"NA")</f>
        <v>NA</v>
      </c>
      <c r="AA1384" s="10" t="str">
        <f t="shared" ref="AA1384" si="1833">IFERROR(P1384/V1384,"NA")</f>
        <v>NA</v>
      </c>
      <c r="AB1384" s="10" t="str">
        <f t="shared" ref="AB1384" si="1834">IFERROR(Q1384/R1384,"NA")</f>
        <v>NA</v>
      </c>
      <c r="AC1384" s="10" t="str">
        <f t="shared" ref="AC1384" si="1835">IFERROR(Q1384/S1384,"NA")</f>
        <v>NA</v>
      </c>
      <c r="AD1384" s="10" t="str">
        <f t="shared" ref="AD1384" si="1836">IFERROR(Q1384/T1384,"NA")</f>
        <v>NA</v>
      </c>
      <c r="AE1384" s="10" t="str">
        <f t="shared" ref="AE1384:AE1385" si="1837">IFERROR(Q1384/X1384,"NA")</f>
        <v>NA</v>
      </c>
      <c r="AF1384" s="1" t="s">
        <v>5312</v>
      </c>
    </row>
    <row r="1385" spans="1:32" x14ac:dyDescent="0.2">
      <c r="A1385" s="1" t="s">
        <v>71</v>
      </c>
      <c r="B1385" s="1" t="s">
        <v>122</v>
      </c>
      <c r="C1385" s="1" t="s">
        <v>1575</v>
      </c>
      <c r="D1385" s="1" t="s">
        <v>1600</v>
      </c>
      <c r="E1385" s="1" t="s">
        <v>1696</v>
      </c>
      <c r="F1385" s="1" t="s">
        <v>120</v>
      </c>
      <c r="G1385" s="4">
        <f>67569/1506527294</f>
        <v>4.4850830296341114E-5</v>
      </c>
      <c r="H1385" s="28">
        <v>40178</v>
      </c>
      <c r="I1385" s="29">
        <f t="shared" ref="I1385:I1388" si="1838">YEAR(H1385)</f>
        <v>2009</v>
      </c>
      <c r="J1385" s="1" t="s">
        <v>71</v>
      </c>
      <c r="K1385" s="1" t="s">
        <v>7</v>
      </c>
      <c r="L1385" s="11" t="str">
        <f>IF(OR(A1384=J1385,A1384=K1385),"ДА","НЕТ")</f>
        <v>НЕТ</v>
      </c>
      <c r="M1385" s="10">
        <v>5</v>
      </c>
      <c r="N1385" s="10" t="s">
        <v>1575</v>
      </c>
      <c r="O1385" s="10">
        <f>M1385*32.1961/1000</f>
        <v>0.1609805</v>
      </c>
      <c r="P1385" s="10">
        <f t="shared" si="1738"/>
        <v>3589.2423604281107</v>
      </c>
      <c r="Q1385" s="10" t="str">
        <f t="shared" si="1739"/>
        <v>NA</v>
      </c>
      <c r="R1385" s="10" t="s">
        <v>1575</v>
      </c>
      <c r="S1385" s="10" t="s">
        <v>1575</v>
      </c>
      <c r="T1385" s="10" t="s">
        <v>1575</v>
      </c>
      <c r="U1385" s="10" t="s">
        <v>1575</v>
      </c>
      <c r="V1385" s="10" t="s">
        <v>1575</v>
      </c>
      <c r="W1385" s="10" t="s">
        <v>1575</v>
      </c>
      <c r="X1385" s="10" t="str">
        <f>IFERROR(#REF!+#REF!,"NA")</f>
        <v>NA</v>
      </c>
      <c r="Y1385" s="10" t="str">
        <f>IFERROR(P1385/#REF!,"NA")</f>
        <v>NA</v>
      </c>
      <c r="Z1385" s="10" t="str">
        <f>IFERROR(P1385/#REF!,"NA")</f>
        <v>NA</v>
      </c>
      <c r="AA1385" s="10" t="str">
        <f>IFERROR(P1385/#REF!,"NA")</f>
        <v>NA</v>
      </c>
      <c r="AB1385" s="10" t="str">
        <f>IFERROR(Q1385/#REF!,"NA")</f>
        <v>NA</v>
      </c>
      <c r="AC1385" s="10" t="str">
        <f>IFERROR(Q1385/#REF!,"NA")</f>
        <v>NA</v>
      </c>
      <c r="AD1385" s="10" t="str">
        <f>IFERROR(Q1385/#REF!,"NA")</f>
        <v>NA</v>
      </c>
      <c r="AE1385" s="10" t="str">
        <f t="shared" si="1837"/>
        <v>NA</v>
      </c>
      <c r="AF1385" s="1" t="s">
        <v>5314</v>
      </c>
    </row>
    <row r="1386" spans="1:32" x14ac:dyDescent="0.2">
      <c r="A1386" s="1" t="s">
        <v>5317</v>
      </c>
      <c r="B1386" s="1" t="s">
        <v>75</v>
      </c>
      <c r="C1386" s="1" t="s">
        <v>1575</v>
      </c>
      <c r="D1386" s="1" t="s">
        <v>1600</v>
      </c>
      <c r="E1386" s="1" t="s">
        <v>2050</v>
      </c>
      <c r="F1386" s="1" t="s">
        <v>120</v>
      </c>
      <c r="G1386" s="4">
        <v>0.93400000000000005</v>
      </c>
      <c r="H1386" s="28">
        <v>39494</v>
      </c>
      <c r="I1386" s="29">
        <f t="shared" si="1838"/>
        <v>2008</v>
      </c>
      <c r="J1386" s="1" t="s">
        <v>71</v>
      </c>
      <c r="K1386" s="1" t="s">
        <v>7</v>
      </c>
      <c r="L1386" s="11" t="str">
        <f>IF(OR(A1385=J1386,A1385=K1386),"ДА","НЕТ")</f>
        <v>ДА</v>
      </c>
      <c r="M1386" s="10">
        <v>420</v>
      </c>
      <c r="N1386" s="10" t="s">
        <v>1575</v>
      </c>
      <c r="O1386" s="10">
        <f>M1386*26.2314/1000</f>
        <v>11.017188000000001</v>
      </c>
      <c r="P1386" s="10">
        <f t="shared" si="1738"/>
        <v>11.795704496788009</v>
      </c>
      <c r="Q1386" s="10">
        <f t="shared" si="1739"/>
        <v>16.753439096788007</v>
      </c>
      <c r="R1386" s="10" t="s">
        <v>1575</v>
      </c>
      <c r="S1386" s="10" t="s">
        <v>1575</v>
      </c>
      <c r="T1386" s="10" t="s">
        <v>1575</v>
      </c>
      <c r="U1386" s="10" t="s">
        <v>1575</v>
      </c>
      <c r="V1386" s="10">
        <f>0.049*26.2314</f>
        <v>1.2853386</v>
      </c>
      <c r="W1386" s="10">
        <f>(0.136+0.058-0.005)*26.2314</f>
        <v>4.9577346000000002</v>
      </c>
      <c r="X1386" s="10" t="str">
        <f>IFERROR(#REF!+#REF!,"NA")</f>
        <v>NA</v>
      </c>
      <c r="Y1386" s="10" t="str">
        <f>IFERROR(P1386/#REF!,"NA")</f>
        <v>NA</v>
      </c>
      <c r="Z1386" s="10" t="str">
        <f>IFERROR(P1386/#REF!,"NA")</f>
        <v>NA</v>
      </c>
      <c r="AA1386" s="10" t="str">
        <f>IFERROR(P1386/#REF!,"NA")</f>
        <v>NA</v>
      </c>
      <c r="AB1386" s="10" t="str">
        <f>IFERROR(Q1386/#REF!,"NA")</f>
        <v>NA</v>
      </c>
      <c r="AC1386" s="10" t="str">
        <f>IFERROR(Q1386/#REF!,"NA")</f>
        <v>NA</v>
      </c>
      <c r="AD1386" s="10" t="str">
        <f>IFERROR(Q1386/#REF!,"NA")</f>
        <v>NA</v>
      </c>
      <c r="AE1386" s="10" t="str">
        <f t="shared" ref="AE1386" si="1839">IFERROR(Q1386/X1386,"NA")</f>
        <v>NA</v>
      </c>
      <c r="AF1386" s="1" t="s">
        <v>5318</v>
      </c>
    </row>
    <row r="1387" spans="1:32" x14ac:dyDescent="0.2">
      <c r="A1387" s="1" t="s">
        <v>5319</v>
      </c>
      <c r="B1387" s="1" t="s">
        <v>94</v>
      </c>
      <c r="C1387" s="1" t="s">
        <v>1575</v>
      </c>
      <c r="D1387" s="1" t="s">
        <v>1600</v>
      </c>
      <c r="E1387" s="1" t="s">
        <v>2050</v>
      </c>
      <c r="F1387" s="1" t="s">
        <v>120</v>
      </c>
      <c r="G1387" s="4" t="s">
        <v>11</v>
      </c>
      <c r="H1387" s="28">
        <v>39538</v>
      </c>
      <c r="I1387" s="29">
        <f t="shared" si="1838"/>
        <v>2008</v>
      </c>
      <c r="J1387" s="1" t="s">
        <v>5321</v>
      </c>
      <c r="K1387" s="1" t="s">
        <v>7</v>
      </c>
      <c r="L1387" s="11" t="str">
        <f>IF(OR(A1386=J1387,A1386=K1387),"ДА","НЕТ")</f>
        <v>НЕТ</v>
      </c>
      <c r="M1387" s="10">
        <v>4211</v>
      </c>
      <c r="N1387" s="10" t="s">
        <v>1575</v>
      </c>
      <c r="O1387" s="10">
        <f>M1387*23.649/1000</f>
        <v>99.585938999999996</v>
      </c>
      <c r="P1387" s="10" t="str">
        <f t="shared" si="1738"/>
        <v>NA</v>
      </c>
      <c r="Q1387" s="10" t="str">
        <f t="shared" si="1739"/>
        <v>NA</v>
      </c>
      <c r="R1387" s="10" t="s">
        <v>1575</v>
      </c>
      <c r="S1387" s="10" t="s">
        <v>1575</v>
      </c>
      <c r="T1387" s="10" t="s">
        <v>1575</v>
      </c>
      <c r="U1387" s="10" t="s">
        <v>1575</v>
      </c>
      <c r="V1387" s="10">
        <f>1.598</f>
        <v>1.5980000000000001</v>
      </c>
      <c r="W1387" s="10">
        <f>(0.004+0.319-0.002)*23.649</f>
        <v>7.5913290000000009</v>
      </c>
      <c r="X1387" s="10" t="str">
        <f>IFERROR(#REF!+#REF!,"NA")</f>
        <v>NA</v>
      </c>
      <c r="Y1387" s="10" t="str">
        <f>IFERROR(P1387/#REF!,"NA")</f>
        <v>NA</v>
      </c>
      <c r="Z1387" s="10" t="str">
        <f>IFERROR(P1387/#REF!,"NA")</f>
        <v>NA</v>
      </c>
      <c r="AA1387" s="10" t="str">
        <f>IFERROR(P1387/#REF!,"NA")</f>
        <v>NA</v>
      </c>
      <c r="AB1387" s="10" t="str">
        <f>IFERROR(Q1387/#REF!,"NA")</f>
        <v>NA</v>
      </c>
      <c r="AC1387" s="10" t="str">
        <f>IFERROR(Q1387/#REF!,"NA")</f>
        <v>NA</v>
      </c>
      <c r="AD1387" s="10" t="str">
        <f>IFERROR(Q1387/#REF!,"NA")</f>
        <v>NA</v>
      </c>
      <c r="AE1387" s="10" t="str">
        <f t="shared" ref="AE1387:AE1390" si="1840">IFERROR(Q1387/X1387,"NA")</f>
        <v>NA</v>
      </c>
      <c r="AF1387" s="1" t="s">
        <v>5320</v>
      </c>
    </row>
    <row r="1388" spans="1:32" x14ac:dyDescent="0.2">
      <c r="A1388" s="1" t="s">
        <v>71</v>
      </c>
      <c r="B1388" s="1" t="s">
        <v>122</v>
      </c>
      <c r="C1388" s="1" t="s">
        <v>1575</v>
      </c>
      <c r="D1388" s="1" t="s">
        <v>1600</v>
      </c>
      <c r="E1388" s="1" t="s">
        <v>1696</v>
      </c>
      <c r="F1388" s="1" t="s">
        <v>120</v>
      </c>
      <c r="G1388" s="4">
        <f>1037498/1506527294</f>
        <v>6.8866857184201799E-4</v>
      </c>
      <c r="H1388" s="28">
        <v>39813</v>
      </c>
      <c r="I1388" s="29">
        <f t="shared" si="1838"/>
        <v>2008</v>
      </c>
      <c r="J1388" s="1" t="s">
        <v>71</v>
      </c>
      <c r="K1388" s="1" t="s">
        <v>7</v>
      </c>
      <c r="L1388" s="11" t="str">
        <f>IF(OR(A1387=J1388,A1387=K1388),"ДА","НЕТ")</f>
        <v>НЕТ</v>
      </c>
      <c r="M1388" s="10">
        <v>197</v>
      </c>
      <c r="N1388" s="10" t="s">
        <v>1575</v>
      </c>
      <c r="O1388" s="10">
        <f>M1388*29.3804/1000</f>
        <v>5.7879388000000001</v>
      </c>
      <c r="P1388" s="10">
        <f t="shared" si="1738"/>
        <v>8404.5345419476544</v>
      </c>
      <c r="Q1388" s="10" t="str">
        <f t="shared" si="1739"/>
        <v>NA</v>
      </c>
      <c r="R1388" s="10" t="s">
        <v>1575</v>
      </c>
      <c r="S1388" s="10" t="s">
        <v>1575</v>
      </c>
      <c r="T1388" s="10" t="s">
        <v>1575</v>
      </c>
      <c r="U1388" s="10" t="s">
        <v>1575</v>
      </c>
      <c r="V1388" s="10" t="s">
        <v>1575</v>
      </c>
      <c r="W1388" s="10" t="s">
        <v>1575</v>
      </c>
      <c r="X1388" s="10" t="str">
        <f>IFERROR(#REF!+#REF!,"NA")</f>
        <v>NA</v>
      </c>
      <c r="Y1388" s="10" t="str">
        <f>IFERROR(P1388/#REF!,"NA")</f>
        <v>NA</v>
      </c>
      <c r="Z1388" s="10" t="str">
        <f>IFERROR(P1388/#REF!,"NA")</f>
        <v>NA</v>
      </c>
      <c r="AA1388" s="10" t="str">
        <f>IFERROR(P1388/#REF!,"NA")</f>
        <v>NA</v>
      </c>
      <c r="AB1388" s="10" t="str">
        <f>IFERROR(Q1388/#REF!,"NA")</f>
        <v>NA</v>
      </c>
      <c r="AC1388" s="10" t="str">
        <f>IFERROR(Q1388/#REF!,"NA")</f>
        <v>NA</v>
      </c>
      <c r="AD1388" s="10" t="str">
        <f>IFERROR(Q1388/#REF!,"NA")</f>
        <v>NA</v>
      </c>
      <c r="AE1388" s="10" t="str">
        <f t="shared" ref="AE1388" si="1841">IFERROR(Q1388/X1388,"NA")</f>
        <v>NA</v>
      </c>
      <c r="AF1388" s="1" t="s">
        <v>5322</v>
      </c>
    </row>
    <row r="1389" spans="1:32" x14ac:dyDescent="0.2">
      <c r="A1389" s="1" t="s">
        <v>5924</v>
      </c>
      <c r="B1389" s="1" t="s">
        <v>91</v>
      </c>
      <c r="C1389" s="1" t="s">
        <v>1575</v>
      </c>
      <c r="D1389" s="1" t="s">
        <v>1600</v>
      </c>
      <c r="E1389" s="1" t="s">
        <v>2050</v>
      </c>
      <c r="F1389" s="1" t="s">
        <v>120</v>
      </c>
      <c r="G1389" s="4" t="s">
        <v>11</v>
      </c>
      <c r="H1389" s="28">
        <v>39427</v>
      </c>
      <c r="I1389" s="29">
        <f t="shared" ref="I1389:I1390" si="1842">YEAR(H1389)</f>
        <v>2007</v>
      </c>
      <c r="J1389" s="1" t="s">
        <v>5315</v>
      </c>
      <c r="K1389" s="1" t="s">
        <v>7</v>
      </c>
      <c r="L1389" s="11" t="str">
        <f t="shared" ref="L1389" si="1843">IF(OR(A1389=J1389,A1389=K1389),"ДА","НЕТ")</f>
        <v>НЕТ</v>
      </c>
      <c r="M1389" s="10">
        <v>2108</v>
      </c>
      <c r="N1389" s="10" t="s">
        <v>1575</v>
      </c>
      <c r="O1389" s="10">
        <f>M1389*24.488/1000</f>
        <v>51.620703999999996</v>
      </c>
      <c r="P1389" s="10" t="str">
        <f t="shared" si="1738"/>
        <v>NA</v>
      </c>
      <c r="Q1389" s="10" t="str">
        <f t="shared" si="1739"/>
        <v>NA</v>
      </c>
      <c r="R1389" s="10" t="s">
        <v>1575</v>
      </c>
      <c r="S1389" s="10" t="s">
        <v>1575</v>
      </c>
      <c r="T1389" s="10" t="s">
        <v>1575</v>
      </c>
      <c r="U1389" s="10" t="s">
        <v>1575</v>
      </c>
      <c r="V1389" s="10">
        <f>1.245*24.488</f>
        <v>30.487560000000002</v>
      </c>
      <c r="W1389" s="10">
        <f>(0.057+0.377)*24.488</f>
        <v>10.627791999999999</v>
      </c>
      <c r="X1389" s="10" t="str">
        <f>IFERROR(#REF!+#REF!,"NA")</f>
        <v>NA</v>
      </c>
      <c r="Y1389" s="10" t="str">
        <f>IFERROR(P1389/#REF!,"NA")</f>
        <v>NA</v>
      </c>
      <c r="Z1389" s="10" t="str">
        <f>IFERROR(P1389/#REF!,"NA")</f>
        <v>NA</v>
      </c>
      <c r="AA1389" s="10" t="str">
        <f>IFERROR(P1389/#REF!,"NA")</f>
        <v>NA</v>
      </c>
      <c r="AB1389" s="10" t="str">
        <f>IFERROR(Q1389/#REF!,"NA")</f>
        <v>NA</v>
      </c>
      <c r="AC1389" s="10" t="str">
        <f>IFERROR(Q1389/#REF!,"NA")</f>
        <v>NA</v>
      </c>
      <c r="AD1389" s="10" t="str">
        <f>IFERROR(Q1389/#REF!,"NA")</f>
        <v>NA</v>
      </c>
      <c r="AE1389" s="10" t="str">
        <f t="shared" si="1840"/>
        <v>NA</v>
      </c>
      <c r="AF1389" s="1" t="s">
        <v>5316</v>
      </c>
    </row>
    <row r="1390" spans="1:32" x14ac:dyDescent="0.2">
      <c r="A1390" s="1" t="s">
        <v>5326</v>
      </c>
      <c r="B1390" s="1" t="s">
        <v>5</v>
      </c>
      <c r="C1390" s="1" t="s">
        <v>1575</v>
      </c>
      <c r="D1390" s="1" t="s">
        <v>1600</v>
      </c>
      <c r="E1390" s="1" t="s">
        <v>1659</v>
      </c>
      <c r="F1390" s="1" t="s">
        <v>118</v>
      </c>
      <c r="G1390" s="4">
        <v>1</v>
      </c>
      <c r="H1390" s="28">
        <v>45138</v>
      </c>
      <c r="I1390" s="29">
        <f t="shared" si="1842"/>
        <v>2023</v>
      </c>
      <c r="J1390" s="1" t="s">
        <v>5199</v>
      </c>
      <c r="K1390" s="1" t="s">
        <v>7</v>
      </c>
      <c r="L1390" s="11" t="str">
        <f t="shared" ref="L1390" si="1844">IF(OR(A1390=J1390,A1390=K1390),"ДА","НЕТ")</f>
        <v>НЕТ</v>
      </c>
      <c r="M1390" s="10" t="s">
        <v>1575</v>
      </c>
      <c r="N1390" s="10" t="s">
        <v>1575</v>
      </c>
      <c r="O1390" s="10">
        <v>22.548999999999999</v>
      </c>
      <c r="P1390" s="10">
        <f t="shared" si="1738"/>
        <v>22.548999999999999</v>
      </c>
      <c r="Q1390" s="10">
        <f t="shared" si="1739"/>
        <v>22.798999999999999</v>
      </c>
      <c r="R1390" s="10" t="s">
        <v>1575</v>
      </c>
      <c r="S1390" s="10" t="s">
        <v>1575</v>
      </c>
      <c r="T1390" s="10" t="s">
        <v>1575</v>
      </c>
      <c r="U1390" s="10" t="s">
        <v>1575</v>
      </c>
      <c r="V1390" s="10">
        <v>22.577000000000002</v>
      </c>
      <c r="W1390" s="10">
        <f>0.012+0.035+0.22-0.017</f>
        <v>0.25</v>
      </c>
      <c r="X1390" s="10">
        <f t="shared" ref="X1390" si="1845">IFERROR(V1390+W1390,"NA")</f>
        <v>22.827000000000002</v>
      </c>
      <c r="Y1390" s="10" t="str">
        <f t="shared" ref="Y1390" si="1846">IFERROR(P1390/R1390,"NA")</f>
        <v>NA</v>
      </c>
      <c r="Z1390" s="10" t="str">
        <f t="shared" ref="Z1390" si="1847">IFERROR(P1390/U1390,"NA")</f>
        <v>NA</v>
      </c>
      <c r="AA1390" s="10">
        <f t="shared" ref="AA1390" si="1848">IFERROR(P1390/V1390,"NA")</f>
        <v>0.99875979979625273</v>
      </c>
      <c r="AB1390" s="10" t="str">
        <f t="shared" ref="AB1390" si="1849">IFERROR(Q1390/R1390,"NA")</f>
        <v>NA</v>
      </c>
      <c r="AC1390" s="10" t="str">
        <f t="shared" ref="AC1390" si="1850">IFERROR(Q1390/S1390,"NA")</f>
        <v>NA</v>
      </c>
      <c r="AD1390" s="10" t="str">
        <f t="shared" ref="AD1390" si="1851">IFERROR(Q1390/T1390,"NA")</f>
        <v>NA</v>
      </c>
      <c r="AE1390" s="10">
        <f t="shared" si="1840"/>
        <v>0.99877338239803737</v>
      </c>
      <c r="AF1390" s="1" t="s">
        <v>5325</v>
      </c>
    </row>
    <row r="1391" spans="1:32" x14ac:dyDescent="0.2">
      <c r="A1391" s="1" t="s">
        <v>5925</v>
      </c>
      <c r="B1391" s="1" t="s">
        <v>5</v>
      </c>
      <c r="C1391" s="1" t="s">
        <v>1575</v>
      </c>
      <c r="D1391" s="1" t="s">
        <v>1600</v>
      </c>
      <c r="E1391" s="1" t="s">
        <v>2050</v>
      </c>
      <c r="F1391" s="1" t="s">
        <v>120</v>
      </c>
      <c r="G1391" s="4">
        <v>1</v>
      </c>
      <c r="H1391" s="28">
        <v>43088</v>
      </c>
      <c r="I1391" s="29">
        <f t="shared" ref="I1391:I1463" si="1852">YEAR(H1391)</f>
        <v>2017</v>
      </c>
      <c r="J1391" s="1" t="s">
        <v>5199</v>
      </c>
      <c r="K1391" s="1" t="s">
        <v>7</v>
      </c>
      <c r="L1391" s="11" t="str">
        <f t="shared" si="1688"/>
        <v>НЕТ</v>
      </c>
      <c r="M1391" s="10" t="s">
        <v>1575</v>
      </c>
      <c r="N1391" s="10" t="s">
        <v>1575</v>
      </c>
      <c r="O1391" s="10">
        <v>0.61399999999999999</v>
      </c>
      <c r="P1391" s="10">
        <f t="shared" si="1738"/>
        <v>0.61399999999999999</v>
      </c>
      <c r="Q1391" s="10">
        <f t="shared" si="1739"/>
        <v>3.7819999999999996</v>
      </c>
      <c r="R1391" s="10" t="s">
        <v>1575</v>
      </c>
      <c r="S1391" s="10" t="s">
        <v>1575</v>
      </c>
      <c r="T1391" s="10" t="s">
        <v>1575</v>
      </c>
      <c r="U1391" s="10" t="s">
        <v>1575</v>
      </c>
      <c r="V1391" s="10">
        <v>2.21</v>
      </c>
      <c r="W1391" s="10">
        <f>3.529-0.003-0.358</f>
        <v>3.1679999999999997</v>
      </c>
      <c r="X1391" s="10">
        <f t="shared" ref="X1391:X1458" si="1853">IFERROR(V1391+W1391,"NA")</f>
        <v>5.3780000000000001</v>
      </c>
      <c r="Y1391" s="10" t="str">
        <f t="shared" ref="Y1391:Y1458" si="1854">IFERROR(P1391/R1391,"NA")</f>
        <v>NA</v>
      </c>
      <c r="Z1391" s="10" t="str">
        <f t="shared" ref="Z1391:Z1458" si="1855">IFERROR(P1391/U1391,"NA")</f>
        <v>NA</v>
      </c>
      <c r="AA1391" s="10">
        <f t="shared" ref="AA1391:AA1458" si="1856">IFERROR(P1391/V1391,"NA")</f>
        <v>0.27782805429864255</v>
      </c>
      <c r="AB1391" s="10" t="str">
        <f t="shared" ref="AB1391:AB1458" si="1857">IFERROR(Q1391/R1391,"NA")</f>
        <v>NA</v>
      </c>
      <c r="AC1391" s="10" t="str">
        <f t="shared" ref="AC1391:AC1458" si="1858">IFERROR(Q1391/S1391,"NA")</f>
        <v>NA</v>
      </c>
      <c r="AD1391" s="10" t="str">
        <f t="shared" ref="AD1391:AD1458" si="1859">IFERROR(Q1391/T1391,"NA")</f>
        <v>NA</v>
      </c>
      <c r="AE1391" s="10">
        <f t="shared" ref="AE1391:AE1458" si="1860">IFERROR(Q1391/X1391,"NA")</f>
        <v>0.70323540349572322</v>
      </c>
      <c r="AF1391" s="1" t="s">
        <v>5327</v>
      </c>
    </row>
    <row r="1392" spans="1:32" x14ac:dyDescent="0.2">
      <c r="A1392" s="1" t="s">
        <v>1271</v>
      </c>
      <c r="B1392" s="1" t="s">
        <v>5</v>
      </c>
      <c r="C1392" s="1" t="s">
        <v>1693</v>
      </c>
      <c r="D1392" s="1" t="s">
        <v>1600</v>
      </c>
      <c r="E1392" s="1" t="s">
        <v>1659</v>
      </c>
      <c r="F1392" s="1" t="s">
        <v>118</v>
      </c>
      <c r="G1392" s="4">
        <v>0.128</v>
      </c>
      <c r="H1392" s="28">
        <v>41639</v>
      </c>
      <c r="I1392" s="29">
        <f t="shared" si="1852"/>
        <v>2013</v>
      </c>
      <c r="J1392" s="1" t="s">
        <v>5199</v>
      </c>
      <c r="K1392" s="1" t="s">
        <v>7</v>
      </c>
      <c r="L1392" s="11" t="str">
        <f t="shared" si="1688"/>
        <v>НЕТ</v>
      </c>
      <c r="M1392" s="10" t="s">
        <v>1575</v>
      </c>
      <c r="N1392" s="10" t="s">
        <v>1575</v>
      </c>
      <c r="O1392" s="10">
        <v>1.403</v>
      </c>
      <c r="P1392" s="10">
        <f t="shared" si="1738"/>
        <v>10.9609375</v>
      </c>
      <c r="Q1392" s="10">
        <f t="shared" si="1739"/>
        <v>18.807937500000001</v>
      </c>
      <c r="R1392" s="10">
        <v>10.836</v>
      </c>
      <c r="S1392" s="10">
        <v>-9.5860000000000003</v>
      </c>
      <c r="T1392" s="10">
        <v>-11.554</v>
      </c>
      <c r="U1392" s="10">
        <v>-9.4860000000000007</v>
      </c>
      <c r="V1392" s="10">
        <v>8.98</v>
      </c>
      <c r="W1392" s="10">
        <v>7.8469999999999995</v>
      </c>
      <c r="X1392" s="10">
        <f t="shared" si="1853"/>
        <v>16.826999999999998</v>
      </c>
      <c r="Y1392" s="10">
        <f t="shared" si="1854"/>
        <v>1.011529854189738</v>
      </c>
      <c r="Z1392" s="10">
        <f t="shared" si="1855"/>
        <v>-1.1554857157916929</v>
      </c>
      <c r="AA1392" s="10">
        <f t="shared" si="1856"/>
        <v>1.2205943763919822</v>
      </c>
      <c r="AB1392" s="10">
        <f t="shared" si="1857"/>
        <v>1.7356900609080843</v>
      </c>
      <c r="AC1392" s="10">
        <f t="shared" si="1858"/>
        <v>-1.96202143751304</v>
      </c>
      <c r="AD1392" s="10">
        <f t="shared" si="1859"/>
        <v>-1.627829106802839</v>
      </c>
      <c r="AE1392" s="10">
        <f t="shared" si="1860"/>
        <v>1.1177237475485828</v>
      </c>
      <c r="AF1392" s="1" t="s">
        <v>5328</v>
      </c>
    </row>
    <row r="1393" spans="1:32" x14ac:dyDescent="0.2">
      <c r="A1393" s="1" t="s">
        <v>172</v>
      </c>
      <c r="B1393" s="1" t="s">
        <v>28</v>
      </c>
      <c r="C1393" s="1" t="s">
        <v>1575</v>
      </c>
      <c r="D1393" s="1" t="s">
        <v>1600</v>
      </c>
      <c r="E1393" s="1" t="s">
        <v>4456</v>
      </c>
      <c r="F1393" s="1" t="s">
        <v>123</v>
      </c>
      <c r="G1393" s="4">
        <v>0.996</v>
      </c>
      <c r="H1393" s="28">
        <v>41578</v>
      </c>
      <c r="I1393" s="29">
        <f t="shared" si="1852"/>
        <v>2013</v>
      </c>
      <c r="J1393" s="1" t="s">
        <v>7</v>
      </c>
      <c r="K1393" s="1" t="s">
        <v>5199</v>
      </c>
      <c r="L1393" s="11" t="str">
        <f t="shared" si="1688"/>
        <v>НЕТ</v>
      </c>
      <c r="M1393" s="10" t="s">
        <v>1575</v>
      </c>
      <c r="N1393" s="10" t="s">
        <v>1575</v>
      </c>
      <c r="O1393" s="10">
        <v>0.32400000000000001</v>
      </c>
      <c r="P1393" s="10">
        <f t="shared" si="1738"/>
        <v>0.3253012048192771</v>
      </c>
      <c r="Q1393" s="10" t="str">
        <f t="shared" si="1739"/>
        <v>NA</v>
      </c>
      <c r="R1393" s="10" t="s">
        <v>1575</v>
      </c>
      <c r="S1393" s="10" t="s">
        <v>1575</v>
      </c>
      <c r="T1393" s="10" t="s">
        <v>1575</v>
      </c>
      <c r="U1393" s="10" t="s">
        <v>1575</v>
      </c>
      <c r="V1393" s="10" t="s">
        <v>1575</v>
      </c>
      <c r="W1393" s="10" t="s">
        <v>1575</v>
      </c>
      <c r="X1393" s="10" t="str">
        <f t="shared" si="1853"/>
        <v>NA</v>
      </c>
      <c r="Y1393" s="10" t="str">
        <f t="shared" si="1854"/>
        <v>NA</v>
      </c>
      <c r="Z1393" s="10" t="str">
        <f t="shared" si="1855"/>
        <v>NA</v>
      </c>
      <c r="AA1393" s="10" t="str">
        <f t="shared" si="1856"/>
        <v>NA</v>
      </c>
      <c r="AB1393" s="10" t="str">
        <f t="shared" si="1857"/>
        <v>NA</v>
      </c>
      <c r="AC1393" s="10" t="str">
        <f t="shared" si="1858"/>
        <v>NA</v>
      </c>
      <c r="AD1393" s="10" t="str">
        <f t="shared" si="1859"/>
        <v>NA</v>
      </c>
      <c r="AE1393" s="10" t="str">
        <f t="shared" si="1860"/>
        <v>NA</v>
      </c>
      <c r="AF1393" s="1" t="s">
        <v>5329</v>
      </c>
    </row>
    <row r="1394" spans="1:32" x14ac:dyDescent="0.2">
      <c r="A1394" s="1" t="s">
        <v>5926</v>
      </c>
      <c r="B1394" s="1" t="s">
        <v>5</v>
      </c>
      <c r="C1394" s="1" t="s">
        <v>1575</v>
      </c>
      <c r="D1394" s="1" t="s">
        <v>1615</v>
      </c>
      <c r="E1394" s="1" t="s">
        <v>2176</v>
      </c>
      <c r="F1394" s="1" t="s">
        <v>5336</v>
      </c>
      <c r="G1394" s="4" t="s">
        <v>11</v>
      </c>
      <c r="H1394" s="28">
        <v>41317</v>
      </c>
      <c r="I1394" s="29">
        <f t="shared" si="1852"/>
        <v>2013</v>
      </c>
      <c r="J1394" s="1" t="s">
        <v>7</v>
      </c>
      <c r="K1394" s="1" t="s">
        <v>5199</v>
      </c>
      <c r="L1394" s="11" t="str">
        <f t="shared" ref="L1394" si="1861">IF(OR(A1394=J1394,A1394=K1394),"ДА","НЕТ")</f>
        <v>НЕТ</v>
      </c>
      <c r="M1394" s="10">
        <v>131</v>
      </c>
      <c r="N1394" s="10" t="s">
        <v>1575</v>
      </c>
      <c r="O1394" s="10">
        <v>4.1660000000000004</v>
      </c>
      <c r="P1394" s="10" t="str">
        <f t="shared" si="1738"/>
        <v>NA</v>
      </c>
      <c r="Q1394" s="10" t="str">
        <f t="shared" si="1739"/>
        <v>NA</v>
      </c>
      <c r="R1394" s="10" t="s">
        <v>1575</v>
      </c>
      <c r="S1394" s="10" t="s">
        <v>1575</v>
      </c>
      <c r="T1394" s="10" t="s">
        <v>1575</v>
      </c>
      <c r="U1394" s="10" t="s">
        <v>1575</v>
      </c>
      <c r="V1394" s="10" t="s">
        <v>1575</v>
      </c>
      <c r="W1394" s="10" t="s">
        <v>1575</v>
      </c>
      <c r="X1394" s="10" t="str">
        <f t="shared" ref="X1394" si="1862">IFERROR(V1394+W1394,"NA")</f>
        <v>NA</v>
      </c>
      <c r="Y1394" s="10" t="str">
        <f t="shared" ref="Y1394" si="1863">IFERROR(P1394/R1394,"NA")</f>
        <v>NA</v>
      </c>
      <c r="Z1394" s="10" t="str">
        <f t="shared" ref="Z1394" si="1864">IFERROR(P1394/U1394,"NA")</f>
        <v>NA</v>
      </c>
      <c r="AA1394" s="10" t="str">
        <f t="shared" ref="AA1394" si="1865">IFERROR(P1394/V1394,"NA")</f>
        <v>NA</v>
      </c>
      <c r="AB1394" s="10" t="str">
        <f t="shared" ref="AB1394" si="1866">IFERROR(Q1394/R1394,"NA")</f>
        <v>NA</v>
      </c>
      <c r="AC1394" s="10" t="str">
        <f t="shared" ref="AC1394" si="1867">IFERROR(Q1394/S1394,"NA")</f>
        <v>NA</v>
      </c>
      <c r="AD1394" s="10" t="str">
        <f t="shared" ref="AD1394" si="1868">IFERROR(Q1394/T1394,"NA")</f>
        <v>NA</v>
      </c>
      <c r="AE1394" s="10" t="str">
        <f t="shared" ref="AE1394" si="1869">IFERROR(Q1394/X1394,"NA")</f>
        <v>NA</v>
      </c>
      <c r="AF1394" s="1" t="s">
        <v>5335</v>
      </c>
    </row>
    <row r="1395" spans="1:32" x14ac:dyDescent="0.2">
      <c r="A1395" s="1" t="s">
        <v>5927</v>
      </c>
      <c r="B1395" s="1" t="s">
        <v>5</v>
      </c>
      <c r="C1395" s="1" t="s">
        <v>1575</v>
      </c>
      <c r="D1395" s="1" t="s">
        <v>1600</v>
      </c>
      <c r="E1395" s="1" t="s">
        <v>1671</v>
      </c>
      <c r="F1395" s="1" t="s">
        <v>72</v>
      </c>
      <c r="G1395" s="4">
        <v>0.51</v>
      </c>
      <c r="H1395" s="28">
        <v>41152</v>
      </c>
      <c r="I1395" s="29">
        <f t="shared" ref="I1395" si="1870">YEAR(H1395)</f>
        <v>2012</v>
      </c>
      <c r="J1395" s="1" t="s">
        <v>7</v>
      </c>
      <c r="K1395" s="1" t="s">
        <v>5199</v>
      </c>
      <c r="L1395" s="11" t="str">
        <f t="shared" ref="L1395" si="1871">IF(OR(A1395=J1395,A1395=K1395),"ДА","НЕТ")</f>
        <v>НЕТ</v>
      </c>
      <c r="M1395" s="10" t="s">
        <v>1575</v>
      </c>
      <c r="N1395" s="10" t="s">
        <v>1575</v>
      </c>
      <c r="O1395" s="10">
        <v>1.177</v>
      </c>
      <c r="P1395" s="10">
        <f t="shared" si="1738"/>
        <v>2.3078431372549022</v>
      </c>
      <c r="Q1395" s="10">
        <f t="shared" si="1739"/>
        <v>2.4178431372549021</v>
      </c>
      <c r="R1395" s="10" t="s">
        <v>1575</v>
      </c>
      <c r="S1395" s="10" t="s">
        <v>1575</v>
      </c>
      <c r="T1395" s="10" t="s">
        <v>1575</v>
      </c>
      <c r="U1395" s="10" t="s">
        <v>1575</v>
      </c>
      <c r="V1395" s="10">
        <v>1.121</v>
      </c>
      <c r="W1395" s="10">
        <f>0.11</f>
        <v>0.11</v>
      </c>
      <c r="X1395" s="10">
        <f t="shared" ref="X1395" si="1872">IFERROR(V1395+W1395,"NA")</f>
        <v>1.2310000000000001</v>
      </c>
      <c r="Y1395" s="10" t="str">
        <f t="shared" ref="Y1395" si="1873">IFERROR(P1395/R1395,"NA")</f>
        <v>NA</v>
      </c>
      <c r="Z1395" s="10" t="str">
        <f t="shared" ref="Z1395" si="1874">IFERROR(P1395/U1395,"NA")</f>
        <v>NA</v>
      </c>
      <c r="AA1395" s="10">
        <f t="shared" ref="AA1395" si="1875">IFERROR(P1395/V1395,"NA")</f>
        <v>2.0587360724843018</v>
      </c>
      <c r="AB1395" s="10" t="str">
        <f t="shared" ref="AB1395" si="1876">IFERROR(Q1395/R1395,"NA")</f>
        <v>NA</v>
      </c>
      <c r="AC1395" s="10" t="str">
        <f t="shared" ref="AC1395" si="1877">IFERROR(Q1395/S1395,"NA")</f>
        <v>NA</v>
      </c>
      <c r="AD1395" s="10" t="str">
        <f t="shared" ref="AD1395" si="1878">IFERROR(Q1395/T1395,"NA")</f>
        <v>NA</v>
      </c>
      <c r="AE1395" s="10">
        <f t="shared" ref="AE1395" si="1879">IFERROR(Q1395/X1395,"NA")</f>
        <v>1.9641292747805865</v>
      </c>
      <c r="AF1395" s="1" t="s">
        <v>5330</v>
      </c>
    </row>
    <row r="1396" spans="1:32" x14ac:dyDescent="0.2">
      <c r="A1396" s="1" t="s">
        <v>175</v>
      </c>
      <c r="B1396" s="1" t="s">
        <v>133</v>
      </c>
      <c r="C1396" s="1" t="s">
        <v>1575</v>
      </c>
      <c r="D1396" s="1" t="s">
        <v>1600</v>
      </c>
      <c r="E1396" s="1" t="s">
        <v>2050</v>
      </c>
      <c r="F1396" s="1" t="s">
        <v>176</v>
      </c>
      <c r="G1396" s="6" t="s">
        <v>174</v>
      </c>
      <c r="H1396" s="28">
        <v>40816</v>
      </c>
      <c r="I1396" s="29">
        <f t="shared" si="1852"/>
        <v>2011</v>
      </c>
      <c r="J1396" s="1" t="s">
        <v>5199</v>
      </c>
      <c r="K1396" s="1" t="s">
        <v>7</v>
      </c>
      <c r="L1396" s="11" t="str">
        <f t="shared" si="1688"/>
        <v>НЕТ</v>
      </c>
      <c r="M1396" s="10" t="s">
        <v>1575</v>
      </c>
      <c r="N1396" s="10" t="s">
        <v>1575</v>
      </c>
      <c r="O1396" s="10">
        <v>13.911</v>
      </c>
      <c r="P1396" s="10" t="str">
        <f t="shared" si="1738"/>
        <v>NA</v>
      </c>
      <c r="Q1396" s="10" t="str">
        <f t="shared" si="1739"/>
        <v>NA</v>
      </c>
      <c r="R1396" s="10" t="s">
        <v>1575</v>
      </c>
      <c r="S1396" s="10" t="s">
        <v>1575</v>
      </c>
      <c r="T1396" s="10" t="s">
        <v>1575</v>
      </c>
      <c r="U1396" s="10" t="s">
        <v>1575</v>
      </c>
      <c r="V1396" s="10" t="s">
        <v>1575</v>
      </c>
      <c r="W1396" s="10" t="s">
        <v>1575</v>
      </c>
      <c r="X1396" s="10" t="str">
        <f t="shared" si="1853"/>
        <v>NA</v>
      </c>
      <c r="Y1396" s="10" t="str">
        <f t="shared" si="1854"/>
        <v>NA</v>
      </c>
      <c r="Z1396" s="10" t="str">
        <f t="shared" si="1855"/>
        <v>NA</v>
      </c>
      <c r="AA1396" s="10" t="str">
        <f t="shared" si="1856"/>
        <v>NA</v>
      </c>
      <c r="AB1396" s="10" t="str">
        <f t="shared" si="1857"/>
        <v>NA</v>
      </c>
      <c r="AC1396" s="10" t="str">
        <f t="shared" si="1858"/>
        <v>NA</v>
      </c>
      <c r="AD1396" s="10" t="str">
        <f t="shared" si="1859"/>
        <v>NA</v>
      </c>
      <c r="AE1396" s="10" t="str">
        <f t="shared" si="1860"/>
        <v>NA</v>
      </c>
      <c r="AF1396" s="1" t="s">
        <v>5331</v>
      </c>
    </row>
    <row r="1397" spans="1:32" x14ac:dyDescent="0.2">
      <c r="A1397" s="1" t="s">
        <v>5928</v>
      </c>
      <c r="B1397" s="1" t="s">
        <v>5</v>
      </c>
      <c r="C1397" s="1" t="s">
        <v>1575</v>
      </c>
      <c r="D1397" s="1" t="s">
        <v>1600</v>
      </c>
      <c r="E1397" s="1" t="s">
        <v>1659</v>
      </c>
      <c r="F1397" s="1" t="s">
        <v>177</v>
      </c>
      <c r="G1397" s="4">
        <v>0.82599999999999996</v>
      </c>
      <c r="H1397" s="28">
        <v>40543</v>
      </c>
      <c r="I1397" s="29">
        <f t="shared" si="1852"/>
        <v>2010</v>
      </c>
      <c r="J1397" s="1" t="s">
        <v>7</v>
      </c>
      <c r="K1397" s="1" t="s">
        <v>5199</v>
      </c>
      <c r="L1397" s="11" t="str">
        <f t="shared" si="1688"/>
        <v>НЕТ</v>
      </c>
      <c r="M1397" s="10">
        <v>280</v>
      </c>
      <c r="N1397" s="10" t="s">
        <v>1575</v>
      </c>
      <c r="O1397" s="10">
        <f>M1397*30.4769/1000</f>
        <v>8.5335319999999992</v>
      </c>
      <c r="P1397" s="10">
        <f t="shared" si="1738"/>
        <v>10.33115254237288</v>
      </c>
      <c r="Q1397" s="10">
        <f t="shared" si="1739"/>
        <v>10.879736742372881</v>
      </c>
      <c r="R1397" s="10" t="s">
        <v>1575</v>
      </c>
      <c r="S1397" s="10" t="s">
        <v>1575</v>
      </c>
      <c r="T1397" s="10" t="s">
        <v>1575</v>
      </c>
      <c r="U1397" s="10" t="s">
        <v>1575</v>
      </c>
      <c r="V1397" s="10">
        <f>0.247*30.4769</f>
        <v>7.5277943</v>
      </c>
      <c r="W1397" s="10">
        <f>0.018*30.4769</f>
        <v>0.54858419999999997</v>
      </c>
      <c r="X1397" s="10">
        <f t="shared" si="1853"/>
        <v>8.0763785000000006</v>
      </c>
      <c r="Y1397" s="10" t="str">
        <f t="shared" si="1854"/>
        <v>NA</v>
      </c>
      <c r="Z1397" s="10" t="str">
        <f t="shared" si="1855"/>
        <v>NA</v>
      </c>
      <c r="AA1397" s="10">
        <f t="shared" si="1856"/>
        <v>1.3724010155767514</v>
      </c>
      <c r="AB1397" s="10" t="str">
        <f t="shared" si="1857"/>
        <v>NA</v>
      </c>
      <c r="AC1397" s="10" t="str">
        <f t="shared" si="1858"/>
        <v>NA</v>
      </c>
      <c r="AD1397" s="10" t="str">
        <f t="shared" si="1859"/>
        <v>NA</v>
      </c>
      <c r="AE1397" s="10">
        <f t="shared" si="1860"/>
        <v>1.3471058522545569</v>
      </c>
      <c r="AF1397" s="1" t="s">
        <v>5332</v>
      </c>
    </row>
    <row r="1398" spans="1:32" x14ac:dyDescent="0.2">
      <c r="A1398" s="1" t="s">
        <v>5929</v>
      </c>
      <c r="B1398" s="1" t="s">
        <v>5</v>
      </c>
      <c r="C1398" s="1" t="s">
        <v>1575</v>
      </c>
      <c r="D1398" s="1" t="s">
        <v>1600</v>
      </c>
      <c r="E1398" s="1" t="s">
        <v>3386</v>
      </c>
      <c r="F1398" s="1" t="s">
        <v>180</v>
      </c>
      <c r="G1398" s="4">
        <v>1</v>
      </c>
      <c r="H1398" s="28">
        <v>39994</v>
      </c>
      <c r="I1398" s="29">
        <f t="shared" ref="I1398" si="1880">YEAR(H1398)</f>
        <v>2009</v>
      </c>
      <c r="J1398" s="1" t="s">
        <v>5199</v>
      </c>
      <c r="K1398" s="1" t="s">
        <v>7</v>
      </c>
      <c r="L1398" s="11" t="str">
        <f t="shared" ref="L1398" si="1881">IF(OR(A1398=J1398,A1398=K1398),"ДА","НЕТ")</f>
        <v>НЕТ</v>
      </c>
      <c r="M1398" s="10">
        <v>15</v>
      </c>
      <c r="N1398" s="10" t="s">
        <v>1575</v>
      </c>
      <c r="O1398" s="10">
        <f>M1398*33.4133/1000</f>
        <v>0.50119950000000002</v>
      </c>
      <c r="P1398" s="10">
        <f t="shared" si="1738"/>
        <v>0.50119950000000002</v>
      </c>
      <c r="Q1398" s="10">
        <f t="shared" si="1739"/>
        <v>0.30071969999999992</v>
      </c>
      <c r="R1398" s="10" t="s">
        <v>1575</v>
      </c>
      <c r="S1398" s="10" t="s">
        <v>1575</v>
      </c>
      <c r="T1398" s="10" t="s">
        <v>1575</v>
      </c>
      <c r="U1398" s="10" t="s">
        <v>1575</v>
      </c>
      <c r="V1398" s="10">
        <f>0.053*33.4133</f>
        <v>1.7709048999999999</v>
      </c>
      <c r="W1398" s="10">
        <f>(0.004+0.011+0.006-0.019-0.008)*33.4133</f>
        <v>-0.20047980000000007</v>
      </c>
      <c r="X1398" s="10">
        <f t="shared" ref="X1398" si="1882">IFERROR(V1398+W1398,"NA")</f>
        <v>1.5704250999999998</v>
      </c>
      <c r="Y1398" s="10" t="str">
        <f t="shared" ref="Y1398" si="1883">IFERROR(P1398/R1398,"NA")</f>
        <v>NA</v>
      </c>
      <c r="Z1398" s="10" t="str">
        <f t="shared" ref="Z1398" si="1884">IFERROR(P1398/U1398,"NA")</f>
        <v>NA</v>
      </c>
      <c r="AA1398" s="10">
        <f t="shared" ref="AA1398" si="1885">IFERROR(P1398/V1398,"NA")</f>
        <v>0.28301886792452835</v>
      </c>
      <c r="AB1398" s="10" t="str">
        <f t="shared" ref="AB1398" si="1886">IFERROR(Q1398/R1398,"NA")</f>
        <v>NA</v>
      </c>
      <c r="AC1398" s="10" t="str">
        <f t="shared" ref="AC1398" si="1887">IFERROR(Q1398/S1398,"NA")</f>
        <v>NA</v>
      </c>
      <c r="AD1398" s="10" t="str">
        <f t="shared" ref="AD1398" si="1888">IFERROR(Q1398/T1398,"NA")</f>
        <v>NA</v>
      </c>
      <c r="AE1398" s="10">
        <f t="shared" ref="AE1398" si="1889">IFERROR(Q1398/X1398,"NA")</f>
        <v>0.19148936170212763</v>
      </c>
      <c r="AF1398" s="1" t="s">
        <v>5334</v>
      </c>
    </row>
    <row r="1399" spans="1:32" x14ac:dyDescent="0.2">
      <c r="A1399" s="1" t="s">
        <v>178</v>
      </c>
      <c r="B1399" s="1" t="s">
        <v>179</v>
      </c>
      <c r="C1399" s="1" t="s">
        <v>1575</v>
      </c>
      <c r="D1399" s="1" t="s">
        <v>1600</v>
      </c>
      <c r="E1399" s="1" t="s">
        <v>1659</v>
      </c>
      <c r="F1399" s="1" t="s">
        <v>177</v>
      </c>
      <c r="G1399" s="4">
        <v>0.5</v>
      </c>
      <c r="H1399" s="28">
        <v>40117</v>
      </c>
      <c r="I1399" s="29">
        <f t="shared" ref="I1399" si="1890">YEAR(H1399)</f>
        <v>2009</v>
      </c>
      <c r="J1399" s="1" t="s">
        <v>5199</v>
      </c>
      <c r="K1399" s="1" t="s">
        <v>7</v>
      </c>
      <c r="L1399" s="11" t="str">
        <f t="shared" ref="L1399" si="1891">IF(OR(A1399=J1399,A1399=K1399),"ДА","НЕТ")</f>
        <v>НЕТ</v>
      </c>
      <c r="M1399" s="10">
        <v>309</v>
      </c>
      <c r="N1399" s="10" t="s">
        <v>1575</v>
      </c>
      <c r="O1399" s="10">
        <f>M1399*29.0488/1000</f>
        <v>8.9760792000000009</v>
      </c>
      <c r="P1399" s="10">
        <f t="shared" si="1738"/>
        <v>17.952158400000002</v>
      </c>
      <c r="Q1399" s="10">
        <f t="shared" si="1739"/>
        <v>36.630536800000002</v>
      </c>
      <c r="R1399" s="10" t="s">
        <v>1575</v>
      </c>
      <c r="S1399" s="10" t="s">
        <v>1575</v>
      </c>
      <c r="T1399" s="10" t="s">
        <v>1575</v>
      </c>
      <c r="U1399" s="10" t="s">
        <v>1575</v>
      </c>
      <c r="V1399" s="10">
        <f>0.544*29.0488</f>
        <v>15.802547200000001</v>
      </c>
      <c r="W1399" s="10">
        <f>(0.532+0.018+0.016+0.118-0.038-0.003)*29.0488</f>
        <v>18.6783784</v>
      </c>
      <c r="X1399" s="10">
        <f t="shared" ref="X1399" si="1892">IFERROR(V1399+W1399,"NA")</f>
        <v>34.480925599999999</v>
      </c>
      <c r="Y1399" s="10" t="str">
        <f t="shared" ref="Y1399" si="1893">IFERROR(P1399/R1399,"NA")</f>
        <v>NA</v>
      </c>
      <c r="Z1399" s="10" t="str">
        <f t="shared" ref="Z1399" si="1894">IFERROR(P1399/U1399,"NA")</f>
        <v>NA</v>
      </c>
      <c r="AA1399" s="10">
        <f t="shared" ref="AA1399" si="1895">IFERROR(P1399/V1399,"NA")</f>
        <v>1.1360294117647058</v>
      </c>
      <c r="AB1399" s="10" t="str">
        <f t="shared" ref="AB1399" si="1896">IFERROR(Q1399/R1399,"NA")</f>
        <v>NA</v>
      </c>
      <c r="AC1399" s="10" t="str">
        <f t="shared" ref="AC1399" si="1897">IFERROR(Q1399/S1399,"NA")</f>
        <v>NA</v>
      </c>
      <c r="AD1399" s="10" t="str">
        <f t="shared" ref="AD1399" si="1898">IFERROR(Q1399/T1399,"NA")</f>
        <v>NA</v>
      </c>
      <c r="AE1399" s="10">
        <f t="shared" ref="AE1399" si="1899">IFERROR(Q1399/X1399,"NA")</f>
        <v>1.0623420387531592</v>
      </c>
      <c r="AF1399" s="1" t="s">
        <v>5333</v>
      </c>
    </row>
    <row r="1400" spans="1:32" x14ac:dyDescent="0.2">
      <c r="A1400" s="1" t="s">
        <v>178</v>
      </c>
      <c r="B1400" s="1" t="s">
        <v>179</v>
      </c>
      <c r="C1400" s="1" t="s">
        <v>1575</v>
      </c>
      <c r="D1400" s="1" t="s">
        <v>1600</v>
      </c>
      <c r="E1400" s="1" t="s">
        <v>1659</v>
      </c>
      <c r="F1400" s="1" t="s">
        <v>177</v>
      </c>
      <c r="G1400" s="4">
        <v>0.5</v>
      </c>
      <c r="H1400" s="28">
        <v>39538</v>
      </c>
      <c r="I1400" s="29">
        <f t="shared" si="1852"/>
        <v>2008</v>
      </c>
      <c r="J1400" s="1" t="s">
        <v>5199</v>
      </c>
      <c r="K1400" s="1" t="s">
        <v>7</v>
      </c>
      <c r="L1400" s="11" t="str">
        <f t="shared" si="1688"/>
        <v>НЕТ</v>
      </c>
      <c r="M1400" s="10">
        <v>234</v>
      </c>
      <c r="N1400" s="10" t="s">
        <v>1575</v>
      </c>
      <c r="O1400" s="10">
        <f>M1400*23.5156/1000</f>
        <v>5.5026503999999994</v>
      </c>
      <c r="P1400" s="10">
        <f t="shared" si="1738"/>
        <v>11.005300799999999</v>
      </c>
      <c r="Q1400" s="10">
        <f t="shared" si="1739"/>
        <v>29.6836792</v>
      </c>
      <c r="R1400" s="10" t="s">
        <v>1575</v>
      </c>
      <c r="S1400" s="10" t="s">
        <v>1575</v>
      </c>
      <c r="T1400" s="10" t="s">
        <v>1575</v>
      </c>
      <c r="U1400" s="10" t="s">
        <v>1575</v>
      </c>
      <c r="V1400" s="10">
        <f>0.544*29.0488</f>
        <v>15.802547200000001</v>
      </c>
      <c r="W1400" s="10">
        <f>(0.532+0.018+0.016+0.118-0.038-0.003)*29.0488</f>
        <v>18.6783784</v>
      </c>
      <c r="X1400" s="10">
        <f t="shared" si="1853"/>
        <v>34.480925599999999</v>
      </c>
      <c r="Y1400" s="10" t="str">
        <f t="shared" si="1854"/>
        <v>NA</v>
      </c>
      <c r="Z1400" s="10" t="str">
        <f t="shared" si="1855"/>
        <v>NA</v>
      </c>
      <c r="AA1400" s="10">
        <f t="shared" si="1856"/>
        <v>0.69642575090679038</v>
      </c>
      <c r="AB1400" s="10" t="str">
        <f t="shared" si="1857"/>
        <v>NA</v>
      </c>
      <c r="AC1400" s="10" t="str">
        <f t="shared" si="1858"/>
        <v>NA</v>
      </c>
      <c r="AD1400" s="10" t="str">
        <f t="shared" si="1859"/>
        <v>NA</v>
      </c>
      <c r="AE1400" s="10">
        <f t="shared" si="1860"/>
        <v>0.86087245871381135</v>
      </c>
      <c r="AF1400" s="1" t="s">
        <v>5333</v>
      </c>
    </row>
    <row r="1401" spans="1:32" x14ac:dyDescent="0.2">
      <c r="A1401" s="1" t="s">
        <v>5930</v>
      </c>
      <c r="B1401" s="1" t="s">
        <v>5</v>
      </c>
      <c r="C1401" s="1" t="s">
        <v>1575</v>
      </c>
      <c r="D1401" s="1" t="s">
        <v>1600</v>
      </c>
      <c r="E1401" s="1" t="s">
        <v>4456</v>
      </c>
      <c r="F1401" s="1" t="s">
        <v>123</v>
      </c>
      <c r="G1401" s="4">
        <v>0.01</v>
      </c>
      <c r="H1401" s="28">
        <v>39813</v>
      </c>
      <c r="I1401" s="29">
        <f t="shared" si="1852"/>
        <v>2008</v>
      </c>
      <c r="J1401" s="1" t="s">
        <v>5199</v>
      </c>
      <c r="K1401" s="1" t="s">
        <v>7</v>
      </c>
      <c r="L1401" s="11" t="str">
        <f t="shared" si="1688"/>
        <v>НЕТ</v>
      </c>
      <c r="M1401" s="10" t="s">
        <v>1575</v>
      </c>
      <c r="N1401" s="10" t="s">
        <v>1575</v>
      </c>
      <c r="O1401" s="10">
        <v>0</v>
      </c>
      <c r="P1401" s="10">
        <f t="shared" si="1738"/>
        <v>0</v>
      </c>
      <c r="Q1401" s="10">
        <f t="shared" si="1739"/>
        <v>1.6204698</v>
      </c>
      <c r="R1401" s="10" t="s">
        <v>1575</v>
      </c>
      <c r="S1401" s="10" t="s">
        <v>1575</v>
      </c>
      <c r="T1401" s="10" t="s">
        <v>1575</v>
      </c>
      <c r="U1401" s="10" t="s">
        <v>1575</v>
      </c>
      <c r="V1401" s="10">
        <f>-0.015*30.0087</f>
        <v>-0.45013049999999999</v>
      </c>
      <c r="W1401" s="10">
        <f>(0.056-0.002)*30.0087</f>
        <v>1.6204698</v>
      </c>
      <c r="X1401" s="10">
        <f t="shared" si="1853"/>
        <v>1.1703393</v>
      </c>
      <c r="Y1401" s="10" t="str">
        <f t="shared" si="1854"/>
        <v>NA</v>
      </c>
      <c r="Z1401" s="10" t="str">
        <f t="shared" si="1855"/>
        <v>NA</v>
      </c>
      <c r="AA1401" s="10">
        <f t="shared" si="1856"/>
        <v>0</v>
      </c>
      <c r="AB1401" s="10" t="str">
        <f t="shared" si="1857"/>
        <v>NA</v>
      </c>
      <c r="AC1401" s="10" t="str">
        <f t="shared" si="1858"/>
        <v>NA</v>
      </c>
      <c r="AD1401" s="10" t="str">
        <f t="shared" si="1859"/>
        <v>NA</v>
      </c>
      <c r="AE1401" s="10">
        <f t="shared" si="1860"/>
        <v>1.3846153846153846</v>
      </c>
      <c r="AF1401" s="1" t="s">
        <v>5338</v>
      </c>
    </row>
    <row r="1402" spans="1:32" x14ac:dyDescent="0.2">
      <c r="A1402" s="1" t="s">
        <v>5930</v>
      </c>
      <c r="B1402" s="1" t="s">
        <v>5</v>
      </c>
      <c r="C1402" s="1" t="s">
        <v>1575</v>
      </c>
      <c r="D1402" s="1" t="s">
        <v>1600</v>
      </c>
      <c r="E1402" s="1" t="s">
        <v>4456</v>
      </c>
      <c r="F1402" s="1" t="s">
        <v>123</v>
      </c>
      <c r="G1402" s="4">
        <v>0.99</v>
      </c>
      <c r="H1402" s="28">
        <v>39722</v>
      </c>
      <c r="I1402" s="29">
        <f t="shared" si="1852"/>
        <v>2008</v>
      </c>
      <c r="J1402" s="1" t="s">
        <v>5199</v>
      </c>
      <c r="K1402" s="1" t="s">
        <v>7</v>
      </c>
      <c r="L1402" s="11" t="str">
        <f t="shared" si="1688"/>
        <v>НЕТ</v>
      </c>
      <c r="M1402" s="10" t="s">
        <v>1575</v>
      </c>
      <c r="N1402" s="10" t="s">
        <v>1575</v>
      </c>
      <c r="O1402" s="10">
        <v>0</v>
      </c>
      <c r="P1402" s="10">
        <f t="shared" si="1738"/>
        <v>0</v>
      </c>
      <c r="Q1402" s="10">
        <f t="shared" si="1739"/>
        <v>1.6204698</v>
      </c>
      <c r="R1402" s="10" t="s">
        <v>1575</v>
      </c>
      <c r="S1402" s="10" t="s">
        <v>1575</v>
      </c>
      <c r="T1402" s="10" t="s">
        <v>1575</v>
      </c>
      <c r="U1402" s="10" t="s">
        <v>1575</v>
      </c>
      <c r="V1402" s="10">
        <f>-0.015*30.0087</f>
        <v>-0.45013049999999999</v>
      </c>
      <c r="W1402" s="10">
        <f>(0.056-0.002)*30.0087</f>
        <v>1.6204698</v>
      </c>
      <c r="X1402" s="10">
        <f t="shared" si="1853"/>
        <v>1.1703393</v>
      </c>
      <c r="Y1402" s="10" t="str">
        <f t="shared" si="1854"/>
        <v>NA</v>
      </c>
      <c r="Z1402" s="10" t="str">
        <f t="shared" si="1855"/>
        <v>NA</v>
      </c>
      <c r="AA1402" s="10">
        <f t="shared" si="1856"/>
        <v>0</v>
      </c>
      <c r="AB1402" s="10" t="str">
        <f t="shared" si="1857"/>
        <v>NA</v>
      </c>
      <c r="AC1402" s="10" t="str">
        <f t="shared" si="1858"/>
        <v>NA</v>
      </c>
      <c r="AD1402" s="10" t="str">
        <f t="shared" si="1859"/>
        <v>NA</v>
      </c>
      <c r="AE1402" s="10">
        <f t="shared" si="1860"/>
        <v>1.3846153846153846</v>
      </c>
      <c r="AF1402" s="1" t="s">
        <v>5337</v>
      </c>
    </row>
    <row r="1403" spans="1:32" x14ac:dyDescent="0.2">
      <c r="A1403" s="1" t="s">
        <v>5931</v>
      </c>
      <c r="B1403" s="1" t="s">
        <v>5</v>
      </c>
      <c r="C1403" s="1" t="s">
        <v>1575</v>
      </c>
      <c r="D1403" s="1" t="s">
        <v>1600</v>
      </c>
      <c r="E1403" s="1" t="s">
        <v>4456</v>
      </c>
      <c r="F1403" s="1" t="s">
        <v>123</v>
      </c>
      <c r="G1403" s="4">
        <v>0.8</v>
      </c>
      <c r="H1403" s="28">
        <v>39623</v>
      </c>
      <c r="I1403" s="29">
        <f t="shared" ref="I1403" si="1900">YEAR(H1403)</f>
        <v>2008</v>
      </c>
      <c r="J1403" s="1" t="s">
        <v>5199</v>
      </c>
      <c r="K1403" s="1" t="s">
        <v>7</v>
      </c>
      <c r="L1403" s="11" t="str">
        <f t="shared" ref="L1403" si="1901">IF(OR(A1403=J1403,A1403=K1403),"ДА","НЕТ")</f>
        <v>НЕТ</v>
      </c>
      <c r="M1403" s="10" t="s">
        <v>1575</v>
      </c>
      <c r="N1403" s="10" t="s">
        <v>1575</v>
      </c>
      <c r="O1403" s="10">
        <v>0</v>
      </c>
      <c r="P1403" s="10">
        <f t="shared" si="1738"/>
        <v>0</v>
      </c>
      <c r="Q1403" s="10">
        <f t="shared" si="1739"/>
        <v>1.6204698</v>
      </c>
      <c r="R1403" s="10" t="s">
        <v>1575</v>
      </c>
      <c r="S1403" s="10" t="s">
        <v>1575</v>
      </c>
      <c r="T1403" s="10" t="s">
        <v>1575</v>
      </c>
      <c r="U1403" s="10" t="s">
        <v>1575</v>
      </c>
      <c r="V1403" s="10">
        <f>-0.015*30.0087</f>
        <v>-0.45013049999999999</v>
      </c>
      <c r="W1403" s="10">
        <f>(0.056-0.002)*30.0087</f>
        <v>1.6204698</v>
      </c>
      <c r="X1403" s="10">
        <f t="shared" ref="X1403" si="1902">IFERROR(V1403+W1403,"NA")</f>
        <v>1.1703393</v>
      </c>
      <c r="Y1403" s="10" t="str">
        <f t="shared" ref="Y1403" si="1903">IFERROR(P1403/R1403,"NA")</f>
        <v>NA</v>
      </c>
      <c r="Z1403" s="10" t="str">
        <f t="shared" ref="Z1403" si="1904">IFERROR(P1403/U1403,"NA")</f>
        <v>NA</v>
      </c>
      <c r="AA1403" s="10">
        <f t="shared" ref="AA1403" si="1905">IFERROR(P1403/V1403,"NA")</f>
        <v>0</v>
      </c>
      <c r="AB1403" s="10" t="str">
        <f t="shared" ref="AB1403" si="1906">IFERROR(Q1403/R1403,"NA")</f>
        <v>NA</v>
      </c>
      <c r="AC1403" s="10" t="str">
        <f t="shared" ref="AC1403" si="1907">IFERROR(Q1403/S1403,"NA")</f>
        <v>NA</v>
      </c>
      <c r="AD1403" s="10" t="str">
        <f t="shared" ref="AD1403" si="1908">IFERROR(Q1403/T1403,"NA")</f>
        <v>NA</v>
      </c>
      <c r="AE1403" s="10">
        <f t="shared" ref="AE1403" si="1909">IFERROR(Q1403/X1403,"NA")</f>
        <v>1.3846153846153846</v>
      </c>
      <c r="AF1403" s="1" t="s">
        <v>5339</v>
      </c>
    </row>
    <row r="1404" spans="1:32" x14ac:dyDescent="0.2">
      <c r="A1404" s="1" t="s">
        <v>5932</v>
      </c>
      <c r="B1404" s="1" t="s">
        <v>5</v>
      </c>
      <c r="C1404" s="1" t="s">
        <v>1575</v>
      </c>
      <c r="D1404" s="1" t="s">
        <v>1584</v>
      </c>
      <c r="E1404" s="1" t="s">
        <v>1698</v>
      </c>
      <c r="F1404" s="1" t="s">
        <v>5205</v>
      </c>
      <c r="G1404" s="4">
        <f>91.77%-90.99%</f>
        <v>7.8000000000000291E-3</v>
      </c>
      <c r="H1404" s="28">
        <v>43950</v>
      </c>
      <c r="I1404" s="29">
        <f t="shared" si="1852"/>
        <v>2020</v>
      </c>
      <c r="J1404" s="1" t="s">
        <v>5199</v>
      </c>
      <c r="K1404" s="1" t="s">
        <v>7</v>
      </c>
      <c r="L1404" s="11" t="str">
        <f t="shared" ref="L1404:L1406" si="1910">IF(OR(A1404=J1404,A1404=K1404),"ДА","НЕТ")</f>
        <v>НЕТ</v>
      </c>
      <c r="M1404" s="10" t="s">
        <v>1575</v>
      </c>
      <c r="N1404" s="10" t="s">
        <v>1575</v>
      </c>
      <c r="O1404" s="10">
        <v>3.5000000000000001E-3</v>
      </c>
      <c r="P1404" s="10">
        <f t="shared" si="1738"/>
        <v>0.44871794871794707</v>
      </c>
      <c r="Q1404" s="10">
        <f t="shared" si="1739"/>
        <v>0.44297294871794707</v>
      </c>
      <c r="R1404" s="10" t="s">
        <v>1575</v>
      </c>
      <c r="S1404" s="10" t="s">
        <v>1575</v>
      </c>
      <c r="T1404" s="10" t="s">
        <v>1575</v>
      </c>
      <c r="U1404" s="10" t="s">
        <v>1575</v>
      </c>
      <c r="V1404" s="10">
        <v>4.8190999999999998E-2</v>
      </c>
      <c r="W1404" s="10">
        <f>0-0.000055-0.00569</f>
        <v>-5.7450000000000001E-3</v>
      </c>
      <c r="X1404" s="10">
        <f t="shared" si="1853"/>
        <v>4.2445999999999998E-2</v>
      </c>
      <c r="Y1404" s="10" t="str">
        <f t="shared" si="1854"/>
        <v>NA</v>
      </c>
      <c r="Z1404" s="10" t="str">
        <f t="shared" si="1855"/>
        <v>NA</v>
      </c>
      <c r="AA1404" s="10">
        <f t="shared" si="1856"/>
        <v>9.3112396239535826</v>
      </c>
      <c r="AB1404" s="10" t="str">
        <f t="shared" si="1857"/>
        <v>NA</v>
      </c>
      <c r="AC1404" s="10" t="str">
        <f t="shared" si="1858"/>
        <v>NA</v>
      </c>
      <c r="AD1404" s="10" t="str">
        <f t="shared" si="1859"/>
        <v>NA</v>
      </c>
      <c r="AE1404" s="10">
        <f t="shared" si="1860"/>
        <v>10.436152964188548</v>
      </c>
      <c r="AF1404" s="1" t="s">
        <v>5203</v>
      </c>
    </row>
    <row r="1405" spans="1:32" x14ac:dyDescent="0.2">
      <c r="A1405" s="1" t="s">
        <v>5932</v>
      </c>
      <c r="B1405" s="1" t="s">
        <v>5</v>
      </c>
      <c r="C1405" s="1" t="s">
        <v>1575</v>
      </c>
      <c r="D1405" s="1" t="s">
        <v>1584</v>
      </c>
      <c r="E1405" s="1" t="s">
        <v>1698</v>
      </c>
      <c r="F1405" s="1" t="s">
        <v>5205</v>
      </c>
      <c r="G1405" s="4">
        <f>91.77%-90.91%</f>
        <v>8.599999999999941E-3</v>
      </c>
      <c r="H1405" s="28">
        <v>43479</v>
      </c>
      <c r="I1405" s="29">
        <f t="shared" si="1852"/>
        <v>2019</v>
      </c>
      <c r="J1405" s="1" t="s">
        <v>5204</v>
      </c>
      <c r="K1405" s="1" t="s">
        <v>7</v>
      </c>
      <c r="L1405" s="11" t="str">
        <f t="shared" si="1910"/>
        <v>НЕТ</v>
      </c>
      <c r="M1405" s="10" t="s">
        <v>1575</v>
      </c>
      <c r="N1405" s="10" t="s">
        <v>1575</v>
      </c>
      <c r="O1405" s="10">
        <v>3.8045000000000002E-2</v>
      </c>
      <c r="P1405" s="10">
        <f t="shared" si="1738"/>
        <v>4.4238372093023566</v>
      </c>
      <c r="Q1405" s="10">
        <f t="shared" si="1739"/>
        <v>4.4180922093023565</v>
      </c>
      <c r="R1405" s="10" t="s">
        <v>1575</v>
      </c>
      <c r="S1405" s="10" t="s">
        <v>1575</v>
      </c>
      <c r="T1405" s="10" t="s">
        <v>1575</v>
      </c>
      <c r="U1405" s="10" t="s">
        <v>1575</v>
      </c>
      <c r="V1405" s="10">
        <v>4.8190999999999998E-2</v>
      </c>
      <c r="W1405" s="10">
        <f t="shared" ref="W1405:W1406" si="1911">0-0.000055-0.00569</f>
        <v>-5.7450000000000001E-3</v>
      </c>
      <c r="X1405" s="10">
        <f t="shared" ref="X1405" si="1912">IFERROR(V1405+W1405,"NA")</f>
        <v>4.2445999999999998E-2</v>
      </c>
      <c r="Y1405" s="10" t="str">
        <f t="shared" ref="Y1405" si="1913">IFERROR(P1405/R1405,"NA")</f>
        <v>NA</v>
      </c>
      <c r="Z1405" s="10" t="str">
        <f t="shared" ref="Z1405" si="1914">IFERROR(P1405/U1405,"NA")</f>
        <v>NA</v>
      </c>
      <c r="AA1405" s="10">
        <f t="shared" ref="AA1405" si="1915">IFERROR(P1405/V1405,"NA")</f>
        <v>91.797995669364752</v>
      </c>
      <c r="AB1405" s="10" t="str">
        <f t="shared" ref="AB1405" si="1916">IFERROR(Q1405/R1405,"NA")</f>
        <v>NA</v>
      </c>
      <c r="AC1405" s="10" t="str">
        <f t="shared" ref="AC1405" si="1917">IFERROR(Q1405/S1405,"NA")</f>
        <v>NA</v>
      </c>
      <c r="AD1405" s="10" t="str">
        <f t="shared" ref="AD1405" si="1918">IFERROR(Q1405/T1405,"NA")</f>
        <v>NA</v>
      </c>
      <c r="AE1405" s="10">
        <f t="shared" ref="AE1405" si="1919">IFERROR(Q1405/X1405,"NA")</f>
        <v>104.08736298596703</v>
      </c>
      <c r="AF1405" s="1" t="s">
        <v>5202</v>
      </c>
    </row>
    <row r="1406" spans="1:32" x14ac:dyDescent="0.2">
      <c r="A1406" s="1" t="s">
        <v>5932</v>
      </c>
      <c r="B1406" s="1" t="s">
        <v>5</v>
      </c>
      <c r="C1406" s="1" t="s">
        <v>1575</v>
      </c>
      <c r="D1406" s="1" t="s">
        <v>1584</v>
      </c>
      <c r="E1406" s="1" t="s">
        <v>1698</v>
      </c>
      <c r="F1406" s="1" t="s">
        <v>5205</v>
      </c>
      <c r="G1406" s="4" t="s">
        <v>11</v>
      </c>
      <c r="H1406" s="28">
        <v>43774</v>
      </c>
      <c r="I1406" s="29">
        <f t="shared" si="1852"/>
        <v>2019</v>
      </c>
      <c r="J1406" s="1" t="s">
        <v>5204</v>
      </c>
      <c r="K1406" s="1" t="s">
        <v>7</v>
      </c>
      <c r="L1406" s="11" t="str">
        <f t="shared" si="1910"/>
        <v>НЕТ</v>
      </c>
      <c r="M1406" s="10" t="s">
        <v>1575</v>
      </c>
      <c r="N1406" s="10" t="s">
        <v>1575</v>
      </c>
      <c r="O1406" s="10">
        <v>0.33459100000000003</v>
      </c>
      <c r="P1406" s="10" t="str">
        <f t="shared" si="1738"/>
        <v>NA</v>
      </c>
      <c r="Q1406" s="10" t="str">
        <f t="shared" si="1739"/>
        <v>NA</v>
      </c>
      <c r="R1406" s="10" t="s">
        <v>1575</v>
      </c>
      <c r="S1406" s="10" t="s">
        <v>1575</v>
      </c>
      <c r="T1406" s="10" t="s">
        <v>1575</v>
      </c>
      <c r="U1406" s="10" t="s">
        <v>1575</v>
      </c>
      <c r="V1406" s="10">
        <v>4.8190999999999998E-2</v>
      </c>
      <c r="W1406" s="10">
        <f t="shared" si="1911"/>
        <v>-5.7450000000000001E-3</v>
      </c>
      <c r="X1406" s="10">
        <f t="shared" ref="X1406" si="1920">IFERROR(V1406+W1406,"NA")</f>
        <v>4.2445999999999998E-2</v>
      </c>
      <c r="Y1406" s="10" t="str">
        <f t="shared" ref="Y1406" si="1921">IFERROR(P1406/R1406,"NA")</f>
        <v>NA</v>
      </c>
      <c r="Z1406" s="10" t="str">
        <f t="shared" ref="Z1406" si="1922">IFERROR(P1406/U1406,"NA")</f>
        <v>NA</v>
      </c>
      <c r="AA1406" s="10" t="str">
        <f t="shared" ref="AA1406" si="1923">IFERROR(P1406/V1406,"NA")</f>
        <v>NA</v>
      </c>
      <c r="AB1406" s="10" t="str">
        <f t="shared" ref="AB1406" si="1924">IFERROR(Q1406/R1406,"NA")</f>
        <v>NA</v>
      </c>
      <c r="AC1406" s="10" t="str">
        <f t="shared" ref="AC1406" si="1925">IFERROR(Q1406/S1406,"NA")</f>
        <v>NA</v>
      </c>
      <c r="AD1406" s="10" t="str">
        <f t="shared" ref="AD1406" si="1926">IFERROR(Q1406/T1406,"NA")</f>
        <v>NA</v>
      </c>
      <c r="AE1406" s="10" t="str">
        <f t="shared" ref="AE1406" si="1927">IFERROR(Q1406/X1406,"NA")</f>
        <v>NA</v>
      </c>
      <c r="AF1406" s="1" t="s">
        <v>5201</v>
      </c>
    </row>
    <row r="1407" spans="1:32" x14ac:dyDescent="0.2">
      <c r="A1407" s="1" t="s">
        <v>5933</v>
      </c>
      <c r="B1407" s="1" t="s">
        <v>181</v>
      </c>
      <c r="C1407" s="1" t="s">
        <v>1575</v>
      </c>
      <c r="D1407" s="1" t="s">
        <v>1600</v>
      </c>
      <c r="E1407" s="1" t="s">
        <v>4456</v>
      </c>
      <c r="F1407" s="1" t="s">
        <v>123</v>
      </c>
      <c r="G1407" s="4">
        <v>0.20499999999999999</v>
      </c>
      <c r="H1407" s="28">
        <v>41547</v>
      </c>
      <c r="I1407" s="29">
        <f t="shared" si="1852"/>
        <v>2013</v>
      </c>
      <c r="J1407" s="1" t="s">
        <v>182</v>
      </c>
      <c r="K1407" s="1" t="s">
        <v>5200</v>
      </c>
      <c r="L1407" s="11" t="str">
        <f t="shared" si="1688"/>
        <v>НЕТ</v>
      </c>
      <c r="M1407" s="10">
        <v>122.9</v>
      </c>
      <c r="N1407" s="10">
        <v>91.1</v>
      </c>
      <c r="O1407" s="10">
        <f>M1407*32.3451/1000</f>
        <v>3.9752127900000005</v>
      </c>
      <c r="P1407" s="10">
        <f t="shared" si="1738"/>
        <v>19.391281902439029</v>
      </c>
      <c r="Q1407" s="10" t="str">
        <f t="shared" si="1739"/>
        <v>NA</v>
      </c>
      <c r="R1407" s="10" t="s">
        <v>1575</v>
      </c>
      <c r="S1407" s="10" t="s">
        <v>1575</v>
      </c>
      <c r="T1407" s="10" t="s">
        <v>1575</v>
      </c>
      <c r="U1407" s="10" t="s">
        <v>1575</v>
      </c>
      <c r="V1407" s="10">
        <f>0.3738*32.3451</f>
        <v>12.090598380000001</v>
      </c>
      <c r="W1407" s="10" t="s">
        <v>1575</v>
      </c>
      <c r="X1407" s="10" t="str">
        <f t="shared" si="1853"/>
        <v>NA</v>
      </c>
      <c r="Y1407" s="10" t="str">
        <f t="shared" si="1854"/>
        <v>NA</v>
      </c>
      <c r="Z1407" s="10" t="str">
        <f t="shared" si="1855"/>
        <v>NA</v>
      </c>
      <c r="AA1407" s="10">
        <f t="shared" si="1856"/>
        <v>1.6038314476242679</v>
      </c>
      <c r="AB1407" s="10" t="str">
        <f t="shared" si="1857"/>
        <v>NA</v>
      </c>
      <c r="AC1407" s="10" t="str">
        <f t="shared" si="1858"/>
        <v>NA</v>
      </c>
      <c r="AD1407" s="10" t="str">
        <f t="shared" si="1859"/>
        <v>NA</v>
      </c>
      <c r="AE1407" s="10" t="str">
        <f t="shared" si="1860"/>
        <v>NA</v>
      </c>
      <c r="AF1407" s="1" t="s">
        <v>5340</v>
      </c>
    </row>
    <row r="1408" spans="1:32" x14ac:dyDescent="0.2">
      <c r="A1408" s="1" t="s">
        <v>5934</v>
      </c>
      <c r="B1408" s="1" t="s">
        <v>5</v>
      </c>
      <c r="C1408" s="1" t="s">
        <v>1575</v>
      </c>
      <c r="D1408" s="1" t="s">
        <v>1600</v>
      </c>
      <c r="E1408" s="1" t="s">
        <v>2050</v>
      </c>
      <c r="F1408" s="1" t="s">
        <v>176</v>
      </c>
      <c r="G1408" s="4">
        <v>0.35589999999999999</v>
      </c>
      <c r="H1408" s="28">
        <v>41333</v>
      </c>
      <c r="I1408" s="29">
        <f t="shared" si="1852"/>
        <v>2013</v>
      </c>
      <c r="J1408" s="1" t="s">
        <v>5200</v>
      </c>
      <c r="K1408" s="1" t="s">
        <v>7</v>
      </c>
      <c r="L1408" s="11" t="str">
        <f t="shared" si="1688"/>
        <v>НЕТ</v>
      </c>
      <c r="M1408" s="10">
        <v>9.609</v>
      </c>
      <c r="N1408" s="10" t="s">
        <v>1575</v>
      </c>
      <c r="O1408" s="10">
        <f>M1408*30.6202/1000</f>
        <v>0.29422950179999996</v>
      </c>
      <c r="P1408" s="10">
        <f t="shared" si="1738"/>
        <v>0.8267195892104523</v>
      </c>
      <c r="Q1408" s="10" t="str">
        <f t="shared" si="1739"/>
        <v>NA</v>
      </c>
      <c r="R1408" s="10" t="s">
        <v>1575</v>
      </c>
      <c r="S1408" s="10" t="s">
        <v>1575</v>
      </c>
      <c r="T1408" s="10" t="s">
        <v>1575</v>
      </c>
      <c r="U1408" s="10" t="s">
        <v>1575</v>
      </c>
      <c r="V1408" s="10" t="s">
        <v>1575</v>
      </c>
      <c r="W1408" s="10" t="s">
        <v>1575</v>
      </c>
      <c r="X1408" s="10" t="str">
        <f t="shared" ref="X1408" si="1928">IFERROR(V1408+W1408,"NA")</f>
        <v>NA</v>
      </c>
      <c r="Y1408" s="10" t="str">
        <f t="shared" ref="Y1408" si="1929">IFERROR(P1408/R1408,"NA")</f>
        <v>NA</v>
      </c>
      <c r="Z1408" s="10" t="str">
        <f t="shared" ref="Z1408" si="1930">IFERROR(P1408/U1408,"NA")</f>
        <v>NA</v>
      </c>
      <c r="AA1408" s="10" t="str">
        <f t="shared" ref="AA1408" si="1931">IFERROR(P1408/V1408,"NA")</f>
        <v>NA</v>
      </c>
      <c r="AB1408" s="10" t="str">
        <f t="shared" ref="AB1408" si="1932">IFERROR(Q1408/R1408,"NA")</f>
        <v>NA</v>
      </c>
      <c r="AC1408" s="10" t="str">
        <f t="shared" ref="AC1408" si="1933">IFERROR(Q1408/S1408,"NA")</f>
        <v>NA</v>
      </c>
      <c r="AD1408" s="10" t="str">
        <f t="shared" ref="AD1408" si="1934">IFERROR(Q1408/T1408,"NA")</f>
        <v>NA</v>
      </c>
      <c r="AE1408" s="10" t="str">
        <f t="shared" ref="AE1408" si="1935">IFERROR(Q1408/X1408,"NA")</f>
        <v>NA</v>
      </c>
      <c r="AF1408" s="1" t="s">
        <v>5343</v>
      </c>
    </row>
    <row r="1409" spans="1:32" x14ac:dyDescent="0.2">
      <c r="A1409" s="1" t="s">
        <v>185</v>
      </c>
      <c r="B1409" s="1" t="s">
        <v>183</v>
      </c>
      <c r="C1409" s="1" t="s">
        <v>1575</v>
      </c>
      <c r="D1409" s="1" t="s">
        <v>1580</v>
      </c>
      <c r="E1409" s="1" t="s">
        <v>1593</v>
      </c>
      <c r="F1409" s="1" t="s">
        <v>184</v>
      </c>
      <c r="G1409" s="4">
        <v>0.5</v>
      </c>
      <c r="H1409" s="28">
        <v>40755</v>
      </c>
      <c r="I1409" s="29">
        <f t="shared" ref="I1409" si="1936">YEAR(H1409)</f>
        <v>2011</v>
      </c>
      <c r="J1409" s="1" t="s">
        <v>5200</v>
      </c>
      <c r="K1409" s="1" t="s">
        <v>7</v>
      </c>
      <c r="L1409" s="11" t="str">
        <f t="shared" ref="L1409" si="1937">IF(OR(A1409=J1409,A1409=K1409),"ДА","НЕТ")</f>
        <v>НЕТ</v>
      </c>
      <c r="M1409" s="10">
        <v>578</v>
      </c>
      <c r="N1409" s="10" t="s">
        <v>1575</v>
      </c>
      <c r="O1409" s="10">
        <f>M1409*27.6796/1000</f>
        <v>15.998808800000001</v>
      </c>
      <c r="P1409" s="10">
        <f t="shared" si="1738"/>
        <v>31.997617600000002</v>
      </c>
      <c r="Q1409" s="10">
        <f t="shared" si="1739"/>
        <v>68.888988480000009</v>
      </c>
      <c r="R1409" s="10" t="s">
        <v>1575</v>
      </c>
      <c r="S1409" s="10" t="s">
        <v>1575</v>
      </c>
      <c r="T1409" s="10" t="s">
        <v>1575</v>
      </c>
      <c r="U1409" s="10" t="s">
        <v>1575</v>
      </c>
      <c r="V1409" s="10">
        <f>0.5773*27.6796</f>
        <v>15.979433080000002</v>
      </c>
      <c r="W1409" s="10">
        <f>(1.4456-0.1128)*27.6796</f>
        <v>36.891370880000004</v>
      </c>
      <c r="X1409" s="10">
        <f t="shared" ref="X1409" si="1938">IFERROR(V1409+W1409,"NA")</f>
        <v>52.870803960000003</v>
      </c>
      <c r="Y1409" s="10" t="str">
        <f t="shared" ref="Y1409" si="1939">IFERROR(P1409/R1409,"NA")</f>
        <v>NA</v>
      </c>
      <c r="Z1409" s="10" t="str">
        <f t="shared" ref="Z1409" si="1940">IFERROR(P1409/U1409,"NA")</f>
        <v>NA</v>
      </c>
      <c r="AA1409" s="10">
        <f t="shared" ref="AA1409" si="1941">IFERROR(P1409/V1409,"NA")</f>
        <v>2.0024250822795771</v>
      </c>
      <c r="AB1409" s="10" t="str">
        <f t="shared" ref="AB1409" si="1942">IFERROR(Q1409/R1409,"NA")</f>
        <v>NA</v>
      </c>
      <c r="AC1409" s="10" t="str">
        <f t="shared" ref="AC1409" si="1943">IFERROR(Q1409/S1409,"NA")</f>
        <v>NA</v>
      </c>
      <c r="AD1409" s="10" t="str">
        <f t="shared" ref="AD1409" si="1944">IFERROR(Q1409/T1409,"NA")</f>
        <v>NA</v>
      </c>
      <c r="AE1409" s="10">
        <f t="shared" ref="AE1409" si="1945">IFERROR(Q1409/X1409,"NA")</f>
        <v>1.3029684309722005</v>
      </c>
      <c r="AF1409" s="1" t="s">
        <v>5342</v>
      </c>
    </row>
    <row r="1410" spans="1:32" x14ac:dyDescent="0.2">
      <c r="A1410" s="1" t="s">
        <v>185</v>
      </c>
      <c r="B1410" s="1" t="s">
        <v>183</v>
      </c>
      <c r="C1410" s="1" t="s">
        <v>1575</v>
      </c>
      <c r="D1410" s="1" t="s">
        <v>1580</v>
      </c>
      <c r="E1410" s="1" t="s">
        <v>1593</v>
      </c>
      <c r="F1410" s="1" t="s">
        <v>184</v>
      </c>
      <c r="G1410" s="4">
        <v>0.5</v>
      </c>
      <c r="H1410" s="28">
        <v>39082</v>
      </c>
      <c r="I1410" s="29">
        <f t="shared" si="1852"/>
        <v>2006</v>
      </c>
      <c r="J1410" s="1" t="s">
        <v>5200</v>
      </c>
      <c r="K1410" s="1" t="s">
        <v>7</v>
      </c>
      <c r="L1410" s="11" t="str">
        <f t="shared" si="1688"/>
        <v>НЕТ</v>
      </c>
      <c r="M1410" s="10">
        <v>805</v>
      </c>
      <c r="N1410" s="10" t="s">
        <v>1575</v>
      </c>
      <c r="O1410" s="10">
        <f>M1410*26.3311/1000</f>
        <v>21.1965355</v>
      </c>
      <c r="P1410" s="10">
        <f t="shared" si="1738"/>
        <v>42.393070999999999</v>
      </c>
      <c r="Q1410" s="10" t="str">
        <f t="shared" si="1739"/>
        <v>NA</v>
      </c>
      <c r="R1410" s="10" t="s">
        <v>1575</v>
      </c>
      <c r="S1410" s="10" t="s">
        <v>1575</v>
      </c>
      <c r="T1410" s="10" t="s">
        <v>1575</v>
      </c>
      <c r="U1410" s="10" t="s">
        <v>1575</v>
      </c>
      <c r="V1410" s="10" t="s">
        <v>1575</v>
      </c>
      <c r="W1410" s="10" t="s">
        <v>1575</v>
      </c>
      <c r="X1410" s="10" t="str">
        <f t="shared" si="1853"/>
        <v>NA</v>
      </c>
      <c r="Y1410" s="10" t="str">
        <f t="shared" si="1854"/>
        <v>NA</v>
      </c>
      <c r="Z1410" s="10" t="str">
        <f t="shared" si="1855"/>
        <v>NA</v>
      </c>
      <c r="AA1410" s="10" t="str">
        <f t="shared" si="1856"/>
        <v>NA</v>
      </c>
      <c r="AB1410" s="10" t="str">
        <f t="shared" si="1857"/>
        <v>NA</v>
      </c>
      <c r="AC1410" s="10" t="str">
        <f t="shared" si="1858"/>
        <v>NA</v>
      </c>
      <c r="AD1410" s="10" t="str">
        <f t="shared" si="1859"/>
        <v>NA</v>
      </c>
      <c r="AE1410" s="10" t="str">
        <f t="shared" si="1860"/>
        <v>NA</v>
      </c>
      <c r="AF1410" s="1" t="s">
        <v>5341</v>
      </c>
    </row>
    <row r="1411" spans="1:32" x14ac:dyDescent="0.2">
      <c r="A1411" s="1" t="s">
        <v>5935</v>
      </c>
      <c r="B1411" s="1" t="s">
        <v>5</v>
      </c>
      <c r="C1411" s="1" t="s">
        <v>1575</v>
      </c>
      <c r="D1411" s="1" t="s">
        <v>1615</v>
      </c>
      <c r="E1411" s="1" t="s">
        <v>1587</v>
      </c>
      <c r="F1411" s="1" t="s">
        <v>422</v>
      </c>
      <c r="G1411" s="4">
        <v>1</v>
      </c>
      <c r="H1411" s="28">
        <v>40724</v>
      </c>
      <c r="I1411" s="29">
        <f t="shared" si="1852"/>
        <v>2011</v>
      </c>
      <c r="J1411" s="1" t="s">
        <v>7</v>
      </c>
      <c r="K1411" s="1" t="s">
        <v>5200</v>
      </c>
      <c r="L1411" s="11" t="str">
        <f t="shared" si="1688"/>
        <v>НЕТ</v>
      </c>
      <c r="M1411" s="10">
        <v>325</v>
      </c>
      <c r="N1411" s="10" t="s">
        <v>1575</v>
      </c>
      <c r="O1411" s="10">
        <f>M1411*28.0758/1000</f>
        <v>9.1246349999999996</v>
      </c>
      <c r="P1411" s="10">
        <f t="shared" ref="P1411:P1474" si="1946">IFERROR(O1411/G1411,"NA")</f>
        <v>9.1246349999999996</v>
      </c>
      <c r="Q1411" s="10" t="str">
        <f t="shared" ref="Q1411:Q1474" si="1947">IFERROR(P1411+W1411,"NA")</f>
        <v>NA</v>
      </c>
      <c r="R1411" s="10" t="s">
        <v>1575</v>
      </c>
      <c r="S1411" s="10" t="s">
        <v>1575</v>
      </c>
      <c r="T1411" s="10" t="s">
        <v>1575</v>
      </c>
      <c r="U1411" s="10" t="s">
        <v>1575</v>
      </c>
      <c r="V1411" s="10">
        <f>0.057299*28.0758</f>
        <v>1.6087152642000002</v>
      </c>
      <c r="W1411" s="10" t="s">
        <v>1575</v>
      </c>
      <c r="X1411" s="10" t="str">
        <f t="shared" si="1853"/>
        <v>NA</v>
      </c>
      <c r="Y1411" s="10" t="str">
        <f t="shared" si="1854"/>
        <v>NA</v>
      </c>
      <c r="Z1411" s="10" t="str">
        <f t="shared" si="1855"/>
        <v>NA</v>
      </c>
      <c r="AA1411" s="10">
        <f t="shared" si="1856"/>
        <v>5.6720012565664311</v>
      </c>
      <c r="AB1411" s="10" t="str">
        <f t="shared" si="1857"/>
        <v>NA</v>
      </c>
      <c r="AC1411" s="10" t="str">
        <f t="shared" si="1858"/>
        <v>NA</v>
      </c>
      <c r="AD1411" s="10" t="str">
        <f t="shared" si="1859"/>
        <v>NA</v>
      </c>
      <c r="AE1411" s="10" t="str">
        <f t="shared" si="1860"/>
        <v>NA</v>
      </c>
      <c r="AF1411" s="1" t="s">
        <v>5345</v>
      </c>
    </row>
    <row r="1412" spans="1:32" x14ac:dyDescent="0.2">
      <c r="A1412" s="1" t="s">
        <v>5936</v>
      </c>
      <c r="B1412" s="1" t="s">
        <v>5</v>
      </c>
      <c r="C1412" s="1" t="s">
        <v>1575</v>
      </c>
      <c r="D1412" s="1" t="s">
        <v>1600</v>
      </c>
      <c r="E1412" s="1" t="s">
        <v>3386</v>
      </c>
      <c r="F1412" s="1" t="s">
        <v>180</v>
      </c>
      <c r="G1412" s="4">
        <v>1</v>
      </c>
      <c r="H1412" s="28">
        <v>40482</v>
      </c>
      <c r="I1412" s="29">
        <f t="shared" si="1852"/>
        <v>2010</v>
      </c>
      <c r="J1412" s="1" t="s">
        <v>5200</v>
      </c>
      <c r="K1412" s="1" t="s">
        <v>7</v>
      </c>
      <c r="L1412" s="11" t="str">
        <f t="shared" si="1688"/>
        <v>НЕТ</v>
      </c>
      <c r="M1412" s="10">
        <v>28.4</v>
      </c>
      <c r="N1412" s="10" t="s">
        <v>1575</v>
      </c>
      <c r="O1412" s="10">
        <f>M1412*30.7821/1000</f>
        <v>0.87421163999999996</v>
      </c>
      <c r="P1412" s="10">
        <f t="shared" si="1946"/>
        <v>0.87421163999999996</v>
      </c>
      <c r="Q1412" s="10" t="str">
        <f t="shared" si="1947"/>
        <v>NA</v>
      </c>
      <c r="R1412" s="10" t="s">
        <v>1575</v>
      </c>
      <c r="S1412" s="10" t="s">
        <v>1575</v>
      </c>
      <c r="T1412" s="10" t="s">
        <v>1575</v>
      </c>
      <c r="U1412" s="10" t="s">
        <v>1575</v>
      </c>
      <c r="V1412" s="10" t="s">
        <v>1575</v>
      </c>
      <c r="W1412" s="10" t="s">
        <v>1575</v>
      </c>
      <c r="X1412" s="10" t="str">
        <f t="shared" si="1853"/>
        <v>NA</v>
      </c>
      <c r="Y1412" s="10" t="str">
        <f t="shared" si="1854"/>
        <v>NA</v>
      </c>
      <c r="Z1412" s="10" t="str">
        <f t="shared" si="1855"/>
        <v>NA</v>
      </c>
      <c r="AA1412" s="10" t="str">
        <f t="shared" si="1856"/>
        <v>NA</v>
      </c>
      <c r="AB1412" s="10" t="str">
        <f t="shared" si="1857"/>
        <v>NA</v>
      </c>
      <c r="AC1412" s="10" t="str">
        <f t="shared" si="1858"/>
        <v>NA</v>
      </c>
      <c r="AD1412" s="10" t="str">
        <f t="shared" si="1859"/>
        <v>NA</v>
      </c>
      <c r="AE1412" s="10" t="str">
        <f t="shared" si="1860"/>
        <v>NA</v>
      </c>
      <c r="AF1412" s="1" t="s">
        <v>5344</v>
      </c>
    </row>
    <row r="1413" spans="1:32" x14ac:dyDescent="0.2">
      <c r="A1413" s="1" t="s">
        <v>5351</v>
      </c>
      <c r="B1413" s="1" t="s">
        <v>5</v>
      </c>
      <c r="C1413" s="1" t="s">
        <v>1575</v>
      </c>
      <c r="D1413" s="1" t="s">
        <v>1600</v>
      </c>
      <c r="E1413" s="1" t="s">
        <v>3386</v>
      </c>
      <c r="F1413" s="1" t="s">
        <v>180</v>
      </c>
      <c r="G1413" s="34">
        <v>1</v>
      </c>
      <c r="H1413" s="28">
        <v>40329</v>
      </c>
      <c r="I1413" s="29">
        <f t="shared" si="1852"/>
        <v>2010</v>
      </c>
      <c r="J1413" s="1" t="s">
        <v>5200</v>
      </c>
      <c r="K1413" s="1" t="s">
        <v>7</v>
      </c>
      <c r="L1413" s="11" t="str">
        <f t="shared" si="1688"/>
        <v>НЕТ</v>
      </c>
      <c r="M1413" s="10">
        <v>20.245999999999999</v>
      </c>
      <c r="N1413" s="10" t="s">
        <v>1575</v>
      </c>
      <c r="O1413" s="10">
        <f>M1413*30.4956/1000</f>
        <v>0.61741391759999997</v>
      </c>
      <c r="P1413" s="10">
        <f t="shared" si="1946"/>
        <v>0.61741391759999997</v>
      </c>
      <c r="Q1413" s="10" t="str">
        <f t="shared" si="1947"/>
        <v>NA</v>
      </c>
      <c r="R1413" s="10" t="s">
        <v>1575</v>
      </c>
      <c r="S1413" s="10" t="s">
        <v>1575</v>
      </c>
      <c r="T1413" s="10" t="s">
        <v>1575</v>
      </c>
      <c r="U1413" s="10" t="s">
        <v>1575</v>
      </c>
      <c r="V1413" s="10" t="s">
        <v>1575</v>
      </c>
      <c r="W1413" s="10" t="s">
        <v>1575</v>
      </c>
      <c r="X1413" s="10" t="str">
        <f t="shared" si="1853"/>
        <v>NA</v>
      </c>
      <c r="Y1413" s="10" t="str">
        <f t="shared" si="1854"/>
        <v>NA</v>
      </c>
      <c r="Z1413" s="10" t="str">
        <f t="shared" si="1855"/>
        <v>NA</v>
      </c>
      <c r="AA1413" s="10" t="str">
        <f t="shared" si="1856"/>
        <v>NA</v>
      </c>
      <c r="AB1413" s="10" t="str">
        <f t="shared" si="1857"/>
        <v>NA</v>
      </c>
      <c r="AC1413" s="10" t="str">
        <f t="shared" si="1858"/>
        <v>NA</v>
      </c>
      <c r="AD1413" s="10" t="str">
        <f t="shared" si="1859"/>
        <v>NA</v>
      </c>
      <c r="AE1413" s="10" t="str">
        <f t="shared" si="1860"/>
        <v>NA</v>
      </c>
      <c r="AF1413" s="1" t="s">
        <v>5350</v>
      </c>
    </row>
    <row r="1414" spans="1:32" x14ac:dyDescent="0.2">
      <c r="A1414" s="1" t="s">
        <v>5351</v>
      </c>
      <c r="B1414" s="1" t="s">
        <v>5</v>
      </c>
      <c r="C1414" s="1" t="s">
        <v>1575</v>
      </c>
      <c r="D1414" s="1" t="s">
        <v>1600</v>
      </c>
      <c r="E1414" s="1" t="s">
        <v>3386</v>
      </c>
      <c r="F1414" s="1" t="s">
        <v>180</v>
      </c>
      <c r="G1414" s="35" t="s">
        <v>1575</v>
      </c>
      <c r="H1414" s="28">
        <v>39994</v>
      </c>
      <c r="I1414" s="29">
        <f t="shared" ref="I1414" si="1948">YEAR(H1414)</f>
        <v>2009</v>
      </c>
      <c r="J1414" s="1" t="s">
        <v>5200</v>
      </c>
      <c r="K1414" s="1" t="s">
        <v>7</v>
      </c>
      <c r="L1414" s="11" t="str">
        <f t="shared" ref="L1414" si="1949">IF(OR(A1414=J1414,A1414=K1414),"ДА","НЕТ")</f>
        <v>НЕТ</v>
      </c>
      <c r="M1414" s="10">
        <v>44.572000000000003</v>
      </c>
      <c r="N1414" s="10" t="s">
        <v>1575</v>
      </c>
      <c r="O1414" s="10">
        <f>M1414*31.2904/1000</f>
        <v>1.3946757088000001</v>
      </c>
      <c r="P1414" s="10" t="str">
        <f t="shared" si="1946"/>
        <v>NA</v>
      </c>
      <c r="Q1414" s="10" t="str">
        <f t="shared" si="1947"/>
        <v>NA</v>
      </c>
      <c r="R1414" s="10" t="s">
        <v>1575</v>
      </c>
      <c r="S1414" s="10" t="s">
        <v>1575</v>
      </c>
      <c r="T1414" s="10" t="s">
        <v>1575</v>
      </c>
      <c r="U1414" s="10" t="s">
        <v>1575</v>
      </c>
      <c r="V1414" s="10" t="s">
        <v>1575</v>
      </c>
      <c r="W1414" s="10" t="s">
        <v>1575</v>
      </c>
      <c r="X1414" s="10" t="str">
        <f t="shared" ref="X1414" si="1950">IFERROR(V1414+W1414,"NA")</f>
        <v>NA</v>
      </c>
      <c r="Y1414" s="10" t="str">
        <f t="shared" ref="Y1414" si="1951">IFERROR(P1414/R1414,"NA")</f>
        <v>NA</v>
      </c>
      <c r="Z1414" s="10" t="str">
        <f t="shared" ref="Z1414" si="1952">IFERROR(P1414/U1414,"NA")</f>
        <v>NA</v>
      </c>
      <c r="AA1414" s="10" t="str">
        <f t="shared" ref="AA1414" si="1953">IFERROR(P1414/V1414,"NA")</f>
        <v>NA</v>
      </c>
      <c r="AB1414" s="10" t="str">
        <f t="shared" ref="AB1414" si="1954">IFERROR(Q1414/R1414,"NA")</f>
        <v>NA</v>
      </c>
      <c r="AC1414" s="10" t="str">
        <f t="shared" ref="AC1414" si="1955">IFERROR(Q1414/S1414,"NA")</f>
        <v>NA</v>
      </c>
      <c r="AD1414" s="10" t="str">
        <f t="shared" ref="AD1414" si="1956">IFERROR(Q1414/T1414,"NA")</f>
        <v>NA</v>
      </c>
      <c r="AE1414" s="10" t="str">
        <f t="shared" ref="AE1414" si="1957">IFERROR(Q1414/X1414,"NA")</f>
        <v>NA</v>
      </c>
      <c r="AF1414" s="1" t="s">
        <v>5350</v>
      </c>
    </row>
    <row r="1415" spans="1:32" x14ac:dyDescent="0.2">
      <c r="A1415" s="1" t="s">
        <v>5351</v>
      </c>
      <c r="B1415" s="1" t="s">
        <v>5</v>
      </c>
      <c r="C1415" s="1" t="s">
        <v>1575</v>
      </c>
      <c r="D1415" s="1" t="s">
        <v>1600</v>
      </c>
      <c r="E1415" s="1" t="s">
        <v>3386</v>
      </c>
      <c r="F1415" s="1" t="s">
        <v>180</v>
      </c>
      <c r="G1415" s="34">
        <v>0.25</v>
      </c>
      <c r="H1415" s="28">
        <v>40025</v>
      </c>
      <c r="I1415" s="29">
        <f t="shared" si="1852"/>
        <v>2009</v>
      </c>
      <c r="J1415" s="1" t="s">
        <v>5200</v>
      </c>
      <c r="K1415" s="1" t="s">
        <v>7</v>
      </c>
      <c r="L1415" s="11" t="str">
        <f t="shared" si="1688"/>
        <v>НЕТ</v>
      </c>
      <c r="M1415" s="10">
        <v>25.29</v>
      </c>
      <c r="N1415" s="10" t="s">
        <v>1575</v>
      </c>
      <c r="O1415" s="10">
        <f>M1415*31.7555/1000</f>
        <v>0.80309659499999997</v>
      </c>
      <c r="P1415" s="10">
        <f t="shared" si="1946"/>
        <v>3.2123863799999999</v>
      </c>
      <c r="Q1415" s="10" t="str">
        <f t="shared" si="1947"/>
        <v>NA</v>
      </c>
      <c r="R1415" s="10" t="s">
        <v>1575</v>
      </c>
      <c r="S1415" s="10" t="s">
        <v>1575</v>
      </c>
      <c r="T1415" s="10" t="s">
        <v>1575</v>
      </c>
      <c r="U1415" s="10" t="s">
        <v>1575</v>
      </c>
      <c r="V1415" s="10" t="s">
        <v>1575</v>
      </c>
      <c r="W1415" s="10" t="s">
        <v>1575</v>
      </c>
      <c r="X1415" s="10" t="str">
        <f t="shared" si="1853"/>
        <v>NA</v>
      </c>
      <c r="Y1415" s="10" t="str">
        <f t="shared" si="1854"/>
        <v>NA</v>
      </c>
      <c r="Z1415" s="10" t="str">
        <f t="shared" si="1855"/>
        <v>NA</v>
      </c>
      <c r="AA1415" s="10" t="str">
        <f t="shared" si="1856"/>
        <v>NA</v>
      </c>
      <c r="AB1415" s="10" t="str">
        <f t="shared" si="1857"/>
        <v>NA</v>
      </c>
      <c r="AC1415" s="10" t="str">
        <f t="shared" si="1858"/>
        <v>NA</v>
      </c>
      <c r="AD1415" s="10" t="str">
        <f t="shared" si="1859"/>
        <v>NA</v>
      </c>
      <c r="AE1415" s="10" t="str">
        <f t="shared" si="1860"/>
        <v>NA</v>
      </c>
      <c r="AF1415" s="1" t="s">
        <v>5350</v>
      </c>
    </row>
    <row r="1416" spans="1:32" x14ac:dyDescent="0.2">
      <c r="A1416" s="1" t="s">
        <v>5937</v>
      </c>
      <c r="B1416" s="1" t="s">
        <v>5</v>
      </c>
      <c r="C1416" s="1" t="s">
        <v>1575</v>
      </c>
      <c r="D1416" s="1" t="s">
        <v>1615</v>
      </c>
      <c r="E1416" s="1" t="s">
        <v>1616</v>
      </c>
      <c r="F1416" s="1" t="s">
        <v>126</v>
      </c>
      <c r="G1416" s="4">
        <v>0.69410000000000005</v>
      </c>
      <c r="H1416" s="28">
        <v>39813</v>
      </c>
      <c r="I1416" s="29">
        <f t="shared" si="1852"/>
        <v>2008</v>
      </c>
      <c r="J1416" s="1" t="s">
        <v>7</v>
      </c>
      <c r="K1416" s="1" t="s">
        <v>5200</v>
      </c>
      <c r="L1416" s="11" t="str">
        <f t="shared" si="1688"/>
        <v>НЕТ</v>
      </c>
      <c r="M1416" s="10">
        <v>258.18200000000002</v>
      </c>
      <c r="N1416" s="10" t="s">
        <v>1575</v>
      </c>
      <c r="O1416" s="10">
        <f>M1416*29.3804/1000</f>
        <v>7.5854904328000012</v>
      </c>
      <c r="P1416" s="10">
        <f t="shared" si="1946"/>
        <v>10.928526772511166</v>
      </c>
      <c r="Q1416" s="10" t="str">
        <f t="shared" si="1947"/>
        <v>NA</v>
      </c>
      <c r="R1416" s="10" t="s">
        <v>1575</v>
      </c>
      <c r="S1416" s="10" t="s">
        <v>1575</v>
      </c>
      <c r="T1416" s="10" t="s">
        <v>1575</v>
      </c>
      <c r="U1416" s="10" t="s">
        <v>1575</v>
      </c>
      <c r="V1416" s="10">
        <f>0.201957*29.3804</f>
        <v>5.9335774427999999</v>
      </c>
      <c r="W1416" s="10" t="s">
        <v>1575</v>
      </c>
      <c r="X1416" s="10" t="str">
        <f t="shared" si="1853"/>
        <v>NA</v>
      </c>
      <c r="Y1416" s="10" t="str">
        <f t="shared" si="1854"/>
        <v>NA</v>
      </c>
      <c r="Z1416" s="10" t="str">
        <f t="shared" si="1855"/>
        <v>NA</v>
      </c>
      <c r="AA1416" s="10">
        <f t="shared" si="1856"/>
        <v>1.8418107588318753</v>
      </c>
      <c r="AB1416" s="10" t="str">
        <f t="shared" si="1857"/>
        <v>NA</v>
      </c>
      <c r="AC1416" s="10" t="str">
        <f t="shared" si="1858"/>
        <v>NA</v>
      </c>
      <c r="AD1416" s="10" t="str">
        <f t="shared" si="1859"/>
        <v>NA</v>
      </c>
      <c r="AE1416" s="10" t="str">
        <f t="shared" si="1860"/>
        <v>NA</v>
      </c>
      <c r="AF1416" s="1" t="s">
        <v>5346</v>
      </c>
    </row>
    <row r="1417" spans="1:32" x14ac:dyDescent="0.2">
      <c r="A1417" s="1" t="s">
        <v>188</v>
      </c>
      <c r="B1417" s="1" t="s">
        <v>75</v>
      </c>
      <c r="C1417" s="1" t="s">
        <v>1575</v>
      </c>
      <c r="D1417" s="1" t="s">
        <v>1600</v>
      </c>
      <c r="E1417" s="1" t="s">
        <v>2050</v>
      </c>
      <c r="F1417" s="1" t="s">
        <v>120</v>
      </c>
      <c r="G1417" s="4">
        <v>1</v>
      </c>
      <c r="H1417" s="28">
        <v>39752</v>
      </c>
      <c r="I1417" s="29">
        <f t="shared" si="1852"/>
        <v>2008</v>
      </c>
      <c r="J1417" s="1" t="s">
        <v>5200</v>
      </c>
      <c r="K1417" s="1" t="s">
        <v>7</v>
      </c>
      <c r="L1417" s="11" t="str">
        <f t="shared" si="1688"/>
        <v>НЕТ</v>
      </c>
      <c r="M1417" s="10">
        <v>190.44200000000001</v>
      </c>
      <c r="N1417" s="10" t="s">
        <v>1575</v>
      </c>
      <c r="O1417" s="10">
        <f>M1417*26.543/1000</f>
        <v>5.0549020059999998</v>
      </c>
      <c r="P1417" s="10">
        <f t="shared" si="1946"/>
        <v>5.0549020059999998</v>
      </c>
      <c r="Q1417" s="10">
        <f t="shared" si="1947"/>
        <v>272.23408570600003</v>
      </c>
      <c r="R1417" s="10">
        <f>0.404848*(29.3804+24.5462)/2</f>
        <v>10.9160380784</v>
      </c>
      <c r="S1417" s="10" t="s">
        <v>1575</v>
      </c>
      <c r="T1417" s="10" t="s">
        <v>1575</v>
      </c>
      <c r="U1417" s="10">
        <f>-0.045882*(29.3804+24.5462)/2</f>
        <v>-1.2371301306</v>
      </c>
      <c r="V1417" s="10">
        <f>0.351465*26.543</f>
        <v>9.3289354949999996</v>
      </c>
      <c r="W1417" s="10">
        <f>(9.801+0.2649)*26.543</f>
        <v>267.17918370000001</v>
      </c>
      <c r="X1417" s="10">
        <f t="shared" si="1853"/>
        <v>276.50811919500001</v>
      </c>
      <c r="Y1417" s="10">
        <f t="shared" si="1854"/>
        <v>0.46307112248008153</v>
      </c>
      <c r="Z1417" s="10">
        <f t="shared" si="1855"/>
        <v>-4.0859905364590912</v>
      </c>
      <c r="AA1417" s="10">
        <f t="shared" si="1856"/>
        <v>0.54185196249982215</v>
      </c>
      <c r="AB1417" s="10">
        <f t="shared" si="1857"/>
        <v>24.938909497272686</v>
      </c>
      <c r="AC1417" s="10" t="str">
        <f t="shared" si="1858"/>
        <v>NA</v>
      </c>
      <c r="AD1417" s="10" t="str">
        <f t="shared" si="1859"/>
        <v>NA</v>
      </c>
      <c r="AE1417" s="10">
        <f t="shared" si="1860"/>
        <v>0.98454282824879424</v>
      </c>
      <c r="AF1417" s="1" t="s">
        <v>5347</v>
      </c>
    </row>
    <row r="1418" spans="1:32" x14ac:dyDescent="0.2">
      <c r="A1418" s="1" t="s">
        <v>186</v>
      </c>
      <c r="B1418" s="1" t="s">
        <v>5</v>
      </c>
      <c r="C1418" s="1" t="s">
        <v>1575</v>
      </c>
      <c r="D1418" s="1" t="s">
        <v>1600</v>
      </c>
      <c r="E1418" s="1" t="s">
        <v>3386</v>
      </c>
      <c r="F1418" s="1" t="s">
        <v>180</v>
      </c>
      <c r="G1418" s="1" t="s">
        <v>187</v>
      </c>
      <c r="H1418" s="28">
        <v>39447</v>
      </c>
      <c r="I1418" s="29">
        <f t="shared" si="1852"/>
        <v>2007</v>
      </c>
      <c r="J1418" s="1" t="s">
        <v>5200</v>
      </c>
      <c r="K1418" s="1" t="s">
        <v>7</v>
      </c>
      <c r="L1418" s="11" t="str">
        <f t="shared" si="1688"/>
        <v>НЕТ</v>
      </c>
      <c r="M1418" s="10">
        <v>558.51499999999999</v>
      </c>
      <c r="N1418" s="10" t="s">
        <v>1575</v>
      </c>
      <c r="O1418" s="10">
        <f>M1418*24.5462/1000</f>
        <v>13.709420892999999</v>
      </c>
      <c r="P1418" s="10" t="str">
        <f t="shared" si="1946"/>
        <v>NA</v>
      </c>
      <c r="Q1418" s="10" t="str">
        <f t="shared" si="1947"/>
        <v>NA</v>
      </c>
      <c r="R1418" s="10" t="s">
        <v>1575</v>
      </c>
      <c r="S1418" s="10" t="s">
        <v>1575</v>
      </c>
      <c r="T1418" s="10" t="s">
        <v>1575</v>
      </c>
      <c r="U1418" s="10" t="s">
        <v>1575</v>
      </c>
      <c r="V1418" s="10">
        <f>0.299088*24.5462</f>
        <v>7.3414738656000003</v>
      </c>
      <c r="W1418" s="10" t="s">
        <v>1575</v>
      </c>
      <c r="X1418" s="10" t="str">
        <f t="shared" si="1853"/>
        <v>NA</v>
      </c>
      <c r="Y1418" s="10" t="str">
        <f t="shared" si="1854"/>
        <v>NA</v>
      </c>
      <c r="Z1418" s="10" t="str">
        <f t="shared" si="1855"/>
        <v>NA</v>
      </c>
      <c r="AA1418" s="10" t="str">
        <f t="shared" si="1856"/>
        <v>NA</v>
      </c>
      <c r="AB1418" s="10" t="str">
        <f t="shared" si="1857"/>
        <v>NA</v>
      </c>
      <c r="AC1418" s="10" t="str">
        <f t="shared" si="1858"/>
        <v>NA</v>
      </c>
      <c r="AD1418" s="10" t="str">
        <f t="shared" si="1859"/>
        <v>NA</v>
      </c>
      <c r="AE1418" s="10" t="str">
        <f t="shared" si="1860"/>
        <v>NA</v>
      </c>
      <c r="AF1418" s="1" t="s">
        <v>5349</v>
      </c>
    </row>
    <row r="1419" spans="1:32" x14ac:dyDescent="0.2">
      <c r="A1419" s="1" t="s">
        <v>189</v>
      </c>
      <c r="B1419" s="1" t="s">
        <v>1575</v>
      </c>
      <c r="C1419" s="1" t="s">
        <v>1575</v>
      </c>
      <c r="D1419" s="1" t="s">
        <v>1600</v>
      </c>
      <c r="E1419" s="1" t="s">
        <v>4456</v>
      </c>
      <c r="F1419" s="1" t="s">
        <v>190</v>
      </c>
      <c r="G1419" s="4">
        <v>1</v>
      </c>
      <c r="H1419" s="28">
        <v>39447</v>
      </c>
      <c r="I1419" s="29">
        <f t="shared" si="1852"/>
        <v>2007</v>
      </c>
      <c r="J1419" s="1" t="s">
        <v>5200</v>
      </c>
      <c r="K1419" s="1" t="s">
        <v>7</v>
      </c>
      <c r="L1419" s="11" t="str">
        <f t="shared" si="1688"/>
        <v>НЕТ</v>
      </c>
      <c r="M1419" s="10">
        <v>119.935</v>
      </c>
      <c r="N1419" s="10" t="s">
        <v>1575</v>
      </c>
      <c r="O1419" s="10">
        <f>M1419*24.5462/1000</f>
        <v>2.9439484970000001</v>
      </c>
      <c r="P1419" s="10">
        <f t="shared" si="1946"/>
        <v>2.9439484970000001</v>
      </c>
      <c r="Q1419" s="10" t="str">
        <f t="shared" si="1947"/>
        <v>NA</v>
      </c>
      <c r="R1419" s="10">
        <f>4.978904*(26.3311+24.5462)/2</f>
        <v>126.65659623959999</v>
      </c>
      <c r="S1419" s="10" t="s">
        <v>1575</v>
      </c>
      <c r="T1419" s="10" t="s">
        <v>1575</v>
      </c>
      <c r="U1419" s="10">
        <f>0.004475*(26.3311+24.5462)/2</f>
        <v>0.11383795875</v>
      </c>
      <c r="V1419" s="10">
        <f>0.119935*24.5462</f>
        <v>2.9439484970000001</v>
      </c>
      <c r="W1419" s="10" t="s">
        <v>1575</v>
      </c>
      <c r="X1419" s="10" t="str">
        <f t="shared" si="1853"/>
        <v>NA</v>
      </c>
      <c r="Y1419" s="10">
        <f t="shared" si="1854"/>
        <v>2.3243546600848538E-2</v>
      </c>
      <c r="Z1419" s="10">
        <f t="shared" si="1855"/>
        <v>25.860868635787973</v>
      </c>
      <c r="AA1419" s="10">
        <f t="shared" si="1856"/>
        <v>1</v>
      </c>
      <c r="AB1419" s="10" t="str">
        <f t="shared" si="1857"/>
        <v>NA</v>
      </c>
      <c r="AC1419" s="10" t="str">
        <f t="shared" si="1858"/>
        <v>NA</v>
      </c>
      <c r="AD1419" s="10" t="str">
        <f t="shared" si="1859"/>
        <v>NA</v>
      </c>
      <c r="AE1419" s="10" t="str">
        <f t="shared" si="1860"/>
        <v>NA</v>
      </c>
      <c r="AF1419" s="1" t="s">
        <v>5348</v>
      </c>
    </row>
    <row r="1420" spans="1:32" x14ac:dyDescent="0.2">
      <c r="A1420" s="1" t="s">
        <v>5938</v>
      </c>
      <c r="B1420" s="1" t="s">
        <v>5</v>
      </c>
      <c r="C1420" s="1" t="s">
        <v>1575</v>
      </c>
      <c r="D1420" s="1" t="s">
        <v>1600</v>
      </c>
      <c r="E1420" s="1" t="s">
        <v>1653</v>
      </c>
      <c r="F1420" s="1" t="s">
        <v>101</v>
      </c>
      <c r="G1420" s="4">
        <v>1</v>
      </c>
      <c r="H1420" s="28">
        <v>42501</v>
      </c>
      <c r="I1420" s="29">
        <f t="shared" si="1852"/>
        <v>2016</v>
      </c>
      <c r="J1420" s="1" t="s">
        <v>7</v>
      </c>
      <c r="K1420" s="1" t="s">
        <v>7026</v>
      </c>
      <c r="L1420" s="11" t="str">
        <f t="shared" si="1688"/>
        <v>НЕТ</v>
      </c>
      <c r="M1420" s="10">
        <v>19.268999999999998</v>
      </c>
      <c r="N1420" s="10" t="s">
        <v>1575</v>
      </c>
      <c r="O1420" s="10">
        <f>M1420*66.3277/1000</f>
        <v>1.2780684512999996</v>
      </c>
      <c r="P1420" s="10">
        <f t="shared" si="1946"/>
        <v>1.2780684512999996</v>
      </c>
      <c r="Q1420" s="10">
        <f t="shared" si="1947"/>
        <v>0.68111915129999967</v>
      </c>
      <c r="R1420" s="10" t="s">
        <v>1575</v>
      </c>
      <c r="S1420" s="10" t="s">
        <v>1575</v>
      </c>
      <c r="T1420" s="10" t="s">
        <v>1575</v>
      </c>
      <c r="U1420" s="10" t="s">
        <v>1575</v>
      </c>
      <c r="V1420" s="10">
        <f>0.019779*66.3277</f>
        <v>1.3118955782999999</v>
      </c>
      <c r="W1420" s="10">
        <f>(0-0.009)*66.3277</f>
        <v>-0.5969492999999999</v>
      </c>
      <c r="X1420" s="10">
        <f t="shared" si="1853"/>
        <v>0.71494627830000002</v>
      </c>
      <c r="Y1420" s="10" t="str">
        <f t="shared" si="1854"/>
        <v>NA</v>
      </c>
      <c r="Z1420" s="10" t="str">
        <f t="shared" si="1855"/>
        <v>NA</v>
      </c>
      <c r="AA1420" s="10">
        <f t="shared" si="1856"/>
        <v>0.97421507659638984</v>
      </c>
      <c r="AB1420" s="10" t="str">
        <f t="shared" si="1857"/>
        <v>NA</v>
      </c>
      <c r="AC1420" s="10" t="str">
        <f t="shared" si="1858"/>
        <v>NA</v>
      </c>
      <c r="AD1420" s="10" t="str">
        <f t="shared" si="1859"/>
        <v>NA</v>
      </c>
      <c r="AE1420" s="10">
        <f t="shared" si="1860"/>
        <v>0.95268577790147457</v>
      </c>
      <c r="AF1420" s="1" t="s">
        <v>1347</v>
      </c>
    </row>
    <row r="1421" spans="1:32" x14ac:dyDescent="0.2">
      <c r="A1421" s="1" t="s">
        <v>5939</v>
      </c>
      <c r="B1421" s="1" t="s">
        <v>5</v>
      </c>
      <c r="C1421" s="1" t="s">
        <v>1575</v>
      </c>
      <c r="D1421" s="1" t="s">
        <v>1600</v>
      </c>
      <c r="E1421" s="1" t="s">
        <v>1653</v>
      </c>
      <c r="F1421" s="1" t="s">
        <v>101</v>
      </c>
      <c r="G1421" s="4">
        <v>0.95699999999999996</v>
      </c>
      <c r="H1421" s="28">
        <v>42116</v>
      </c>
      <c r="I1421" s="29">
        <f t="shared" si="1852"/>
        <v>2015</v>
      </c>
      <c r="J1421" s="1" t="s">
        <v>7</v>
      </c>
      <c r="K1421" s="1" t="s">
        <v>7026</v>
      </c>
      <c r="L1421" s="11" t="str">
        <f t="shared" si="1688"/>
        <v>НЕТ</v>
      </c>
      <c r="M1421" s="10">
        <v>17.495999999999999</v>
      </c>
      <c r="N1421" s="10" t="s">
        <v>1575</v>
      </c>
      <c r="O1421" s="10">
        <f>M1421*53.9728/1000</f>
        <v>0.94430810879999993</v>
      </c>
      <c r="P1421" s="10">
        <f t="shared" si="1946"/>
        <v>0.98673783573667706</v>
      </c>
      <c r="Q1421" s="10">
        <f t="shared" si="1947"/>
        <v>0.41689301333667694</v>
      </c>
      <c r="R1421" s="10" t="s">
        <v>1575</v>
      </c>
      <c r="S1421" s="10" t="s">
        <v>1575</v>
      </c>
      <c r="T1421" s="10" t="s">
        <v>1575</v>
      </c>
      <c r="U1421" s="10" t="s">
        <v>1575</v>
      </c>
      <c r="V1421" s="10">
        <f>0.018641*53.9728</f>
        <v>1.0061069648000001</v>
      </c>
      <c r="W1421" s="10">
        <f>(0.000603-0.011161)*53.9728</f>
        <v>-0.56984482240000012</v>
      </c>
      <c r="X1421" s="10">
        <f t="shared" si="1853"/>
        <v>0.43626214239999994</v>
      </c>
      <c r="Y1421" s="10" t="str">
        <f t="shared" si="1854"/>
        <v>NA</v>
      </c>
      <c r="Z1421" s="10" t="str">
        <f t="shared" si="1855"/>
        <v>NA</v>
      </c>
      <c r="AA1421" s="10">
        <f t="shared" si="1856"/>
        <v>0.9807484395387589</v>
      </c>
      <c r="AB1421" s="10" t="str">
        <f t="shared" si="1857"/>
        <v>NA</v>
      </c>
      <c r="AC1421" s="10" t="str">
        <f t="shared" si="1858"/>
        <v>NA</v>
      </c>
      <c r="AD1421" s="10" t="str">
        <f t="shared" si="1859"/>
        <v>NA</v>
      </c>
      <c r="AE1421" s="10">
        <f t="shared" si="1860"/>
        <v>0.95560208603761032</v>
      </c>
      <c r="AF1421" s="1" t="s">
        <v>1348</v>
      </c>
    </row>
    <row r="1422" spans="1:32" x14ac:dyDescent="0.2">
      <c r="A1422" s="1" t="s">
        <v>5940</v>
      </c>
      <c r="B1422" s="1" t="s">
        <v>5</v>
      </c>
      <c r="C1422" s="1" t="s">
        <v>1575</v>
      </c>
      <c r="D1422" s="1" t="s">
        <v>1600</v>
      </c>
      <c r="E1422" s="1" t="s">
        <v>1653</v>
      </c>
      <c r="F1422" s="1" t="s">
        <v>101</v>
      </c>
      <c r="G1422" s="4">
        <v>0.76619999999999999</v>
      </c>
      <c r="H1422" s="28">
        <v>41607</v>
      </c>
      <c r="I1422" s="29">
        <f t="shared" si="1852"/>
        <v>2013</v>
      </c>
      <c r="J1422" s="1" t="s">
        <v>7</v>
      </c>
      <c r="K1422" s="1" t="s">
        <v>7026</v>
      </c>
      <c r="L1422" s="11" t="str">
        <f t="shared" si="1688"/>
        <v>НЕТ</v>
      </c>
      <c r="M1422" s="10">
        <v>25</v>
      </c>
      <c r="N1422" s="10" t="s">
        <v>1575</v>
      </c>
      <c r="O1422" s="10">
        <f>M1422*33.1332/1000</f>
        <v>0.82833000000000001</v>
      </c>
      <c r="P1422" s="10">
        <f t="shared" si="1946"/>
        <v>1.0810884886452623</v>
      </c>
      <c r="Q1422" s="10">
        <f t="shared" si="1947"/>
        <v>1.1445716998452624</v>
      </c>
      <c r="R1422" s="10" t="s">
        <v>1575</v>
      </c>
      <c r="S1422" s="10" t="s">
        <v>1575</v>
      </c>
      <c r="T1422" s="10" t="s">
        <v>1575</v>
      </c>
      <c r="U1422" s="10" t="s">
        <v>1575</v>
      </c>
      <c r="V1422" s="10">
        <f>0.034859*33.1332</f>
        <v>1.1549902188000001</v>
      </c>
      <c r="W1422" s="10">
        <f>(0.002024-0.000108)*33.1332</f>
        <v>6.3483211200000014E-2</v>
      </c>
      <c r="X1422" s="10">
        <f t="shared" si="1853"/>
        <v>1.2184734300000002</v>
      </c>
      <c r="Y1422" s="10" t="str">
        <f t="shared" si="1854"/>
        <v>NA</v>
      </c>
      <c r="Z1422" s="10" t="str">
        <f t="shared" si="1855"/>
        <v>NA</v>
      </c>
      <c r="AA1422" s="10">
        <f t="shared" si="1856"/>
        <v>0.93601527618864211</v>
      </c>
      <c r="AB1422" s="10" t="str">
        <f t="shared" si="1857"/>
        <v>NA</v>
      </c>
      <c r="AC1422" s="10" t="str">
        <f t="shared" si="1858"/>
        <v>NA</v>
      </c>
      <c r="AD1422" s="10" t="str">
        <f t="shared" si="1859"/>
        <v>NA</v>
      </c>
      <c r="AE1422" s="10">
        <f t="shared" si="1860"/>
        <v>0.93934891944690357</v>
      </c>
      <c r="AF1422" s="1" t="s">
        <v>1349</v>
      </c>
    </row>
    <row r="1423" spans="1:32" x14ac:dyDescent="0.2">
      <c r="A1423" s="1" t="s">
        <v>5941</v>
      </c>
      <c r="B1423" s="1" t="s">
        <v>5</v>
      </c>
      <c r="C1423" s="1" t="s">
        <v>1575</v>
      </c>
      <c r="D1423" s="1" t="s">
        <v>1600</v>
      </c>
      <c r="E1423" s="1" t="s">
        <v>1653</v>
      </c>
      <c r="F1423" s="1" t="s">
        <v>101</v>
      </c>
      <c r="G1423" s="4">
        <f>70%-49%</f>
        <v>0.20999999999999996</v>
      </c>
      <c r="H1423" s="28">
        <v>41463</v>
      </c>
      <c r="I1423" s="29">
        <f t="shared" si="1852"/>
        <v>2013</v>
      </c>
      <c r="J1423" s="1" t="s">
        <v>5942</v>
      </c>
      <c r="K1423" s="1" t="s">
        <v>7026</v>
      </c>
      <c r="L1423" s="11" t="str">
        <f t="shared" si="1688"/>
        <v>НЕТ</v>
      </c>
      <c r="M1423" s="10">
        <v>0.17275599999999999</v>
      </c>
      <c r="N1423" s="10" t="s">
        <v>1575</v>
      </c>
      <c r="O1423" s="10">
        <f>M1423*33.2247/1000</f>
        <v>5.7397662732000003E-3</v>
      </c>
      <c r="P1423" s="10">
        <f t="shared" si="1946"/>
        <v>2.7332220348571433E-2</v>
      </c>
      <c r="Q1423" s="10" t="str">
        <f t="shared" si="1947"/>
        <v>NA</v>
      </c>
      <c r="R1423" s="10" t="s">
        <v>1575</v>
      </c>
      <c r="S1423" s="10" t="s">
        <v>1575</v>
      </c>
      <c r="T1423" s="10" t="s">
        <v>1575</v>
      </c>
      <c r="U1423" s="10" t="s">
        <v>1575</v>
      </c>
      <c r="V1423" s="10" t="s">
        <v>1575</v>
      </c>
      <c r="W1423" s="10" t="s">
        <v>1575</v>
      </c>
      <c r="X1423" s="10" t="str">
        <f t="shared" si="1853"/>
        <v>NA</v>
      </c>
      <c r="Y1423" s="10" t="str">
        <f t="shared" si="1854"/>
        <v>NA</v>
      </c>
      <c r="Z1423" s="10" t="str">
        <f t="shared" si="1855"/>
        <v>NA</v>
      </c>
      <c r="AA1423" s="10" t="str">
        <f t="shared" si="1856"/>
        <v>NA</v>
      </c>
      <c r="AB1423" s="10" t="str">
        <f t="shared" si="1857"/>
        <v>NA</v>
      </c>
      <c r="AC1423" s="10" t="str">
        <f t="shared" si="1858"/>
        <v>NA</v>
      </c>
      <c r="AD1423" s="10" t="str">
        <f t="shared" si="1859"/>
        <v>NA</v>
      </c>
      <c r="AE1423" s="10" t="str">
        <f t="shared" si="1860"/>
        <v>NA</v>
      </c>
      <c r="AF1423" s="1" t="s">
        <v>1350</v>
      </c>
    </row>
    <row r="1424" spans="1:32" x14ac:dyDescent="0.2">
      <c r="A1424" s="1" t="s">
        <v>5943</v>
      </c>
      <c r="B1424" s="1" t="s">
        <v>5</v>
      </c>
      <c r="C1424" s="1" t="s">
        <v>1575</v>
      </c>
      <c r="D1424" s="1" t="s">
        <v>1600</v>
      </c>
      <c r="E1424" s="1" t="s">
        <v>1653</v>
      </c>
      <c r="F1424" s="1" t="s">
        <v>101</v>
      </c>
      <c r="G1424" s="4">
        <v>0.65</v>
      </c>
      <c r="H1424" s="28">
        <v>41247</v>
      </c>
      <c r="I1424" s="29">
        <f t="shared" si="1852"/>
        <v>2012</v>
      </c>
      <c r="J1424" s="1" t="s">
        <v>7</v>
      </c>
      <c r="K1424" s="1" t="s">
        <v>7026</v>
      </c>
      <c r="L1424" s="11" t="str">
        <f t="shared" ref="L1424:L1504" si="1958">IF(OR(A1424=J1424,A1424=K1424),"ДА","НЕТ")</f>
        <v>НЕТ</v>
      </c>
      <c r="M1424" s="10">
        <v>21.65</v>
      </c>
      <c r="N1424" s="10" t="s">
        <v>1575</v>
      </c>
      <c r="O1424" s="10">
        <f>M1424*30.8365/1000</f>
        <v>0.667610225</v>
      </c>
      <c r="P1424" s="10">
        <f t="shared" si="1946"/>
        <v>1.0270926538461538</v>
      </c>
      <c r="Q1424" s="10">
        <f t="shared" si="1947"/>
        <v>1.4831336523461538</v>
      </c>
      <c r="R1424" s="10" t="s">
        <v>1575</v>
      </c>
      <c r="S1424" s="10" t="s">
        <v>1575</v>
      </c>
      <c r="T1424" s="10" t="s">
        <v>1575</v>
      </c>
      <c r="U1424" s="10" t="s">
        <v>1575</v>
      </c>
      <c r="V1424" s="10">
        <f>0.067429*30.8365</f>
        <v>2.0792743585000002</v>
      </c>
      <c r="W1424" s="10">
        <f>(0.014798-0.000009)*30.8365</f>
        <v>0.45604099850000002</v>
      </c>
      <c r="X1424" s="10">
        <f t="shared" si="1853"/>
        <v>2.535315357</v>
      </c>
      <c r="Y1424" s="10" t="str">
        <f t="shared" si="1854"/>
        <v>NA</v>
      </c>
      <c r="Z1424" s="10" t="str">
        <f t="shared" si="1855"/>
        <v>NA</v>
      </c>
      <c r="AA1424" s="10">
        <f t="shared" si="1856"/>
        <v>0.49396687341785139</v>
      </c>
      <c r="AB1424" s="10" t="str">
        <f t="shared" si="1857"/>
        <v>NA</v>
      </c>
      <c r="AC1424" s="10" t="str">
        <f t="shared" si="1858"/>
        <v>NA</v>
      </c>
      <c r="AD1424" s="10" t="str">
        <f t="shared" si="1859"/>
        <v>NA</v>
      </c>
      <c r="AE1424" s="10">
        <f t="shared" si="1860"/>
        <v>0.5849898113271097</v>
      </c>
      <c r="AF1424" s="1" t="s">
        <v>1351</v>
      </c>
    </row>
    <row r="1425" spans="1:32" x14ac:dyDescent="0.2">
      <c r="A1425" s="1" t="s">
        <v>5944</v>
      </c>
      <c r="B1425" s="1" t="s">
        <v>5</v>
      </c>
      <c r="C1425" s="1" t="s">
        <v>1575</v>
      </c>
      <c r="D1425" s="1" t="s">
        <v>1600</v>
      </c>
      <c r="E1425" s="1" t="s">
        <v>3023</v>
      </c>
      <c r="F1425" s="1" t="s">
        <v>7027</v>
      </c>
      <c r="G1425" s="4">
        <v>1</v>
      </c>
      <c r="H1425" s="28">
        <v>40946</v>
      </c>
      <c r="I1425" s="29">
        <f t="shared" si="1852"/>
        <v>2012</v>
      </c>
      <c r="J1425" s="1" t="s">
        <v>7</v>
      </c>
      <c r="K1425" s="1" t="s">
        <v>7026</v>
      </c>
      <c r="L1425" s="11" t="str">
        <f t="shared" si="1958"/>
        <v>НЕТ</v>
      </c>
      <c r="M1425" s="10">
        <v>7.8</v>
      </c>
      <c r="N1425" s="10" t="s">
        <v>1575</v>
      </c>
      <c r="O1425" s="10">
        <f>M1425*30.2324/1000</f>
        <v>0.23581271999999998</v>
      </c>
      <c r="P1425" s="10">
        <f t="shared" si="1946"/>
        <v>0.23581271999999998</v>
      </c>
      <c r="Q1425" s="10" t="str">
        <f t="shared" si="1947"/>
        <v>NA</v>
      </c>
      <c r="R1425" s="10" t="s">
        <v>1575</v>
      </c>
      <c r="S1425" s="10" t="s">
        <v>1575</v>
      </c>
      <c r="T1425" s="10" t="s">
        <v>1575</v>
      </c>
      <c r="U1425" s="10" t="s">
        <v>1575</v>
      </c>
      <c r="V1425" s="10" t="s">
        <v>1575</v>
      </c>
      <c r="W1425" s="10" t="s">
        <v>1575</v>
      </c>
      <c r="X1425" s="10" t="str">
        <f t="shared" si="1853"/>
        <v>NA</v>
      </c>
      <c r="Y1425" s="10" t="str">
        <f t="shared" si="1854"/>
        <v>NA</v>
      </c>
      <c r="Z1425" s="10" t="str">
        <f t="shared" si="1855"/>
        <v>NA</v>
      </c>
      <c r="AA1425" s="10" t="str">
        <f t="shared" si="1856"/>
        <v>NA</v>
      </c>
      <c r="AB1425" s="10" t="str">
        <f t="shared" si="1857"/>
        <v>NA</v>
      </c>
      <c r="AC1425" s="10" t="str">
        <f t="shared" si="1858"/>
        <v>NA</v>
      </c>
      <c r="AD1425" s="10" t="str">
        <f t="shared" si="1859"/>
        <v>NA</v>
      </c>
      <c r="AE1425" s="10" t="str">
        <f t="shared" si="1860"/>
        <v>NA</v>
      </c>
      <c r="AF1425" s="1" t="s">
        <v>1352</v>
      </c>
    </row>
    <row r="1426" spans="1:32" x14ac:dyDescent="0.2">
      <c r="A1426" s="1" t="s">
        <v>5945</v>
      </c>
      <c r="B1426" s="1" t="s">
        <v>5</v>
      </c>
      <c r="C1426" s="1" t="s">
        <v>1575</v>
      </c>
      <c r="D1426" s="1" t="s">
        <v>1600</v>
      </c>
      <c r="E1426" s="1" t="s">
        <v>1653</v>
      </c>
      <c r="F1426" s="1" t="s">
        <v>101</v>
      </c>
      <c r="G1426" s="4">
        <v>1</v>
      </c>
      <c r="H1426" s="28">
        <v>41248</v>
      </c>
      <c r="I1426" s="29">
        <f t="shared" si="1852"/>
        <v>2012</v>
      </c>
      <c r="J1426" s="1" t="s">
        <v>7</v>
      </c>
      <c r="K1426" s="1" t="s">
        <v>7026</v>
      </c>
      <c r="L1426" s="11" t="str">
        <f t="shared" si="1958"/>
        <v>НЕТ</v>
      </c>
      <c r="M1426" s="10">
        <v>4.8</v>
      </c>
      <c r="N1426" s="10" t="s">
        <v>1575</v>
      </c>
      <c r="O1426" s="10">
        <f>M1426*30.994/1000</f>
        <v>0.14877119999999999</v>
      </c>
      <c r="P1426" s="10">
        <f t="shared" si="1946"/>
        <v>0.14877119999999999</v>
      </c>
      <c r="Q1426" s="10" t="str">
        <f t="shared" si="1947"/>
        <v>NA</v>
      </c>
      <c r="R1426" s="10" t="s">
        <v>1575</v>
      </c>
      <c r="S1426" s="10" t="s">
        <v>1575</v>
      </c>
      <c r="T1426" s="10" t="s">
        <v>1575</v>
      </c>
      <c r="U1426" s="10" t="s">
        <v>1575</v>
      </c>
      <c r="V1426" s="10" t="s">
        <v>1575</v>
      </c>
      <c r="W1426" s="10" t="s">
        <v>1575</v>
      </c>
      <c r="X1426" s="10" t="str">
        <f t="shared" si="1853"/>
        <v>NA</v>
      </c>
      <c r="Y1426" s="10" t="str">
        <f t="shared" si="1854"/>
        <v>NA</v>
      </c>
      <c r="Z1426" s="10" t="str">
        <f t="shared" si="1855"/>
        <v>NA</v>
      </c>
      <c r="AA1426" s="10" t="str">
        <f t="shared" si="1856"/>
        <v>NA</v>
      </c>
      <c r="AB1426" s="10" t="str">
        <f t="shared" si="1857"/>
        <v>NA</v>
      </c>
      <c r="AC1426" s="10" t="str">
        <f t="shared" si="1858"/>
        <v>NA</v>
      </c>
      <c r="AD1426" s="10" t="str">
        <f t="shared" si="1859"/>
        <v>NA</v>
      </c>
      <c r="AE1426" s="10" t="str">
        <f t="shared" si="1860"/>
        <v>NA</v>
      </c>
      <c r="AF1426" s="1" t="s">
        <v>1353</v>
      </c>
    </row>
    <row r="1427" spans="1:32" x14ac:dyDescent="0.2">
      <c r="A1427" s="1" t="s">
        <v>1357</v>
      </c>
      <c r="B1427" s="1" t="s">
        <v>223</v>
      </c>
      <c r="C1427" s="1" t="s">
        <v>1575</v>
      </c>
      <c r="D1427" s="1" t="s">
        <v>1600</v>
      </c>
      <c r="E1427" s="1" t="s">
        <v>7172</v>
      </c>
      <c r="F1427" s="1" t="s">
        <v>1356</v>
      </c>
      <c r="G1427" s="4">
        <v>0.35</v>
      </c>
      <c r="H1427" s="28">
        <v>40644</v>
      </c>
      <c r="I1427" s="29">
        <f t="shared" si="1852"/>
        <v>2011</v>
      </c>
      <c r="J1427" s="1" t="s">
        <v>7026</v>
      </c>
      <c r="K1427" s="1" t="s">
        <v>1355</v>
      </c>
      <c r="L1427" s="11" t="str">
        <f t="shared" si="1958"/>
        <v>НЕТ</v>
      </c>
      <c r="M1427" s="10">
        <v>11.5</v>
      </c>
      <c r="N1427" s="10" t="s">
        <v>1575</v>
      </c>
      <c r="O1427" s="10">
        <f>M1427*28.1211/1000</f>
        <v>0.32339265</v>
      </c>
      <c r="P1427" s="10">
        <f t="shared" si="1946"/>
        <v>0.92397900000000011</v>
      </c>
      <c r="Q1427" s="10" t="str">
        <f t="shared" si="1947"/>
        <v>NA</v>
      </c>
      <c r="R1427" s="10" t="s">
        <v>1575</v>
      </c>
      <c r="S1427" s="10" t="s">
        <v>1575</v>
      </c>
      <c r="T1427" s="10" t="s">
        <v>1575</v>
      </c>
      <c r="U1427" s="10" t="s">
        <v>1575</v>
      </c>
      <c r="V1427" s="10" t="s">
        <v>1575</v>
      </c>
      <c r="W1427" s="10" t="s">
        <v>1575</v>
      </c>
      <c r="X1427" s="10" t="str">
        <f t="shared" si="1853"/>
        <v>NA</v>
      </c>
      <c r="Y1427" s="10" t="str">
        <f t="shared" si="1854"/>
        <v>NA</v>
      </c>
      <c r="Z1427" s="10" t="str">
        <f t="shared" si="1855"/>
        <v>NA</v>
      </c>
      <c r="AA1427" s="10" t="str">
        <f t="shared" si="1856"/>
        <v>NA</v>
      </c>
      <c r="AB1427" s="10" t="str">
        <f t="shared" si="1857"/>
        <v>NA</v>
      </c>
      <c r="AC1427" s="10" t="str">
        <f t="shared" si="1858"/>
        <v>NA</v>
      </c>
      <c r="AD1427" s="10" t="str">
        <f t="shared" si="1859"/>
        <v>NA</v>
      </c>
      <c r="AE1427" s="10" t="str">
        <f t="shared" si="1860"/>
        <v>NA</v>
      </c>
      <c r="AF1427" s="1" t="s">
        <v>1354</v>
      </c>
    </row>
    <row r="1428" spans="1:32" x14ac:dyDescent="0.2">
      <c r="A1428" s="1" t="s">
        <v>7029</v>
      </c>
      <c r="B1428" s="1" t="s">
        <v>5</v>
      </c>
      <c r="C1428" s="1" t="s">
        <v>1575</v>
      </c>
      <c r="D1428" s="1" t="s">
        <v>1600</v>
      </c>
      <c r="E1428" s="1" t="s">
        <v>1653</v>
      </c>
      <c r="F1428" s="1" t="s">
        <v>101</v>
      </c>
      <c r="G1428" s="4">
        <f>40.6%+9.5%</f>
        <v>0.501</v>
      </c>
      <c r="H1428" s="28">
        <v>45199</v>
      </c>
      <c r="I1428" s="29">
        <f t="shared" si="1852"/>
        <v>2023</v>
      </c>
      <c r="J1428" s="1" t="s">
        <v>7</v>
      </c>
      <c r="K1428" s="1" t="s">
        <v>1687</v>
      </c>
      <c r="L1428" s="11" t="str">
        <f t="shared" ref="L1428:L1433" si="1959">IF(OR(A1428=J1428,A1428=K1428),"ДА","НЕТ")</f>
        <v>НЕТ</v>
      </c>
      <c r="M1428" s="10">
        <f>21+88</f>
        <v>109</v>
      </c>
      <c r="N1428" s="10" t="s">
        <v>1575</v>
      </c>
      <c r="O1428" s="10">
        <f>M1428*97.4147/1000</f>
        <v>10.618202299999998</v>
      </c>
      <c r="P1428" s="10">
        <f t="shared" si="1946"/>
        <v>21.194016566866264</v>
      </c>
      <c r="Q1428" s="10" t="str">
        <f t="shared" si="1947"/>
        <v>NA</v>
      </c>
      <c r="R1428" s="10" t="s">
        <v>1575</v>
      </c>
      <c r="S1428" s="10" t="s">
        <v>1575</v>
      </c>
      <c r="T1428" s="10" t="s">
        <v>1575</v>
      </c>
      <c r="U1428" s="10" t="s">
        <v>1575</v>
      </c>
      <c r="V1428" s="10">
        <f>0.106</f>
        <v>0.106</v>
      </c>
      <c r="W1428" s="10" t="s">
        <v>1575</v>
      </c>
      <c r="X1428" s="10" t="str">
        <f t="shared" si="1853"/>
        <v>NA</v>
      </c>
      <c r="Y1428" s="10" t="str">
        <f t="shared" si="1854"/>
        <v>NA</v>
      </c>
      <c r="Z1428" s="10" t="str">
        <f t="shared" si="1855"/>
        <v>NA</v>
      </c>
      <c r="AA1428" s="10">
        <f t="shared" si="1856"/>
        <v>199.94355251760626</v>
      </c>
      <c r="AB1428" s="10" t="str">
        <f t="shared" si="1857"/>
        <v>NA</v>
      </c>
      <c r="AC1428" s="10" t="str">
        <f t="shared" si="1858"/>
        <v>NA</v>
      </c>
      <c r="AD1428" s="10" t="str">
        <f t="shared" si="1859"/>
        <v>NA</v>
      </c>
      <c r="AE1428" s="10" t="str">
        <f t="shared" si="1860"/>
        <v>NA</v>
      </c>
      <c r="AF1428" s="1" t="s">
        <v>7028</v>
      </c>
    </row>
    <row r="1429" spans="1:32" x14ac:dyDescent="0.2">
      <c r="A1429" s="1" t="s">
        <v>7034</v>
      </c>
      <c r="B1429" s="1" t="s">
        <v>5</v>
      </c>
      <c r="C1429" s="1" t="s">
        <v>1575</v>
      </c>
      <c r="D1429" s="1" t="s">
        <v>1600</v>
      </c>
      <c r="E1429" s="1" t="s">
        <v>1653</v>
      </c>
      <c r="F1429" s="1" t="s">
        <v>101</v>
      </c>
      <c r="G1429" s="4" t="s">
        <v>11</v>
      </c>
      <c r="H1429" s="28">
        <v>45291</v>
      </c>
      <c r="I1429" s="29">
        <f t="shared" ref="I1429" si="1960">YEAR(H1429)</f>
        <v>2023</v>
      </c>
      <c r="J1429" s="1" t="s">
        <v>1687</v>
      </c>
      <c r="K1429" s="1" t="s">
        <v>7</v>
      </c>
      <c r="L1429" s="11" t="str">
        <f t="shared" si="1959"/>
        <v>НЕТ</v>
      </c>
      <c r="M1429" s="10">
        <v>13</v>
      </c>
      <c r="N1429" s="10" t="s">
        <v>1575</v>
      </c>
      <c r="O1429" s="10">
        <f>M1429*89.6883/1000</f>
        <v>1.1659478999999999</v>
      </c>
      <c r="P1429" s="10" t="str">
        <f t="shared" si="1946"/>
        <v>NA</v>
      </c>
      <c r="Q1429" s="10" t="str">
        <f t="shared" si="1947"/>
        <v>NA</v>
      </c>
      <c r="R1429" s="10" t="s">
        <v>1575</v>
      </c>
      <c r="S1429" s="10" t="s">
        <v>1575</v>
      </c>
      <c r="T1429" s="10" t="s">
        <v>1575</v>
      </c>
      <c r="U1429" s="10" t="s">
        <v>1575</v>
      </c>
      <c r="V1429" s="10">
        <f>0.013*89.6883</f>
        <v>1.1659478999999999</v>
      </c>
      <c r="W1429" s="10" t="s">
        <v>1575</v>
      </c>
      <c r="X1429" s="10" t="str">
        <f t="shared" ref="X1429" si="1961">IFERROR(V1429+W1429,"NA")</f>
        <v>NA</v>
      </c>
      <c r="Y1429" s="10" t="str">
        <f t="shared" ref="Y1429" si="1962">IFERROR(P1429/R1429,"NA")</f>
        <v>NA</v>
      </c>
      <c r="Z1429" s="10" t="str">
        <f t="shared" ref="Z1429" si="1963">IFERROR(P1429/U1429,"NA")</f>
        <v>NA</v>
      </c>
      <c r="AA1429" s="10" t="str">
        <f t="shared" ref="AA1429" si="1964">IFERROR(P1429/V1429,"NA")</f>
        <v>NA</v>
      </c>
      <c r="AB1429" s="10" t="str">
        <f t="shared" ref="AB1429" si="1965">IFERROR(Q1429/R1429,"NA")</f>
        <v>NA</v>
      </c>
      <c r="AC1429" s="10" t="str">
        <f t="shared" ref="AC1429" si="1966">IFERROR(Q1429/S1429,"NA")</f>
        <v>NA</v>
      </c>
      <c r="AD1429" s="10" t="str">
        <f t="shared" ref="AD1429" si="1967">IFERROR(Q1429/T1429,"NA")</f>
        <v>NA</v>
      </c>
      <c r="AE1429" s="10" t="str">
        <f t="shared" ref="AE1429" si="1968">IFERROR(Q1429/X1429,"NA")</f>
        <v>NA</v>
      </c>
    </row>
    <row r="1430" spans="1:32" x14ac:dyDescent="0.2">
      <c r="A1430" s="1" t="s">
        <v>7030</v>
      </c>
      <c r="B1430" s="1" t="s">
        <v>5</v>
      </c>
      <c r="C1430" s="1" t="s">
        <v>1575</v>
      </c>
      <c r="D1430" s="1" t="s">
        <v>1600</v>
      </c>
      <c r="E1430" s="1" t="s">
        <v>1653</v>
      </c>
      <c r="F1430" s="1" t="s">
        <v>101</v>
      </c>
      <c r="G1430" s="4" t="s">
        <v>11</v>
      </c>
      <c r="H1430" s="28">
        <v>45291</v>
      </c>
      <c r="I1430" s="29">
        <f t="shared" si="1852"/>
        <v>2023</v>
      </c>
      <c r="J1430" s="1" t="s">
        <v>1687</v>
      </c>
      <c r="K1430" s="1" t="s">
        <v>7</v>
      </c>
      <c r="L1430" s="11" t="str">
        <f t="shared" si="1959"/>
        <v>НЕТ</v>
      </c>
      <c r="M1430" s="10">
        <v>1</v>
      </c>
      <c r="N1430" s="10" t="s">
        <v>1575</v>
      </c>
      <c r="O1430" s="10">
        <f t="shared" ref="O1430:O1433" si="1969">M1430*89.6883/1000</f>
        <v>8.9688299999999999E-2</v>
      </c>
      <c r="P1430" s="10" t="str">
        <f t="shared" si="1946"/>
        <v>NA</v>
      </c>
      <c r="Q1430" s="10" t="str">
        <f t="shared" si="1947"/>
        <v>NA</v>
      </c>
      <c r="R1430" s="10" t="s">
        <v>1575</v>
      </c>
      <c r="S1430" s="10" t="s">
        <v>1575</v>
      </c>
      <c r="T1430" s="10" t="s">
        <v>1575</v>
      </c>
      <c r="U1430" s="10" t="s">
        <v>1575</v>
      </c>
      <c r="V1430" s="10">
        <f>0.001*89.6883</f>
        <v>8.9688299999999999E-2</v>
      </c>
      <c r="W1430" s="10" t="s">
        <v>1575</v>
      </c>
      <c r="X1430" s="10" t="str">
        <f t="shared" si="1853"/>
        <v>NA</v>
      </c>
      <c r="Y1430" s="10" t="str">
        <f t="shared" si="1854"/>
        <v>NA</v>
      </c>
      <c r="Z1430" s="10" t="str">
        <f t="shared" si="1855"/>
        <v>NA</v>
      </c>
      <c r="AA1430" s="10" t="str">
        <f t="shared" si="1856"/>
        <v>NA</v>
      </c>
      <c r="AB1430" s="10" t="str">
        <f t="shared" si="1857"/>
        <v>NA</v>
      </c>
      <c r="AC1430" s="10" t="str">
        <f t="shared" si="1858"/>
        <v>NA</v>
      </c>
      <c r="AD1430" s="10" t="str">
        <f t="shared" si="1859"/>
        <v>NA</v>
      </c>
      <c r="AE1430" s="10" t="str">
        <f t="shared" si="1860"/>
        <v>NA</v>
      </c>
    </row>
    <row r="1431" spans="1:32" x14ac:dyDescent="0.2">
      <c r="A1431" s="1" t="s">
        <v>7031</v>
      </c>
      <c r="B1431" s="1" t="s">
        <v>5</v>
      </c>
      <c r="C1431" s="1" t="s">
        <v>1575</v>
      </c>
      <c r="D1431" s="1" t="s">
        <v>1600</v>
      </c>
      <c r="E1431" s="1" t="s">
        <v>1653</v>
      </c>
      <c r="F1431" s="1" t="s">
        <v>101</v>
      </c>
      <c r="G1431" s="4" t="s">
        <v>11</v>
      </c>
      <c r="H1431" s="28">
        <v>45291</v>
      </c>
      <c r="I1431" s="29">
        <f t="shared" si="1852"/>
        <v>2023</v>
      </c>
      <c r="J1431" s="1" t="s">
        <v>1687</v>
      </c>
      <c r="K1431" s="1" t="s">
        <v>7</v>
      </c>
      <c r="L1431" s="11" t="str">
        <f t="shared" si="1959"/>
        <v>НЕТ</v>
      </c>
      <c r="M1431" s="10">
        <v>3</v>
      </c>
      <c r="N1431" s="10" t="s">
        <v>1575</v>
      </c>
      <c r="O1431" s="10">
        <f t="shared" si="1969"/>
        <v>0.26906489999999994</v>
      </c>
      <c r="P1431" s="10" t="str">
        <f t="shared" si="1946"/>
        <v>NA</v>
      </c>
      <c r="Q1431" s="10" t="str">
        <f t="shared" si="1947"/>
        <v>NA</v>
      </c>
      <c r="R1431" s="10" t="s">
        <v>1575</v>
      </c>
      <c r="S1431" s="10" t="s">
        <v>1575</v>
      </c>
      <c r="T1431" s="10" t="s">
        <v>1575</v>
      </c>
      <c r="U1431" s="10" t="s">
        <v>1575</v>
      </c>
      <c r="V1431" s="10">
        <f>0.003*89.6883</f>
        <v>0.2690649</v>
      </c>
      <c r="W1431" s="10" t="s">
        <v>1575</v>
      </c>
      <c r="X1431" s="10" t="str">
        <f t="shared" ref="X1431:X1432" si="1970">IFERROR(V1431+W1431,"NA")</f>
        <v>NA</v>
      </c>
      <c r="Y1431" s="10" t="str">
        <f t="shared" ref="Y1431:Y1432" si="1971">IFERROR(P1431/R1431,"NA")</f>
        <v>NA</v>
      </c>
      <c r="Z1431" s="10" t="str">
        <f t="shared" ref="Z1431:Z1432" si="1972">IFERROR(P1431/U1431,"NA")</f>
        <v>NA</v>
      </c>
      <c r="AA1431" s="10" t="str">
        <f t="shared" ref="AA1431:AA1432" si="1973">IFERROR(P1431/V1431,"NA")</f>
        <v>NA</v>
      </c>
      <c r="AB1431" s="10" t="str">
        <f t="shared" ref="AB1431:AB1432" si="1974">IFERROR(Q1431/R1431,"NA")</f>
        <v>NA</v>
      </c>
      <c r="AC1431" s="10" t="str">
        <f t="shared" ref="AC1431:AC1432" si="1975">IFERROR(Q1431/S1431,"NA")</f>
        <v>NA</v>
      </c>
      <c r="AD1431" s="10" t="str">
        <f t="shared" ref="AD1431:AD1432" si="1976">IFERROR(Q1431/T1431,"NA")</f>
        <v>NA</v>
      </c>
      <c r="AE1431" s="10" t="str">
        <f t="shared" ref="AE1431:AE1432" si="1977">IFERROR(Q1431/X1431,"NA")</f>
        <v>NA</v>
      </c>
    </row>
    <row r="1432" spans="1:32" x14ac:dyDescent="0.2">
      <c r="A1432" s="1" t="s">
        <v>7032</v>
      </c>
      <c r="B1432" s="1" t="s">
        <v>5</v>
      </c>
      <c r="C1432" s="1" t="s">
        <v>1575</v>
      </c>
      <c r="D1432" s="1" t="s">
        <v>1600</v>
      </c>
      <c r="E1432" s="1" t="s">
        <v>1653</v>
      </c>
      <c r="F1432" s="1" t="s">
        <v>101</v>
      </c>
      <c r="G1432" s="4" t="s">
        <v>11</v>
      </c>
      <c r="H1432" s="28">
        <v>45291</v>
      </c>
      <c r="I1432" s="29">
        <f t="shared" si="1852"/>
        <v>2023</v>
      </c>
      <c r="J1432" s="1" t="s">
        <v>1687</v>
      </c>
      <c r="K1432" s="1" t="s">
        <v>7</v>
      </c>
      <c r="L1432" s="11" t="str">
        <f t="shared" si="1959"/>
        <v>НЕТ</v>
      </c>
      <c r="M1432" s="10">
        <v>19</v>
      </c>
      <c r="N1432" s="10" t="s">
        <v>1575</v>
      </c>
      <c r="O1432" s="10">
        <f t="shared" si="1969"/>
        <v>1.7040777</v>
      </c>
      <c r="P1432" s="10" t="str">
        <f t="shared" si="1946"/>
        <v>NA</v>
      </c>
      <c r="Q1432" s="10" t="str">
        <f t="shared" si="1947"/>
        <v>NA</v>
      </c>
      <c r="R1432" s="10" t="s">
        <v>1575</v>
      </c>
      <c r="S1432" s="10" t="s">
        <v>1575</v>
      </c>
      <c r="T1432" s="10" t="s">
        <v>1575</v>
      </c>
      <c r="U1432" s="10" t="s">
        <v>1575</v>
      </c>
      <c r="V1432" s="10">
        <f>0.019*89.6883</f>
        <v>1.7040777</v>
      </c>
      <c r="W1432" s="10" t="s">
        <v>1575</v>
      </c>
      <c r="X1432" s="10" t="str">
        <f t="shared" si="1970"/>
        <v>NA</v>
      </c>
      <c r="Y1432" s="10" t="str">
        <f t="shared" si="1971"/>
        <v>NA</v>
      </c>
      <c r="Z1432" s="10" t="str">
        <f t="shared" si="1972"/>
        <v>NA</v>
      </c>
      <c r="AA1432" s="10" t="str">
        <f t="shared" si="1973"/>
        <v>NA</v>
      </c>
      <c r="AB1432" s="10" t="str">
        <f t="shared" si="1974"/>
        <v>NA</v>
      </c>
      <c r="AC1432" s="10" t="str">
        <f t="shared" si="1975"/>
        <v>NA</v>
      </c>
      <c r="AD1432" s="10" t="str">
        <f t="shared" si="1976"/>
        <v>NA</v>
      </c>
      <c r="AE1432" s="10" t="str">
        <f t="shared" si="1977"/>
        <v>NA</v>
      </c>
    </row>
    <row r="1433" spans="1:32" x14ac:dyDescent="0.2">
      <c r="A1433" s="1" t="s">
        <v>7033</v>
      </c>
      <c r="B1433" s="1" t="s">
        <v>5</v>
      </c>
      <c r="C1433" s="1" t="s">
        <v>1575</v>
      </c>
      <c r="D1433" s="1" t="s">
        <v>1600</v>
      </c>
      <c r="E1433" s="1" t="s">
        <v>1653</v>
      </c>
      <c r="F1433" s="1" t="s">
        <v>101</v>
      </c>
      <c r="G1433" s="4" t="s">
        <v>11</v>
      </c>
      <c r="H1433" s="28">
        <v>45291</v>
      </c>
      <c r="I1433" s="29">
        <f t="shared" si="1852"/>
        <v>2023</v>
      </c>
      <c r="J1433" s="1" t="s">
        <v>1687</v>
      </c>
      <c r="K1433" s="1" t="s">
        <v>7</v>
      </c>
      <c r="L1433" s="11" t="str">
        <f t="shared" si="1959"/>
        <v>НЕТ</v>
      </c>
      <c r="M1433" s="10">
        <v>6</v>
      </c>
      <c r="N1433" s="10" t="s">
        <v>1575</v>
      </c>
      <c r="O1433" s="10">
        <f t="shared" si="1969"/>
        <v>0.53812979999999988</v>
      </c>
      <c r="P1433" s="10" t="str">
        <f t="shared" si="1946"/>
        <v>NA</v>
      </c>
      <c r="Q1433" s="10" t="str">
        <f t="shared" si="1947"/>
        <v>NA</v>
      </c>
      <c r="R1433" s="10" t="s">
        <v>1575</v>
      </c>
      <c r="S1433" s="10" t="s">
        <v>1575</v>
      </c>
      <c r="T1433" s="10" t="s">
        <v>1575</v>
      </c>
      <c r="U1433" s="10" t="s">
        <v>1575</v>
      </c>
      <c r="V1433" s="10">
        <f>0.006*89.6883</f>
        <v>0.53812979999999999</v>
      </c>
      <c r="W1433" s="10" t="s">
        <v>1575</v>
      </c>
      <c r="X1433" s="10" t="str">
        <f t="shared" ref="X1433:X1437" si="1978">IFERROR(V1433+W1433,"NA")</f>
        <v>NA</v>
      </c>
      <c r="Y1433" s="10" t="str">
        <f t="shared" ref="Y1433:Y1437" si="1979">IFERROR(P1433/R1433,"NA")</f>
        <v>NA</v>
      </c>
      <c r="Z1433" s="10" t="str">
        <f t="shared" ref="Z1433:Z1437" si="1980">IFERROR(P1433/U1433,"NA")</f>
        <v>NA</v>
      </c>
      <c r="AA1433" s="10" t="str">
        <f t="shared" ref="AA1433:AA1437" si="1981">IFERROR(P1433/V1433,"NA")</f>
        <v>NA</v>
      </c>
      <c r="AB1433" s="10" t="str">
        <f t="shared" ref="AB1433:AB1437" si="1982">IFERROR(Q1433/R1433,"NA")</f>
        <v>NA</v>
      </c>
      <c r="AC1433" s="10" t="str">
        <f t="shared" ref="AC1433:AC1437" si="1983">IFERROR(Q1433/S1433,"NA")</f>
        <v>NA</v>
      </c>
      <c r="AD1433" s="10" t="str">
        <f t="shared" ref="AD1433:AD1437" si="1984">IFERROR(Q1433/T1433,"NA")</f>
        <v>NA</v>
      </c>
      <c r="AE1433" s="10" t="str">
        <f t="shared" ref="AE1433:AE1437" si="1985">IFERROR(Q1433/X1433,"NA")</f>
        <v>NA</v>
      </c>
    </row>
    <row r="1434" spans="1:32" x14ac:dyDescent="0.2">
      <c r="A1434" s="1" t="s">
        <v>7035</v>
      </c>
      <c r="B1434" s="1" t="s">
        <v>5</v>
      </c>
      <c r="C1434" s="1" t="s">
        <v>1575</v>
      </c>
      <c r="D1434" s="1" t="s">
        <v>1600</v>
      </c>
      <c r="E1434" s="1" t="s">
        <v>1653</v>
      </c>
      <c r="F1434" s="1" t="s">
        <v>101</v>
      </c>
      <c r="G1434" s="4">
        <v>1</v>
      </c>
      <c r="H1434" s="28">
        <v>44630</v>
      </c>
      <c r="I1434" s="29">
        <f t="shared" si="1852"/>
        <v>2022</v>
      </c>
      <c r="J1434" s="1" t="s">
        <v>1687</v>
      </c>
      <c r="K1434" s="1" t="s">
        <v>7</v>
      </c>
      <c r="L1434" s="11" t="str">
        <f t="shared" ref="L1434" si="1986">IF(OR(A1434=J1434,A1434=K1434),"ДА","НЕТ")</f>
        <v>НЕТ</v>
      </c>
      <c r="M1434" s="10">
        <v>27</v>
      </c>
      <c r="N1434" s="10" t="s">
        <v>1575</v>
      </c>
      <c r="O1434" s="10">
        <f>M1434*75.9028/1000</f>
        <v>2.0493755999999999</v>
      </c>
      <c r="P1434" s="10">
        <f t="shared" si="1946"/>
        <v>2.0493755999999999</v>
      </c>
      <c r="Q1434" s="10" t="str">
        <f t="shared" si="1947"/>
        <v>NA</v>
      </c>
      <c r="R1434" s="10" t="s">
        <v>1575</v>
      </c>
      <c r="S1434" s="10" t="s">
        <v>1575</v>
      </c>
      <c r="T1434" s="10" t="s">
        <v>1575</v>
      </c>
      <c r="U1434" s="10" t="s">
        <v>1575</v>
      </c>
      <c r="V1434" s="10" t="s">
        <v>1575</v>
      </c>
      <c r="W1434" s="10" t="s">
        <v>1575</v>
      </c>
      <c r="X1434" s="10" t="str">
        <f t="shared" ref="X1434:X1436" si="1987">IFERROR(V1434+W1434,"NA")</f>
        <v>NA</v>
      </c>
      <c r="Y1434" s="10" t="str">
        <f t="shared" ref="Y1434:Y1436" si="1988">IFERROR(P1434/R1434,"NA")</f>
        <v>NA</v>
      </c>
      <c r="Z1434" s="10" t="str">
        <f t="shared" ref="Z1434:Z1436" si="1989">IFERROR(P1434/U1434,"NA")</f>
        <v>NA</v>
      </c>
      <c r="AA1434" s="10" t="str">
        <f t="shared" ref="AA1434:AA1436" si="1990">IFERROR(P1434/V1434,"NA")</f>
        <v>NA</v>
      </c>
      <c r="AB1434" s="10" t="str">
        <f t="shared" ref="AB1434:AB1436" si="1991">IFERROR(Q1434/R1434,"NA")</f>
        <v>NA</v>
      </c>
      <c r="AC1434" s="10" t="str">
        <f t="shared" ref="AC1434:AC1436" si="1992">IFERROR(Q1434/S1434,"NA")</f>
        <v>NA</v>
      </c>
      <c r="AD1434" s="10" t="str">
        <f t="shared" ref="AD1434:AD1436" si="1993">IFERROR(Q1434/T1434,"NA")</f>
        <v>NA</v>
      </c>
      <c r="AE1434" s="10" t="str">
        <f t="shared" ref="AE1434:AE1436" si="1994">IFERROR(Q1434/X1434,"NA")</f>
        <v>NA</v>
      </c>
      <c r="AF1434" s="1" t="s">
        <v>7036</v>
      </c>
    </row>
    <row r="1435" spans="1:32" x14ac:dyDescent="0.2">
      <c r="A1435" s="1" t="s">
        <v>7038</v>
      </c>
      <c r="B1435" s="1" t="s">
        <v>5</v>
      </c>
      <c r="C1435" s="1" t="s">
        <v>1575</v>
      </c>
      <c r="D1435" s="1" t="s">
        <v>1601</v>
      </c>
      <c r="E1435" s="1" t="s">
        <v>1612</v>
      </c>
      <c r="F1435" s="1" t="s">
        <v>1485</v>
      </c>
      <c r="G1435" s="4">
        <v>1</v>
      </c>
      <c r="H1435" s="28">
        <v>44561</v>
      </c>
      <c r="I1435" s="29">
        <f t="shared" si="1852"/>
        <v>2021</v>
      </c>
      <c r="J1435" s="1" t="s">
        <v>1687</v>
      </c>
      <c r="K1435" s="1" t="s">
        <v>7</v>
      </c>
      <c r="L1435" s="11" t="str">
        <f t="shared" ref="L1435" si="1995">IF(OR(A1435=J1435,A1435=K1435),"ДА","НЕТ")</f>
        <v>НЕТ</v>
      </c>
      <c r="M1435" s="10">
        <v>1.7699999999999999E-4</v>
      </c>
      <c r="N1435" s="10" t="s">
        <v>1575</v>
      </c>
      <c r="O1435" s="10">
        <v>1.0000000000000001E-5</v>
      </c>
      <c r="P1435" s="10">
        <f t="shared" si="1946"/>
        <v>1.0000000000000001E-5</v>
      </c>
      <c r="Q1435" s="10">
        <f t="shared" si="1947"/>
        <v>1.1010000000000009E-2</v>
      </c>
      <c r="R1435" s="10" t="s">
        <v>1575</v>
      </c>
      <c r="S1435" s="10" t="s">
        <v>1575</v>
      </c>
      <c r="T1435" s="10" t="s">
        <v>1575</v>
      </c>
      <c r="U1435" s="10" t="s">
        <v>1575</v>
      </c>
      <c r="V1435" s="10">
        <v>0</v>
      </c>
      <c r="W1435" s="10">
        <f>(0.161-0.15)</f>
        <v>1.100000000000001E-2</v>
      </c>
      <c r="X1435" s="10">
        <f t="shared" si="1987"/>
        <v>1.100000000000001E-2</v>
      </c>
      <c r="Y1435" s="10" t="str">
        <f t="shared" si="1988"/>
        <v>NA</v>
      </c>
      <c r="Z1435" s="10" t="str">
        <f t="shared" si="1989"/>
        <v>NA</v>
      </c>
      <c r="AA1435" s="10" t="str">
        <f t="shared" si="1990"/>
        <v>NA</v>
      </c>
      <c r="AB1435" s="10" t="str">
        <f t="shared" si="1991"/>
        <v>NA</v>
      </c>
      <c r="AC1435" s="10" t="str">
        <f t="shared" si="1992"/>
        <v>NA</v>
      </c>
      <c r="AD1435" s="10" t="str">
        <f t="shared" si="1993"/>
        <v>NA</v>
      </c>
      <c r="AE1435" s="10">
        <f t="shared" si="1994"/>
        <v>1.000909090909091</v>
      </c>
      <c r="AF1435" s="1" t="s">
        <v>7037</v>
      </c>
    </row>
    <row r="1436" spans="1:32" x14ac:dyDescent="0.2">
      <c r="A1436" s="1" t="s">
        <v>7039</v>
      </c>
      <c r="B1436" s="1" t="s">
        <v>5</v>
      </c>
      <c r="C1436" s="1" t="s">
        <v>1575</v>
      </c>
      <c r="D1436" s="1" t="s">
        <v>1600</v>
      </c>
      <c r="E1436" s="1" t="s">
        <v>1653</v>
      </c>
      <c r="F1436" s="1" t="s">
        <v>101</v>
      </c>
      <c r="G1436" s="4">
        <f>100%-75%</f>
        <v>0.25</v>
      </c>
      <c r="H1436" s="28">
        <v>44642</v>
      </c>
      <c r="I1436" s="29">
        <f t="shared" si="1852"/>
        <v>2022</v>
      </c>
      <c r="J1436" s="1" t="s">
        <v>1687</v>
      </c>
      <c r="K1436" s="1" t="s">
        <v>7</v>
      </c>
      <c r="L1436" s="11" t="str">
        <f t="shared" ref="L1436:L1437" si="1996">IF(OR(A1436=J1436,A1436=K1436),"ДА","НЕТ")</f>
        <v>НЕТ</v>
      </c>
      <c r="M1436" s="10">
        <v>24</v>
      </c>
      <c r="N1436" s="10" t="s">
        <v>1575</v>
      </c>
      <c r="O1436" s="10">
        <f>M1436*76.8373/1000</f>
        <v>1.8440951999999999</v>
      </c>
      <c r="P1436" s="10">
        <f t="shared" si="1946"/>
        <v>7.3763807999999997</v>
      </c>
      <c r="Q1436" s="10" t="str">
        <f t="shared" si="1947"/>
        <v>NA</v>
      </c>
      <c r="R1436" s="10" t="s">
        <v>1575</v>
      </c>
      <c r="S1436" s="10" t="s">
        <v>1575</v>
      </c>
      <c r="T1436" s="10" t="s">
        <v>1575</v>
      </c>
      <c r="U1436" s="10" t="s">
        <v>1575</v>
      </c>
      <c r="V1436" s="10" t="s">
        <v>1575</v>
      </c>
      <c r="W1436" s="10" t="s">
        <v>1575</v>
      </c>
      <c r="X1436" s="10" t="str">
        <f t="shared" si="1987"/>
        <v>NA</v>
      </c>
      <c r="Y1436" s="10" t="str">
        <f t="shared" si="1988"/>
        <v>NA</v>
      </c>
      <c r="Z1436" s="10" t="str">
        <f t="shared" si="1989"/>
        <v>NA</v>
      </c>
      <c r="AA1436" s="10" t="str">
        <f t="shared" si="1990"/>
        <v>NA</v>
      </c>
      <c r="AB1436" s="10" t="str">
        <f t="shared" si="1991"/>
        <v>NA</v>
      </c>
      <c r="AC1436" s="10" t="str">
        <f t="shared" si="1992"/>
        <v>NA</v>
      </c>
      <c r="AD1436" s="10" t="str">
        <f t="shared" si="1993"/>
        <v>NA</v>
      </c>
      <c r="AE1436" s="10" t="str">
        <f t="shared" si="1994"/>
        <v>NA</v>
      </c>
      <c r="AF1436" s="1" t="s">
        <v>7040</v>
      </c>
    </row>
    <row r="1437" spans="1:32" x14ac:dyDescent="0.2">
      <c r="A1437" s="1" t="s">
        <v>7042</v>
      </c>
      <c r="B1437" s="1" t="s">
        <v>5</v>
      </c>
      <c r="C1437" s="1" t="s">
        <v>1575</v>
      </c>
      <c r="D1437" s="1" t="s">
        <v>1600</v>
      </c>
      <c r="E1437" s="1" t="s">
        <v>1653</v>
      </c>
      <c r="F1437" s="1" t="s">
        <v>101</v>
      </c>
      <c r="G1437" s="4">
        <v>1</v>
      </c>
      <c r="H1437" s="28">
        <v>44926</v>
      </c>
      <c r="I1437" s="29">
        <f t="shared" si="1852"/>
        <v>2022</v>
      </c>
      <c r="J1437" s="1" t="s">
        <v>7</v>
      </c>
      <c r="K1437" s="1" t="s">
        <v>1687</v>
      </c>
      <c r="L1437" s="11" t="str">
        <f t="shared" si="1996"/>
        <v>НЕТ</v>
      </c>
      <c r="M1437" s="10">
        <v>7</v>
      </c>
      <c r="N1437" s="10" t="s">
        <v>1575</v>
      </c>
      <c r="O1437" s="10">
        <f>M1437*89.6883/1000</f>
        <v>0.62781809999999993</v>
      </c>
      <c r="P1437" s="10">
        <f t="shared" si="1946"/>
        <v>0.62781809999999993</v>
      </c>
      <c r="Q1437" s="10" t="str">
        <f t="shared" si="1947"/>
        <v>NA</v>
      </c>
      <c r="R1437" s="10" t="s">
        <v>1575</v>
      </c>
      <c r="S1437" s="10" t="s">
        <v>1575</v>
      </c>
      <c r="T1437" s="10" t="s">
        <v>1575</v>
      </c>
      <c r="U1437" s="10" t="s">
        <v>1575</v>
      </c>
      <c r="V1437" s="10" t="s">
        <v>1575</v>
      </c>
      <c r="W1437" s="10" t="s">
        <v>1575</v>
      </c>
      <c r="X1437" s="10" t="str">
        <f t="shared" si="1978"/>
        <v>NA</v>
      </c>
      <c r="Y1437" s="10" t="str">
        <f t="shared" si="1979"/>
        <v>NA</v>
      </c>
      <c r="Z1437" s="10" t="str">
        <f t="shared" si="1980"/>
        <v>NA</v>
      </c>
      <c r="AA1437" s="10" t="str">
        <f t="shared" si="1981"/>
        <v>NA</v>
      </c>
      <c r="AB1437" s="10" t="str">
        <f t="shared" si="1982"/>
        <v>NA</v>
      </c>
      <c r="AC1437" s="10" t="str">
        <f t="shared" si="1983"/>
        <v>NA</v>
      </c>
      <c r="AD1437" s="10" t="str">
        <f t="shared" si="1984"/>
        <v>NA</v>
      </c>
      <c r="AE1437" s="10" t="str">
        <f t="shared" si="1985"/>
        <v>NA</v>
      </c>
      <c r="AF1437" s="1" t="s">
        <v>7041</v>
      </c>
    </row>
    <row r="1438" spans="1:32" x14ac:dyDescent="0.2">
      <c r="A1438" s="1" t="s">
        <v>1327</v>
      </c>
      <c r="B1438" s="1" t="s">
        <v>5</v>
      </c>
      <c r="C1438" s="1" t="s">
        <v>1575</v>
      </c>
      <c r="D1438" s="1" t="s">
        <v>1600</v>
      </c>
      <c r="E1438" s="1" t="s">
        <v>1653</v>
      </c>
      <c r="F1438" s="1" t="s">
        <v>1326</v>
      </c>
      <c r="G1438" s="4">
        <v>1</v>
      </c>
      <c r="H1438" s="28">
        <v>44377</v>
      </c>
      <c r="I1438" s="29">
        <f t="shared" si="1852"/>
        <v>2021</v>
      </c>
      <c r="J1438" s="1" t="s">
        <v>7</v>
      </c>
      <c r="K1438" s="1" t="s">
        <v>1687</v>
      </c>
      <c r="L1438" s="11" t="str">
        <f t="shared" si="1958"/>
        <v>НЕТ</v>
      </c>
      <c r="M1438" s="10">
        <f>2+7</f>
        <v>9</v>
      </c>
      <c r="N1438" s="10" t="s">
        <v>1575</v>
      </c>
      <c r="O1438" s="10">
        <f>M1438*72.3723/1000</f>
        <v>0.65135069999999995</v>
      </c>
      <c r="P1438" s="10">
        <f t="shared" si="1946"/>
        <v>0.65135069999999995</v>
      </c>
      <c r="Q1438" s="10" t="str">
        <f t="shared" si="1947"/>
        <v>NA</v>
      </c>
      <c r="R1438" s="10" t="s">
        <v>1575</v>
      </c>
      <c r="S1438" s="10" t="s">
        <v>1575</v>
      </c>
      <c r="T1438" s="10" t="s">
        <v>1575</v>
      </c>
      <c r="U1438" s="10" t="s">
        <v>1575</v>
      </c>
      <c r="V1438" s="10" t="s">
        <v>1575</v>
      </c>
      <c r="W1438" s="10" t="s">
        <v>1575</v>
      </c>
      <c r="X1438" s="10" t="str">
        <f t="shared" si="1853"/>
        <v>NA</v>
      </c>
      <c r="Y1438" s="10" t="str">
        <f t="shared" si="1854"/>
        <v>NA</v>
      </c>
      <c r="Z1438" s="10" t="str">
        <f t="shared" si="1855"/>
        <v>NA</v>
      </c>
      <c r="AA1438" s="10" t="str">
        <f t="shared" si="1856"/>
        <v>NA</v>
      </c>
      <c r="AB1438" s="10" t="str">
        <f t="shared" si="1857"/>
        <v>NA</v>
      </c>
      <c r="AC1438" s="10" t="str">
        <f t="shared" si="1858"/>
        <v>NA</v>
      </c>
      <c r="AD1438" s="10" t="str">
        <f t="shared" si="1859"/>
        <v>NA</v>
      </c>
      <c r="AE1438" s="10" t="str">
        <f t="shared" si="1860"/>
        <v>NA</v>
      </c>
      <c r="AF1438" s="1" t="s">
        <v>1328</v>
      </c>
    </row>
    <row r="1439" spans="1:32" x14ac:dyDescent="0.2">
      <c r="A1439" s="1" t="s">
        <v>5946</v>
      </c>
      <c r="B1439" s="1" t="s">
        <v>5</v>
      </c>
      <c r="C1439" s="1" t="s">
        <v>1575</v>
      </c>
      <c r="D1439" s="1" t="s">
        <v>1600</v>
      </c>
      <c r="E1439" s="1" t="s">
        <v>1653</v>
      </c>
      <c r="F1439" s="1" t="s">
        <v>1326</v>
      </c>
      <c r="G1439" s="4">
        <v>1</v>
      </c>
      <c r="H1439" s="28">
        <v>44500</v>
      </c>
      <c r="I1439" s="29">
        <f t="shared" si="1852"/>
        <v>2021</v>
      </c>
      <c r="J1439" s="1" t="s">
        <v>1687</v>
      </c>
      <c r="K1439" s="1" t="s">
        <v>7</v>
      </c>
      <c r="L1439" s="11" t="str">
        <f t="shared" si="1958"/>
        <v>НЕТ</v>
      </c>
      <c r="M1439" s="10">
        <f>2+10</f>
        <v>12</v>
      </c>
      <c r="N1439" s="10" t="s">
        <v>1575</v>
      </c>
      <c r="O1439" s="10">
        <f>M1439*70.52/1000</f>
        <v>0.84623999999999999</v>
      </c>
      <c r="P1439" s="10">
        <f t="shared" si="1946"/>
        <v>0.84623999999999999</v>
      </c>
      <c r="Q1439" s="10" t="str">
        <f t="shared" si="1947"/>
        <v>NA</v>
      </c>
      <c r="R1439" s="10" t="s">
        <v>1575</v>
      </c>
      <c r="S1439" s="10" t="s">
        <v>1575</v>
      </c>
      <c r="T1439" s="10" t="s">
        <v>1575</v>
      </c>
      <c r="U1439" s="10" t="s">
        <v>1575</v>
      </c>
      <c r="V1439" s="10" t="s">
        <v>1575</v>
      </c>
      <c r="W1439" s="10" t="s">
        <v>1575</v>
      </c>
      <c r="X1439" s="10" t="str">
        <f t="shared" si="1853"/>
        <v>NA</v>
      </c>
      <c r="Y1439" s="10" t="str">
        <f t="shared" si="1854"/>
        <v>NA</v>
      </c>
      <c r="Z1439" s="10" t="str">
        <f t="shared" si="1855"/>
        <v>NA</v>
      </c>
      <c r="AA1439" s="10" t="str">
        <f t="shared" si="1856"/>
        <v>NA</v>
      </c>
      <c r="AB1439" s="10" t="str">
        <f t="shared" si="1857"/>
        <v>NA</v>
      </c>
      <c r="AC1439" s="10" t="str">
        <f t="shared" si="1858"/>
        <v>NA</v>
      </c>
      <c r="AD1439" s="10" t="str">
        <f t="shared" si="1859"/>
        <v>NA</v>
      </c>
      <c r="AE1439" s="10" t="str">
        <f t="shared" si="1860"/>
        <v>NA</v>
      </c>
      <c r="AF1439" s="1" t="s">
        <v>1329</v>
      </c>
    </row>
    <row r="1440" spans="1:32" x14ac:dyDescent="0.2">
      <c r="A1440" s="1" t="s">
        <v>5947</v>
      </c>
      <c r="B1440" s="1" t="s">
        <v>5</v>
      </c>
      <c r="C1440" s="1" t="s">
        <v>1575</v>
      </c>
      <c r="D1440" s="1" t="s">
        <v>1600</v>
      </c>
      <c r="E1440" s="1" t="s">
        <v>1653</v>
      </c>
      <c r="F1440" s="1" t="s">
        <v>101</v>
      </c>
      <c r="G1440" s="4">
        <v>0.27700000000000002</v>
      </c>
      <c r="H1440" s="28">
        <v>44316</v>
      </c>
      <c r="I1440" s="29">
        <f t="shared" si="1852"/>
        <v>2021</v>
      </c>
      <c r="J1440" s="1" t="s">
        <v>1687</v>
      </c>
      <c r="K1440" s="1" t="s">
        <v>7</v>
      </c>
      <c r="L1440" s="11" t="str">
        <f t="shared" si="1958"/>
        <v>НЕТ</v>
      </c>
      <c r="M1440" s="10">
        <v>1</v>
      </c>
      <c r="N1440" s="10" t="s">
        <v>1575</v>
      </c>
      <c r="O1440" s="10">
        <f>M1440*74.3823/1000</f>
        <v>7.4382299999999998E-2</v>
      </c>
      <c r="P1440" s="10">
        <f t="shared" si="1946"/>
        <v>0.26852815884476533</v>
      </c>
      <c r="Q1440" s="10" t="str">
        <f t="shared" si="1947"/>
        <v>NA</v>
      </c>
      <c r="R1440" s="10" t="s">
        <v>1575</v>
      </c>
      <c r="S1440" s="10" t="s">
        <v>1575</v>
      </c>
      <c r="T1440" s="10" t="s">
        <v>1575</v>
      </c>
      <c r="U1440" s="10" t="s">
        <v>1575</v>
      </c>
      <c r="V1440" s="10" t="s">
        <v>1575</v>
      </c>
      <c r="W1440" s="10" t="s">
        <v>1575</v>
      </c>
      <c r="X1440" s="10" t="str">
        <f t="shared" si="1853"/>
        <v>NA</v>
      </c>
      <c r="Y1440" s="10" t="str">
        <f t="shared" si="1854"/>
        <v>NA</v>
      </c>
      <c r="Z1440" s="10" t="str">
        <f t="shared" si="1855"/>
        <v>NA</v>
      </c>
      <c r="AA1440" s="10" t="str">
        <f t="shared" si="1856"/>
        <v>NA</v>
      </c>
      <c r="AB1440" s="10" t="str">
        <f t="shared" si="1857"/>
        <v>NA</v>
      </c>
      <c r="AC1440" s="10" t="str">
        <f t="shared" si="1858"/>
        <v>NA</v>
      </c>
      <c r="AD1440" s="10" t="str">
        <f t="shared" si="1859"/>
        <v>NA</v>
      </c>
      <c r="AE1440" s="10" t="str">
        <f t="shared" si="1860"/>
        <v>NA</v>
      </c>
      <c r="AF1440" s="1" t="s">
        <v>1325</v>
      </c>
    </row>
    <row r="1441" spans="1:32" x14ac:dyDescent="0.2">
      <c r="A1441" s="1" t="s">
        <v>5948</v>
      </c>
      <c r="B1441" s="1" t="s">
        <v>5</v>
      </c>
      <c r="C1441" s="1" t="s">
        <v>1575</v>
      </c>
      <c r="D1441" s="1" t="s">
        <v>1600</v>
      </c>
      <c r="E1441" s="1" t="s">
        <v>1653</v>
      </c>
      <c r="F1441" s="1" t="s">
        <v>101</v>
      </c>
      <c r="G1441" s="4">
        <v>0.55000000000000004</v>
      </c>
      <c r="H1441" s="28">
        <v>44286</v>
      </c>
      <c r="I1441" s="29">
        <f t="shared" si="1852"/>
        <v>2021</v>
      </c>
      <c r="J1441" s="1" t="s">
        <v>1687</v>
      </c>
      <c r="K1441" s="1" t="s">
        <v>7</v>
      </c>
      <c r="L1441" s="11" t="str">
        <f t="shared" si="1958"/>
        <v>НЕТ</v>
      </c>
      <c r="M1441" s="10">
        <v>1</v>
      </c>
      <c r="N1441" s="10" t="s">
        <v>1575</v>
      </c>
      <c r="O1441" s="10">
        <f>M1441*75.7023/1000</f>
        <v>7.57023E-2</v>
      </c>
      <c r="P1441" s="10">
        <f t="shared" si="1946"/>
        <v>0.13764054545454543</v>
      </c>
      <c r="Q1441" s="10" t="str">
        <f t="shared" si="1947"/>
        <v>NA</v>
      </c>
      <c r="R1441" s="10" t="s">
        <v>1575</v>
      </c>
      <c r="S1441" s="10" t="s">
        <v>1575</v>
      </c>
      <c r="T1441" s="10" t="s">
        <v>1575</v>
      </c>
      <c r="U1441" s="10" t="s">
        <v>1575</v>
      </c>
      <c r="V1441" s="10" t="s">
        <v>1575</v>
      </c>
      <c r="W1441" s="10" t="s">
        <v>1575</v>
      </c>
      <c r="X1441" s="10" t="str">
        <f t="shared" si="1853"/>
        <v>NA</v>
      </c>
      <c r="Y1441" s="10" t="str">
        <f t="shared" si="1854"/>
        <v>NA</v>
      </c>
      <c r="Z1441" s="10" t="str">
        <f t="shared" si="1855"/>
        <v>NA</v>
      </c>
      <c r="AA1441" s="10" t="str">
        <f t="shared" si="1856"/>
        <v>NA</v>
      </c>
      <c r="AB1441" s="10" t="str">
        <f t="shared" si="1857"/>
        <v>NA</v>
      </c>
      <c r="AC1441" s="10" t="str">
        <f t="shared" si="1858"/>
        <v>NA</v>
      </c>
      <c r="AD1441" s="10" t="str">
        <f t="shared" si="1859"/>
        <v>NA</v>
      </c>
      <c r="AE1441" s="10" t="str">
        <f t="shared" si="1860"/>
        <v>NA</v>
      </c>
      <c r="AF1441" s="1" t="s">
        <v>1324</v>
      </c>
    </row>
    <row r="1442" spans="1:32" x14ac:dyDescent="0.2">
      <c r="A1442" s="1" t="s">
        <v>5949</v>
      </c>
      <c r="B1442" s="1" t="s">
        <v>5</v>
      </c>
      <c r="C1442" s="1" t="s">
        <v>1575</v>
      </c>
      <c r="D1442" s="1" t="s">
        <v>1600</v>
      </c>
      <c r="E1442" s="1" t="s">
        <v>3025</v>
      </c>
      <c r="F1442" s="1" t="s">
        <v>243</v>
      </c>
      <c r="G1442" s="4">
        <v>9.0999999999999998E-2</v>
      </c>
      <c r="H1442" s="28">
        <v>43951</v>
      </c>
      <c r="I1442" s="29">
        <f t="shared" si="1852"/>
        <v>2020</v>
      </c>
      <c r="J1442" s="1" t="s">
        <v>1687</v>
      </c>
      <c r="K1442" s="1" t="s">
        <v>7</v>
      </c>
      <c r="L1442" s="11" t="str">
        <f t="shared" si="1958"/>
        <v>НЕТ</v>
      </c>
      <c r="M1442" s="10" t="s">
        <v>1575</v>
      </c>
      <c r="N1442" s="10" t="s">
        <v>1575</v>
      </c>
      <c r="O1442" s="10" t="s">
        <v>1575</v>
      </c>
      <c r="P1442" s="10" t="str">
        <f t="shared" si="1946"/>
        <v>NA</v>
      </c>
      <c r="Q1442" s="10" t="str">
        <f t="shared" si="1947"/>
        <v>NA</v>
      </c>
      <c r="R1442" s="10" t="s">
        <v>1575</v>
      </c>
      <c r="S1442" s="10" t="s">
        <v>1575</v>
      </c>
      <c r="T1442" s="10" t="s">
        <v>1575</v>
      </c>
      <c r="U1442" s="10" t="s">
        <v>1575</v>
      </c>
      <c r="V1442" s="10" t="s">
        <v>1575</v>
      </c>
      <c r="W1442" s="10" t="s">
        <v>1575</v>
      </c>
      <c r="X1442" s="10" t="str">
        <f t="shared" si="1853"/>
        <v>NA</v>
      </c>
      <c r="Y1442" s="10" t="str">
        <f t="shared" si="1854"/>
        <v>NA</v>
      </c>
      <c r="Z1442" s="10" t="str">
        <f t="shared" si="1855"/>
        <v>NA</v>
      </c>
      <c r="AA1442" s="10" t="str">
        <f t="shared" si="1856"/>
        <v>NA</v>
      </c>
      <c r="AB1442" s="10" t="str">
        <f t="shared" si="1857"/>
        <v>NA</v>
      </c>
      <c r="AC1442" s="10" t="str">
        <f t="shared" si="1858"/>
        <v>NA</v>
      </c>
      <c r="AD1442" s="10" t="str">
        <f t="shared" si="1859"/>
        <v>NA</v>
      </c>
      <c r="AE1442" s="10" t="str">
        <f t="shared" si="1860"/>
        <v>NA</v>
      </c>
      <c r="AF1442" s="1" t="s">
        <v>7043</v>
      </c>
    </row>
    <row r="1443" spans="1:32" x14ac:dyDescent="0.2">
      <c r="A1443" s="1" t="s">
        <v>1333</v>
      </c>
      <c r="B1443" s="1" t="s">
        <v>179</v>
      </c>
      <c r="C1443" s="1" t="s">
        <v>1575</v>
      </c>
      <c r="D1443" s="1" t="s">
        <v>1600</v>
      </c>
      <c r="E1443" s="1" t="s">
        <v>1653</v>
      </c>
      <c r="F1443" s="1" t="s">
        <v>101</v>
      </c>
      <c r="G1443" s="4">
        <v>0.22900000000000001</v>
      </c>
      <c r="H1443" s="28">
        <v>44196</v>
      </c>
      <c r="I1443" s="29">
        <f t="shared" si="1852"/>
        <v>2020</v>
      </c>
      <c r="J1443" s="1" t="s">
        <v>1687</v>
      </c>
      <c r="K1443" s="1" t="s">
        <v>7</v>
      </c>
      <c r="L1443" s="11" t="str">
        <f t="shared" si="1958"/>
        <v>НЕТ</v>
      </c>
      <c r="M1443" s="10">
        <v>2.8</v>
      </c>
      <c r="N1443" s="10" t="s">
        <v>1575</v>
      </c>
      <c r="O1443" s="10">
        <f>M1443*73.8757/1000</f>
        <v>0.20685195999999997</v>
      </c>
      <c r="P1443" s="10">
        <f t="shared" si="1946"/>
        <v>0.90328366812227057</v>
      </c>
      <c r="Q1443" s="10" t="str">
        <f t="shared" si="1947"/>
        <v>NA</v>
      </c>
      <c r="R1443" s="10" t="s">
        <v>1575</v>
      </c>
      <c r="S1443" s="10" t="s">
        <v>1575</v>
      </c>
      <c r="T1443" s="10" t="s">
        <v>1575</v>
      </c>
      <c r="U1443" s="10" t="s">
        <v>1575</v>
      </c>
      <c r="V1443" s="10" t="s">
        <v>1575</v>
      </c>
      <c r="W1443" s="10" t="s">
        <v>1575</v>
      </c>
      <c r="X1443" s="10" t="str">
        <f t="shared" si="1853"/>
        <v>NA</v>
      </c>
      <c r="Y1443" s="10" t="str">
        <f t="shared" si="1854"/>
        <v>NA</v>
      </c>
      <c r="Z1443" s="10" t="str">
        <f t="shared" si="1855"/>
        <v>NA</v>
      </c>
      <c r="AA1443" s="10" t="str">
        <f t="shared" si="1856"/>
        <v>NA</v>
      </c>
      <c r="AB1443" s="10" t="str">
        <f t="shared" si="1857"/>
        <v>NA</v>
      </c>
      <c r="AC1443" s="10" t="str">
        <f t="shared" si="1858"/>
        <v>NA</v>
      </c>
      <c r="AD1443" s="10" t="str">
        <f t="shared" si="1859"/>
        <v>NA</v>
      </c>
      <c r="AE1443" s="10" t="str">
        <f t="shared" si="1860"/>
        <v>NA</v>
      </c>
      <c r="AF1443" s="1" t="s">
        <v>1334</v>
      </c>
    </row>
    <row r="1444" spans="1:32" x14ac:dyDescent="0.2">
      <c r="A1444" s="1" t="s">
        <v>5950</v>
      </c>
      <c r="B1444" s="1" t="s">
        <v>5</v>
      </c>
      <c r="C1444" s="1" t="s">
        <v>1575</v>
      </c>
      <c r="D1444" s="1" t="s">
        <v>1600</v>
      </c>
      <c r="E1444" s="1" t="s">
        <v>1653</v>
      </c>
      <c r="F1444" s="1" t="s">
        <v>101</v>
      </c>
      <c r="G1444" s="4">
        <v>0.75</v>
      </c>
      <c r="H1444" s="28">
        <v>44050</v>
      </c>
      <c r="I1444" s="29">
        <f t="shared" si="1852"/>
        <v>2020</v>
      </c>
      <c r="J1444" s="1" t="s">
        <v>1687</v>
      </c>
      <c r="K1444" s="1" t="s">
        <v>7</v>
      </c>
      <c r="L1444" s="11" t="str">
        <f t="shared" si="1958"/>
        <v>НЕТ</v>
      </c>
      <c r="M1444" s="10">
        <v>7</v>
      </c>
      <c r="N1444" s="10" t="s">
        <v>1575</v>
      </c>
      <c r="O1444" s="10">
        <f>M1444*73.0397/1000</f>
        <v>0.51127789999999995</v>
      </c>
      <c r="P1444" s="10">
        <f t="shared" si="1946"/>
        <v>0.6817038666666666</v>
      </c>
      <c r="Q1444" s="10" t="str">
        <f t="shared" si="1947"/>
        <v>NA</v>
      </c>
      <c r="R1444" s="10" t="s">
        <v>1575</v>
      </c>
      <c r="S1444" s="10" t="s">
        <v>1575</v>
      </c>
      <c r="T1444" s="10" t="s">
        <v>1575</v>
      </c>
      <c r="U1444" s="10" t="s">
        <v>1575</v>
      </c>
      <c r="V1444" s="10" t="s">
        <v>1575</v>
      </c>
      <c r="W1444" s="10" t="s">
        <v>1575</v>
      </c>
      <c r="X1444" s="10" t="str">
        <f t="shared" si="1853"/>
        <v>NA</v>
      </c>
      <c r="Y1444" s="10" t="str">
        <f t="shared" si="1854"/>
        <v>NA</v>
      </c>
      <c r="Z1444" s="10" t="str">
        <f t="shared" si="1855"/>
        <v>NA</v>
      </c>
      <c r="AA1444" s="10" t="str">
        <f t="shared" si="1856"/>
        <v>NA</v>
      </c>
      <c r="AB1444" s="10" t="str">
        <f t="shared" si="1857"/>
        <v>NA</v>
      </c>
      <c r="AC1444" s="10" t="str">
        <f t="shared" si="1858"/>
        <v>NA</v>
      </c>
      <c r="AD1444" s="10" t="str">
        <f t="shared" si="1859"/>
        <v>NA</v>
      </c>
      <c r="AE1444" s="10" t="str">
        <f t="shared" si="1860"/>
        <v>NA</v>
      </c>
      <c r="AF1444" s="1" t="s">
        <v>1335</v>
      </c>
    </row>
    <row r="1445" spans="1:32" x14ac:dyDescent="0.2">
      <c r="A1445" s="1" t="s">
        <v>5947</v>
      </c>
      <c r="B1445" s="1" t="s">
        <v>5</v>
      </c>
      <c r="C1445" s="1" t="s">
        <v>1575</v>
      </c>
      <c r="D1445" s="1" t="s">
        <v>1600</v>
      </c>
      <c r="E1445" s="1" t="s">
        <v>1653</v>
      </c>
      <c r="F1445" s="1" t="s">
        <v>101</v>
      </c>
      <c r="G1445" s="4">
        <v>0.35</v>
      </c>
      <c r="H1445" s="28">
        <v>44135</v>
      </c>
      <c r="I1445" s="29">
        <f t="shared" si="1852"/>
        <v>2020</v>
      </c>
      <c r="J1445" s="1" t="s">
        <v>1687</v>
      </c>
      <c r="K1445" s="1" t="s">
        <v>7</v>
      </c>
      <c r="L1445" s="11" t="str">
        <f t="shared" si="1958"/>
        <v>НЕТ</v>
      </c>
      <c r="M1445" s="10">
        <v>0.5</v>
      </c>
      <c r="N1445" s="10" t="s">
        <v>1575</v>
      </c>
      <c r="O1445" s="10">
        <f>M1445*79.3323/1000</f>
        <v>3.9666150000000004E-2</v>
      </c>
      <c r="P1445" s="10">
        <f t="shared" si="1946"/>
        <v>0.11333185714285716</v>
      </c>
      <c r="Q1445" s="10" t="str">
        <f t="shared" si="1947"/>
        <v>NA</v>
      </c>
      <c r="R1445" s="10" t="s">
        <v>1575</v>
      </c>
      <c r="S1445" s="10" t="s">
        <v>1575</v>
      </c>
      <c r="T1445" s="10" t="s">
        <v>1575</v>
      </c>
      <c r="U1445" s="10" t="s">
        <v>1575</v>
      </c>
      <c r="V1445" s="10" t="s">
        <v>1575</v>
      </c>
      <c r="W1445" s="10" t="s">
        <v>1575</v>
      </c>
      <c r="X1445" s="10" t="str">
        <f t="shared" si="1853"/>
        <v>NA</v>
      </c>
      <c r="Y1445" s="10" t="str">
        <f t="shared" si="1854"/>
        <v>NA</v>
      </c>
      <c r="Z1445" s="10" t="str">
        <f t="shared" si="1855"/>
        <v>NA</v>
      </c>
      <c r="AA1445" s="10" t="str">
        <f t="shared" si="1856"/>
        <v>NA</v>
      </c>
      <c r="AB1445" s="10" t="str">
        <f t="shared" si="1857"/>
        <v>NA</v>
      </c>
      <c r="AC1445" s="10" t="str">
        <f t="shared" si="1858"/>
        <v>NA</v>
      </c>
      <c r="AD1445" s="10" t="str">
        <f t="shared" si="1859"/>
        <v>NA</v>
      </c>
      <c r="AE1445" s="10" t="str">
        <f t="shared" si="1860"/>
        <v>NA</v>
      </c>
      <c r="AF1445" s="1" t="s">
        <v>1330</v>
      </c>
    </row>
    <row r="1446" spans="1:32" x14ac:dyDescent="0.2">
      <c r="A1446" s="1" t="s">
        <v>5948</v>
      </c>
      <c r="B1446" s="1" t="s">
        <v>5</v>
      </c>
      <c r="C1446" s="1" t="s">
        <v>1575</v>
      </c>
      <c r="D1446" s="1" t="s">
        <v>1600</v>
      </c>
      <c r="E1446" s="1" t="s">
        <v>1653</v>
      </c>
      <c r="F1446" s="1" t="s">
        <v>101</v>
      </c>
      <c r="G1446" s="4">
        <v>0.25</v>
      </c>
      <c r="H1446" s="28">
        <v>43616</v>
      </c>
      <c r="I1446" s="29">
        <f t="shared" si="1852"/>
        <v>2019</v>
      </c>
      <c r="J1446" s="1" t="s">
        <v>1687</v>
      </c>
      <c r="K1446" s="1" t="s">
        <v>1331</v>
      </c>
      <c r="L1446" s="11" t="str">
        <f t="shared" si="1958"/>
        <v>НЕТ</v>
      </c>
      <c r="M1446" s="10">
        <v>0.3</v>
      </c>
      <c r="N1446" s="10" t="s">
        <v>1575</v>
      </c>
      <c r="O1446" s="10">
        <f>M1446*65.0583/1000</f>
        <v>1.9517489999999998E-2</v>
      </c>
      <c r="P1446" s="10">
        <f t="shared" si="1946"/>
        <v>7.8069959999999994E-2</v>
      </c>
      <c r="Q1446" s="10" t="str">
        <f t="shared" si="1947"/>
        <v>NA</v>
      </c>
      <c r="R1446" s="10" t="s">
        <v>1575</v>
      </c>
      <c r="S1446" s="10" t="s">
        <v>1575</v>
      </c>
      <c r="T1446" s="10" t="s">
        <v>1575</v>
      </c>
      <c r="U1446" s="10" t="s">
        <v>1575</v>
      </c>
      <c r="V1446" s="10" t="s">
        <v>1575</v>
      </c>
      <c r="W1446" s="10" t="s">
        <v>1575</v>
      </c>
      <c r="X1446" s="10" t="str">
        <f t="shared" si="1853"/>
        <v>NA</v>
      </c>
      <c r="Y1446" s="10" t="str">
        <f t="shared" si="1854"/>
        <v>NA</v>
      </c>
      <c r="Z1446" s="10" t="str">
        <f t="shared" si="1855"/>
        <v>NA</v>
      </c>
      <c r="AA1446" s="10" t="str">
        <f t="shared" si="1856"/>
        <v>NA</v>
      </c>
      <c r="AB1446" s="10" t="str">
        <f t="shared" si="1857"/>
        <v>NA</v>
      </c>
      <c r="AC1446" s="10" t="str">
        <f t="shared" si="1858"/>
        <v>NA</v>
      </c>
      <c r="AD1446" s="10" t="str">
        <f t="shared" si="1859"/>
        <v>NA</v>
      </c>
      <c r="AE1446" s="10" t="str">
        <f t="shared" si="1860"/>
        <v>NA</v>
      </c>
      <c r="AF1446" s="1" t="s">
        <v>1332</v>
      </c>
    </row>
    <row r="1447" spans="1:32" x14ac:dyDescent="0.2">
      <c r="A1447" s="1" t="s">
        <v>1342</v>
      </c>
      <c r="B1447" s="1" t="s">
        <v>5</v>
      </c>
      <c r="C1447" s="1" t="s">
        <v>1575</v>
      </c>
      <c r="D1447" s="1" t="s">
        <v>1615</v>
      </c>
      <c r="E1447" s="1" t="s">
        <v>1616</v>
      </c>
      <c r="F1447" s="1" t="s">
        <v>1341</v>
      </c>
      <c r="G1447" s="4" t="s">
        <v>1575</v>
      </c>
      <c r="H1447" s="28">
        <v>43465</v>
      </c>
      <c r="I1447" s="29">
        <f t="shared" si="1852"/>
        <v>2018</v>
      </c>
      <c r="J1447" s="1" t="s">
        <v>7</v>
      </c>
      <c r="K1447" s="1" t="s">
        <v>166</v>
      </c>
      <c r="L1447" s="11" t="str">
        <f t="shared" si="1958"/>
        <v>НЕТ</v>
      </c>
      <c r="M1447" s="10">
        <v>2</v>
      </c>
      <c r="N1447" s="10" t="s">
        <v>1575</v>
      </c>
      <c r="O1447" s="10">
        <f>M1447*69.4706/1000</f>
        <v>0.13894120000000001</v>
      </c>
      <c r="P1447" s="10" t="str">
        <f t="shared" si="1946"/>
        <v>NA</v>
      </c>
      <c r="Q1447" s="10" t="str">
        <f t="shared" si="1947"/>
        <v>NA</v>
      </c>
      <c r="R1447" s="10" t="s">
        <v>1575</v>
      </c>
      <c r="S1447" s="10" t="s">
        <v>1575</v>
      </c>
      <c r="T1447" s="10" t="s">
        <v>1575</v>
      </c>
      <c r="U1447" s="10" t="s">
        <v>1575</v>
      </c>
      <c r="V1447" s="10" t="s">
        <v>1575</v>
      </c>
      <c r="W1447" s="10" t="s">
        <v>1575</v>
      </c>
      <c r="X1447" s="10" t="str">
        <f t="shared" si="1853"/>
        <v>NA</v>
      </c>
      <c r="Y1447" s="10" t="str">
        <f t="shared" si="1854"/>
        <v>NA</v>
      </c>
      <c r="Z1447" s="10" t="str">
        <f t="shared" si="1855"/>
        <v>NA</v>
      </c>
      <c r="AA1447" s="10" t="str">
        <f t="shared" si="1856"/>
        <v>NA</v>
      </c>
      <c r="AB1447" s="10" t="str">
        <f t="shared" si="1857"/>
        <v>NA</v>
      </c>
      <c r="AC1447" s="10" t="str">
        <f t="shared" si="1858"/>
        <v>NA</v>
      </c>
      <c r="AD1447" s="10" t="str">
        <f t="shared" si="1859"/>
        <v>NA</v>
      </c>
      <c r="AE1447" s="10" t="str">
        <f t="shared" si="1860"/>
        <v>NA</v>
      </c>
      <c r="AF1447" s="1" t="s">
        <v>7046</v>
      </c>
    </row>
    <row r="1448" spans="1:32" x14ac:dyDescent="0.2">
      <c r="A1448" s="1" t="s">
        <v>5951</v>
      </c>
      <c r="B1448" s="1" t="s">
        <v>5</v>
      </c>
      <c r="C1448" s="1" t="s">
        <v>1575</v>
      </c>
      <c r="D1448" s="1" t="s">
        <v>1600</v>
      </c>
      <c r="E1448" s="1" t="s">
        <v>1653</v>
      </c>
      <c r="F1448" s="1" t="s">
        <v>101</v>
      </c>
      <c r="G1448" s="4">
        <v>1</v>
      </c>
      <c r="H1448" s="28">
        <v>43465</v>
      </c>
      <c r="I1448" s="29">
        <f t="shared" si="1852"/>
        <v>2018</v>
      </c>
      <c r="J1448" s="1" t="s">
        <v>7</v>
      </c>
      <c r="K1448" s="1" t="s">
        <v>1687</v>
      </c>
      <c r="L1448" s="11" t="str">
        <f t="shared" si="1958"/>
        <v>НЕТ</v>
      </c>
      <c r="M1448" s="10">
        <f>5+25</f>
        <v>30</v>
      </c>
      <c r="N1448" s="10" t="s">
        <v>1575</v>
      </c>
      <c r="O1448" s="10">
        <f>M1448*69.4706/1000</f>
        <v>2.0841180000000001</v>
      </c>
      <c r="P1448" s="10">
        <f t="shared" si="1946"/>
        <v>2.0841180000000001</v>
      </c>
      <c r="Q1448" s="10">
        <f t="shared" si="1947"/>
        <v>4.0987654000000004</v>
      </c>
      <c r="R1448" s="10" t="s">
        <v>1575</v>
      </c>
      <c r="S1448" s="10" t="s">
        <v>1575</v>
      </c>
      <c r="T1448" s="10" t="s">
        <v>1575</v>
      </c>
      <c r="U1448" s="10" t="s">
        <v>1575</v>
      </c>
      <c r="V1448" s="10">
        <f>0.051*69.4706</f>
        <v>3.5430006000000001</v>
      </c>
      <c r="W1448" s="10">
        <f>(0.025+0.004)*69.4706</f>
        <v>2.0146474000000003</v>
      </c>
      <c r="X1448" s="10">
        <f t="shared" si="1853"/>
        <v>5.5576480000000004</v>
      </c>
      <c r="Y1448" s="10" t="str">
        <f t="shared" si="1854"/>
        <v>NA</v>
      </c>
      <c r="Z1448" s="10" t="str">
        <f t="shared" si="1855"/>
        <v>NA</v>
      </c>
      <c r="AA1448" s="10">
        <f t="shared" si="1856"/>
        <v>0.58823529411764708</v>
      </c>
      <c r="AB1448" s="10" t="str">
        <f t="shared" si="1857"/>
        <v>NA</v>
      </c>
      <c r="AC1448" s="10" t="str">
        <f t="shared" si="1858"/>
        <v>NA</v>
      </c>
      <c r="AD1448" s="10" t="str">
        <f t="shared" si="1859"/>
        <v>NA</v>
      </c>
      <c r="AE1448" s="10">
        <f t="shared" si="1860"/>
        <v>0.73750000000000004</v>
      </c>
      <c r="AF1448" s="1" t="s">
        <v>7045</v>
      </c>
    </row>
    <row r="1449" spans="1:32" x14ac:dyDescent="0.2">
      <c r="A1449" s="1" t="s">
        <v>1344</v>
      </c>
      <c r="B1449" s="1" t="s">
        <v>5</v>
      </c>
      <c r="C1449" s="1" t="s">
        <v>1575</v>
      </c>
      <c r="D1449" s="1" t="s">
        <v>1600</v>
      </c>
      <c r="E1449" s="1" t="s">
        <v>9185</v>
      </c>
      <c r="F1449" s="1" t="s">
        <v>196</v>
      </c>
      <c r="G1449" s="4">
        <v>1</v>
      </c>
      <c r="H1449" s="28">
        <v>43434</v>
      </c>
      <c r="I1449" s="29">
        <f t="shared" si="1852"/>
        <v>2018</v>
      </c>
      <c r="J1449" s="1" t="s">
        <v>7</v>
      </c>
      <c r="K1449" s="1" t="s">
        <v>1687</v>
      </c>
      <c r="L1449" s="11" t="str">
        <f t="shared" si="1958"/>
        <v>НЕТ</v>
      </c>
      <c r="M1449" s="10">
        <v>5.5</v>
      </c>
      <c r="N1449" s="10" t="s">
        <v>1575</v>
      </c>
      <c r="O1449" s="10">
        <f>M1449*66.6342/1000</f>
        <v>0.36648810000000004</v>
      </c>
      <c r="P1449" s="10">
        <f t="shared" si="1946"/>
        <v>0.36648810000000004</v>
      </c>
      <c r="Q1449" s="10" t="str">
        <f t="shared" si="1947"/>
        <v>NA</v>
      </c>
      <c r="R1449" s="10" t="s">
        <v>1575</v>
      </c>
      <c r="S1449" s="10" t="s">
        <v>1575</v>
      </c>
      <c r="T1449" s="10" t="s">
        <v>1575</v>
      </c>
      <c r="U1449" s="10" t="s">
        <v>1575</v>
      </c>
      <c r="V1449" s="10" t="s">
        <v>1575</v>
      </c>
      <c r="W1449" s="10" t="s">
        <v>1575</v>
      </c>
      <c r="X1449" s="10" t="str">
        <f t="shared" si="1853"/>
        <v>NA</v>
      </c>
      <c r="Y1449" s="10" t="str">
        <f t="shared" si="1854"/>
        <v>NA</v>
      </c>
      <c r="Z1449" s="10" t="str">
        <f t="shared" si="1855"/>
        <v>NA</v>
      </c>
      <c r="AA1449" s="10" t="str">
        <f t="shared" si="1856"/>
        <v>NA</v>
      </c>
      <c r="AB1449" s="10" t="str">
        <f t="shared" si="1857"/>
        <v>NA</v>
      </c>
      <c r="AC1449" s="10" t="str">
        <f t="shared" si="1858"/>
        <v>NA</v>
      </c>
      <c r="AD1449" s="10" t="str">
        <f t="shared" si="1859"/>
        <v>NA</v>
      </c>
      <c r="AE1449" s="10" t="str">
        <f t="shared" si="1860"/>
        <v>NA</v>
      </c>
      <c r="AF1449" s="1" t="s">
        <v>1343</v>
      </c>
    </row>
    <row r="1450" spans="1:32" x14ac:dyDescent="0.2">
      <c r="A1450" s="1" t="s">
        <v>1338</v>
      </c>
      <c r="B1450" s="1" t="s">
        <v>21</v>
      </c>
      <c r="C1450" s="1" t="s">
        <v>1575</v>
      </c>
      <c r="D1450" s="1" t="s">
        <v>1600</v>
      </c>
      <c r="E1450" s="1" t="s">
        <v>1653</v>
      </c>
      <c r="F1450" s="1" t="s">
        <v>207</v>
      </c>
      <c r="G1450" s="4">
        <v>0.85</v>
      </c>
      <c r="H1450" s="28">
        <v>43220</v>
      </c>
      <c r="I1450" s="29">
        <f t="shared" si="1852"/>
        <v>2018</v>
      </c>
      <c r="J1450" s="1" t="s">
        <v>1687</v>
      </c>
      <c r="K1450" s="1" t="s">
        <v>1339</v>
      </c>
      <c r="L1450" s="11" t="str">
        <f t="shared" si="1958"/>
        <v>НЕТ</v>
      </c>
      <c r="M1450" s="10" t="s">
        <v>1575</v>
      </c>
      <c r="N1450" s="10" t="s">
        <v>1575</v>
      </c>
      <c r="O1450" s="10" t="s">
        <v>1575</v>
      </c>
      <c r="P1450" s="10" t="str">
        <f t="shared" si="1946"/>
        <v>NA</v>
      </c>
      <c r="Q1450" s="10" t="str">
        <f t="shared" si="1947"/>
        <v>NA</v>
      </c>
      <c r="R1450" s="10" t="s">
        <v>1575</v>
      </c>
      <c r="S1450" s="10" t="s">
        <v>1575</v>
      </c>
      <c r="T1450" s="10" t="s">
        <v>1575</v>
      </c>
      <c r="U1450" s="10" t="s">
        <v>1575</v>
      </c>
      <c r="V1450" s="10" t="s">
        <v>1575</v>
      </c>
      <c r="W1450" s="10" t="s">
        <v>1575</v>
      </c>
      <c r="X1450" s="10" t="str">
        <f t="shared" si="1853"/>
        <v>NA</v>
      </c>
      <c r="Y1450" s="10" t="str">
        <f t="shared" si="1854"/>
        <v>NA</v>
      </c>
      <c r="Z1450" s="10" t="str">
        <f t="shared" si="1855"/>
        <v>NA</v>
      </c>
      <c r="AA1450" s="10" t="str">
        <f t="shared" si="1856"/>
        <v>NA</v>
      </c>
      <c r="AB1450" s="10" t="str">
        <f t="shared" si="1857"/>
        <v>NA</v>
      </c>
      <c r="AC1450" s="10" t="str">
        <f t="shared" si="1858"/>
        <v>NA</v>
      </c>
      <c r="AD1450" s="10" t="str">
        <f t="shared" si="1859"/>
        <v>NA</v>
      </c>
      <c r="AE1450" s="10" t="str">
        <f t="shared" si="1860"/>
        <v>NA</v>
      </c>
      <c r="AF1450" s="1" t="s">
        <v>1340</v>
      </c>
    </row>
    <row r="1451" spans="1:32" x14ac:dyDescent="0.2">
      <c r="A1451" s="1" t="s">
        <v>1337</v>
      </c>
      <c r="B1451" s="1" t="s">
        <v>5</v>
      </c>
      <c r="C1451" s="1" t="s">
        <v>1575</v>
      </c>
      <c r="D1451" s="1" t="s">
        <v>1600</v>
      </c>
      <c r="E1451" s="1" t="s">
        <v>1653</v>
      </c>
      <c r="F1451" s="1" t="s">
        <v>101</v>
      </c>
      <c r="G1451" s="4">
        <f>7%+75.3%</f>
        <v>0.82299999999999995</v>
      </c>
      <c r="H1451" s="28">
        <v>43430</v>
      </c>
      <c r="I1451" s="29">
        <f t="shared" si="1852"/>
        <v>2018</v>
      </c>
      <c r="J1451" s="1" t="s">
        <v>1687</v>
      </c>
      <c r="K1451" s="1" t="s">
        <v>7</v>
      </c>
      <c r="L1451" s="11" t="str">
        <f t="shared" si="1958"/>
        <v>НЕТ</v>
      </c>
      <c r="M1451" s="10">
        <f>136+11</f>
        <v>147</v>
      </c>
      <c r="N1451" s="10" t="s">
        <v>1575</v>
      </c>
      <c r="O1451" s="10">
        <f>M1451*65.6664/1000</f>
        <v>9.6529607999999989</v>
      </c>
      <c r="P1451" s="10">
        <f t="shared" si="1946"/>
        <v>11.728992466585662</v>
      </c>
      <c r="Q1451" s="10" t="str">
        <f t="shared" si="1947"/>
        <v>NA</v>
      </c>
      <c r="R1451" s="10" t="s">
        <v>1575</v>
      </c>
      <c r="S1451" s="10" t="s">
        <v>1575</v>
      </c>
      <c r="T1451" s="10" t="s">
        <v>1575</v>
      </c>
      <c r="U1451" s="10" t="s">
        <v>1575</v>
      </c>
      <c r="V1451" s="10" t="s">
        <v>1575</v>
      </c>
      <c r="W1451" s="10" t="s">
        <v>1575</v>
      </c>
      <c r="X1451" s="10" t="str">
        <f t="shared" si="1853"/>
        <v>NA</v>
      </c>
      <c r="Y1451" s="10" t="str">
        <f t="shared" si="1854"/>
        <v>NA</v>
      </c>
      <c r="Z1451" s="10" t="str">
        <f t="shared" si="1855"/>
        <v>NA</v>
      </c>
      <c r="AA1451" s="10" t="str">
        <f t="shared" si="1856"/>
        <v>NA</v>
      </c>
      <c r="AB1451" s="10" t="str">
        <f t="shared" si="1857"/>
        <v>NA</v>
      </c>
      <c r="AC1451" s="10" t="str">
        <f t="shared" si="1858"/>
        <v>NA</v>
      </c>
      <c r="AD1451" s="10" t="str">
        <f t="shared" si="1859"/>
        <v>NA</v>
      </c>
      <c r="AE1451" s="10" t="str">
        <f t="shared" si="1860"/>
        <v>NA</v>
      </c>
      <c r="AF1451" s="1" t="s">
        <v>7044</v>
      </c>
    </row>
    <row r="1452" spans="1:32" x14ac:dyDescent="0.2">
      <c r="A1452" s="1" t="s">
        <v>5952</v>
      </c>
      <c r="B1452" s="1" t="s">
        <v>5</v>
      </c>
      <c r="C1452" s="1" t="s">
        <v>1575</v>
      </c>
      <c r="D1452" s="1" t="s">
        <v>1600</v>
      </c>
      <c r="E1452" s="1" t="s">
        <v>9188</v>
      </c>
      <c r="F1452" s="1" t="s">
        <v>211</v>
      </c>
      <c r="G1452" s="4">
        <v>0.95</v>
      </c>
      <c r="H1452" s="28">
        <v>43213</v>
      </c>
      <c r="I1452" s="29">
        <f t="shared" si="1852"/>
        <v>2018</v>
      </c>
      <c r="J1452" s="1" t="s">
        <v>1687</v>
      </c>
      <c r="K1452" s="1" t="s">
        <v>7</v>
      </c>
      <c r="L1452" s="11" t="str">
        <f t="shared" si="1958"/>
        <v>НЕТ</v>
      </c>
      <c r="M1452" s="10">
        <f>(6307000+14152668)*9.63/1000000</f>
        <v>197.02660284000001</v>
      </c>
      <c r="N1452" s="10" t="s">
        <v>1575</v>
      </c>
      <c r="O1452" s="10">
        <f>M1452*61.3222/1000</f>
        <v>12.08210474467505</v>
      </c>
      <c r="P1452" s="10">
        <f t="shared" si="1946"/>
        <v>12.718004994394789</v>
      </c>
      <c r="Q1452" s="10" t="str">
        <f t="shared" si="1947"/>
        <v>NA</v>
      </c>
      <c r="R1452" s="10" t="s">
        <v>1575</v>
      </c>
      <c r="S1452" s="10" t="s">
        <v>1575</v>
      </c>
      <c r="T1452" s="10" t="s">
        <v>1575</v>
      </c>
      <c r="U1452" s="10" t="s">
        <v>1575</v>
      </c>
      <c r="V1452" s="10" t="s">
        <v>1575</v>
      </c>
      <c r="W1452" s="10" t="s">
        <v>1575</v>
      </c>
      <c r="X1452" s="10" t="str">
        <f t="shared" si="1853"/>
        <v>NA</v>
      </c>
      <c r="Y1452" s="10" t="str">
        <f t="shared" si="1854"/>
        <v>NA</v>
      </c>
      <c r="Z1452" s="10" t="str">
        <f t="shared" si="1855"/>
        <v>NA</v>
      </c>
      <c r="AA1452" s="10" t="str">
        <f t="shared" si="1856"/>
        <v>NA</v>
      </c>
      <c r="AB1452" s="10" t="str">
        <f t="shared" si="1857"/>
        <v>NA</v>
      </c>
      <c r="AC1452" s="10" t="str">
        <f t="shared" si="1858"/>
        <v>NA</v>
      </c>
      <c r="AD1452" s="10" t="str">
        <f t="shared" si="1859"/>
        <v>NA</v>
      </c>
      <c r="AE1452" s="10" t="str">
        <f t="shared" si="1860"/>
        <v>NA</v>
      </c>
      <c r="AF1452" s="1" t="s">
        <v>1336</v>
      </c>
    </row>
    <row r="1453" spans="1:32" x14ac:dyDescent="0.2">
      <c r="A1453" s="1" t="s">
        <v>5953</v>
      </c>
      <c r="B1453" s="1" t="s">
        <v>5</v>
      </c>
      <c r="C1453" s="1" t="s">
        <v>1575</v>
      </c>
      <c r="D1453" s="1" t="s">
        <v>1600</v>
      </c>
      <c r="E1453" s="1" t="s">
        <v>1653</v>
      </c>
      <c r="F1453" s="1" t="s">
        <v>101</v>
      </c>
      <c r="G1453" s="4">
        <v>0.317</v>
      </c>
      <c r="H1453" s="28">
        <v>43404</v>
      </c>
      <c r="I1453" s="29">
        <f t="shared" si="1852"/>
        <v>2018</v>
      </c>
      <c r="J1453" s="1" t="s">
        <v>1687</v>
      </c>
      <c r="K1453" s="1" t="s">
        <v>7</v>
      </c>
      <c r="L1453" s="11" t="str">
        <f t="shared" si="1958"/>
        <v>НЕТ</v>
      </c>
      <c r="M1453" s="10">
        <v>21.5</v>
      </c>
      <c r="N1453" s="10" t="s">
        <v>1575</v>
      </c>
      <c r="O1453" s="10">
        <f>M1453*65.7742/1000</f>
        <v>1.4141452999999999</v>
      </c>
      <c r="P1453" s="10">
        <f t="shared" si="1946"/>
        <v>4.4610261829652993</v>
      </c>
      <c r="Q1453" s="10" t="str">
        <f t="shared" si="1947"/>
        <v>NA</v>
      </c>
      <c r="R1453" s="10" t="s">
        <v>1575</v>
      </c>
      <c r="S1453" s="10" t="s">
        <v>1575</v>
      </c>
      <c r="T1453" s="10" t="s">
        <v>1575</v>
      </c>
      <c r="U1453" s="10" t="s">
        <v>1575</v>
      </c>
      <c r="V1453" s="10" t="s">
        <v>1575</v>
      </c>
      <c r="W1453" s="10" t="s">
        <v>1575</v>
      </c>
      <c r="X1453" s="10" t="str">
        <f t="shared" si="1853"/>
        <v>NA</v>
      </c>
      <c r="Y1453" s="10" t="str">
        <f t="shared" si="1854"/>
        <v>NA</v>
      </c>
      <c r="Z1453" s="10" t="str">
        <f t="shared" si="1855"/>
        <v>NA</v>
      </c>
      <c r="AA1453" s="10" t="str">
        <f t="shared" si="1856"/>
        <v>NA</v>
      </c>
      <c r="AB1453" s="10" t="str">
        <f t="shared" si="1857"/>
        <v>NA</v>
      </c>
      <c r="AC1453" s="10" t="str">
        <f t="shared" si="1858"/>
        <v>NA</v>
      </c>
      <c r="AD1453" s="10" t="str">
        <f t="shared" si="1859"/>
        <v>NA</v>
      </c>
      <c r="AE1453" s="10" t="str">
        <f t="shared" si="1860"/>
        <v>NA</v>
      </c>
      <c r="AF1453" s="1" t="s">
        <v>7047</v>
      </c>
    </row>
    <row r="1454" spans="1:32" x14ac:dyDescent="0.2">
      <c r="A1454" s="1" t="s">
        <v>5955</v>
      </c>
      <c r="B1454" s="1" t="s">
        <v>5</v>
      </c>
      <c r="C1454" s="1" t="s">
        <v>1575</v>
      </c>
      <c r="D1454" s="1" t="s">
        <v>1600</v>
      </c>
      <c r="E1454" s="1" t="s">
        <v>1653</v>
      </c>
      <c r="F1454" s="1" t="s">
        <v>101</v>
      </c>
      <c r="G1454" s="4">
        <v>0.2</v>
      </c>
      <c r="H1454" s="28">
        <v>43373</v>
      </c>
      <c r="I1454" s="29">
        <f t="shared" ref="I1454" si="1997">YEAR(H1454)</f>
        <v>2018</v>
      </c>
      <c r="J1454" s="1" t="s">
        <v>1687</v>
      </c>
      <c r="K1454" s="1" t="s">
        <v>7</v>
      </c>
      <c r="L1454" s="11" t="str">
        <f t="shared" ref="L1454" si="1998">IF(OR(A1454=J1454,A1454=K1454),"ДА","НЕТ")</f>
        <v>НЕТ</v>
      </c>
      <c r="M1454" s="10">
        <v>6</v>
      </c>
      <c r="N1454" s="10" t="s">
        <v>1575</v>
      </c>
      <c r="O1454" s="10">
        <f>M1454*65.5906/1000</f>
        <v>0.39354359999999999</v>
      </c>
      <c r="P1454" s="10">
        <f t="shared" si="1946"/>
        <v>1.9677179999999999</v>
      </c>
      <c r="Q1454" s="10" t="str">
        <f t="shared" si="1947"/>
        <v>NA</v>
      </c>
      <c r="R1454" s="10" t="s">
        <v>1575</v>
      </c>
      <c r="S1454" s="10" t="s">
        <v>1575</v>
      </c>
      <c r="T1454" s="10" t="s">
        <v>1575</v>
      </c>
      <c r="U1454" s="10" t="s">
        <v>1575</v>
      </c>
      <c r="V1454" s="10" t="s">
        <v>1575</v>
      </c>
      <c r="W1454" s="10" t="s">
        <v>1575</v>
      </c>
      <c r="X1454" s="10" t="str">
        <f t="shared" ref="X1454" si="1999">IFERROR(V1454+W1454,"NA")</f>
        <v>NA</v>
      </c>
      <c r="Y1454" s="10" t="str">
        <f t="shared" ref="Y1454" si="2000">IFERROR(P1454/R1454,"NA")</f>
        <v>NA</v>
      </c>
      <c r="Z1454" s="10" t="str">
        <f t="shared" ref="Z1454" si="2001">IFERROR(P1454/U1454,"NA")</f>
        <v>NA</v>
      </c>
      <c r="AA1454" s="10" t="str">
        <f t="shared" ref="AA1454" si="2002">IFERROR(P1454/V1454,"NA")</f>
        <v>NA</v>
      </c>
      <c r="AB1454" s="10" t="str">
        <f t="shared" ref="AB1454" si="2003">IFERROR(Q1454/R1454,"NA")</f>
        <v>NA</v>
      </c>
      <c r="AC1454" s="10" t="str">
        <f t="shared" ref="AC1454" si="2004">IFERROR(Q1454/S1454,"NA")</f>
        <v>NA</v>
      </c>
      <c r="AD1454" s="10" t="str">
        <f t="shared" ref="AD1454" si="2005">IFERROR(Q1454/T1454,"NA")</f>
        <v>NA</v>
      </c>
      <c r="AE1454" s="10" t="str">
        <f t="shared" ref="AE1454" si="2006">IFERROR(Q1454/X1454,"NA")</f>
        <v>NA</v>
      </c>
      <c r="AF1454" s="1" t="s">
        <v>7048</v>
      </c>
    </row>
    <row r="1455" spans="1:32" x14ac:dyDescent="0.2">
      <c r="A1455" s="1" t="s">
        <v>5954</v>
      </c>
      <c r="B1455" s="1" t="s">
        <v>5</v>
      </c>
      <c r="C1455" s="1" t="s">
        <v>1575</v>
      </c>
      <c r="D1455" s="1" t="s">
        <v>1600</v>
      </c>
      <c r="E1455" s="1" t="s">
        <v>1653</v>
      </c>
      <c r="F1455" s="1" t="s">
        <v>101</v>
      </c>
      <c r="G1455" s="4">
        <v>1</v>
      </c>
      <c r="H1455" s="28">
        <v>42886</v>
      </c>
      <c r="I1455" s="29">
        <f t="shared" si="1852"/>
        <v>2017</v>
      </c>
      <c r="J1455" s="1" t="s">
        <v>1687</v>
      </c>
      <c r="K1455" s="1" t="s">
        <v>7</v>
      </c>
      <c r="L1455" s="11" t="str">
        <f t="shared" ref="L1455:L1456" si="2007">IF(OR(A1455=J1455,A1455=K1455),"ДА","НЕТ")</f>
        <v>НЕТ</v>
      </c>
      <c r="M1455" s="10">
        <v>2</v>
      </c>
      <c r="N1455" s="10" t="s">
        <v>1575</v>
      </c>
      <c r="O1455" s="10">
        <f>M1455*56.5168/1000</f>
        <v>0.11303360000000001</v>
      </c>
      <c r="P1455" s="10">
        <f t="shared" si="1946"/>
        <v>0.11303360000000001</v>
      </c>
      <c r="Q1455" s="10" t="str">
        <f t="shared" si="1947"/>
        <v>NA</v>
      </c>
      <c r="R1455" s="10" t="s">
        <v>1575</v>
      </c>
      <c r="S1455" s="10" t="s">
        <v>1575</v>
      </c>
      <c r="T1455" s="10" t="s">
        <v>1575</v>
      </c>
      <c r="U1455" s="10" t="s">
        <v>1575</v>
      </c>
      <c r="V1455" s="10" t="s">
        <v>1575</v>
      </c>
      <c r="W1455" s="10" t="s">
        <v>1575</v>
      </c>
      <c r="X1455" s="10" t="str">
        <f t="shared" si="1853"/>
        <v>NA</v>
      </c>
      <c r="Y1455" s="10" t="str">
        <f t="shared" si="1854"/>
        <v>NA</v>
      </c>
      <c r="Z1455" s="10" t="str">
        <f t="shared" si="1855"/>
        <v>NA</v>
      </c>
      <c r="AA1455" s="10" t="str">
        <f t="shared" si="1856"/>
        <v>NA</v>
      </c>
      <c r="AB1455" s="10" t="str">
        <f t="shared" si="1857"/>
        <v>NA</v>
      </c>
      <c r="AC1455" s="10" t="str">
        <f t="shared" si="1858"/>
        <v>NA</v>
      </c>
      <c r="AD1455" s="10" t="str">
        <f t="shared" si="1859"/>
        <v>NA</v>
      </c>
      <c r="AE1455" s="10" t="str">
        <f t="shared" si="1860"/>
        <v>NA</v>
      </c>
      <c r="AF1455" s="1" t="s">
        <v>1346</v>
      </c>
    </row>
    <row r="1456" spans="1:32" x14ac:dyDescent="0.2">
      <c r="A1456" s="1" t="s">
        <v>5959</v>
      </c>
      <c r="B1456" s="1" t="s">
        <v>5</v>
      </c>
      <c r="C1456" s="1" t="s">
        <v>1575</v>
      </c>
      <c r="D1456" s="1" t="s">
        <v>1600</v>
      </c>
      <c r="E1456" s="1" t="s">
        <v>1670</v>
      </c>
      <c r="F1456" s="1" t="s">
        <v>1142</v>
      </c>
      <c r="G1456" s="4">
        <f>30%-24.9%</f>
        <v>5.099999999999999E-2</v>
      </c>
      <c r="H1456" s="28">
        <v>43100</v>
      </c>
      <c r="I1456" s="29">
        <f t="shared" ref="I1456" si="2008">YEAR(H1456)</f>
        <v>2017</v>
      </c>
      <c r="J1456" s="1" t="s">
        <v>1687</v>
      </c>
      <c r="K1456" s="1" t="s">
        <v>7</v>
      </c>
      <c r="L1456" s="11" t="str">
        <f t="shared" si="2007"/>
        <v>НЕТ</v>
      </c>
      <c r="M1456" s="10">
        <v>1</v>
      </c>
      <c r="N1456" s="10" t="s">
        <v>1575</v>
      </c>
      <c r="O1456" s="10">
        <f>M1456*57.6002/1000</f>
        <v>5.7600200000000004E-2</v>
      </c>
      <c r="P1456" s="10">
        <f t="shared" si="1946"/>
        <v>1.1294156862745102</v>
      </c>
      <c r="Q1456" s="10" t="str">
        <f t="shared" si="1947"/>
        <v>NA</v>
      </c>
      <c r="R1456" s="10" t="s">
        <v>1575</v>
      </c>
      <c r="S1456" s="10" t="s">
        <v>1575</v>
      </c>
      <c r="T1456" s="10" t="s">
        <v>1575</v>
      </c>
      <c r="U1456" s="10" t="s">
        <v>1575</v>
      </c>
      <c r="V1456" s="10" t="s">
        <v>1575</v>
      </c>
      <c r="W1456" s="10" t="s">
        <v>1575</v>
      </c>
      <c r="X1456" s="10" t="str">
        <f t="shared" si="1853"/>
        <v>NA</v>
      </c>
      <c r="Y1456" s="10" t="str">
        <f t="shared" si="1854"/>
        <v>NA</v>
      </c>
      <c r="Z1456" s="10" t="str">
        <f t="shared" si="1855"/>
        <v>NA</v>
      </c>
      <c r="AA1456" s="10" t="str">
        <f t="shared" si="1856"/>
        <v>NA</v>
      </c>
      <c r="AB1456" s="10" t="str">
        <f t="shared" si="1857"/>
        <v>NA</v>
      </c>
      <c r="AC1456" s="10" t="str">
        <f t="shared" si="1858"/>
        <v>NA</v>
      </c>
      <c r="AD1456" s="10" t="str">
        <f t="shared" si="1859"/>
        <v>NA</v>
      </c>
      <c r="AE1456" s="10" t="str">
        <f t="shared" si="1860"/>
        <v>NA</v>
      </c>
      <c r="AF1456" s="1" t="s">
        <v>1345</v>
      </c>
    </row>
    <row r="1457" spans="1:32" x14ac:dyDescent="0.2">
      <c r="A1457" s="1" t="s">
        <v>5955</v>
      </c>
      <c r="B1457" s="1" t="s">
        <v>5</v>
      </c>
      <c r="C1457" s="1" t="s">
        <v>1575</v>
      </c>
      <c r="D1457" s="1" t="s">
        <v>1600</v>
      </c>
      <c r="E1457" s="1" t="s">
        <v>1653</v>
      </c>
      <c r="F1457" s="1" t="s">
        <v>101</v>
      </c>
      <c r="G1457" s="4">
        <v>0.8</v>
      </c>
      <c r="H1457" s="28">
        <v>42706</v>
      </c>
      <c r="I1457" s="29">
        <f t="shared" si="1852"/>
        <v>2016</v>
      </c>
      <c r="J1457" s="1" t="s">
        <v>1687</v>
      </c>
      <c r="K1457" s="1" t="s">
        <v>7</v>
      </c>
      <c r="L1457" s="11" t="str">
        <f t="shared" si="1958"/>
        <v>НЕТ</v>
      </c>
      <c r="M1457" s="10">
        <v>10.7</v>
      </c>
      <c r="N1457" s="10" t="s">
        <v>1575</v>
      </c>
      <c r="O1457" s="10">
        <f>M1457*63.6807/1000</f>
        <v>0.68138348999999998</v>
      </c>
      <c r="P1457" s="10">
        <f t="shared" si="1946"/>
        <v>0.85172936249999998</v>
      </c>
      <c r="Q1457" s="10" t="str">
        <f t="shared" si="1947"/>
        <v>NA</v>
      </c>
      <c r="R1457" s="10" t="s">
        <v>1575</v>
      </c>
      <c r="S1457" s="10" t="s">
        <v>1575</v>
      </c>
      <c r="T1457" s="10" t="s">
        <v>1575</v>
      </c>
      <c r="U1457" s="10" t="s">
        <v>1575</v>
      </c>
      <c r="V1457" s="10" t="s">
        <v>1575</v>
      </c>
      <c r="W1457" s="10" t="s">
        <v>1575</v>
      </c>
      <c r="X1457" s="10" t="str">
        <f t="shared" si="1853"/>
        <v>NA</v>
      </c>
      <c r="Y1457" s="10" t="str">
        <f t="shared" si="1854"/>
        <v>NA</v>
      </c>
      <c r="Z1457" s="10" t="str">
        <f t="shared" si="1855"/>
        <v>NA</v>
      </c>
      <c r="AA1457" s="10" t="str">
        <f t="shared" si="1856"/>
        <v>NA</v>
      </c>
      <c r="AB1457" s="10" t="str">
        <f t="shared" si="1857"/>
        <v>NA</v>
      </c>
      <c r="AC1457" s="10" t="str">
        <f t="shared" si="1858"/>
        <v>NA</v>
      </c>
      <c r="AD1457" s="10" t="str">
        <f t="shared" si="1859"/>
        <v>NA</v>
      </c>
      <c r="AE1457" s="10" t="str">
        <f t="shared" si="1860"/>
        <v>NA</v>
      </c>
      <c r="AF1457" s="1" t="s">
        <v>7049</v>
      </c>
    </row>
    <row r="1458" spans="1:32" x14ac:dyDescent="0.2">
      <c r="A1458" s="1" t="s">
        <v>5956</v>
      </c>
      <c r="B1458" s="1" t="s">
        <v>8</v>
      </c>
      <c r="C1458" s="1" t="s">
        <v>1575</v>
      </c>
      <c r="D1458" s="1" t="s">
        <v>1600</v>
      </c>
      <c r="E1458" s="1" t="s">
        <v>1653</v>
      </c>
      <c r="F1458" s="1" t="s">
        <v>101</v>
      </c>
      <c r="G1458" s="4">
        <v>1</v>
      </c>
      <c r="H1458" s="28">
        <v>42488</v>
      </c>
      <c r="I1458" s="29">
        <f t="shared" si="1852"/>
        <v>2016</v>
      </c>
      <c r="J1458" s="1" t="s">
        <v>1687</v>
      </c>
      <c r="K1458" s="1" t="s">
        <v>7</v>
      </c>
      <c r="L1458" s="11" t="str">
        <f t="shared" si="1958"/>
        <v>НЕТ</v>
      </c>
      <c r="M1458" s="10">
        <v>38</v>
      </c>
      <c r="N1458" s="10" t="s">
        <v>1575</v>
      </c>
      <c r="O1458" s="10">
        <f>M1458*66.0452/1000</f>
        <v>2.5097176000000001</v>
      </c>
      <c r="P1458" s="10">
        <f t="shared" si="1946"/>
        <v>2.5097176000000001</v>
      </c>
      <c r="Q1458" s="10">
        <f t="shared" si="1947"/>
        <v>2.5097176000000001</v>
      </c>
      <c r="R1458" s="10" t="s">
        <v>1575</v>
      </c>
      <c r="S1458" s="10" t="s">
        <v>1575</v>
      </c>
      <c r="T1458" s="10" t="s">
        <v>1575</v>
      </c>
      <c r="U1458" s="10" t="s">
        <v>1575</v>
      </c>
      <c r="V1458" s="10">
        <f>0.038</f>
        <v>3.7999999999999999E-2</v>
      </c>
      <c r="W1458" s="10">
        <f>(-0.001+0.001)</f>
        <v>0</v>
      </c>
      <c r="X1458" s="10">
        <f t="shared" si="1853"/>
        <v>3.7999999999999999E-2</v>
      </c>
      <c r="Y1458" s="10" t="str">
        <f t="shared" si="1854"/>
        <v>NA</v>
      </c>
      <c r="Z1458" s="10" t="str">
        <f t="shared" si="1855"/>
        <v>NA</v>
      </c>
      <c r="AA1458" s="10">
        <f t="shared" si="1856"/>
        <v>66.045200000000008</v>
      </c>
      <c r="AB1458" s="10" t="str">
        <f t="shared" si="1857"/>
        <v>NA</v>
      </c>
      <c r="AC1458" s="10" t="str">
        <f t="shared" si="1858"/>
        <v>NA</v>
      </c>
      <c r="AD1458" s="10" t="str">
        <f t="shared" si="1859"/>
        <v>NA</v>
      </c>
      <c r="AE1458" s="10">
        <f t="shared" si="1860"/>
        <v>66.045200000000008</v>
      </c>
      <c r="AF1458" s="1" t="s">
        <v>7056</v>
      </c>
    </row>
    <row r="1459" spans="1:32" x14ac:dyDescent="0.2">
      <c r="A1459" s="1" t="s">
        <v>5957</v>
      </c>
      <c r="B1459" s="1" t="s">
        <v>21</v>
      </c>
      <c r="C1459" s="1" t="s">
        <v>1575</v>
      </c>
      <c r="D1459" s="1" t="s">
        <v>1600</v>
      </c>
      <c r="E1459" s="1" t="s">
        <v>1653</v>
      </c>
      <c r="F1459" s="1" t="s">
        <v>101</v>
      </c>
      <c r="G1459" s="4">
        <v>1</v>
      </c>
      <c r="H1459" s="28">
        <v>42583</v>
      </c>
      <c r="I1459" s="29">
        <f t="shared" si="1852"/>
        <v>2016</v>
      </c>
      <c r="J1459" s="1" t="s">
        <v>1687</v>
      </c>
      <c r="K1459" s="1" t="s">
        <v>5958</v>
      </c>
      <c r="L1459" s="11" t="str">
        <f t="shared" si="1958"/>
        <v>НЕТ</v>
      </c>
      <c r="M1459" s="10">
        <f>100+20</f>
        <v>120</v>
      </c>
      <c r="N1459" s="10" t="s">
        <v>1575</v>
      </c>
      <c r="O1459" s="10">
        <f>M1459*67.0512/1000</f>
        <v>8.046144</v>
      </c>
      <c r="P1459" s="10">
        <f t="shared" si="1946"/>
        <v>8.046144</v>
      </c>
      <c r="Q1459" s="10" t="str">
        <f t="shared" si="1947"/>
        <v>NA</v>
      </c>
      <c r="R1459" s="10" t="s">
        <v>1575</v>
      </c>
      <c r="S1459" s="10" t="s">
        <v>1575</v>
      </c>
      <c r="T1459" s="10" t="s">
        <v>1575</v>
      </c>
      <c r="U1459" s="10" t="s">
        <v>1575</v>
      </c>
      <c r="V1459" s="10" t="s">
        <v>1575</v>
      </c>
      <c r="W1459" s="10" t="s">
        <v>1575</v>
      </c>
      <c r="X1459" s="10" t="str">
        <f t="shared" ref="X1459:X1545" si="2009">IFERROR(V1459+W1459,"NA")</f>
        <v>NA</v>
      </c>
      <c r="Y1459" s="10" t="str">
        <f t="shared" ref="Y1459:Y1545" si="2010">IFERROR(P1459/R1459,"NA")</f>
        <v>NA</v>
      </c>
      <c r="Z1459" s="10" t="str">
        <f t="shared" ref="Z1459:Z1545" si="2011">IFERROR(P1459/U1459,"NA")</f>
        <v>NA</v>
      </c>
      <c r="AA1459" s="10" t="str">
        <f t="shared" ref="AA1459:AA1545" si="2012">IFERROR(P1459/V1459,"NA")</f>
        <v>NA</v>
      </c>
      <c r="AB1459" s="10" t="str">
        <f t="shared" ref="AB1459:AB1545" si="2013">IFERROR(Q1459/R1459,"NA")</f>
        <v>NA</v>
      </c>
      <c r="AC1459" s="10" t="str">
        <f t="shared" ref="AC1459:AC1545" si="2014">IFERROR(Q1459/S1459,"NA")</f>
        <v>NA</v>
      </c>
      <c r="AD1459" s="10" t="str">
        <f t="shared" ref="AD1459:AD1545" si="2015">IFERROR(Q1459/T1459,"NA")</f>
        <v>NA</v>
      </c>
      <c r="AE1459" s="10" t="str">
        <f t="shared" ref="AE1459:AE1545" si="2016">IFERROR(Q1459/X1459,"NA")</f>
        <v>NA</v>
      </c>
      <c r="AF1459" s="1" t="s">
        <v>7055</v>
      </c>
    </row>
    <row r="1460" spans="1:32" x14ac:dyDescent="0.2">
      <c r="A1460" s="1" t="s">
        <v>5959</v>
      </c>
      <c r="B1460" s="1" t="s">
        <v>5</v>
      </c>
      <c r="C1460" s="1" t="s">
        <v>1575</v>
      </c>
      <c r="D1460" s="1" t="s">
        <v>1600</v>
      </c>
      <c r="E1460" s="1" t="s">
        <v>1670</v>
      </c>
      <c r="F1460" s="1" t="s">
        <v>1142</v>
      </c>
      <c r="G1460" s="4">
        <v>0.249</v>
      </c>
      <c r="H1460" s="28">
        <v>42338</v>
      </c>
      <c r="I1460" s="29">
        <f t="shared" si="1852"/>
        <v>2015</v>
      </c>
      <c r="J1460" s="1" t="s">
        <v>1687</v>
      </c>
      <c r="K1460" s="1" t="s">
        <v>7</v>
      </c>
      <c r="L1460" s="11" t="str">
        <f t="shared" si="1958"/>
        <v>НЕТ</v>
      </c>
      <c r="M1460" s="10">
        <v>2</v>
      </c>
      <c r="N1460" s="10" t="s">
        <v>1575</v>
      </c>
      <c r="O1460" s="10">
        <f>M1460*66.2393/1000</f>
        <v>0.1324786</v>
      </c>
      <c r="P1460" s="10">
        <f t="shared" si="1946"/>
        <v>0.53204257028112456</v>
      </c>
      <c r="Q1460" s="10" t="str">
        <f t="shared" si="1947"/>
        <v>NA</v>
      </c>
      <c r="R1460" s="10" t="s">
        <v>1575</v>
      </c>
      <c r="S1460" s="10" t="s">
        <v>1575</v>
      </c>
      <c r="T1460" s="10" t="s">
        <v>1575</v>
      </c>
      <c r="U1460" s="10" t="s">
        <v>1575</v>
      </c>
      <c r="V1460" s="10" t="s">
        <v>1575</v>
      </c>
      <c r="W1460" s="10" t="s">
        <v>1575</v>
      </c>
      <c r="X1460" s="10" t="str">
        <f t="shared" si="2009"/>
        <v>NA</v>
      </c>
      <c r="Y1460" s="10" t="str">
        <f t="shared" si="2010"/>
        <v>NA</v>
      </c>
      <c r="Z1460" s="10" t="str">
        <f t="shared" si="2011"/>
        <v>NA</v>
      </c>
      <c r="AA1460" s="10" t="str">
        <f t="shared" si="2012"/>
        <v>NA</v>
      </c>
      <c r="AB1460" s="10" t="str">
        <f t="shared" si="2013"/>
        <v>NA</v>
      </c>
      <c r="AC1460" s="10" t="str">
        <f t="shared" si="2014"/>
        <v>NA</v>
      </c>
      <c r="AD1460" s="10" t="str">
        <f t="shared" si="2015"/>
        <v>NA</v>
      </c>
      <c r="AE1460" s="10" t="str">
        <f t="shared" si="2016"/>
        <v>NA</v>
      </c>
      <c r="AF1460" s="1" t="s">
        <v>1345</v>
      </c>
    </row>
    <row r="1461" spans="1:32" x14ac:dyDescent="0.2">
      <c r="A1461" s="1" t="s">
        <v>5960</v>
      </c>
      <c r="B1461" s="1" t="s">
        <v>21</v>
      </c>
      <c r="C1461" s="1" t="s">
        <v>1575</v>
      </c>
      <c r="D1461" s="1" t="s">
        <v>1600</v>
      </c>
      <c r="E1461" s="1" t="s">
        <v>1653</v>
      </c>
      <c r="F1461" s="1" t="s">
        <v>101</v>
      </c>
      <c r="G1461" s="4">
        <v>0.25</v>
      </c>
      <c r="H1461" s="28">
        <v>42185</v>
      </c>
      <c r="I1461" s="29">
        <f t="shared" si="1852"/>
        <v>2015</v>
      </c>
      <c r="J1461" s="1" t="s">
        <v>1687</v>
      </c>
      <c r="K1461" s="1" t="s">
        <v>7</v>
      </c>
      <c r="L1461" s="11" t="str">
        <f t="shared" si="1958"/>
        <v>НЕТ</v>
      </c>
      <c r="M1461" s="10">
        <f>2.4+2.7</f>
        <v>5.0999999999999996</v>
      </c>
      <c r="N1461" s="10" t="s">
        <v>1575</v>
      </c>
      <c r="O1461" s="10">
        <f>M1461*55.524/1000</f>
        <v>0.28317239999999999</v>
      </c>
      <c r="P1461" s="10">
        <f t="shared" si="1946"/>
        <v>1.1326896</v>
      </c>
      <c r="Q1461" s="10" t="str">
        <f t="shared" si="1947"/>
        <v>NA</v>
      </c>
      <c r="R1461" s="10" t="s">
        <v>1575</v>
      </c>
      <c r="S1461" s="10" t="s">
        <v>1575</v>
      </c>
      <c r="T1461" s="10" t="s">
        <v>1575</v>
      </c>
      <c r="U1461" s="10" t="s">
        <v>1575</v>
      </c>
      <c r="V1461" s="10" t="s">
        <v>1575</v>
      </c>
      <c r="W1461" s="10" t="s">
        <v>1575</v>
      </c>
      <c r="X1461" s="10" t="str">
        <f t="shared" si="2009"/>
        <v>NA</v>
      </c>
      <c r="Y1461" s="10" t="str">
        <f t="shared" si="2010"/>
        <v>NA</v>
      </c>
      <c r="Z1461" s="10" t="str">
        <f t="shared" si="2011"/>
        <v>NA</v>
      </c>
      <c r="AA1461" s="10" t="str">
        <f t="shared" si="2012"/>
        <v>NA</v>
      </c>
      <c r="AB1461" s="10" t="str">
        <f t="shared" si="2013"/>
        <v>NA</v>
      </c>
      <c r="AC1461" s="10" t="str">
        <f t="shared" si="2014"/>
        <v>NA</v>
      </c>
      <c r="AD1461" s="10" t="str">
        <f t="shared" si="2015"/>
        <v>NA</v>
      </c>
      <c r="AE1461" s="10" t="str">
        <f t="shared" si="2016"/>
        <v>NA</v>
      </c>
      <c r="AF1461" s="1" t="s">
        <v>7057</v>
      </c>
    </row>
    <row r="1462" spans="1:32" x14ac:dyDescent="0.2">
      <c r="A1462" s="1" t="s">
        <v>191</v>
      </c>
      <c r="B1462" s="1" t="s">
        <v>21</v>
      </c>
      <c r="C1462" s="1" t="s">
        <v>1575</v>
      </c>
      <c r="D1462" s="1" t="s">
        <v>1600</v>
      </c>
      <c r="E1462" s="1" t="s">
        <v>1653</v>
      </c>
      <c r="F1462" s="1" t="s">
        <v>101</v>
      </c>
      <c r="G1462" s="4">
        <v>1</v>
      </c>
      <c r="H1462" s="28">
        <v>41886</v>
      </c>
      <c r="I1462" s="29">
        <f t="shared" si="1852"/>
        <v>2014</v>
      </c>
      <c r="J1462" s="1" t="s">
        <v>1687</v>
      </c>
      <c r="K1462" s="1" t="s">
        <v>7</v>
      </c>
      <c r="L1462" s="11" t="str">
        <f t="shared" si="1958"/>
        <v>НЕТ</v>
      </c>
      <c r="M1462" s="10">
        <v>675.66700000000003</v>
      </c>
      <c r="N1462" s="10" t="s">
        <v>1575</v>
      </c>
      <c r="O1462" s="10">
        <f>M1462*37.3183/1000</f>
        <v>25.214743806100003</v>
      </c>
      <c r="P1462" s="10">
        <f t="shared" si="1946"/>
        <v>25.214743806100003</v>
      </c>
      <c r="Q1462" s="10">
        <f t="shared" si="1947"/>
        <v>32.342539106100006</v>
      </c>
      <c r="R1462" s="10" t="s">
        <v>1575</v>
      </c>
      <c r="S1462" s="10" t="s">
        <v>1575</v>
      </c>
      <c r="T1462" s="10" t="s">
        <v>1575</v>
      </c>
      <c r="U1462" s="10" t="s">
        <v>1575</v>
      </c>
      <c r="V1462" s="10">
        <f>0.676*37.3183</f>
        <v>25.227170800000003</v>
      </c>
      <c r="W1462" s="10">
        <f>(0.007+0.188-0.004)*37.3183</f>
        <v>7.1277952999999998</v>
      </c>
      <c r="X1462" s="10">
        <f t="shared" si="2009"/>
        <v>32.354966100000006</v>
      </c>
      <c r="Y1462" s="10" t="str">
        <f t="shared" si="2010"/>
        <v>NA</v>
      </c>
      <c r="Z1462" s="10" t="str">
        <f t="shared" si="2011"/>
        <v>NA</v>
      </c>
      <c r="AA1462" s="10">
        <f t="shared" si="2012"/>
        <v>0.9995073964497041</v>
      </c>
      <c r="AB1462" s="10" t="str">
        <f t="shared" si="2013"/>
        <v>NA</v>
      </c>
      <c r="AC1462" s="10" t="str">
        <f t="shared" si="2014"/>
        <v>NA</v>
      </c>
      <c r="AD1462" s="10" t="str">
        <f t="shared" si="2015"/>
        <v>NA</v>
      </c>
      <c r="AE1462" s="10">
        <f t="shared" si="2016"/>
        <v>0.99961591695501728</v>
      </c>
      <c r="AF1462" s="1" t="s">
        <v>7051</v>
      </c>
    </row>
    <row r="1463" spans="1:32" x14ac:dyDescent="0.2">
      <c r="A1463" s="1" t="s">
        <v>5961</v>
      </c>
      <c r="B1463" s="1" t="s">
        <v>5</v>
      </c>
      <c r="C1463" s="1" t="s">
        <v>1575</v>
      </c>
      <c r="D1463" s="1" t="s">
        <v>1600</v>
      </c>
      <c r="E1463" s="1" t="s">
        <v>1653</v>
      </c>
      <c r="F1463" s="1" t="s">
        <v>101</v>
      </c>
      <c r="G1463" s="4">
        <v>1</v>
      </c>
      <c r="H1463" s="28">
        <v>42216</v>
      </c>
      <c r="I1463" s="29">
        <f t="shared" si="1852"/>
        <v>2015</v>
      </c>
      <c r="J1463" s="1" t="s">
        <v>1687</v>
      </c>
      <c r="K1463" s="1" t="s">
        <v>192</v>
      </c>
      <c r="L1463" s="11" t="str">
        <f t="shared" si="1958"/>
        <v>НЕТ</v>
      </c>
      <c r="M1463" s="10">
        <f>4+8</f>
        <v>12</v>
      </c>
      <c r="N1463" s="10" t="s">
        <v>1575</v>
      </c>
      <c r="O1463" s="10">
        <f>M1463*55.8413/1000</f>
        <v>0.67009560000000001</v>
      </c>
      <c r="P1463" s="10">
        <f t="shared" si="1946"/>
        <v>0.67009560000000001</v>
      </c>
      <c r="Q1463" s="10" t="str">
        <f t="shared" si="1947"/>
        <v>NA</v>
      </c>
      <c r="R1463" s="10" t="s">
        <v>1575</v>
      </c>
      <c r="S1463" s="10" t="s">
        <v>1575</v>
      </c>
      <c r="T1463" s="10" t="s">
        <v>1575</v>
      </c>
      <c r="U1463" s="10" t="s">
        <v>1575</v>
      </c>
      <c r="V1463" s="10" t="s">
        <v>1575</v>
      </c>
      <c r="W1463" s="10" t="s">
        <v>1575</v>
      </c>
      <c r="X1463" s="10" t="str">
        <f t="shared" si="2009"/>
        <v>NA</v>
      </c>
      <c r="Y1463" s="10" t="str">
        <f t="shared" si="2010"/>
        <v>NA</v>
      </c>
      <c r="Z1463" s="10" t="str">
        <f t="shared" si="2011"/>
        <v>NA</v>
      </c>
      <c r="AA1463" s="10" t="str">
        <f t="shared" si="2012"/>
        <v>NA</v>
      </c>
      <c r="AB1463" s="10" t="str">
        <f t="shared" si="2013"/>
        <v>NA</v>
      </c>
      <c r="AC1463" s="10" t="str">
        <f t="shared" si="2014"/>
        <v>NA</v>
      </c>
      <c r="AD1463" s="10" t="str">
        <f t="shared" si="2015"/>
        <v>NA</v>
      </c>
      <c r="AE1463" s="10" t="str">
        <f t="shared" si="2016"/>
        <v>NA</v>
      </c>
      <c r="AF1463" s="1" t="s">
        <v>7050</v>
      </c>
    </row>
    <row r="1464" spans="1:32" x14ac:dyDescent="0.2">
      <c r="A1464" s="1" t="s">
        <v>7052</v>
      </c>
      <c r="B1464" s="1" t="s">
        <v>8</v>
      </c>
      <c r="C1464" s="1" t="s">
        <v>1575</v>
      </c>
      <c r="D1464" s="1" t="s">
        <v>1600</v>
      </c>
      <c r="E1464" s="1" t="s">
        <v>1653</v>
      </c>
      <c r="F1464" s="1" t="s">
        <v>101</v>
      </c>
      <c r="G1464" s="4">
        <v>1</v>
      </c>
      <c r="H1464" s="28">
        <v>42319</v>
      </c>
      <c r="I1464" s="29">
        <f t="shared" ref="I1464:I1554" si="2017">YEAR(H1464)</f>
        <v>2015</v>
      </c>
      <c r="J1464" s="1" t="s">
        <v>1687</v>
      </c>
      <c r="K1464" s="1" t="s">
        <v>7</v>
      </c>
      <c r="L1464" s="11" t="str">
        <f t="shared" si="1958"/>
        <v>НЕТ</v>
      </c>
      <c r="M1464" s="10">
        <f>9+5</f>
        <v>14</v>
      </c>
      <c r="N1464" s="10" t="s">
        <v>1575</v>
      </c>
      <c r="O1464" s="10">
        <f>M1464*64.3908/1000</f>
        <v>0.90147119999999992</v>
      </c>
      <c r="P1464" s="10">
        <f t="shared" si="1946"/>
        <v>0.90147119999999992</v>
      </c>
      <c r="Q1464" s="10" t="str">
        <f t="shared" si="1947"/>
        <v>NA</v>
      </c>
      <c r="R1464" s="10" t="s">
        <v>1575</v>
      </c>
      <c r="S1464" s="10" t="s">
        <v>1575</v>
      </c>
      <c r="T1464" s="10" t="s">
        <v>1575</v>
      </c>
      <c r="U1464" s="10" t="s">
        <v>1575</v>
      </c>
      <c r="V1464" s="10" t="s">
        <v>1575</v>
      </c>
      <c r="W1464" s="10" t="s">
        <v>1575</v>
      </c>
      <c r="X1464" s="10" t="str">
        <f t="shared" si="2009"/>
        <v>NA</v>
      </c>
      <c r="Y1464" s="10" t="str">
        <f t="shared" si="2010"/>
        <v>NA</v>
      </c>
      <c r="Z1464" s="10" t="str">
        <f t="shared" si="2011"/>
        <v>NA</v>
      </c>
      <c r="AA1464" s="10" t="str">
        <f t="shared" si="2012"/>
        <v>NA</v>
      </c>
      <c r="AB1464" s="10" t="str">
        <f t="shared" si="2013"/>
        <v>NA</v>
      </c>
      <c r="AC1464" s="10" t="str">
        <f t="shared" si="2014"/>
        <v>NA</v>
      </c>
      <c r="AD1464" s="10" t="str">
        <f t="shared" si="2015"/>
        <v>NA</v>
      </c>
      <c r="AE1464" s="10" t="str">
        <f t="shared" si="2016"/>
        <v>NA</v>
      </c>
      <c r="AF1464" s="1" t="s">
        <v>7054</v>
      </c>
    </row>
    <row r="1465" spans="1:32" x14ac:dyDescent="0.2">
      <c r="A1465" s="1" t="s">
        <v>5962</v>
      </c>
      <c r="B1465" s="1" t="s">
        <v>5</v>
      </c>
      <c r="C1465" s="1" t="s">
        <v>1575</v>
      </c>
      <c r="D1465" s="1" t="s">
        <v>1600</v>
      </c>
      <c r="E1465" s="1" t="s">
        <v>1653</v>
      </c>
      <c r="F1465" s="1" t="s">
        <v>101</v>
      </c>
      <c r="G1465" s="4" t="s">
        <v>11</v>
      </c>
      <c r="H1465" s="28">
        <v>42303</v>
      </c>
      <c r="I1465" s="29">
        <f t="shared" si="2017"/>
        <v>2015</v>
      </c>
      <c r="J1465" s="1" t="s">
        <v>7</v>
      </c>
      <c r="K1465" s="1" t="s">
        <v>1687</v>
      </c>
      <c r="L1465" s="11" t="str">
        <f t="shared" si="1958"/>
        <v>НЕТ</v>
      </c>
      <c r="M1465" s="10">
        <v>0.5</v>
      </c>
      <c r="N1465" s="10" t="s">
        <v>1575</v>
      </c>
      <c r="O1465" s="10">
        <f>M1465*61.9286/1000</f>
        <v>3.09643E-2</v>
      </c>
      <c r="P1465" s="10" t="str">
        <f t="shared" si="1946"/>
        <v>NA</v>
      </c>
      <c r="Q1465" s="10" t="str">
        <f t="shared" si="1947"/>
        <v>NA</v>
      </c>
      <c r="R1465" s="10" t="s">
        <v>1575</v>
      </c>
      <c r="S1465" s="10" t="s">
        <v>1575</v>
      </c>
      <c r="T1465" s="10" t="s">
        <v>1575</v>
      </c>
      <c r="U1465" s="10" t="s">
        <v>1575</v>
      </c>
      <c r="V1465" s="10">
        <f>-0.0007*61.9286</f>
        <v>-4.3350020000000003E-2</v>
      </c>
      <c r="W1465" s="10" t="s">
        <v>1575</v>
      </c>
      <c r="X1465" s="10" t="str">
        <f t="shared" si="2009"/>
        <v>NA</v>
      </c>
      <c r="Y1465" s="10" t="str">
        <f t="shared" si="2010"/>
        <v>NA</v>
      </c>
      <c r="Z1465" s="10" t="str">
        <f t="shared" si="2011"/>
        <v>NA</v>
      </c>
      <c r="AA1465" s="10" t="str">
        <f t="shared" si="2012"/>
        <v>NA</v>
      </c>
      <c r="AB1465" s="10" t="str">
        <f t="shared" si="2013"/>
        <v>NA</v>
      </c>
      <c r="AC1465" s="10" t="str">
        <f t="shared" si="2014"/>
        <v>NA</v>
      </c>
      <c r="AD1465" s="10" t="str">
        <f t="shared" si="2015"/>
        <v>NA</v>
      </c>
      <c r="AE1465" s="10" t="str">
        <f t="shared" si="2016"/>
        <v>NA</v>
      </c>
      <c r="AF1465" s="1" t="s">
        <v>7053</v>
      </c>
    </row>
    <row r="1466" spans="1:32" x14ac:dyDescent="0.2">
      <c r="A1466" s="1" t="s">
        <v>5963</v>
      </c>
      <c r="B1466" s="1" t="s">
        <v>5</v>
      </c>
      <c r="C1466" s="1" t="s">
        <v>1575</v>
      </c>
      <c r="D1466" s="1" t="s">
        <v>1600</v>
      </c>
      <c r="E1466" s="1" t="s">
        <v>1653</v>
      </c>
      <c r="F1466" s="1" t="s">
        <v>101</v>
      </c>
      <c r="G1466" s="4">
        <v>1</v>
      </c>
      <c r="H1466" s="28">
        <v>41298</v>
      </c>
      <c r="I1466" s="29">
        <f t="shared" si="2017"/>
        <v>2013</v>
      </c>
      <c r="J1466" s="1" t="s">
        <v>1687</v>
      </c>
      <c r="K1466" s="1" t="s">
        <v>7</v>
      </c>
      <c r="L1466" s="11" t="str">
        <f t="shared" si="1958"/>
        <v>НЕТ</v>
      </c>
      <c r="M1466" s="10">
        <v>13.4</v>
      </c>
      <c r="N1466" s="10" t="s">
        <v>1575</v>
      </c>
      <c r="O1466" s="10">
        <f>M1466*30.2292/1000</f>
        <v>0.40507127999999998</v>
      </c>
      <c r="P1466" s="10">
        <f t="shared" si="1946"/>
        <v>0.40507127999999998</v>
      </c>
      <c r="Q1466" s="10" t="str">
        <f t="shared" si="1947"/>
        <v>NA</v>
      </c>
      <c r="R1466" s="10" t="s">
        <v>1575</v>
      </c>
      <c r="S1466" s="10" t="s">
        <v>1575</v>
      </c>
      <c r="T1466" s="10" t="s">
        <v>1575</v>
      </c>
      <c r="U1466" s="10" t="s">
        <v>1575</v>
      </c>
      <c r="V1466" s="10" t="s">
        <v>1575</v>
      </c>
      <c r="W1466" s="10" t="s">
        <v>1575</v>
      </c>
      <c r="X1466" s="10" t="str">
        <f t="shared" si="2009"/>
        <v>NA</v>
      </c>
      <c r="Y1466" s="10" t="str">
        <f t="shared" si="2010"/>
        <v>NA</v>
      </c>
      <c r="Z1466" s="10" t="str">
        <f t="shared" si="2011"/>
        <v>NA</v>
      </c>
      <c r="AA1466" s="10" t="str">
        <f t="shared" si="2012"/>
        <v>NA</v>
      </c>
      <c r="AB1466" s="10" t="str">
        <f t="shared" si="2013"/>
        <v>NA</v>
      </c>
      <c r="AC1466" s="10" t="str">
        <f t="shared" si="2014"/>
        <v>NA</v>
      </c>
      <c r="AD1466" s="10" t="str">
        <f t="shared" si="2015"/>
        <v>NA</v>
      </c>
      <c r="AE1466" s="10" t="str">
        <f t="shared" si="2016"/>
        <v>NA</v>
      </c>
      <c r="AF1466" s="1" t="s">
        <v>7059</v>
      </c>
    </row>
    <row r="1467" spans="1:32" x14ac:dyDescent="0.2">
      <c r="A1467" s="1" t="s">
        <v>5964</v>
      </c>
      <c r="B1467" s="1" t="s">
        <v>5</v>
      </c>
      <c r="C1467" s="1" t="s">
        <v>1575</v>
      </c>
      <c r="D1467" s="1" t="s">
        <v>1600</v>
      </c>
      <c r="E1467" s="1" t="s">
        <v>1653</v>
      </c>
      <c r="F1467" s="1" t="s">
        <v>101</v>
      </c>
      <c r="G1467" s="4">
        <v>1</v>
      </c>
      <c r="H1467" s="28">
        <v>41325</v>
      </c>
      <c r="I1467" s="29">
        <f t="shared" si="2017"/>
        <v>2013</v>
      </c>
      <c r="J1467" s="1" t="s">
        <v>1687</v>
      </c>
      <c r="K1467" s="1" t="s">
        <v>193</v>
      </c>
      <c r="L1467" s="11" t="str">
        <f t="shared" si="1958"/>
        <v>НЕТ</v>
      </c>
      <c r="M1467" s="10">
        <v>86.558000000000007</v>
      </c>
      <c r="N1467" s="10" t="s">
        <v>1575</v>
      </c>
      <c r="O1467" s="10">
        <f>M1467*30.1277/1000</f>
        <v>2.6077934566000005</v>
      </c>
      <c r="P1467" s="10">
        <f t="shared" si="1946"/>
        <v>2.6077934566000005</v>
      </c>
      <c r="Q1467" s="10">
        <f t="shared" si="1947"/>
        <v>2.6407144566000005</v>
      </c>
      <c r="R1467" s="10" t="s">
        <v>1575</v>
      </c>
      <c r="S1467" s="10" t="s">
        <v>1575</v>
      </c>
      <c r="T1467" s="10" t="s">
        <v>1575</v>
      </c>
      <c r="U1467" s="10" t="s">
        <v>1575</v>
      </c>
      <c r="V1467" s="10">
        <f>0.086558</f>
        <v>8.6557999999999996E-2</v>
      </c>
      <c r="W1467" s="10">
        <f>(0.009896+0.023025)</f>
        <v>3.2920999999999999E-2</v>
      </c>
      <c r="X1467" s="10">
        <f t="shared" si="2009"/>
        <v>0.119479</v>
      </c>
      <c r="Y1467" s="10" t="str">
        <f t="shared" si="2010"/>
        <v>NA</v>
      </c>
      <c r="Z1467" s="10" t="str">
        <f t="shared" si="2011"/>
        <v>NA</v>
      </c>
      <c r="AA1467" s="10">
        <f t="shared" si="2012"/>
        <v>30.127700000000008</v>
      </c>
      <c r="AB1467" s="10" t="str">
        <f t="shared" si="2013"/>
        <v>NA</v>
      </c>
      <c r="AC1467" s="10" t="str">
        <f t="shared" si="2014"/>
        <v>NA</v>
      </c>
      <c r="AD1467" s="10" t="str">
        <f t="shared" si="2015"/>
        <v>NA</v>
      </c>
      <c r="AE1467" s="10">
        <f t="shared" si="2016"/>
        <v>22.101912943697222</v>
      </c>
      <c r="AF1467" s="1" t="s">
        <v>7058</v>
      </c>
    </row>
    <row r="1468" spans="1:32" x14ac:dyDescent="0.2">
      <c r="A1468" s="1" t="s">
        <v>5965</v>
      </c>
      <c r="B1468" s="1" t="s">
        <v>5</v>
      </c>
      <c r="C1468" s="1" t="s">
        <v>1575</v>
      </c>
      <c r="D1468" s="1" t="s">
        <v>1600</v>
      </c>
      <c r="E1468" s="1" t="s">
        <v>1653</v>
      </c>
      <c r="F1468" s="1" t="s">
        <v>101</v>
      </c>
      <c r="G1468" s="4" t="s">
        <v>11</v>
      </c>
      <c r="H1468" s="28">
        <v>41569</v>
      </c>
      <c r="I1468" s="29">
        <f t="shared" si="2017"/>
        <v>2013</v>
      </c>
      <c r="J1468" s="1" t="s">
        <v>7</v>
      </c>
      <c r="K1468" s="1" t="s">
        <v>1687</v>
      </c>
      <c r="L1468" s="11" t="str">
        <f t="shared" si="1958"/>
        <v>НЕТ</v>
      </c>
      <c r="M1468" s="10">
        <v>3.4750000000000001</v>
      </c>
      <c r="N1468" s="10" t="s">
        <v>1575</v>
      </c>
      <c r="O1468" s="10">
        <f>M1468*31.9013/1000</f>
        <v>0.1108570175</v>
      </c>
      <c r="P1468" s="10" t="str">
        <f t="shared" si="1946"/>
        <v>NA</v>
      </c>
      <c r="Q1468" s="10" t="str">
        <f t="shared" si="1947"/>
        <v>NA</v>
      </c>
      <c r="R1468" s="10" t="s">
        <v>1575</v>
      </c>
      <c r="S1468" s="10" t="s">
        <v>1575</v>
      </c>
      <c r="T1468" s="10" t="s">
        <v>1575</v>
      </c>
      <c r="U1468" s="10" t="s">
        <v>1575</v>
      </c>
      <c r="V1468" s="10">
        <f>0.002174*31.9013</f>
        <v>6.9353426199999998E-2</v>
      </c>
      <c r="W1468" s="10" t="s">
        <v>1575</v>
      </c>
      <c r="X1468" s="10" t="str">
        <f t="shared" si="2009"/>
        <v>NA</v>
      </c>
      <c r="Y1468" s="10" t="str">
        <f t="shared" si="2010"/>
        <v>NA</v>
      </c>
      <c r="Z1468" s="10" t="str">
        <f t="shared" si="2011"/>
        <v>NA</v>
      </c>
      <c r="AA1468" s="10" t="str">
        <f t="shared" si="2012"/>
        <v>NA</v>
      </c>
      <c r="AB1468" s="10" t="str">
        <f t="shared" si="2013"/>
        <v>NA</v>
      </c>
      <c r="AC1468" s="10" t="str">
        <f t="shared" si="2014"/>
        <v>NA</v>
      </c>
      <c r="AD1468" s="10" t="str">
        <f t="shared" si="2015"/>
        <v>NA</v>
      </c>
      <c r="AE1468" s="10" t="str">
        <f t="shared" si="2016"/>
        <v>NA</v>
      </c>
      <c r="AF1468" s="1" t="s">
        <v>7060</v>
      </c>
    </row>
    <row r="1469" spans="1:32" x14ac:dyDescent="0.2">
      <c r="A1469" s="1" t="s">
        <v>5966</v>
      </c>
      <c r="B1469" s="1" t="s">
        <v>1575</v>
      </c>
      <c r="C1469" s="1" t="s">
        <v>1575</v>
      </c>
      <c r="D1469" s="1" t="s">
        <v>1600</v>
      </c>
      <c r="E1469" s="1" t="s">
        <v>1653</v>
      </c>
      <c r="F1469" s="1" t="s">
        <v>101</v>
      </c>
      <c r="G1469" s="4">
        <v>0.5</v>
      </c>
      <c r="H1469" s="28">
        <v>40946</v>
      </c>
      <c r="I1469" s="29">
        <f t="shared" si="2017"/>
        <v>2012</v>
      </c>
      <c r="J1469" s="1" t="s">
        <v>1687</v>
      </c>
      <c r="K1469" s="1" t="s">
        <v>194</v>
      </c>
      <c r="L1469" s="11" t="str">
        <f t="shared" si="1958"/>
        <v>НЕТ</v>
      </c>
      <c r="M1469" s="10">
        <v>20</v>
      </c>
      <c r="N1469" s="10" t="s">
        <v>1575</v>
      </c>
      <c r="O1469" s="10">
        <f>M1469*30.2324/1000</f>
        <v>0.60464799999999996</v>
      </c>
      <c r="P1469" s="10">
        <f t="shared" si="1946"/>
        <v>1.2092959999999999</v>
      </c>
      <c r="Q1469" s="10" t="str">
        <f t="shared" si="1947"/>
        <v>NA</v>
      </c>
      <c r="R1469" s="10" t="s">
        <v>1575</v>
      </c>
      <c r="S1469" s="10" t="s">
        <v>1575</v>
      </c>
      <c r="T1469" s="10" t="s">
        <v>1575</v>
      </c>
      <c r="U1469" s="10" t="s">
        <v>1575</v>
      </c>
      <c r="V1469" s="10" t="s">
        <v>1575</v>
      </c>
      <c r="W1469" s="10" t="s">
        <v>1575</v>
      </c>
      <c r="X1469" s="10" t="str">
        <f t="shared" si="2009"/>
        <v>NA</v>
      </c>
      <c r="Y1469" s="10" t="str">
        <f t="shared" si="2010"/>
        <v>NA</v>
      </c>
      <c r="Z1469" s="10" t="str">
        <f t="shared" si="2011"/>
        <v>NA</v>
      </c>
      <c r="AA1469" s="10" t="str">
        <f t="shared" si="2012"/>
        <v>NA</v>
      </c>
      <c r="AB1469" s="10" t="str">
        <f t="shared" si="2013"/>
        <v>NA</v>
      </c>
      <c r="AC1469" s="10" t="str">
        <f t="shared" si="2014"/>
        <v>NA</v>
      </c>
      <c r="AD1469" s="10" t="str">
        <f t="shared" si="2015"/>
        <v>NA</v>
      </c>
      <c r="AE1469" s="10" t="str">
        <f t="shared" si="2016"/>
        <v>NA</v>
      </c>
      <c r="AF1469" s="1" t="s">
        <v>7061</v>
      </c>
    </row>
    <row r="1470" spans="1:32" x14ac:dyDescent="0.2">
      <c r="A1470" s="1" t="s">
        <v>5967</v>
      </c>
      <c r="B1470" s="1" t="s">
        <v>5</v>
      </c>
      <c r="C1470" s="1" t="s">
        <v>1575</v>
      </c>
      <c r="D1470" s="1" t="s">
        <v>1600</v>
      </c>
      <c r="E1470" s="1" t="s">
        <v>1653</v>
      </c>
      <c r="F1470" s="1" t="s">
        <v>101</v>
      </c>
      <c r="G1470" s="4">
        <f>25%+75%</f>
        <v>1</v>
      </c>
      <c r="H1470" s="28">
        <v>41143</v>
      </c>
      <c r="I1470" s="29">
        <f t="shared" si="2017"/>
        <v>2012</v>
      </c>
      <c r="J1470" s="1" t="s">
        <v>1687</v>
      </c>
      <c r="K1470" s="1" t="s">
        <v>195</v>
      </c>
      <c r="L1470" s="11" t="str">
        <f t="shared" si="1958"/>
        <v>НЕТ</v>
      </c>
      <c r="M1470" s="10">
        <f>0.8+0.1</f>
        <v>0.9</v>
      </c>
      <c r="N1470" s="10" t="s">
        <v>1575</v>
      </c>
      <c r="O1470" s="10">
        <f>M1470*31.9606/1000</f>
        <v>2.8764540000000002E-2</v>
      </c>
      <c r="P1470" s="10">
        <f t="shared" si="1946"/>
        <v>2.8764540000000002E-2</v>
      </c>
      <c r="Q1470" s="10" t="str">
        <f t="shared" si="1947"/>
        <v>NA</v>
      </c>
      <c r="R1470" s="10" t="s">
        <v>1575</v>
      </c>
      <c r="S1470" s="10" t="s">
        <v>1575</v>
      </c>
      <c r="T1470" s="10" t="s">
        <v>1575</v>
      </c>
      <c r="U1470" s="10" t="s">
        <v>1575</v>
      </c>
      <c r="V1470" s="10" t="s">
        <v>1575</v>
      </c>
      <c r="W1470" s="10" t="s">
        <v>1575</v>
      </c>
      <c r="X1470" s="10" t="str">
        <f t="shared" si="2009"/>
        <v>NA</v>
      </c>
      <c r="Y1470" s="10" t="str">
        <f t="shared" si="2010"/>
        <v>NA</v>
      </c>
      <c r="Z1470" s="10" t="str">
        <f t="shared" si="2011"/>
        <v>NA</v>
      </c>
      <c r="AA1470" s="10" t="str">
        <f t="shared" si="2012"/>
        <v>NA</v>
      </c>
      <c r="AB1470" s="10" t="str">
        <f t="shared" si="2013"/>
        <v>NA</v>
      </c>
      <c r="AC1470" s="10" t="str">
        <f t="shared" si="2014"/>
        <v>NA</v>
      </c>
      <c r="AD1470" s="10" t="str">
        <f t="shared" si="2015"/>
        <v>NA</v>
      </c>
      <c r="AE1470" s="10" t="str">
        <f t="shared" si="2016"/>
        <v>NA</v>
      </c>
      <c r="AF1470" s="1" t="s">
        <v>7062</v>
      </c>
    </row>
    <row r="1471" spans="1:32" x14ac:dyDescent="0.2">
      <c r="A1471" s="1" t="s">
        <v>5968</v>
      </c>
      <c r="B1471" s="1" t="s">
        <v>5</v>
      </c>
      <c r="C1471" s="1" t="s">
        <v>1575</v>
      </c>
      <c r="D1471" s="1" t="s">
        <v>1600</v>
      </c>
      <c r="E1471" s="1" t="s">
        <v>9185</v>
      </c>
      <c r="F1471" s="1" t="s">
        <v>196</v>
      </c>
      <c r="G1471" s="4">
        <v>0.24990000000000001</v>
      </c>
      <c r="H1471" s="28">
        <v>41260</v>
      </c>
      <c r="I1471" s="29">
        <f t="shared" si="2017"/>
        <v>2012</v>
      </c>
      <c r="J1471" s="1" t="s">
        <v>1687</v>
      </c>
      <c r="K1471" s="1" t="s">
        <v>7</v>
      </c>
      <c r="L1471" s="11" t="str">
        <f t="shared" si="1958"/>
        <v>НЕТ</v>
      </c>
      <c r="M1471" s="10">
        <v>9.7370000000000001</v>
      </c>
      <c r="N1471" s="10" t="s">
        <v>1575</v>
      </c>
      <c r="O1471" s="10">
        <f>M1471*30.6892/1000</f>
        <v>0.29882074039999995</v>
      </c>
      <c r="P1471" s="10">
        <f t="shared" si="1946"/>
        <v>1.1957612661064423</v>
      </c>
      <c r="Q1471" s="10" t="str">
        <f t="shared" si="1947"/>
        <v>NA</v>
      </c>
      <c r="R1471" s="10" t="s">
        <v>1575</v>
      </c>
      <c r="S1471" s="10" t="s">
        <v>1575</v>
      </c>
      <c r="T1471" s="10" t="s">
        <v>1575</v>
      </c>
      <c r="U1471" s="10" t="s">
        <v>1575</v>
      </c>
      <c r="V1471" s="10">
        <f>0.009737*30.6892</f>
        <v>0.29882074040000001</v>
      </c>
      <c r="W1471" s="10" t="s">
        <v>1575</v>
      </c>
      <c r="X1471" s="10" t="str">
        <f t="shared" si="2009"/>
        <v>NA</v>
      </c>
      <c r="Y1471" s="10" t="str">
        <f t="shared" si="2010"/>
        <v>NA</v>
      </c>
      <c r="Z1471" s="10" t="str">
        <f t="shared" si="2011"/>
        <v>NA</v>
      </c>
      <c r="AA1471" s="10">
        <f t="shared" si="2012"/>
        <v>4.0016006402561013</v>
      </c>
      <c r="AB1471" s="10" t="str">
        <f t="shared" si="2013"/>
        <v>NA</v>
      </c>
      <c r="AC1471" s="10" t="str">
        <f t="shared" si="2014"/>
        <v>NA</v>
      </c>
      <c r="AD1471" s="10" t="str">
        <f t="shared" si="2015"/>
        <v>NA</v>
      </c>
      <c r="AE1471" s="10" t="str">
        <f t="shared" si="2016"/>
        <v>NA</v>
      </c>
      <c r="AF1471" s="1" t="s">
        <v>7063</v>
      </c>
    </row>
    <row r="1472" spans="1:32" x14ac:dyDescent="0.2">
      <c r="A1472" s="1" t="s">
        <v>5969</v>
      </c>
      <c r="B1472" s="1" t="s">
        <v>5</v>
      </c>
      <c r="C1472" s="1" t="s">
        <v>1575</v>
      </c>
      <c r="D1472" s="1" t="s">
        <v>1600</v>
      </c>
      <c r="E1472" s="1" t="s">
        <v>1653</v>
      </c>
      <c r="F1472" s="1" t="s">
        <v>101</v>
      </c>
      <c r="G1472" s="4" t="s">
        <v>11</v>
      </c>
      <c r="H1472" s="28">
        <v>41274</v>
      </c>
      <c r="I1472" s="29">
        <f t="shared" si="2017"/>
        <v>2012</v>
      </c>
      <c r="J1472" s="1" t="s">
        <v>7</v>
      </c>
      <c r="K1472" s="1" t="s">
        <v>1687</v>
      </c>
      <c r="L1472" s="11" t="str">
        <f t="shared" si="1958"/>
        <v>НЕТ</v>
      </c>
      <c r="M1472" s="10">
        <v>1.593</v>
      </c>
      <c r="N1472" s="10" t="s">
        <v>1575</v>
      </c>
      <c r="O1472" s="10">
        <f>M1472*30.3727/1000</f>
        <v>4.8383711099999997E-2</v>
      </c>
      <c r="P1472" s="10" t="str">
        <f t="shared" si="1946"/>
        <v>NA</v>
      </c>
      <c r="Q1472" s="10" t="str">
        <f t="shared" si="1947"/>
        <v>NA</v>
      </c>
      <c r="R1472" s="10" t="s">
        <v>1575</v>
      </c>
      <c r="S1472" s="10" t="s">
        <v>1575</v>
      </c>
      <c r="T1472" s="10" t="s">
        <v>1575</v>
      </c>
      <c r="U1472" s="10" t="s">
        <v>1575</v>
      </c>
      <c r="V1472" s="10">
        <f>0.002982*30.3727</f>
        <v>9.0571391399999993E-2</v>
      </c>
      <c r="W1472" s="10" t="s">
        <v>1575</v>
      </c>
      <c r="X1472" s="10" t="str">
        <f t="shared" si="2009"/>
        <v>NA</v>
      </c>
      <c r="Y1472" s="10" t="str">
        <f t="shared" si="2010"/>
        <v>NA</v>
      </c>
      <c r="Z1472" s="10" t="str">
        <f t="shared" si="2011"/>
        <v>NA</v>
      </c>
      <c r="AA1472" s="10" t="str">
        <f t="shared" si="2012"/>
        <v>NA</v>
      </c>
      <c r="AB1472" s="10" t="str">
        <f t="shared" si="2013"/>
        <v>NA</v>
      </c>
      <c r="AC1472" s="10" t="str">
        <f t="shared" si="2014"/>
        <v>NA</v>
      </c>
      <c r="AD1472" s="10" t="str">
        <f t="shared" si="2015"/>
        <v>NA</v>
      </c>
      <c r="AE1472" s="10" t="str">
        <f t="shared" si="2016"/>
        <v>NA</v>
      </c>
    </row>
    <row r="1473" spans="1:32" x14ac:dyDescent="0.2">
      <c r="A1473" s="1" t="s">
        <v>5970</v>
      </c>
      <c r="B1473" s="1" t="s">
        <v>5</v>
      </c>
      <c r="C1473" s="1" t="s">
        <v>1575</v>
      </c>
      <c r="D1473" s="1" t="s">
        <v>1600</v>
      </c>
      <c r="E1473" s="1" t="s">
        <v>1653</v>
      </c>
      <c r="F1473" s="1" t="s">
        <v>101</v>
      </c>
      <c r="G1473" s="4" t="s">
        <v>11</v>
      </c>
      <c r="H1473" s="28">
        <v>41274</v>
      </c>
      <c r="I1473" s="29">
        <f t="shared" si="2017"/>
        <v>2012</v>
      </c>
      <c r="J1473" s="1" t="s">
        <v>7</v>
      </c>
      <c r="K1473" s="1" t="s">
        <v>1687</v>
      </c>
      <c r="L1473" s="11" t="str">
        <f t="shared" si="1958"/>
        <v>НЕТ</v>
      </c>
      <c r="M1473" s="10">
        <v>1.4750000000000001</v>
      </c>
      <c r="N1473" s="10" t="s">
        <v>1575</v>
      </c>
      <c r="O1473" s="10">
        <f>M1473*30.3727/1000</f>
        <v>4.4799732499999995E-2</v>
      </c>
      <c r="P1473" s="10" t="str">
        <f t="shared" si="1946"/>
        <v>NA</v>
      </c>
      <c r="Q1473" s="10" t="str">
        <f t="shared" si="1947"/>
        <v>NA</v>
      </c>
      <c r="R1473" s="10" t="s">
        <v>1575</v>
      </c>
      <c r="S1473" s="10" t="s">
        <v>1575</v>
      </c>
      <c r="T1473" s="10" t="s">
        <v>1575</v>
      </c>
      <c r="U1473" s="10" t="s">
        <v>1575</v>
      </c>
      <c r="V1473" s="10">
        <f>0.000848*30.3727</f>
        <v>2.5756049599999997E-2</v>
      </c>
      <c r="W1473" s="10" t="s">
        <v>1575</v>
      </c>
      <c r="X1473" s="10" t="str">
        <f t="shared" si="2009"/>
        <v>NA</v>
      </c>
      <c r="Y1473" s="10" t="str">
        <f t="shared" si="2010"/>
        <v>NA</v>
      </c>
      <c r="Z1473" s="10" t="str">
        <f t="shared" si="2011"/>
        <v>NA</v>
      </c>
      <c r="AA1473" s="10" t="str">
        <f t="shared" si="2012"/>
        <v>NA</v>
      </c>
      <c r="AB1473" s="10" t="str">
        <f t="shared" si="2013"/>
        <v>NA</v>
      </c>
      <c r="AC1473" s="10" t="str">
        <f t="shared" si="2014"/>
        <v>NA</v>
      </c>
      <c r="AD1473" s="10" t="str">
        <f t="shared" si="2015"/>
        <v>NA</v>
      </c>
      <c r="AE1473" s="10" t="str">
        <f t="shared" si="2016"/>
        <v>NA</v>
      </c>
    </row>
    <row r="1474" spans="1:32" x14ac:dyDescent="0.2">
      <c r="A1474" s="1" t="s">
        <v>7064</v>
      </c>
      <c r="B1474" s="1" t="s">
        <v>5</v>
      </c>
      <c r="C1474" s="1" t="s">
        <v>1575</v>
      </c>
      <c r="D1474" s="1" t="s">
        <v>1600</v>
      </c>
      <c r="E1474" s="1" t="s">
        <v>1653</v>
      </c>
      <c r="F1474" s="1" t="s">
        <v>101</v>
      </c>
      <c r="G1474" s="4" t="s">
        <v>11</v>
      </c>
      <c r="H1474" s="28">
        <v>41274</v>
      </c>
      <c r="I1474" s="29">
        <f t="shared" si="2017"/>
        <v>2012</v>
      </c>
      <c r="J1474" s="1" t="s">
        <v>7</v>
      </c>
      <c r="K1474" s="1" t="s">
        <v>1687</v>
      </c>
      <c r="L1474" s="11" t="str">
        <f t="shared" si="1958"/>
        <v>НЕТ</v>
      </c>
      <c r="M1474" s="10">
        <v>3.0000000000000001E-3</v>
      </c>
      <c r="N1474" s="10" t="s">
        <v>1575</v>
      </c>
      <c r="O1474" s="10">
        <f t="shared" ref="O1474:O1475" si="2018">M1474*30.3727/1000</f>
        <v>9.1118099999999998E-5</v>
      </c>
      <c r="P1474" s="10" t="str">
        <f t="shared" si="1946"/>
        <v>NA</v>
      </c>
      <c r="Q1474" s="10" t="str">
        <f t="shared" si="1947"/>
        <v>NA</v>
      </c>
      <c r="R1474" s="10" t="s">
        <v>1575</v>
      </c>
      <c r="S1474" s="10" t="s">
        <v>1575</v>
      </c>
      <c r="T1474" s="10" t="s">
        <v>1575</v>
      </c>
      <c r="U1474" s="10" t="s">
        <v>1575</v>
      </c>
      <c r="V1474" s="10">
        <f>0.001166*30.3727</f>
        <v>3.5414568199999996E-2</v>
      </c>
      <c r="W1474" s="10" t="s">
        <v>1575</v>
      </c>
      <c r="X1474" s="10" t="str">
        <f t="shared" si="2009"/>
        <v>NA</v>
      </c>
      <c r="Y1474" s="10" t="str">
        <f t="shared" si="2010"/>
        <v>NA</v>
      </c>
      <c r="Z1474" s="10" t="str">
        <f t="shared" si="2011"/>
        <v>NA</v>
      </c>
      <c r="AA1474" s="10" t="str">
        <f t="shared" si="2012"/>
        <v>NA</v>
      </c>
      <c r="AB1474" s="10" t="str">
        <f t="shared" si="2013"/>
        <v>NA</v>
      </c>
      <c r="AC1474" s="10" t="str">
        <f t="shared" si="2014"/>
        <v>NA</v>
      </c>
      <c r="AD1474" s="10" t="str">
        <f t="shared" si="2015"/>
        <v>NA</v>
      </c>
      <c r="AE1474" s="10" t="str">
        <f t="shared" si="2016"/>
        <v>NA</v>
      </c>
    </row>
    <row r="1475" spans="1:32" x14ac:dyDescent="0.2">
      <c r="A1475" s="1" t="s">
        <v>198</v>
      </c>
      <c r="B1475" s="1" t="s">
        <v>1575</v>
      </c>
      <c r="C1475" s="1" t="s">
        <v>1575</v>
      </c>
      <c r="D1475" s="1" t="s">
        <v>1600</v>
      </c>
      <c r="E1475" s="1" t="s">
        <v>1653</v>
      </c>
      <c r="F1475" s="1" t="s">
        <v>101</v>
      </c>
      <c r="G1475" s="4" t="s">
        <v>11</v>
      </c>
      <c r="H1475" s="28">
        <v>41274</v>
      </c>
      <c r="I1475" s="29">
        <f t="shared" si="2017"/>
        <v>2012</v>
      </c>
      <c r="J1475" s="1" t="s">
        <v>7</v>
      </c>
      <c r="K1475" s="1" t="s">
        <v>1687</v>
      </c>
      <c r="L1475" s="11" t="str">
        <f t="shared" si="1958"/>
        <v>НЕТ</v>
      </c>
      <c r="M1475" s="10">
        <v>28</v>
      </c>
      <c r="N1475" s="10" t="s">
        <v>1575</v>
      </c>
      <c r="O1475" s="10">
        <f t="shared" si="2018"/>
        <v>0.85043559999999996</v>
      </c>
      <c r="P1475" s="10" t="str">
        <f t="shared" ref="P1475:P1538" si="2019">IFERROR(O1475/G1475,"NA")</f>
        <v>NA</v>
      </c>
      <c r="Q1475" s="10" t="str">
        <f t="shared" ref="Q1475:Q1538" si="2020">IFERROR(P1475+W1475,"NA")</f>
        <v>NA</v>
      </c>
      <c r="R1475" s="10" t="s">
        <v>1575</v>
      </c>
      <c r="S1475" s="10" t="s">
        <v>1575</v>
      </c>
      <c r="T1475" s="10" t="s">
        <v>1575</v>
      </c>
      <c r="U1475" s="10" t="s">
        <v>1575</v>
      </c>
      <c r="V1475" s="10">
        <f>0.053654*30.3727</f>
        <v>1.6296168458</v>
      </c>
      <c r="W1475" s="10" t="s">
        <v>1575</v>
      </c>
      <c r="X1475" s="10" t="str">
        <f t="shared" si="2009"/>
        <v>NA</v>
      </c>
      <c r="Y1475" s="10" t="str">
        <f t="shared" si="2010"/>
        <v>NA</v>
      </c>
      <c r="Z1475" s="10" t="str">
        <f t="shared" si="2011"/>
        <v>NA</v>
      </c>
      <c r="AA1475" s="10" t="str">
        <f t="shared" si="2012"/>
        <v>NA</v>
      </c>
      <c r="AB1475" s="10" t="str">
        <f t="shared" si="2013"/>
        <v>NA</v>
      </c>
      <c r="AC1475" s="10" t="str">
        <f t="shared" si="2014"/>
        <v>NA</v>
      </c>
      <c r="AD1475" s="10" t="str">
        <f t="shared" si="2015"/>
        <v>NA</v>
      </c>
      <c r="AE1475" s="10" t="str">
        <f t="shared" si="2016"/>
        <v>NA</v>
      </c>
      <c r="AF1475" s="1" t="s">
        <v>197</v>
      </c>
    </row>
    <row r="1476" spans="1:32" x14ac:dyDescent="0.2">
      <c r="A1476" s="1" t="s">
        <v>7065</v>
      </c>
      <c r="B1476" s="1" t="s">
        <v>5</v>
      </c>
      <c r="C1476" s="1" t="s">
        <v>1575</v>
      </c>
      <c r="D1476" s="1" t="s">
        <v>1600</v>
      </c>
      <c r="E1476" s="1" t="s">
        <v>1653</v>
      </c>
      <c r="F1476" s="1" t="s">
        <v>101</v>
      </c>
      <c r="G1476" s="4">
        <v>1</v>
      </c>
      <c r="H1476" s="28">
        <v>40662</v>
      </c>
      <c r="I1476" s="29">
        <f t="shared" si="2017"/>
        <v>2011</v>
      </c>
      <c r="J1476" s="1" t="s">
        <v>1687</v>
      </c>
      <c r="K1476" s="1" t="s">
        <v>199</v>
      </c>
      <c r="L1476" s="11" t="str">
        <f t="shared" si="1958"/>
        <v>НЕТ</v>
      </c>
      <c r="M1476" s="10">
        <v>66.989999999999995</v>
      </c>
      <c r="N1476" s="10" t="s">
        <v>1575</v>
      </c>
      <c r="O1476" s="10">
        <f>M1476*27.4977/1000</f>
        <v>1.8420709229999999</v>
      </c>
      <c r="P1476" s="10">
        <f t="shared" si="2019"/>
        <v>1.8420709229999999</v>
      </c>
      <c r="Q1476" s="10" t="str">
        <f t="shared" si="2020"/>
        <v>NA</v>
      </c>
      <c r="R1476" s="10" t="s">
        <v>1575</v>
      </c>
      <c r="S1476" s="10" t="s">
        <v>1575</v>
      </c>
      <c r="T1476" s="10" t="s">
        <v>1575</v>
      </c>
      <c r="U1476" s="10" t="s">
        <v>1575</v>
      </c>
      <c r="V1476" s="10">
        <f>0.06699*27.4977</f>
        <v>1.8420709229999996</v>
      </c>
      <c r="W1476" s="10" t="s">
        <v>1575</v>
      </c>
      <c r="X1476" s="10" t="str">
        <f t="shared" si="2009"/>
        <v>NA</v>
      </c>
      <c r="Y1476" s="10" t="str">
        <f t="shared" si="2010"/>
        <v>NA</v>
      </c>
      <c r="Z1476" s="10" t="str">
        <f t="shared" si="2011"/>
        <v>NA</v>
      </c>
      <c r="AA1476" s="10">
        <f t="shared" si="2012"/>
        <v>1.0000000000000002</v>
      </c>
      <c r="AB1476" s="10" t="str">
        <f t="shared" si="2013"/>
        <v>NA</v>
      </c>
      <c r="AC1476" s="10" t="str">
        <f t="shared" si="2014"/>
        <v>NA</v>
      </c>
      <c r="AD1476" s="10" t="str">
        <f t="shared" si="2015"/>
        <v>NA</v>
      </c>
      <c r="AE1476" s="10" t="str">
        <f t="shared" si="2016"/>
        <v>NA</v>
      </c>
      <c r="AF1476" s="1" t="s">
        <v>7066</v>
      </c>
    </row>
    <row r="1477" spans="1:32" x14ac:dyDescent="0.2">
      <c r="A1477" s="1" t="s">
        <v>5971</v>
      </c>
      <c r="B1477" s="1" t="s">
        <v>5</v>
      </c>
      <c r="C1477" s="1" t="s">
        <v>1575</v>
      </c>
      <c r="D1477" s="1" t="s">
        <v>1600</v>
      </c>
      <c r="E1477" s="1" t="s">
        <v>1653</v>
      </c>
      <c r="F1477" s="1" t="s">
        <v>101</v>
      </c>
      <c r="G1477" s="4">
        <v>1</v>
      </c>
      <c r="H1477" s="28">
        <v>40690</v>
      </c>
      <c r="I1477" s="29">
        <f t="shared" si="2017"/>
        <v>2011</v>
      </c>
      <c r="J1477" s="1" t="s">
        <v>1687</v>
      </c>
      <c r="K1477" s="1" t="s">
        <v>200</v>
      </c>
      <c r="L1477" s="11" t="str">
        <f t="shared" si="1958"/>
        <v>НЕТ</v>
      </c>
      <c r="M1477" s="10">
        <v>1.78</v>
      </c>
      <c r="N1477" s="10" t="s">
        <v>1575</v>
      </c>
      <c r="O1477" s="10">
        <f>M1477*28.228/1000</f>
        <v>5.024584E-2</v>
      </c>
      <c r="P1477" s="10">
        <f t="shared" si="2019"/>
        <v>5.024584E-2</v>
      </c>
      <c r="Q1477" s="10" t="str">
        <f t="shared" si="2020"/>
        <v>NA</v>
      </c>
      <c r="R1477" s="10" t="s">
        <v>1575</v>
      </c>
      <c r="S1477" s="10" t="s">
        <v>1575</v>
      </c>
      <c r="T1477" s="10" t="s">
        <v>1575</v>
      </c>
      <c r="U1477" s="10" t="s">
        <v>1575</v>
      </c>
      <c r="V1477" s="10" t="s">
        <v>1575</v>
      </c>
      <c r="W1477" s="10" t="s">
        <v>1575</v>
      </c>
      <c r="X1477" s="10" t="str">
        <f t="shared" si="2009"/>
        <v>NA</v>
      </c>
      <c r="Y1477" s="10" t="str">
        <f t="shared" si="2010"/>
        <v>NA</v>
      </c>
      <c r="Z1477" s="10" t="str">
        <f t="shared" si="2011"/>
        <v>NA</v>
      </c>
      <c r="AA1477" s="10" t="str">
        <f t="shared" si="2012"/>
        <v>NA</v>
      </c>
      <c r="AB1477" s="10" t="str">
        <f t="shared" si="2013"/>
        <v>NA</v>
      </c>
      <c r="AC1477" s="10" t="str">
        <f t="shared" si="2014"/>
        <v>NA</v>
      </c>
      <c r="AD1477" s="10" t="str">
        <f t="shared" si="2015"/>
        <v>NA</v>
      </c>
      <c r="AE1477" s="10" t="str">
        <f t="shared" si="2016"/>
        <v>NA</v>
      </c>
      <c r="AF1477" s="1" t="s">
        <v>7067</v>
      </c>
    </row>
    <row r="1478" spans="1:32" x14ac:dyDescent="0.2">
      <c r="A1478" s="1" t="s">
        <v>5972</v>
      </c>
      <c r="B1478" s="1" t="s">
        <v>5</v>
      </c>
      <c r="C1478" s="1" t="s">
        <v>1575</v>
      </c>
      <c r="D1478" s="1" t="s">
        <v>1584</v>
      </c>
      <c r="E1478" s="1" t="s">
        <v>1586</v>
      </c>
      <c r="F1478" s="1" t="s">
        <v>66</v>
      </c>
      <c r="G1478" s="4">
        <v>1</v>
      </c>
      <c r="H1478" s="28">
        <v>40676</v>
      </c>
      <c r="I1478" s="29">
        <f t="shared" si="2017"/>
        <v>2011</v>
      </c>
      <c r="J1478" s="1" t="s">
        <v>1687</v>
      </c>
      <c r="K1478" s="1" t="s">
        <v>5973</v>
      </c>
      <c r="L1478" s="11" t="str">
        <f t="shared" si="1958"/>
        <v>НЕТ</v>
      </c>
      <c r="M1478" s="10">
        <v>10.3</v>
      </c>
      <c r="N1478" s="10" t="s">
        <v>1575</v>
      </c>
      <c r="O1478" s="10">
        <f>M1478*27.9472/1000</f>
        <v>0.28785615999999997</v>
      </c>
      <c r="P1478" s="10">
        <f t="shared" si="2019"/>
        <v>0.28785615999999997</v>
      </c>
      <c r="Q1478" s="10" t="str">
        <f t="shared" si="2020"/>
        <v>NA</v>
      </c>
      <c r="R1478" s="10" t="s">
        <v>1575</v>
      </c>
      <c r="S1478" s="10" t="s">
        <v>1575</v>
      </c>
      <c r="T1478" s="10" t="s">
        <v>1575</v>
      </c>
      <c r="U1478" s="10" t="s">
        <v>1575</v>
      </c>
      <c r="V1478" s="10" t="s">
        <v>1575</v>
      </c>
      <c r="W1478" s="10" t="s">
        <v>1575</v>
      </c>
      <c r="X1478" s="10" t="str">
        <f t="shared" si="2009"/>
        <v>NA</v>
      </c>
      <c r="Y1478" s="10" t="str">
        <f t="shared" si="2010"/>
        <v>NA</v>
      </c>
      <c r="Z1478" s="10" t="str">
        <f t="shared" si="2011"/>
        <v>NA</v>
      </c>
      <c r="AA1478" s="10" t="str">
        <f t="shared" si="2012"/>
        <v>NA</v>
      </c>
      <c r="AB1478" s="10" t="str">
        <f t="shared" si="2013"/>
        <v>NA</v>
      </c>
      <c r="AC1478" s="10" t="str">
        <f t="shared" si="2014"/>
        <v>NA</v>
      </c>
      <c r="AD1478" s="10" t="str">
        <f t="shared" si="2015"/>
        <v>NA</v>
      </c>
      <c r="AE1478" s="10" t="str">
        <f t="shared" si="2016"/>
        <v>NA</v>
      </c>
      <c r="AF1478" s="1" t="s">
        <v>7068</v>
      </c>
    </row>
    <row r="1479" spans="1:32" x14ac:dyDescent="0.2">
      <c r="A1479" s="1" t="s">
        <v>5974</v>
      </c>
      <c r="B1479" s="1" t="s">
        <v>5</v>
      </c>
      <c r="C1479" s="1" t="s">
        <v>1575</v>
      </c>
      <c r="D1479" s="1" t="s">
        <v>1600</v>
      </c>
      <c r="E1479" s="1" t="s">
        <v>1659</v>
      </c>
      <c r="F1479" s="1" t="s">
        <v>118</v>
      </c>
      <c r="G1479" s="4">
        <v>1</v>
      </c>
      <c r="H1479" s="28">
        <v>40723</v>
      </c>
      <c r="I1479" s="29">
        <f t="shared" si="2017"/>
        <v>2011</v>
      </c>
      <c r="J1479" s="1" t="s">
        <v>7</v>
      </c>
      <c r="K1479" s="1" t="s">
        <v>1687</v>
      </c>
      <c r="L1479" s="11" t="str">
        <f t="shared" si="1958"/>
        <v>НЕТ</v>
      </c>
      <c r="M1479" s="10">
        <v>5.3</v>
      </c>
      <c r="N1479" s="10" t="s">
        <v>1575</v>
      </c>
      <c r="O1479" s="10">
        <f>M1479*28.2352/1000</f>
        <v>0.14964655999999998</v>
      </c>
      <c r="P1479" s="10">
        <f t="shared" si="2019"/>
        <v>0.14964655999999998</v>
      </c>
      <c r="Q1479" s="10" t="str">
        <f t="shared" si="2020"/>
        <v>NA</v>
      </c>
      <c r="R1479" s="10" t="s">
        <v>1575</v>
      </c>
      <c r="S1479" s="10" t="s">
        <v>1575</v>
      </c>
      <c r="T1479" s="10" t="s">
        <v>1575</v>
      </c>
      <c r="U1479" s="10" t="s">
        <v>1575</v>
      </c>
      <c r="V1479" s="10">
        <f>(0.005725-0.005326)*28.2352</f>
        <v>1.1265844800000001E-2</v>
      </c>
      <c r="W1479" s="10" t="s">
        <v>1575</v>
      </c>
      <c r="X1479" s="10" t="str">
        <f t="shared" si="2009"/>
        <v>NA</v>
      </c>
      <c r="Y1479" s="10" t="str">
        <f t="shared" si="2010"/>
        <v>NA</v>
      </c>
      <c r="Z1479" s="10" t="str">
        <f t="shared" si="2011"/>
        <v>NA</v>
      </c>
      <c r="AA1479" s="10">
        <f t="shared" si="2012"/>
        <v>13.283208020050123</v>
      </c>
      <c r="AB1479" s="10" t="str">
        <f t="shared" si="2013"/>
        <v>NA</v>
      </c>
      <c r="AC1479" s="10" t="str">
        <f t="shared" si="2014"/>
        <v>NA</v>
      </c>
      <c r="AD1479" s="10" t="str">
        <f t="shared" si="2015"/>
        <v>NA</v>
      </c>
      <c r="AE1479" s="10" t="str">
        <f t="shared" si="2016"/>
        <v>NA</v>
      </c>
      <c r="AF1479" s="1" t="s">
        <v>7069</v>
      </c>
    </row>
    <row r="1480" spans="1:32" x14ac:dyDescent="0.2">
      <c r="A1480" s="1" t="s">
        <v>5975</v>
      </c>
      <c r="B1480" s="1" t="s">
        <v>5</v>
      </c>
      <c r="C1480" s="1" t="s">
        <v>1575</v>
      </c>
      <c r="D1480" s="1" t="s">
        <v>1600</v>
      </c>
      <c r="E1480" s="1" t="s">
        <v>1653</v>
      </c>
      <c r="F1480" s="1" t="s">
        <v>202</v>
      </c>
      <c r="G1480" s="4">
        <v>1</v>
      </c>
      <c r="H1480" s="28">
        <v>40459</v>
      </c>
      <c r="I1480" s="29">
        <f t="shared" si="2017"/>
        <v>2010</v>
      </c>
      <c r="J1480" s="1" t="s">
        <v>1687</v>
      </c>
      <c r="K1480" s="1" t="s">
        <v>201</v>
      </c>
      <c r="L1480" s="11" t="str">
        <f t="shared" si="1958"/>
        <v>НЕТ</v>
      </c>
      <c r="M1480" s="10">
        <v>60.2</v>
      </c>
      <c r="N1480" s="10" t="s">
        <v>1575</v>
      </c>
      <c r="O1480" s="10">
        <f>M1480*29.6334/1000</f>
        <v>1.7839306800000001</v>
      </c>
      <c r="P1480" s="10">
        <f t="shared" si="2019"/>
        <v>1.7839306800000001</v>
      </c>
      <c r="Q1480" s="10" t="str">
        <f t="shared" si="2020"/>
        <v>NA</v>
      </c>
      <c r="R1480" s="10" t="s">
        <v>1575</v>
      </c>
      <c r="S1480" s="10" t="s">
        <v>1575</v>
      </c>
      <c r="T1480" s="10" t="s">
        <v>1575</v>
      </c>
      <c r="U1480" s="10" t="s">
        <v>1575</v>
      </c>
      <c r="V1480" s="10">
        <f>0.0602*29.6334</f>
        <v>1.7839306800000001</v>
      </c>
      <c r="W1480" s="10" t="s">
        <v>1575</v>
      </c>
      <c r="X1480" s="10" t="str">
        <f t="shared" si="2009"/>
        <v>NA</v>
      </c>
      <c r="Y1480" s="10" t="str">
        <f t="shared" si="2010"/>
        <v>NA</v>
      </c>
      <c r="Z1480" s="10" t="str">
        <f t="shared" si="2011"/>
        <v>NA</v>
      </c>
      <c r="AA1480" s="10">
        <f t="shared" si="2012"/>
        <v>1</v>
      </c>
      <c r="AB1480" s="10" t="str">
        <f t="shared" si="2013"/>
        <v>NA</v>
      </c>
      <c r="AC1480" s="10" t="str">
        <f t="shared" si="2014"/>
        <v>NA</v>
      </c>
      <c r="AD1480" s="10" t="str">
        <f t="shared" si="2015"/>
        <v>NA</v>
      </c>
      <c r="AE1480" s="10" t="str">
        <f t="shared" si="2016"/>
        <v>NA</v>
      </c>
      <c r="AF1480" s="1" t="s">
        <v>7070</v>
      </c>
    </row>
    <row r="1481" spans="1:32" x14ac:dyDescent="0.2">
      <c r="A1481" s="1" t="s">
        <v>5976</v>
      </c>
      <c r="B1481" s="1" t="s">
        <v>5</v>
      </c>
      <c r="C1481" s="1" t="s">
        <v>1575</v>
      </c>
      <c r="D1481" s="1" t="s">
        <v>1600</v>
      </c>
      <c r="E1481" s="1" t="s">
        <v>1653</v>
      </c>
      <c r="F1481" s="1" t="s">
        <v>101</v>
      </c>
      <c r="G1481" s="4">
        <v>1</v>
      </c>
      <c r="H1481" s="28">
        <v>40521</v>
      </c>
      <c r="I1481" s="29">
        <f t="shared" si="2017"/>
        <v>2010</v>
      </c>
      <c r="J1481" s="1" t="s">
        <v>1687</v>
      </c>
      <c r="K1481" s="1" t="s">
        <v>203</v>
      </c>
      <c r="L1481" s="11" t="str">
        <f t="shared" si="1958"/>
        <v>НЕТ</v>
      </c>
      <c r="M1481" s="10">
        <v>9.25</v>
      </c>
      <c r="N1481" s="10" t="s">
        <v>1575</v>
      </c>
      <c r="O1481" s="10">
        <f>M1481*31.243/1000</f>
        <v>0.28899775</v>
      </c>
      <c r="P1481" s="10">
        <f t="shared" si="2019"/>
        <v>0.28899775</v>
      </c>
      <c r="Q1481" s="10" t="str">
        <f t="shared" si="2020"/>
        <v>NA</v>
      </c>
      <c r="R1481" s="10" t="s">
        <v>1575</v>
      </c>
      <c r="S1481" s="10" t="s">
        <v>1575</v>
      </c>
      <c r="T1481" s="10" t="s">
        <v>1575</v>
      </c>
      <c r="U1481" s="10" t="s">
        <v>1575</v>
      </c>
      <c r="V1481" s="10">
        <f>0.00925*31.243</f>
        <v>0.28899775</v>
      </c>
      <c r="W1481" s="10" t="s">
        <v>1575</v>
      </c>
      <c r="X1481" s="10" t="str">
        <f t="shared" si="2009"/>
        <v>NA</v>
      </c>
      <c r="Y1481" s="10" t="str">
        <f t="shared" si="2010"/>
        <v>NA</v>
      </c>
      <c r="Z1481" s="10" t="str">
        <f t="shared" si="2011"/>
        <v>NA</v>
      </c>
      <c r="AA1481" s="10">
        <f t="shared" si="2012"/>
        <v>1</v>
      </c>
      <c r="AB1481" s="10" t="str">
        <f t="shared" si="2013"/>
        <v>NA</v>
      </c>
      <c r="AC1481" s="10" t="str">
        <f t="shared" si="2014"/>
        <v>NA</v>
      </c>
      <c r="AD1481" s="10" t="str">
        <f t="shared" si="2015"/>
        <v>NA</v>
      </c>
      <c r="AE1481" s="10" t="str">
        <f t="shared" si="2016"/>
        <v>NA</v>
      </c>
      <c r="AF1481" s="1" t="s">
        <v>7071</v>
      </c>
    </row>
    <row r="1482" spans="1:32" x14ac:dyDescent="0.2">
      <c r="A1482" s="1" t="s">
        <v>5977</v>
      </c>
      <c r="B1482" s="1" t="s">
        <v>5</v>
      </c>
      <c r="C1482" s="1" t="s">
        <v>1575</v>
      </c>
      <c r="D1482" s="1" t="s">
        <v>1600</v>
      </c>
      <c r="E1482" s="1" t="s">
        <v>1653</v>
      </c>
      <c r="F1482" s="1" t="s">
        <v>101</v>
      </c>
      <c r="G1482" s="4">
        <v>1</v>
      </c>
      <c r="H1482" s="28">
        <v>40512</v>
      </c>
      <c r="I1482" s="29">
        <f t="shared" si="2017"/>
        <v>2010</v>
      </c>
      <c r="J1482" s="1" t="s">
        <v>1687</v>
      </c>
      <c r="K1482" s="1" t="s">
        <v>7</v>
      </c>
      <c r="L1482" s="11" t="str">
        <f t="shared" si="1958"/>
        <v>НЕТ</v>
      </c>
      <c r="M1482" s="10">
        <v>10.157</v>
      </c>
      <c r="N1482" s="10" t="s">
        <v>1575</v>
      </c>
      <c r="O1482" s="10">
        <f>M1482*31.3061/1000</f>
        <v>0.31797605770000004</v>
      </c>
      <c r="P1482" s="10">
        <f t="shared" si="2019"/>
        <v>0.31797605770000004</v>
      </c>
      <c r="Q1482" s="10" t="str">
        <f t="shared" si="2020"/>
        <v>NA</v>
      </c>
      <c r="R1482" s="10" t="s">
        <v>1575</v>
      </c>
      <c r="S1482" s="10" t="s">
        <v>1575</v>
      </c>
      <c r="T1482" s="10" t="s">
        <v>1575</v>
      </c>
      <c r="U1482" s="10" t="s">
        <v>1575</v>
      </c>
      <c r="V1482" s="10">
        <f>0.006577*31.3061</f>
        <v>0.20590021970000003</v>
      </c>
      <c r="W1482" s="10" t="s">
        <v>1575</v>
      </c>
      <c r="X1482" s="10" t="str">
        <f t="shared" si="2009"/>
        <v>NA</v>
      </c>
      <c r="Y1482" s="10" t="str">
        <f t="shared" si="2010"/>
        <v>NA</v>
      </c>
      <c r="Z1482" s="10" t="str">
        <f t="shared" si="2011"/>
        <v>NA</v>
      </c>
      <c r="AA1482" s="10">
        <f t="shared" si="2012"/>
        <v>1.5443211190512391</v>
      </c>
      <c r="AB1482" s="10" t="str">
        <f t="shared" si="2013"/>
        <v>NA</v>
      </c>
      <c r="AC1482" s="10" t="str">
        <f t="shared" si="2014"/>
        <v>NA</v>
      </c>
      <c r="AD1482" s="10" t="str">
        <f t="shared" si="2015"/>
        <v>NA</v>
      </c>
      <c r="AE1482" s="10" t="str">
        <f t="shared" si="2016"/>
        <v>NA</v>
      </c>
      <c r="AF1482" s="1" t="s">
        <v>7072</v>
      </c>
    </row>
    <row r="1483" spans="1:32" x14ac:dyDescent="0.2">
      <c r="A1483" s="1" t="s">
        <v>5978</v>
      </c>
      <c r="B1483" s="1" t="s">
        <v>5</v>
      </c>
      <c r="C1483" s="1" t="s">
        <v>1575</v>
      </c>
      <c r="D1483" s="1" t="s">
        <v>1600</v>
      </c>
      <c r="E1483" s="1" t="s">
        <v>1653</v>
      </c>
      <c r="F1483" s="1" t="s">
        <v>101</v>
      </c>
      <c r="G1483" s="4">
        <v>0.09</v>
      </c>
      <c r="H1483" s="28">
        <v>39931</v>
      </c>
      <c r="I1483" s="29">
        <f t="shared" si="2017"/>
        <v>2009</v>
      </c>
      <c r="J1483" s="1" t="s">
        <v>1687</v>
      </c>
      <c r="K1483" s="1" t="s">
        <v>204</v>
      </c>
      <c r="L1483" s="11" t="str">
        <f t="shared" si="1958"/>
        <v>НЕТ</v>
      </c>
      <c r="M1483" s="10">
        <v>1.4E-5</v>
      </c>
      <c r="N1483" s="10" t="s">
        <v>1575</v>
      </c>
      <c r="O1483" s="10">
        <f>M1483*33.3904/1000</f>
        <v>4.6746560000000002E-7</v>
      </c>
      <c r="P1483" s="10">
        <f t="shared" si="2019"/>
        <v>5.1940622222222228E-6</v>
      </c>
      <c r="Q1483" s="10">
        <f t="shared" si="2020"/>
        <v>3.5010554148622219</v>
      </c>
      <c r="R1483" s="10" t="s">
        <v>1575</v>
      </c>
      <c r="S1483" s="10" t="s">
        <v>1575</v>
      </c>
      <c r="T1483" s="10" t="s">
        <v>1575</v>
      </c>
      <c r="U1483" s="10" t="s">
        <v>1575</v>
      </c>
      <c r="V1483" s="10">
        <f>-0.009966*33.3904</f>
        <v>-0.33276872639999999</v>
      </c>
      <c r="W1483" s="10">
        <f>(0.08+0.024852)*33.3904</f>
        <v>3.5010502207999998</v>
      </c>
      <c r="X1483" s="10">
        <f t="shared" si="2009"/>
        <v>3.1682814944</v>
      </c>
      <c r="Y1483" s="10" t="str">
        <f t="shared" si="2010"/>
        <v>NA</v>
      </c>
      <c r="Z1483" s="10" t="str">
        <f t="shared" si="2011"/>
        <v>NA</v>
      </c>
      <c r="AA1483" s="10">
        <f t="shared" si="2012"/>
        <v>-1.560862488014806E-5</v>
      </c>
      <c r="AB1483" s="10" t="str">
        <f t="shared" si="2013"/>
        <v>NA</v>
      </c>
      <c r="AC1483" s="10" t="str">
        <f t="shared" si="2014"/>
        <v>NA</v>
      </c>
      <c r="AD1483" s="10" t="str">
        <f t="shared" si="2015"/>
        <v>NA</v>
      </c>
      <c r="AE1483" s="10">
        <f t="shared" si="2016"/>
        <v>1.1050329401129309</v>
      </c>
      <c r="AF1483" s="1" t="s">
        <v>7073</v>
      </c>
    </row>
    <row r="1484" spans="1:32" x14ac:dyDescent="0.2">
      <c r="A1484" s="1" t="s">
        <v>206</v>
      </c>
      <c r="B1484" s="1" t="s">
        <v>21</v>
      </c>
      <c r="C1484" s="1" t="s">
        <v>1575</v>
      </c>
      <c r="D1484" s="1" t="s">
        <v>1600</v>
      </c>
      <c r="E1484" s="1" t="s">
        <v>1653</v>
      </c>
      <c r="F1484" s="1" t="s">
        <v>207</v>
      </c>
      <c r="G1484" s="4">
        <v>1</v>
      </c>
      <c r="H1484" s="28">
        <v>40117</v>
      </c>
      <c r="I1484" s="29">
        <f t="shared" si="2017"/>
        <v>2009</v>
      </c>
      <c r="J1484" s="1" t="s">
        <v>1687</v>
      </c>
      <c r="K1484" s="1" t="s">
        <v>205</v>
      </c>
      <c r="L1484" s="11" t="str">
        <f t="shared" si="1958"/>
        <v>НЕТ</v>
      </c>
      <c r="M1484" s="10">
        <f>8+3.419</f>
        <v>11.419</v>
      </c>
      <c r="N1484" s="10" t="s">
        <v>1575</v>
      </c>
      <c r="O1484" s="10">
        <f>M1484*29.0488/1000</f>
        <v>0.33170824720000003</v>
      </c>
      <c r="P1484" s="10">
        <f t="shared" si="2019"/>
        <v>0.33170824720000003</v>
      </c>
      <c r="Q1484" s="10">
        <f t="shared" si="2020"/>
        <v>7.2402100584000006</v>
      </c>
      <c r="R1484" s="10" t="s">
        <v>1575</v>
      </c>
      <c r="S1484" s="10" t="s">
        <v>1575</v>
      </c>
      <c r="T1484" s="10" t="s">
        <v>1575</v>
      </c>
      <c r="U1484" s="10" t="s">
        <v>1575</v>
      </c>
      <c r="V1484" s="10">
        <f>-0.057417*29.0488</f>
        <v>-1.6678949496000002</v>
      </c>
      <c r="W1484" s="10">
        <f>(0.010342+0.076314+0.157199-0.000882-0.005149)*29.0488</f>
        <v>6.9085018112000007</v>
      </c>
      <c r="X1484" s="10">
        <f t="shared" si="2009"/>
        <v>5.2406068616000008</v>
      </c>
      <c r="Y1484" s="10" t="str">
        <f t="shared" si="2010"/>
        <v>NA</v>
      </c>
      <c r="Z1484" s="10" t="str">
        <f t="shared" si="2011"/>
        <v>NA</v>
      </c>
      <c r="AA1484" s="10">
        <f t="shared" si="2012"/>
        <v>-0.19887838096730934</v>
      </c>
      <c r="AB1484" s="10" t="str">
        <f t="shared" si="2013"/>
        <v>NA</v>
      </c>
      <c r="AC1484" s="10" t="str">
        <f t="shared" si="2014"/>
        <v>NA</v>
      </c>
      <c r="AD1484" s="10" t="str">
        <f t="shared" si="2015"/>
        <v>NA</v>
      </c>
      <c r="AE1484" s="10">
        <f t="shared" si="2016"/>
        <v>1.3815594738563359</v>
      </c>
      <c r="AF1484" s="1" t="s">
        <v>7074</v>
      </c>
    </row>
    <row r="1485" spans="1:32" x14ac:dyDescent="0.2">
      <c r="A1485" s="1" t="s">
        <v>208</v>
      </c>
      <c r="B1485" s="1" t="s">
        <v>5</v>
      </c>
      <c r="C1485" s="1" t="s">
        <v>1575</v>
      </c>
      <c r="D1485" s="1" t="s">
        <v>1600</v>
      </c>
      <c r="E1485" s="1" t="s">
        <v>1653</v>
      </c>
      <c r="F1485" s="1" t="s">
        <v>202</v>
      </c>
      <c r="G1485" s="4">
        <v>1</v>
      </c>
      <c r="H1485" s="28">
        <v>40117</v>
      </c>
      <c r="I1485" s="29">
        <f t="shared" si="2017"/>
        <v>2009</v>
      </c>
      <c r="J1485" s="1" t="s">
        <v>1687</v>
      </c>
      <c r="K1485" s="1" t="s">
        <v>7</v>
      </c>
      <c r="L1485" s="11" t="str">
        <f t="shared" si="1958"/>
        <v>НЕТ</v>
      </c>
      <c r="M1485" s="10">
        <v>93.991</v>
      </c>
      <c r="N1485" s="10" t="s">
        <v>1575</v>
      </c>
      <c r="O1485" s="10">
        <f>M1485*29.0488/1000</f>
        <v>2.7303257608</v>
      </c>
      <c r="P1485" s="10">
        <f t="shared" si="2019"/>
        <v>2.7303257608</v>
      </c>
      <c r="Q1485" s="10">
        <f t="shared" si="2020"/>
        <v>3.6204971879999999</v>
      </c>
      <c r="R1485" s="10" t="s">
        <v>1575</v>
      </c>
      <c r="S1485" s="10" t="s">
        <v>1575</v>
      </c>
      <c r="T1485" s="10" t="s">
        <v>1575</v>
      </c>
      <c r="U1485" s="10" t="s">
        <v>1575</v>
      </c>
      <c r="V1485" s="10">
        <f>0.130022*29.0488</f>
        <v>3.7769830735999999</v>
      </c>
      <c r="W1485" s="10">
        <f>(0.001363+0.017059+0.019651-0.007429)*29.0488</f>
        <v>0.89017142719999998</v>
      </c>
      <c r="X1485" s="10">
        <f t="shared" si="2009"/>
        <v>4.6671545007999997</v>
      </c>
      <c r="Y1485" s="10" t="str">
        <f t="shared" si="2010"/>
        <v>NA</v>
      </c>
      <c r="Z1485" s="10" t="str">
        <f t="shared" si="2011"/>
        <v>NA</v>
      </c>
      <c r="AA1485" s="10">
        <f t="shared" si="2012"/>
        <v>0.72288535786251562</v>
      </c>
      <c r="AB1485" s="10" t="str">
        <f t="shared" si="2013"/>
        <v>NA</v>
      </c>
      <c r="AC1485" s="10" t="str">
        <f t="shared" si="2014"/>
        <v>NA</v>
      </c>
      <c r="AD1485" s="10" t="str">
        <f t="shared" si="2015"/>
        <v>NA</v>
      </c>
      <c r="AE1485" s="10">
        <f t="shared" si="2016"/>
        <v>0.77573973335988944</v>
      </c>
      <c r="AF1485" s="1" t="s">
        <v>7075</v>
      </c>
    </row>
    <row r="1486" spans="1:32" x14ac:dyDescent="0.2">
      <c r="A1486" s="1" t="s">
        <v>209</v>
      </c>
      <c r="B1486" s="1" t="s">
        <v>5</v>
      </c>
      <c r="C1486" s="1" t="s">
        <v>1575</v>
      </c>
      <c r="D1486" s="1" t="s">
        <v>1600</v>
      </c>
      <c r="E1486" s="1" t="s">
        <v>1688</v>
      </c>
      <c r="F1486" s="1" t="s">
        <v>211</v>
      </c>
      <c r="G1486" s="4">
        <v>1</v>
      </c>
      <c r="H1486" s="28">
        <v>40117</v>
      </c>
      <c r="I1486" s="29">
        <f t="shared" si="2017"/>
        <v>2009</v>
      </c>
      <c r="J1486" s="1" t="s">
        <v>1687</v>
      </c>
      <c r="K1486" s="1" t="s">
        <v>210</v>
      </c>
      <c r="L1486" s="11" t="str">
        <f t="shared" si="1958"/>
        <v>НЕТ</v>
      </c>
      <c r="M1486" s="10">
        <f>65.4+3.926</f>
        <v>69.326000000000008</v>
      </c>
      <c r="N1486" s="10" t="s">
        <v>1575</v>
      </c>
      <c r="O1486" s="10">
        <f t="shared" ref="O1486" si="2021">M1486*29.0488/1000</f>
        <v>2.0138371088000002</v>
      </c>
      <c r="P1486" s="10">
        <f t="shared" si="2019"/>
        <v>2.0138371088000002</v>
      </c>
      <c r="Q1486" s="10">
        <f t="shared" si="2020"/>
        <v>2.9470007600000003</v>
      </c>
      <c r="R1486" s="10" t="s">
        <v>1575</v>
      </c>
      <c r="S1486" s="10" t="s">
        <v>1575</v>
      </c>
      <c r="T1486" s="10" t="s">
        <v>1575</v>
      </c>
      <c r="U1486" s="10" t="s">
        <v>1575</v>
      </c>
      <c r="V1486" s="10">
        <f>0.069326*29.0488</f>
        <v>2.0138371087999998</v>
      </c>
      <c r="W1486" s="10">
        <f>(0.014848+0.017276)*29.0488</f>
        <v>0.9331636512</v>
      </c>
      <c r="X1486" s="10">
        <f t="shared" si="2009"/>
        <v>2.9470007599999999</v>
      </c>
      <c r="Y1486" s="10" t="str">
        <f t="shared" si="2010"/>
        <v>NA</v>
      </c>
      <c r="Z1486" s="10" t="str">
        <f t="shared" si="2011"/>
        <v>NA</v>
      </c>
      <c r="AA1486" s="10">
        <f t="shared" si="2012"/>
        <v>1.0000000000000002</v>
      </c>
      <c r="AB1486" s="10" t="str">
        <f t="shared" si="2013"/>
        <v>NA</v>
      </c>
      <c r="AC1486" s="10" t="str">
        <f t="shared" si="2014"/>
        <v>NA</v>
      </c>
      <c r="AD1486" s="10" t="str">
        <f t="shared" si="2015"/>
        <v>NA</v>
      </c>
      <c r="AE1486" s="10">
        <f t="shared" si="2016"/>
        <v>1.0000000000000002</v>
      </c>
      <c r="AF1486" s="1" t="s">
        <v>7076</v>
      </c>
    </row>
    <row r="1487" spans="1:32" x14ac:dyDescent="0.2">
      <c r="A1487" s="1" t="s">
        <v>7077</v>
      </c>
      <c r="B1487" s="1" t="s">
        <v>5</v>
      </c>
      <c r="C1487" s="1" t="s">
        <v>1575</v>
      </c>
      <c r="D1487" s="1" t="s">
        <v>1600</v>
      </c>
      <c r="E1487" s="1" t="s">
        <v>1688</v>
      </c>
      <c r="F1487" s="1" t="s">
        <v>211</v>
      </c>
      <c r="G1487" s="4">
        <v>0.6</v>
      </c>
      <c r="H1487" s="28">
        <v>45199</v>
      </c>
      <c r="I1487" s="29">
        <f t="shared" ref="I1487" si="2022">YEAR(H1487)</f>
        <v>2023</v>
      </c>
      <c r="J1487" s="1" t="s">
        <v>7</v>
      </c>
      <c r="K1487" s="1" t="s">
        <v>5979</v>
      </c>
      <c r="L1487" s="11" t="str">
        <f t="shared" ref="L1487" si="2023">IF(OR(A1487=J1487,A1487=K1487),"ДА","НЕТ")</f>
        <v>НЕТ</v>
      </c>
      <c r="M1487" s="10" t="s">
        <v>1575</v>
      </c>
      <c r="N1487" s="10" t="s">
        <v>1575</v>
      </c>
      <c r="O1487" s="10">
        <v>5.9999999999999995E-4</v>
      </c>
      <c r="P1487" s="10">
        <f t="shared" si="2019"/>
        <v>1E-3</v>
      </c>
      <c r="Q1487" s="10">
        <f t="shared" si="2020"/>
        <v>0.65867100000000001</v>
      </c>
      <c r="R1487" s="10" t="s">
        <v>1575</v>
      </c>
      <c r="S1487" s="10" t="s">
        <v>1575</v>
      </c>
      <c r="T1487" s="10" t="s">
        <v>1575</v>
      </c>
      <c r="U1487" s="10" t="s">
        <v>1575</v>
      </c>
      <c r="V1487" s="10">
        <v>-7.123E-3</v>
      </c>
      <c r="W1487" s="10">
        <f>0.15662+0.505629-0.004578</f>
        <v>0.65767100000000001</v>
      </c>
      <c r="X1487" s="10">
        <f t="shared" ref="X1487" si="2024">IFERROR(V1487+W1487,"NA")</f>
        <v>0.65054800000000002</v>
      </c>
      <c r="Y1487" s="10" t="str">
        <f t="shared" ref="Y1487" si="2025">IFERROR(P1487/R1487,"NA")</f>
        <v>NA</v>
      </c>
      <c r="Z1487" s="10" t="str">
        <f t="shared" ref="Z1487" si="2026">IFERROR(P1487/U1487,"NA")</f>
        <v>NA</v>
      </c>
      <c r="AA1487" s="10">
        <f t="shared" ref="AA1487" si="2027">IFERROR(P1487/V1487,"NA")</f>
        <v>-0.14039028499227854</v>
      </c>
      <c r="AB1487" s="10" t="str">
        <f t="shared" ref="AB1487" si="2028">IFERROR(Q1487/R1487,"NA")</f>
        <v>NA</v>
      </c>
      <c r="AC1487" s="10" t="str">
        <f t="shared" ref="AC1487" si="2029">IFERROR(Q1487/S1487,"NA")</f>
        <v>NA</v>
      </c>
      <c r="AD1487" s="10" t="str">
        <f t="shared" ref="AD1487" si="2030">IFERROR(Q1487/T1487,"NA")</f>
        <v>NA</v>
      </c>
      <c r="AE1487" s="10">
        <f t="shared" ref="AE1487" si="2031">IFERROR(Q1487/X1487,"NA")</f>
        <v>1.0124863960845318</v>
      </c>
      <c r="AF1487" s="1" t="s">
        <v>7078</v>
      </c>
    </row>
    <row r="1488" spans="1:32" x14ac:dyDescent="0.2">
      <c r="A1488" s="1" t="s">
        <v>1377</v>
      </c>
      <c r="B1488" s="1" t="s">
        <v>5</v>
      </c>
      <c r="C1488" s="1" t="s">
        <v>1575</v>
      </c>
      <c r="D1488" s="1" t="s">
        <v>1600</v>
      </c>
      <c r="E1488" s="1" t="s">
        <v>1653</v>
      </c>
      <c r="F1488" s="1" t="s">
        <v>101</v>
      </c>
      <c r="G1488" s="4">
        <v>0.3</v>
      </c>
      <c r="H1488" s="28">
        <v>44804</v>
      </c>
      <c r="I1488" s="29">
        <f t="shared" si="2017"/>
        <v>2022</v>
      </c>
      <c r="J1488" s="1" t="s">
        <v>5979</v>
      </c>
      <c r="K1488" s="1" t="s">
        <v>7</v>
      </c>
      <c r="L1488" s="11" t="str">
        <f t="shared" si="1958"/>
        <v>НЕТ</v>
      </c>
      <c r="M1488" s="10" t="s">
        <v>1575</v>
      </c>
      <c r="N1488" s="10" t="s">
        <v>1575</v>
      </c>
      <c r="O1488" s="10" t="s">
        <v>1575</v>
      </c>
      <c r="P1488" s="10" t="str">
        <f t="shared" si="2019"/>
        <v>NA</v>
      </c>
      <c r="Q1488" s="10" t="str">
        <f t="shared" si="2020"/>
        <v>NA</v>
      </c>
      <c r="R1488" s="10" t="s">
        <v>1575</v>
      </c>
      <c r="S1488" s="10" t="s">
        <v>1575</v>
      </c>
      <c r="T1488" s="10" t="s">
        <v>1575</v>
      </c>
      <c r="U1488" s="10" t="s">
        <v>1575</v>
      </c>
      <c r="V1488" s="10" t="s">
        <v>1575</v>
      </c>
      <c r="W1488" s="10" t="s">
        <v>1575</v>
      </c>
      <c r="X1488" s="10" t="str">
        <f t="shared" si="2009"/>
        <v>NA</v>
      </c>
      <c r="Y1488" s="10" t="str">
        <f t="shared" si="2010"/>
        <v>NA</v>
      </c>
      <c r="Z1488" s="10" t="str">
        <f t="shared" si="2011"/>
        <v>NA</v>
      </c>
      <c r="AA1488" s="10" t="str">
        <f t="shared" si="2012"/>
        <v>NA</v>
      </c>
      <c r="AB1488" s="10" t="str">
        <f t="shared" si="2013"/>
        <v>NA</v>
      </c>
      <c r="AC1488" s="10" t="str">
        <f t="shared" si="2014"/>
        <v>NA</v>
      </c>
      <c r="AD1488" s="10" t="str">
        <f t="shared" si="2015"/>
        <v>NA</v>
      </c>
      <c r="AE1488" s="10" t="str">
        <f t="shared" si="2016"/>
        <v>NA</v>
      </c>
      <c r="AF1488" s="1" t="s">
        <v>1378</v>
      </c>
    </row>
    <row r="1489" spans="1:32" x14ac:dyDescent="0.2">
      <c r="A1489" s="1" t="s">
        <v>5980</v>
      </c>
      <c r="B1489" s="1" t="s">
        <v>5</v>
      </c>
      <c r="C1489" s="1" t="s">
        <v>1575</v>
      </c>
      <c r="D1489" s="1" t="s">
        <v>1600</v>
      </c>
      <c r="E1489" s="1" t="s">
        <v>1653</v>
      </c>
      <c r="F1489" s="1" t="s">
        <v>101</v>
      </c>
      <c r="G1489" s="4">
        <v>0.33300000000000002</v>
      </c>
      <c r="H1489" s="28">
        <v>44804</v>
      </c>
      <c r="I1489" s="29">
        <f t="shared" si="2017"/>
        <v>2022</v>
      </c>
      <c r="J1489" s="1" t="s">
        <v>5981</v>
      </c>
      <c r="K1489" s="1" t="s">
        <v>7</v>
      </c>
      <c r="L1489" s="11" t="str">
        <f t="shared" si="1958"/>
        <v>НЕТ</v>
      </c>
      <c r="M1489" s="10" t="s">
        <v>1575</v>
      </c>
      <c r="N1489" s="10" t="s">
        <v>1575</v>
      </c>
      <c r="O1489" s="10" t="s">
        <v>1575</v>
      </c>
      <c r="P1489" s="10" t="str">
        <f t="shared" si="2019"/>
        <v>NA</v>
      </c>
      <c r="Q1489" s="10" t="str">
        <f t="shared" si="2020"/>
        <v>NA</v>
      </c>
      <c r="R1489" s="10" t="s">
        <v>1575</v>
      </c>
      <c r="S1489" s="10" t="s">
        <v>1575</v>
      </c>
      <c r="T1489" s="10" t="s">
        <v>1575</v>
      </c>
      <c r="U1489" s="10" t="s">
        <v>1575</v>
      </c>
      <c r="V1489" s="10" t="s">
        <v>1575</v>
      </c>
      <c r="W1489" s="10" t="s">
        <v>1575</v>
      </c>
      <c r="X1489" s="10" t="str">
        <f t="shared" si="2009"/>
        <v>NA</v>
      </c>
      <c r="Y1489" s="10" t="str">
        <f t="shared" si="2010"/>
        <v>NA</v>
      </c>
      <c r="Z1489" s="10" t="str">
        <f t="shared" si="2011"/>
        <v>NA</v>
      </c>
      <c r="AA1489" s="10" t="str">
        <f t="shared" si="2012"/>
        <v>NA</v>
      </c>
      <c r="AB1489" s="10" t="str">
        <f t="shared" si="2013"/>
        <v>NA</v>
      </c>
      <c r="AC1489" s="10" t="str">
        <f t="shared" si="2014"/>
        <v>NA</v>
      </c>
      <c r="AD1489" s="10" t="str">
        <f t="shared" si="2015"/>
        <v>NA</v>
      </c>
      <c r="AE1489" s="10" t="str">
        <f t="shared" si="2016"/>
        <v>NA</v>
      </c>
      <c r="AF1489" s="1" t="s">
        <v>1376</v>
      </c>
    </row>
    <row r="1490" spans="1:32" x14ac:dyDescent="0.2">
      <c r="A1490" s="1" t="s">
        <v>5982</v>
      </c>
      <c r="B1490" s="1" t="s">
        <v>5</v>
      </c>
      <c r="C1490" s="1" t="s">
        <v>1575</v>
      </c>
      <c r="D1490" s="1" t="s">
        <v>1600</v>
      </c>
      <c r="E1490" s="1" t="s">
        <v>1653</v>
      </c>
      <c r="F1490" s="1" t="s">
        <v>101</v>
      </c>
      <c r="G1490" s="4">
        <v>0.75</v>
      </c>
      <c r="H1490" s="28">
        <v>44712</v>
      </c>
      <c r="I1490" s="29">
        <f t="shared" si="2017"/>
        <v>2022</v>
      </c>
      <c r="J1490" s="1" t="s">
        <v>5979</v>
      </c>
      <c r="K1490" s="1" t="s">
        <v>7</v>
      </c>
      <c r="L1490" s="11" t="str">
        <f t="shared" si="1958"/>
        <v>НЕТ</v>
      </c>
      <c r="M1490" s="10" t="s">
        <v>1575</v>
      </c>
      <c r="N1490" s="10" t="s">
        <v>1575</v>
      </c>
      <c r="O1490" s="10" t="s">
        <v>1575</v>
      </c>
      <c r="P1490" s="10" t="str">
        <f t="shared" si="2019"/>
        <v>NA</v>
      </c>
      <c r="Q1490" s="10" t="str">
        <f t="shared" si="2020"/>
        <v>NA</v>
      </c>
      <c r="R1490" s="10" t="s">
        <v>1575</v>
      </c>
      <c r="S1490" s="10" t="s">
        <v>1575</v>
      </c>
      <c r="T1490" s="10" t="s">
        <v>1575</v>
      </c>
      <c r="U1490" s="10" t="s">
        <v>1575</v>
      </c>
      <c r="V1490" s="10" t="s">
        <v>1575</v>
      </c>
      <c r="W1490" s="10" t="s">
        <v>1575</v>
      </c>
      <c r="X1490" s="10" t="str">
        <f t="shared" si="2009"/>
        <v>NA</v>
      </c>
      <c r="Y1490" s="10" t="str">
        <f t="shared" si="2010"/>
        <v>NA</v>
      </c>
      <c r="Z1490" s="10" t="str">
        <f t="shared" si="2011"/>
        <v>NA</v>
      </c>
      <c r="AA1490" s="10" t="str">
        <f t="shared" si="2012"/>
        <v>NA</v>
      </c>
      <c r="AB1490" s="10" t="str">
        <f t="shared" si="2013"/>
        <v>NA</v>
      </c>
      <c r="AC1490" s="10" t="str">
        <f t="shared" si="2014"/>
        <v>NA</v>
      </c>
      <c r="AD1490" s="10" t="str">
        <f t="shared" si="2015"/>
        <v>NA</v>
      </c>
      <c r="AE1490" s="10" t="str">
        <f t="shared" si="2016"/>
        <v>NA</v>
      </c>
      <c r="AF1490" s="1" t="s">
        <v>1375</v>
      </c>
    </row>
    <row r="1491" spans="1:32" x14ac:dyDescent="0.2">
      <c r="A1491" s="1" t="s">
        <v>5983</v>
      </c>
      <c r="B1491" s="1" t="s">
        <v>5</v>
      </c>
      <c r="C1491" s="1" t="s">
        <v>1575</v>
      </c>
      <c r="D1491" s="1" t="s">
        <v>1600</v>
      </c>
      <c r="E1491" s="1" t="s">
        <v>1653</v>
      </c>
      <c r="F1491" s="1" t="s">
        <v>101</v>
      </c>
      <c r="G1491" s="4">
        <v>1</v>
      </c>
      <c r="H1491" s="28">
        <v>44592</v>
      </c>
      <c r="I1491" s="29">
        <f t="shared" si="2017"/>
        <v>2022</v>
      </c>
      <c r="J1491" s="1" t="s">
        <v>5979</v>
      </c>
      <c r="K1491" s="1" t="s">
        <v>7</v>
      </c>
      <c r="L1491" s="11" t="str">
        <f t="shared" si="1958"/>
        <v>НЕТ</v>
      </c>
      <c r="M1491" s="10" t="s">
        <v>1575</v>
      </c>
      <c r="N1491" s="10" t="s">
        <v>1575</v>
      </c>
      <c r="O1491" s="10" t="s">
        <v>1575</v>
      </c>
      <c r="P1491" s="10" t="str">
        <f t="shared" si="2019"/>
        <v>NA</v>
      </c>
      <c r="Q1491" s="10" t="str">
        <f t="shared" si="2020"/>
        <v>NA</v>
      </c>
      <c r="R1491" s="10" t="s">
        <v>1575</v>
      </c>
      <c r="S1491" s="10" t="s">
        <v>1575</v>
      </c>
      <c r="T1491" s="10" t="s">
        <v>1575</v>
      </c>
      <c r="U1491" s="10" t="s">
        <v>1575</v>
      </c>
      <c r="V1491" s="10" t="s">
        <v>1575</v>
      </c>
      <c r="W1491" s="10" t="s">
        <v>1575</v>
      </c>
      <c r="X1491" s="10" t="str">
        <f t="shared" si="2009"/>
        <v>NA</v>
      </c>
      <c r="Y1491" s="10" t="str">
        <f t="shared" si="2010"/>
        <v>NA</v>
      </c>
      <c r="Z1491" s="10" t="str">
        <f t="shared" si="2011"/>
        <v>NA</v>
      </c>
      <c r="AA1491" s="10" t="str">
        <f t="shared" si="2012"/>
        <v>NA</v>
      </c>
      <c r="AB1491" s="10" t="str">
        <f t="shared" si="2013"/>
        <v>NA</v>
      </c>
      <c r="AC1491" s="10" t="str">
        <f t="shared" si="2014"/>
        <v>NA</v>
      </c>
      <c r="AD1491" s="10" t="str">
        <f t="shared" si="2015"/>
        <v>NA</v>
      </c>
      <c r="AE1491" s="10" t="str">
        <f t="shared" si="2016"/>
        <v>NA</v>
      </c>
      <c r="AF1491" s="1" t="s">
        <v>2053</v>
      </c>
    </row>
    <row r="1492" spans="1:32" x14ac:dyDescent="0.2">
      <c r="A1492" s="1" t="s">
        <v>1373</v>
      </c>
      <c r="B1492" s="1" t="s">
        <v>5</v>
      </c>
      <c r="C1492" s="1" t="s">
        <v>1575</v>
      </c>
      <c r="D1492" s="1" t="s">
        <v>1600</v>
      </c>
      <c r="E1492" s="1" t="s">
        <v>1653</v>
      </c>
      <c r="F1492" s="1" t="s">
        <v>101</v>
      </c>
      <c r="G1492" s="4">
        <v>1</v>
      </c>
      <c r="H1492" s="28">
        <v>44651</v>
      </c>
      <c r="I1492" s="29">
        <f t="shared" si="2017"/>
        <v>2022</v>
      </c>
      <c r="J1492" s="1" t="s">
        <v>5984</v>
      </c>
      <c r="K1492" s="1" t="s">
        <v>1372</v>
      </c>
      <c r="L1492" s="11" t="str">
        <f t="shared" si="1958"/>
        <v>НЕТ</v>
      </c>
      <c r="M1492" s="10" t="s">
        <v>1575</v>
      </c>
      <c r="N1492" s="10" t="s">
        <v>1575</v>
      </c>
      <c r="O1492" s="10">
        <v>7.7350000000000003</v>
      </c>
      <c r="P1492" s="10">
        <f t="shared" si="2019"/>
        <v>7.7350000000000003</v>
      </c>
      <c r="Q1492" s="10" t="str">
        <f t="shared" si="2020"/>
        <v>NA</v>
      </c>
      <c r="R1492" s="10" t="s">
        <v>1575</v>
      </c>
      <c r="S1492" s="10" t="s">
        <v>1575</v>
      </c>
      <c r="T1492" s="10" t="s">
        <v>1575</v>
      </c>
      <c r="U1492" s="10" t="s">
        <v>1575</v>
      </c>
      <c r="V1492" s="10" t="s">
        <v>1575</v>
      </c>
      <c r="W1492" s="10" t="s">
        <v>1575</v>
      </c>
      <c r="X1492" s="10" t="str">
        <f t="shared" si="2009"/>
        <v>NA</v>
      </c>
      <c r="Y1492" s="10" t="str">
        <f t="shared" si="2010"/>
        <v>NA</v>
      </c>
      <c r="Z1492" s="10" t="str">
        <f t="shared" si="2011"/>
        <v>NA</v>
      </c>
      <c r="AA1492" s="10" t="str">
        <f t="shared" si="2012"/>
        <v>NA</v>
      </c>
      <c r="AB1492" s="10" t="str">
        <f t="shared" si="2013"/>
        <v>NA</v>
      </c>
      <c r="AC1492" s="10" t="str">
        <f t="shared" si="2014"/>
        <v>NA</v>
      </c>
      <c r="AD1492" s="10" t="str">
        <f t="shared" si="2015"/>
        <v>NA</v>
      </c>
      <c r="AE1492" s="10" t="str">
        <f t="shared" si="2016"/>
        <v>NA</v>
      </c>
      <c r="AF1492" s="1" t="s">
        <v>1371</v>
      </c>
    </row>
    <row r="1493" spans="1:32" x14ac:dyDescent="0.2">
      <c r="A1493" s="1" t="s">
        <v>5979</v>
      </c>
      <c r="B1493" s="1" t="s">
        <v>5</v>
      </c>
      <c r="C1493" s="1" t="s">
        <v>1654</v>
      </c>
      <c r="D1493" s="1" t="s">
        <v>1600</v>
      </c>
      <c r="E1493" s="1" t="s">
        <v>1653</v>
      </c>
      <c r="F1493" s="1" t="s">
        <v>101</v>
      </c>
      <c r="G1493" s="4">
        <f>37645270/992354730</f>
        <v>3.7935295577217636E-2</v>
      </c>
      <c r="H1493" s="28">
        <v>44678</v>
      </c>
      <c r="I1493" s="29">
        <f t="shared" si="2017"/>
        <v>2022</v>
      </c>
      <c r="J1493" s="1" t="s">
        <v>5985</v>
      </c>
      <c r="K1493" s="1" t="s">
        <v>5979</v>
      </c>
      <c r="L1493" s="11" t="str">
        <f t="shared" si="1958"/>
        <v>ДА</v>
      </c>
      <c r="M1493" s="10" t="s">
        <v>1575</v>
      </c>
      <c r="N1493" s="10" t="s">
        <v>1575</v>
      </c>
      <c r="O1493" s="10">
        <f>50.1*37645270/1000000000</f>
        <v>1.8860280270000001</v>
      </c>
      <c r="P1493" s="10">
        <f t="shared" si="2019"/>
        <v>49.716971973</v>
      </c>
      <c r="Q1493" s="10">
        <f t="shared" si="2020"/>
        <v>89.668971972999998</v>
      </c>
      <c r="R1493" s="10">
        <v>35.616</v>
      </c>
      <c r="S1493" s="10">
        <v>17.817999999999998</v>
      </c>
      <c r="T1493" s="10">
        <v>12.334999999999999</v>
      </c>
      <c r="U1493" s="10">
        <v>10.398</v>
      </c>
      <c r="V1493" s="10">
        <v>31.494</v>
      </c>
      <c r="W1493" s="10">
        <v>39.952000000000005</v>
      </c>
      <c r="X1493" s="10">
        <f t="shared" si="2009"/>
        <v>71.445999999999998</v>
      </c>
      <c r="Y1493" s="10">
        <f t="shared" si="2010"/>
        <v>1.3959167782176549</v>
      </c>
      <c r="Z1493" s="10">
        <f t="shared" si="2011"/>
        <v>4.7813975738603576</v>
      </c>
      <c r="AA1493" s="10">
        <f t="shared" si="2012"/>
        <v>1.5786172595732519</v>
      </c>
      <c r="AB1493" s="10">
        <f t="shared" si="2013"/>
        <v>2.5176598150550316</v>
      </c>
      <c r="AC1493" s="10">
        <f t="shared" si="2014"/>
        <v>5.032493656583231</v>
      </c>
      <c r="AD1493" s="10">
        <f t="shared" si="2015"/>
        <v>7.26947482553709</v>
      </c>
      <c r="AE1493" s="10">
        <f t="shared" si="2016"/>
        <v>1.2550593731349551</v>
      </c>
      <c r="AF1493" s="1" t="s">
        <v>1374</v>
      </c>
    </row>
    <row r="1494" spans="1:32" x14ac:dyDescent="0.2">
      <c r="A1494" s="1" t="s">
        <v>1377</v>
      </c>
      <c r="B1494" s="1" t="s">
        <v>5</v>
      </c>
      <c r="C1494" s="1" t="s">
        <v>1575</v>
      </c>
      <c r="D1494" s="1" t="s">
        <v>1600</v>
      </c>
      <c r="E1494" s="1" t="s">
        <v>1653</v>
      </c>
      <c r="F1494" s="1" t="s">
        <v>101</v>
      </c>
      <c r="G1494" s="4">
        <v>0.7</v>
      </c>
      <c r="H1494" s="28">
        <v>44377</v>
      </c>
      <c r="I1494" s="29">
        <f t="shared" ref="I1494:I1495" si="2032">YEAR(H1494)</f>
        <v>2021</v>
      </c>
      <c r="J1494" s="1" t="s">
        <v>5979</v>
      </c>
      <c r="K1494" s="1" t="s">
        <v>7</v>
      </c>
      <c r="L1494" s="11" t="str">
        <f t="shared" ref="L1494:L1495" si="2033">IF(OR(A1494=J1494,A1494=K1494),"ДА","НЕТ")</f>
        <v>НЕТ</v>
      </c>
      <c r="M1494" s="10" t="s">
        <v>1575</v>
      </c>
      <c r="N1494" s="10" t="s">
        <v>1575</v>
      </c>
      <c r="O1494" s="10" t="s">
        <v>1575</v>
      </c>
      <c r="P1494" s="10" t="str">
        <f t="shared" si="2019"/>
        <v>NA</v>
      </c>
      <c r="Q1494" s="10" t="str">
        <f t="shared" si="2020"/>
        <v>NA</v>
      </c>
      <c r="R1494" s="10" t="s">
        <v>1575</v>
      </c>
      <c r="S1494" s="10" t="s">
        <v>1575</v>
      </c>
      <c r="T1494" s="10" t="s">
        <v>1575</v>
      </c>
      <c r="U1494" s="10" t="s">
        <v>1575</v>
      </c>
      <c r="V1494" s="10" t="s">
        <v>1575</v>
      </c>
      <c r="W1494" s="10" t="s">
        <v>1575</v>
      </c>
      <c r="X1494" s="10" t="str">
        <f t="shared" ref="X1494:X1495" si="2034">IFERROR(V1494+W1494,"NA")</f>
        <v>NA</v>
      </c>
      <c r="Y1494" s="10" t="str">
        <f t="shared" ref="Y1494:Y1495" si="2035">IFERROR(P1494/R1494,"NA")</f>
        <v>NA</v>
      </c>
      <c r="Z1494" s="10" t="str">
        <f t="shared" ref="Z1494:Z1495" si="2036">IFERROR(P1494/U1494,"NA")</f>
        <v>NA</v>
      </c>
      <c r="AA1494" s="10" t="str">
        <f t="shared" ref="AA1494:AA1495" si="2037">IFERROR(P1494/V1494,"NA")</f>
        <v>NA</v>
      </c>
      <c r="AB1494" s="10" t="str">
        <f t="shared" ref="AB1494:AB1495" si="2038">IFERROR(Q1494/R1494,"NA")</f>
        <v>NA</v>
      </c>
      <c r="AC1494" s="10" t="str">
        <f t="shared" ref="AC1494:AC1495" si="2039">IFERROR(Q1494/S1494,"NA")</f>
        <v>NA</v>
      </c>
      <c r="AD1494" s="10" t="str">
        <f t="shared" ref="AD1494:AD1495" si="2040">IFERROR(Q1494/T1494,"NA")</f>
        <v>NA</v>
      </c>
      <c r="AE1494" s="10" t="str">
        <f t="shared" ref="AE1494:AE1495" si="2041">IFERROR(Q1494/X1494,"NA")</f>
        <v>NA</v>
      </c>
      <c r="AF1494" s="1" t="s">
        <v>7079</v>
      </c>
    </row>
    <row r="1495" spans="1:32" x14ac:dyDescent="0.2">
      <c r="A1495" s="1" t="s">
        <v>7080</v>
      </c>
      <c r="B1495" s="1" t="s">
        <v>5</v>
      </c>
      <c r="C1495" s="1" t="s">
        <v>1575</v>
      </c>
      <c r="D1495" s="1" t="s">
        <v>1600</v>
      </c>
      <c r="E1495" s="1" t="s">
        <v>1653</v>
      </c>
      <c r="F1495" s="1" t="s">
        <v>101</v>
      </c>
      <c r="G1495" s="4">
        <v>0.75</v>
      </c>
      <c r="H1495" s="28">
        <v>44408</v>
      </c>
      <c r="I1495" s="29">
        <f t="shared" si="2032"/>
        <v>2021</v>
      </c>
      <c r="J1495" s="1" t="s">
        <v>5979</v>
      </c>
      <c r="K1495" s="1" t="s">
        <v>7083</v>
      </c>
      <c r="L1495" s="11" t="str">
        <f t="shared" si="2033"/>
        <v>НЕТ</v>
      </c>
      <c r="M1495" s="10" t="s">
        <v>1575</v>
      </c>
      <c r="N1495" s="10" t="s">
        <v>1575</v>
      </c>
      <c r="O1495" s="10">
        <v>0.04</v>
      </c>
      <c r="P1495" s="10">
        <f t="shared" si="2019"/>
        <v>5.3333333333333337E-2</v>
      </c>
      <c r="Q1495" s="10" t="str">
        <f t="shared" si="2020"/>
        <v>NA</v>
      </c>
      <c r="R1495" s="10" t="s">
        <v>1575</v>
      </c>
      <c r="S1495" s="10" t="s">
        <v>1575</v>
      </c>
      <c r="T1495" s="10" t="s">
        <v>1575</v>
      </c>
      <c r="U1495" s="10" t="s">
        <v>1575</v>
      </c>
      <c r="V1495" s="10" t="s">
        <v>1575</v>
      </c>
      <c r="W1495" s="10" t="s">
        <v>1575</v>
      </c>
      <c r="X1495" s="10" t="str">
        <f t="shared" si="2034"/>
        <v>NA</v>
      </c>
      <c r="Y1495" s="10" t="str">
        <f t="shared" si="2035"/>
        <v>NA</v>
      </c>
      <c r="Z1495" s="10" t="str">
        <f t="shared" si="2036"/>
        <v>NA</v>
      </c>
      <c r="AA1495" s="10" t="str">
        <f t="shared" si="2037"/>
        <v>NA</v>
      </c>
      <c r="AB1495" s="10" t="str">
        <f t="shared" si="2038"/>
        <v>NA</v>
      </c>
      <c r="AC1495" s="10" t="str">
        <f t="shared" si="2039"/>
        <v>NA</v>
      </c>
      <c r="AD1495" s="10" t="str">
        <f t="shared" si="2040"/>
        <v>NA</v>
      </c>
      <c r="AE1495" s="10" t="str">
        <f t="shared" si="2041"/>
        <v>NA</v>
      </c>
      <c r="AF1495" s="1" t="s">
        <v>7084</v>
      </c>
    </row>
    <row r="1496" spans="1:32" x14ac:dyDescent="0.2">
      <c r="A1496" s="1" t="s">
        <v>7081</v>
      </c>
      <c r="B1496" s="1" t="s">
        <v>5</v>
      </c>
      <c r="C1496" s="1" t="s">
        <v>1575</v>
      </c>
      <c r="D1496" s="1" t="s">
        <v>1600</v>
      </c>
      <c r="E1496" s="1" t="s">
        <v>1653</v>
      </c>
      <c r="F1496" s="1" t="s">
        <v>101</v>
      </c>
      <c r="G1496" s="4">
        <v>0.51</v>
      </c>
      <c r="H1496" s="28">
        <v>44530</v>
      </c>
      <c r="I1496" s="29">
        <f t="shared" ref="I1496" si="2042">YEAR(H1496)</f>
        <v>2021</v>
      </c>
      <c r="J1496" s="1" t="s">
        <v>5979</v>
      </c>
      <c r="K1496" s="1" t="s">
        <v>7</v>
      </c>
      <c r="L1496" s="11" t="str">
        <f t="shared" ref="L1496" si="2043">IF(OR(A1496=J1496,A1496=K1496),"ДА","НЕТ")</f>
        <v>НЕТ</v>
      </c>
      <c r="M1496" s="10" t="s">
        <v>1575</v>
      </c>
      <c r="N1496" s="10" t="s">
        <v>1575</v>
      </c>
      <c r="O1496" s="10" t="s">
        <v>1575</v>
      </c>
      <c r="P1496" s="10" t="str">
        <f t="shared" si="2019"/>
        <v>NA</v>
      </c>
      <c r="Q1496" s="10" t="str">
        <f t="shared" si="2020"/>
        <v>NA</v>
      </c>
      <c r="R1496" s="10" t="s">
        <v>1575</v>
      </c>
      <c r="S1496" s="10" t="s">
        <v>1575</v>
      </c>
      <c r="T1496" s="10" t="s">
        <v>1575</v>
      </c>
      <c r="U1496" s="10" t="s">
        <v>1575</v>
      </c>
      <c r="V1496" s="10" t="s">
        <v>1575</v>
      </c>
      <c r="W1496" s="10" t="s">
        <v>1575</v>
      </c>
      <c r="X1496" s="10" t="str">
        <f t="shared" ref="X1496" si="2044">IFERROR(V1496+W1496,"NA")</f>
        <v>NA</v>
      </c>
      <c r="Y1496" s="10" t="str">
        <f t="shared" ref="Y1496" si="2045">IFERROR(P1496/R1496,"NA")</f>
        <v>NA</v>
      </c>
      <c r="Z1496" s="10" t="str">
        <f t="shared" ref="Z1496" si="2046">IFERROR(P1496/U1496,"NA")</f>
        <v>NA</v>
      </c>
      <c r="AA1496" s="10" t="str">
        <f t="shared" ref="AA1496" si="2047">IFERROR(P1496/V1496,"NA")</f>
        <v>NA</v>
      </c>
      <c r="AB1496" s="10" t="str">
        <f t="shared" ref="AB1496" si="2048">IFERROR(Q1496/R1496,"NA")</f>
        <v>NA</v>
      </c>
      <c r="AC1496" s="10" t="str">
        <f t="shared" ref="AC1496" si="2049">IFERROR(Q1496/S1496,"NA")</f>
        <v>NA</v>
      </c>
      <c r="AD1496" s="10" t="str">
        <f t="shared" ref="AD1496" si="2050">IFERROR(Q1496/T1496,"NA")</f>
        <v>NA</v>
      </c>
      <c r="AE1496" s="10" t="str">
        <f t="shared" ref="AE1496" si="2051">IFERROR(Q1496/X1496,"NA")</f>
        <v>NA</v>
      </c>
      <c r="AF1496" s="1" t="s">
        <v>7085</v>
      </c>
    </row>
    <row r="1497" spans="1:32" x14ac:dyDescent="0.2">
      <c r="A1497" s="1" t="s">
        <v>7082</v>
      </c>
      <c r="B1497" s="1" t="s">
        <v>5</v>
      </c>
      <c r="C1497" s="1" t="s">
        <v>1575</v>
      </c>
      <c r="D1497" s="1" t="s">
        <v>1600</v>
      </c>
      <c r="E1497" s="1" t="s">
        <v>1653</v>
      </c>
      <c r="F1497" s="1" t="s">
        <v>101</v>
      </c>
      <c r="G1497" s="4">
        <v>0.99990000000000001</v>
      </c>
      <c r="H1497" s="28">
        <v>44561</v>
      </c>
      <c r="I1497" s="29">
        <f t="shared" ref="I1497:I1498" si="2052">YEAR(H1497)</f>
        <v>2021</v>
      </c>
      <c r="J1497" s="1" t="s">
        <v>5979</v>
      </c>
      <c r="K1497" s="1" t="s">
        <v>7</v>
      </c>
      <c r="L1497" s="11" t="str">
        <f t="shared" ref="L1497:L1498" si="2053">IF(OR(A1497=J1497,A1497=K1497),"ДА","НЕТ")</f>
        <v>НЕТ</v>
      </c>
      <c r="M1497" s="10" t="s">
        <v>1575</v>
      </c>
      <c r="N1497" s="10" t="s">
        <v>1575</v>
      </c>
      <c r="O1497" s="10" t="s">
        <v>1575</v>
      </c>
      <c r="P1497" s="10" t="str">
        <f t="shared" si="2019"/>
        <v>NA</v>
      </c>
      <c r="Q1497" s="10" t="str">
        <f t="shared" si="2020"/>
        <v>NA</v>
      </c>
      <c r="R1497" s="10" t="s">
        <v>1575</v>
      </c>
      <c r="S1497" s="10" t="s">
        <v>1575</v>
      </c>
      <c r="T1497" s="10" t="s">
        <v>1575</v>
      </c>
      <c r="U1497" s="10" t="s">
        <v>1575</v>
      </c>
      <c r="V1497" s="10" t="s">
        <v>1575</v>
      </c>
      <c r="W1497" s="10" t="s">
        <v>1575</v>
      </c>
      <c r="X1497" s="10" t="str">
        <f t="shared" ref="X1497:X1498" si="2054">IFERROR(V1497+W1497,"NA")</f>
        <v>NA</v>
      </c>
      <c r="Y1497" s="10" t="str">
        <f t="shared" ref="Y1497:Y1498" si="2055">IFERROR(P1497/R1497,"NA")</f>
        <v>NA</v>
      </c>
      <c r="Z1497" s="10" t="str">
        <f t="shared" ref="Z1497:Z1498" si="2056">IFERROR(P1497/U1497,"NA")</f>
        <v>NA</v>
      </c>
      <c r="AA1497" s="10" t="str">
        <f t="shared" ref="AA1497:AA1498" si="2057">IFERROR(P1497/V1497,"NA")</f>
        <v>NA</v>
      </c>
      <c r="AB1497" s="10" t="str">
        <f t="shared" ref="AB1497:AB1498" si="2058">IFERROR(Q1497/R1497,"NA")</f>
        <v>NA</v>
      </c>
      <c r="AC1497" s="10" t="str">
        <f t="shared" ref="AC1497:AC1498" si="2059">IFERROR(Q1497/S1497,"NA")</f>
        <v>NA</v>
      </c>
      <c r="AD1497" s="10" t="str">
        <f t="shared" ref="AD1497:AD1498" si="2060">IFERROR(Q1497/T1497,"NA")</f>
        <v>NA</v>
      </c>
      <c r="AE1497" s="10" t="str">
        <f t="shared" ref="AE1497:AE1498" si="2061">IFERROR(Q1497/X1497,"NA")</f>
        <v>NA</v>
      </c>
      <c r="AF1497" s="1" t="s">
        <v>7086</v>
      </c>
    </row>
    <row r="1498" spans="1:32" x14ac:dyDescent="0.2">
      <c r="A1498" s="1" t="s">
        <v>7089</v>
      </c>
      <c r="B1498" s="1" t="s">
        <v>5</v>
      </c>
      <c r="C1498" s="1" t="s">
        <v>1575</v>
      </c>
      <c r="D1498" s="1" t="s">
        <v>1615</v>
      </c>
      <c r="E1498" s="1" t="s">
        <v>1587</v>
      </c>
      <c r="F1498" s="1" t="s">
        <v>422</v>
      </c>
      <c r="G1498" s="4">
        <f>100%-70%</f>
        <v>0.30000000000000004</v>
      </c>
      <c r="H1498" s="28">
        <v>44196</v>
      </c>
      <c r="I1498" s="29">
        <f t="shared" si="2052"/>
        <v>2020</v>
      </c>
      <c r="J1498" s="1" t="s">
        <v>5979</v>
      </c>
      <c r="K1498" s="1" t="s">
        <v>7</v>
      </c>
      <c r="L1498" s="11" t="str">
        <f t="shared" si="2053"/>
        <v>НЕТ</v>
      </c>
      <c r="M1498" s="10" t="s">
        <v>1575</v>
      </c>
      <c r="N1498" s="10" t="s">
        <v>1575</v>
      </c>
      <c r="O1498" s="10" t="s">
        <v>1575</v>
      </c>
      <c r="P1498" s="10" t="str">
        <f t="shared" si="2019"/>
        <v>NA</v>
      </c>
      <c r="Q1498" s="10" t="str">
        <f t="shared" si="2020"/>
        <v>NA</v>
      </c>
      <c r="R1498" s="10" t="s">
        <v>1575</v>
      </c>
      <c r="S1498" s="10" t="s">
        <v>1575</v>
      </c>
      <c r="T1498" s="10" t="s">
        <v>1575</v>
      </c>
      <c r="U1498" s="10" t="s">
        <v>1575</v>
      </c>
      <c r="V1498" s="10" t="s">
        <v>1575</v>
      </c>
      <c r="W1498" s="10" t="s">
        <v>1575</v>
      </c>
      <c r="X1498" s="10" t="str">
        <f t="shared" si="2054"/>
        <v>NA</v>
      </c>
      <c r="Y1498" s="10" t="str">
        <f t="shared" si="2055"/>
        <v>NA</v>
      </c>
      <c r="Z1498" s="10" t="str">
        <f t="shared" si="2056"/>
        <v>NA</v>
      </c>
      <c r="AA1498" s="10" t="str">
        <f t="shared" si="2057"/>
        <v>NA</v>
      </c>
      <c r="AB1498" s="10" t="str">
        <f t="shared" si="2058"/>
        <v>NA</v>
      </c>
      <c r="AC1498" s="10" t="str">
        <f t="shared" si="2059"/>
        <v>NA</v>
      </c>
      <c r="AD1498" s="10" t="str">
        <f t="shared" si="2060"/>
        <v>NA</v>
      </c>
      <c r="AE1498" s="10" t="str">
        <f t="shared" si="2061"/>
        <v>NA</v>
      </c>
      <c r="AF1498" s="1" t="s">
        <v>7088</v>
      </c>
    </row>
    <row r="1499" spans="1:32" x14ac:dyDescent="0.2">
      <c r="A1499" s="1" t="s">
        <v>5986</v>
      </c>
      <c r="B1499" s="1" t="s">
        <v>5</v>
      </c>
      <c r="C1499" s="1" t="s">
        <v>1575</v>
      </c>
      <c r="D1499" s="1" t="s">
        <v>1600</v>
      </c>
      <c r="E1499" s="1" t="s">
        <v>1653</v>
      </c>
      <c r="F1499" s="1" t="s">
        <v>101</v>
      </c>
      <c r="G1499" s="4">
        <v>0.7</v>
      </c>
      <c r="H1499" s="28">
        <v>44196</v>
      </c>
      <c r="I1499" s="29">
        <f t="shared" si="2017"/>
        <v>2020</v>
      </c>
      <c r="J1499" s="1" t="s">
        <v>5979</v>
      </c>
      <c r="K1499" s="1" t="s">
        <v>7</v>
      </c>
      <c r="L1499" s="11" t="str">
        <f t="shared" si="1958"/>
        <v>НЕТ</v>
      </c>
      <c r="M1499" s="10" t="s">
        <v>1575</v>
      </c>
      <c r="N1499" s="10" t="s">
        <v>1575</v>
      </c>
      <c r="O1499" s="10">
        <v>2.4470000000000001</v>
      </c>
      <c r="P1499" s="10">
        <f t="shared" si="2019"/>
        <v>3.495714285714286</v>
      </c>
      <c r="Q1499" s="10">
        <f t="shared" si="2020"/>
        <v>5.5971482857142858</v>
      </c>
      <c r="R1499" s="10">
        <v>2.1703519999999998</v>
      </c>
      <c r="S1499" s="10" t="s">
        <v>1575</v>
      </c>
      <c r="T1499" s="10" t="s">
        <v>1575</v>
      </c>
      <c r="U1499" s="10" t="s">
        <v>1575</v>
      </c>
      <c r="V1499" s="10">
        <v>3.4957150000000001</v>
      </c>
      <c r="W1499" s="10">
        <f>0.009687+2.091754-0.000007</f>
        <v>2.1014339999999998</v>
      </c>
      <c r="X1499" s="10">
        <f t="shared" si="2009"/>
        <v>5.5971489999999999</v>
      </c>
      <c r="Y1499" s="10">
        <f t="shared" si="2010"/>
        <v>1.6106669727833487</v>
      </c>
      <c r="Z1499" s="10" t="str">
        <f t="shared" si="2011"/>
        <v>NA</v>
      </c>
      <c r="AA1499" s="10">
        <f t="shared" si="2012"/>
        <v>0.99999979566820685</v>
      </c>
      <c r="AB1499" s="10">
        <f t="shared" si="2013"/>
        <v>2.5789126767060302</v>
      </c>
      <c r="AC1499" s="10" t="str">
        <f t="shared" si="2014"/>
        <v>NA</v>
      </c>
      <c r="AD1499" s="10" t="str">
        <f t="shared" si="2015"/>
        <v>NA</v>
      </c>
      <c r="AE1499" s="10">
        <f t="shared" si="2016"/>
        <v>0.99999987238400945</v>
      </c>
      <c r="AF1499" s="1" t="s">
        <v>1369</v>
      </c>
    </row>
    <row r="1500" spans="1:32" x14ac:dyDescent="0.2">
      <c r="A1500" s="1" t="s">
        <v>5987</v>
      </c>
      <c r="B1500" s="1" t="s">
        <v>5</v>
      </c>
      <c r="C1500" s="1" t="s">
        <v>1575</v>
      </c>
      <c r="D1500" s="1" t="s">
        <v>1580</v>
      </c>
      <c r="E1500" s="1" t="s">
        <v>1593</v>
      </c>
      <c r="F1500" s="1" t="s">
        <v>214</v>
      </c>
      <c r="G1500" s="4">
        <v>1</v>
      </c>
      <c r="H1500" s="28">
        <v>43861</v>
      </c>
      <c r="I1500" s="29">
        <f t="shared" si="2017"/>
        <v>2020</v>
      </c>
      <c r="J1500" s="1" t="s">
        <v>7</v>
      </c>
      <c r="K1500" s="1" t="s">
        <v>5979</v>
      </c>
      <c r="L1500" s="11" t="str">
        <f t="shared" si="1958"/>
        <v>НЕТ</v>
      </c>
      <c r="M1500" s="10" t="s">
        <v>1575</v>
      </c>
      <c r="N1500" s="10" t="s">
        <v>1575</v>
      </c>
      <c r="O1500" s="10">
        <v>0.41549999999999998</v>
      </c>
      <c r="P1500" s="10">
        <f t="shared" si="2019"/>
        <v>0.41549999999999998</v>
      </c>
      <c r="Q1500" s="10">
        <f t="shared" si="2020"/>
        <v>0.30482499999999996</v>
      </c>
      <c r="R1500" s="10" t="s">
        <v>1575</v>
      </c>
      <c r="S1500" s="10" t="s">
        <v>1575</v>
      </c>
      <c r="T1500" s="10" t="s">
        <v>1575</v>
      </c>
      <c r="U1500" s="10" t="s">
        <v>1575</v>
      </c>
      <c r="V1500" s="10">
        <v>0.114289</v>
      </c>
      <c r="W1500" s="10">
        <f>0.007424-0.000574-0.117525</f>
        <v>-0.11067500000000001</v>
      </c>
      <c r="X1500" s="10">
        <f t="shared" si="2009"/>
        <v>3.6139999999999922E-3</v>
      </c>
      <c r="Y1500" s="10" t="str">
        <f t="shared" si="2010"/>
        <v>NA</v>
      </c>
      <c r="Z1500" s="10" t="str">
        <f t="shared" si="2011"/>
        <v>NA</v>
      </c>
      <c r="AA1500" s="10">
        <f t="shared" si="2012"/>
        <v>3.6355204787862347</v>
      </c>
      <c r="AB1500" s="10" t="str">
        <f t="shared" si="2013"/>
        <v>NA</v>
      </c>
      <c r="AC1500" s="10" t="str">
        <f t="shared" si="2014"/>
        <v>NA</v>
      </c>
      <c r="AD1500" s="10" t="str">
        <f t="shared" si="2015"/>
        <v>NA</v>
      </c>
      <c r="AE1500" s="10">
        <f t="shared" si="2016"/>
        <v>84.345600442722912</v>
      </c>
      <c r="AF1500" s="1" t="s">
        <v>1370</v>
      </c>
    </row>
    <row r="1501" spans="1:32" x14ac:dyDescent="0.2">
      <c r="A1501" s="1" t="s">
        <v>1368</v>
      </c>
      <c r="B1501" s="1" t="s">
        <v>5</v>
      </c>
      <c r="C1501" s="1" t="s">
        <v>1655</v>
      </c>
      <c r="D1501" s="1" t="s">
        <v>1600</v>
      </c>
      <c r="E1501" s="1" t="s">
        <v>1656</v>
      </c>
      <c r="F1501" s="1" t="s">
        <v>1386</v>
      </c>
      <c r="G1501" s="4">
        <v>2.6499999999999999E-2</v>
      </c>
      <c r="H1501" s="28">
        <v>43889</v>
      </c>
      <c r="I1501" s="29">
        <f t="shared" ref="I1501" si="2062">YEAR(H1501)</f>
        <v>2020</v>
      </c>
      <c r="J1501" s="1" t="s">
        <v>5979</v>
      </c>
      <c r="K1501" s="1" t="s">
        <v>7</v>
      </c>
      <c r="L1501" s="11" t="str">
        <f t="shared" ref="L1501" si="2063">IF(OR(A1501=J1501,A1501=K1501),"ДА","НЕТ")</f>
        <v>НЕТ</v>
      </c>
      <c r="M1501" s="10" t="s">
        <v>1575</v>
      </c>
      <c r="N1501" s="10" t="s">
        <v>1575</v>
      </c>
      <c r="O1501" s="10" t="s">
        <v>1575</v>
      </c>
      <c r="P1501" s="10" t="str">
        <f t="shared" si="2019"/>
        <v>NA</v>
      </c>
      <c r="Q1501" s="10" t="str">
        <f t="shared" si="2020"/>
        <v>NA</v>
      </c>
      <c r="R1501" s="10">
        <v>2.04</v>
      </c>
      <c r="S1501" s="10">
        <v>0.314</v>
      </c>
      <c r="T1501" s="10">
        <v>0</v>
      </c>
      <c r="U1501" s="10">
        <v>-0.66900000000000004</v>
      </c>
      <c r="V1501" s="10">
        <v>4.1289999999999996</v>
      </c>
      <c r="W1501" s="10">
        <v>4.8387000000000011</v>
      </c>
      <c r="X1501" s="10">
        <f t="shared" ref="X1501" si="2064">IFERROR(V1501+W1501,"NA")</f>
        <v>8.9677000000000007</v>
      </c>
      <c r="Y1501" s="10" t="str">
        <f t="shared" ref="Y1501" si="2065">IFERROR(P1501/R1501,"NA")</f>
        <v>NA</v>
      </c>
      <c r="Z1501" s="10" t="str">
        <f t="shared" ref="Z1501" si="2066">IFERROR(P1501/U1501,"NA")</f>
        <v>NA</v>
      </c>
      <c r="AA1501" s="10" t="str">
        <f t="shared" ref="AA1501" si="2067">IFERROR(P1501/V1501,"NA")</f>
        <v>NA</v>
      </c>
      <c r="AB1501" s="10" t="str">
        <f t="shared" ref="AB1501" si="2068">IFERROR(Q1501/R1501,"NA")</f>
        <v>NA</v>
      </c>
      <c r="AC1501" s="10" t="str">
        <f t="shared" ref="AC1501" si="2069">IFERROR(Q1501/S1501,"NA")</f>
        <v>NA</v>
      </c>
      <c r="AD1501" s="10" t="str">
        <f t="shared" ref="AD1501" si="2070">IFERROR(Q1501/T1501,"NA")</f>
        <v>NA</v>
      </c>
      <c r="AE1501" s="10" t="str">
        <f t="shared" ref="AE1501" si="2071">IFERROR(Q1501/X1501,"NA")</f>
        <v>NA</v>
      </c>
      <c r="AF1501" s="1" t="s">
        <v>7087</v>
      </c>
    </row>
    <row r="1502" spans="1:32" x14ac:dyDescent="0.2">
      <c r="A1502" s="1" t="s">
        <v>1368</v>
      </c>
      <c r="B1502" s="1" t="s">
        <v>5</v>
      </c>
      <c r="C1502" s="1" t="s">
        <v>1655</v>
      </c>
      <c r="D1502" s="1" t="s">
        <v>1600</v>
      </c>
      <c r="E1502" s="1" t="s">
        <v>1656</v>
      </c>
      <c r="F1502" s="1" t="s">
        <v>1386</v>
      </c>
      <c r="G1502" s="4">
        <v>2.6800000000000001E-2</v>
      </c>
      <c r="H1502" s="28">
        <v>43799</v>
      </c>
      <c r="I1502" s="29">
        <f t="shared" si="2017"/>
        <v>2019</v>
      </c>
      <c r="J1502" s="1" t="s">
        <v>5979</v>
      </c>
      <c r="K1502" s="1" t="s">
        <v>7</v>
      </c>
      <c r="L1502" s="11" t="str">
        <f t="shared" si="1958"/>
        <v>НЕТ</v>
      </c>
      <c r="M1502" s="10" t="s">
        <v>1575</v>
      </c>
      <c r="N1502" s="10" t="s">
        <v>1575</v>
      </c>
      <c r="O1502" s="10">
        <f>0.187353-0.157891</f>
        <v>2.9461999999999988E-2</v>
      </c>
      <c r="P1502" s="10">
        <f t="shared" si="2019"/>
        <v>1.0993283582089548</v>
      </c>
      <c r="Q1502" s="10">
        <f t="shared" si="2020"/>
        <v>4.3193283582089546</v>
      </c>
      <c r="R1502" s="10">
        <v>1.673</v>
      </c>
      <c r="S1502" s="10">
        <v>0.3570000000000001</v>
      </c>
      <c r="T1502" s="10">
        <v>0.23200000000000007</v>
      </c>
      <c r="U1502" s="10">
        <v>-0.17499999999999999</v>
      </c>
      <c r="V1502" s="10">
        <v>4.8070000000000004</v>
      </c>
      <c r="W1502" s="10">
        <v>3.2199999999999993</v>
      </c>
      <c r="X1502" s="10">
        <f t="shared" si="2009"/>
        <v>8.0269999999999992</v>
      </c>
      <c r="Y1502" s="10">
        <f t="shared" si="2010"/>
        <v>0.65710003479315882</v>
      </c>
      <c r="Z1502" s="10">
        <f t="shared" si="2011"/>
        <v>-6.2818763326225993</v>
      </c>
      <c r="AA1502" s="10">
        <f t="shared" si="2012"/>
        <v>0.22869323033263048</v>
      </c>
      <c r="AB1502" s="10">
        <f t="shared" si="2013"/>
        <v>2.581786227261778</v>
      </c>
      <c r="AC1502" s="10">
        <f t="shared" si="2014"/>
        <v>12.098958986579701</v>
      </c>
      <c r="AD1502" s="10">
        <f t="shared" si="2015"/>
        <v>18.617794647452385</v>
      </c>
      <c r="AE1502" s="10">
        <f t="shared" si="2016"/>
        <v>0.53809995741982741</v>
      </c>
      <c r="AF1502" s="1" t="s">
        <v>1382</v>
      </c>
    </row>
    <row r="1503" spans="1:32" x14ac:dyDescent="0.2">
      <c r="A1503" s="1" t="s">
        <v>5988</v>
      </c>
      <c r="B1503" s="1" t="s">
        <v>5</v>
      </c>
      <c r="C1503" s="1" t="s">
        <v>1575</v>
      </c>
      <c r="D1503" s="1" t="s">
        <v>1584</v>
      </c>
      <c r="E1503" s="1" t="s">
        <v>1587</v>
      </c>
      <c r="F1503" s="1" t="s">
        <v>1381</v>
      </c>
      <c r="G1503" s="4">
        <v>1</v>
      </c>
      <c r="H1503" s="28">
        <v>43738</v>
      </c>
      <c r="I1503" s="29">
        <f t="shared" si="2017"/>
        <v>2019</v>
      </c>
      <c r="J1503" s="1" t="s">
        <v>5979</v>
      </c>
      <c r="K1503" s="1" t="s">
        <v>7</v>
      </c>
      <c r="L1503" s="11" t="str">
        <f t="shared" si="1958"/>
        <v>НЕТ</v>
      </c>
      <c r="M1503" s="10" t="s">
        <v>1575</v>
      </c>
      <c r="N1503" s="10" t="s">
        <v>1575</v>
      </c>
      <c r="O1503" s="10">
        <f>0.65015</f>
        <v>0.65015000000000001</v>
      </c>
      <c r="P1503" s="10">
        <f t="shared" si="2019"/>
        <v>0.65015000000000001</v>
      </c>
      <c r="Q1503" s="10">
        <f t="shared" si="2020"/>
        <v>1.0674129999999999</v>
      </c>
      <c r="R1503" s="10" t="s">
        <v>1575</v>
      </c>
      <c r="S1503" s="10" t="s">
        <v>1575</v>
      </c>
      <c r="T1503" s="10" t="s">
        <v>1575</v>
      </c>
      <c r="U1503" s="10" t="s">
        <v>1575</v>
      </c>
      <c r="V1503" s="10">
        <v>0.27495599999999998</v>
      </c>
      <c r="W1503" s="10">
        <f>0.325292+0.094054-0.002083</f>
        <v>0.417263</v>
      </c>
      <c r="X1503" s="10">
        <f t="shared" si="2009"/>
        <v>0.69221899999999992</v>
      </c>
      <c r="Y1503" s="10" t="str">
        <f t="shared" si="2010"/>
        <v>NA</v>
      </c>
      <c r="Z1503" s="10" t="str">
        <f t="shared" si="2011"/>
        <v>NA</v>
      </c>
      <c r="AA1503" s="10">
        <f t="shared" si="2012"/>
        <v>2.3645601478054674</v>
      </c>
      <c r="AB1503" s="10" t="str">
        <f t="shared" si="2013"/>
        <v>NA</v>
      </c>
      <c r="AC1503" s="10" t="str">
        <f t="shared" si="2014"/>
        <v>NA</v>
      </c>
      <c r="AD1503" s="10" t="str">
        <f t="shared" si="2015"/>
        <v>NA</v>
      </c>
      <c r="AE1503" s="10">
        <f t="shared" si="2016"/>
        <v>1.5420163272028073</v>
      </c>
      <c r="AF1503" s="1" t="s">
        <v>1379</v>
      </c>
    </row>
    <row r="1504" spans="1:32" x14ac:dyDescent="0.2">
      <c r="A1504" s="1" t="s">
        <v>5989</v>
      </c>
      <c r="B1504" s="1" t="s">
        <v>5</v>
      </c>
      <c r="C1504" s="1" t="s">
        <v>1575</v>
      </c>
      <c r="D1504" s="1" t="s">
        <v>1584</v>
      </c>
      <c r="E1504" s="1" t="s">
        <v>1587</v>
      </c>
      <c r="F1504" s="1" t="s">
        <v>1381</v>
      </c>
      <c r="G1504" s="4">
        <v>1</v>
      </c>
      <c r="H1504" s="28">
        <v>43738</v>
      </c>
      <c r="I1504" s="29">
        <f t="shared" si="2017"/>
        <v>2019</v>
      </c>
      <c r="J1504" s="1" t="s">
        <v>5979</v>
      </c>
      <c r="K1504" s="1" t="s">
        <v>7</v>
      </c>
      <c r="L1504" s="11" t="str">
        <f t="shared" si="1958"/>
        <v>НЕТ</v>
      </c>
      <c r="M1504" s="10" t="s">
        <v>1575</v>
      </c>
      <c r="N1504" s="10" t="s">
        <v>1575</v>
      </c>
      <c r="O1504" s="10">
        <v>2.1299999999999999E-2</v>
      </c>
      <c r="P1504" s="10">
        <f t="shared" si="2019"/>
        <v>2.1299999999999999E-2</v>
      </c>
      <c r="Q1504" s="10">
        <f t="shared" si="2020"/>
        <v>3.3732999999999999E-2</v>
      </c>
      <c r="R1504" s="10" t="s">
        <v>1575</v>
      </c>
      <c r="S1504" s="10" t="s">
        <v>1575</v>
      </c>
      <c r="T1504" s="10" t="s">
        <v>1575</v>
      </c>
      <c r="U1504" s="10" t="s">
        <v>1575</v>
      </c>
      <c r="V1504" s="10">
        <v>1.3114000000000001E-2</v>
      </c>
      <c r="W1504" s="10">
        <f>0.009483+0.003055-0.000105</f>
        <v>1.2433000000000001E-2</v>
      </c>
      <c r="X1504" s="10">
        <f t="shared" si="2009"/>
        <v>2.5547E-2</v>
      </c>
      <c r="Y1504" s="10" t="str">
        <f t="shared" si="2010"/>
        <v>NA</v>
      </c>
      <c r="Z1504" s="10" t="str">
        <f t="shared" si="2011"/>
        <v>NA</v>
      </c>
      <c r="AA1504" s="10">
        <f t="shared" si="2012"/>
        <v>1.6242183925575719</v>
      </c>
      <c r="AB1504" s="10" t="str">
        <f t="shared" si="2013"/>
        <v>NA</v>
      </c>
      <c r="AC1504" s="10" t="str">
        <f t="shared" si="2014"/>
        <v>NA</v>
      </c>
      <c r="AD1504" s="10" t="str">
        <f t="shared" si="2015"/>
        <v>NA</v>
      </c>
      <c r="AE1504" s="10">
        <f t="shared" si="2016"/>
        <v>1.3204290131913727</v>
      </c>
      <c r="AF1504" s="1" t="s">
        <v>1379</v>
      </c>
    </row>
    <row r="1505" spans="1:32" x14ac:dyDescent="0.2">
      <c r="A1505" s="1" t="s">
        <v>5990</v>
      </c>
      <c r="B1505" s="1" t="s">
        <v>5</v>
      </c>
      <c r="C1505" s="1" t="s">
        <v>1575</v>
      </c>
      <c r="D1505" s="1" t="s">
        <v>1580</v>
      </c>
      <c r="E1505" s="1" t="s">
        <v>1593</v>
      </c>
      <c r="F1505" s="1" t="s">
        <v>1385</v>
      </c>
      <c r="G1505" s="4">
        <v>1</v>
      </c>
      <c r="H1505" s="28">
        <v>43830</v>
      </c>
      <c r="I1505" s="29">
        <f t="shared" si="2017"/>
        <v>2019</v>
      </c>
      <c r="J1505" s="1" t="s">
        <v>7</v>
      </c>
      <c r="K1505" s="1" t="s">
        <v>5979</v>
      </c>
      <c r="L1505" s="11" t="str">
        <f t="shared" ref="L1505:L1609" si="2072">IF(OR(A1505=J1505,A1505=K1505),"ДА","НЕТ")</f>
        <v>НЕТ</v>
      </c>
      <c r="M1505" s="10" t="s">
        <v>1575</v>
      </c>
      <c r="N1505" s="10" t="s">
        <v>1575</v>
      </c>
      <c r="O1505" s="10">
        <v>0.70636200000000005</v>
      </c>
      <c r="P1505" s="10">
        <f t="shared" si="2019"/>
        <v>0.70636200000000005</v>
      </c>
      <c r="Q1505" s="10">
        <f t="shared" si="2020"/>
        <v>0.52171400000000001</v>
      </c>
      <c r="R1505" s="10" t="s">
        <v>1575</v>
      </c>
      <c r="S1505" s="10" t="s">
        <v>1575</v>
      </c>
      <c r="T1505" s="10" t="s">
        <v>1575</v>
      </c>
      <c r="U1505" s="10" t="s">
        <v>1575</v>
      </c>
      <c r="V1505" s="10">
        <v>0.18651499999999999</v>
      </c>
      <c r="W1505" s="10">
        <f>0.015795-0.000359-0.200084</f>
        <v>-0.18464800000000001</v>
      </c>
      <c r="X1505" s="10">
        <f t="shared" si="2009"/>
        <v>1.8669999999999798E-3</v>
      </c>
      <c r="Y1505" s="10" t="str">
        <f t="shared" si="2010"/>
        <v>NA</v>
      </c>
      <c r="Z1505" s="10" t="str">
        <f t="shared" si="2011"/>
        <v>NA</v>
      </c>
      <c r="AA1505" s="10">
        <f t="shared" si="2012"/>
        <v>3.7871592097150368</v>
      </c>
      <c r="AB1505" s="10" t="str">
        <f t="shared" si="2013"/>
        <v>NA</v>
      </c>
      <c r="AC1505" s="10" t="str">
        <f t="shared" si="2014"/>
        <v>NA</v>
      </c>
      <c r="AD1505" s="10" t="str">
        <f t="shared" si="2015"/>
        <v>NA</v>
      </c>
      <c r="AE1505" s="10">
        <f t="shared" si="2016"/>
        <v>279.43974290305607</v>
      </c>
      <c r="AF1505" s="1" t="s">
        <v>1380</v>
      </c>
    </row>
    <row r="1506" spans="1:32" x14ac:dyDescent="0.2">
      <c r="A1506" s="1" t="s">
        <v>1368</v>
      </c>
      <c r="B1506" s="1" t="s">
        <v>5</v>
      </c>
      <c r="C1506" s="1" t="s">
        <v>1655</v>
      </c>
      <c r="D1506" s="1" t="s">
        <v>1600</v>
      </c>
      <c r="E1506" s="1" t="s">
        <v>1656</v>
      </c>
      <c r="F1506" s="1" t="s">
        <v>1386</v>
      </c>
      <c r="G1506" s="4">
        <v>0.88780000000000003</v>
      </c>
      <c r="H1506" s="28">
        <v>43100</v>
      </c>
      <c r="I1506" s="29">
        <f t="shared" si="2017"/>
        <v>2017</v>
      </c>
      <c r="J1506" s="1" t="s">
        <v>5979</v>
      </c>
      <c r="K1506" s="1" t="s">
        <v>7</v>
      </c>
      <c r="L1506" s="11" t="str">
        <f t="shared" si="2072"/>
        <v>НЕТ</v>
      </c>
      <c r="M1506" s="10" t="s">
        <v>1575</v>
      </c>
      <c r="N1506" s="10" t="s">
        <v>1575</v>
      </c>
      <c r="O1506" s="10">
        <v>6.4584950000000001</v>
      </c>
      <c r="P1506" s="10">
        <f t="shared" si="2019"/>
        <v>7.2747184050461815</v>
      </c>
      <c r="Q1506" s="10">
        <f t="shared" si="2020"/>
        <v>7.9583564050461817</v>
      </c>
      <c r="R1506" s="10">
        <v>0.99736499999999995</v>
      </c>
      <c r="S1506" s="10">
        <v>-0.23800000000000013</v>
      </c>
      <c r="T1506" s="10">
        <v>-0.26000000000000012</v>
      </c>
      <c r="U1506" s="10">
        <v>-0.32053300000000001</v>
      </c>
      <c r="V1506" s="10">
        <v>3.5291730000000001</v>
      </c>
      <c r="W1506" s="10">
        <f>3.57552+0.213129-0.000014-3.104997</f>
        <v>0.68363799999999975</v>
      </c>
      <c r="X1506" s="10">
        <f t="shared" si="2009"/>
        <v>4.2128110000000003</v>
      </c>
      <c r="Y1506" s="10">
        <f t="shared" si="2010"/>
        <v>7.2939379314956732</v>
      </c>
      <c r="Z1506" s="10">
        <f t="shared" si="2011"/>
        <v>-22.695692502944102</v>
      </c>
      <c r="AA1506" s="10">
        <f t="shared" si="2012"/>
        <v>2.0613096623617433</v>
      </c>
      <c r="AB1506" s="10">
        <f t="shared" si="2013"/>
        <v>7.9793820768185988</v>
      </c>
      <c r="AC1506" s="10">
        <f t="shared" si="2014"/>
        <v>-33.438472290109992</v>
      </c>
      <c r="AD1506" s="10">
        <f t="shared" si="2015"/>
        <v>-30.609063096331454</v>
      </c>
      <c r="AE1506" s="10">
        <f t="shared" si="2016"/>
        <v>1.8890846052780865</v>
      </c>
      <c r="AF1506" s="1" t="s">
        <v>7090</v>
      </c>
    </row>
    <row r="1507" spans="1:32" x14ac:dyDescent="0.2">
      <c r="A1507" s="1" t="s">
        <v>1368</v>
      </c>
      <c r="B1507" s="1" t="s">
        <v>5</v>
      </c>
      <c r="C1507" s="1" t="s">
        <v>1655</v>
      </c>
      <c r="D1507" s="1" t="s">
        <v>1600</v>
      </c>
      <c r="E1507" s="1" t="s">
        <v>1656</v>
      </c>
      <c r="F1507" s="1" t="s">
        <v>1386</v>
      </c>
      <c r="G1507" s="4">
        <v>3.5000000000000003E-2</v>
      </c>
      <c r="H1507" s="28">
        <v>43039</v>
      </c>
      <c r="I1507" s="29">
        <f t="shared" si="2017"/>
        <v>2017</v>
      </c>
      <c r="J1507" s="1" t="s">
        <v>5979</v>
      </c>
      <c r="K1507" s="1" t="s">
        <v>7</v>
      </c>
      <c r="L1507" s="11" t="str">
        <f t="shared" si="2072"/>
        <v>НЕТ</v>
      </c>
      <c r="M1507" s="10" t="s">
        <v>1575</v>
      </c>
      <c r="N1507" s="10" t="s">
        <v>1575</v>
      </c>
      <c r="O1507" s="10">
        <v>0.117047</v>
      </c>
      <c r="P1507" s="10">
        <f t="shared" si="2019"/>
        <v>3.3441999999999998</v>
      </c>
      <c r="Q1507" s="10">
        <f t="shared" si="2020"/>
        <v>4.0278379999999991</v>
      </c>
      <c r="R1507" s="10">
        <v>0.99736499999999995</v>
      </c>
      <c r="S1507" s="10">
        <v>-2.6000000000000127E-2</v>
      </c>
      <c r="T1507" s="10">
        <v>-4.2000000000000128E-2</v>
      </c>
      <c r="U1507" s="10">
        <v>-0.32053300000000001</v>
      </c>
      <c r="V1507" s="10">
        <v>3.5291730000000001</v>
      </c>
      <c r="W1507" s="10">
        <f t="shared" ref="W1507" si="2073">3.57552+0.213129-0.000014-3.104997</f>
        <v>0.68363799999999975</v>
      </c>
      <c r="X1507" s="10">
        <f t="shared" si="2009"/>
        <v>4.2128110000000003</v>
      </c>
      <c r="Y1507" s="10">
        <f t="shared" si="2010"/>
        <v>3.3530352478781591</v>
      </c>
      <c r="Z1507" s="10">
        <f t="shared" si="2011"/>
        <v>-10.43324712276115</v>
      </c>
      <c r="AA1507" s="10">
        <f t="shared" si="2012"/>
        <v>0.94758743762348852</v>
      </c>
      <c r="AB1507" s="10">
        <f t="shared" si="2013"/>
        <v>4.0384793932010838</v>
      </c>
      <c r="AC1507" s="10">
        <f t="shared" si="2014"/>
        <v>-154.91684615384537</v>
      </c>
      <c r="AD1507" s="10">
        <f t="shared" si="2015"/>
        <v>-95.900904761904457</v>
      </c>
      <c r="AE1507" s="10">
        <f t="shared" si="2016"/>
        <v>0.95609273712967391</v>
      </c>
      <c r="AF1507" s="1" t="s">
        <v>1383</v>
      </c>
    </row>
    <row r="1508" spans="1:32" x14ac:dyDescent="0.2">
      <c r="A1508" s="1" t="s">
        <v>5991</v>
      </c>
      <c r="B1508" s="1" t="s">
        <v>5</v>
      </c>
      <c r="C1508" s="1" t="s">
        <v>1575</v>
      </c>
      <c r="D1508" s="1" t="s">
        <v>1600</v>
      </c>
      <c r="E1508" s="1" t="s">
        <v>1656</v>
      </c>
      <c r="F1508" s="1" t="s">
        <v>1386</v>
      </c>
      <c r="G1508" s="4">
        <v>0.33329999999999999</v>
      </c>
      <c r="H1508" s="28">
        <v>43100</v>
      </c>
      <c r="I1508" s="29">
        <f t="shared" si="2017"/>
        <v>2017</v>
      </c>
      <c r="J1508" s="1" t="s">
        <v>5979</v>
      </c>
      <c r="K1508" s="1" t="s">
        <v>5979</v>
      </c>
      <c r="L1508" s="11" t="str">
        <f t="shared" si="2072"/>
        <v>НЕТ</v>
      </c>
      <c r="M1508" s="10" t="s">
        <v>1575</v>
      </c>
      <c r="N1508" s="10" t="s">
        <v>1575</v>
      </c>
      <c r="O1508" s="10">
        <v>0.54807799999999995</v>
      </c>
      <c r="P1508" s="10">
        <f t="shared" si="2019"/>
        <v>1.6443984398439844</v>
      </c>
      <c r="Q1508" s="10">
        <f t="shared" si="2020"/>
        <v>4.1783014398439846</v>
      </c>
      <c r="R1508" s="10">
        <v>0.82340999999999998</v>
      </c>
      <c r="S1508" s="10" t="s">
        <v>1575</v>
      </c>
      <c r="T1508" s="10" t="s">
        <v>1575</v>
      </c>
      <c r="U1508" s="10">
        <v>1.8E-3</v>
      </c>
      <c r="V1508" s="10">
        <v>2.5623</v>
      </c>
      <c r="W1508" s="10">
        <f>3.006742+0.663719-0.116325-1.020233</f>
        <v>2.5339030000000005</v>
      </c>
      <c r="X1508" s="10">
        <f t="shared" si="2009"/>
        <v>5.0962030000000009</v>
      </c>
      <c r="Y1508" s="10">
        <f t="shared" si="2010"/>
        <v>1.9970591076668784</v>
      </c>
      <c r="Z1508" s="10">
        <f t="shared" si="2011"/>
        <v>913.5546888022136</v>
      </c>
      <c r="AA1508" s="10">
        <f t="shared" si="2012"/>
        <v>0.64176655342621247</v>
      </c>
      <c r="AB1508" s="10">
        <f t="shared" si="2013"/>
        <v>5.0743875345744947</v>
      </c>
      <c r="AC1508" s="10" t="str">
        <f t="shared" si="2014"/>
        <v>NA</v>
      </c>
      <c r="AD1508" s="10" t="str">
        <f t="shared" si="2015"/>
        <v>NA</v>
      </c>
      <c r="AE1508" s="10">
        <f t="shared" si="2016"/>
        <v>0.81988520469926018</v>
      </c>
      <c r="AF1508" s="1" t="s">
        <v>1384</v>
      </c>
    </row>
    <row r="1509" spans="1:32" x14ac:dyDescent="0.2">
      <c r="A1509" s="1" t="s">
        <v>215</v>
      </c>
      <c r="B1509" s="1" t="s">
        <v>5</v>
      </c>
      <c r="C1509" s="1" t="s">
        <v>1575</v>
      </c>
      <c r="D1509" s="1" t="s">
        <v>1575</v>
      </c>
      <c r="E1509" s="1" t="s">
        <v>1575</v>
      </c>
      <c r="F1509" s="1" t="s">
        <v>1575</v>
      </c>
      <c r="G1509" s="4" t="s">
        <v>11</v>
      </c>
      <c r="H1509" s="28">
        <v>42674</v>
      </c>
      <c r="I1509" s="29">
        <f t="shared" si="2017"/>
        <v>2016</v>
      </c>
      <c r="J1509" s="1" t="s">
        <v>7</v>
      </c>
      <c r="K1509" s="1" t="s">
        <v>5979</v>
      </c>
      <c r="L1509" s="11" t="str">
        <f t="shared" si="2072"/>
        <v>НЕТ</v>
      </c>
      <c r="M1509" s="10" t="s">
        <v>1575</v>
      </c>
      <c r="N1509" s="10" t="s">
        <v>1575</v>
      </c>
      <c r="O1509" s="10" t="s">
        <v>1575</v>
      </c>
      <c r="P1509" s="10" t="str">
        <f t="shared" si="2019"/>
        <v>NA</v>
      </c>
      <c r="Q1509" s="10" t="str">
        <f t="shared" si="2020"/>
        <v>NA</v>
      </c>
      <c r="R1509" s="10" t="s">
        <v>1575</v>
      </c>
      <c r="S1509" s="10" t="s">
        <v>1575</v>
      </c>
      <c r="T1509" s="10" t="s">
        <v>1575</v>
      </c>
      <c r="U1509" s="10" t="s">
        <v>1575</v>
      </c>
      <c r="V1509" s="10" t="s">
        <v>1575</v>
      </c>
      <c r="W1509" s="10" t="s">
        <v>1575</v>
      </c>
      <c r="X1509" s="10" t="str">
        <f t="shared" si="2009"/>
        <v>NA</v>
      </c>
      <c r="Y1509" s="10" t="str">
        <f t="shared" si="2010"/>
        <v>NA</v>
      </c>
      <c r="Z1509" s="10" t="str">
        <f t="shared" si="2011"/>
        <v>NA</v>
      </c>
      <c r="AA1509" s="10" t="str">
        <f t="shared" si="2012"/>
        <v>NA</v>
      </c>
      <c r="AB1509" s="10" t="str">
        <f t="shared" si="2013"/>
        <v>NA</v>
      </c>
      <c r="AC1509" s="10" t="str">
        <f t="shared" si="2014"/>
        <v>NA</v>
      </c>
      <c r="AD1509" s="10" t="str">
        <f t="shared" si="2015"/>
        <v>NA</v>
      </c>
      <c r="AE1509" s="10" t="str">
        <f t="shared" si="2016"/>
        <v>NA</v>
      </c>
      <c r="AF1509" s="1" t="s">
        <v>1387</v>
      </c>
    </row>
    <row r="1510" spans="1:32" x14ac:dyDescent="0.2">
      <c r="A1510" s="1" t="s">
        <v>5988</v>
      </c>
      <c r="B1510" s="1" t="s">
        <v>5</v>
      </c>
      <c r="C1510" s="1" t="s">
        <v>1575</v>
      </c>
      <c r="D1510" s="1" t="s">
        <v>1584</v>
      </c>
      <c r="E1510" s="1" t="s">
        <v>1587</v>
      </c>
      <c r="F1510" s="1" t="s">
        <v>213</v>
      </c>
      <c r="G1510" s="4">
        <v>1</v>
      </c>
      <c r="H1510" s="28">
        <v>42185</v>
      </c>
      <c r="I1510" s="29">
        <f t="shared" si="2017"/>
        <v>2015</v>
      </c>
      <c r="J1510" s="1" t="s">
        <v>212</v>
      </c>
      <c r="K1510" s="1" t="s">
        <v>5979</v>
      </c>
      <c r="L1510" s="11" t="str">
        <f t="shared" si="2072"/>
        <v>НЕТ</v>
      </c>
      <c r="M1510" s="10" t="s">
        <v>1575</v>
      </c>
      <c r="N1510" s="10" t="s">
        <v>1575</v>
      </c>
      <c r="O1510" s="10">
        <v>0.245729</v>
      </c>
      <c r="P1510" s="10">
        <f t="shared" si="2019"/>
        <v>0.245729</v>
      </c>
      <c r="Q1510" s="10">
        <f t="shared" si="2020"/>
        <v>0.34744200000000003</v>
      </c>
      <c r="R1510" s="10" t="s">
        <v>1575</v>
      </c>
      <c r="S1510" s="10" t="s">
        <v>1575</v>
      </c>
      <c r="T1510" s="10" t="s">
        <v>1575</v>
      </c>
      <c r="U1510" s="10" t="s">
        <v>1575</v>
      </c>
      <c r="V1510" s="10">
        <v>8.8396000000000002E-2</v>
      </c>
      <c r="W1510" s="10">
        <f>0.103779+0.001263-0.003329</f>
        <v>0.101713</v>
      </c>
      <c r="X1510" s="10">
        <f t="shared" si="2009"/>
        <v>0.190109</v>
      </c>
      <c r="Y1510" s="10" t="str">
        <f t="shared" si="2010"/>
        <v>NA</v>
      </c>
      <c r="Z1510" s="10" t="str">
        <f t="shared" si="2011"/>
        <v>NA</v>
      </c>
      <c r="AA1510" s="10">
        <f t="shared" si="2012"/>
        <v>2.7798656047784966</v>
      </c>
      <c r="AB1510" s="10" t="str">
        <f t="shared" si="2013"/>
        <v>NA</v>
      </c>
      <c r="AC1510" s="10" t="str">
        <f t="shared" si="2014"/>
        <v>NA</v>
      </c>
      <c r="AD1510" s="10" t="str">
        <f t="shared" si="2015"/>
        <v>NA</v>
      </c>
      <c r="AE1510" s="10">
        <f t="shared" si="2016"/>
        <v>1.8275936436465399</v>
      </c>
      <c r="AF1510" s="1" t="s">
        <v>7091</v>
      </c>
    </row>
    <row r="1511" spans="1:32" x14ac:dyDescent="0.2">
      <c r="A1511" s="1" t="s">
        <v>1368</v>
      </c>
      <c r="B1511" s="1" t="s">
        <v>5</v>
      </c>
      <c r="C1511" s="1" t="s">
        <v>1655</v>
      </c>
      <c r="D1511" s="1" t="s">
        <v>1600</v>
      </c>
      <c r="E1511" s="1" t="s">
        <v>1656</v>
      </c>
      <c r="F1511" s="1" t="s">
        <v>1386</v>
      </c>
      <c r="G1511" s="4">
        <v>0.25</v>
      </c>
      <c r="H1511" s="28">
        <v>41639</v>
      </c>
      <c r="I1511" s="29">
        <f t="shared" ref="I1511" si="2074">YEAR(H1511)</f>
        <v>2013</v>
      </c>
      <c r="J1511" s="1" t="s">
        <v>5979</v>
      </c>
      <c r="K1511" s="1" t="s">
        <v>7</v>
      </c>
      <c r="L1511" s="11" t="str">
        <f t="shared" ref="L1511" si="2075">IF(OR(A1511=J1511,A1511=K1511),"ДА","НЕТ")</f>
        <v>НЕТ</v>
      </c>
      <c r="M1511" s="10">
        <v>23.187000000000001</v>
      </c>
      <c r="N1511" s="10" t="s">
        <v>1575</v>
      </c>
      <c r="O1511" s="10">
        <v>0.73994400000000005</v>
      </c>
      <c r="P1511" s="10">
        <f t="shared" si="2019"/>
        <v>2.9597760000000002</v>
      </c>
      <c r="Q1511" s="10">
        <f t="shared" si="2020"/>
        <v>3.2327760000000003</v>
      </c>
      <c r="R1511" s="10">
        <v>0</v>
      </c>
      <c r="S1511" s="10">
        <v>0.16499999999999976</v>
      </c>
      <c r="T1511" s="10">
        <v>0.16099999999999975</v>
      </c>
      <c r="U1511" s="10">
        <v>0.29699999999999999</v>
      </c>
      <c r="V1511" s="10">
        <v>3.1880000000000002</v>
      </c>
      <c r="W1511" s="10">
        <v>0.27300000000000013</v>
      </c>
      <c r="X1511" s="10">
        <f t="shared" ref="X1511" si="2076">IFERROR(V1511+W1511,"NA")</f>
        <v>3.4610000000000003</v>
      </c>
      <c r="Y1511" s="10" t="str">
        <f t="shared" ref="Y1511" si="2077">IFERROR(P1511/R1511,"NA")</f>
        <v>NA</v>
      </c>
      <c r="Z1511" s="10">
        <f t="shared" ref="Z1511" si="2078">IFERROR(P1511/U1511,"NA")</f>
        <v>9.965575757575758</v>
      </c>
      <c r="AA1511" s="10">
        <f t="shared" ref="AA1511" si="2079">IFERROR(P1511/V1511,"NA")</f>
        <v>0.92841154328732745</v>
      </c>
      <c r="AB1511" s="10" t="str">
        <f t="shared" ref="AB1511" si="2080">IFERROR(Q1511/R1511,"NA")</f>
        <v>NA</v>
      </c>
      <c r="AC1511" s="10">
        <f t="shared" ref="AC1511" si="2081">IFERROR(Q1511/S1511,"NA")</f>
        <v>19.592581818181849</v>
      </c>
      <c r="AD1511" s="10">
        <f t="shared" ref="AD1511" si="2082">IFERROR(Q1511/T1511,"NA")</f>
        <v>20.079354037267112</v>
      </c>
      <c r="AE1511" s="10">
        <f t="shared" ref="AE1511" si="2083">IFERROR(Q1511/X1511,"NA")</f>
        <v>0.93405836463449876</v>
      </c>
      <c r="AF1511" s="1" t="s">
        <v>7093</v>
      </c>
    </row>
    <row r="1512" spans="1:32" x14ac:dyDescent="0.2">
      <c r="A1512" s="1" t="s">
        <v>5992</v>
      </c>
      <c r="B1512" s="1" t="s">
        <v>5</v>
      </c>
      <c r="C1512" s="1" t="s">
        <v>1575</v>
      </c>
      <c r="D1512" s="1" t="s">
        <v>1580</v>
      </c>
      <c r="E1512" s="1" t="s">
        <v>1593</v>
      </c>
      <c r="F1512" s="1" t="s">
        <v>214</v>
      </c>
      <c r="G1512" s="4">
        <v>1</v>
      </c>
      <c r="H1512" s="28">
        <v>41274</v>
      </c>
      <c r="I1512" s="29">
        <f t="shared" si="2017"/>
        <v>2012</v>
      </c>
      <c r="J1512" s="1" t="s">
        <v>5979</v>
      </c>
      <c r="K1512" s="1" t="s">
        <v>7</v>
      </c>
      <c r="L1512" s="11" t="str">
        <f t="shared" si="2072"/>
        <v>НЕТ</v>
      </c>
      <c r="M1512" s="10">
        <v>21.571999999999999</v>
      </c>
      <c r="N1512" s="10" t="s">
        <v>1575</v>
      </c>
      <c r="O1512" s="10">
        <f>M1512*30.3727/1000</f>
        <v>0.65519988439999999</v>
      </c>
      <c r="P1512" s="10">
        <f t="shared" si="2019"/>
        <v>0.65519988439999999</v>
      </c>
      <c r="Q1512" s="10" t="str">
        <f t="shared" si="2020"/>
        <v>NA</v>
      </c>
      <c r="R1512" s="10" t="s">
        <v>1575</v>
      </c>
      <c r="S1512" s="10" t="s">
        <v>1575</v>
      </c>
      <c r="T1512" s="10" t="s">
        <v>1575</v>
      </c>
      <c r="U1512" s="10" t="s">
        <v>1575</v>
      </c>
      <c r="V1512" s="10" t="s">
        <v>1575</v>
      </c>
      <c r="W1512" s="10" t="s">
        <v>1575</v>
      </c>
      <c r="X1512" s="10" t="str">
        <f t="shared" si="2009"/>
        <v>NA</v>
      </c>
      <c r="Y1512" s="10" t="str">
        <f t="shared" si="2010"/>
        <v>NA</v>
      </c>
      <c r="Z1512" s="10" t="str">
        <f t="shared" si="2011"/>
        <v>NA</v>
      </c>
      <c r="AA1512" s="10" t="str">
        <f t="shared" si="2012"/>
        <v>NA</v>
      </c>
      <c r="AB1512" s="10" t="str">
        <f t="shared" si="2013"/>
        <v>NA</v>
      </c>
      <c r="AC1512" s="10" t="str">
        <f t="shared" si="2014"/>
        <v>NA</v>
      </c>
      <c r="AD1512" s="10" t="str">
        <f t="shared" si="2015"/>
        <v>NA</v>
      </c>
      <c r="AE1512" s="10" t="str">
        <f t="shared" si="2016"/>
        <v>NA</v>
      </c>
      <c r="AF1512" s="1" t="s">
        <v>7092</v>
      </c>
    </row>
    <row r="1513" spans="1:32" x14ac:dyDescent="0.2">
      <c r="A1513" s="1" t="s">
        <v>5988</v>
      </c>
      <c r="B1513" s="1" t="s">
        <v>5</v>
      </c>
      <c r="C1513" s="1" t="s">
        <v>1575</v>
      </c>
      <c r="D1513" s="1" t="s">
        <v>1584</v>
      </c>
      <c r="E1513" s="1" t="s">
        <v>1587</v>
      </c>
      <c r="F1513" s="1" t="s">
        <v>213</v>
      </c>
      <c r="G1513" s="4">
        <v>1</v>
      </c>
      <c r="H1513" s="28">
        <v>40543</v>
      </c>
      <c r="I1513" s="29">
        <f t="shared" si="2017"/>
        <v>2010</v>
      </c>
      <c r="J1513" s="1" t="s">
        <v>5979</v>
      </c>
      <c r="K1513" s="1" t="s">
        <v>7</v>
      </c>
      <c r="L1513" s="11" t="str">
        <f t="shared" si="2072"/>
        <v>НЕТ</v>
      </c>
      <c r="M1513" s="10" t="s">
        <v>1575</v>
      </c>
      <c r="N1513" s="10" t="s">
        <v>1575</v>
      </c>
      <c r="O1513" s="10" t="s">
        <v>1575</v>
      </c>
      <c r="P1513" s="10" t="str">
        <f t="shared" si="2019"/>
        <v>NA</v>
      </c>
      <c r="Q1513" s="10" t="str">
        <f t="shared" si="2020"/>
        <v>NA</v>
      </c>
      <c r="R1513" s="10" t="s">
        <v>1575</v>
      </c>
      <c r="S1513" s="10" t="s">
        <v>1575</v>
      </c>
      <c r="T1513" s="10" t="s">
        <v>1575</v>
      </c>
      <c r="U1513" s="10" t="s">
        <v>1575</v>
      </c>
      <c r="V1513" s="10" t="s">
        <v>1575</v>
      </c>
      <c r="W1513" s="10" t="s">
        <v>1575</v>
      </c>
      <c r="X1513" s="10" t="str">
        <f t="shared" si="2009"/>
        <v>NA</v>
      </c>
      <c r="Y1513" s="10" t="str">
        <f t="shared" si="2010"/>
        <v>NA</v>
      </c>
      <c r="Z1513" s="10" t="str">
        <f t="shared" si="2011"/>
        <v>NA</v>
      </c>
      <c r="AA1513" s="10" t="str">
        <f t="shared" si="2012"/>
        <v>NA</v>
      </c>
      <c r="AB1513" s="10" t="str">
        <f t="shared" si="2013"/>
        <v>NA</v>
      </c>
      <c r="AC1513" s="10" t="str">
        <f t="shared" si="2014"/>
        <v>NA</v>
      </c>
      <c r="AD1513" s="10" t="str">
        <f t="shared" si="2015"/>
        <v>NA</v>
      </c>
      <c r="AE1513" s="10" t="str">
        <f t="shared" si="2016"/>
        <v>NA</v>
      </c>
      <c r="AF1513" s="1" t="s">
        <v>7094</v>
      </c>
    </row>
    <row r="1514" spans="1:32" x14ac:dyDescent="0.2">
      <c r="A1514" s="1" t="s">
        <v>215</v>
      </c>
      <c r="B1514" s="1" t="s">
        <v>5</v>
      </c>
      <c r="C1514" s="1" t="s">
        <v>1575</v>
      </c>
      <c r="D1514" s="1" t="s">
        <v>1600</v>
      </c>
      <c r="E1514" s="1" t="s">
        <v>1653</v>
      </c>
      <c r="F1514" s="1" t="s">
        <v>101</v>
      </c>
      <c r="G1514" s="4">
        <v>1</v>
      </c>
      <c r="H1514" s="28">
        <v>40878</v>
      </c>
      <c r="I1514" s="29">
        <f t="shared" si="2017"/>
        <v>2011</v>
      </c>
      <c r="J1514" s="1" t="s">
        <v>5979</v>
      </c>
      <c r="K1514" s="1" t="s">
        <v>216</v>
      </c>
      <c r="L1514" s="11" t="str">
        <f t="shared" si="2072"/>
        <v>НЕТ</v>
      </c>
      <c r="M1514" s="10">
        <v>6.27</v>
      </c>
      <c r="N1514" s="10" t="s">
        <v>1575</v>
      </c>
      <c r="O1514" s="10">
        <f>M1514*31.4001/1000</f>
        <v>0.19687862699999997</v>
      </c>
      <c r="P1514" s="10">
        <f t="shared" si="2019"/>
        <v>0.19687862699999997</v>
      </c>
      <c r="Q1514" s="10" t="str">
        <f t="shared" si="2020"/>
        <v>NA</v>
      </c>
      <c r="R1514" s="10" t="s">
        <v>1575</v>
      </c>
      <c r="S1514" s="10" t="s">
        <v>1575</v>
      </c>
      <c r="T1514" s="10" t="s">
        <v>1575</v>
      </c>
      <c r="U1514" s="10" t="s">
        <v>1575</v>
      </c>
      <c r="V1514" s="10">
        <f>0.005052*31.4001</f>
        <v>0.15863330519999999</v>
      </c>
      <c r="W1514" s="10" t="s">
        <v>1575</v>
      </c>
      <c r="X1514" s="10" t="str">
        <f t="shared" si="2009"/>
        <v>NA</v>
      </c>
      <c r="Y1514" s="10" t="str">
        <f t="shared" si="2010"/>
        <v>NA</v>
      </c>
      <c r="Z1514" s="10" t="str">
        <f t="shared" si="2011"/>
        <v>NA</v>
      </c>
      <c r="AA1514" s="10">
        <f t="shared" si="2012"/>
        <v>1.2410926365795723</v>
      </c>
      <c r="AB1514" s="10" t="str">
        <f t="shared" si="2013"/>
        <v>NA</v>
      </c>
      <c r="AC1514" s="10" t="str">
        <f t="shared" si="2014"/>
        <v>NA</v>
      </c>
      <c r="AD1514" s="10" t="str">
        <f t="shared" si="2015"/>
        <v>NA</v>
      </c>
      <c r="AE1514" s="10" t="str">
        <f t="shared" si="2016"/>
        <v>NA</v>
      </c>
      <c r="AF1514" s="1" t="s">
        <v>7095</v>
      </c>
    </row>
    <row r="1515" spans="1:32" x14ac:dyDescent="0.2">
      <c r="A1515" s="1" t="s">
        <v>7102</v>
      </c>
      <c r="B1515" s="1" t="s">
        <v>5</v>
      </c>
      <c r="C1515" s="1" t="s">
        <v>1575</v>
      </c>
      <c r="D1515" s="1" t="s">
        <v>1600</v>
      </c>
      <c r="E1515" s="1" t="s">
        <v>1653</v>
      </c>
      <c r="F1515" s="1" t="s">
        <v>101</v>
      </c>
      <c r="G1515" s="4" t="s">
        <v>2522</v>
      </c>
      <c r="H1515" s="28">
        <v>40908</v>
      </c>
      <c r="I1515" s="29">
        <f t="shared" ref="I1515" si="2084">YEAR(H1515)</f>
        <v>2011</v>
      </c>
      <c r="J1515" s="1" t="s">
        <v>5979</v>
      </c>
      <c r="K1515" s="1" t="s">
        <v>7</v>
      </c>
      <c r="L1515" s="11" t="str">
        <f t="shared" ref="L1515" si="2085">IF(OR(A1515=J1515,A1515=K1515),"ДА","НЕТ")</f>
        <v>НЕТ</v>
      </c>
      <c r="M1515" s="10" t="s">
        <v>1575</v>
      </c>
      <c r="N1515" s="10" t="s">
        <v>1575</v>
      </c>
      <c r="O1515" s="10" t="s">
        <v>1575</v>
      </c>
      <c r="P1515" s="10" t="str">
        <f t="shared" si="2019"/>
        <v>NA</v>
      </c>
      <c r="Q1515" s="10" t="str">
        <f t="shared" si="2020"/>
        <v>NA</v>
      </c>
      <c r="R1515" s="10" t="s">
        <v>1575</v>
      </c>
      <c r="S1515" s="10" t="s">
        <v>1575</v>
      </c>
      <c r="T1515" s="10" t="s">
        <v>1575</v>
      </c>
      <c r="U1515" s="10" t="s">
        <v>1575</v>
      </c>
      <c r="V1515" s="10" t="s">
        <v>1575</v>
      </c>
      <c r="W1515" s="10" t="s">
        <v>1575</v>
      </c>
      <c r="X1515" s="10" t="str">
        <f t="shared" ref="X1515" si="2086">IFERROR(V1515+W1515,"NA")</f>
        <v>NA</v>
      </c>
      <c r="Y1515" s="10" t="str">
        <f t="shared" ref="Y1515" si="2087">IFERROR(P1515/R1515,"NA")</f>
        <v>NA</v>
      </c>
      <c r="Z1515" s="10" t="str">
        <f t="shared" ref="Z1515" si="2088">IFERROR(P1515/U1515,"NA")</f>
        <v>NA</v>
      </c>
      <c r="AA1515" s="10" t="str">
        <f t="shared" ref="AA1515" si="2089">IFERROR(P1515/V1515,"NA")</f>
        <v>NA</v>
      </c>
      <c r="AB1515" s="10" t="str">
        <f t="shared" ref="AB1515" si="2090">IFERROR(Q1515/R1515,"NA")</f>
        <v>NA</v>
      </c>
      <c r="AC1515" s="10" t="str">
        <f t="shared" ref="AC1515" si="2091">IFERROR(Q1515/S1515,"NA")</f>
        <v>NA</v>
      </c>
      <c r="AD1515" s="10" t="str">
        <f t="shared" ref="AD1515" si="2092">IFERROR(Q1515/T1515,"NA")</f>
        <v>NA</v>
      </c>
      <c r="AE1515" s="10" t="str">
        <f t="shared" ref="AE1515" si="2093">IFERROR(Q1515/X1515,"NA")</f>
        <v>NA</v>
      </c>
      <c r="AF1515" s="1" t="s">
        <v>7096</v>
      </c>
    </row>
    <row r="1516" spans="1:32" x14ac:dyDescent="0.2">
      <c r="A1516" s="1" t="s">
        <v>217</v>
      </c>
      <c r="B1516" s="1" t="s">
        <v>5</v>
      </c>
      <c r="C1516" s="1" t="s">
        <v>1575</v>
      </c>
      <c r="D1516" s="1" t="s">
        <v>1600</v>
      </c>
      <c r="E1516" s="1" t="s">
        <v>1653</v>
      </c>
      <c r="F1516" s="1" t="s">
        <v>101</v>
      </c>
      <c r="G1516" s="4">
        <v>0.67</v>
      </c>
      <c r="H1516" s="28">
        <v>40543</v>
      </c>
      <c r="I1516" s="29">
        <f t="shared" si="2017"/>
        <v>2010</v>
      </c>
      <c r="J1516" s="1" t="s">
        <v>5979</v>
      </c>
      <c r="K1516" s="1" t="s">
        <v>218</v>
      </c>
      <c r="L1516" s="11" t="str">
        <f t="shared" si="2072"/>
        <v>НЕТ</v>
      </c>
      <c r="M1516" s="10">
        <v>20.363</v>
      </c>
      <c r="N1516" s="10" t="s">
        <v>1575</v>
      </c>
      <c r="O1516" s="10">
        <f>M1516*30.4769/1000</f>
        <v>0.62060111470000001</v>
      </c>
      <c r="P1516" s="10">
        <f t="shared" si="2019"/>
        <v>0.92627032044776114</v>
      </c>
      <c r="Q1516" s="10">
        <f t="shared" si="2020"/>
        <v>1.573873968547761</v>
      </c>
      <c r="R1516" s="10" t="s">
        <v>1575</v>
      </c>
      <c r="S1516" s="10" t="s">
        <v>1575</v>
      </c>
      <c r="T1516" s="10" t="s">
        <v>1575</v>
      </c>
      <c r="U1516" s="10" t="s">
        <v>1575</v>
      </c>
      <c r="V1516" s="10">
        <f>0.032176*30.4769</f>
        <v>0.98062473440000009</v>
      </c>
      <c r="W1516" s="10">
        <f>(0.009682+0.01197-0.000403)*30.4769</f>
        <v>0.64760364809999993</v>
      </c>
      <c r="X1516" s="10">
        <f t="shared" si="2009"/>
        <v>1.6282283825000001</v>
      </c>
      <c r="Y1516" s="10" t="str">
        <f t="shared" si="2010"/>
        <v>NA</v>
      </c>
      <c r="Z1516" s="10" t="str">
        <f t="shared" si="2011"/>
        <v>NA</v>
      </c>
      <c r="AA1516" s="10">
        <f t="shared" si="2012"/>
        <v>0.9445716469863511</v>
      </c>
      <c r="AB1516" s="10" t="str">
        <f t="shared" si="2013"/>
        <v>NA</v>
      </c>
      <c r="AC1516" s="10" t="str">
        <f t="shared" si="2014"/>
        <v>NA</v>
      </c>
      <c r="AD1516" s="10" t="str">
        <f t="shared" si="2015"/>
        <v>NA</v>
      </c>
      <c r="AE1516" s="10">
        <f t="shared" si="2016"/>
        <v>0.96661745088315998</v>
      </c>
      <c r="AF1516" s="1" t="s">
        <v>7097</v>
      </c>
    </row>
    <row r="1517" spans="1:32" x14ac:dyDescent="0.2">
      <c r="A1517" s="1" t="s">
        <v>219</v>
      </c>
      <c r="B1517" s="1" t="s">
        <v>5</v>
      </c>
      <c r="C1517" s="1" t="s">
        <v>1575</v>
      </c>
      <c r="D1517" s="1" t="s">
        <v>1580</v>
      </c>
      <c r="E1517" s="1" t="s">
        <v>1698</v>
      </c>
      <c r="F1517" s="1" t="s">
        <v>220</v>
      </c>
      <c r="G1517" s="4">
        <f>29.9%+36.9%</f>
        <v>0.66799999999999993</v>
      </c>
      <c r="H1517" s="28">
        <v>40451</v>
      </c>
      <c r="I1517" s="29">
        <f t="shared" si="2017"/>
        <v>2010</v>
      </c>
      <c r="J1517" s="1" t="s">
        <v>7</v>
      </c>
      <c r="K1517" s="1" t="s">
        <v>5979</v>
      </c>
      <c r="L1517" s="11" t="str">
        <f t="shared" si="2072"/>
        <v>НЕТ</v>
      </c>
      <c r="M1517" s="10">
        <v>5.2939999999999996</v>
      </c>
      <c r="N1517" s="10" t="s">
        <v>1575</v>
      </c>
      <c r="O1517" s="10">
        <f>M1517*30.403/1000</f>
        <v>0.16095348199999998</v>
      </c>
      <c r="P1517" s="10">
        <f t="shared" si="2019"/>
        <v>0.2409483263473054</v>
      </c>
      <c r="Q1517" s="10">
        <f t="shared" si="2020"/>
        <v>0.32118184334730537</v>
      </c>
      <c r="R1517" s="10" t="s">
        <v>1575</v>
      </c>
      <c r="S1517" s="10" t="s">
        <v>1575</v>
      </c>
      <c r="T1517" s="10" t="s">
        <v>1575</v>
      </c>
      <c r="U1517" s="10" t="s">
        <v>1575</v>
      </c>
      <c r="V1517" s="10">
        <f>-0.000277*30.403</f>
        <v>-8.4216310000000006E-3</v>
      </c>
      <c r="W1517" s="10">
        <f>(0.002621+0.000023-0.000005)*30.403</f>
        <v>8.0233517000000004E-2</v>
      </c>
      <c r="X1517" s="10">
        <f t="shared" si="2009"/>
        <v>7.1811886000000005E-2</v>
      </c>
      <c r="Y1517" s="10" t="str">
        <f t="shared" si="2010"/>
        <v>NA</v>
      </c>
      <c r="Z1517" s="10" t="str">
        <f t="shared" si="2011"/>
        <v>NA</v>
      </c>
      <c r="AA1517" s="10">
        <f t="shared" si="2012"/>
        <v>-28.610648738623834</v>
      </c>
      <c r="AB1517" s="10" t="str">
        <f t="shared" si="2013"/>
        <v>NA</v>
      </c>
      <c r="AC1517" s="10" t="str">
        <f t="shared" si="2014"/>
        <v>NA</v>
      </c>
      <c r="AD1517" s="10" t="str">
        <f t="shared" si="2015"/>
        <v>NA</v>
      </c>
      <c r="AE1517" s="10">
        <f t="shared" si="2016"/>
        <v>4.4725443270951741</v>
      </c>
      <c r="AF1517" s="1" t="s">
        <v>7098</v>
      </c>
    </row>
    <row r="1518" spans="1:32" x14ac:dyDescent="0.2">
      <c r="A1518" s="1" t="s">
        <v>7100</v>
      </c>
      <c r="B1518" s="1" t="s">
        <v>5</v>
      </c>
      <c r="C1518" s="1" t="s">
        <v>1575</v>
      </c>
      <c r="D1518" s="1" t="s">
        <v>1580</v>
      </c>
      <c r="E1518" s="1" t="s">
        <v>1694</v>
      </c>
      <c r="F1518" s="1" t="s">
        <v>7101</v>
      </c>
      <c r="G1518" s="4">
        <v>0.44370999999999999</v>
      </c>
      <c r="H1518" s="28">
        <v>40543</v>
      </c>
      <c r="I1518" s="29">
        <f t="shared" ref="I1518:I1519" si="2094">YEAR(H1518)</f>
        <v>2010</v>
      </c>
      <c r="J1518" s="1" t="s">
        <v>5979</v>
      </c>
      <c r="K1518" s="1" t="s">
        <v>7</v>
      </c>
      <c r="L1518" s="11" t="str">
        <f t="shared" ref="L1518:L1519" si="2095">IF(OR(A1518=J1518,A1518=K1518),"ДА","НЕТ")</f>
        <v>НЕТ</v>
      </c>
      <c r="M1518" s="10" t="s">
        <v>1575</v>
      </c>
      <c r="N1518" s="10" t="s">
        <v>1575</v>
      </c>
      <c r="O1518" s="10" t="s">
        <v>1575</v>
      </c>
      <c r="P1518" s="10" t="str">
        <f t="shared" si="2019"/>
        <v>NA</v>
      </c>
      <c r="Q1518" s="10" t="str">
        <f t="shared" si="2020"/>
        <v>NA</v>
      </c>
      <c r="R1518" s="10" t="s">
        <v>1575</v>
      </c>
      <c r="S1518" s="10" t="s">
        <v>1575</v>
      </c>
      <c r="T1518" s="10" t="s">
        <v>1575</v>
      </c>
      <c r="U1518" s="10">
        <v>1.36E-4</v>
      </c>
      <c r="V1518" s="10">
        <f>(0.015723-0.013203)</f>
        <v>2.5200000000000014E-3</v>
      </c>
      <c r="W1518" s="10" t="s">
        <v>1575</v>
      </c>
      <c r="X1518" s="10" t="str">
        <f t="shared" ref="X1518:X1519" si="2096">IFERROR(V1518+W1518,"NA")</f>
        <v>NA</v>
      </c>
      <c r="Y1518" s="10" t="str">
        <f t="shared" ref="Y1518:Y1519" si="2097">IFERROR(P1518/R1518,"NA")</f>
        <v>NA</v>
      </c>
      <c r="Z1518" s="10" t="str">
        <f t="shared" ref="Z1518:Z1519" si="2098">IFERROR(P1518/U1518,"NA")</f>
        <v>NA</v>
      </c>
      <c r="AA1518" s="10" t="str">
        <f t="shared" ref="AA1518:AA1519" si="2099">IFERROR(P1518/V1518,"NA")</f>
        <v>NA</v>
      </c>
      <c r="AB1518" s="10" t="str">
        <f t="shared" ref="AB1518:AB1519" si="2100">IFERROR(Q1518/R1518,"NA")</f>
        <v>NA</v>
      </c>
      <c r="AC1518" s="10" t="str">
        <f t="shared" ref="AC1518:AC1519" si="2101">IFERROR(Q1518/S1518,"NA")</f>
        <v>NA</v>
      </c>
      <c r="AD1518" s="10" t="str">
        <f t="shared" ref="AD1518:AD1519" si="2102">IFERROR(Q1518/T1518,"NA")</f>
        <v>NA</v>
      </c>
      <c r="AE1518" s="10" t="str">
        <f t="shared" ref="AE1518:AE1519" si="2103">IFERROR(Q1518/X1518,"NA")</f>
        <v>NA</v>
      </c>
      <c r="AF1518" s="1" t="s">
        <v>7099</v>
      </c>
    </row>
    <row r="1519" spans="1:32" x14ac:dyDescent="0.2">
      <c r="A1519" s="1" t="s">
        <v>7103</v>
      </c>
      <c r="B1519" s="1" t="s">
        <v>5</v>
      </c>
      <c r="C1519" s="1" t="s">
        <v>7104</v>
      </c>
      <c r="D1519" s="1" t="s">
        <v>1600</v>
      </c>
      <c r="E1519" s="1" t="s">
        <v>1653</v>
      </c>
      <c r="F1519" s="1" t="s">
        <v>101</v>
      </c>
      <c r="G1519" s="4">
        <f>12.7/212.827273</f>
        <v>5.9672803306557422E-2</v>
      </c>
      <c r="H1519" s="28">
        <v>45252</v>
      </c>
      <c r="I1519" s="29">
        <f t="shared" si="2094"/>
        <v>2023</v>
      </c>
      <c r="J1519" s="1" t="s">
        <v>7103</v>
      </c>
      <c r="K1519" s="1" t="s">
        <v>7</v>
      </c>
      <c r="L1519" s="11" t="str">
        <f t="shared" si="2095"/>
        <v>ДА</v>
      </c>
      <c r="M1519" s="10" t="s">
        <v>1575</v>
      </c>
      <c r="N1519" s="10" t="s">
        <v>1575</v>
      </c>
      <c r="O1519" s="10">
        <v>7</v>
      </c>
      <c r="P1519" s="10">
        <f t="shared" si="2019"/>
        <v>117.30637094488189</v>
      </c>
      <c r="Q1519" s="10" t="str">
        <f t="shared" si="2020"/>
        <v>NA</v>
      </c>
      <c r="R1519" s="10" t="s">
        <v>1575</v>
      </c>
      <c r="S1519" s="10" t="s">
        <v>1575</v>
      </c>
      <c r="T1519" s="10" t="s">
        <v>1575</v>
      </c>
      <c r="U1519" s="10" t="s">
        <v>1575</v>
      </c>
      <c r="V1519" s="10" t="s">
        <v>1575</v>
      </c>
      <c r="W1519" s="10" t="s">
        <v>1575</v>
      </c>
      <c r="X1519" s="10" t="str">
        <f t="shared" si="2096"/>
        <v>NA</v>
      </c>
      <c r="Y1519" s="10" t="str">
        <f t="shared" si="2097"/>
        <v>NA</v>
      </c>
      <c r="Z1519" s="10" t="str">
        <f t="shared" si="2098"/>
        <v>NA</v>
      </c>
      <c r="AA1519" s="10" t="str">
        <f t="shared" si="2099"/>
        <v>NA</v>
      </c>
      <c r="AB1519" s="10" t="str">
        <f t="shared" si="2100"/>
        <v>NA</v>
      </c>
      <c r="AC1519" s="10" t="str">
        <f t="shared" si="2101"/>
        <v>NA</v>
      </c>
      <c r="AD1519" s="10" t="str">
        <f t="shared" si="2102"/>
        <v>NA</v>
      </c>
      <c r="AE1519" s="10" t="str">
        <f t="shared" si="2103"/>
        <v>NA</v>
      </c>
      <c r="AF1519" s="1" t="s">
        <v>7105</v>
      </c>
    </row>
    <row r="1520" spans="1:32" x14ac:dyDescent="0.2">
      <c r="A1520" s="1" t="s">
        <v>7026</v>
      </c>
      <c r="B1520" s="1" t="s">
        <v>122</v>
      </c>
      <c r="C1520" s="1" t="s">
        <v>1657</v>
      </c>
      <c r="D1520" s="1" t="s">
        <v>1600</v>
      </c>
      <c r="E1520" s="1" t="s">
        <v>1653</v>
      </c>
      <c r="F1520" s="1" t="s">
        <v>101</v>
      </c>
      <c r="G1520" s="4">
        <f>29.19%-25.88%</f>
        <v>3.3100000000000018E-2</v>
      </c>
      <c r="H1520" s="28">
        <v>44408</v>
      </c>
      <c r="I1520" s="29">
        <f t="shared" si="2017"/>
        <v>2021</v>
      </c>
      <c r="J1520" s="1" t="s">
        <v>7103</v>
      </c>
      <c r="K1520" s="1" t="s">
        <v>7</v>
      </c>
      <c r="L1520" s="11" t="str">
        <f t="shared" si="2072"/>
        <v>НЕТ</v>
      </c>
      <c r="M1520" s="10" t="s">
        <v>1575</v>
      </c>
      <c r="N1520" s="10" t="s">
        <v>1575</v>
      </c>
      <c r="O1520" s="10" t="s">
        <v>1575</v>
      </c>
      <c r="P1520" s="10" t="str">
        <f t="shared" si="2019"/>
        <v>NA</v>
      </c>
      <c r="Q1520" s="10" t="str">
        <f t="shared" si="2020"/>
        <v>NA</v>
      </c>
      <c r="R1520" s="10">
        <v>71.527449034979455</v>
      </c>
      <c r="S1520" s="10">
        <v>16.344998465020584</v>
      </c>
      <c r="T1520" s="10">
        <v>6.6537161893004138</v>
      </c>
      <c r="U1520" s="10">
        <v>-3.5438271008230466</v>
      </c>
      <c r="V1520" s="10">
        <v>49.570594699999994</v>
      </c>
      <c r="W1520" s="10">
        <v>60.43032259999999</v>
      </c>
      <c r="X1520" s="10">
        <f t="shared" si="2009"/>
        <v>110.00091729999998</v>
      </c>
      <c r="Y1520" s="10" t="str">
        <f t="shared" si="2010"/>
        <v>NA</v>
      </c>
      <c r="Z1520" s="10" t="str">
        <f t="shared" si="2011"/>
        <v>NA</v>
      </c>
      <c r="AA1520" s="10" t="str">
        <f t="shared" si="2012"/>
        <v>NA</v>
      </c>
      <c r="AB1520" s="10" t="str">
        <f t="shared" si="2013"/>
        <v>NA</v>
      </c>
      <c r="AC1520" s="10" t="str">
        <f t="shared" si="2014"/>
        <v>NA</v>
      </c>
      <c r="AD1520" s="10" t="str">
        <f t="shared" si="2015"/>
        <v>NA</v>
      </c>
      <c r="AE1520" s="10" t="str">
        <f t="shared" si="2016"/>
        <v>NA</v>
      </c>
      <c r="AF1520" s="1" t="s">
        <v>1545</v>
      </c>
    </row>
    <row r="1521" spans="1:32" x14ac:dyDescent="0.2">
      <c r="A1521" s="1" t="s">
        <v>7026</v>
      </c>
      <c r="B1521" s="1" t="s">
        <v>122</v>
      </c>
      <c r="C1521" s="1" t="s">
        <v>1657</v>
      </c>
      <c r="D1521" s="1" t="s">
        <v>1600</v>
      </c>
      <c r="E1521" s="1" t="s">
        <v>1653</v>
      </c>
      <c r="F1521" s="1" t="s">
        <v>101</v>
      </c>
      <c r="G1521" s="4">
        <f>25.88%-22.37%</f>
        <v>3.5099999999999965E-2</v>
      </c>
      <c r="H1521" s="28">
        <v>44047</v>
      </c>
      <c r="I1521" s="29">
        <f t="shared" si="2017"/>
        <v>2020</v>
      </c>
      <c r="J1521" s="1" t="s">
        <v>7103</v>
      </c>
      <c r="K1521" s="1" t="s">
        <v>7</v>
      </c>
      <c r="L1521" s="11" t="str">
        <f t="shared" si="2072"/>
        <v>НЕТ</v>
      </c>
      <c r="M1521" s="10" t="s">
        <v>1575</v>
      </c>
      <c r="N1521" s="10" t="s">
        <v>1575</v>
      </c>
      <c r="O1521" s="10">
        <v>1.7929999999999999</v>
      </c>
      <c r="P1521" s="10">
        <f t="shared" si="2019"/>
        <v>51.082621082621131</v>
      </c>
      <c r="Q1521" s="10">
        <f t="shared" si="2020"/>
        <v>95.530913682621133</v>
      </c>
      <c r="R1521" s="10">
        <v>47.946876628455279</v>
      </c>
      <c r="S1521" s="10">
        <v>18.610108448780487</v>
      </c>
      <c r="T1521" s="10">
        <v>9.6927648170731704</v>
      </c>
      <c r="U1521" s="10">
        <v>1.6800792349593492</v>
      </c>
      <c r="V1521" s="10">
        <v>39.37202520000001</v>
      </c>
      <c r="W1521" s="10">
        <v>44.448292599999995</v>
      </c>
      <c r="X1521" s="10">
        <f t="shared" si="2009"/>
        <v>83.820317799999998</v>
      </c>
      <c r="Y1521" s="10">
        <f t="shared" si="2010"/>
        <v>1.0654003904876854</v>
      </c>
      <c r="Z1521" s="10">
        <f t="shared" si="2011"/>
        <v>30.404888066994719</v>
      </c>
      <c r="AA1521" s="10">
        <f t="shared" si="2012"/>
        <v>1.2974344302365508</v>
      </c>
      <c r="AB1521" s="10">
        <f t="shared" si="2013"/>
        <v>1.9924324669341633</v>
      </c>
      <c r="AC1521" s="10">
        <f t="shared" si="2014"/>
        <v>5.1332808696706564</v>
      </c>
      <c r="AD1521" s="10">
        <f t="shared" si="2015"/>
        <v>9.8558992697676615</v>
      </c>
      <c r="AE1521" s="10">
        <f t="shared" si="2016"/>
        <v>1.1397107072603003</v>
      </c>
      <c r="AF1521" s="1" t="s">
        <v>1545</v>
      </c>
    </row>
    <row r="1522" spans="1:32" x14ac:dyDescent="0.2">
      <c r="A1522" s="1" t="s">
        <v>7026</v>
      </c>
      <c r="B1522" s="1" t="s">
        <v>122</v>
      </c>
      <c r="C1522" s="1" t="s">
        <v>1657</v>
      </c>
      <c r="D1522" s="1" t="s">
        <v>1600</v>
      </c>
      <c r="E1522" s="1" t="s">
        <v>1653</v>
      </c>
      <c r="F1522" s="1" t="s">
        <v>101</v>
      </c>
      <c r="G1522" s="4">
        <v>0.22370000000000001</v>
      </c>
      <c r="H1522" s="28">
        <v>43865</v>
      </c>
      <c r="I1522" s="29">
        <f t="shared" si="2017"/>
        <v>2020</v>
      </c>
      <c r="J1522" s="1" t="s">
        <v>7103</v>
      </c>
      <c r="K1522" s="1" t="s">
        <v>7</v>
      </c>
      <c r="L1522" s="11" t="str">
        <f t="shared" si="2072"/>
        <v>НЕТ</v>
      </c>
      <c r="M1522" s="10" t="s">
        <v>1575</v>
      </c>
      <c r="N1522" s="10" t="s">
        <v>1575</v>
      </c>
      <c r="O1522" s="10" t="s">
        <v>1575</v>
      </c>
      <c r="P1522" s="10" t="str">
        <f t="shared" si="2019"/>
        <v>NA</v>
      </c>
      <c r="Q1522" s="10" t="str">
        <f t="shared" si="2020"/>
        <v>NA</v>
      </c>
      <c r="R1522" s="10">
        <v>47.946876628455279</v>
      </c>
      <c r="S1522" s="10">
        <v>18.610108448780487</v>
      </c>
      <c r="T1522" s="10">
        <v>9.6927648170731704</v>
      </c>
      <c r="U1522" s="10">
        <v>1.6800792349593492</v>
      </c>
      <c r="V1522" s="10">
        <v>39.37202520000001</v>
      </c>
      <c r="W1522" s="10">
        <v>44.448292599999995</v>
      </c>
      <c r="X1522" s="10">
        <f t="shared" si="2009"/>
        <v>83.820317799999998</v>
      </c>
      <c r="Y1522" s="10" t="str">
        <f t="shared" si="2010"/>
        <v>NA</v>
      </c>
      <c r="Z1522" s="10" t="str">
        <f t="shared" si="2011"/>
        <v>NA</v>
      </c>
      <c r="AA1522" s="10" t="str">
        <f t="shared" si="2012"/>
        <v>NA</v>
      </c>
      <c r="AB1522" s="10" t="str">
        <f t="shared" si="2013"/>
        <v>NA</v>
      </c>
      <c r="AC1522" s="10" t="str">
        <f t="shared" si="2014"/>
        <v>NA</v>
      </c>
      <c r="AD1522" s="10" t="str">
        <f t="shared" si="2015"/>
        <v>NA</v>
      </c>
      <c r="AE1522" s="10" t="str">
        <f t="shared" si="2016"/>
        <v>NA</v>
      </c>
      <c r="AF1522" s="1" t="s">
        <v>1545</v>
      </c>
    </row>
    <row r="1523" spans="1:32" x14ac:dyDescent="0.2">
      <c r="A1523" s="1" t="s">
        <v>5993</v>
      </c>
      <c r="B1523" s="1" t="s">
        <v>5</v>
      </c>
      <c r="C1523" s="1" t="s">
        <v>1575</v>
      </c>
      <c r="D1523" s="1" t="s">
        <v>1600</v>
      </c>
      <c r="E1523" s="1" t="s">
        <v>1653</v>
      </c>
      <c r="F1523" s="1" t="s">
        <v>101</v>
      </c>
      <c r="G1523" s="4">
        <v>0.51</v>
      </c>
      <c r="H1523" s="28">
        <v>44614</v>
      </c>
      <c r="I1523" s="29">
        <f t="shared" si="2017"/>
        <v>2022</v>
      </c>
      <c r="J1523" s="1" t="s">
        <v>7</v>
      </c>
      <c r="K1523" s="1" t="s">
        <v>7103</v>
      </c>
      <c r="L1523" s="11" t="str">
        <f t="shared" si="2072"/>
        <v>НЕТ</v>
      </c>
      <c r="M1523" s="10" t="s">
        <v>1575</v>
      </c>
      <c r="N1523" s="10" t="s">
        <v>1575</v>
      </c>
      <c r="O1523" s="10" t="s">
        <v>1575</v>
      </c>
      <c r="P1523" s="10" t="str">
        <f t="shared" si="2019"/>
        <v>NA</v>
      </c>
      <c r="Q1523" s="10" t="str">
        <f t="shared" si="2020"/>
        <v>NA</v>
      </c>
      <c r="R1523" s="10" t="s">
        <v>1575</v>
      </c>
      <c r="S1523" s="10" t="s">
        <v>1575</v>
      </c>
      <c r="T1523" s="10" t="s">
        <v>1575</v>
      </c>
      <c r="U1523" s="10" t="s">
        <v>1575</v>
      </c>
      <c r="V1523" s="10" t="s">
        <v>1575</v>
      </c>
      <c r="W1523" s="10" t="s">
        <v>1575</v>
      </c>
      <c r="X1523" s="10" t="str">
        <f t="shared" si="2009"/>
        <v>NA</v>
      </c>
      <c r="Y1523" s="10" t="str">
        <f t="shared" si="2010"/>
        <v>NA</v>
      </c>
      <c r="Z1523" s="10" t="str">
        <f t="shared" si="2011"/>
        <v>NA</v>
      </c>
      <c r="AA1523" s="10" t="str">
        <f t="shared" si="2012"/>
        <v>NA</v>
      </c>
      <c r="AB1523" s="10" t="str">
        <f t="shared" si="2013"/>
        <v>NA</v>
      </c>
      <c r="AC1523" s="10" t="str">
        <f t="shared" si="2014"/>
        <v>NA</v>
      </c>
      <c r="AD1523" s="10" t="str">
        <f t="shared" si="2015"/>
        <v>NA</v>
      </c>
      <c r="AE1523" s="10" t="str">
        <f t="shared" si="2016"/>
        <v>NA</v>
      </c>
      <c r="AF1523" s="1" t="s">
        <v>1544</v>
      </c>
    </row>
    <row r="1524" spans="1:32" x14ac:dyDescent="0.2">
      <c r="A1524" s="1" t="s">
        <v>5993</v>
      </c>
      <c r="B1524" s="1" t="s">
        <v>5</v>
      </c>
      <c r="C1524" s="1" t="s">
        <v>1575</v>
      </c>
      <c r="D1524" s="1" t="s">
        <v>1600</v>
      </c>
      <c r="E1524" s="1" t="s">
        <v>1653</v>
      </c>
      <c r="F1524" s="1" t="s">
        <v>101</v>
      </c>
      <c r="G1524" s="4">
        <v>0.51</v>
      </c>
      <c r="H1524" s="28">
        <v>43829</v>
      </c>
      <c r="I1524" s="29">
        <f t="shared" si="2017"/>
        <v>2019</v>
      </c>
      <c r="J1524" s="1" t="s">
        <v>7103</v>
      </c>
      <c r="K1524" s="1" t="s">
        <v>7</v>
      </c>
      <c r="L1524" s="11" t="str">
        <f t="shared" si="2072"/>
        <v>НЕТ</v>
      </c>
      <c r="M1524" s="10" t="s">
        <v>1575</v>
      </c>
      <c r="N1524" s="10" t="s">
        <v>1575</v>
      </c>
      <c r="O1524" s="10">
        <v>0.85</v>
      </c>
      <c r="P1524" s="10">
        <f t="shared" si="2019"/>
        <v>1.6666666666666665</v>
      </c>
      <c r="Q1524" s="10" t="str">
        <f t="shared" si="2020"/>
        <v>NA</v>
      </c>
      <c r="R1524" s="10" t="s">
        <v>1575</v>
      </c>
      <c r="S1524" s="10" t="s">
        <v>1575</v>
      </c>
      <c r="T1524" s="10" t="s">
        <v>1575</v>
      </c>
      <c r="U1524" s="10" t="s">
        <v>1575</v>
      </c>
      <c r="V1524" s="10" t="s">
        <v>1575</v>
      </c>
      <c r="W1524" s="10" t="s">
        <v>1575</v>
      </c>
      <c r="X1524" s="10" t="str">
        <f t="shared" si="2009"/>
        <v>NA</v>
      </c>
      <c r="Y1524" s="10" t="str">
        <f t="shared" si="2010"/>
        <v>NA</v>
      </c>
      <c r="Z1524" s="10" t="str">
        <f t="shared" si="2011"/>
        <v>NA</v>
      </c>
      <c r="AA1524" s="10" t="str">
        <f t="shared" si="2012"/>
        <v>NA</v>
      </c>
      <c r="AB1524" s="10" t="str">
        <f t="shared" si="2013"/>
        <v>NA</v>
      </c>
      <c r="AC1524" s="10" t="str">
        <f t="shared" si="2014"/>
        <v>NA</v>
      </c>
      <c r="AD1524" s="10" t="str">
        <f t="shared" si="2015"/>
        <v>NA</v>
      </c>
      <c r="AE1524" s="10" t="str">
        <f t="shared" si="2016"/>
        <v>NA</v>
      </c>
      <c r="AF1524" s="1" t="s">
        <v>1544</v>
      </c>
    </row>
    <row r="1525" spans="1:32" x14ac:dyDescent="0.2">
      <c r="A1525" s="1" t="s">
        <v>7107</v>
      </c>
      <c r="B1525" s="1" t="s">
        <v>223</v>
      </c>
      <c r="C1525" s="1" t="s">
        <v>1575</v>
      </c>
      <c r="D1525" s="1" t="s">
        <v>1600</v>
      </c>
      <c r="E1525" s="1" t="s">
        <v>2049</v>
      </c>
      <c r="F1525" s="1" t="s">
        <v>226</v>
      </c>
      <c r="G1525" s="4">
        <v>0.3</v>
      </c>
      <c r="H1525" s="28">
        <v>45230</v>
      </c>
      <c r="I1525" s="29">
        <f t="shared" si="2017"/>
        <v>2023</v>
      </c>
      <c r="J1525" s="1" t="s">
        <v>1692</v>
      </c>
      <c r="K1525" s="1" t="s">
        <v>7</v>
      </c>
      <c r="L1525" s="11" t="str">
        <f t="shared" si="2072"/>
        <v>НЕТ</v>
      </c>
      <c r="M1525" s="10">
        <v>264</v>
      </c>
      <c r="N1525" s="10" t="s">
        <v>1575</v>
      </c>
      <c r="O1525" s="10">
        <f>M1525*93.2435/1000</f>
        <v>24.616284</v>
      </c>
      <c r="P1525" s="10">
        <f t="shared" si="2019"/>
        <v>82.054280000000006</v>
      </c>
      <c r="Q1525" s="10" t="str">
        <f t="shared" si="2020"/>
        <v>NA</v>
      </c>
      <c r="R1525" s="10" t="s">
        <v>1575</v>
      </c>
      <c r="S1525" s="10" t="s">
        <v>1575</v>
      </c>
      <c r="T1525" s="10" t="s">
        <v>1575</v>
      </c>
      <c r="U1525" s="10" t="s">
        <v>1575</v>
      </c>
      <c r="V1525" s="10" t="s">
        <v>1575</v>
      </c>
      <c r="W1525" s="10" t="s">
        <v>1575</v>
      </c>
      <c r="X1525" s="10" t="str">
        <f t="shared" ref="X1525" si="2104">IFERROR(V1525+W1525,"NA")</f>
        <v>NA</v>
      </c>
      <c r="Y1525" s="10" t="str">
        <f t="shared" ref="Y1525" si="2105">IFERROR(P1525/R1525,"NA")</f>
        <v>NA</v>
      </c>
      <c r="Z1525" s="10" t="str">
        <f t="shared" ref="Z1525" si="2106">IFERROR(P1525/U1525,"NA")</f>
        <v>NA</v>
      </c>
      <c r="AA1525" s="10" t="str">
        <f t="shared" ref="AA1525" si="2107">IFERROR(P1525/V1525,"NA")</f>
        <v>NA</v>
      </c>
      <c r="AB1525" s="10" t="str">
        <f t="shared" ref="AB1525" si="2108">IFERROR(Q1525/R1525,"NA")</f>
        <v>NA</v>
      </c>
      <c r="AC1525" s="10" t="str">
        <f t="shared" ref="AC1525" si="2109">IFERROR(Q1525/S1525,"NA")</f>
        <v>NA</v>
      </c>
      <c r="AD1525" s="10" t="str">
        <f t="shared" ref="AD1525" si="2110">IFERROR(Q1525/T1525,"NA")</f>
        <v>NA</v>
      </c>
      <c r="AE1525" s="10" t="str">
        <f t="shared" ref="AE1525" si="2111">IFERROR(Q1525/X1525,"NA")</f>
        <v>NA</v>
      </c>
      <c r="AF1525" s="1" t="s">
        <v>7106</v>
      </c>
    </row>
    <row r="1526" spans="1:32" x14ac:dyDescent="0.2">
      <c r="A1526" s="1" t="s">
        <v>1308</v>
      </c>
      <c r="B1526" s="1" t="s">
        <v>5</v>
      </c>
      <c r="C1526" s="1" t="s">
        <v>1681</v>
      </c>
      <c r="D1526" s="1" t="s">
        <v>1600</v>
      </c>
      <c r="E1526" s="1" t="s">
        <v>3024</v>
      </c>
      <c r="F1526" s="1" t="s">
        <v>1309</v>
      </c>
      <c r="G1526" s="4">
        <f>3691465/153654624</f>
        <v>2.4024431571938894E-2</v>
      </c>
      <c r="H1526" s="28">
        <v>44561</v>
      </c>
      <c r="I1526" s="29">
        <f t="shared" si="2017"/>
        <v>2021</v>
      </c>
      <c r="J1526" s="1" t="s">
        <v>7</v>
      </c>
      <c r="K1526" s="1" t="s">
        <v>1692</v>
      </c>
      <c r="L1526" s="11" t="str">
        <f t="shared" si="2072"/>
        <v>НЕТ</v>
      </c>
      <c r="M1526" s="10">
        <v>1418</v>
      </c>
      <c r="N1526" s="10" t="s">
        <v>1575</v>
      </c>
      <c r="O1526" s="10">
        <f>M1526*74.2926/1000</f>
        <v>105.3469068</v>
      </c>
      <c r="P1526" s="10">
        <f t="shared" si="2019"/>
        <v>4384.9906077714522</v>
      </c>
      <c r="Q1526" s="10">
        <f t="shared" si="2020"/>
        <v>4872.9586077714521</v>
      </c>
      <c r="R1526" s="10">
        <v>1316.9480000000001</v>
      </c>
      <c r="S1526" s="10">
        <v>772.21100000000001</v>
      </c>
      <c r="T1526" s="10">
        <v>703.899</v>
      </c>
      <c r="U1526" s="10">
        <v>512.87900000000002</v>
      </c>
      <c r="V1526" s="10">
        <v>355.73599999999999</v>
      </c>
      <c r="W1526" s="10">
        <v>487.96799999999996</v>
      </c>
      <c r="X1526" s="10">
        <f t="shared" si="2009"/>
        <v>843.70399999999995</v>
      </c>
      <c r="Y1526" s="10">
        <f t="shared" si="2010"/>
        <v>3.3296611618465208</v>
      </c>
      <c r="Z1526" s="10">
        <f t="shared" si="2011"/>
        <v>8.5497565854157642</v>
      </c>
      <c r="AA1526" s="10">
        <f t="shared" si="2012"/>
        <v>12.326530370194336</v>
      </c>
      <c r="AB1526" s="10">
        <f t="shared" si="2013"/>
        <v>3.7001905980884984</v>
      </c>
      <c r="AC1526" s="10">
        <f t="shared" si="2014"/>
        <v>6.3103978158449596</v>
      </c>
      <c r="AD1526" s="10">
        <f t="shared" si="2015"/>
        <v>6.9228093913636073</v>
      </c>
      <c r="AE1526" s="10">
        <f t="shared" si="2016"/>
        <v>5.7756732310993577</v>
      </c>
      <c r="AF1526" s="1" t="s">
        <v>1322</v>
      </c>
    </row>
    <row r="1527" spans="1:32" x14ac:dyDescent="0.2">
      <c r="A1527" s="1" t="s">
        <v>224</v>
      </c>
      <c r="B1527" s="1" t="s">
        <v>225</v>
      </c>
      <c r="C1527" s="1" t="s">
        <v>1575</v>
      </c>
      <c r="D1527" s="1" t="s">
        <v>1600</v>
      </c>
      <c r="E1527" s="1" t="s">
        <v>2049</v>
      </c>
      <c r="F1527" s="1" t="s">
        <v>7111</v>
      </c>
      <c r="G1527" s="4">
        <v>1</v>
      </c>
      <c r="H1527" s="28">
        <v>42582</v>
      </c>
      <c r="I1527" s="29">
        <f t="shared" si="2017"/>
        <v>2016</v>
      </c>
      <c r="J1527" s="1" t="s">
        <v>5994</v>
      </c>
      <c r="K1527" s="1" t="s">
        <v>1692</v>
      </c>
      <c r="L1527" s="11" t="str">
        <f t="shared" si="2072"/>
        <v>НЕТ</v>
      </c>
      <c r="M1527" s="10">
        <v>299</v>
      </c>
      <c r="N1527" s="10" t="s">
        <v>1575</v>
      </c>
      <c r="O1527" s="10">
        <f>M1527*67.0512/1000</f>
        <v>20.048308799999997</v>
      </c>
      <c r="P1527" s="10">
        <f t="shared" si="2019"/>
        <v>20.048308799999997</v>
      </c>
      <c r="Q1527" s="10" t="str">
        <f t="shared" si="2020"/>
        <v>NA</v>
      </c>
      <c r="R1527" s="10" t="s">
        <v>1575</v>
      </c>
      <c r="S1527" s="10" t="s">
        <v>1575</v>
      </c>
      <c r="T1527" s="10" t="s">
        <v>1575</v>
      </c>
      <c r="U1527" s="10" t="s">
        <v>1575</v>
      </c>
      <c r="V1527" s="10" t="s">
        <v>1575</v>
      </c>
      <c r="W1527" s="10" t="s">
        <v>1575</v>
      </c>
      <c r="X1527" s="10" t="str">
        <f t="shared" si="2009"/>
        <v>NA</v>
      </c>
      <c r="Y1527" s="10" t="str">
        <f t="shared" si="2010"/>
        <v>NA</v>
      </c>
      <c r="Z1527" s="10" t="str">
        <f t="shared" si="2011"/>
        <v>NA</v>
      </c>
      <c r="AA1527" s="10" t="str">
        <f t="shared" si="2012"/>
        <v>NA</v>
      </c>
      <c r="AB1527" s="10" t="str">
        <f t="shared" si="2013"/>
        <v>NA</v>
      </c>
      <c r="AC1527" s="10" t="str">
        <f t="shared" si="2014"/>
        <v>NA</v>
      </c>
      <c r="AD1527" s="10" t="str">
        <f t="shared" si="2015"/>
        <v>NA</v>
      </c>
      <c r="AE1527" s="10" t="str">
        <f t="shared" si="2016"/>
        <v>NA</v>
      </c>
      <c r="AF1527" s="1" t="s">
        <v>1323</v>
      </c>
    </row>
    <row r="1528" spans="1:32" x14ac:dyDescent="0.2">
      <c r="A1528" s="1" t="s">
        <v>221</v>
      </c>
      <c r="B1528" s="1" t="s">
        <v>223</v>
      </c>
      <c r="C1528" s="1" t="s">
        <v>1575</v>
      </c>
      <c r="D1528" s="1" t="s">
        <v>1600</v>
      </c>
      <c r="E1528" s="1" t="s">
        <v>2049</v>
      </c>
      <c r="F1528" s="1" t="s">
        <v>222</v>
      </c>
      <c r="G1528" s="4">
        <v>0.33</v>
      </c>
      <c r="H1528" s="28">
        <v>41029</v>
      </c>
      <c r="I1528" s="29">
        <f t="shared" si="2017"/>
        <v>2012</v>
      </c>
      <c r="J1528" s="1" t="s">
        <v>1692</v>
      </c>
      <c r="K1528" s="1" t="s">
        <v>7</v>
      </c>
      <c r="L1528" s="11" t="str">
        <f t="shared" si="2072"/>
        <v>НЕТ</v>
      </c>
      <c r="M1528" s="10">
        <v>16</v>
      </c>
      <c r="N1528" s="10" t="s">
        <v>1575</v>
      </c>
      <c r="O1528" s="10">
        <f>M1528*29.3627/1000</f>
        <v>0.46980319999999998</v>
      </c>
      <c r="P1528" s="10">
        <f t="shared" si="2019"/>
        <v>1.4236460606060604</v>
      </c>
      <c r="Q1528" s="10" t="str">
        <f t="shared" si="2020"/>
        <v>NA</v>
      </c>
      <c r="R1528" s="10" t="s">
        <v>1575</v>
      </c>
      <c r="S1528" s="10" t="s">
        <v>1575</v>
      </c>
      <c r="T1528" s="10" t="s">
        <v>1575</v>
      </c>
      <c r="U1528" s="10" t="s">
        <v>1575</v>
      </c>
      <c r="V1528" s="10" t="s">
        <v>1575</v>
      </c>
      <c r="W1528" s="10" t="s">
        <v>1575</v>
      </c>
      <c r="X1528" s="10" t="str">
        <f t="shared" si="2009"/>
        <v>NA</v>
      </c>
      <c r="Y1528" s="10" t="str">
        <f t="shared" si="2010"/>
        <v>NA</v>
      </c>
      <c r="Z1528" s="10" t="str">
        <f t="shared" si="2011"/>
        <v>NA</v>
      </c>
      <c r="AA1528" s="10" t="str">
        <f t="shared" si="2012"/>
        <v>NA</v>
      </c>
      <c r="AB1528" s="10" t="str">
        <f t="shared" si="2013"/>
        <v>NA</v>
      </c>
      <c r="AC1528" s="10" t="str">
        <f t="shared" si="2014"/>
        <v>NA</v>
      </c>
      <c r="AD1528" s="10" t="str">
        <f t="shared" si="2015"/>
        <v>NA</v>
      </c>
      <c r="AE1528" s="10" t="str">
        <f t="shared" si="2016"/>
        <v>NA</v>
      </c>
      <c r="AF1528" s="1" t="s">
        <v>7109</v>
      </c>
    </row>
    <row r="1529" spans="1:32" x14ac:dyDescent="0.2">
      <c r="A1529" s="1" t="s">
        <v>224</v>
      </c>
      <c r="B1529" s="1" t="s">
        <v>225</v>
      </c>
      <c r="C1529" s="1" t="s">
        <v>1575</v>
      </c>
      <c r="D1529" s="1" t="s">
        <v>1600</v>
      </c>
      <c r="E1529" s="1" t="s">
        <v>2049</v>
      </c>
      <c r="F1529" s="1" t="s">
        <v>7111</v>
      </c>
      <c r="G1529" s="4">
        <v>0.35</v>
      </c>
      <c r="H1529" s="28">
        <v>40802</v>
      </c>
      <c r="I1529" s="29">
        <f t="shared" si="2017"/>
        <v>2011</v>
      </c>
      <c r="J1529" s="1" t="s">
        <v>1692</v>
      </c>
      <c r="K1529" s="1" t="s">
        <v>227</v>
      </c>
      <c r="L1529" s="11" t="str">
        <f t="shared" si="2072"/>
        <v>НЕТ</v>
      </c>
      <c r="M1529" s="10">
        <v>46</v>
      </c>
      <c r="N1529" s="10" t="s">
        <v>1575</v>
      </c>
      <c r="O1529" s="10">
        <f>M1529*30.5042/1000</f>
        <v>1.4031932</v>
      </c>
      <c r="P1529" s="10">
        <f t="shared" si="2019"/>
        <v>4.0091234285714288</v>
      </c>
      <c r="Q1529" s="10" t="str">
        <f t="shared" si="2020"/>
        <v>NA</v>
      </c>
      <c r="R1529" s="10" t="s">
        <v>1575</v>
      </c>
      <c r="S1529" s="10" t="s">
        <v>1575</v>
      </c>
      <c r="T1529" s="10" t="s">
        <v>1575</v>
      </c>
      <c r="U1529" s="10" t="s">
        <v>1575</v>
      </c>
      <c r="V1529" s="10" t="s">
        <v>1575</v>
      </c>
      <c r="W1529" s="10" t="s">
        <v>1575</v>
      </c>
      <c r="X1529" s="10" t="str">
        <f t="shared" si="2009"/>
        <v>NA</v>
      </c>
      <c r="Y1529" s="10" t="str">
        <f t="shared" si="2010"/>
        <v>NA</v>
      </c>
      <c r="Z1529" s="10" t="str">
        <f t="shared" si="2011"/>
        <v>NA</v>
      </c>
      <c r="AA1529" s="10" t="str">
        <f t="shared" si="2012"/>
        <v>NA</v>
      </c>
      <c r="AB1529" s="10" t="str">
        <f t="shared" si="2013"/>
        <v>NA</v>
      </c>
      <c r="AC1529" s="10" t="str">
        <f t="shared" si="2014"/>
        <v>NA</v>
      </c>
      <c r="AD1529" s="10" t="str">
        <f t="shared" si="2015"/>
        <v>NA</v>
      </c>
      <c r="AE1529" s="10" t="str">
        <f t="shared" si="2016"/>
        <v>NA</v>
      </c>
      <c r="AF1529" s="1" t="s">
        <v>7108</v>
      </c>
    </row>
    <row r="1530" spans="1:32" x14ac:dyDescent="0.2">
      <c r="A1530" s="1" t="s">
        <v>1692</v>
      </c>
      <c r="B1530" s="1" t="s">
        <v>5</v>
      </c>
      <c r="C1530" s="1" t="s">
        <v>1575</v>
      </c>
      <c r="D1530" s="1" t="s">
        <v>1600</v>
      </c>
      <c r="E1530" s="1" t="s">
        <v>2049</v>
      </c>
      <c r="F1530" s="1" t="s">
        <v>7111</v>
      </c>
      <c r="G1530" s="4">
        <v>0.11</v>
      </c>
      <c r="H1530" s="28">
        <v>40205</v>
      </c>
      <c r="I1530" s="29">
        <f t="shared" si="2017"/>
        <v>2010</v>
      </c>
      <c r="J1530" s="1" t="s">
        <v>7</v>
      </c>
      <c r="K1530" s="1" t="s">
        <v>1692</v>
      </c>
      <c r="L1530" s="11" t="str">
        <f t="shared" si="2072"/>
        <v>ДА</v>
      </c>
      <c r="M1530" s="10">
        <f>2.188-0.048</f>
        <v>2.14</v>
      </c>
      <c r="N1530" s="10" t="s">
        <v>1575</v>
      </c>
      <c r="O1530" s="10">
        <f>M1530*30.3136/1000</f>
        <v>6.4871103999999999E-2</v>
      </c>
      <c r="P1530" s="10">
        <f t="shared" si="2019"/>
        <v>0.58973730909090905</v>
      </c>
      <c r="Q1530" s="10" t="str">
        <f t="shared" si="2020"/>
        <v>NA</v>
      </c>
      <c r="R1530" s="10" t="s">
        <v>1575</v>
      </c>
      <c r="S1530" s="10" t="s">
        <v>1575</v>
      </c>
      <c r="T1530" s="10" t="s">
        <v>1575</v>
      </c>
      <c r="U1530" s="10" t="s">
        <v>1575</v>
      </c>
      <c r="V1530" s="10" t="s">
        <v>1575</v>
      </c>
      <c r="W1530" s="10" t="s">
        <v>1575</v>
      </c>
      <c r="X1530" s="10" t="str">
        <f t="shared" ref="X1530" si="2112">IFERROR(V1530+W1530,"NA")</f>
        <v>NA</v>
      </c>
      <c r="Y1530" s="10" t="str">
        <f t="shared" ref="Y1530" si="2113">IFERROR(P1530/R1530,"NA")</f>
        <v>NA</v>
      </c>
      <c r="Z1530" s="10" t="str">
        <f t="shared" ref="Z1530" si="2114">IFERROR(P1530/U1530,"NA")</f>
        <v>NA</v>
      </c>
      <c r="AA1530" s="10" t="str">
        <f t="shared" ref="AA1530" si="2115">IFERROR(P1530/V1530,"NA")</f>
        <v>NA</v>
      </c>
      <c r="AB1530" s="10" t="str">
        <f t="shared" ref="AB1530" si="2116">IFERROR(Q1530/R1530,"NA")</f>
        <v>NA</v>
      </c>
      <c r="AC1530" s="10" t="str">
        <f t="shared" ref="AC1530" si="2117">IFERROR(Q1530/S1530,"NA")</f>
        <v>NA</v>
      </c>
      <c r="AD1530" s="10" t="str">
        <f t="shared" ref="AD1530" si="2118">IFERROR(Q1530/T1530,"NA")</f>
        <v>NA</v>
      </c>
      <c r="AE1530" s="10" t="str">
        <f t="shared" ref="AE1530" si="2119">IFERROR(Q1530/X1530,"NA")</f>
        <v>NA</v>
      </c>
      <c r="AF1530" s="1" t="s">
        <v>7110</v>
      </c>
    </row>
    <row r="1531" spans="1:32" x14ac:dyDescent="0.2">
      <c r="A1531" s="1" t="s">
        <v>7112</v>
      </c>
      <c r="B1531" s="1" t="s">
        <v>5</v>
      </c>
      <c r="C1531" s="1" t="s">
        <v>1575</v>
      </c>
      <c r="D1531" s="1" t="s">
        <v>1600</v>
      </c>
      <c r="E1531" s="1" t="s">
        <v>2048</v>
      </c>
      <c r="F1531" s="1" t="s">
        <v>235</v>
      </c>
      <c r="G1531" s="4">
        <v>0.08</v>
      </c>
      <c r="H1531" s="28">
        <v>45322</v>
      </c>
      <c r="I1531" s="29">
        <f t="shared" si="2017"/>
        <v>2024</v>
      </c>
      <c r="J1531" s="1" t="s">
        <v>4617</v>
      </c>
      <c r="K1531" s="1" t="s">
        <v>7</v>
      </c>
      <c r="L1531" s="11" t="str">
        <f t="shared" si="2072"/>
        <v>НЕТ</v>
      </c>
      <c r="M1531" s="10" t="s">
        <v>1575</v>
      </c>
      <c r="N1531" s="10" t="s">
        <v>1575</v>
      </c>
      <c r="O1531" s="10">
        <v>1.3</v>
      </c>
      <c r="P1531" s="10">
        <f t="shared" si="2019"/>
        <v>16.25</v>
      </c>
      <c r="Q1531" s="10">
        <f t="shared" si="2020"/>
        <v>62.43</v>
      </c>
      <c r="R1531" s="10" t="s">
        <v>1575</v>
      </c>
      <c r="S1531" s="10" t="s">
        <v>1575</v>
      </c>
      <c r="T1531" s="10" t="s">
        <v>1575</v>
      </c>
      <c r="U1531" s="10" t="s">
        <v>1575</v>
      </c>
      <c r="V1531" s="10">
        <v>10.225</v>
      </c>
      <c r="W1531" s="10">
        <f>38.206+8.145-0.171</f>
        <v>46.18</v>
      </c>
      <c r="X1531" s="10">
        <f t="shared" ref="X1531:X1537" si="2120">IFERROR(V1531+W1531,"NA")</f>
        <v>56.405000000000001</v>
      </c>
      <c r="Y1531" s="10" t="str">
        <f t="shared" ref="Y1531:Y1537" si="2121">IFERROR(P1531/R1531,"NA")</f>
        <v>NA</v>
      </c>
      <c r="Z1531" s="10" t="str">
        <f t="shared" ref="Z1531:Z1537" si="2122">IFERROR(P1531/U1531,"NA")</f>
        <v>NA</v>
      </c>
      <c r="AA1531" s="10">
        <f t="shared" ref="AA1531:AA1537" si="2123">IFERROR(P1531/V1531,"NA")</f>
        <v>1.5892420537897312</v>
      </c>
      <c r="AB1531" s="10" t="str">
        <f t="shared" ref="AB1531:AB1537" si="2124">IFERROR(Q1531/R1531,"NA")</f>
        <v>NA</v>
      </c>
      <c r="AC1531" s="10" t="str">
        <f t="shared" ref="AC1531:AC1537" si="2125">IFERROR(Q1531/S1531,"NA")</f>
        <v>NA</v>
      </c>
      <c r="AD1531" s="10" t="str">
        <f t="shared" ref="AD1531:AD1537" si="2126">IFERROR(Q1531/T1531,"NA")</f>
        <v>NA</v>
      </c>
      <c r="AE1531" s="10">
        <f t="shared" ref="AE1531:AE1537" si="2127">IFERROR(Q1531/X1531,"NA")</f>
        <v>1.1068167715628048</v>
      </c>
      <c r="AF1531" s="1" t="s">
        <v>7113</v>
      </c>
    </row>
    <row r="1532" spans="1:32" x14ac:dyDescent="0.2">
      <c r="A1532" s="1" t="s">
        <v>7119</v>
      </c>
      <c r="B1532" s="1" t="s">
        <v>5</v>
      </c>
      <c r="C1532" s="1" t="s">
        <v>1575</v>
      </c>
      <c r="D1532" s="1" t="s">
        <v>1600</v>
      </c>
      <c r="E1532" s="1" t="s">
        <v>2052</v>
      </c>
      <c r="F1532" s="1" t="s">
        <v>108</v>
      </c>
      <c r="G1532" s="4">
        <v>1</v>
      </c>
      <c r="H1532" s="28">
        <v>45350</v>
      </c>
      <c r="I1532" s="29">
        <f t="shared" si="2017"/>
        <v>2024</v>
      </c>
      <c r="J1532" s="1" t="s">
        <v>4617</v>
      </c>
      <c r="K1532" s="1" t="s">
        <v>7</v>
      </c>
      <c r="L1532" s="11" t="str">
        <f t="shared" ref="L1532" si="2128">IF(OR(A1532=J1532,A1532=K1532),"ДА","НЕТ")</f>
        <v>НЕТ</v>
      </c>
      <c r="M1532" s="10" t="s">
        <v>1575</v>
      </c>
      <c r="N1532" s="10" t="s">
        <v>1575</v>
      </c>
      <c r="O1532" s="10">
        <v>5</v>
      </c>
      <c r="P1532" s="10">
        <f t="shared" si="2019"/>
        <v>5</v>
      </c>
      <c r="Q1532" s="10" t="str">
        <f t="shared" si="2020"/>
        <v>NA</v>
      </c>
      <c r="R1532" s="10" t="s">
        <v>1575</v>
      </c>
      <c r="S1532" s="10" t="s">
        <v>1575</v>
      </c>
      <c r="T1532" s="10" t="s">
        <v>1575</v>
      </c>
      <c r="U1532" s="10" t="s">
        <v>1575</v>
      </c>
      <c r="V1532" s="10" t="s">
        <v>1575</v>
      </c>
      <c r="W1532" s="10" t="s">
        <v>1575</v>
      </c>
      <c r="X1532" s="10" t="str">
        <f t="shared" si="2120"/>
        <v>NA</v>
      </c>
      <c r="Y1532" s="10" t="str">
        <f t="shared" si="2121"/>
        <v>NA</v>
      </c>
      <c r="Z1532" s="10" t="str">
        <f t="shared" si="2122"/>
        <v>NA</v>
      </c>
      <c r="AA1532" s="10" t="str">
        <f t="shared" si="2123"/>
        <v>NA</v>
      </c>
      <c r="AB1532" s="10" t="str">
        <f t="shared" si="2124"/>
        <v>NA</v>
      </c>
      <c r="AC1532" s="10" t="str">
        <f t="shared" si="2125"/>
        <v>NA</v>
      </c>
      <c r="AD1532" s="10" t="str">
        <f t="shared" si="2126"/>
        <v>NA</v>
      </c>
      <c r="AE1532" s="10" t="str">
        <f t="shared" si="2127"/>
        <v>NA</v>
      </c>
      <c r="AF1532" s="1" t="s">
        <v>7114</v>
      </c>
    </row>
    <row r="1533" spans="1:32" x14ac:dyDescent="0.2">
      <c r="A1533" s="1" t="s">
        <v>7118</v>
      </c>
      <c r="B1533" s="1" t="s">
        <v>5</v>
      </c>
      <c r="C1533" s="1" t="s">
        <v>1575</v>
      </c>
      <c r="D1533" s="1" t="s">
        <v>1600</v>
      </c>
      <c r="E1533" s="1" t="s">
        <v>2050</v>
      </c>
      <c r="F1533" s="1" t="s">
        <v>120</v>
      </c>
      <c r="G1533" s="4">
        <v>1</v>
      </c>
      <c r="H1533" s="28">
        <v>45473</v>
      </c>
      <c r="I1533" s="29">
        <f t="shared" si="2017"/>
        <v>2024</v>
      </c>
      <c r="J1533" s="1" t="s">
        <v>7</v>
      </c>
      <c r="K1533" s="1" t="s">
        <v>4617</v>
      </c>
      <c r="L1533" s="11" t="str">
        <f t="shared" ref="L1533:L1534" si="2129">IF(OR(A1533=J1533,A1533=K1533),"ДА","НЕТ")</f>
        <v>НЕТ</v>
      </c>
      <c r="M1533" s="10" t="s">
        <v>1575</v>
      </c>
      <c r="N1533" s="10" t="s">
        <v>1575</v>
      </c>
      <c r="O1533" s="10">
        <v>8.6479999999999997</v>
      </c>
      <c r="P1533" s="10">
        <f t="shared" si="2019"/>
        <v>8.6479999999999997</v>
      </c>
      <c r="Q1533" s="10" t="str">
        <f t="shared" si="2020"/>
        <v>NA</v>
      </c>
      <c r="R1533" s="10" t="s">
        <v>1575</v>
      </c>
      <c r="S1533" s="10" t="s">
        <v>1575</v>
      </c>
      <c r="T1533" s="10" t="s">
        <v>1575</v>
      </c>
      <c r="U1533" s="10" t="s">
        <v>1575</v>
      </c>
      <c r="V1533" s="10" t="s">
        <v>1575</v>
      </c>
      <c r="W1533" s="10" t="s">
        <v>1575</v>
      </c>
      <c r="X1533" s="10" t="s">
        <v>1575</v>
      </c>
      <c r="Y1533" s="10" t="s">
        <v>1575</v>
      </c>
      <c r="Z1533" s="10" t="s">
        <v>1575</v>
      </c>
      <c r="AA1533" s="10" t="s">
        <v>1575</v>
      </c>
      <c r="AB1533" s="10" t="s">
        <v>1575</v>
      </c>
      <c r="AC1533" s="10" t="s">
        <v>1575</v>
      </c>
      <c r="AD1533" s="10" t="s">
        <v>1575</v>
      </c>
      <c r="AE1533" s="10" t="s">
        <v>1575</v>
      </c>
      <c r="AF1533" s="1" t="s">
        <v>7115</v>
      </c>
    </row>
    <row r="1534" spans="1:32" x14ac:dyDescent="0.2">
      <c r="A1534" s="1" t="s">
        <v>4617</v>
      </c>
      <c r="B1534" s="1" t="s">
        <v>5</v>
      </c>
      <c r="C1534" s="1" t="s">
        <v>7117</v>
      </c>
      <c r="D1534" s="1" t="s">
        <v>1600</v>
      </c>
      <c r="E1534" s="1" t="s">
        <v>2048</v>
      </c>
      <c r="F1534" s="1" t="s">
        <v>235</v>
      </c>
      <c r="G1534" s="4">
        <f>18864634/1052000000</f>
        <v>1.7932161596958176E-2</v>
      </c>
      <c r="H1534" s="28">
        <v>45313</v>
      </c>
      <c r="I1534" s="29">
        <f t="shared" si="2017"/>
        <v>2024</v>
      </c>
      <c r="J1534" s="1" t="s">
        <v>7</v>
      </c>
      <c r="K1534" s="1" t="s">
        <v>4617</v>
      </c>
      <c r="L1534" s="11" t="str">
        <f t="shared" si="2129"/>
        <v>ДА</v>
      </c>
      <c r="M1534" s="10" t="s">
        <v>1575</v>
      </c>
      <c r="N1534" s="10" t="s">
        <v>1575</v>
      </c>
      <c r="O1534" s="10">
        <v>4.1630500000000001</v>
      </c>
      <c r="P1534" s="10">
        <f t="shared" si="2019"/>
        <v>232.15550325545675</v>
      </c>
      <c r="Q1534" s="10" t="str">
        <f t="shared" si="2020"/>
        <v>NA</v>
      </c>
      <c r="R1534" s="10" t="s">
        <v>1575</v>
      </c>
      <c r="S1534" s="10" t="s">
        <v>1575</v>
      </c>
      <c r="T1534" s="10" t="s">
        <v>1575</v>
      </c>
      <c r="U1534" s="10" t="s">
        <v>1575</v>
      </c>
      <c r="V1534" s="10" t="s">
        <v>1575</v>
      </c>
      <c r="W1534" s="10" t="s">
        <v>1575</v>
      </c>
      <c r="X1534" s="10" t="str">
        <f t="shared" si="2120"/>
        <v>NA</v>
      </c>
      <c r="Y1534" s="10" t="str">
        <f t="shared" si="2121"/>
        <v>NA</v>
      </c>
      <c r="Z1534" s="10" t="str">
        <f t="shared" si="2122"/>
        <v>NA</v>
      </c>
      <c r="AA1534" s="10" t="str">
        <f t="shared" si="2123"/>
        <v>NA</v>
      </c>
      <c r="AB1534" s="10" t="str">
        <f t="shared" si="2124"/>
        <v>NA</v>
      </c>
      <c r="AC1534" s="10" t="str">
        <f t="shared" si="2125"/>
        <v>NA</v>
      </c>
      <c r="AD1534" s="10" t="str">
        <f t="shared" si="2126"/>
        <v>NA</v>
      </c>
      <c r="AE1534" s="10" t="str">
        <f t="shared" si="2127"/>
        <v>NA</v>
      </c>
      <c r="AF1534" s="1" t="s">
        <v>7116</v>
      </c>
    </row>
    <row r="1535" spans="1:32" x14ac:dyDescent="0.2">
      <c r="A1535" s="1" t="s">
        <v>7128</v>
      </c>
      <c r="D1535" s="1" t="s">
        <v>1600</v>
      </c>
      <c r="E1535" s="1" t="s">
        <v>2052</v>
      </c>
      <c r="F1535" s="1" t="s">
        <v>108</v>
      </c>
      <c r="G1535" s="4">
        <v>1</v>
      </c>
      <c r="H1535" s="28">
        <v>45199</v>
      </c>
      <c r="I1535" s="29">
        <f t="shared" si="2017"/>
        <v>2023</v>
      </c>
      <c r="J1535" s="1" t="s">
        <v>7</v>
      </c>
      <c r="K1535" s="1" t="s">
        <v>4617</v>
      </c>
      <c r="L1535" s="11" t="str">
        <f t="shared" ref="L1535:L1536" si="2130">IF(OR(A1535=J1535,A1535=K1535),"ДА","НЕТ")</f>
        <v>НЕТ</v>
      </c>
      <c r="M1535" s="10" t="s">
        <v>1575</v>
      </c>
      <c r="N1535" s="10" t="s">
        <v>1575</v>
      </c>
      <c r="O1535" s="10">
        <v>0.57999999999999996</v>
      </c>
      <c r="P1535" s="10">
        <f t="shared" si="2019"/>
        <v>0.57999999999999996</v>
      </c>
      <c r="Q1535" s="10" t="str">
        <f t="shared" si="2020"/>
        <v>NA</v>
      </c>
      <c r="R1535" s="10" t="s">
        <v>1575</v>
      </c>
      <c r="S1535" s="10" t="s">
        <v>1575</v>
      </c>
      <c r="T1535" s="10" t="s">
        <v>1575</v>
      </c>
      <c r="U1535" s="10" t="s">
        <v>1575</v>
      </c>
      <c r="V1535" s="10" t="s">
        <v>1575</v>
      </c>
      <c r="W1535" s="10" t="s">
        <v>1575</v>
      </c>
      <c r="X1535" s="10" t="s">
        <v>1575</v>
      </c>
      <c r="Y1535" s="10" t="s">
        <v>1575</v>
      </c>
      <c r="Z1535" s="10" t="s">
        <v>1575</v>
      </c>
      <c r="AA1535" s="10" t="s">
        <v>1575</v>
      </c>
      <c r="AB1535" s="10" t="s">
        <v>1575</v>
      </c>
      <c r="AC1535" s="10" t="s">
        <v>1575</v>
      </c>
      <c r="AD1535" s="10" t="s">
        <v>1575</v>
      </c>
      <c r="AE1535" s="10" t="s">
        <v>1575</v>
      </c>
      <c r="AF1535" s="1" t="s">
        <v>7120</v>
      </c>
    </row>
    <row r="1536" spans="1:32" x14ac:dyDescent="0.2">
      <c r="A1536" s="1" t="s">
        <v>7129</v>
      </c>
      <c r="B1536" s="1" t="s">
        <v>21</v>
      </c>
      <c r="C1536" s="1" t="s">
        <v>1575</v>
      </c>
      <c r="D1536" s="1" t="s">
        <v>1600</v>
      </c>
      <c r="E1536" s="1" t="s">
        <v>2048</v>
      </c>
      <c r="F1536" s="1" t="s">
        <v>235</v>
      </c>
      <c r="G1536" s="4">
        <v>1</v>
      </c>
      <c r="H1536" s="28">
        <v>45169</v>
      </c>
      <c r="I1536" s="29">
        <f t="shared" si="2017"/>
        <v>2023</v>
      </c>
      <c r="J1536" s="1" t="s">
        <v>7</v>
      </c>
      <c r="K1536" s="1" t="s">
        <v>4617</v>
      </c>
      <c r="L1536" s="11" t="str">
        <f t="shared" si="2130"/>
        <v>НЕТ</v>
      </c>
      <c r="M1536" s="10" t="s">
        <v>1575</v>
      </c>
      <c r="N1536" s="10" t="s">
        <v>1575</v>
      </c>
      <c r="O1536" s="10">
        <v>8.8999999999999996E-2</v>
      </c>
      <c r="P1536" s="10">
        <f t="shared" si="2019"/>
        <v>8.8999999999999996E-2</v>
      </c>
      <c r="Q1536" s="10" t="str">
        <f t="shared" si="2020"/>
        <v>NA</v>
      </c>
      <c r="R1536" s="10" t="s">
        <v>1575</v>
      </c>
      <c r="S1536" s="10" t="s">
        <v>1575</v>
      </c>
      <c r="T1536" s="10" t="s">
        <v>1575</v>
      </c>
      <c r="U1536" s="10" t="s">
        <v>1575</v>
      </c>
      <c r="V1536" s="10" t="s">
        <v>1575</v>
      </c>
      <c r="W1536" s="10" t="s">
        <v>1575</v>
      </c>
      <c r="X1536" s="10" t="s">
        <v>1575</v>
      </c>
      <c r="Y1536" s="10" t="s">
        <v>1575</v>
      </c>
      <c r="Z1536" s="10" t="s">
        <v>1575</v>
      </c>
      <c r="AA1536" s="10" t="s">
        <v>1575</v>
      </c>
      <c r="AB1536" s="10" t="s">
        <v>1575</v>
      </c>
      <c r="AC1536" s="10" t="s">
        <v>1575</v>
      </c>
      <c r="AD1536" s="10" t="s">
        <v>1575</v>
      </c>
      <c r="AE1536" s="10" t="s">
        <v>1575</v>
      </c>
      <c r="AF1536" s="1" t="s">
        <v>7121</v>
      </c>
    </row>
    <row r="1537" spans="1:32" x14ac:dyDescent="0.2">
      <c r="A1537" s="1" t="s">
        <v>7127</v>
      </c>
      <c r="B1537" s="1" t="s">
        <v>5</v>
      </c>
      <c r="C1537" s="1" t="s">
        <v>1575</v>
      </c>
      <c r="D1537" s="1" t="s">
        <v>1600</v>
      </c>
      <c r="E1537" s="1" t="s">
        <v>2050</v>
      </c>
      <c r="F1537" s="1" t="s">
        <v>7133</v>
      </c>
      <c r="G1537" s="4">
        <v>0.4536</v>
      </c>
      <c r="H1537" s="28">
        <v>45291</v>
      </c>
      <c r="I1537" s="29">
        <f t="shared" si="2017"/>
        <v>2023</v>
      </c>
      <c r="J1537" s="1" t="s">
        <v>4617</v>
      </c>
      <c r="K1537" s="1" t="s">
        <v>7</v>
      </c>
      <c r="L1537" s="11" t="str">
        <f t="shared" ref="L1537:L1541" si="2131">IF(OR(A1537=J1537,A1537=K1537),"ДА","НЕТ")</f>
        <v>НЕТ</v>
      </c>
      <c r="M1537" s="10" t="s">
        <v>1575</v>
      </c>
      <c r="N1537" s="10" t="s">
        <v>1575</v>
      </c>
      <c r="O1537" s="10">
        <v>4.4989999999999997</v>
      </c>
      <c r="P1537" s="10">
        <f t="shared" si="2019"/>
        <v>9.9184303350970016</v>
      </c>
      <c r="Q1537" s="10">
        <f t="shared" si="2020"/>
        <v>10.116430335097002</v>
      </c>
      <c r="R1537" s="10" t="s">
        <v>1575</v>
      </c>
      <c r="S1537" s="10" t="s">
        <v>1575</v>
      </c>
      <c r="T1537" s="10" t="s">
        <v>1575</v>
      </c>
      <c r="U1537" s="10" t="s">
        <v>1575</v>
      </c>
      <c r="V1537" s="10">
        <v>6.6420000000000003</v>
      </c>
      <c r="W1537" s="10">
        <f>0.497-0.299</f>
        <v>0.19800000000000001</v>
      </c>
      <c r="X1537" s="10">
        <f t="shared" si="2120"/>
        <v>6.8400000000000007</v>
      </c>
      <c r="Y1537" s="10" t="str">
        <f t="shared" si="2121"/>
        <v>NA</v>
      </c>
      <c r="Z1537" s="10" t="str">
        <f t="shared" si="2122"/>
        <v>NA</v>
      </c>
      <c r="AA1537" s="10">
        <f t="shared" si="2123"/>
        <v>1.4932897222368264</v>
      </c>
      <c r="AB1537" s="10" t="str">
        <f t="shared" si="2124"/>
        <v>NA</v>
      </c>
      <c r="AC1537" s="10" t="str">
        <f t="shared" si="2125"/>
        <v>NA</v>
      </c>
      <c r="AD1537" s="10" t="str">
        <f t="shared" si="2126"/>
        <v>NA</v>
      </c>
      <c r="AE1537" s="10">
        <f t="shared" si="2127"/>
        <v>1.4790102829089182</v>
      </c>
      <c r="AF1537" s="1" t="s">
        <v>7125</v>
      </c>
    </row>
    <row r="1538" spans="1:32" x14ac:dyDescent="0.2">
      <c r="A1538" s="1" t="s">
        <v>7127</v>
      </c>
      <c r="B1538" s="1" t="s">
        <v>5</v>
      </c>
      <c r="C1538" s="1" t="s">
        <v>1575</v>
      </c>
      <c r="D1538" s="1" t="s">
        <v>1600</v>
      </c>
      <c r="E1538" s="1" t="s">
        <v>2050</v>
      </c>
      <c r="F1538" s="1" t="s">
        <v>7133</v>
      </c>
      <c r="G1538" s="4">
        <v>0.51</v>
      </c>
      <c r="H1538" s="28">
        <v>44926</v>
      </c>
      <c r="I1538" s="29">
        <f t="shared" si="2017"/>
        <v>2022</v>
      </c>
      <c r="J1538" s="1" t="s">
        <v>4617</v>
      </c>
      <c r="K1538" s="1" t="s">
        <v>7</v>
      </c>
      <c r="L1538" s="11" t="str">
        <f t="shared" si="2131"/>
        <v>НЕТ</v>
      </c>
      <c r="M1538" s="10" t="s">
        <v>1575</v>
      </c>
      <c r="N1538" s="10" t="s">
        <v>1575</v>
      </c>
      <c r="O1538" s="10">
        <v>4.4989999999999997</v>
      </c>
      <c r="P1538" s="10">
        <f t="shared" si="2019"/>
        <v>8.8215686274509792</v>
      </c>
      <c r="Q1538" s="10">
        <f t="shared" si="2020"/>
        <v>9.0195686274509796</v>
      </c>
      <c r="R1538" s="10" t="s">
        <v>1575</v>
      </c>
      <c r="S1538" s="10" t="s">
        <v>1575</v>
      </c>
      <c r="T1538" s="10" t="s">
        <v>1575</v>
      </c>
      <c r="U1538" s="10" t="s">
        <v>1575</v>
      </c>
      <c r="V1538" s="10">
        <v>6.6420000000000003</v>
      </c>
      <c r="W1538" s="10">
        <f>0.497-0.299</f>
        <v>0.19800000000000001</v>
      </c>
      <c r="X1538" s="10">
        <f t="shared" ref="X1538" si="2132">IFERROR(V1538+W1538,"NA")</f>
        <v>6.8400000000000007</v>
      </c>
      <c r="Y1538" s="10" t="str">
        <f t="shared" ref="Y1538" si="2133">IFERROR(P1538/R1538,"NA")</f>
        <v>NA</v>
      </c>
      <c r="Z1538" s="10" t="str">
        <f t="shared" ref="Z1538" si="2134">IFERROR(P1538/U1538,"NA")</f>
        <v>NA</v>
      </c>
      <c r="AA1538" s="10">
        <f t="shared" ref="AA1538" si="2135">IFERROR(P1538/V1538,"NA")</f>
        <v>1.3281494470718125</v>
      </c>
      <c r="AB1538" s="10" t="str">
        <f t="shared" ref="AB1538" si="2136">IFERROR(Q1538/R1538,"NA")</f>
        <v>NA</v>
      </c>
      <c r="AC1538" s="10" t="str">
        <f t="shared" ref="AC1538" si="2137">IFERROR(Q1538/S1538,"NA")</f>
        <v>NA</v>
      </c>
      <c r="AD1538" s="10" t="str">
        <f t="shared" ref="AD1538" si="2138">IFERROR(Q1538/T1538,"NA")</f>
        <v>NA</v>
      </c>
      <c r="AE1538" s="10">
        <f t="shared" ref="AE1538" si="2139">IFERROR(Q1538/X1538,"NA")</f>
        <v>1.3186503841302601</v>
      </c>
      <c r="AF1538" s="1" t="s">
        <v>7125</v>
      </c>
    </row>
    <row r="1539" spans="1:32" x14ac:dyDescent="0.2">
      <c r="A1539" s="1" t="s">
        <v>7130</v>
      </c>
      <c r="B1539" s="1" t="s">
        <v>3</v>
      </c>
      <c r="C1539" s="1" t="s">
        <v>1575</v>
      </c>
      <c r="D1539" s="1" t="s">
        <v>1600</v>
      </c>
      <c r="E1539" s="1" t="s">
        <v>2050</v>
      </c>
      <c r="F1539" s="1" t="s">
        <v>120</v>
      </c>
      <c r="G1539" s="4">
        <v>1</v>
      </c>
      <c r="H1539" s="28">
        <v>44926</v>
      </c>
      <c r="I1539" s="29">
        <f t="shared" si="2017"/>
        <v>2022</v>
      </c>
      <c r="J1539" s="1" t="s">
        <v>7</v>
      </c>
      <c r="K1539" s="1" t="s">
        <v>4617</v>
      </c>
      <c r="L1539" s="11" t="str">
        <f t="shared" si="2131"/>
        <v>НЕТ</v>
      </c>
      <c r="M1539" s="10" t="s">
        <v>1575</v>
      </c>
      <c r="N1539" s="10" t="s">
        <v>1575</v>
      </c>
      <c r="O1539" s="10" t="s">
        <v>1575</v>
      </c>
      <c r="P1539" s="10" t="str">
        <f t="shared" ref="P1539:P1602" si="2140">IFERROR(O1539/G1539,"NA")</f>
        <v>NA</v>
      </c>
      <c r="Q1539" s="10" t="str">
        <f t="shared" ref="Q1539:Q1602" si="2141">IFERROR(P1539+W1539,"NA")</f>
        <v>NA</v>
      </c>
      <c r="R1539" s="10" t="s">
        <v>1575</v>
      </c>
      <c r="S1539" s="10" t="s">
        <v>1575</v>
      </c>
      <c r="T1539" s="10" t="s">
        <v>1575</v>
      </c>
      <c r="U1539" s="10" t="s">
        <v>1575</v>
      </c>
      <c r="V1539" s="10" t="s">
        <v>1575</v>
      </c>
      <c r="W1539" s="10" t="s">
        <v>1575</v>
      </c>
      <c r="X1539" s="10" t="s">
        <v>1575</v>
      </c>
      <c r="Y1539" s="10" t="s">
        <v>1575</v>
      </c>
      <c r="Z1539" s="10" t="s">
        <v>1575</v>
      </c>
      <c r="AA1539" s="10" t="s">
        <v>1575</v>
      </c>
      <c r="AB1539" s="10" t="s">
        <v>1575</v>
      </c>
      <c r="AC1539" s="10" t="s">
        <v>1575</v>
      </c>
      <c r="AD1539" s="10" t="s">
        <v>1575</v>
      </c>
      <c r="AE1539" s="10" t="s">
        <v>1575</v>
      </c>
      <c r="AF1539" s="1" t="s">
        <v>7122</v>
      </c>
    </row>
    <row r="1540" spans="1:32" x14ac:dyDescent="0.2">
      <c r="A1540" s="1" t="s">
        <v>7131</v>
      </c>
      <c r="B1540" s="1" t="s">
        <v>28</v>
      </c>
      <c r="C1540" s="1" t="s">
        <v>1575</v>
      </c>
      <c r="D1540" s="1" t="s">
        <v>1600</v>
      </c>
      <c r="E1540" s="1" t="s">
        <v>2050</v>
      </c>
      <c r="F1540" s="1" t="s">
        <v>120</v>
      </c>
      <c r="G1540" s="4">
        <v>1</v>
      </c>
      <c r="H1540" s="28">
        <v>44926</v>
      </c>
      <c r="I1540" s="29">
        <f t="shared" si="2017"/>
        <v>2022</v>
      </c>
      <c r="J1540" s="1" t="s">
        <v>7</v>
      </c>
      <c r="K1540" s="1" t="s">
        <v>4617</v>
      </c>
      <c r="L1540" s="11" t="str">
        <f t="shared" si="2131"/>
        <v>НЕТ</v>
      </c>
      <c r="M1540" s="10" t="s">
        <v>1575</v>
      </c>
      <c r="N1540" s="10" t="s">
        <v>1575</v>
      </c>
      <c r="O1540" s="10" t="s">
        <v>1575</v>
      </c>
      <c r="P1540" s="10" t="str">
        <f t="shared" si="2140"/>
        <v>NA</v>
      </c>
      <c r="Q1540" s="10" t="str">
        <f t="shared" si="2141"/>
        <v>NA</v>
      </c>
      <c r="R1540" s="10" t="s">
        <v>1575</v>
      </c>
      <c r="S1540" s="10" t="s">
        <v>1575</v>
      </c>
      <c r="T1540" s="10" t="s">
        <v>1575</v>
      </c>
      <c r="U1540" s="10" t="s">
        <v>1575</v>
      </c>
      <c r="V1540" s="10" t="s">
        <v>1575</v>
      </c>
      <c r="W1540" s="10" t="s">
        <v>1575</v>
      </c>
      <c r="X1540" s="10" t="s">
        <v>1575</v>
      </c>
      <c r="Y1540" s="10" t="s">
        <v>1575</v>
      </c>
      <c r="Z1540" s="10" t="s">
        <v>1575</v>
      </c>
      <c r="AA1540" s="10" t="s">
        <v>1575</v>
      </c>
      <c r="AB1540" s="10" t="s">
        <v>1575</v>
      </c>
      <c r="AC1540" s="10" t="s">
        <v>1575</v>
      </c>
      <c r="AD1540" s="10" t="s">
        <v>1575</v>
      </c>
      <c r="AE1540" s="10" t="s">
        <v>1575</v>
      </c>
      <c r="AF1540" s="1" t="s">
        <v>7123</v>
      </c>
    </row>
    <row r="1541" spans="1:32" x14ac:dyDescent="0.2">
      <c r="A1541" s="1" t="s">
        <v>7112</v>
      </c>
      <c r="B1541" s="1" t="s">
        <v>5</v>
      </c>
      <c r="C1541" s="1" t="s">
        <v>1575</v>
      </c>
      <c r="D1541" s="1" t="s">
        <v>1600</v>
      </c>
      <c r="E1541" s="1" t="s">
        <v>2048</v>
      </c>
      <c r="F1541" s="1" t="s">
        <v>235</v>
      </c>
      <c r="G1541" s="4">
        <v>0.5</v>
      </c>
      <c r="H1541" s="28">
        <v>44926</v>
      </c>
      <c r="I1541" s="29">
        <f t="shared" si="2017"/>
        <v>2022</v>
      </c>
      <c r="J1541" s="1" t="s">
        <v>7</v>
      </c>
      <c r="K1541" s="1" t="s">
        <v>4617</v>
      </c>
      <c r="L1541" s="11" t="str">
        <f t="shared" si="2131"/>
        <v>НЕТ</v>
      </c>
      <c r="M1541" s="10" t="s">
        <v>1575</v>
      </c>
      <c r="N1541" s="10" t="s">
        <v>1575</v>
      </c>
      <c r="O1541" s="10" t="s">
        <v>1575</v>
      </c>
      <c r="P1541" s="10" t="str">
        <f t="shared" si="2140"/>
        <v>NA</v>
      </c>
      <c r="Q1541" s="10" t="str">
        <f t="shared" si="2141"/>
        <v>NA</v>
      </c>
      <c r="R1541" s="10" t="s">
        <v>1575</v>
      </c>
      <c r="S1541" s="10" t="s">
        <v>1575</v>
      </c>
      <c r="T1541" s="10" t="s">
        <v>1575</v>
      </c>
      <c r="U1541" s="10" t="s">
        <v>1575</v>
      </c>
      <c r="V1541" s="10" t="s">
        <v>1575</v>
      </c>
      <c r="W1541" s="10" t="s">
        <v>1575</v>
      </c>
      <c r="X1541" s="10" t="s">
        <v>1575</v>
      </c>
      <c r="Y1541" s="10" t="s">
        <v>1575</v>
      </c>
      <c r="Z1541" s="10" t="s">
        <v>1575</v>
      </c>
      <c r="AA1541" s="10" t="s">
        <v>1575</v>
      </c>
      <c r="AB1541" s="10" t="s">
        <v>1575</v>
      </c>
      <c r="AC1541" s="10" t="s">
        <v>1575</v>
      </c>
      <c r="AD1541" s="10" t="s">
        <v>1575</v>
      </c>
      <c r="AE1541" s="10" t="s">
        <v>1575</v>
      </c>
      <c r="AF1541" s="1" t="s">
        <v>7124</v>
      </c>
    </row>
    <row r="1542" spans="1:32" x14ac:dyDescent="0.2">
      <c r="A1542" s="1" t="s">
        <v>7132</v>
      </c>
      <c r="B1542" s="1" t="s">
        <v>5</v>
      </c>
      <c r="C1542" s="1" t="s">
        <v>1575</v>
      </c>
      <c r="D1542" s="1" t="s">
        <v>1575</v>
      </c>
      <c r="E1542" s="1" t="s">
        <v>1575</v>
      </c>
      <c r="F1542" s="1" t="s">
        <v>1575</v>
      </c>
      <c r="G1542" s="4">
        <v>1</v>
      </c>
      <c r="H1542" s="28">
        <v>44773</v>
      </c>
      <c r="I1542" s="29">
        <f t="shared" si="2017"/>
        <v>2022</v>
      </c>
      <c r="J1542" s="1" t="s">
        <v>4617</v>
      </c>
      <c r="K1542" s="1" t="s">
        <v>7</v>
      </c>
      <c r="L1542" s="11" t="str">
        <f t="shared" ref="L1542" si="2142">IF(OR(A1542=J1542,A1542=K1542),"ДА","НЕТ")</f>
        <v>НЕТ</v>
      </c>
      <c r="M1542" s="10" t="s">
        <v>1575</v>
      </c>
      <c r="N1542" s="10" t="s">
        <v>1575</v>
      </c>
      <c r="O1542" s="10">
        <v>1.393</v>
      </c>
      <c r="P1542" s="10">
        <f t="shared" si="2140"/>
        <v>1.393</v>
      </c>
      <c r="Q1542" s="10" t="str">
        <f t="shared" si="2141"/>
        <v>NA</v>
      </c>
      <c r="R1542" s="10" t="s">
        <v>1575</v>
      </c>
      <c r="S1542" s="10" t="s">
        <v>1575</v>
      </c>
      <c r="T1542" s="10" t="s">
        <v>1575</v>
      </c>
      <c r="U1542" s="10" t="s">
        <v>1575</v>
      </c>
      <c r="V1542" s="10">
        <v>0.83099999999999996</v>
      </c>
      <c r="W1542" s="10" t="s">
        <v>1575</v>
      </c>
      <c r="X1542" s="10" t="s">
        <v>1575</v>
      </c>
      <c r="Y1542" s="10" t="s">
        <v>1575</v>
      </c>
      <c r="Z1542" s="10" t="s">
        <v>1575</v>
      </c>
      <c r="AA1542" s="10" t="s">
        <v>1575</v>
      </c>
      <c r="AB1542" s="10" t="s">
        <v>1575</v>
      </c>
      <c r="AC1542" s="10" t="s">
        <v>1575</v>
      </c>
      <c r="AD1542" s="10" t="s">
        <v>1575</v>
      </c>
      <c r="AE1542" s="10" t="s">
        <v>1575</v>
      </c>
      <c r="AF1542" s="1" t="s">
        <v>7126</v>
      </c>
    </row>
    <row r="1543" spans="1:32" x14ac:dyDescent="0.2">
      <c r="A1543" s="1" t="s">
        <v>4600</v>
      </c>
      <c r="B1543" s="1" t="s">
        <v>5</v>
      </c>
      <c r="C1543" s="1" t="s">
        <v>2254</v>
      </c>
      <c r="D1543" s="1" t="s">
        <v>1600</v>
      </c>
      <c r="E1543" s="1" t="s">
        <v>2048</v>
      </c>
      <c r="F1543" s="1" t="s">
        <v>235</v>
      </c>
      <c r="G1543" s="4">
        <v>1</v>
      </c>
      <c r="H1543" s="28">
        <v>44270</v>
      </c>
      <c r="I1543" s="29">
        <f t="shared" si="2017"/>
        <v>2021</v>
      </c>
      <c r="J1543" s="1" t="s">
        <v>4617</v>
      </c>
      <c r="K1543" s="1" t="s">
        <v>7</v>
      </c>
      <c r="L1543" s="11" t="str">
        <f t="shared" si="2072"/>
        <v>НЕТ</v>
      </c>
      <c r="M1543" s="10" t="s">
        <v>1575</v>
      </c>
      <c r="N1543" s="10" t="s">
        <v>1575</v>
      </c>
      <c r="O1543" s="10">
        <f>69.316+13.091</f>
        <v>82.406999999999996</v>
      </c>
      <c r="P1543" s="10">
        <f t="shared" si="2140"/>
        <v>82.406999999999996</v>
      </c>
      <c r="Q1543" s="10">
        <f t="shared" si="2141"/>
        <v>175.53399999999999</v>
      </c>
      <c r="R1543" s="10">
        <v>124.033</v>
      </c>
      <c r="S1543" s="10">
        <v>25.718900000000001</v>
      </c>
      <c r="T1543" s="10">
        <v>17.674900000000001</v>
      </c>
      <c r="U1543" s="10">
        <v>6.2549999999999999</v>
      </c>
      <c r="V1543" s="10">
        <v>47.313000000000002</v>
      </c>
      <c r="W1543" s="10">
        <f>17.806+87.413-12.092</f>
        <v>93.126999999999995</v>
      </c>
      <c r="X1543" s="10">
        <f t="shared" si="2009"/>
        <v>140.44</v>
      </c>
      <c r="Y1543" s="10">
        <f t="shared" si="2010"/>
        <v>0.66439576564301428</v>
      </c>
      <c r="Z1543" s="10">
        <f t="shared" si="2011"/>
        <v>13.174580335731415</v>
      </c>
      <c r="AA1543" s="10">
        <f t="shared" si="2012"/>
        <v>1.7417411705028214</v>
      </c>
      <c r="AB1543" s="10">
        <f t="shared" si="2013"/>
        <v>1.4152201430264526</v>
      </c>
      <c r="AC1543" s="10">
        <f t="shared" si="2014"/>
        <v>6.8250974963937017</v>
      </c>
      <c r="AD1543" s="10">
        <f t="shared" si="2015"/>
        <v>9.931258451250077</v>
      </c>
      <c r="AE1543" s="10">
        <f t="shared" si="2016"/>
        <v>1.2498860723440615</v>
      </c>
      <c r="AF1543" s="1" t="s">
        <v>7134</v>
      </c>
    </row>
    <row r="1544" spans="1:32" x14ac:dyDescent="0.2">
      <c r="A1544" s="1" t="s">
        <v>5995</v>
      </c>
      <c r="B1544" s="1" t="s">
        <v>5</v>
      </c>
      <c r="C1544" s="1" t="s">
        <v>1575</v>
      </c>
      <c r="D1544" s="1" t="s">
        <v>1600</v>
      </c>
      <c r="E1544" s="1" t="s">
        <v>2050</v>
      </c>
      <c r="F1544" s="1" t="s">
        <v>120</v>
      </c>
      <c r="G1544" s="4">
        <v>1</v>
      </c>
      <c r="H1544" s="28">
        <v>44135</v>
      </c>
      <c r="I1544" s="29">
        <f t="shared" si="2017"/>
        <v>2020</v>
      </c>
      <c r="J1544" s="1" t="s">
        <v>4617</v>
      </c>
      <c r="K1544" s="1" t="s">
        <v>7</v>
      </c>
      <c r="L1544" s="11" t="str">
        <f t="shared" si="2072"/>
        <v>НЕТ</v>
      </c>
      <c r="M1544" s="10" t="s">
        <v>1575</v>
      </c>
      <c r="N1544" s="10" t="s">
        <v>1575</v>
      </c>
      <c r="O1544" s="10">
        <v>15</v>
      </c>
      <c r="P1544" s="10">
        <f t="shared" si="2140"/>
        <v>15</v>
      </c>
      <c r="Q1544" s="10">
        <f t="shared" si="2141"/>
        <v>16.84</v>
      </c>
      <c r="R1544" s="10" t="s">
        <v>1575</v>
      </c>
      <c r="S1544" s="10" t="s">
        <v>1575</v>
      </c>
      <c r="T1544" s="10" t="s">
        <v>1575</v>
      </c>
      <c r="U1544" s="10" t="s">
        <v>1575</v>
      </c>
      <c r="V1544" s="10">
        <v>13.016</v>
      </c>
      <c r="W1544" s="10">
        <f>2.902-1.062</f>
        <v>1.84</v>
      </c>
      <c r="X1544" s="10">
        <f t="shared" si="2009"/>
        <v>14.856</v>
      </c>
      <c r="Y1544" s="10" t="str">
        <f t="shared" si="2010"/>
        <v>NA</v>
      </c>
      <c r="Z1544" s="10" t="str">
        <f t="shared" si="2011"/>
        <v>NA</v>
      </c>
      <c r="AA1544" s="10">
        <f t="shared" si="2012"/>
        <v>1.1524277811923787</v>
      </c>
      <c r="AB1544" s="10" t="str">
        <f t="shared" si="2013"/>
        <v>NA</v>
      </c>
      <c r="AC1544" s="10" t="str">
        <f t="shared" si="2014"/>
        <v>NA</v>
      </c>
      <c r="AD1544" s="10" t="str">
        <f t="shared" si="2015"/>
        <v>NA</v>
      </c>
      <c r="AE1544" s="10">
        <f t="shared" si="2016"/>
        <v>1.1335487345180399</v>
      </c>
      <c r="AF1544" s="1" t="s">
        <v>7137</v>
      </c>
    </row>
    <row r="1545" spans="1:32" x14ac:dyDescent="0.2">
      <c r="A1545" s="1" t="s">
        <v>5996</v>
      </c>
      <c r="B1545" s="1" t="s">
        <v>5</v>
      </c>
      <c r="C1545" s="1" t="s">
        <v>1575</v>
      </c>
      <c r="D1545" s="1" t="s">
        <v>1600</v>
      </c>
      <c r="E1545" s="1" t="s">
        <v>2048</v>
      </c>
      <c r="F1545" s="1" t="s">
        <v>1395</v>
      </c>
      <c r="G1545" s="4" t="s">
        <v>11</v>
      </c>
      <c r="H1545" s="28">
        <v>44135</v>
      </c>
      <c r="I1545" s="29">
        <f t="shared" si="2017"/>
        <v>2020</v>
      </c>
      <c r="J1545" s="1" t="s">
        <v>4617</v>
      </c>
      <c r="K1545" s="1" t="s">
        <v>7</v>
      </c>
      <c r="L1545" s="11" t="str">
        <f t="shared" si="2072"/>
        <v>НЕТ</v>
      </c>
      <c r="M1545" s="10" t="s">
        <v>1575</v>
      </c>
      <c r="N1545" s="10" t="s">
        <v>1575</v>
      </c>
      <c r="O1545" s="10">
        <v>0.4</v>
      </c>
      <c r="P1545" s="10" t="str">
        <f t="shared" si="2140"/>
        <v>NA</v>
      </c>
      <c r="Q1545" s="10" t="str">
        <f t="shared" si="2141"/>
        <v>NA</v>
      </c>
      <c r="R1545" s="10" t="s">
        <v>1575</v>
      </c>
      <c r="S1545" s="10" t="s">
        <v>1575</v>
      </c>
      <c r="T1545" s="10" t="s">
        <v>1575</v>
      </c>
      <c r="U1545" s="10" t="s">
        <v>1575</v>
      </c>
      <c r="V1545" s="10">
        <f>1.414-1.014</f>
        <v>0.39999999999999991</v>
      </c>
      <c r="W1545" s="10" t="s">
        <v>1575</v>
      </c>
      <c r="X1545" s="10" t="str">
        <f t="shared" si="2009"/>
        <v>NA</v>
      </c>
      <c r="Y1545" s="10" t="str">
        <f t="shared" si="2010"/>
        <v>NA</v>
      </c>
      <c r="Z1545" s="10" t="str">
        <f t="shared" si="2011"/>
        <v>NA</v>
      </c>
      <c r="AA1545" s="10" t="str">
        <f t="shared" si="2012"/>
        <v>NA</v>
      </c>
      <c r="AB1545" s="10" t="str">
        <f t="shared" si="2013"/>
        <v>NA</v>
      </c>
      <c r="AC1545" s="10" t="str">
        <f t="shared" si="2014"/>
        <v>NA</v>
      </c>
      <c r="AD1545" s="10" t="str">
        <f t="shared" si="2015"/>
        <v>NA</v>
      </c>
      <c r="AE1545" s="10" t="str">
        <f t="shared" si="2016"/>
        <v>NA</v>
      </c>
      <c r="AF1545" s="1" t="s">
        <v>7135</v>
      </c>
    </row>
    <row r="1546" spans="1:32" x14ac:dyDescent="0.2">
      <c r="A1546" s="1" t="s">
        <v>5319</v>
      </c>
      <c r="B1546" s="1" t="s">
        <v>75</v>
      </c>
      <c r="C1546" s="1" t="s">
        <v>1575</v>
      </c>
      <c r="D1546" s="1" t="s">
        <v>1600</v>
      </c>
      <c r="E1546" s="1" t="s">
        <v>2048</v>
      </c>
      <c r="F1546" s="1" t="s">
        <v>235</v>
      </c>
      <c r="G1546" s="4">
        <v>1</v>
      </c>
      <c r="H1546" s="28">
        <v>43832</v>
      </c>
      <c r="I1546" s="29">
        <f t="shared" si="2017"/>
        <v>2020</v>
      </c>
      <c r="J1546" s="1" t="s">
        <v>1394</v>
      </c>
      <c r="K1546" s="1" t="s">
        <v>4617</v>
      </c>
      <c r="L1546" s="11" t="str">
        <f t="shared" si="2072"/>
        <v>НЕТ</v>
      </c>
      <c r="M1546" s="10">
        <v>1.0289999999999999</v>
      </c>
      <c r="N1546" s="10" t="s">
        <v>1575</v>
      </c>
      <c r="O1546" s="10">
        <v>63.436999999999998</v>
      </c>
      <c r="P1546" s="10">
        <f t="shared" si="2140"/>
        <v>63.436999999999998</v>
      </c>
      <c r="Q1546" s="10">
        <f t="shared" si="2141"/>
        <v>68.408000000000001</v>
      </c>
      <c r="R1546" s="10" t="s">
        <v>1575</v>
      </c>
      <c r="S1546" s="10" t="s">
        <v>1575</v>
      </c>
      <c r="T1546" s="10" t="s">
        <v>1575</v>
      </c>
      <c r="U1546" s="10" t="s">
        <v>1575</v>
      </c>
      <c r="V1546" s="10">
        <f>57.79-11.386</f>
        <v>46.403999999999996</v>
      </c>
      <c r="W1546" s="10">
        <f>0.025+0.458+3.201+1.066+0.221</f>
        <v>4.9710000000000001</v>
      </c>
      <c r="X1546" s="10">
        <f t="shared" ref="X1546:X1633" si="2143">IFERROR(V1546+W1546,"NA")</f>
        <v>51.375</v>
      </c>
      <c r="Y1546" s="10" t="str">
        <f t="shared" ref="Y1546:Y1633" si="2144">IFERROR(P1546/R1546,"NA")</f>
        <v>NA</v>
      </c>
      <c r="Z1546" s="10" t="str">
        <f t="shared" ref="Z1546:Z1633" si="2145">IFERROR(P1546/U1546,"NA")</f>
        <v>NA</v>
      </c>
      <c r="AA1546" s="10">
        <f t="shared" ref="AA1546:AA1633" si="2146">IFERROR(P1546/V1546,"NA")</f>
        <v>1.3670588742349798</v>
      </c>
      <c r="AB1546" s="10" t="str">
        <f t="shared" ref="AB1546:AB1633" si="2147">IFERROR(Q1546/R1546,"NA")</f>
        <v>NA</v>
      </c>
      <c r="AC1546" s="10" t="str">
        <f t="shared" ref="AC1546:AC1633" si="2148">IFERROR(Q1546/S1546,"NA")</f>
        <v>NA</v>
      </c>
      <c r="AD1546" s="10" t="str">
        <f t="shared" ref="AD1546:AD1633" si="2149">IFERROR(Q1546/T1546,"NA")</f>
        <v>NA</v>
      </c>
      <c r="AE1546" s="10">
        <f t="shared" ref="AE1546:AE1633" si="2150">IFERROR(Q1546/X1546,"NA")</f>
        <v>1.3315425790754258</v>
      </c>
      <c r="AF1546" s="1" t="s">
        <v>7136</v>
      </c>
    </row>
    <row r="1547" spans="1:32" x14ac:dyDescent="0.2">
      <c r="A1547" s="1" t="s">
        <v>5997</v>
      </c>
      <c r="B1547" s="1" t="s">
        <v>5</v>
      </c>
      <c r="C1547" s="1" t="s">
        <v>1575</v>
      </c>
      <c r="D1547" s="1" t="s">
        <v>1600</v>
      </c>
      <c r="E1547" s="1" t="s">
        <v>2051</v>
      </c>
      <c r="F1547" s="1" t="s">
        <v>1396</v>
      </c>
      <c r="G1547" s="4">
        <v>0.49</v>
      </c>
      <c r="H1547" s="28">
        <v>43921</v>
      </c>
      <c r="I1547" s="29">
        <f t="shared" si="2017"/>
        <v>2020</v>
      </c>
      <c r="J1547" s="1" t="s">
        <v>4617</v>
      </c>
      <c r="K1547" s="1" t="s">
        <v>7</v>
      </c>
      <c r="L1547" s="11" t="str">
        <f t="shared" si="2072"/>
        <v>НЕТ</v>
      </c>
      <c r="M1547" s="10" t="s">
        <v>1575</v>
      </c>
      <c r="N1547" s="10" t="s">
        <v>1575</v>
      </c>
      <c r="O1547" s="10">
        <v>0.121</v>
      </c>
      <c r="P1547" s="10">
        <f t="shared" si="2140"/>
        <v>0.24693877551020407</v>
      </c>
      <c r="Q1547" s="10" t="str">
        <f t="shared" si="2141"/>
        <v>NA</v>
      </c>
      <c r="R1547" s="10" t="s">
        <v>1575</v>
      </c>
      <c r="S1547" s="10" t="s">
        <v>1575</v>
      </c>
      <c r="T1547" s="10" t="s">
        <v>1575</v>
      </c>
      <c r="U1547" s="10" t="s">
        <v>1575</v>
      </c>
      <c r="V1547" s="10">
        <f>2.021-1.768</f>
        <v>0.25299999999999989</v>
      </c>
      <c r="W1547" s="10" t="s">
        <v>1575</v>
      </c>
      <c r="X1547" s="10" t="str">
        <f t="shared" si="2143"/>
        <v>NA</v>
      </c>
      <c r="Y1547" s="10" t="str">
        <f t="shared" si="2144"/>
        <v>NA</v>
      </c>
      <c r="Z1547" s="10" t="str">
        <f t="shared" si="2145"/>
        <v>NA</v>
      </c>
      <c r="AA1547" s="10">
        <f t="shared" si="2146"/>
        <v>0.97604259094942358</v>
      </c>
      <c r="AB1547" s="10" t="str">
        <f t="shared" si="2147"/>
        <v>NA</v>
      </c>
      <c r="AC1547" s="10" t="str">
        <f t="shared" si="2148"/>
        <v>NA</v>
      </c>
      <c r="AD1547" s="10" t="str">
        <f t="shared" si="2149"/>
        <v>NA</v>
      </c>
      <c r="AE1547" s="10" t="str">
        <f t="shared" si="2150"/>
        <v>NA</v>
      </c>
      <c r="AF1547" s="1" t="s">
        <v>1397</v>
      </c>
    </row>
    <row r="1548" spans="1:32" x14ac:dyDescent="0.2">
      <c r="A1548" s="1" t="s">
        <v>233</v>
      </c>
      <c r="B1548" s="1" t="s">
        <v>234</v>
      </c>
      <c r="C1548" s="1" t="s">
        <v>1575</v>
      </c>
      <c r="D1548" s="1" t="s">
        <v>1600</v>
      </c>
      <c r="E1548" s="1" t="s">
        <v>2048</v>
      </c>
      <c r="F1548" s="1" t="s">
        <v>235</v>
      </c>
      <c r="G1548" s="4" t="s">
        <v>1575</v>
      </c>
      <c r="H1548" s="28">
        <v>43465</v>
      </c>
      <c r="I1548" s="29">
        <f t="shared" si="2017"/>
        <v>2018</v>
      </c>
      <c r="J1548" s="1" t="s">
        <v>7</v>
      </c>
      <c r="K1548" s="1" t="s">
        <v>4617</v>
      </c>
      <c r="L1548" s="11" t="str">
        <f t="shared" si="2072"/>
        <v>НЕТ</v>
      </c>
      <c r="M1548" s="10" t="s">
        <v>1575</v>
      </c>
      <c r="N1548" s="10" t="s">
        <v>1575</v>
      </c>
      <c r="O1548" s="10">
        <v>0.158</v>
      </c>
      <c r="P1548" s="10" t="str">
        <f t="shared" si="2140"/>
        <v>NA</v>
      </c>
      <c r="Q1548" s="10" t="str">
        <f t="shared" si="2141"/>
        <v>NA</v>
      </c>
      <c r="R1548" s="10" t="s">
        <v>1575</v>
      </c>
      <c r="S1548" s="10" t="s">
        <v>1575</v>
      </c>
      <c r="T1548" s="10" t="s">
        <v>1575</v>
      </c>
      <c r="U1548" s="10" t="s">
        <v>1575</v>
      </c>
      <c r="V1548" s="10">
        <v>0.59799999999999998</v>
      </c>
      <c r="W1548" s="10" t="s">
        <v>1575</v>
      </c>
      <c r="X1548" s="10" t="str">
        <f t="shared" si="2143"/>
        <v>NA</v>
      </c>
      <c r="Y1548" s="10" t="str">
        <f t="shared" si="2144"/>
        <v>NA</v>
      </c>
      <c r="Z1548" s="10" t="str">
        <f t="shared" si="2145"/>
        <v>NA</v>
      </c>
      <c r="AA1548" s="10" t="str">
        <f t="shared" si="2146"/>
        <v>NA</v>
      </c>
      <c r="AB1548" s="10" t="str">
        <f t="shared" si="2147"/>
        <v>NA</v>
      </c>
      <c r="AC1548" s="10" t="str">
        <f t="shared" si="2148"/>
        <v>NA</v>
      </c>
      <c r="AD1548" s="10" t="str">
        <f t="shared" si="2149"/>
        <v>NA</v>
      </c>
      <c r="AE1548" s="10" t="str">
        <f t="shared" si="2150"/>
        <v>NA</v>
      </c>
      <c r="AF1548" s="1" t="s">
        <v>1398</v>
      </c>
    </row>
    <row r="1549" spans="1:32" x14ac:dyDescent="0.2">
      <c r="A1549" s="1" t="s">
        <v>4617</v>
      </c>
      <c r="B1549" s="1" t="s">
        <v>5</v>
      </c>
      <c r="C1549" s="1" t="s">
        <v>7117</v>
      </c>
      <c r="D1549" s="1" t="s">
        <v>1600</v>
      </c>
      <c r="E1549" s="1" t="s">
        <v>2048</v>
      </c>
      <c r="F1549" s="1" t="s">
        <v>235</v>
      </c>
      <c r="G1549" s="4">
        <f>17660796/1033135366</f>
        <v>1.7094367864278495E-2</v>
      </c>
      <c r="H1549" s="28">
        <v>42735</v>
      </c>
      <c r="I1549" s="29">
        <f t="shared" ref="I1549" si="2151">YEAR(H1549)</f>
        <v>2016</v>
      </c>
      <c r="J1549" s="1" t="s">
        <v>7</v>
      </c>
      <c r="K1549" s="1" t="s">
        <v>4617</v>
      </c>
      <c r="L1549" s="11" t="str">
        <f t="shared" si="2072"/>
        <v>ДА</v>
      </c>
      <c r="M1549" s="10" t="s">
        <v>1575</v>
      </c>
      <c r="N1549" s="10" t="s">
        <v>1575</v>
      </c>
      <c r="O1549" s="10">
        <v>1.04</v>
      </c>
      <c r="P1549" s="10">
        <f t="shared" si="2140"/>
        <v>60.838751585149389</v>
      </c>
      <c r="Q1549" s="10">
        <f t="shared" si="2141"/>
        <v>226.68375158514939</v>
      </c>
      <c r="R1549" s="10">
        <v>222.57</v>
      </c>
      <c r="S1549" s="10">
        <v>35.26</v>
      </c>
      <c r="T1549" s="10">
        <v>19.134999999999998</v>
      </c>
      <c r="U1549" s="10">
        <v>10.731999999999999</v>
      </c>
      <c r="V1549" s="10">
        <v>54.514000000000003</v>
      </c>
      <c r="W1549" s="10">
        <v>165.845</v>
      </c>
      <c r="X1549" s="10">
        <f t="shared" si="2143"/>
        <v>220.35900000000001</v>
      </c>
      <c r="Y1549" s="10">
        <f t="shared" si="2144"/>
        <v>0.27334659471244727</v>
      </c>
      <c r="Z1549" s="10">
        <f t="shared" si="2145"/>
        <v>5.6689108819557763</v>
      </c>
      <c r="AA1549" s="10">
        <f t="shared" si="2146"/>
        <v>1.1160206843223646</v>
      </c>
      <c r="AB1549" s="10">
        <f t="shared" si="2147"/>
        <v>1.0184829563065525</v>
      </c>
      <c r="AC1549" s="10">
        <f t="shared" si="2148"/>
        <v>6.4289209184670844</v>
      </c>
      <c r="AD1549" s="10">
        <f t="shared" si="2149"/>
        <v>11.846550905939347</v>
      </c>
      <c r="AE1549" s="10">
        <f t="shared" si="2150"/>
        <v>1.0287020343400968</v>
      </c>
    </row>
    <row r="1550" spans="1:32" x14ac:dyDescent="0.2">
      <c r="A1550" s="1" t="s">
        <v>4617</v>
      </c>
      <c r="B1550" s="1" t="s">
        <v>5</v>
      </c>
      <c r="C1550" s="1" t="s">
        <v>7117</v>
      </c>
      <c r="D1550" s="1" t="s">
        <v>1600</v>
      </c>
      <c r="E1550" s="1" t="s">
        <v>2048</v>
      </c>
      <c r="F1550" s="1" t="s">
        <v>235</v>
      </c>
      <c r="G1550" s="4">
        <f>17660796/1033135366</f>
        <v>1.7094367864278495E-2</v>
      </c>
      <c r="H1550" s="28">
        <v>42735</v>
      </c>
      <c r="I1550" s="29">
        <f t="shared" ref="I1550:I1551" si="2152">YEAR(H1550)</f>
        <v>2016</v>
      </c>
      <c r="J1550" s="1" t="s">
        <v>4617</v>
      </c>
      <c r="K1550" s="1" t="s">
        <v>7</v>
      </c>
      <c r="L1550" s="11" t="str">
        <f t="shared" ref="L1550:L1551" si="2153">IF(OR(A1550=J1550,A1550=K1550),"ДА","НЕТ")</f>
        <v>ДА</v>
      </c>
      <c r="M1550" s="10" t="s">
        <v>1575</v>
      </c>
      <c r="N1550" s="10" t="s">
        <v>1575</v>
      </c>
      <c r="O1550" s="10">
        <v>1.04</v>
      </c>
      <c r="P1550" s="10">
        <f t="shared" si="2140"/>
        <v>60.838751585149389</v>
      </c>
      <c r="Q1550" s="10">
        <f t="shared" si="2141"/>
        <v>226.68375158514939</v>
      </c>
      <c r="R1550" s="10">
        <v>222.57</v>
      </c>
      <c r="S1550" s="10">
        <v>35.26</v>
      </c>
      <c r="T1550" s="10">
        <v>19.134999999999998</v>
      </c>
      <c r="U1550" s="10">
        <v>10.731999999999999</v>
      </c>
      <c r="V1550" s="10">
        <v>54.514000000000003</v>
      </c>
      <c r="W1550" s="10">
        <v>165.845</v>
      </c>
      <c r="X1550" s="10">
        <f t="shared" ref="X1550:X1551" si="2154">IFERROR(V1550+W1550,"NA")</f>
        <v>220.35900000000001</v>
      </c>
      <c r="Y1550" s="10">
        <f t="shared" ref="Y1550:Y1551" si="2155">IFERROR(P1550/R1550,"NA")</f>
        <v>0.27334659471244727</v>
      </c>
      <c r="Z1550" s="10">
        <f t="shared" ref="Z1550:Z1551" si="2156">IFERROR(P1550/U1550,"NA")</f>
        <v>5.6689108819557763</v>
      </c>
      <c r="AA1550" s="10">
        <f t="shared" ref="AA1550:AA1551" si="2157">IFERROR(P1550/V1550,"NA")</f>
        <v>1.1160206843223646</v>
      </c>
      <c r="AB1550" s="10">
        <f t="shared" ref="AB1550:AB1551" si="2158">IFERROR(Q1550/R1550,"NA")</f>
        <v>1.0184829563065525</v>
      </c>
      <c r="AC1550" s="10">
        <f t="shared" ref="AC1550:AC1551" si="2159">IFERROR(Q1550/S1550,"NA")</f>
        <v>6.4289209184670844</v>
      </c>
      <c r="AD1550" s="10">
        <f t="shared" ref="AD1550:AD1551" si="2160">IFERROR(Q1550/T1550,"NA")</f>
        <v>11.846550905939347</v>
      </c>
      <c r="AE1550" s="10">
        <f t="shared" ref="AE1550:AE1551" si="2161">IFERROR(Q1550/X1550,"NA")</f>
        <v>1.0287020343400968</v>
      </c>
    </row>
    <row r="1551" spans="1:32" x14ac:dyDescent="0.2">
      <c r="A1551" s="1" t="s">
        <v>7139</v>
      </c>
      <c r="B1551" s="1" t="s">
        <v>5</v>
      </c>
      <c r="C1551" s="1" t="s">
        <v>1575</v>
      </c>
      <c r="D1551" s="1" t="s">
        <v>1600</v>
      </c>
      <c r="E1551" s="1" t="s">
        <v>2048</v>
      </c>
      <c r="F1551" s="1" t="s">
        <v>235</v>
      </c>
      <c r="G1551" s="4" t="s">
        <v>1575</v>
      </c>
      <c r="H1551" s="28">
        <v>42735</v>
      </c>
      <c r="I1551" s="29">
        <f t="shared" si="2152"/>
        <v>2016</v>
      </c>
      <c r="J1551" s="1" t="s">
        <v>4617</v>
      </c>
      <c r="K1551" s="1" t="s">
        <v>7</v>
      </c>
      <c r="L1551" s="11" t="str">
        <f t="shared" si="2153"/>
        <v>НЕТ</v>
      </c>
      <c r="M1551" s="10" t="s">
        <v>1575</v>
      </c>
      <c r="N1551" s="10" t="s">
        <v>1575</v>
      </c>
      <c r="O1551" s="10">
        <v>1.6E-2</v>
      </c>
      <c r="P1551" s="10" t="str">
        <f t="shared" si="2140"/>
        <v>NA</v>
      </c>
      <c r="Q1551" s="10" t="str">
        <f t="shared" si="2141"/>
        <v>NA</v>
      </c>
      <c r="R1551" s="10" t="s">
        <v>1575</v>
      </c>
      <c r="S1551" s="10" t="s">
        <v>1575</v>
      </c>
      <c r="T1551" s="10" t="s">
        <v>1575</v>
      </c>
      <c r="U1551" s="10" t="s">
        <v>1575</v>
      </c>
      <c r="V1551" s="10" t="s">
        <v>1575</v>
      </c>
      <c r="W1551" s="10" t="s">
        <v>1575</v>
      </c>
      <c r="X1551" s="10" t="str">
        <f t="shared" si="2154"/>
        <v>NA</v>
      </c>
      <c r="Y1551" s="10" t="str">
        <f t="shared" si="2155"/>
        <v>NA</v>
      </c>
      <c r="Z1551" s="10" t="str">
        <f t="shared" si="2156"/>
        <v>NA</v>
      </c>
      <c r="AA1551" s="10" t="str">
        <f t="shared" si="2157"/>
        <v>NA</v>
      </c>
      <c r="AB1551" s="10" t="str">
        <f t="shared" si="2158"/>
        <v>NA</v>
      </c>
      <c r="AC1551" s="10" t="str">
        <f t="shared" si="2159"/>
        <v>NA</v>
      </c>
      <c r="AD1551" s="10" t="str">
        <f t="shared" si="2160"/>
        <v>NA</v>
      </c>
      <c r="AE1551" s="10" t="str">
        <f t="shared" si="2161"/>
        <v>NA</v>
      </c>
      <c r="AF1551" s="1" t="s">
        <v>7138</v>
      </c>
    </row>
    <row r="1552" spans="1:32" x14ac:dyDescent="0.2">
      <c r="A1552" s="1" t="s">
        <v>1399</v>
      </c>
      <c r="B1552" s="1" t="s">
        <v>75</v>
      </c>
      <c r="C1552" s="1" t="s">
        <v>1575</v>
      </c>
      <c r="D1552" s="1" t="s">
        <v>1600</v>
      </c>
      <c r="E1552" s="1" t="s">
        <v>2048</v>
      </c>
      <c r="F1552" s="1" t="s">
        <v>1400</v>
      </c>
      <c r="G1552" s="4">
        <v>0.75</v>
      </c>
      <c r="H1552" s="28">
        <v>42643</v>
      </c>
      <c r="I1552" s="29">
        <f t="shared" si="2017"/>
        <v>2016</v>
      </c>
      <c r="J1552" s="1" t="s">
        <v>7</v>
      </c>
      <c r="K1552" s="1" t="s">
        <v>4617</v>
      </c>
      <c r="L1552" s="11" t="str">
        <f t="shared" si="2072"/>
        <v>НЕТ</v>
      </c>
      <c r="M1552" s="10" t="s">
        <v>1575</v>
      </c>
      <c r="N1552" s="10" t="s">
        <v>1575</v>
      </c>
      <c r="O1552" s="10">
        <v>0.156</v>
      </c>
      <c r="P1552" s="10">
        <f t="shared" si="2140"/>
        <v>0.20799999999999999</v>
      </c>
      <c r="Q1552" s="10" t="str">
        <f t="shared" si="2141"/>
        <v>NA</v>
      </c>
      <c r="R1552" s="10" t="s">
        <v>1575</v>
      </c>
      <c r="S1552" s="10" t="s">
        <v>1575</v>
      </c>
      <c r="T1552" s="10" t="s">
        <v>1575</v>
      </c>
      <c r="U1552" s="10" t="s">
        <v>1575</v>
      </c>
      <c r="V1552" s="10">
        <v>0.871</v>
      </c>
      <c r="W1552" s="10" t="s">
        <v>1575</v>
      </c>
      <c r="X1552" s="10" t="str">
        <f t="shared" si="2143"/>
        <v>NA</v>
      </c>
      <c r="Y1552" s="10" t="str">
        <f t="shared" si="2144"/>
        <v>NA</v>
      </c>
      <c r="Z1552" s="10" t="str">
        <f t="shared" si="2145"/>
        <v>NA</v>
      </c>
      <c r="AA1552" s="10">
        <f t="shared" si="2146"/>
        <v>0.23880597014925373</v>
      </c>
      <c r="AB1552" s="10" t="str">
        <f t="shared" si="2147"/>
        <v>NA</v>
      </c>
      <c r="AC1552" s="10" t="str">
        <f t="shared" si="2148"/>
        <v>NA</v>
      </c>
      <c r="AD1552" s="10" t="str">
        <f t="shared" si="2149"/>
        <v>NA</v>
      </c>
      <c r="AE1552" s="10" t="str">
        <f t="shared" si="2150"/>
        <v>NA</v>
      </c>
      <c r="AF1552" s="1" t="s">
        <v>7140</v>
      </c>
    </row>
    <row r="1553" spans="1:32" x14ac:dyDescent="0.2">
      <c r="A1553" s="1" t="s">
        <v>228</v>
      </c>
      <c r="B1553" s="1" t="s">
        <v>5</v>
      </c>
      <c r="C1553" s="1" t="s">
        <v>1575</v>
      </c>
      <c r="D1553" s="1" t="s">
        <v>1600</v>
      </c>
      <c r="E1553" s="1" t="s">
        <v>2052</v>
      </c>
      <c r="F1553" s="1" t="s">
        <v>108</v>
      </c>
      <c r="G1553" s="4">
        <v>1</v>
      </c>
      <c r="H1553" s="28">
        <v>42735</v>
      </c>
      <c r="I1553" s="29">
        <f t="shared" si="2017"/>
        <v>2016</v>
      </c>
      <c r="J1553" s="1" t="s">
        <v>7</v>
      </c>
      <c r="K1553" s="1" t="s">
        <v>4617</v>
      </c>
      <c r="L1553" s="11" t="str">
        <f t="shared" si="2072"/>
        <v>НЕТ</v>
      </c>
      <c r="M1553" s="10" t="s">
        <v>1575</v>
      </c>
      <c r="N1553" s="10" t="s">
        <v>1575</v>
      </c>
      <c r="O1553" s="10">
        <v>5</v>
      </c>
      <c r="P1553" s="10">
        <f t="shared" si="2140"/>
        <v>5</v>
      </c>
      <c r="Q1553" s="10" t="str">
        <f t="shared" si="2141"/>
        <v>NA</v>
      </c>
      <c r="R1553" s="10" t="s">
        <v>1575</v>
      </c>
      <c r="S1553" s="10" t="s">
        <v>1575</v>
      </c>
      <c r="T1553" s="10" t="s">
        <v>1575</v>
      </c>
      <c r="U1553" s="10" t="s">
        <v>1575</v>
      </c>
      <c r="V1553" s="10" t="s">
        <v>1575</v>
      </c>
      <c r="W1553" s="10" t="s">
        <v>1575</v>
      </c>
      <c r="X1553" s="10" t="str">
        <f t="shared" si="2143"/>
        <v>NA</v>
      </c>
      <c r="Y1553" s="10" t="str">
        <f t="shared" si="2144"/>
        <v>NA</v>
      </c>
      <c r="Z1553" s="10" t="str">
        <f t="shared" si="2145"/>
        <v>NA</v>
      </c>
      <c r="AA1553" s="10" t="str">
        <f t="shared" si="2146"/>
        <v>NA</v>
      </c>
      <c r="AB1553" s="10" t="str">
        <f t="shared" si="2147"/>
        <v>NA</v>
      </c>
      <c r="AC1553" s="10" t="str">
        <f t="shared" si="2148"/>
        <v>NA</v>
      </c>
      <c r="AD1553" s="10" t="str">
        <f t="shared" si="2149"/>
        <v>NA</v>
      </c>
      <c r="AE1553" s="10" t="str">
        <f t="shared" si="2150"/>
        <v>NA</v>
      </c>
      <c r="AF1553" s="1" t="s">
        <v>7142</v>
      </c>
    </row>
    <row r="1554" spans="1:32" x14ac:dyDescent="0.2">
      <c r="A1554" s="1" t="s">
        <v>228</v>
      </c>
      <c r="B1554" s="1" t="s">
        <v>5</v>
      </c>
      <c r="C1554" s="1" t="s">
        <v>1575</v>
      </c>
      <c r="D1554" s="1" t="s">
        <v>1600</v>
      </c>
      <c r="E1554" s="1" t="s">
        <v>2052</v>
      </c>
      <c r="F1554" s="1" t="s">
        <v>108</v>
      </c>
      <c r="G1554" s="4">
        <v>1</v>
      </c>
      <c r="H1554" s="28">
        <v>42044</v>
      </c>
      <c r="I1554" s="29">
        <f t="shared" si="2017"/>
        <v>2015</v>
      </c>
      <c r="J1554" s="1" t="s">
        <v>4617</v>
      </c>
      <c r="K1554" s="1" t="s">
        <v>7</v>
      </c>
      <c r="L1554" s="11" t="str">
        <f t="shared" si="2072"/>
        <v>НЕТ</v>
      </c>
      <c r="M1554" s="10" t="s">
        <v>1575</v>
      </c>
      <c r="N1554" s="10" t="s">
        <v>1575</v>
      </c>
      <c r="O1554" s="10">
        <v>2.7290000000000001</v>
      </c>
      <c r="P1554" s="10">
        <f t="shared" si="2140"/>
        <v>2.7290000000000001</v>
      </c>
      <c r="Q1554" s="10">
        <f t="shared" si="2141"/>
        <v>6.1360000000000001</v>
      </c>
      <c r="R1554" s="10" t="s">
        <v>1575</v>
      </c>
      <c r="S1554" s="10" t="s">
        <v>1575</v>
      </c>
      <c r="T1554" s="10" t="s">
        <v>1575</v>
      </c>
      <c r="U1554" s="10" t="s">
        <v>1575</v>
      </c>
      <c r="V1554" s="10">
        <v>1.0580000000000001</v>
      </c>
      <c r="W1554" s="10">
        <f>3.03+0.524-0.147</f>
        <v>3.407</v>
      </c>
      <c r="X1554" s="10">
        <f t="shared" si="2143"/>
        <v>4.4649999999999999</v>
      </c>
      <c r="Y1554" s="10" t="str">
        <f t="shared" si="2144"/>
        <v>NA</v>
      </c>
      <c r="Z1554" s="10" t="str">
        <f t="shared" si="2145"/>
        <v>NA</v>
      </c>
      <c r="AA1554" s="10">
        <f t="shared" si="2146"/>
        <v>2.5793950850661624</v>
      </c>
      <c r="AB1554" s="10" t="str">
        <f t="shared" si="2147"/>
        <v>NA</v>
      </c>
      <c r="AC1554" s="10" t="str">
        <f t="shared" si="2148"/>
        <v>NA</v>
      </c>
      <c r="AD1554" s="10" t="str">
        <f t="shared" si="2149"/>
        <v>NA</v>
      </c>
      <c r="AE1554" s="10">
        <f t="shared" si="2150"/>
        <v>1.3742441209406495</v>
      </c>
      <c r="AF1554" s="1" t="s">
        <v>7143</v>
      </c>
    </row>
    <row r="1555" spans="1:32" x14ac:dyDescent="0.2">
      <c r="A1555" s="1" t="s">
        <v>4617</v>
      </c>
      <c r="B1555" s="1" t="s">
        <v>5</v>
      </c>
      <c r="C1555" s="1" t="s">
        <v>7117</v>
      </c>
      <c r="D1555" s="1" t="s">
        <v>1600</v>
      </c>
      <c r="E1555" s="1" t="s">
        <v>2048</v>
      </c>
      <c r="F1555" s="1" t="s">
        <v>235</v>
      </c>
      <c r="G1555" s="4">
        <f>80000000/1033135366</f>
        <v>7.7434189780702947E-2</v>
      </c>
      <c r="H1555" s="28">
        <v>42369</v>
      </c>
      <c r="I1555" s="29">
        <f t="shared" ref="I1555:I1556" si="2162">YEAR(H1555)</f>
        <v>2015</v>
      </c>
      <c r="J1555" s="1" t="s">
        <v>7</v>
      </c>
      <c r="K1555" s="1" t="s">
        <v>4617</v>
      </c>
      <c r="L1555" s="11" t="str">
        <f t="shared" ref="L1555:L1556" si="2163">IF(OR(A1555=J1555,A1555=K1555),"ДА","НЕТ")</f>
        <v>ДА</v>
      </c>
      <c r="M1555" s="10" t="s">
        <v>1575</v>
      </c>
      <c r="N1555" s="10" t="s">
        <v>1575</v>
      </c>
      <c r="O1555" s="10">
        <v>10.039</v>
      </c>
      <c r="P1555" s="10">
        <f t="shared" si="2140"/>
        <v>129.64557424092499</v>
      </c>
      <c r="Q1555" s="10">
        <f t="shared" si="2141"/>
        <v>324.08857424092503</v>
      </c>
      <c r="R1555" s="10">
        <v>249.67400000000001</v>
      </c>
      <c r="S1555" s="10">
        <v>7.3270000000000035</v>
      </c>
      <c r="T1555" s="10">
        <v>-7.9709999999999965</v>
      </c>
      <c r="U1555" s="10">
        <v>-28.427</v>
      </c>
      <c r="V1555" s="10">
        <v>52.085999999999999</v>
      </c>
      <c r="W1555" s="10">
        <v>194.44300000000004</v>
      </c>
      <c r="X1555" s="10">
        <f t="shared" ref="X1555:X1556" si="2164">IFERROR(V1555+W1555,"NA")</f>
        <v>246.52900000000005</v>
      </c>
      <c r="Y1555" s="10">
        <f t="shared" ref="Y1555:Y1556" si="2165">IFERROR(P1555/R1555,"NA")</f>
        <v>0.51925941123595165</v>
      </c>
      <c r="Z1555" s="10">
        <f t="shared" ref="Z1555:Z1556" si="2166">IFERROR(P1555/U1555,"NA")</f>
        <v>-4.5606491800374638</v>
      </c>
      <c r="AA1555" s="10">
        <f t="shared" ref="AA1555:AA1556" si="2167">IFERROR(P1555/V1555,"NA")</f>
        <v>2.4890675851653992</v>
      </c>
      <c r="AB1555" s="10">
        <f t="shared" ref="AB1555:AB1556" si="2168">IFERROR(Q1555/R1555,"NA")</f>
        <v>1.2980469501867435</v>
      </c>
      <c r="AC1555" s="10">
        <f t="shared" ref="AC1555:AC1556" si="2169">IFERROR(Q1555/S1555,"NA")</f>
        <v>44.232096934751588</v>
      </c>
      <c r="AD1555" s="10">
        <f t="shared" ref="AD1555:AD1556" si="2170">IFERROR(Q1555/T1555,"NA")</f>
        <v>-40.658458692877325</v>
      </c>
      <c r="AE1555" s="10">
        <f t="shared" ref="AE1555:AE1556" si="2171">IFERROR(Q1555/X1555,"NA")</f>
        <v>1.3146062907038318</v>
      </c>
    </row>
    <row r="1556" spans="1:32" x14ac:dyDescent="0.2">
      <c r="A1556" s="1" t="s">
        <v>4617</v>
      </c>
      <c r="B1556" s="1" t="s">
        <v>5</v>
      </c>
      <c r="C1556" s="1" t="s">
        <v>7117</v>
      </c>
      <c r="D1556" s="1" t="s">
        <v>1600</v>
      </c>
      <c r="E1556" s="1" t="s">
        <v>2048</v>
      </c>
      <c r="F1556" s="1" t="s">
        <v>235</v>
      </c>
      <c r="G1556" s="4">
        <f>7493952/1033135366</f>
        <v>7.2536012671934802E-3</v>
      </c>
      <c r="H1556" s="28">
        <v>42369</v>
      </c>
      <c r="I1556" s="29">
        <f t="shared" si="2162"/>
        <v>2015</v>
      </c>
      <c r="J1556" s="1" t="s">
        <v>4617</v>
      </c>
      <c r="K1556" s="1" t="s">
        <v>7</v>
      </c>
      <c r="L1556" s="11" t="str">
        <f t="shared" si="2163"/>
        <v>ДА</v>
      </c>
      <c r="M1556" s="10" t="s">
        <v>1575</v>
      </c>
      <c r="N1556" s="10" t="s">
        <v>1575</v>
      </c>
      <c r="O1556" s="10">
        <v>0.44900000000000001</v>
      </c>
      <c r="P1556" s="10">
        <f t="shared" si="2140"/>
        <v>61.900286969278696</v>
      </c>
      <c r="Q1556" s="10">
        <f t="shared" si="2141"/>
        <v>256.34328696927872</v>
      </c>
      <c r="R1556" s="10">
        <v>249.67400000000001</v>
      </c>
      <c r="S1556" s="10">
        <v>7.3270000000000035</v>
      </c>
      <c r="T1556" s="10">
        <v>-7.9709999999999965</v>
      </c>
      <c r="U1556" s="10">
        <v>-28.427</v>
      </c>
      <c r="V1556" s="10">
        <v>52.085999999999999</v>
      </c>
      <c r="W1556" s="10">
        <v>194.44300000000004</v>
      </c>
      <c r="X1556" s="10">
        <f t="shared" si="2164"/>
        <v>246.52900000000005</v>
      </c>
      <c r="Y1556" s="10">
        <f t="shared" si="2165"/>
        <v>0.2479244413486334</v>
      </c>
      <c r="Z1556" s="10">
        <f t="shared" si="2166"/>
        <v>-2.17751739435321</v>
      </c>
      <c r="AA1556" s="10">
        <f t="shared" si="2167"/>
        <v>1.1884246624674326</v>
      </c>
      <c r="AB1556" s="10">
        <f t="shared" si="2168"/>
        <v>1.0267119802994253</v>
      </c>
      <c r="AC1556" s="10">
        <f t="shared" si="2169"/>
        <v>34.986118052310438</v>
      </c>
      <c r="AD1556" s="10">
        <f t="shared" si="2170"/>
        <v>-32.159489018853201</v>
      </c>
      <c r="AE1556" s="10">
        <f t="shared" si="2171"/>
        <v>1.0398098680856154</v>
      </c>
    </row>
    <row r="1557" spans="1:32" x14ac:dyDescent="0.2">
      <c r="A1557" s="1" t="s">
        <v>229</v>
      </c>
      <c r="B1557" s="1" t="s">
        <v>94</v>
      </c>
      <c r="C1557" s="1" t="s">
        <v>1575</v>
      </c>
      <c r="D1557" s="1" t="s">
        <v>1597</v>
      </c>
      <c r="E1557" s="1" t="s">
        <v>1598</v>
      </c>
      <c r="F1557" s="1" t="s">
        <v>6</v>
      </c>
      <c r="G1557" s="4" t="s">
        <v>11</v>
      </c>
      <c r="H1557" s="28">
        <v>42063</v>
      </c>
      <c r="I1557" s="29">
        <f t="shared" ref="I1557:I1680" si="2172">YEAR(H1557)</f>
        <v>2015</v>
      </c>
      <c r="J1557" s="1" t="s">
        <v>4617</v>
      </c>
      <c r="K1557" s="1" t="s">
        <v>7</v>
      </c>
      <c r="L1557" s="11" t="str">
        <f t="shared" si="2072"/>
        <v>НЕТ</v>
      </c>
      <c r="M1557" s="10" t="s">
        <v>1575</v>
      </c>
      <c r="N1557" s="10" t="s">
        <v>1575</v>
      </c>
      <c r="O1557" s="10">
        <v>0.57299999999999995</v>
      </c>
      <c r="P1557" s="10" t="str">
        <f t="shared" si="2140"/>
        <v>NA</v>
      </c>
      <c r="Q1557" s="10" t="str">
        <f t="shared" si="2141"/>
        <v>NA</v>
      </c>
      <c r="R1557" s="10" t="s">
        <v>1575</v>
      </c>
      <c r="S1557" s="10" t="s">
        <v>1575</v>
      </c>
      <c r="T1557" s="10" t="s">
        <v>1575</v>
      </c>
      <c r="U1557" s="10" t="s">
        <v>1575</v>
      </c>
      <c r="V1557" s="10" t="s">
        <v>1575</v>
      </c>
      <c r="W1557" s="10" t="s">
        <v>1575</v>
      </c>
      <c r="X1557" s="10" t="str">
        <f t="shared" si="2143"/>
        <v>NA</v>
      </c>
      <c r="Y1557" s="10" t="str">
        <f t="shared" si="2144"/>
        <v>NA</v>
      </c>
      <c r="Z1557" s="10" t="str">
        <f t="shared" si="2145"/>
        <v>NA</v>
      </c>
      <c r="AA1557" s="10" t="str">
        <f t="shared" si="2146"/>
        <v>NA</v>
      </c>
      <c r="AB1557" s="10" t="str">
        <f t="shared" si="2147"/>
        <v>NA</v>
      </c>
      <c r="AC1557" s="10" t="str">
        <f t="shared" si="2148"/>
        <v>NA</v>
      </c>
      <c r="AD1557" s="10" t="str">
        <f t="shared" si="2149"/>
        <v>NA</v>
      </c>
      <c r="AE1557" s="10" t="str">
        <f t="shared" si="2150"/>
        <v>NA</v>
      </c>
      <c r="AF1557" s="1" t="s">
        <v>7141</v>
      </c>
    </row>
    <row r="1558" spans="1:32" x14ac:dyDescent="0.2">
      <c r="A1558" s="1" t="s">
        <v>230</v>
      </c>
      <c r="B1558" s="1" t="s">
        <v>75</v>
      </c>
      <c r="C1558" s="1" t="s">
        <v>1575</v>
      </c>
      <c r="D1558" s="1" t="s">
        <v>1597</v>
      </c>
      <c r="E1558" s="1" t="s">
        <v>1598</v>
      </c>
      <c r="F1558" s="1" t="s">
        <v>6</v>
      </c>
      <c r="G1558" s="4" t="s">
        <v>11</v>
      </c>
      <c r="H1558" s="28">
        <v>41394</v>
      </c>
      <c r="I1558" s="29">
        <f t="shared" ref="I1558" si="2173">YEAR(H1558)</f>
        <v>2013</v>
      </c>
      <c r="J1558" s="1" t="s">
        <v>4617</v>
      </c>
      <c r="K1558" s="1" t="s">
        <v>7</v>
      </c>
      <c r="L1558" s="11" t="str">
        <f t="shared" ref="L1558" si="2174">IF(OR(A1558=J1558,A1558=K1558),"ДА","НЕТ")</f>
        <v>НЕТ</v>
      </c>
      <c r="M1558" s="10">
        <v>26.6</v>
      </c>
      <c r="N1558" s="10" t="s">
        <v>1575</v>
      </c>
      <c r="O1558" s="10">
        <v>0.83499999999999996</v>
      </c>
      <c r="P1558" s="10" t="str">
        <f t="shared" si="2140"/>
        <v>NA</v>
      </c>
      <c r="Q1558" s="10" t="str">
        <f t="shared" si="2141"/>
        <v>NA</v>
      </c>
      <c r="R1558" s="10" t="s">
        <v>1575</v>
      </c>
      <c r="S1558" s="10" t="s">
        <v>1575</v>
      </c>
      <c r="T1558" s="10" t="s">
        <v>1575</v>
      </c>
      <c r="U1558" s="10" t="s">
        <v>1575</v>
      </c>
      <c r="V1558" s="10">
        <v>0.83499999999999996</v>
      </c>
      <c r="W1558" s="10">
        <v>0</v>
      </c>
      <c r="X1558" s="10">
        <f t="shared" ref="X1558" si="2175">IFERROR(V1558+W1558,"NA")</f>
        <v>0.83499999999999996</v>
      </c>
      <c r="Y1558" s="10" t="str">
        <f t="shared" ref="Y1558" si="2176">IFERROR(P1558/R1558,"NA")</f>
        <v>NA</v>
      </c>
      <c r="Z1558" s="10" t="str">
        <f t="shared" ref="Z1558" si="2177">IFERROR(P1558/U1558,"NA")</f>
        <v>NA</v>
      </c>
      <c r="AA1558" s="10" t="str">
        <f t="shared" ref="AA1558" si="2178">IFERROR(P1558/V1558,"NA")</f>
        <v>NA</v>
      </c>
      <c r="AB1558" s="10" t="str">
        <f t="shared" ref="AB1558" si="2179">IFERROR(Q1558/R1558,"NA")</f>
        <v>NA</v>
      </c>
      <c r="AC1558" s="10" t="str">
        <f t="shared" ref="AC1558" si="2180">IFERROR(Q1558/S1558,"NA")</f>
        <v>NA</v>
      </c>
      <c r="AD1558" s="10" t="str">
        <f t="shared" ref="AD1558" si="2181">IFERROR(Q1558/T1558,"NA")</f>
        <v>NA</v>
      </c>
      <c r="AE1558" s="10" t="str">
        <f t="shared" ref="AE1558" si="2182">IFERROR(Q1558/X1558,"NA")</f>
        <v>NA</v>
      </c>
      <c r="AF1558" s="1" t="s">
        <v>7144</v>
      </c>
    </row>
    <row r="1559" spans="1:32" x14ac:dyDescent="0.2">
      <c r="A1559" s="1" t="s">
        <v>231</v>
      </c>
      <c r="B1559" s="1" t="s">
        <v>5</v>
      </c>
      <c r="C1559" s="1" t="s">
        <v>1575</v>
      </c>
      <c r="D1559" s="1" t="s">
        <v>1584</v>
      </c>
      <c r="E1559" s="1" t="s">
        <v>1586</v>
      </c>
      <c r="F1559" s="1" t="s">
        <v>232</v>
      </c>
      <c r="G1559" s="4">
        <v>0.81</v>
      </c>
      <c r="H1559" s="28">
        <v>41360</v>
      </c>
      <c r="I1559" s="29">
        <f t="shared" si="2172"/>
        <v>2013</v>
      </c>
      <c r="J1559" s="1" t="s">
        <v>7</v>
      </c>
      <c r="K1559" s="1" t="s">
        <v>4617</v>
      </c>
      <c r="L1559" s="11" t="str">
        <f t="shared" si="2072"/>
        <v>НЕТ</v>
      </c>
      <c r="M1559" s="10" t="s">
        <v>1575</v>
      </c>
      <c r="N1559" s="10" t="s">
        <v>1575</v>
      </c>
      <c r="O1559" s="10">
        <v>1E-3</v>
      </c>
      <c r="P1559" s="10">
        <f t="shared" si="2140"/>
        <v>1.2345679012345679E-3</v>
      </c>
      <c r="Q1559" s="10">
        <f t="shared" si="2141"/>
        <v>-5.8765432098765433E-2</v>
      </c>
      <c r="R1559" s="10" t="s">
        <v>1575</v>
      </c>
      <c r="S1559" s="10" t="s">
        <v>1575</v>
      </c>
      <c r="T1559" s="10" t="s">
        <v>1575</v>
      </c>
      <c r="U1559" s="10" t="s">
        <v>1575</v>
      </c>
      <c r="V1559" s="10">
        <v>-5.6000000000000001E-2</v>
      </c>
      <c r="W1559" s="10">
        <f>0-0.06</f>
        <v>-0.06</v>
      </c>
      <c r="X1559" s="10">
        <f t="shared" si="2143"/>
        <v>-0.11599999999999999</v>
      </c>
      <c r="Y1559" s="10" t="str">
        <f t="shared" si="2144"/>
        <v>NA</v>
      </c>
      <c r="Z1559" s="10" t="str">
        <f t="shared" si="2145"/>
        <v>NA</v>
      </c>
      <c r="AA1559" s="10">
        <f t="shared" si="2146"/>
        <v>-2.2045855379188711E-2</v>
      </c>
      <c r="AB1559" s="10" t="str">
        <f t="shared" si="2147"/>
        <v>NA</v>
      </c>
      <c r="AC1559" s="10" t="str">
        <f t="shared" si="2148"/>
        <v>NA</v>
      </c>
      <c r="AD1559" s="10" t="str">
        <f t="shared" si="2149"/>
        <v>NA</v>
      </c>
      <c r="AE1559" s="10">
        <f t="shared" si="2150"/>
        <v>0.50659855257556408</v>
      </c>
      <c r="AF1559" s="1" t="s">
        <v>7145</v>
      </c>
    </row>
    <row r="1560" spans="1:32" x14ac:dyDescent="0.2">
      <c r="A1560" s="1" t="s">
        <v>4617</v>
      </c>
      <c r="B1560" s="1" t="s">
        <v>5</v>
      </c>
      <c r="C1560" s="1" t="s">
        <v>7117</v>
      </c>
      <c r="D1560" s="1" t="s">
        <v>1600</v>
      </c>
      <c r="E1560" s="1" t="s">
        <v>2048</v>
      </c>
      <c r="F1560" s="1" t="s">
        <v>235</v>
      </c>
      <c r="G1560" s="4">
        <f>1860868/74420496</f>
        <v>2.5004778253560685E-2</v>
      </c>
      <c r="H1560" s="28">
        <v>41274</v>
      </c>
      <c r="I1560" s="29">
        <f t="shared" si="2172"/>
        <v>2012</v>
      </c>
      <c r="J1560" s="1" t="s">
        <v>7</v>
      </c>
      <c r="K1560" s="1" t="s">
        <v>4617</v>
      </c>
      <c r="L1560" s="11" t="str">
        <f t="shared" si="2072"/>
        <v>ДА</v>
      </c>
      <c r="M1560" s="10" t="s">
        <v>1575</v>
      </c>
      <c r="N1560" s="10" t="s">
        <v>1575</v>
      </c>
      <c r="O1560" s="10">
        <v>0.246</v>
      </c>
      <c r="P1560" s="10">
        <f t="shared" si="2140"/>
        <v>9.8381196387922198</v>
      </c>
      <c r="Q1560" s="10">
        <f t="shared" si="2141"/>
        <v>133.81111963879221</v>
      </c>
      <c r="R1560" s="10">
        <v>207.94200000000001</v>
      </c>
      <c r="S1560" s="10">
        <v>30.651</v>
      </c>
      <c r="T1560" s="10">
        <v>20.512</v>
      </c>
      <c r="U1560" s="10">
        <v>8.6120000000000001</v>
      </c>
      <c r="V1560" s="10">
        <v>63.286999999999992</v>
      </c>
      <c r="W1560" s="10">
        <v>123.973</v>
      </c>
      <c r="X1560" s="10">
        <f t="shared" si="2143"/>
        <v>187.26</v>
      </c>
      <c r="Y1560" s="10">
        <f t="shared" si="2144"/>
        <v>4.7311844835541732E-2</v>
      </c>
      <c r="Z1560" s="10">
        <f t="shared" si="2145"/>
        <v>1.1423733904774989</v>
      </c>
      <c r="AA1560" s="10">
        <f t="shared" si="2146"/>
        <v>0.15545245688359727</v>
      </c>
      <c r="AB1560" s="10">
        <f t="shared" si="2147"/>
        <v>0.64350212866468637</v>
      </c>
      <c r="AC1560" s="10">
        <f t="shared" si="2148"/>
        <v>4.3656363459199445</v>
      </c>
      <c r="AD1560" s="10">
        <f t="shared" si="2149"/>
        <v>6.5235530245121005</v>
      </c>
      <c r="AE1560" s="10">
        <f t="shared" si="2150"/>
        <v>0.71457395940826773</v>
      </c>
    </row>
    <row r="1561" spans="1:32" x14ac:dyDescent="0.2">
      <c r="A1561" s="1" t="s">
        <v>7148</v>
      </c>
      <c r="B1561" s="1" t="s">
        <v>5</v>
      </c>
      <c r="C1561" s="1" t="s">
        <v>1575</v>
      </c>
      <c r="D1561" s="1" t="s">
        <v>1600</v>
      </c>
      <c r="E1561" s="1" t="s">
        <v>2048</v>
      </c>
      <c r="F1561" s="1" t="s">
        <v>235</v>
      </c>
      <c r="G1561" s="4" t="s">
        <v>1575</v>
      </c>
      <c r="H1561" s="28">
        <v>41274</v>
      </c>
      <c r="I1561" s="29">
        <f t="shared" si="2172"/>
        <v>2012</v>
      </c>
      <c r="J1561" s="1" t="s">
        <v>4617</v>
      </c>
      <c r="K1561" s="1" t="s">
        <v>7</v>
      </c>
      <c r="L1561" s="11" t="str">
        <f t="shared" si="2072"/>
        <v>НЕТ</v>
      </c>
      <c r="M1561" s="10" t="s">
        <v>1575</v>
      </c>
      <c r="N1561" s="10" t="s">
        <v>1575</v>
      </c>
      <c r="O1561" s="10">
        <v>0.129</v>
      </c>
      <c r="P1561" s="10" t="str">
        <f t="shared" si="2140"/>
        <v>NA</v>
      </c>
      <c r="Q1561" s="10" t="str">
        <f t="shared" si="2141"/>
        <v>NA</v>
      </c>
      <c r="R1561" s="10" t="s">
        <v>1575</v>
      </c>
      <c r="S1561" s="10" t="s">
        <v>1575</v>
      </c>
      <c r="T1561" s="10" t="s">
        <v>1575</v>
      </c>
      <c r="U1561" s="10" t="s">
        <v>1575</v>
      </c>
      <c r="V1561" s="10" t="s">
        <v>1575</v>
      </c>
      <c r="W1561" s="10" t="s">
        <v>1575</v>
      </c>
      <c r="X1561" s="10" t="str">
        <f t="shared" si="2143"/>
        <v>NA</v>
      </c>
      <c r="Y1561" s="10" t="str">
        <f t="shared" si="2144"/>
        <v>NA</v>
      </c>
      <c r="Z1561" s="10" t="str">
        <f t="shared" si="2145"/>
        <v>NA</v>
      </c>
      <c r="AA1561" s="10" t="str">
        <f t="shared" si="2146"/>
        <v>NA</v>
      </c>
      <c r="AB1561" s="10" t="str">
        <f t="shared" si="2147"/>
        <v>NA</v>
      </c>
      <c r="AC1561" s="10" t="str">
        <f t="shared" si="2148"/>
        <v>NA</v>
      </c>
      <c r="AD1561" s="10" t="str">
        <f t="shared" si="2149"/>
        <v>NA</v>
      </c>
      <c r="AE1561" s="10" t="str">
        <f t="shared" si="2150"/>
        <v>NA</v>
      </c>
      <c r="AF1561" s="1" t="s">
        <v>7146</v>
      </c>
    </row>
    <row r="1562" spans="1:32" x14ac:dyDescent="0.2">
      <c r="A1562" s="1" t="s">
        <v>7139</v>
      </c>
      <c r="B1562" s="1" t="s">
        <v>5</v>
      </c>
      <c r="C1562" s="1" t="s">
        <v>1575</v>
      </c>
      <c r="D1562" s="1" t="s">
        <v>1600</v>
      </c>
      <c r="E1562" s="1" t="s">
        <v>2048</v>
      </c>
      <c r="F1562" s="1" t="s">
        <v>235</v>
      </c>
      <c r="G1562" s="4" t="s">
        <v>1575</v>
      </c>
      <c r="H1562" s="28">
        <v>41274</v>
      </c>
      <c r="I1562" s="29">
        <f t="shared" ref="I1562" si="2183">YEAR(H1562)</f>
        <v>2012</v>
      </c>
      <c r="J1562" s="1" t="s">
        <v>4617</v>
      </c>
      <c r="K1562" s="1" t="s">
        <v>7</v>
      </c>
      <c r="L1562" s="11" t="str">
        <f t="shared" ref="L1562" si="2184">IF(OR(A1562=J1562,A1562=K1562),"ДА","НЕТ")</f>
        <v>НЕТ</v>
      </c>
      <c r="M1562" s="10" t="s">
        <v>1575</v>
      </c>
      <c r="N1562" s="10" t="s">
        <v>1575</v>
      </c>
      <c r="O1562" s="10">
        <v>0.16</v>
      </c>
      <c r="P1562" s="10" t="str">
        <f t="shared" si="2140"/>
        <v>NA</v>
      </c>
      <c r="Q1562" s="10" t="str">
        <f t="shared" si="2141"/>
        <v>NA</v>
      </c>
      <c r="R1562" s="10" t="s">
        <v>1575</v>
      </c>
      <c r="S1562" s="10" t="s">
        <v>1575</v>
      </c>
      <c r="T1562" s="10" t="s">
        <v>1575</v>
      </c>
      <c r="U1562" s="10" t="s">
        <v>1575</v>
      </c>
      <c r="V1562" s="10" t="s">
        <v>1575</v>
      </c>
      <c r="W1562" s="10" t="s">
        <v>1575</v>
      </c>
      <c r="X1562" s="10" t="str">
        <f t="shared" ref="X1562" si="2185">IFERROR(V1562+W1562,"NA")</f>
        <v>NA</v>
      </c>
      <c r="Y1562" s="10" t="str">
        <f t="shared" ref="Y1562" si="2186">IFERROR(P1562/R1562,"NA")</f>
        <v>NA</v>
      </c>
      <c r="Z1562" s="10" t="str">
        <f t="shared" ref="Z1562" si="2187">IFERROR(P1562/U1562,"NA")</f>
        <v>NA</v>
      </c>
      <c r="AA1562" s="10" t="str">
        <f t="shared" ref="AA1562" si="2188">IFERROR(P1562/V1562,"NA")</f>
        <v>NA</v>
      </c>
      <c r="AB1562" s="10" t="str">
        <f t="shared" ref="AB1562" si="2189">IFERROR(Q1562/R1562,"NA")</f>
        <v>NA</v>
      </c>
      <c r="AC1562" s="10" t="str">
        <f t="shared" ref="AC1562" si="2190">IFERROR(Q1562/S1562,"NA")</f>
        <v>NA</v>
      </c>
      <c r="AD1562" s="10" t="str">
        <f t="shared" ref="AD1562" si="2191">IFERROR(Q1562/T1562,"NA")</f>
        <v>NA</v>
      </c>
      <c r="AE1562" s="10" t="str">
        <f t="shared" ref="AE1562" si="2192">IFERROR(Q1562/X1562,"NA")</f>
        <v>NA</v>
      </c>
      <c r="AF1562" s="1" t="s">
        <v>7147</v>
      </c>
    </row>
    <row r="1563" spans="1:32" x14ac:dyDescent="0.2">
      <c r="A1563" s="1" t="s">
        <v>233</v>
      </c>
      <c r="B1563" s="1" t="s">
        <v>234</v>
      </c>
      <c r="C1563" s="1" t="s">
        <v>1575</v>
      </c>
      <c r="D1563" s="1" t="s">
        <v>1600</v>
      </c>
      <c r="E1563" s="1" t="s">
        <v>2048</v>
      </c>
      <c r="F1563" s="1" t="s">
        <v>235</v>
      </c>
      <c r="G1563" s="4">
        <v>0.55000000000000004</v>
      </c>
      <c r="H1563" s="28">
        <v>41245</v>
      </c>
      <c r="I1563" s="29">
        <f t="shared" si="2172"/>
        <v>2012</v>
      </c>
      <c r="J1563" s="1" t="s">
        <v>4617</v>
      </c>
      <c r="K1563" s="1" t="s">
        <v>7</v>
      </c>
      <c r="L1563" s="11" t="str">
        <f t="shared" si="2072"/>
        <v>НЕТ</v>
      </c>
      <c r="M1563" s="10" t="s">
        <v>1575</v>
      </c>
      <c r="N1563" s="10" t="s">
        <v>1575</v>
      </c>
      <c r="O1563" s="10">
        <v>1.206</v>
      </c>
      <c r="P1563" s="10">
        <f t="shared" si="2140"/>
        <v>2.1927272727272724</v>
      </c>
      <c r="Q1563" s="10" t="str">
        <f t="shared" si="2141"/>
        <v>NA</v>
      </c>
      <c r="R1563" s="10" t="s">
        <v>1575</v>
      </c>
      <c r="S1563" s="10" t="s">
        <v>1575</v>
      </c>
      <c r="T1563" s="10" t="s">
        <v>1575</v>
      </c>
      <c r="U1563" s="10" t="s">
        <v>1575</v>
      </c>
      <c r="V1563" s="10" t="s">
        <v>1575</v>
      </c>
      <c r="W1563" s="10" t="s">
        <v>1575</v>
      </c>
      <c r="X1563" s="10" t="str">
        <f t="shared" si="2143"/>
        <v>NA</v>
      </c>
      <c r="Y1563" s="10" t="str">
        <f t="shared" si="2144"/>
        <v>NA</v>
      </c>
      <c r="Z1563" s="10" t="str">
        <f t="shared" si="2145"/>
        <v>NA</v>
      </c>
      <c r="AA1563" s="10" t="str">
        <f t="shared" si="2146"/>
        <v>NA</v>
      </c>
      <c r="AB1563" s="10" t="str">
        <f t="shared" si="2147"/>
        <v>NA</v>
      </c>
      <c r="AC1563" s="10" t="str">
        <f t="shared" si="2148"/>
        <v>NA</v>
      </c>
      <c r="AD1563" s="10" t="str">
        <f t="shared" si="2149"/>
        <v>NA</v>
      </c>
      <c r="AE1563" s="10" t="str">
        <f t="shared" si="2150"/>
        <v>NA</v>
      </c>
      <c r="AF1563" s="1" t="s">
        <v>7149</v>
      </c>
    </row>
    <row r="1564" spans="1:32" x14ac:dyDescent="0.2">
      <c r="A1564" s="1" t="s">
        <v>236</v>
      </c>
      <c r="B1564" s="1" t="s">
        <v>5</v>
      </c>
      <c r="C1564" s="1" t="s">
        <v>1575</v>
      </c>
      <c r="D1564" s="1" t="s">
        <v>1584</v>
      </c>
      <c r="E1564" s="1" t="s">
        <v>1589</v>
      </c>
      <c r="F1564" s="1" t="s">
        <v>495</v>
      </c>
      <c r="G1564" s="4">
        <v>1</v>
      </c>
      <c r="H1564" s="28">
        <v>41124</v>
      </c>
      <c r="I1564" s="29">
        <f t="shared" si="2172"/>
        <v>2012</v>
      </c>
      <c r="J1564" s="1" t="s">
        <v>4617</v>
      </c>
      <c r="K1564" s="1" t="s">
        <v>7</v>
      </c>
      <c r="L1564" s="11" t="str">
        <f t="shared" si="2072"/>
        <v>НЕТ</v>
      </c>
      <c r="M1564" s="10" t="s">
        <v>1575</v>
      </c>
      <c r="N1564" s="10" t="s">
        <v>1575</v>
      </c>
      <c r="O1564" s="10">
        <v>0.19900000000000001</v>
      </c>
      <c r="P1564" s="10">
        <f t="shared" si="2140"/>
        <v>0.19900000000000001</v>
      </c>
      <c r="Q1564" s="10" t="str">
        <f t="shared" si="2141"/>
        <v>NA</v>
      </c>
      <c r="R1564" s="10" t="s">
        <v>1575</v>
      </c>
      <c r="S1564" s="10" t="s">
        <v>1575</v>
      </c>
      <c r="T1564" s="10" t="s">
        <v>1575</v>
      </c>
      <c r="U1564" s="10" t="s">
        <v>1575</v>
      </c>
      <c r="V1564" s="10" t="s">
        <v>1575</v>
      </c>
      <c r="W1564" s="10" t="s">
        <v>1575</v>
      </c>
      <c r="X1564" s="10" t="str">
        <f t="shared" si="2143"/>
        <v>NA</v>
      </c>
      <c r="Y1564" s="10" t="str">
        <f t="shared" si="2144"/>
        <v>NA</v>
      </c>
      <c r="Z1564" s="10" t="str">
        <f t="shared" si="2145"/>
        <v>NA</v>
      </c>
      <c r="AA1564" s="10" t="str">
        <f t="shared" si="2146"/>
        <v>NA</v>
      </c>
      <c r="AB1564" s="10" t="str">
        <f t="shared" si="2147"/>
        <v>NA</v>
      </c>
      <c r="AC1564" s="10" t="str">
        <f t="shared" si="2148"/>
        <v>NA</v>
      </c>
      <c r="AD1564" s="10" t="str">
        <f t="shared" si="2149"/>
        <v>NA</v>
      </c>
      <c r="AE1564" s="10" t="str">
        <f t="shared" si="2150"/>
        <v>NA</v>
      </c>
      <c r="AF1564" s="1" t="s">
        <v>7150</v>
      </c>
    </row>
    <row r="1565" spans="1:32" x14ac:dyDescent="0.2">
      <c r="A1565" s="1" t="s">
        <v>4617</v>
      </c>
      <c r="B1565" s="1" t="s">
        <v>5</v>
      </c>
      <c r="C1565" s="1" t="s">
        <v>7117</v>
      </c>
      <c r="D1565" s="1" t="s">
        <v>1600</v>
      </c>
      <c r="E1565" s="1" t="s">
        <v>2048</v>
      </c>
      <c r="F1565" s="1" t="s">
        <v>235</v>
      </c>
      <c r="G1565" s="4">
        <f>2844700/71575796</f>
        <v>3.9743882135799088E-2</v>
      </c>
      <c r="H1565" s="28">
        <v>40908</v>
      </c>
      <c r="I1565" s="29">
        <f t="shared" ref="I1565:I1566" si="2193">YEAR(H1565)</f>
        <v>2011</v>
      </c>
      <c r="J1565" s="1" t="s">
        <v>4617</v>
      </c>
      <c r="K1565" s="1" t="s">
        <v>7</v>
      </c>
      <c r="L1565" s="11" t="str">
        <f t="shared" ref="L1565:L1566" si="2194">IF(OR(A1565=J1565,A1565=K1565),"ДА","НЕТ")</f>
        <v>ДА</v>
      </c>
      <c r="M1565" s="10">
        <v>8.9879999999999995</v>
      </c>
      <c r="N1565" s="10" t="s">
        <v>1575</v>
      </c>
      <c r="O1565" s="10">
        <f>M1565*32.1961/1000</f>
        <v>0.28937854679999997</v>
      </c>
      <c r="P1565" s="10">
        <f t="shared" si="2140"/>
        <v>7.2810840624787332</v>
      </c>
      <c r="Q1565" s="10">
        <f t="shared" si="2141"/>
        <v>134.94074550507872</v>
      </c>
      <c r="R1565" s="10">
        <v>198.51846865725199</v>
      </c>
      <c r="S1565" s="10">
        <v>31.974165052814485</v>
      </c>
      <c r="T1565" s="10">
        <v>22.104234357516887</v>
      </c>
      <c r="U1565" s="10">
        <v>11.31700866867471</v>
      </c>
      <c r="V1565" s="10">
        <v>58.750928142399999</v>
      </c>
      <c r="W1565" s="10">
        <v>127.65966144259998</v>
      </c>
      <c r="X1565" s="10">
        <f t="shared" ref="X1565:X1566" si="2195">IFERROR(V1565+W1565,"NA")</f>
        <v>186.41058958499997</v>
      </c>
      <c r="Y1565" s="10">
        <f t="shared" ref="Y1565:Y1566" si="2196">IFERROR(P1565/R1565,"NA")</f>
        <v>3.6677111765604745E-2</v>
      </c>
      <c r="Z1565" s="10">
        <f t="shared" ref="Z1565:Z1566" si="2197">IFERROR(P1565/U1565,"NA")</f>
        <v>0.64337531901275746</v>
      </c>
      <c r="AA1565" s="10">
        <f t="shared" ref="AA1565:AA1566" si="2198">IFERROR(P1565/V1565,"NA")</f>
        <v>0.12393138785536977</v>
      </c>
      <c r="AB1565" s="10">
        <f t="shared" ref="AB1565:AB1566" si="2199">IFERROR(Q1565/R1565,"NA")</f>
        <v>0.67973900069750148</v>
      </c>
      <c r="AC1565" s="10">
        <f t="shared" ref="AC1565:AC1566" si="2200">IFERROR(Q1565/S1565,"NA")</f>
        <v>4.2203055273588994</v>
      </c>
      <c r="AD1565" s="10">
        <f t="shared" ref="AD1565:AD1566" si="2201">IFERROR(Q1565/T1565,"NA")</f>
        <v>6.1047464174749866</v>
      </c>
      <c r="AE1565" s="10">
        <f t="shared" ref="AE1565:AE1566" si="2202">IFERROR(Q1565/X1565,"NA")</f>
        <v>0.72388991315081974</v>
      </c>
    </row>
    <row r="1566" spans="1:32" x14ac:dyDescent="0.2">
      <c r="A1566" s="1" t="s">
        <v>7148</v>
      </c>
      <c r="B1566" s="1" t="s">
        <v>5</v>
      </c>
      <c r="C1566" s="1" t="s">
        <v>1575</v>
      </c>
      <c r="D1566" s="1" t="s">
        <v>1600</v>
      </c>
      <c r="E1566" s="1" t="s">
        <v>2048</v>
      </c>
      <c r="F1566" s="1" t="s">
        <v>235</v>
      </c>
      <c r="G1566" s="4" t="s">
        <v>1575</v>
      </c>
      <c r="H1566" s="28">
        <v>40908</v>
      </c>
      <c r="I1566" s="29">
        <f t="shared" si="2193"/>
        <v>2011</v>
      </c>
      <c r="J1566" s="1" t="s">
        <v>4617</v>
      </c>
      <c r="K1566" s="1" t="s">
        <v>7</v>
      </c>
      <c r="L1566" s="11" t="str">
        <f t="shared" si="2194"/>
        <v>НЕТ</v>
      </c>
      <c r="M1566" s="10">
        <v>1.3740000000000001</v>
      </c>
      <c r="N1566" s="10" t="s">
        <v>1575</v>
      </c>
      <c r="O1566" s="10">
        <f>M1566*32.1961/1000</f>
        <v>4.4237441400000008E-2</v>
      </c>
      <c r="P1566" s="10" t="str">
        <f t="shared" si="2140"/>
        <v>NA</v>
      </c>
      <c r="Q1566" s="10" t="str">
        <f t="shared" si="2141"/>
        <v>NA</v>
      </c>
      <c r="R1566" s="10" t="s">
        <v>1575</v>
      </c>
      <c r="S1566" s="10" t="s">
        <v>1575</v>
      </c>
      <c r="T1566" s="10" t="s">
        <v>1575</v>
      </c>
      <c r="U1566" s="10" t="s">
        <v>1575</v>
      </c>
      <c r="V1566" s="10" t="s">
        <v>1575</v>
      </c>
      <c r="W1566" s="10" t="s">
        <v>1575</v>
      </c>
      <c r="X1566" s="10" t="str">
        <f t="shared" si="2195"/>
        <v>NA</v>
      </c>
      <c r="Y1566" s="10" t="str">
        <f t="shared" si="2196"/>
        <v>NA</v>
      </c>
      <c r="Z1566" s="10" t="str">
        <f t="shared" si="2197"/>
        <v>NA</v>
      </c>
      <c r="AA1566" s="10" t="str">
        <f t="shared" si="2198"/>
        <v>NA</v>
      </c>
      <c r="AB1566" s="10" t="str">
        <f t="shared" si="2199"/>
        <v>NA</v>
      </c>
      <c r="AC1566" s="10" t="str">
        <f t="shared" si="2200"/>
        <v>NA</v>
      </c>
      <c r="AD1566" s="10" t="str">
        <f t="shared" si="2201"/>
        <v>NA</v>
      </c>
      <c r="AE1566" s="10" t="str">
        <f t="shared" si="2202"/>
        <v>NA</v>
      </c>
      <c r="AF1566" s="1" t="s">
        <v>7151</v>
      </c>
    </row>
    <row r="1567" spans="1:32" x14ac:dyDescent="0.2">
      <c r="A1567" s="1" t="s">
        <v>237</v>
      </c>
      <c r="B1567" s="1" t="s">
        <v>5</v>
      </c>
      <c r="C1567" s="1" t="s">
        <v>1575</v>
      </c>
      <c r="D1567" s="1" t="s">
        <v>1615</v>
      </c>
      <c r="E1567" s="1" t="s">
        <v>1616</v>
      </c>
      <c r="F1567" s="1" t="s">
        <v>49</v>
      </c>
      <c r="G1567" s="4">
        <v>0.255</v>
      </c>
      <c r="H1567" s="28">
        <v>40759</v>
      </c>
      <c r="I1567" s="29">
        <f t="shared" si="2172"/>
        <v>2011</v>
      </c>
      <c r="J1567" s="1" t="s">
        <v>4617</v>
      </c>
      <c r="K1567" s="1" t="s">
        <v>7</v>
      </c>
      <c r="L1567" s="11" t="str">
        <f t="shared" si="2072"/>
        <v>НЕТ</v>
      </c>
      <c r="M1567" s="10">
        <v>4.0039999999999996</v>
      </c>
      <c r="N1567" s="10" t="s">
        <v>1575</v>
      </c>
      <c r="O1567" s="10">
        <v>0.11282499999999999</v>
      </c>
      <c r="P1567" s="10">
        <f t="shared" si="2140"/>
        <v>0.44245098039215686</v>
      </c>
      <c r="Q1567" s="10" t="str">
        <f t="shared" si="2141"/>
        <v>NA</v>
      </c>
      <c r="R1567" s="10" t="s">
        <v>1575</v>
      </c>
      <c r="S1567" s="10" t="s">
        <v>1575</v>
      </c>
      <c r="T1567" s="10" t="s">
        <v>1575</v>
      </c>
      <c r="U1567" s="10" t="s">
        <v>1575</v>
      </c>
      <c r="V1567" s="10" t="s">
        <v>1575</v>
      </c>
      <c r="W1567" s="10" t="s">
        <v>1575</v>
      </c>
      <c r="X1567" s="10" t="str">
        <f t="shared" si="2143"/>
        <v>NA</v>
      </c>
      <c r="Y1567" s="10" t="str">
        <f t="shared" si="2144"/>
        <v>NA</v>
      </c>
      <c r="Z1567" s="10" t="str">
        <f t="shared" si="2145"/>
        <v>NA</v>
      </c>
      <c r="AA1567" s="10" t="str">
        <f t="shared" si="2146"/>
        <v>NA</v>
      </c>
      <c r="AB1567" s="10" t="str">
        <f t="shared" si="2147"/>
        <v>NA</v>
      </c>
      <c r="AC1567" s="10" t="str">
        <f t="shared" si="2148"/>
        <v>NA</v>
      </c>
      <c r="AD1567" s="10" t="str">
        <f t="shared" si="2149"/>
        <v>NA</v>
      </c>
      <c r="AE1567" s="10" t="str">
        <f t="shared" si="2150"/>
        <v>NA</v>
      </c>
      <c r="AF1567" s="1" t="s">
        <v>7152</v>
      </c>
    </row>
    <row r="1568" spans="1:32" x14ac:dyDescent="0.2">
      <c r="A1568" s="1" t="s">
        <v>238</v>
      </c>
      <c r="B1568" s="1" t="s">
        <v>132</v>
      </c>
      <c r="C1568" s="1" t="s">
        <v>1575</v>
      </c>
      <c r="D1568" s="1" t="s">
        <v>1601</v>
      </c>
      <c r="E1568" s="1" t="s">
        <v>1608</v>
      </c>
      <c r="F1568" s="1" t="s">
        <v>1562</v>
      </c>
      <c r="G1568" s="4">
        <v>1</v>
      </c>
      <c r="H1568" s="28">
        <v>40690</v>
      </c>
      <c r="I1568" s="29">
        <f t="shared" si="2172"/>
        <v>2011</v>
      </c>
      <c r="J1568" s="1" t="s">
        <v>7</v>
      </c>
      <c r="K1568" s="1" t="s">
        <v>4617</v>
      </c>
      <c r="L1568" s="11" t="str">
        <f t="shared" si="2072"/>
        <v>НЕТ</v>
      </c>
      <c r="M1568" s="10">
        <v>26.027000000000001</v>
      </c>
      <c r="N1568" s="10" t="s">
        <v>1575</v>
      </c>
      <c r="O1568" s="10">
        <f>M1568*28.228/1000</f>
        <v>0.73469015600000009</v>
      </c>
      <c r="P1568" s="10">
        <f t="shared" si="2140"/>
        <v>0.73469015600000009</v>
      </c>
      <c r="Q1568" s="10">
        <f t="shared" si="2141"/>
        <v>0.73435142000000009</v>
      </c>
      <c r="R1568" s="10" t="s">
        <v>1575</v>
      </c>
      <c r="S1568" s="10" t="s">
        <v>1575</v>
      </c>
      <c r="T1568" s="10" t="s">
        <v>1575</v>
      </c>
      <c r="U1568" s="10" t="s">
        <v>1575</v>
      </c>
      <c r="V1568" s="10">
        <f>0.009543*28.228</f>
        <v>0.269379804</v>
      </c>
      <c r="W1568" s="10">
        <f>(0-0.000012)*28.228</f>
        <v>-3.3873600000000002E-4</v>
      </c>
      <c r="X1568" s="10">
        <f t="shared" si="2143"/>
        <v>0.26904106799999999</v>
      </c>
      <c r="Y1568" s="10" t="str">
        <f t="shared" si="2144"/>
        <v>NA</v>
      </c>
      <c r="Z1568" s="10" t="str">
        <f t="shared" si="2145"/>
        <v>NA</v>
      </c>
      <c r="AA1568" s="10">
        <f t="shared" si="2146"/>
        <v>2.7273394110866609</v>
      </c>
      <c r="AB1568" s="10" t="str">
        <f t="shared" si="2147"/>
        <v>NA</v>
      </c>
      <c r="AC1568" s="10" t="str">
        <f t="shared" si="2148"/>
        <v>NA</v>
      </c>
      <c r="AD1568" s="10" t="str">
        <f t="shared" si="2149"/>
        <v>NA</v>
      </c>
      <c r="AE1568" s="10">
        <f t="shared" si="2150"/>
        <v>2.7295142167663418</v>
      </c>
      <c r="AF1568" s="1" t="s">
        <v>7153</v>
      </c>
    </row>
    <row r="1569" spans="1:32" x14ac:dyDescent="0.2">
      <c r="A1569" s="1" t="s">
        <v>7155</v>
      </c>
      <c r="B1569" s="1" t="s">
        <v>5</v>
      </c>
      <c r="C1569" s="1" t="s">
        <v>1575</v>
      </c>
      <c r="D1569" s="1" t="s">
        <v>1600</v>
      </c>
      <c r="E1569" s="1" t="s">
        <v>2048</v>
      </c>
      <c r="F1569" s="1" t="s">
        <v>235</v>
      </c>
      <c r="G1569" s="4" t="s">
        <v>1575</v>
      </c>
      <c r="H1569" s="28">
        <v>40543</v>
      </c>
      <c r="I1569" s="29">
        <f t="shared" si="2172"/>
        <v>2010</v>
      </c>
      <c r="J1569" s="1" t="s">
        <v>4617</v>
      </c>
      <c r="K1569" s="1" t="s">
        <v>7</v>
      </c>
      <c r="L1569" s="11" t="str">
        <f t="shared" si="2072"/>
        <v>НЕТ</v>
      </c>
      <c r="M1569" s="10">
        <v>1.254</v>
      </c>
      <c r="N1569" s="10" t="s">
        <v>1575</v>
      </c>
      <c r="O1569" s="10">
        <f>M1569*32.1961/1000</f>
        <v>4.0373909400000005E-2</v>
      </c>
      <c r="P1569" s="10" t="str">
        <f t="shared" si="2140"/>
        <v>NA</v>
      </c>
      <c r="Q1569" s="10" t="str">
        <f t="shared" si="2141"/>
        <v>NA</v>
      </c>
      <c r="R1569" s="10" t="s">
        <v>1575</v>
      </c>
      <c r="S1569" s="10" t="s">
        <v>1575</v>
      </c>
      <c r="T1569" s="10" t="s">
        <v>1575</v>
      </c>
      <c r="U1569" s="10" t="s">
        <v>1575</v>
      </c>
      <c r="V1569" s="10" t="s">
        <v>1575</v>
      </c>
      <c r="W1569" s="10" t="s">
        <v>1575</v>
      </c>
      <c r="X1569" s="10" t="str">
        <f t="shared" si="2143"/>
        <v>NA</v>
      </c>
      <c r="Y1569" s="10" t="str">
        <f t="shared" si="2144"/>
        <v>NA</v>
      </c>
      <c r="Z1569" s="10" t="str">
        <f t="shared" si="2145"/>
        <v>NA</v>
      </c>
      <c r="AA1569" s="10" t="str">
        <f t="shared" si="2146"/>
        <v>NA</v>
      </c>
      <c r="AB1569" s="10" t="str">
        <f t="shared" si="2147"/>
        <v>NA</v>
      </c>
      <c r="AC1569" s="10" t="str">
        <f t="shared" si="2148"/>
        <v>NA</v>
      </c>
      <c r="AD1569" s="10" t="str">
        <f t="shared" si="2149"/>
        <v>NA</v>
      </c>
      <c r="AE1569" s="10" t="str">
        <f t="shared" si="2150"/>
        <v>NA</v>
      </c>
      <c r="AF1569" s="1" t="s">
        <v>7154</v>
      </c>
    </row>
    <row r="1570" spans="1:32" x14ac:dyDescent="0.2">
      <c r="A1570" s="1" t="s">
        <v>7160</v>
      </c>
      <c r="B1570" s="1" t="s">
        <v>5</v>
      </c>
      <c r="C1570" s="1" t="s">
        <v>1575</v>
      </c>
      <c r="D1570" s="1" t="s">
        <v>1600</v>
      </c>
      <c r="E1570" s="1" t="s">
        <v>2048</v>
      </c>
      <c r="F1570" s="1" t="s">
        <v>235</v>
      </c>
      <c r="G1570" s="4" t="s">
        <v>1575</v>
      </c>
      <c r="H1570" s="28">
        <v>40178</v>
      </c>
      <c r="I1570" s="29">
        <f t="shared" ref="I1570" si="2203">YEAR(H1570)</f>
        <v>2009</v>
      </c>
      <c r="J1570" s="1" t="s">
        <v>4617</v>
      </c>
      <c r="K1570" s="1" t="s">
        <v>7</v>
      </c>
      <c r="L1570" s="11" t="str">
        <f t="shared" ref="L1570" si="2204">IF(OR(A1570=J1570,A1570=K1570),"ДА","НЕТ")</f>
        <v>НЕТ</v>
      </c>
      <c r="M1570" s="10">
        <v>9.3490000000000002</v>
      </c>
      <c r="N1570" s="10" t="s">
        <v>1575</v>
      </c>
      <c r="O1570" s="10">
        <f>M1570*30.2442/1000</f>
        <v>0.2827530258</v>
      </c>
      <c r="P1570" s="10" t="str">
        <f t="shared" si="2140"/>
        <v>NA</v>
      </c>
      <c r="Q1570" s="10" t="str">
        <f t="shared" si="2141"/>
        <v>NA</v>
      </c>
      <c r="R1570" s="10" t="s">
        <v>1575</v>
      </c>
      <c r="S1570" s="10" t="s">
        <v>1575</v>
      </c>
      <c r="T1570" s="10" t="s">
        <v>1575</v>
      </c>
      <c r="U1570" s="10" t="s">
        <v>1575</v>
      </c>
      <c r="V1570" s="10" t="s">
        <v>1575</v>
      </c>
      <c r="W1570" s="10" t="s">
        <v>1575</v>
      </c>
      <c r="X1570" s="10" t="str">
        <f t="shared" ref="X1570" si="2205">IFERROR(V1570+W1570,"NA")</f>
        <v>NA</v>
      </c>
      <c r="Y1570" s="10" t="str">
        <f t="shared" ref="Y1570" si="2206">IFERROR(P1570/R1570,"NA")</f>
        <v>NA</v>
      </c>
      <c r="Z1570" s="10" t="str">
        <f t="shared" ref="Z1570" si="2207">IFERROR(P1570/U1570,"NA")</f>
        <v>NA</v>
      </c>
      <c r="AA1570" s="10" t="str">
        <f t="shared" ref="AA1570" si="2208">IFERROR(P1570/V1570,"NA")</f>
        <v>NA</v>
      </c>
      <c r="AB1570" s="10" t="str">
        <f t="shared" ref="AB1570" si="2209">IFERROR(Q1570/R1570,"NA")</f>
        <v>NA</v>
      </c>
      <c r="AC1570" s="10" t="str">
        <f t="shared" ref="AC1570" si="2210">IFERROR(Q1570/S1570,"NA")</f>
        <v>NA</v>
      </c>
      <c r="AD1570" s="10" t="str">
        <f t="shared" ref="AD1570" si="2211">IFERROR(Q1570/T1570,"NA")</f>
        <v>NA</v>
      </c>
      <c r="AE1570" s="10" t="str">
        <f t="shared" ref="AE1570" si="2212">IFERROR(Q1570/X1570,"NA")</f>
        <v>NA</v>
      </c>
      <c r="AF1570" s="1" t="s">
        <v>7161</v>
      </c>
    </row>
    <row r="1571" spans="1:32" x14ac:dyDescent="0.2">
      <c r="A1571" s="1" t="s">
        <v>2168</v>
      </c>
      <c r="B1571" s="1" t="s">
        <v>5</v>
      </c>
      <c r="C1571" s="1" t="s">
        <v>3199</v>
      </c>
      <c r="D1571" s="1" t="s">
        <v>1580</v>
      </c>
      <c r="E1571" s="1" t="s">
        <v>1694</v>
      </c>
      <c r="F1571" s="1" t="s">
        <v>68</v>
      </c>
      <c r="G1571" s="4">
        <v>0.12</v>
      </c>
      <c r="H1571" s="28">
        <v>40066</v>
      </c>
      <c r="I1571" s="29">
        <f t="shared" si="2172"/>
        <v>2009</v>
      </c>
      <c r="J1571" s="1" t="s">
        <v>7</v>
      </c>
      <c r="K1571" s="1" t="s">
        <v>4617</v>
      </c>
      <c r="L1571" s="11" t="str">
        <f t="shared" si="2072"/>
        <v>НЕТ</v>
      </c>
      <c r="M1571" s="10">
        <v>8.1769999999999996</v>
      </c>
      <c r="N1571" s="10" t="s">
        <v>1575</v>
      </c>
      <c r="O1571" s="10">
        <f>M1571*31.1452/1000</f>
        <v>0.2546743004</v>
      </c>
      <c r="P1571" s="10">
        <f t="shared" si="2140"/>
        <v>2.1222858366666668</v>
      </c>
      <c r="Q1571" s="10" t="str">
        <f t="shared" si="2141"/>
        <v>NA</v>
      </c>
      <c r="R1571" s="10" t="s">
        <v>1575</v>
      </c>
      <c r="S1571" s="10" t="s">
        <v>1575</v>
      </c>
      <c r="T1571" s="10" t="s">
        <v>1575</v>
      </c>
      <c r="U1571" s="10" t="s">
        <v>1575</v>
      </c>
      <c r="V1571" s="10" t="s">
        <v>1575</v>
      </c>
      <c r="W1571" s="10" t="s">
        <v>1575</v>
      </c>
      <c r="X1571" s="10" t="str">
        <f t="shared" si="2143"/>
        <v>NA</v>
      </c>
      <c r="Y1571" s="10" t="str">
        <f t="shared" si="2144"/>
        <v>NA</v>
      </c>
      <c r="Z1571" s="10" t="str">
        <f t="shared" si="2145"/>
        <v>NA</v>
      </c>
      <c r="AA1571" s="10" t="str">
        <f t="shared" si="2146"/>
        <v>NA</v>
      </c>
      <c r="AB1571" s="10" t="str">
        <f t="shared" si="2147"/>
        <v>NA</v>
      </c>
      <c r="AC1571" s="10" t="str">
        <f t="shared" si="2148"/>
        <v>NA</v>
      </c>
      <c r="AD1571" s="10" t="str">
        <f t="shared" si="2149"/>
        <v>NA</v>
      </c>
      <c r="AE1571" s="10" t="str">
        <f t="shared" si="2150"/>
        <v>NA</v>
      </c>
      <c r="AF1571" s="1" t="s">
        <v>7158</v>
      </c>
    </row>
    <row r="1572" spans="1:32" x14ac:dyDescent="0.2">
      <c r="A1572" s="1" t="s">
        <v>239</v>
      </c>
      <c r="B1572" s="1" t="s">
        <v>5</v>
      </c>
      <c r="C1572" s="1" t="s">
        <v>1575</v>
      </c>
      <c r="D1572" s="1" t="s">
        <v>1600</v>
      </c>
      <c r="E1572" s="1" t="s">
        <v>2048</v>
      </c>
      <c r="F1572" s="1" t="s">
        <v>235</v>
      </c>
      <c r="G1572" s="4">
        <v>2.0500000000000001E-2</v>
      </c>
      <c r="H1572" s="28">
        <v>40178</v>
      </c>
      <c r="I1572" s="29">
        <f t="shared" ref="I1572" si="2213">YEAR(H1572)</f>
        <v>2009</v>
      </c>
      <c r="J1572" s="1" t="s">
        <v>7</v>
      </c>
      <c r="K1572" s="1" t="s">
        <v>4617</v>
      </c>
      <c r="L1572" s="11" t="str">
        <f t="shared" ref="L1572" si="2214">IF(OR(A1572=J1572,A1572=K1572),"ДА","НЕТ")</f>
        <v>НЕТ</v>
      </c>
      <c r="M1572" s="10">
        <v>0.94499999999999995</v>
      </c>
      <c r="N1572" s="10" t="s">
        <v>1575</v>
      </c>
      <c r="O1572" s="10">
        <v>2.8809000000000001E-2</v>
      </c>
      <c r="P1572" s="10">
        <f t="shared" si="2140"/>
        <v>1.4053170731707316</v>
      </c>
      <c r="Q1572" s="10" t="str">
        <f t="shared" si="2141"/>
        <v>NA</v>
      </c>
      <c r="R1572" s="10" t="s">
        <v>1575</v>
      </c>
      <c r="S1572" s="10" t="s">
        <v>1575</v>
      </c>
      <c r="T1572" s="10" t="s">
        <v>1575</v>
      </c>
      <c r="U1572" s="10" t="s">
        <v>1575</v>
      </c>
      <c r="V1572" s="10" t="s">
        <v>1575</v>
      </c>
      <c r="W1572" s="10" t="s">
        <v>1575</v>
      </c>
      <c r="X1572" s="10" t="str">
        <f t="shared" ref="X1572" si="2215">IFERROR(V1572+W1572,"NA")</f>
        <v>NA</v>
      </c>
      <c r="Y1572" s="10" t="str">
        <f t="shared" ref="Y1572" si="2216">IFERROR(P1572/R1572,"NA")</f>
        <v>NA</v>
      </c>
      <c r="Z1572" s="10" t="str">
        <f t="shared" ref="Z1572" si="2217">IFERROR(P1572/U1572,"NA")</f>
        <v>NA</v>
      </c>
      <c r="AA1572" s="10" t="str">
        <f t="shared" ref="AA1572" si="2218">IFERROR(P1572/V1572,"NA")</f>
        <v>NA</v>
      </c>
      <c r="AB1572" s="10" t="str">
        <f t="shared" ref="AB1572" si="2219">IFERROR(Q1572/R1572,"NA")</f>
        <v>NA</v>
      </c>
      <c r="AC1572" s="10" t="str">
        <f t="shared" ref="AC1572" si="2220">IFERROR(Q1572/S1572,"NA")</f>
        <v>NA</v>
      </c>
      <c r="AD1572" s="10" t="str">
        <f t="shared" ref="AD1572" si="2221">IFERROR(Q1572/T1572,"NA")</f>
        <v>NA</v>
      </c>
      <c r="AE1572" s="10" t="str">
        <f t="shared" ref="AE1572" si="2222">IFERROR(Q1572/X1572,"NA")</f>
        <v>NA</v>
      </c>
      <c r="AF1572" s="1" t="s">
        <v>7157</v>
      </c>
    </row>
    <row r="1573" spans="1:32" x14ac:dyDescent="0.2">
      <c r="A1573" s="1" t="s">
        <v>239</v>
      </c>
      <c r="B1573" s="1" t="s">
        <v>5</v>
      </c>
      <c r="C1573" s="1" t="s">
        <v>1575</v>
      </c>
      <c r="D1573" s="1" t="s">
        <v>1600</v>
      </c>
      <c r="E1573" s="1" t="s">
        <v>2048</v>
      </c>
      <c r="F1573" s="1" t="s">
        <v>235</v>
      </c>
      <c r="G1573" s="4">
        <v>0.12</v>
      </c>
      <c r="H1573" s="28">
        <v>40178</v>
      </c>
      <c r="I1573" s="29">
        <f t="shared" si="2172"/>
        <v>2009</v>
      </c>
      <c r="J1573" s="1" t="s">
        <v>7</v>
      </c>
      <c r="K1573" s="1" t="s">
        <v>4617</v>
      </c>
      <c r="L1573" s="11" t="str">
        <f t="shared" si="2072"/>
        <v>НЕТ</v>
      </c>
      <c r="M1573" s="10">
        <v>0.79700000000000004</v>
      </c>
      <c r="N1573" s="10" t="s">
        <v>1575</v>
      </c>
      <c r="O1573" s="10">
        <v>2.41E-2</v>
      </c>
      <c r="P1573" s="10">
        <f t="shared" si="2140"/>
        <v>0.20083333333333334</v>
      </c>
      <c r="Q1573" s="10" t="str">
        <f t="shared" si="2141"/>
        <v>NA</v>
      </c>
      <c r="R1573" s="10" t="s">
        <v>1575</v>
      </c>
      <c r="S1573" s="10" t="s">
        <v>1575</v>
      </c>
      <c r="T1573" s="10" t="s">
        <v>1575</v>
      </c>
      <c r="U1573" s="10" t="s">
        <v>1575</v>
      </c>
      <c r="V1573" s="10" t="s">
        <v>1575</v>
      </c>
      <c r="W1573" s="10" t="s">
        <v>1575</v>
      </c>
      <c r="X1573" s="10" t="str">
        <f t="shared" si="2143"/>
        <v>NA</v>
      </c>
      <c r="Y1573" s="10" t="str">
        <f t="shared" si="2144"/>
        <v>NA</v>
      </c>
      <c r="Z1573" s="10" t="str">
        <f t="shared" si="2145"/>
        <v>NA</v>
      </c>
      <c r="AA1573" s="10" t="str">
        <f t="shared" si="2146"/>
        <v>NA</v>
      </c>
      <c r="AB1573" s="10" t="str">
        <f t="shared" si="2147"/>
        <v>NA</v>
      </c>
      <c r="AC1573" s="10" t="str">
        <f t="shared" si="2148"/>
        <v>NA</v>
      </c>
      <c r="AD1573" s="10" t="str">
        <f t="shared" si="2149"/>
        <v>NA</v>
      </c>
      <c r="AE1573" s="10" t="str">
        <f t="shared" si="2150"/>
        <v>NA</v>
      </c>
      <c r="AF1573" s="1" t="s">
        <v>7159</v>
      </c>
    </row>
    <row r="1574" spans="1:32" x14ac:dyDescent="0.2">
      <c r="A1574" s="1" t="s">
        <v>4617</v>
      </c>
      <c r="B1574" s="1" t="s">
        <v>5</v>
      </c>
      <c r="C1574" s="1" t="s">
        <v>7117</v>
      </c>
      <c r="D1574" s="1" t="s">
        <v>1600</v>
      </c>
      <c r="E1574" s="1" t="s">
        <v>2048</v>
      </c>
      <c r="F1574" s="1" t="s">
        <v>235</v>
      </c>
      <c r="G1574" s="4">
        <f>175476/7167049</f>
        <v>2.4483717077977283E-2</v>
      </c>
      <c r="H1574" s="28">
        <v>40178</v>
      </c>
      <c r="I1574" s="29">
        <f t="shared" si="2172"/>
        <v>2009</v>
      </c>
      <c r="J1574" s="1" t="s">
        <v>7</v>
      </c>
      <c r="K1574" s="1" t="s">
        <v>4617</v>
      </c>
      <c r="L1574" s="11" t="str">
        <f t="shared" si="2072"/>
        <v>ДА</v>
      </c>
      <c r="M1574" s="10">
        <v>0.75900000000000001</v>
      </c>
      <c r="N1574" s="10" t="s">
        <v>1575</v>
      </c>
      <c r="O1574" s="10">
        <f t="shared" ref="O1574:O1575" si="2223">M1574*30.2442/1000</f>
        <v>2.2955347799999998E-2</v>
      </c>
      <c r="P1574" s="10">
        <f t="shared" si="2140"/>
        <v>0.93757609299643352</v>
      </c>
      <c r="Q1574" s="10" t="str">
        <f t="shared" si="2141"/>
        <v>NA</v>
      </c>
      <c r="R1574" s="10" t="s">
        <v>1575</v>
      </c>
      <c r="S1574" s="10" t="s">
        <v>1575</v>
      </c>
      <c r="T1574" s="10" t="s">
        <v>1575</v>
      </c>
      <c r="U1574" s="10" t="s">
        <v>1575</v>
      </c>
      <c r="V1574" s="10" t="s">
        <v>1575</v>
      </c>
      <c r="W1574" s="10" t="s">
        <v>1575</v>
      </c>
      <c r="X1574" s="10" t="str">
        <f t="shared" si="2143"/>
        <v>NA</v>
      </c>
      <c r="Y1574" s="10" t="str">
        <f t="shared" si="2144"/>
        <v>NA</v>
      </c>
      <c r="Z1574" s="10" t="str">
        <f t="shared" si="2145"/>
        <v>NA</v>
      </c>
      <c r="AA1574" s="10" t="str">
        <f t="shared" si="2146"/>
        <v>NA</v>
      </c>
      <c r="AB1574" s="10" t="str">
        <f t="shared" si="2147"/>
        <v>NA</v>
      </c>
      <c r="AC1574" s="10" t="str">
        <f t="shared" si="2148"/>
        <v>NA</v>
      </c>
      <c r="AD1574" s="10" t="str">
        <f t="shared" si="2149"/>
        <v>NA</v>
      </c>
      <c r="AE1574" s="10" t="str">
        <f t="shared" si="2150"/>
        <v>NA</v>
      </c>
    </row>
    <row r="1575" spans="1:32" x14ac:dyDescent="0.2">
      <c r="A1575" s="1" t="s">
        <v>4617</v>
      </c>
      <c r="B1575" s="1" t="s">
        <v>5</v>
      </c>
      <c r="C1575" s="1" t="s">
        <v>7117</v>
      </c>
      <c r="D1575" s="1" t="s">
        <v>1600</v>
      </c>
      <c r="E1575" s="1" t="s">
        <v>2048</v>
      </c>
      <c r="F1575" s="1" t="s">
        <v>235</v>
      </c>
      <c r="G1575" s="4">
        <f>105791/7167049</f>
        <v>1.476074741501E-2</v>
      </c>
      <c r="H1575" s="28">
        <v>40178</v>
      </c>
      <c r="I1575" s="29">
        <f t="shared" si="2172"/>
        <v>2009</v>
      </c>
      <c r="J1575" s="1" t="s">
        <v>4617</v>
      </c>
      <c r="K1575" s="1" t="s">
        <v>7</v>
      </c>
      <c r="L1575" s="11" t="str">
        <f t="shared" si="2072"/>
        <v>ДА</v>
      </c>
      <c r="M1575" s="10">
        <v>0.31</v>
      </c>
      <c r="N1575" s="10" t="s">
        <v>1575</v>
      </c>
      <c r="O1575" s="10">
        <f t="shared" si="2223"/>
        <v>9.3757019999999996E-3</v>
      </c>
      <c r="P1575" s="10">
        <f t="shared" si="2140"/>
        <v>0.63517799853860912</v>
      </c>
      <c r="Q1575" s="10" t="str">
        <f t="shared" si="2141"/>
        <v>NA</v>
      </c>
      <c r="R1575" s="10" t="s">
        <v>1575</v>
      </c>
      <c r="S1575" s="10" t="s">
        <v>1575</v>
      </c>
      <c r="T1575" s="10" t="s">
        <v>1575</v>
      </c>
      <c r="U1575" s="10" t="s">
        <v>1575</v>
      </c>
      <c r="V1575" s="10" t="s">
        <v>1575</v>
      </c>
      <c r="W1575" s="10" t="s">
        <v>1575</v>
      </c>
      <c r="X1575" s="10" t="str">
        <f t="shared" si="2143"/>
        <v>NA</v>
      </c>
      <c r="Y1575" s="10" t="str">
        <f t="shared" si="2144"/>
        <v>NA</v>
      </c>
      <c r="Z1575" s="10" t="str">
        <f t="shared" si="2145"/>
        <v>NA</v>
      </c>
      <c r="AA1575" s="10" t="str">
        <f t="shared" si="2146"/>
        <v>NA</v>
      </c>
      <c r="AB1575" s="10" t="str">
        <f t="shared" si="2147"/>
        <v>NA</v>
      </c>
      <c r="AC1575" s="10" t="str">
        <f t="shared" si="2148"/>
        <v>NA</v>
      </c>
      <c r="AD1575" s="10" t="str">
        <f t="shared" si="2149"/>
        <v>NA</v>
      </c>
      <c r="AE1575" s="10" t="str">
        <f t="shared" si="2150"/>
        <v>NA</v>
      </c>
    </row>
    <row r="1576" spans="1:32" x14ac:dyDescent="0.2">
      <c r="A1576" s="1" t="s">
        <v>241</v>
      </c>
      <c r="B1576" s="1" t="s">
        <v>75</v>
      </c>
      <c r="C1576" s="1" t="s">
        <v>1575</v>
      </c>
      <c r="D1576" s="1" t="s">
        <v>1600</v>
      </c>
      <c r="E1576" s="1" t="s">
        <v>2048</v>
      </c>
      <c r="F1576" s="1" t="s">
        <v>235</v>
      </c>
      <c r="G1576" s="4" t="s">
        <v>1575</v>
      </c>
      <c r="H1576" s="28">
        <v>39521</v>
      </c>
      <c r="I1576" s="29">
        <f t="shared" si="2172"/>
        <v>2008</v>
      </c>
      <c r="J1576" s="1" t="s">
        <v>4617</v>
      </c>
      <c r="K1576" s="1" t="s">
        <v>240</v>
      </c>
      <c r="L1576" s="11" t="str">
        <f t="shared" si="2072"/>
        <v>НЕТ</v>
      </c>
      <c r="M1576" s="10" t="s">
        <v>1575</v>
      </c>
      <c r="N1576" s="10" t="s">
        <v>1575</v>
      </c>
      <c r="O1576" s="10" t="s">
        <v>1575</v>
      </c>
      <c r="P1576" s="10" t="str">
        <f t="shared" si="2140"/>
        <v>NA</v>
      </c>
      <c r="Q1576" s="10" t="str">
        <f t="shared" si="2141"/>
        <v>NA</v>
      </c>
      <c r="R1576" s="10" t="s">
        <v>1575</v>
      </c>
      <c r="S1576" s="10" t="s">
        <v>1575</v>
      </c>
      <c r="T1576" s="10" t="s">
        <v>1575</v>
      </c>
      <c r="U1576" s="10" t="s">
        <v>1575</v>
      </c>
      <c r="V1576" s="10" t="s">
        <v>1575</v>
      </c>
      <c r="W1576" s="10" t="s">
        <v>1575</v>
      </c>
      <c r="X1576" s="10" t="str">
        <f t="shared" si="2143"/>
        <v>NA</v>
      </c>
      <c r="Y1576" s="10" t="str">
        <f t="shared" si="2144"/>
        <v>NA</v>
      </c>
      <c r="Z1576" s="10" t="str">
        <f t="shared" si="2145"/>
        <v>NA</v>
      </c>
      <c r="AA1576" s="10" t="str">
        <f t="shared" si="2146"/>
        <v>NA</v>
      </c>
      <c r="AB1576" s="10" t="str">
        <f t="shared" si="2147"/>
        <v>NA</v>
      </c>
      <c r="AC1576" s="10" t="str">
        <f t="shared" si="2148"/>
        <v>NA</v>
      </c>
      <c r="AD1576" s="10" t="str">
        <f t="shared" si="2149"/>
        <v>NA</v>
      </c>
      <c r="AE1576" s="10" t="str">
        <f t="shared" si="2150"/>
        <v>NA</v>
      </c>
      <c r="AF1576" s="1" t="s">
        <v>7156</v>
      </c>
    </row>
    <row r="1577" spans="1:32" x14ac:dyDescent="0.2">
      <c r="A1577" s="1" t="s">
        <v>4689</v>
      </c>
      <c r="B1577" s="1" t="s">
        <v>5</v>
      </c>
      <c r="C1577" s="1" t="s">
        <v>4690</v>
      </c>
      <c r="D1577" s="1" t="s">
        <v>1601</v>
      </c>
      <c r="E1577" s="1" t="s">
        <v>1608</v>
      </c>
      <c r="F1577" s="1" t="s">
        <v>1562</v>
      </c>
      <c r="G1577" s="4">
        <f>16865336082/426288813551</f>
        <v>3.9563168316595475E-2</v>
      </c>
      <c r="H1577" s="28">
        <v>43465</v>
      </c>
      <c r="I1577" s="29">
        <f t="shared" si="2172"/>
        <v>2018</v>
      </c>
      <c r="J1577" s="1" t="s">
        <v>1691</v>
      </c>
      <c r="K1577" s="1" t="s">
        <v>7</v>
      </c>
      <c r="L1577" s="11" t="str">
        <f t="shared" si="2072"/>
        <v>НЕТ</v>
      </c>
      <c r="M1577" s="10">
        <v>210.77699999999999</v>
      </c>
      <c r="N1577" s="10" t="s">
        <v>1575</v>
      </c>
      <c r="O1577" s="10">
        <v>12.693455</v>
      </c>
      <c r="P1577" s="10">
        <f t="shared" si="2140"/>
        <v>320.84020416220062</v>
      </c>
      <c r="Q1577" s="10">
        <f t="shared" si="2141"/>
        <v>499.51920416220059</v>
      </c>
      <c r="R1577" s="10">
        <v>358.77</v>
      </c>
      <c r="S1577" s="10">
        <v>83.73</v>
      </c>
      <c r="T1577" s="10">
        <v>61.42</v>
      </c>
      <c r="U1577" s="10">
        <v>31.837</v>
      </c>
      <c r="V1577" s="10">
        <v>586.21900000000005</v>
      </c>
      <c r="W1577" s="10">
        <v>178.679</v>
      </c>
      <c r="X1577" s="10">
        <f t="shared" si="2143"/>
        <v>764.89800000000002</v>
      </c>
      <c r="Y1577" s="10">
        <f t="shared" si="2144"/>
        <v>0.8942782399927548</v>
      </c>
      <c r="Z1577" s="10">
        <f t="shared" si="2145"/>
        <v>10.077589099544575</v>
      </c>
      <c r="AA1577" s="10">
        <f t="shared" si="2146"/>
        <v>0.54730434216939505</v>
      </c>
      <c r="AB1577" s="10">
        <f t="shared" si="2147"/>
        <v>1.3923104054469455</v>
      </c>
      <c r="AC1577" s="10">
        <f t="shared" si="2148"/>
        <v>5.9658330844643563</v>
      </c>
      <c r="AD1577" s="10">
        <f t="shared" si="2149"/>
        <v>8.1328427900065225</v>
      </c>
      <c r="AE1577" s="10">
        <f t="shared" si="2150"/>
        <v>0.65305335373108642</v>
      </c>
      <c r="AF1577" s="1" t="s">
        <v>7168</v>
      </c>
    </row>
    <row r="1578" spans="1:32" x14ac:dyDescent="0.2">
      <c r="A1578" s="1" t="s">
        <v>1691</v>
      </c>
      <c r="B1578" s="1" t="s">
        <v>5</v>
      </c>
      <c r="C1578" s="1" t="s">
        <v>7171</v>
      </c>
      <c r="D1578" s="1" t="s">
        <v>1600</v>
      </c>
      <c r="E1578" s="1" t="s">
        <v>7172</v>
      </c>
      <c r="F1578" s="1" t="s">
        <v>7173</v>
      </c>
      <c r="G1578" s="4">
        <f>124814/11529538</f>
        <v>1.0825585552517369E-2</v>
      </c>
      <c r="H1578" s="28">
        <v>42155</v>
      </c>
      <c r="I1578" s="29">
        <f t="shared" si="2172"/>
        <v>2015</v>
      </c>
      <c r="J1578" s="1" t="s">
        <v>7</v>
      </c>
      <c r="K1578" s="1" t="s">
        <v>1691</v>
      </c>
      <c r="L1578" s="11" t="str">
        <f t="shared" si="2072"/>
        <v>ДА</v>
      </c>
      <c r="M1578" s="10">
        <v>23.827999999999999</v>
      </c>
      <c r="N1578" s="10" t="s">
        <v>1575</v>
      </c>
      <c r="O1578" s="10">
        <v>1.4009290000000001</v>
      </c>
      <c r="P1578" s="10">
        <f t="shared" si="2140"/>
        <v>129.40907382827248</v>
      </c>
      <c r="Q1578" s="10">
        <f t="shared" si="2141"/>
        <v>161.82207382827249</v>
      </c>
      <c r="R1578" s="10">
        <v>61.908999999999999</v>
      </c>
      <c r="S1578" s="10">
        <v>21.468</v>
      </c>
      <c r="T1578" s="10">
        <v>16.992000000000001</v>
      </c>
      <c r="U1578" s="10">
        <v>5.8390000000000004</v>
      </c>
      <c r="V1578" s="10">
        <v>49.671999999999997</v>
      </c>
      <c r="W1578" s="10">
        <v>32.413000000000011</v>
      </c>
      <c r="X1578" s="10">
        <f t="shared" si="2143"/>
        <v>82.085000000000008</v>
      </c>
      <c r="Y1578" s="10">
        <f t="shared" si="2144"/>
        <v>2.0903111636155081</v>
      </c>
      <c r="Z1578" s="10">
        <f t="shared" si="2145"/>
        <v>22.162882998505303</v>
      </c>
      <c r="AA1578" s="10">
        <f t="shared" si="2146"/>
        <v>2.6052720612874958</v>
      </c>
      <c r="AB1578" s="10">
        <f t="shared" si="2147"/>
        <v>2.613869935361135</v>
      </c>
      <c r="AC1578" s="10">
        <f t="shared" si="2148"/>
        <v>7.537827176647685</v>
      </c>
      <c r="AD1578" s="10">
        <f t="shared" si="2149"/>
        <v>9.5234271320781829</v>
      </c>
      <c r="AE1578" s="10">
        <f t="shared" si="2150"/>
        <v>1.9713964040722725</v>
      </c>
      <c r="AF1578" s="1" t="s">
        <v>7174</v>
      </c>
    </row>
    <row r="1579" spans="1:32" x14ac:dyDescent="0.2">
      <c r="A1579" s="1" t="s">
        <v>1691</v>
      </c>
      <c r="B1579" s="1" t="s">
        <v>5</v>
      </c>
      <c r="C1579" s="1" t="s">
        <v>7171</v>
      </c>
      <c r="D1579" s="1" t="s">
        <v>1600</v>
      </c>
      <c r="E1579" s="1" t="s">
        <v>7172</v>
      </c>
      <c r="F1579" s="1" t="s">
        <v>7173</v>
      </c>
      <c r="G1579" s="4">
        <f>130551/11529538</f>
        <v>1.1323177043173803E-2</v>
      </c>
      <c r="H1579" s="28">
        <v>42004</v>
      </c>
      <c r="I1579" s="29">
        <f t="shared" ref="I1579" si="2224">YEAR(H1579)</f>
        <v>2014</v>
      </c>
      <c r="J1579" s="1" t="s">
        <v>1691</v>
      </c>
      <c r="K1579" s="1" t="s">
        <v>7</v>
      </c>
      <c r="L1579" s="11" t="str">
        <f t="shared" ref="L1579" si="2225">IF(OR(A1579=J1579,A1579=K1579),"ДА","НЕТ")</f>
        <v>ДА</v>
      </c>
      <c r="M1579" s="10">
        <v>29.364999999999998</v>
      </c>
      <c r="N1579" s="10" t="s">
        <v>1575</v>
      </c>
      <c r="O1579" s="10">
        <v>1.65469</v>
      </c>
      <c r="P1579" s="10">
        <f t="shared" si="2140"/>
        <v>146.13301493837656</v>
      </c>
      <c r="Q1579" s="10">
        <f t="shared" si="2141"/>
        <v>178.54601493837657</v>
      </c>
      <c r="R1579" s="10">
        <v>61.908999999999999</v>
      </c>
      <c r="S1579" s="10">
        <v>21.468</v>
      </c>
      <c r="T1579" s="10">
        <v>16.992000000000001</v>
      </c>
      <c r="U1579" s="10">
        <v>5.8390000000000004</v>
      </c>
      <c r="V1579" s="10">
        <v>49.671999999999997</v>
      </c>
      <c r="W1579" s="10">
        <v>32.413000000000011</v>
      </c>
      <c r="X1579" s="10">
        <f t="shared" ref="X1579" si="2226">IFERROR(V1579+W1579,"NA")</f>
        <v>82.085000000000008</v>
      </c>
      <c r="Y1579" s="10">
        <f t="shared" ref="Y1579" si="2227">IFERROR(P1579/R1579,"NA")</f>
        <v>2.3604486413667893</v>
      </c>
      <c r="Z1579" s="10">
        <f t="shared" ref="Z1579" si="2228">IFERROR(P1579/U1579,"NA")</f>
        <v>25.027061986363513</v>
      </c>
      <c r="AA1579" s="10">
        <f t="shared" ref="AA1579" si="2229">IFERROR(P1579/V1579,"NA")</f>
        <v>2.9419595534380854</v>
      </c>
      <c r="AB1579" s="10">
        <f t="shared" ref="AB1579" si="2230">IFERROR(Q1579/R1579,"NA")</f>
        <v>2.8840074131124163</v>
      </c>
      <c r="AC1579" s="10">
        <f t="shared" ref="AC1579" si="2231">IFERROR(Q1579/S1579,"NA")</f>
        <v>8.3168443701498305</v>
      </c>
      <c r="AD1579" s="10">
        <f t="shared" ref="AD1579" si="2232">IFERROR(Q1579/T1579,"NA")</f>
        <v>10.507651538275457</v>
      </c>
      <c r="AE1579" s="10">
        <f t="shared" ref="AE1579" si="2233">IFERROR(Q1579/X1579,"NA")</f>
        <v>2.1751357122297197</v>
      </c>
      <c r="AF1579" s="1" t="s">
        <v>7175</v>
      </c>
    </row>
    <row r="1580" spans="1:32" x14ac:dyDescent="0.2">
      <c r="A1580" s="1" t="s">
        <v>5999</v>
      </c>
      <c r="B1580" s="1" t="s">
        <v>5</v>
      </c>
      <c r="C1580" s="1" t="s">
        <v>1575</v>
      </c>
      <c r="D1580" s="1" t="s">
        <v>1580</v>
      </c>
      <c r="E1580" s="1" t="s">
        <v>2057</v>
      </c>
      <c r="F1580" s="1" t="s">
        <v>242</v>
      </c>
      <c r="G1580" s="4">
        <v>0.2702</v>
      </c>
      <c r="H1580" s="28">
        <v>41912</v>
      </c>
      <c r="I1580" s="29">
        <f t="shared" ref="I1580:I1584" si="2234">YEAR(H1580)</f>
        <v>2014</v>
      </c>
      <c r="J1580" s="1" t="s">
        <v>1691</v>
      </c>
      <c r="K1580" s="1" t="s">
        <v>7</v>
      </c>
      <c r="L1580" s="11" t="str">
        <f t="shared" ref="L1580:L1584" si="2235">IF(OR(A1580=J1580,A1580=K1580),"ДА","НЕТ")</f>
        <v>НЕТ</v>
      </c>
      <c r="M1580" s="10">
        <v>8.2650000000000006</v>
      </c>
      <c r="N1580" s="10" t="s">
        <v>1575</v>
      </c>
      <c r="O1580" s="10">
        <v>0.46500000000000002</v>
      </c>
      <c r="P1580" s="10">
        <f t="shared" si="2140"/>
        <v>1.7209474463360475</v>
      </c>
      <c r="Q1580" s="10" t="str">
        <f t="shared" si="2141"/>
        <v>NA</v>
      </c>
      <c r="R1580" s="10">
        <v>0</v>
      </c>
      <c r="S1580" s="10" t="s">
        <v>1575</v>
      </c>
      <c r="T1580" s="10" t="s">
        <v>1575</v>
      </c>
      <c r="U1580" s="10">
        <v>-0.231881</v>
      </c>
      <c r="V1580" s="10">
        <v>1.6122590000000001</v>
      </c>
      <c r="W1580" s="10" t="s">
        <v>1575</v>
      </c>
      <c r="X1580" s="10" t="str">
        <f t="shared" ref="X1580:X1584" si="2236">IFERROR(V1580+W1580,"NA")</f>
        <v>NA</v>
      </c>
      <c r="Y1580" s="10" t="str">
        <f t="shared" ref="Y1580:Y1584" si="2237">IFERROR(P1580/R1580,"NA")</f>
        <v>NA</v>
      </c>
      <c r="Z1580" s="10">
        <f t="shared" ref="Z1580:Z1584" si="2238">IFERROR(P1580/U1580,"NA")</f>
        <v>-7.42168373577847</v>
      </c>
      <c r="AA1580" s="10">
        <f t="shared" ref="AA1580:AA1584" si="2239">IFERROR(P1580/V1580,"NA")</f>
        <v>1.0674137631336202</v>
      </c>
      <c r="AB1580" s="10" t="str">
        <f t="shared" ref="AB1580:AB1584" si="2240">IFERROR(Q1580/R1580,"NA")</f>
        <v>NA</v>
      </c>
      <c r="AC1580" s="10" t="str">
        <f t="shared" ref="AC1580:AC1584" si="2241">IFERROR(Q1580/S1580,"NA")</f>
        <v>NA</v>
      </c>
      <c r="AD1580" s="10" t="str">
        <f t="shared" ref="AD1580:AD1584" si="2242">IFERROR(Q1580/T1580,"NA")</f>
        <v>NA</v>
      </c>
      <c r="AE1580" s="10" t="str">
        <f t="shared" ref="AE1580:AE1584" si="2243">IFERROR(Q1580/X1580,"NA")</f>
        <v>NA</v>
      </c>
      <c r="AF1580" s="1" t="s">
        <v>7167</v>
      </c>
    </row>
    <row r="1581" spans="1:32" x14ac:dyDescent="0.2">
      <c r="A1581" s="1" t="s">
        <v>1691</v>
      </c>
      <c r="B1581" s="1" t="s">
        <v>5</v>
      </c>
      <c r="C1581" s="1" t="s">
        <v>7171</v>
      </c>
      <c r="D1581" s="1" t="s">
        <v>1600</v>
      </c>
      <c r="E1581" s="1" t="s">
        <v>7172</v>
      </c>
      <c r="F1581" s="1" t="s">
        <v>7173</v>
      </c>
      <c r="G1581" s="4">
        <v>0.45419999999999999</v>
      </c>
      <c r="H1581" s="28">
        <v>41394</v>
      </c>
      <c r="I1581" s="29">
        <f t="shared" si="2234"/>
        <v>2013</v>
      </c>
      <c r="J1581" s="1" t="s">
        <v>1691</v>
      </c>
      <c r="K1581" s="1" t="s">
        <v>7178</v>
      </c>
      <c r="L1581" s="11" t="str">
        <f t="shared" si="2235"/>
        <v>ДА</v>
      </c>
      <c r="M1581" s="10" t="s">
        <v>1575</v>
      </c>
      <c r="N1581" s="10" t="s">
        <v>1575</v>
      </c>
      <c r="O1581" s="10" t="s">
        <v>1575</v>
      </c>
      <c r="P1581" s="10" t="str">
        <f t="shared" si="2140"/>
        <v>NA</v>
      </c>
      <c r="Q1581" s="10" t="str">
        <f t="shared" si="2141"/>
        <v>NA</v>
      </c>
      <c r="R1581" s="10">
        <v>43.994</v>
      </c>
      <c r="S1581" s="10">
        <v>12.741999999999999</v>
      </c>
      <c r="T1581" s="10">
        <v>9.2119999999999997</v>
      </c>
      <c r="U1581" s="10">
        <v>6.2409999999999997</v>
      </c>
      <c r="V1581" s="10">
        <v>43.787999999999997</v>
      </c>
      <c r="W1581" s="10">
        <v>17.475999999999996</v>
      </c>
      <c r="X1581" s="10">
        <f t="shared" si="2236"/>
        <v>61.263999999999996</v>
      </c>
      <c r="Y1581" s="10" t="str">
        <f t="shared" si="2237"/>
        <v>NA</v>
      </c>
      <c r="Z1581" s="10" t="str">
        <f t="shared" si="2238"/>
        <v>NA</v>
      </c>
      <c r="AA1581" s="10" t="str">
        <f t="shared" si="2239"/>
        <v>NA</v>
      </c>
      <c r="AB1581" s="10" t="str">
        <f t="shared" si="2240"/>
        <v>NA</v>
      </c>
      <c r="AC1581" s="10" t="str">
        <f t="shared" si="2241"/>
        <v>NA</v>
      </c>
      <c r="AD1581" s="10" t="str">
        <f t="shared" si="2242"/>
        <v>NA</v>
      </c>
      <c r="AE1581" s="10" t="str">
        <f t="shared" si="2243"/>
        <v>NA</v>
      </c>
      <c r="AF1581" s="1" t="s">
        <v>7177</v>
      </c>
    </row>
    <row r="1582" spans="1:32" x14ac:dyDescent="0.2">
      <c r="A1582" s="1" t="s">
        <v>1365</v>
      </c>
      <c r="B1582" s="1" t="s">
        <v>179</v>
      </c>
      <c r="C1582" s="1" t="s">
        <v>1575</v>
      </c>
      <c r="D1582" s="1" t="s">
        <v>1600</v>
      </c>
      <c r="E1582" s="1" t="s">
        <v>3025</v>
      </c>
      <c r="F1582" s="1" t="s">
        <v>1366</v>
      </c>
      <c r="G1582" s="4">
        <v>0.75</v>
      </c>
      <c r="H1582" s="28">
        <v>41121</v>
      </c>
      <c r="I1582" s="29">
        <f t="shared" si="2234"/>
        <v>2012</v>
      </c>
      <c r="J1582" s="1" t="s">
        <v>1691</v>
      </c>
      <c r="K1582" s="1" t="s">
        <v>7</v>
      </c>
      <c r="L1582" s="11" t="str">
        <f t="shared" si="2235"/>
        <v>НЕТ</v>
      </c>
      <c r="M1582" s="10">
        <v>56.552999999999997</v>
      </c>
      <c r="N1582" s="10" t="s">
        <v>1575</v>
      </c>
      <c r="O1582" s="10">
        <v>1.855898</v>
      </c>
      <c r="P1582" s="10">
        <f t="shared" si="2140"/>
        <v>2.4745306666666669</v>
      </c>
      <c r="Q1582" s="10" t="str">
        <f t="shared" si="2141"/>
        <v>NA</v>
      </c>
      <c r="R1582" s="10" t="s">
        <v>1575</v>
      </c>
      <c r="S1582" s="10" t="s">
        <v>1575</v>
      </c>
      <c r="T1582" s="10" t="s">
        <v>1575</v>
      </c>
      <c r="U1582" s="10" t="s">
        <v>1575</v>
      </c>
      <c r="V1582" s="10" t="s">
        <v>1575</v>
      </c>
      <c r="W1582" s="10" t="s">
        <v>1575</v>
      </c>
      <c r="X1582" s="10" t="str">
        <f t="shared" si="2236"/>
        <v>NA</v>
      </c>
      <c r="Y1582" s="10" t="str">
        <f t="shared" si="2237"/>
        <v>NA</v>
      </c>
      <c r="Z1582" s="10" t="str">
        <f t="shared" si="2238"/>
        <v>NA</v>
      </c>
      <c r="AA1582" s="10" t="str">
        <f t="shared" si="2239"/>
        <v>NA</v>
      </c>
      <c r="AB1582" s="10" t="str">
        <f t="shared" si="2240"/>
        <v>NA</v>
      </c>
      <c r="AC1582" s="10" t="str">
        <f t="shared" si="2241"/>
        <v>NA</v>
      </c>
      <c r="AD1582" s="10" t="str">
        <f t="shared" si="2242"/>
        <v>NA</v>
      </c>
      <c r="AE1582" s="10" t="str">
        <f t="shared" si="2243"/>
        <v>NA</v>
      </c>
      <c r="AF1582" s="1" t="s">
        <v>7176</v>
      </c>
    </row>
    <row r="1583" spans="1:32" x14ac:dyDescent="0.2">
      <c r="A1583" s="1" t="s">
        <v>7170</v>
      </c>
      <c r="B1583" s="1" t="s">
        <v>5</v>
      </c>
      <c r="C1583" s="1" t="s">
        <v>1575</v>
      </c>
      <c r="D1583" s="1" t="s">
        <v>1600</v>
      </c>
      <c r="E1583" s="1" t="s">
        <v>3025</v>
      </c>
      <c r="F1583" s="1" t="s">
        <v>243</v>
      </c>
      <c r="G1583" s="4">
        <v>1</v>
      </c>
      <c r="H1583" s="28">
        <v>40755</v>
      </c>
      <c r="I1583" s="29">
        <f t="shared" ref="I1583" si="2244">YEAR(H1583)</f>
        <v>2011</v>
      </c>
      <c r="J1583" s="1" t="s">
        <v>1691</v>
      </c>
      <c r="K1583" s="1" t="s">
        <v>7</v>
      </c>
      <c r="L1583" s="11" t="str">
        <f t="shared" ref="L1583" si="2245">IF(OR(A1583=J1583,A1583=K1583),"ДА","НЕТ")</f>
        <v>НЕТ</v>
      </c>
      <c r="M1583" s="10">
        <v>50.134</v>
      </c>
      <c r="N1583" s="10" t="s">
        <v>1575</v>
      </c>
      <c r="O1583" s="10">
        <v>1.473317</v>
      </c>
      <c r="P1583" s="10">
        <f t="shared" si="2140"/>
        <v>1.473317</v>
      </c>
      <c r="Q1583" s="10" t="str">
        <f t="shared" si="2141"/>
        <v>NA</v>
      </c>
      <c r="R1583" s="10" t="s">
        <v>1575</v>
      </c>
      <c r="S1583" s="10" t="s">
        <v>1575</v>
      </c>
      <c r="T1583" s="10" t="s">
        <v>1575</v>
      </c>
      <c r="U1583" s="10" t="s">
        <v>1575</v>
      </c>
      <c r="V1583" s="10" t="s">
        <v>1575</v>
      </c>
      <c r="W1583" s="10" t="s">
        <v>1575</v>
      </c>
      <c r="X1583" s="10" t="str">
        <f t="shared" ref="X1583" si="2246">IFERROR(V1583+W1583,"NA")</f>
        <v>NA</v>
      </c>
      <c r="Y1583" s="10" t="str">
        <f t="shared" ref="Y1583" si="2247">IFERROR(P1583/R1583,"NA")</f>
        <v>NA</v>
      </c>
      <c r="Z1583" s="10" t="str">
        <f t="shared" ref="Z1583" si="2248">IFERROR(P1583/U1583,"NA")</f>
        <v>NA</v>
      </c>
      <c r="AA1583" s="10" t="str">
        <f t="shared" ref="AA1583" si="2249">IFERROR(P1583/V1583,"NA")</f>
        <v>NA</v>
      </c>
      <c r="AB1583" s="10" t="str">
        <f t="shared" ref="AB1583" si="2250">IFERROR(Q1583/R1583,"NA")</f>
        <v>NA</v>
      </c>
      <c r="AC1583" s="10" t="str">
        <f t="shared" ref="AC1583" si="2251">IFERROR(Q1583/S1583,"NA")</f>
        <v>NA</v>
      </c>
      <c r="AD1583" s="10" t="str">
        <f t="shared" ref="AD1583" si="2252">IFERROR(Q1583/T1583,"NA")</f>
        <v>NA</v>
      </c>
      <c r="AE1583" s="10" t="str">
        <f t="shared" ref="AE1583" si="2253">IFERROR(Q1583/X1583,"NA")</f>
        <v>NA</v>
      </c>
      <c r="AF1583" s="1" t="s">
        <v>7169</v>
      </c>
    </row>
    <row r="1584" spans="1:32" x14ac:dyDescent="0.2">
      <c r="A1584" s="1" t="s">
        <v>5998</v>
      </c>
      <c r="B1584" s="1" t="s">
        <v>5</v>
      </c>
      <c r="C1584" s="1" t="s">
        <v>1575</v>
      </c>
      <c r="D1584" s="1" t="s">
        <v>1600</v>
      </c>
      <c r="E1584" s="1" t="s">
        <v>3025</v>
      </c>
      <c r="F1584" s="1" t="s">
        <v>243</v>
      </c>
      <c r="G1584" s="4">
        <v>6.0299999999999999E-2</v>
      </c>
      <c r="H1584" s="28">
        <v>40663</v>
      </c>
      <c r="I1584" s="29">
        <f t="shared" si="2234"/>
        <v>2011</v>
      </c>
      <c r="J1584" s="1" t="s">
        <v>1691</v>
      </c>
      <c r="K1584" s="1" t="s">
        <v>7</v>
      </c>
      <c r="L1584" s="11" t="str">
        <f t="shared" si="2235"/>
        <v>НЕТ</v>
      </c>
      <c r="M1584" s="10">
        <v>6.1680000000000001</v>
      </c>
      <c r="N1584" s="10" t="s">
        <v>1575</v>
      </c>
      <c r="O1584" s="10">
        <v>181.261</v>
      </c>
      <c r="P1584" s="10">
        <f t="shared" si="2140"/>
        <v>3005.9867330016582</v>
      </c>
      <c r="Q1584" s="10" t="str">
        <f t="shared" si="2141"/>
        <v>NA</v>
      </c>
      <c r="R1584" s="10" t="s">
        <v>1575</v>
      </c>
      <c r="S1584" s="10" t="s">
        <v>1575</v>
      </c>
      <c r="T1584" s="10" t="s">
        <v>1575</v>
      </c>
      <c r="U1584" s="10" t="s">
        <v>1575</v>
      </c>
      <c r="V1584" s="10" t="s">
        <v>1575</v>
      </c>
      <c r="W1584" s="10" t="s">
        <v>1575</v>
      </c>
      <c r="X1584" s="10" t="str">
        <f t="shared" si="2236"/>
        <v>NA</v>
      </c>
      <c r="Y1584" s="10" t="str">
        <f t="shared" si="2237"/>
        <v>NA</v>
      </c>
      <c r="Z1584" s="10" t="str">
        <f t="shared" si="2238"/>
        <v>NA</v>
      </c>
      <c r="AA1584" s="10" t="str">
        <f t="shared" si="2239"/>
        <v>NA</v>
      </c>
      <c r="AB1584" s="10" t="str">
        <f t="shared" si="2240"/>
        <v>NA</v>
      </c>
      <c r="AC1584" s="10" t="str">
        <f t="shared" si="2241"/>
        <v>NA</v>
      </c>
      <c r="AD1584" s="10" t="str">
        <f t="shared" si="2242"/>
        <v>NA</v>
      </c>
      <c r="AE1584" s="10" t="str">
        <f t="shared" si="2243"/>
        <v>NA</v>
      </c>
      <c r="AF1584" s="1" t="s">
        <v>7166</v>
      </c>
    </row>
    <row r="1585" spans="1:32" x14ac:dyDescent="0.2">
      <c r="A1585" s="1" t="s">
        <v>5998</v>
      </c>
      <c r="B1585" s="1" t="s">
        <v>5</v>
      </c>
      <c r="C1585" s="1" t="s">
        <v>1575</v>
      </c>
      <c r="D1585" s="1" t="s">
        <v>1600</v>
      </c>
      <c r="E1585" s="1" t="s">
        <v>3025</v>
      </c>
      <c r="F1585" s="1" t="s">
        <v>243</v>
      </c>
      <c r="G1585" s="4">
        <v>0.1898</v>
      </c>
      <c r="H1585" s="28">
        <v>40451</v>
      </c>
      <c r="I1585" s="29">
        <f t="shared" si="2172"/>
        <v>2010</v>
      </c>
      <c r="J1585" s="1" t="s">
        <v>1691</v>
      </c>
      <c r="K1585" s="1" t="s">
        <v>7</v>
      </c>
      <c r="L1585" s="11" t="str">
        <f t="shared" si="2072"/>
        <v>НЕТ</v>
      </c>
      <c r="M1585" s="10" t="s">
        <v>1575</v>
      </c>
      <c r="N1585" s="10" t="s">
        <v>1575</v>
      </c>
      <c r="O1585" s="10" t="s">
        <v>1575</v>
      </c>
      <c r="P1585" s="10" t="str">
        <f t="shared" si="2140"/>
        <v>NA</v>
      </c>
      <c r="Q1585" s="10" t="str">
        <f t="shared" si="2141"/>
        <v>NA</v>
      </c>
      <c r="R1585" s="10" t="s">
        <v>1575</v>
      </c>
      <c r="S1585" s="10" t="s">
        <v>1575</v>
      </c>
      <c r="T1585" s="10" t="s">
        <v>1575</v>
      </c>
      <c r="U1585" s="10" t="s">
        <v>1575</v>
      </c>
      <c r="V1585" s="10" t="s">
        <v>1575</v>
      </c>
      <c r="W1585" s="10" t="s">
        <v>1575</v>
      </c>
      <c r="X1585" s="10" t="str">
        <f t="shared" si="2143"/>
        <v>NA</v>
      </c>
      <c r="Y1585" s="10" t="str">
        <f t="shared" si="2144"/>
        <v>NA</v>
      </c>
      <c r="Z1585" s="10" t="str">
        <f t="shared" si="2145"/>
        <v>NA</v>
      </c>
      <c r="AA1585" s="10" t="str">
        <f t="shared" si="2146"/>
        <v>NA</v>
      </c>
      <c r="AB1585" s="10" t="str">
        <f t="shared" si="2147"/>
        <v>NA</v>
      </c>
      <c r="AC1585" s="10" t="str">
        <f t="shared" si="2148"/>
        <v>NA</v>
      </c>
      <c r="AD1585" s="10" t="str">
        <f t="shared" si="2149"/>
        <v>NA</v>
      </c>
      <c r="AE1585" s="10" t="str">
        <f t="shared" si="2150"/>
        <v>NA</v>
      </c>
      <c r="AF1585" s="1" t="s">
        <v>7165</v>
      </c>
    </row>
    <row r="1586" spans="1:32" x14ac:dyDescent="0.2">
      <c r="A1586" s="1" t="s">
        <v>7180</v>
      </c>
      <c r="B1586" s="1" t="s">
        <v>5</v>
      </c>
      <c r="C1586" s="1" t="s">
        <v>1575</v>
      </c>
      <c r="D1586" s="1" t="s">
        <v>1600</v>
      </c>
      <c r="E1586" s="1" t="s">
        <v>1656</v>
      </c>
      <c r="F1586" s="1" t="s">
        <v>1367</v>
      </c>
      <c r="G1586" s="4">
        <v>0.33</v>
      </c>
      <c r="H1586" s="28">
        <v>43100</v>
      </c>
      <c r="I1586" s="29">
        <f t="shared" ref="I1586" si="2254">YEAR(H1586)</f>
        <v>2017</v>
      </c>
      <c r="J1586" s="1" t="s">
        <v>1368</v>
      </c>
      <c r="K1586" s="1" t="s">
        <v>7</v>
      </c>
      <c r="L1586" s="11" t="str">
        <f t="shared" ref="L1586" si="2255">IF(OR(A1586=J1586,A1586=K1586),"ДА","НЕТ")</f>
        <v>НЕТ</v>
      </c>
      <c r="M1586" s="10" t="s">
        <v>1575</v>
      </c>
      <c r="N1586" s="10" t="s">
        <v>1575</v>
      </c>
      <c r="O1586" s="10">
        <v>0.54807799999999995</v>
      </c>
      <c r="P1586" s="10">
        <f t="shared" si="2140"/>
        <v>1.660842424242424</v>
      </c>
      <c r="Q1586" s="10">
        <f t="shared" si="2141"/>
        <v>4.1947454242424245</v>
      </c>
      <c r="R1586" s="10">
        <v>0.82340999999999998</v>
      </c>
      <c r="S1586" s="10" t="s">
        <v>1575</v>
      </c>
      <c r="T1586" s="10" t="s">
        <v>1575</v>
      </c>
      <c r="U1586" s="10">
        <v>1.8E-3</v>
      </c>
      <c r="V1586" s="10">
        <v>2.5623</v>
      </c>
      <c r="W1586" s="10">
        <f>3.006742+0.663719-0.116325-1.020233</f>
        <v>2.5339030000000005</v>
      </c>
      <c r="X1586" s="10">
        <f t="shared" ref="X1586" si="2256">IFERROR(V1586+W1586,"NA")</f>
        <v>5.0962030000000009</v>
      </c>
      <c r="Y1586" s="10">
        <f t="shared" ref="Y1586" si="2257">IFERROR(P1586/R1586,"NA")</f>
        <v>2.017029698743547</v>
      </c>
      <c r="Z1586" s="10">
        <f t="shared" ref="Z1586" si="2258">IFERROR(P1586/U1586,"NA")</f>
        <v>922.69023569023557</v>
      </c>
      <c r="AA1586" s="10">
        <f t="shared" ref="AA1586" si="2259">IFERROR(P1586/V1586,"NA")</f>
        <v>0.64818421896047462</v>
      </c>
      <c r="AB1586" s="10">
        <f t="shared" ref="AB1586" si="2260">IFERROR(Q1586/R1586,"NA")</f>
        <v>5.0943581256511639</v>
      </c>
      <c r="AC1586" s="10" t="str">
        <f t="shared" ref="AC1586" si="2261">IFERROR(Q1586/S1586,"NA")</f>
        <v>NA</v>
      </c>
      <c r="AD1586" s="10" t="str">
        <f t="shared" ref="AD1586" si="2262">IFERROR(Q1586/T1586,"NA")</f>
        <v>NA</v>
      </c>
      <c r="AE1586" s="10">
        <f t="shared" ref="AE1586" si="2263">IFERROR(Q1586/X1586,"NA")</f>
        <v>0.8231119176850733</v>
      </c>
      <c r="AF1586" s="1" t="s">
        <v>7179</v>
      </c>
    </row>
    <row r="1587" spans="1:32" x14ac:dyDescent="0.2">
      <c r="A1587" s="1" t="s">
        <v>6000</v>
      </c>
      <c r="B1587" s="1" t="s">
        <v>5</v>
      </c>
      <c r="C1587" s="1" t="s">
        <v>1575</v>
      </c>
      <c r="D1587" s="1" t="s">
        <v>1600</v>
      </c>
      <c r="E1587" s="1" t="s">
        <v>1656</v>
      </c>
      <c r="F1587" s="1" t="s">
        <v>1367</v>
      </c>
      <c r="G1587" s="4">
        <v>1</v>
      </c>
      <c r="H1587" s="28">
        <v>41517</v>
      </c>
      <c r="I1587" s="29">
        <f t="shared" si="2172"/>
        <v>2013</v>
      </c>
      <c r="J1587" s="1" t="s">
        <v>1368</v>
      </c>
      <c r="K1587" s="1" t="s">
        <v>7</v>
      </c>
      <c r="L1587" s="11" t="str">
        <f t="shared" si="2072"/>
        <v>НЕТ</v>
      </c>
      <c r="M1587" s="10" t="s">
        <v>1575</v>
      </c>
      <c r="N1587" s="10" t="s">
        <v>1575</v>
      </c>
      <c r="O1587" s="10">
        <v>0.33939599999999998</v>
      </c>
      <c r="P1587" s="10">
        <f t="shared" si="2140"/>
        <v>0.33939599999999998</v>
      </c>
      <c r="Q1587" s="10">
        <f t="shared" si="2141"/>
        <v>0.78913900000000003</v>
      </c>
      <c r="R1587" s="10">
        <v>0.13050999999999999</v>
      </c>
      <c r="S1587" s="10" t="s">
        <v>1575</v>
      </c>
      <c r="T1587" s="10" t="s">
        <v>1575</v>
      </c>
      <c r="U1587" s="10">
        <v>9.8888000000000004E-2</v>
      </c>
      <c r="V1587" s="10">
        <v>0.53210000000000002</v>
      </c>
      <c r="W1587" s="10">
        <f>1.108487+0.121137-0.719295-0.06058-0.000006</f>
        <v>0.449743</v>
      </c>
      <c r="X1587" s="10">
        <f t="shared" si="2143"/>
        <v>0.98184300000000002</v>
      </c>
      <c r="Y1587" s="10">
        <f t="shared" si="2144"/>
        <v>2.6005363573672517</v>
      </c>
      <c r="Z1587" s="10">
        <f t="shared" si="2145"/>
        <v>3.43212523258636</v>
      </c>
      <c r="AA1587" s="10">
        <f t="shared" si="2146"/>
        <v>0.63784251080623933</v>
      </c>
      <c r="AB1587" s="10">
        <f t="shared" si="2147"/>
        <v>6.0465788062217465</v>
      </c>
      <c r="AC1587" s="10" t="str">
        <f t="shared" si="2148"/>
        <v>NA</v>
      </c>
      <c r="AD1587" s="10" t="str">
        <f t="shared" si="2149"/>
        <v>NA</v>
      </c>
      <c r="AE1587" s="10">
        <f t="shared" si="2150"/>
        <v>0.8037323686169785</v>
      </c>
      <c r="AF1587" s="1" t="s">
        <v>7181</v>
      </c>
    </row>
    <row r="1588" spans="1:32" x14ac:dyDescent="0.2">
      <c r="A1588" s="1" t="s">
        <v>6001</v>
      </c>
      <c r="B1588" s="1" t="s">
        <v>5</v>
      </c>
      <c r="C1588" s="1" t="s">
        <v>1575</v>
      </c>
      <c r="D1588" s="1" t="s">
        <v>1582</v>
      </c>
      <c r="E1588" s="1" t="s">
        <v>1587</v>
      </c>
      <c r="F1588" s="1" t="s">
        <v>2253</v>
      </c>
      <c r="G1588" s="4">
        <v>1</v>
      </c>
      <c r="H1588" s="28">
        <v>44592</v>
      </c>
      <c r="I1588" s="29">
        <f t="shared" si="2172"/>
        <v>2022</v>
      </c>
      <c r="J1588" s="1" t="s">
        <v>7</v>
      </c>
      <c r="K1588" s="1" t="s">
        <v>2252</v>
      </c>
      <c r="L1588" s="11" t="str">
        <f t="shared" si="2072"/>
        <v>НЕТ</v>
      </c>
      <c r="M1588" s="10" t="s">
        <v>1575</v>
      </c>
      <c r="N1588" s="10" t="s">
        <v>1575</v>
      </c>
      <c r="O1588" s="10" t="s">
        <v>1575</v>
      </c>
      <c r="P1588" s="10" t="str">
        <f t="shared" si="2140"/>
        <v>NA</v>
      </c>
      <c r="Q1588" s="10" t="str">
        <f t="shared" si="2141"/>
        <v>NA</v>
      </c>
      <c r="R1588" s="10" t="s">
        <v>1575</v>
      </c>
      <c r="S1588" s="10" t="s">
        <v>1575</v>
      </c>
      <c r="T1588" s="10" t="s">
        <v>1575</v>
      </c>
      <c r="U1588" s="10" t="s">
        <v>1575</v>
      </c>
      <c r="V1588" s="10" t="s">
        <v>1575</v>
      </c>
      <c r="W1588" s="10" t="s">
        <v>1575</v>
      </c>
      <c r="X1588" s="10" t="str">
        <f t="shared" si="2143"/>
        <v>NA</v>
      </c>
      <c r="Y1588" s="10" t="str">
        <f t="shared" si="2144"/>
        <v>NA</v>
      </c>
      <c r="Z1588" s="10" t="str">
        <f t="shared" si="2145"/>
        <v>NA</v>
      </c>
      <c r="AA1588" s="10" t="str">
        <f t="shared" si="2146"/>
        <v>NA</v>
      </c>
      <c r="AB1588" s="10" t="str">
        <f t="shared" si="2147"/>
        <v>NA</v>
      </c>
      <c r="AC1588" s="10" t="str">
        <f t="shared" si="2148"/>
        <v>NA</v>
      </c>
      <c r="AD1588" s="10" t="str">
        <f t="shared" si="2149"/>
        <v>NA</v>
      </c>
      <c r="AE1588" s="10" t="str">
        <f t="shared" si="2150"/>
        <v>NA</v>
      </c>
      <c r="AF1588" s="1" t="s">
        <v>2251</v>
      </c>
    </row>
    <row r="1589" spans="1:32" x14ac:dyDescent="0.2">
      <c r="A1589" s="1" t="s">
        <v>6002</v>
      </c>
      <c r="B1589" s="1" t="s">
        <v>5</v>
      </c>
      <c r="C1589" s="1" t="s">
        <v>1575</v>
      </c>
      <c r="D1589" s="1" t="s">
        <v>1575</v>
      </c>
      <c r="E1589" s="1" t="s">
        <v>1575</v>
      </c>
      <c r="F1589" s="1" t="s">
        <v>1575</v>
      </c>
      <c r="G1589" s="4">
        <v>0.21</v>
      </c>
      <c r="H1589" s="28">
        <v>44196</v>
      </c>
      <c r="I1589" s="29">
        <f t="shared" si="2172"/>
        <v>2020</v>
      </c>
      <c r="J1589" s="1" t="s">
        <v>5162</v>
      </c>
      <c r="K1589" s="1" t="s">
        <v>7</v>
      </c>
      <c r="L1589" s="11" t="str">
        <f t="shared" ref="L1589:L1590" si="2264">IF(OR(A1589=J1589,A1589=K1589),"ДА","НЕТ")</f>
        <v>НЕТ</v>
      </c>
      <c r="M1589" s="10" t="s">
        <v>1575</v>
      </c>
      <c r="N1589" s="10" t="s">
        <v>1575</v>
      </c>
      <c r="O1589" s="10" t="s">
        <v>1575</v>
      </c>
      <c r="P1589" s="10" t="str">
        <f t="shared" si="2140"/>
        <v>NA</v>
      </c>
      <c r="Q1589" s="10" t="str">
        <f t="shared" si="2141"/>
        <v>NA</v>
      </c>
      <c r="R1589" s="10" t="s">
        <v>1575</v>
      </c>
      <c r="S1589" s="10" t="s">
        <v>1575</v>
      </c>
      <c r="T1589" s="10" t="s">
        <v>1575</v>
      </c>
      <c r="U1589" s="10" t="s">
        <v>1575</v>
      </c>
      <c r="V1589" s="10" t="s">
        <v>1575</v>
      </c>
      <c r="W1589" s="10" t="s">
        <v>1575</v>
      </c>
      <c r="X1589" s="10" t="str">
        <f t="shared" ref="X1589:X1590" si="2265">IFERROR(V1589+W1589,"NA")</f>
        <v>NA</v>
      </c>
      <c r="Y1589" s="10" t="str">
        <f t="shared" ref="Y1589:Y1590" si="2266">IFERROR(P1589/R1589,"NA")</f>
        <v>NA</v>
      </c>
      <c r="Z1589" s="10" t="str">
        <f t="shared" ref="Z1589:Z1590" si="2267">IFERROR(P1589/U1589,"NA")</f>
        <v>NA</v>
      </c>
      <c r="AA1589" s="10" t="str">
        <f t="shared" ref="AA1589:AA1590" si="2268">IFERROR(P1589/V1589,"NA")</f>
        <v>NA</v>
      </c>
      <c r="AB1589" s="10" t="str">
        <f t="shared" ref="AB1589:AB1590" si="2269">IFERROR(Q1589/R1589,"NA")</f>
        <v>NA</v>
      </c>
      <c r="AC1589" s="10" t="str">
        <f t="shared" ref="AC1589:AC1590" si="2270">IFERROR(Q1589/S1589,"NA")</f>
        <v>NA</v>
      </c>
      <c r="AD1589" s="10" t="str">
        <f t="shared" ref="AD1589:AD1590" si="2271">IFERROR(Q1589/T1589,"NA")</f>
        <v>NA</v>
      </c>
      <c r="AE1589" s="10" t="str">
        <f t="shared" ref="AE1589:AE1590" si="2272">IFERROR(Q1589/X1589,"NA")</f>
        <v>NA</v>
      </c>
      <c r="AF1589" s="1" t="s">
        <v>5161</v>
      </c>
    </row>
    <row r="1590" spans="1:32" x14ac:dyDescent="0.2">
      <c r="A1590" s="1" t="s">
        <v>6003</v>
      </c>
      <c r="B1590" s="1" t="s">
        <v>5</v>
      </c>
      <c r="C1590" s="1" t="s">
        <v>1575</v>
      </c>
      <c r="D1590" s="1" t="s">
        <v>1575</v>
      </c>
      <c r="E1590" s="1" t="s">
        <v>1575</v>
      </c>
      <c r="F1590" s="1" t="s">
        <v>1575</v>
      </c>
      <c r="G1590" s="4">
        <v>0.37</v>
      </c>
      <c r="H1590" s="28">
        <v>43830</v>
      </c>
      <c r="I1590" s="29">
        <f t="shared" si="2172"/>
        <v>2019</v>
      </c>
      <c r="J1590" s="1" t="s">
        <v>5162</v>
      </c>
      <c r="K1590" s="1" t="s">
        <v>7</v>
      </c>
      <c r="L1590" s="11" t="str">
        <f t="shared" si="2264"/>
        <v>НЕТ</v>
      </c>
      <c r="M1590" s="10" t="s">
        <v>1575</v>
      </c>
      <c r="N1590" s="10" t="s">
        <v>1575</v>
      </c>
      <c r="O1590" s="10" t="s">
        <v>1575</v>
      </c>
      <c r="P1590" s="10" t="str">
        <f t="shared" si="2140"/>
        <v>NA</v>
      </c>
      <c r="Q1590" s="10" t="str">
        <f t="shared" si="2141"/>
        <v>NA</v>
      </c>
      <c r="R1590" s="10" t="s">
        <v>1575</v>
      </c>
      <c r="S1590" s="10" t="s">
        <v>1575</v>
      </c>
      <c r="T1590" s="10" t="s">
        <v>1575</v>
      </c>
      <c r="U1590" s="10" t="s">
        <v>1575</v>
      </c>
      <c r="V1590" s="10" t="s">
        <v>1575</v>
      </c>
      <c r="W1590" s="10" t="s">
        <v>1575</v>
      </c>
      <c r="X1590" s="10" t="str">
        <f t="shared" si="2265"/>
        <v>NA</v>
      </c>
      <c r="Y1590" s="10" t="str">
        <f t="shared" si="2266"/>
        <v>NA</v>
      </c>
      <c r="Z1590" s="10" t="str">
        <f t="shared" si="2267"/>
        <v>NA</v>
      </c>
      <c r="AA1590" s="10" t="str">
        <f t="shared" si="2268"/>
        <v>NA</v>
      </c>
      <c r="AB1590" s="10" t="str">
        <f t="shared" si="2269"/>
        <v>NA</v>
      </c>
      <c r="AC1590" s="10" t="str">
        <f t="shared" si="2270"/>
        <v>NA</v>
      </c>
      <c r="AD1590" s="10" t="str">
        <f t="shared" si="2271"/>
        <v>NA</v>
      </c>
      <c r="AE1590" s="10" t="str">
        <f t="shared" si="2272"/>
        <v>NA</v>
      </c>
      <c r="AF1590" s="1" t="s">
        <v>5160</v>
      </c>
    </row>
    <row r="1591" spans="1:32" x14ac:dyDescent="0.2">
      <c r="A1591" s="1" t="s">
        <v>6004</v>
      </c>
      <c r="B1591" s="1" t="s">
        <v>5</v>
      </c>
      <c r="C1591" s="1" t="s">
        <v>1575</v>
      </c>
      <c r="D1591" s="1" t="s">
        <v>1584</v>
      </c>
      <c r="E1591" s="1" t="s">
        <v>1587</v>
      </c>
      <c r="F1591" s="1" t="s">
        <v>2060</v>
      </c>
      <c r="G1591" s="4">
        <v>0.5</v>
      </c>
      <c r="H1591" s="28">
        <v>45016</v>
      </c>
      <c r="I1591" s="29">
        <f t="shared" si="2172"/>
        <v>2023</v>
      </c>
      <c r="J1591" s="1" t="s">
        <v>7</v>
      </c>
      <c r="K1591" s="1" t="s">
        <v>6005</v>
      </c>
      <c r="L1591" s="11" t="str">
        <f t="shared" si="2072"/>
        <v>НЕТ</v>
      </c>
      <c r="M1591" s="10" t="s">
        <v>1575</v>
      </c>
      <c r="N1591" s="10" t="s">
        <v>1575</v>
      </c>
      <c r="O1591" s="10">
        <v>4.2210000000000001</v>
      </c>
      <c r="P1591" s="10">
        <f t="shared" si="2140"/>
        <v>8.4420000000000002</v>
      </c>
      <c r="Q1591" s="10" t="str">
        <f t="shared" si="2141"/>
        <v>NA</v>
      </c>
      <c r="R1591" s="10" t="s">
        <v>1575</v>
      </c>
      <c r="S1591" s="10" t="s">
        <v>1575</v>
      </c>
      <c r="T1591" s="10" t="s">
        <v>1575</v>
      </c>
      <c r="U1591" s="10" t="s">
        <v>1575</v>
      </c>
      <c r="V1591" s="10">
        <v>17.013000000000002</v>
      </c>
      <c r="W1591" s="10" t="s">
        <v>1575</v>
      </c>
      <c r="X1591" s="10" t="str">
        <f t="shared" si="2143"/>
        <v>NA</v>
      </c>
      <c r="Y1591" s="10" t="str">
        <f t="shared" si="2144"/>
        <v>NA</v>
      </c>
      <c r="Z1591" s="10" t="str">
        <f t="shared" si="2145"/>
        <v>NA</v>
      </c>
      <c r="AA1591" s="10">
        <f t="shared" si="2146"/>
        <v>0.49620878152001408</v>
      </c>
      <c r="AB1591" s="10" t="str">
        <f t="shared" si="2147"/>
        <v>NA</v>
      </c>
      <c r="AC1591" s="10" t="str">
        <f t="shared" si="2148"/>
        <v>NA</v>
      </c>
      <c r="AD1591" s="10" t="str">
        <f t="shared" si="2149"/>
        <v>NA</v>
      </c>
      <c r="AE1591" s="10" t="str">
        <f t="shared" si="2150"/>
        <v>NA</v>
      </c>
      <c r="AF1591" s="1" t="s">
        <v>2059</v>
      </c>
    </row>
    <row r="1592" spans="1:32" x14ac:dyDescent="0.2">
      <c r="A1592" s="1" t="s">
        <v>2047</v>
      </c>
      <c r="B1592" s="1" t="s">
        <v>5</v>
      </c>
      <c r="C1592" s="1" t="s">
        <v>1575</v>
      </c>
      <c r="D1592" s="1" t="s">
        <v>1595</v>
      </c>
      <c r="E1592" s="1" t="s">
        <v>1587</v>
      </c>
      <c r="F1592" s="1" t="s">
        <v>244</v>
      </c>
      <c r="G1592" s="4">
        <v>0.5</v>
      </c>
      <c r="H1592" s="28">
        <v>44985</v>
      </c>
      <c r="I1592" s="29">
        <f t="shared" si="2172"/>
        <v>2023</v>
      </c>
      <c r="J1592" s="1" t="s">
        <v>6005</v>
      </c>
      <c r="K1592" s="1" t="s">
        <v>7</v>
      </c>
      <c r="L1592" s="11" t="str">
        <f t="shared" si="2072"/>
        <v>НЕТ</v>
      </c>
      <c r="M1592" s="10" t="s">
        <v>1575</v>
      </c>
      <c r="N1592" s="10" t="s">
        <v>1575</v>
      </c>
      <c r="O1592" s="10">
        <v>6.4</v>
      </c>
      <c r="P1592" s="10">
        <f t="shared" si="2140"/>
        <v>12.8</v>
      </c>
      <c r="Q1592" s="10" t="str">
        <f t="shared" si="2141"/>
        <v>NA</v>
      </c>
      <c r="R1592" s="10" t="s">
        <v>1575</v>
      </c>
      <c r="S1592" s="10" t="s">
        <v>1575</v>
      </c>
      <c r="T1592" s="10" t="s">
        <v>1575</v>
      </c>
      <c r="U1592" s="10" t="s">
        <v>1575</v>
      </c>
      <c r="V1592" s="10">
        <v>0.32200000000000001</v>
      </c>
      <c r="W1592" s="10" t="s">
        <v>1575</v>
      </c>
      <c r="X1592" s="10" t="str">
        <f t="shared" si="2143"/>
        <v>NA</v>
      </c>
      <c r="Y1592" s="10" t="str">
        <f t="shared" si="2144"/>
        <v>NA</v>
      </c>
      <c r="Z1592" s="10" t="str">
        <f t="shared" si="2145"/>
        <v>NA</v>
      </c>
      <c r="AA1592" s="10">
        <f t="shared" si="2146"/>
        <v>39.75155279503106</v>
      </c>
      <c r="AB1592" s="10" t="str">
        <f t="shared" si="2147"/>
        <v>NA</v>
      </c>
      <c r="AC1592" s="10" t="str">
        <f t="shared" si="2148"/>
        <v>NA</v>
      </c>
      <c r="AD1592" s="10" t="str">
        <f t="shared" si="2149"/>
        <v>NA</v>
      </c>
      <c r="AE1592" s="10" t="str">
        <f t="shared" si="2150"/>
        <v>NA</v>
      </c>
      <c r="AF1592" s="1" t="s">
        <v>2054</v>
      </c>
    </row>
    <row r="1593" spans="1:32" x14ac:dyDescent="0.2">
      <c r="A1593" s="1" t="s">
        <v>2047</v>
      </c>
      <c r="B1593" s="1" t="s">
        <v>5</v>
      </c>
      <c r="C1593" s="1" t="s">
        <v>1575</v>
      </c>
      <c r="D1593" s="1" t="s">
        <v>1595</v>
      </c>
      <c r="E1593" s="1" t="s">
        <v>1587</v>
      </c>
      <c r="F1593" s="1" t="s">
        <v>244</v>
      </c>
      <c r="G1593" s="4">
        <v>0.5</v>
      </c>
      <c r="H1593" s="28">
        <v>44926</v>
      </c>
      <c r="I1593" s="29">
        <f t="shared" si="2172"/>
        <v>2022</v>
      </c>
      <c r="J1593" s="1" t="s">
        <v>6005</v>
      </c>
      <c r="K1593" s="1" t="s">
        <v>7</v>
      </c>
      <c r="L1593" s="11" t="str">
        <f t="shared" si="2072"/>
        <v>НЕТ</v>
      </c>
      <c r="M1593" s="10" t="s">
        <v>1575</v>
      </c>
      <c r="N1593" s="10" t="s">
        <v>1575</v>
      </c>
      <c r="O1593" s="10">
        <v>6</v>
      </c>
      <c r="P1593" s="10">
        <f t="shared" si="2140"/>
        <v>12</v>
      </c>
      <c r="Q1593" s="10" t="str">
        <f t="shared" si="2141"/>
        <v>NA</v>
      </c>
      <c r="R1593" s="10" t="s">
        <v>1575</v>
      </c>
      <c r="S1593" s="10" t="s">
        <v>1575</v>
      </c>
      <c r="T1593" s="10" t="s">
        <v>1575</v>
      </c>
      <c r="U1593" s="10" t="s">
        <v>1575</v>
      </c>
      <c r="V1593" s="10">
        <v>0.32200000000000001</v>
      </c>
      <c r="W1593" s="10" t="s">
        <v>1575</v>
      </c>
      <c r="X1593" s="10" t="str">
        <f t="shared" si="2143"/>
        <v>NA</v>
      </c>
      <c r="Y1593" s="10" t="str">
        <f t="shared" si="2144"/>
        <v>NA</v>
      </c>
      <c r="Z1593" s="10" t="str">
        <f t="shared" si="2145"/>
        <v>NA</v>
      </c>
      <c r="AA1593" s="10">
        <f t="shared" si="2146"/>
        <v>37.267080745341616</v>
      </c>
      <c r="AB1593" s="10" t="str">
        <f t="shared" si="2147"/>
        <v>NA</v>
      </c>
      <c r="AC1593" s="10" t="str">
        <f t="shared" si="2148"/>
        <v>NA</v>
      </c>
      <c r="AD1593" s="10" t="str">
        <f t="shared" si="2149"/>
        <v>NA</v>
      </c>
      <c r="AE1593" s="10" t="str">
        <f t="shared" si="2150"/>
        <v>NA</v>
      </c>
      <c r="AF1593" s="1" t="s">
        <v>2055</v>
      </c>
    </row>
    <row r="1594" spans="1:32" x14ac:dyDescent="0.2">
      <c r="A1594" s="1" t="s">
        <v>3281</v>
      </c>
      <c r="B1594" s="1" t="s">
        <v>2070</v>
      </c>
      <c r="C1594" s="1" t="s">
        <v>1575</v>
      </c>
      <c r="D1594" s="1" t="s">
        <v>1813</v>
      </c>
      <c r="E1594" s="1" t="s">
        <v>1819</v>
      </c>
      <c r="F1594" s="1" t="s">
        <v>2069</v>
      </c>
      <c r="G1594" s="4" t="s">
        <v>1575</v>
      </c>
      <c r="H1594" s="28">
        <v>44413</v>
      </c>
      <c r="I1594" s="29">
        <f t="shared" si="2172"/>
        <v>2021</v>
      </c>
      <c r="J1594" s="1" t="s">
        <v>6006</v>
      </c>
      <c r="K1594" s="1" t="s">
        <v>6005</v>
      </c>
      <c r="L1594" s="11" t="str">
        <f t="shared" si="2072"/>
        <v>НЕТ</v>
      </c>
      <c r="M1594" s="10" t="s">
        <v>1575</v>
      </c>
      <c r="N1594" s="10" t="s">
        <v>1575</v>
      </c>
      <c r="O1594" s="10">
        <v>40.853000000000002</v>
      </c>
      <c r="P1594" s="10" t="str">
        <f t="shared" si="2140"/>
        <v>NA</v>
      </c>
      <c r="Q1594" s="10" t="str">
        <f t="shared" si="2141"/>
        <v>NA</v>
      </c>
      <c r="R1594" s="10">
        <v>25.989000000000001</v>
      </c>
      <c r="S1594" s="10" t="s">
        <v>1575</v>
      </c>
      <c r="T1594" s="10" t="s">
        <v>1575</v>
      </c>
      <c r="U1594" s="10">
        <v>10.121</v>
      </c>
      <c r="V1594" s="10">
        <v>32.951999999999998</v>
      </c>
      <c r="W1594" s="10" t="s">
        <v>1575</v>
      </c>
      <c r="X1594" s="10" t="str">
        <f t="shared" si="2143"/>
        <v>NA</v>
      </c>
      <c r="Y1594" s="10" t="str">
        <f t="shared" si="2144"/>
        <v>NA</v>
      </c>
      <c r="Z1594" s="10" t="str">
        <f t="shared" si="2145"/>
        <v>NA</v>
      </c>
      <c r="AA1594" s="10" t="str">
        <f t="shared" si="2146"/>
        <v>NA</v>
      </c>
      <c r="AB1594" s="10" t="str">
        <f t="shared" si="2147"/>
        <v>NA</v>
      </c>
      <c r="AC1594" s="10" t="str">
        <f t="shared" si="2148"/>
        <v>NA</v>
      </c>
      <c r="AD1594" s="10" t="str">
        <f t="shared" si="2149"/>
        <v>NA</v>
      </c>
      <c r="AE1594" s="10" t="str">
        <f t="shared" si="2150"/>
        <v>NA</v>
      </c>
      <c r="AF1594" s="1" t="s">
        <v>2056</v>
      </c>
    </row>
    <row r="1595" spans="1:32" x14ac:dyDescent="0.2">
      <c r="A1595" s="1" t="s">
        <v>6007</v>
      </c>
      <c r="B1595" s="1" t="s">
        <v>5</v>
      </c>
      <c r="C1595" s="1" t="s">
        <v>1575</v>
      </c>
      <c r="D1595" s="1" t="s">
        <v>1582</v>
      </c>
      <c r="E1595" s="1" t="s">
        <v>2019</v>
      </c>
      <c r="F1595" s="1" t="s">
        <v>2068</v>
      </c>
      <c r="G1595" s="4">
        <v>0.5</v>
      </c>
      <c r="H1595" s="28">
        <v>44469</v>
      </c>
      <c r="I1595" s="29">
        <f t="shared" si="2172"/>
        <v>2021</v>
      </c>
      <c r="J1595" s="1" t="s">
        <v>6005</v>
      </c>
      <c r="K1595" s="1" t="s">
        <v>7</v>
      </c>
      <c r="L1595" s="11" t="str">
        <f t="shared" si="2072"/>
        <v>НЕТ</v>
      </c>
      <c r="M1595" s="10" t="s">
        <v>1575</v>
      </c>
      <c r="N1595" s="10" t="s">
        <v>1575</v>
      </c>
      <c r="O1595" s="10">
        <v>7.5019999999999998</v>
      </c>
      <c r="P1595" s="10">
        <f t="shared" si="2140"/>
        <v>15.004</v>
      </c>
      <c r="Q1595" s="10" t="str">
        <f t="shared" si="2141"/>
        <v>NA</v>
      </c>
      <c r="R1595" s="10" t="s">
        <v>1575</v>
      </c>
      <c r="S1595" s="10" t="s">
        <v>1575</v>
      </c>
      <c r="T1595" s="10" t="s">
        <v>1575</v>
      </c>
      <c r="U1595" s="10" t="s">
        <v>1575</v>
      </c>
      <c r="V1595" s="10">
        <v>10.807</v>
      </c>
      <c r="W1595" s="10" t="s">
        <v>1575</v>
      </c>
      <c r="X1595" s="10" t="str">
        <f t="shared" si="2143"/>
        <v>NA</v>
      </c>
      <c r="Y1595" s="10" t="str">
        <f t="shared" si="2144"/>
        <v>NA</v>
      </c>
      <c r="Z1595" s="10" t="str">
        <f t="shared" si="2145"/>
        <v>NA</v>
      </c>
      <c r="AA1595" s="10">
        <f t="shared" si="2146"/>
        <v>1.3883593966873322</v>
      </c>
      <c r="AB1595" s="10" t="str">
        <f t="shared" si="2147"/>
        <v>NA</v>
      </c>
      <c r="AC1595" s="10" t="str">
        <f t="shared" si="2148"/>
        <v>NA</v>
      </c>
      <c r="AD1595" s="10" t="str">
        <f t="shared" si="2149"/>
        <v>NA</v>
      </c>
      <c r="AE1595" s="10" t="str">
        <f t="shared" si="2150"/>
        <v>NA</v>
      </c>
      <c r="AF1595" s="1" t="s">
        <v>2058</v>
      </c>
    </row>
    <row r="1596" spans="1:32" x14ac:dyDescent="0.2">
      <c r="A1596" s="1" t="s">
        <v>6008</v>
      </c>
      <c r="B1596" s="1" t="s">
        <v>5</v>
      </c>
      <c r="C1596" s="1" t="s">
        <v>1575</v>
      </c>
      <c r="D1596" s="1" t="s">
        <v>1813</v>
      </c>
      <c r="E1596" s="1" t="s">
        <v>3101</v>
      </c>
      <c r="F1596" s="1" t="s">
        <v>2062</v>
      </c>
      <c r="G1596" s="4" t="s">
        <v>1575</v>
      </c>
      <c r="H1596" s="28">
        <v>44561</v>
      </c>
      <c r="I1596" s="29">
        <f t="shared" si="2172"/>
        <v>2021</v>
      </c>
      <c r="J1596" s="1" t="s">
        <v>7</v>
      </c>
      <c r="K1596" s="1" t="s">
        <v>6005</v>
      </c>
      <c r="L1596" s="11" t="str">
        <f t="shared" si="2072"/>
        <v>НЕТ</v>
      </c>
      <c r="M1596" s="10" t="s">
        <v>1575</v>
      </c>
      <c r="N1596" s="10" t="s">
        <v>1575</v>
      </c>
      <c r="O1596" s="10" t="s">
        <v>1575</v>
      </c>
      <c r="P1596" s="10" t="str">
        <f t="shared" si="2140"/>
        <v>NA</v>
      </c>
      <c r="Q1596" s="10" t="str">
        <f t="shared" si="2141"/>
        <v>NA</v>
      </c>
      <c r="R1596" s="10">
        <v>100.542</v>
      </c>
      <c r="S1596" s="10">
        <f>T1596+20.715</f>
        <v>4.7809999999999988</v>
      </c>
      <c r="T1596" s="10">
        <f>U1596+0.715+2.969-0.336</f>
        <v>-15.934000000000001</v>
      </c>
      <c r="U1596" s="10">
        <v>-19.282</v>
      </c>
      <c r="V1596" s="10">
        <v>63.034999999999997</v>
      </c>
      <c r="W1596" s="10" t="s">
        <v>1575</v>
      </c>
      <c r="X1596" s="10" t="str">
        <f t="shared" si="2143"/>
        <v>NA</v>
      </c>
      <c r="Y1596" s="10" t="str">
        <f t="shared" si="2144"/>
        <v>NA</v>
      </c>
      <c r="Z1596" s="10" t="str">
        <f t="shared" si="2145"/>
        <v>NA</v>
      </c>
      <c r="AA1596" s="10" t="str">
        <f t="shared" si="2146"/>
        <v>NA</v>
      </c>
      <c r="AB1596" s="10" t="str">
        <f t="shared" si="2147"/>
        <v>NA</v>
      </c>
      <c r="AC1596" s="10" t="str">
        <f t="shared" si="2148"/>
        <v>NA</v>
      </c>
      <c r="AD1596" s="10" t="str">
        <f t="shared" si="2149"/>
        <v>NA</v>
      </c>
      <c r="AE1596" s="10" t="str">
        <f t="shared" si="2150"/>
        <v>NA</v>
      </c>
      <c r="AF1596" s="1" t="s">
        <v>2061</v>
      </c>
    </row>
    <row r="1597" spans="1:32" x14ac:dyDescent="0.2">
      <c r="A1597" s="1" t="s">
        <v>6009</v>
      </c>
      <c r="B1597" s="1" t="s">
        <v>5</v>
      </c>
      <c r="C1597" s="1" t="s">
        <v>1575</v>
      </c>
      <c r="D1597" s="1" t="s">
        <v>1595</v>
      </c>
      <c r="E1597" s="1" t="s">
        <v>1596</v>
      </c>
      <c r="F1597" s="1" t="s">
        <v>244</v>
      </c>
      <c r="G1597" s="4">
        <v>0.60680000000000001</v>
      </c>
      <c r="H1597" s="28">
        <v>44561</v>
      </c>
      <c r="I1597" s="29">
        <f t="shared" si="2172"/>
        <v>2021</v>
      </c>
      <c r="J1597" s="1" t="s">
        <v>7</v>
      </c>
      <c r="K1597" s="1" t="s">
        <v>6005</v>
      </c>
      <c r="L1597" s="11" t="str">
        <f t="shared" si="2072"/>
        <v>НЕТ</v>
      </c>
      <c r="M1597" s="10" t="s">
        <v>1575</v>
      </c>
      <c r="N1597" s="10" t="s">
        <v>1575</v>
      </c>
      <c r="O1597" s="10">
        <f>3.5+17.281</f>
        <v>20.780999999999999</v>
      </c>
      <c r="P1597" s="10">
        <f t="shared" si="2140"/>
        <v>34.246868820039552</v>
      </c>
      <c r="Q1597" s="10" t="str">
        <f t="shared" si="2141"/>
        <v>NA</v>
      </c>
      <c r="R1597" s="10" t="s">
        <v>1575</v>
      </c>
      <c r="S1597" s="10" t="s">
        <v>1575</v>
      </c>
      <c r="T1597" s="10" t="s">
        <v>1575</v>
      </c>
      <c r="U1597" s="10" t="s">
        <v>1575</v>
      </c>
      <c r="V1597" s="10">
        <f>30.046+2.668+1.534-73.137-2.896</f>
        <v>-41.785000000000004</v>
      </c>
      <c r="W1597" s="10" t="s">
        <v>1575</v>
      </c>
      <c r="X1597" s="10" t="str">
        <f t="shared" si="2143"/>
        <v>NA</v>
      </c>
      <c r="Y1597" s="10" t="str">
        <f t="shared" si="2144"/>
        <v>NA</v>
      </c>
      <c r="Z1597" s="10" t="str">
        <f t="shared" si="2145"/>
        <v>NA</v>
      </c>
      <c r="AA1597" s="10">
        <f t="shared" si="2146"/>
        <v>-0.81959719564531652</v>
      </c>
      <c r="AB1597" s="10" t="str">
        <f t="shared" si="2147"/>
        <v>NA</v>
      </c>
      <c r="AC1597" s="10" t="str">
        <f t="shared" si="2148"/>
        <v>NA</v>
      </c>
      <c r="AD1597" s="10" t="str">
        <f t="shared" si="2149"/>
        <v>NA</v>
      </c>
      <c r="AE1597" s="10" t="str">
        <f t="shared" si="2150"/>
        <v>NA</v>
      </c>
      <c r="AF1597" s="1" t="s">
        <v>2063</v>
      </c>
    </row>
    <row r="1598" spans="1:32" x14ac:dyDescent="0.2">
      <c r="A1598" s="1" t="s">
        <v>6009</v>
      </c>
      <c r="B1598" s="1" t="s">
        <v>5</v>
      </c>
      <c r="C1598" s="1" t="s">
        <v>1575</v>
      </c>
      <c r="D1598" s="1" t="s">
        <v>1595</v>
      </c>
      <c r="E1598" s="1" t="s">
        <v>1596</v>
      </c>
      <c r="F1598" s="1" t="s">
        <v>244</v>
      </c>
      <c r="G1598" s="4">
        <v>1</v>
      </c>
      <c r="H1598" s="28">
        <v>44561</v>
      </c>
      <c r="I1598" s="29">
        <f t="shared" si="2172"/>
        <v>2021</v>
      </c>
      <c r="J1598" s="1" t="s">
        <v>6005</v>
      </c>
      <c r="K1598" s="1" t="s">
        <v>7</v>
      </c>
      <c r="L1598" s="11" t="str">
        <f t="shared" si="2072"/>
        <v>НЕТ</v>
      </c>
      <c r="M1598" s="10" t="s">
        <v>1575</v>
      </c>
      <c r="N1598" s="10" t="s">
        <v>1575</v>
      </c>
      <c r="O1598" s="10" t="s">
        <v>1575</v>
      </c>
      <c r="P1598" s="10" t="str">
        <f t="shared" si="2140"/>
        <v>NA</v>
      </c>
      <c r="Q1598" s="10" t="str">
        <f t="shared" si="2141"/>
        <v>NA</v>
      </c>
      <c r="R1598" s="10" t="s">
        <v>1575</v>
      </c>
      <c r="S1598" s="10" t="s">
        <v>1575</v>
      </c>
      <c r="T1598" s="10" t="s">
        <v>1575</v>
      </c>
      <c r="U1598" s="10" t="s">
        <v>1575</v>
      </c>
      <c r="V1598" s="10">
        <f>30.046+2.668+1.534-73.137-2.896</f>
        <v>-41.785000000000004</v>
      </c>
      <c r="W1598" s="10" t="s">
        <v>1575</v>
      </c>
      <c r="X1598" s="10" t="str">
        <f t="shared" si="2143"/>
        <v>NA</v>
      </c>
      <c r="Y1598" s="10" t="str">
        <f t="shared" si="2144"/>
        <v>NA</v>
      </c>
      <c r="Z1598" s="10" t="str">
        <f t="shared" si="2145"/>
        <v>NA</v>
      </c>
      <c r="AA1598" s="10" t="str">
        <f t="shared" si="2146"/>
        <v>NA</v>
      </c>
      <c r="AB1598" s="10" t="str">
        <f t="shared" si="2147"/>
        <v>NA</v>
      </c>
      <c r="AC1598" s="10" t="str">
        <f t="shared" si="2148"/>
        <v>NA</v>
      </c>
      <c r="AD1598" s="10" t="str">
        <f t="shared" si="2149"/>
        <v>NA</v>
      </c>
      <c r="AE1598" s="10" t="str">
        <f t="shared" si="2150"/>
        <v>NA</v>
      </c>
      <c r="AF1598" s="1" t="s">
        <v>2064</v>
      </c>
    </row>
    <row r="1599" spans="1:32" x14ac:dyDescent="0.2">
      <c r="A1599" s="1" t="s">
        <v>6010</v>
      </c>
      <c r="B1599" s="1" t="s">
        <v>5</v>
      </c>
      <c r="C1599" s="1" t="s">
        <v>1575</v>
      </c>
      <c r="D1599" s="1" t="s">
        <v>1595</v>
      </c>
      <c r="E1599" s="1" t="s">
        <v>1587</v>
      </c>
      <c r="F1599" s="1" t="s">
        <v>244</v>
      </c>
      <c r="G1599" s="4">
        <v>0.5</v>
      </c>
      <c r="H1599" s="28">
        <v>44500</v>
      </c>
      <c r="I1599" s="29">
        <f t="shared" si="2172"/>
        <v>2021</v>
      </c>
      <c r="J1599" s="1" t="s">
        <v>6005</v>
      </c>
      <c r="K1599" s="1" t="s">
        <v>7</v>
      </c>
      <c r="L1599" s="11" t="str">
        <f t="shared" si="2072"/>
        <v>НЕТ</v>
      </c>
      <c r="M1599" s="10" t="s">
        <v>1575</v>
      </c>
      <c r="N1599" s="10" t="s">
        <v>1575</v>
      </c>
      <c r="O1599" s="10">
        <v>1.2250000000000001</v>
      </c>
      <c r="P1599" s="10">
        <f t="shared" si="2140"/>
        <v>2.4500000000000002</v>
      </c>
      <c r="Q1599" s="10" t="str">
        <f t="shared" si="2141"/>
        <v>NA</v>
      </c>
      <c r="R1599" s="10" t="s">
        <v>1575</v>
      </c>
      <c r="S1599" s="10" t="s">
        <v>1575</v>
      </c>
      <c r="T1599" s="10" t="s">
        <v>1575</v>
      </c>
      <c r="U1599" s="10" t="s">
        <v>1575</v>
      </c>
      <c r="V1599" s="10" t="s">
        <v>1575</v>
      </c>
      <c r="W1599" s="10" t="s">
        <v>1575</v>
      </c>
      <c r="X1599" s="10" t="str">
        <f t="shared" si="2143"/>
        <v>NA</v>
      </c>
      <c r="Y1599" s="10" t="str">
        <f t="shared" si="2144"/>
        <v>NA</v>
      </c>
      <c r="Z1599" s="10" t="str">
        <f t="shared" si="2145"/>
        <v>NA</v>
      </c>
      <c r="AA1599" s="10" t="str">
        <f t="shared" si="2146"/>
        <v>NA</v>
      </c>
      <c r="AB1599" s="10" t="str">
        <f t="shared" si="2147"/>
        <v>NA</v>
      </c>
      <c r="AC1599" s="10" t="str">
        <f t="shared" si="2148"/>
        <v>NA</v>
      </c>
      <c r="AD1599" s="10" t="str">
        <f t="shared" si="2149"/>
        <v>NA</v>
      </c>
      <c r="AE1599" s="10" t="str">
        <f t="shared" si="2150"/>
        <v>NA</v>
      </c>
      <c r="AF1599" s="1" t="s">
        <v>2065</v>
      </c>
    </row>
    <row r="1600" spans="1:32" x14ac:dyDescent="0.2">
      <c r="A1600" s="1" t="s">
        <v>6011</v>
      </c>
      <c r="B1600" s="1" t="s">
        <v>5</v>
      </c>
      <c r="C1600" s="1" t="s">
        <v>1575</v>
      </c>
      <c r="D1600" s="1" t="s">
        <v>1582</v>
      </c>
      <c r="E1600" s="1" t="s">
        <v>2019</v>
      </c>
      <c r="F1600" s="1" t="s">
        <v>2068</v>
      </c>
      <c r="G1600" s="4">
        <v>0.25</v>
      </c>
      <c r="H1600" s="28">
        <v>44227</v>
      </c>
      <c r="I1600" s="29">
        <f t="shared" si="2172"/>
        <v>2021</v>
      </c>
      <c r="J1600" s="1" t="s">
        <v>6005</v>
      </c>
      <c r="K1600" s="1" t="s">
        <v>7</v>
      </c>
      <c r="L1600" s="11" t="str">
        <f t="shared" si="2072"/>
        <v>НЕТ</v>
      </c>
      <c r="M1600" s="10" t="s">
        <v>1575</v>
      </c>
      <c r="N1600" s="10" t="s">
        <v>1575</v>
      </c>
      <c r="O1600" s="10">
        <v>3</v>
      </c>
      <c r="P1600" s="10">
        <f t="shared" si="2140"/>
        <v>12</v>
      </c>
      <c r="Q1600" s="10" t="str">
        <f t="shared" si="2141"/>
        <v>NA</v>
      </c>
      <c r="R1600" s="10" t="s">
        <v>1575</v>
      </c>
      <c r="S1600" s="10" t="s">
        <v>1575</v>
      </c>
      <c r="T1600" s="10" t="s">
        <v>1575</v>
      </c>
      <c r="U1600" s="10" t="s">
        <v>1575</v>
      </c>
      <c r="V1600" s="10">
        <v>2.9750000000000001</v>
      </c>
      <c r="W1600" s="10" t="s">
        <v>1575</v>
      </c>
      <c r="X1600" s="10" t="str">
        <f t="shared" si="2143"/>
        <v>NA</v>
      </c>
      <c r="Y1600" s="10" t="str">
        <f t="shared" si="2144"/>
        <v>NA</v>
      </c>
      <c r="Z1600" s="10" t="str">
        <f t="shared" si="2145"/>
        <v>NA</v>
      </c>
      <c r="AA1600" s="10">
        <f t="shared" si="2146"/>
        <v>4.0336134453781511</v>
      </c>
      <c r="AB1600" s="10" t="str">
        <f t="shared" si="2147"/>
        <v>NA</v>
      </c>
      <c r="AC1600" s="10" t="str">
        <f t="shared" si="2148"/>
        <v>NA</v>
      </c>
      <c r="AD1600" s="10" t="str">
        <f t="shared" si="2149"/>
        <v>NA</v>
      </c>
      <c r="AE1600" s="10" t="str">
        <f t="shared" si="2150"/>
        <v>NA</v>
      </c>
      <c r="AF1600" s="1" t="s">
        <v>2066</v>
      </c>
    </row>
    <row r="1601" spans="1:32" x14ac:dyDescent="0.2">
      <c r="A1601" s="1" t="s">
        <v>6011</v>
      </c>
      <c r="B1601" s="1" t="s">
        <v>5</v>
      </c>
      <c r="C1601" s="1" t="s">
        <v>1575</v>
      </c>
      <c r="D1601" s="1" t="s">
        <v>1582</v>
      </c>
      <c r="E1601" s="1" t="s">
        <v>2019</v>
      </c>
      <c r="F1601" s="1" t="s">
        <v>2068</v>
      </c>
      <c r="G1601" s="4">
        <v>0.25</v>
      </c>
      <c r="H1601" s="28">
        <v>44196</v>
      </c>
      <c r="I1601" s="29">
        <f t="shared" si="2172"/>
        <v>2020</v>
      </c>
      <c r="J1601" s="1" t="s">
        <v>6005</v>
      </c>
      <c r="K1601" s="1" t="s">
        <v>7</v>
      </c>
      <c r="L1601" s="11" t="str">
        <f t="shared" si="2072"/>
        <v>НЕТ</v>
      </c>
      <c r="M1601" s="10" t="s">
        <v>1575</v>
      </c>
      <c r="N1601" s="10" t="s">
        <v>1575</v>
      </c>
      <c r="O1601" s="10">
        <v>5.1109999999999998</v>
      </c>
      <c r="P1601" s="10">
        <f t="shared" si="2140"/>
        <v>20.443999999999999</v>
      </c>
      <c r="Q1601" s="10" t="str">
        <f t="shared" si="2141"/>
        <v>NA</v>
      </c>
      <c r="R1601" s="10" t="s">
        <v>1575</v>
      </c>
      <c r="S1601" s="10" t="s">
        <v>1575</v>
      </c>
      <c r="T1601" s="10" t="s">
        <v>1575</v>
      </c>
      <c r="U1601" s="10" t="s">
        <v>1575</v>
      </c>
      <c r="V1601" s="10">
        <v>2.9750000000000001</v>
      </c>
      <c r="W1601" s="10" t="s">
        <v>1575</v>
      </c>
      <c r="X1601" s="10" t="str">
        <f t="shared" si="2143"/>
        <v>NA</v>
      </c>
      <c r="Y1601" s="10" t="str">
        <f t="shared" si="2144"/>
        <v>NA</v>
      </c>
      <c r="Z1601" s="10" t="str">
        <f t="shared" si="2145"/>
        <v>NA</v>
      </c>
      <c r="AA1601" s="10">
        <f t="shared" si="2146"/>
        <v>6.8719327731092434</v>
      </c>
      <c r="AB1601" s="10" t="str">
        <f t="shared" si="2147"/>
        <v>NA</v>
      </c>
      <c r="AC1601" s="10" t="str">
        <f t="shared" si="2148"/>
        <v>NA</v>
      </c>
      <c r="AD1601" s="10" t="str">
        <f t="shared" si="2149"/>
        <v>NA</v>
      </c>
      <c r="AE1601" s="10" t="str">
        <f t="shared" si="2150"/>
        <v>NA</v>
      </c>
      <c r="AF1601" s="1" t="s">
        <v>2067</v>
      </c>
    </row>
    <row r="1602" spans="1:32" x14ac:dyDescent="0.2">
      <c r="A1602" s="1" t="s">
        <v>3202</v>
      </c>
      <c r="B1602" s="1" t="s">
        <v>5</v>
      </c>
      <c r="C1602" s="1" t="s">
        <v>3240</v>
      </c>
      <c r="D1602" s="1" t="s">
        <v>1813</v>
      </c>
      <c r="E1602" s="1" t="s">
        <v>3101</v>
      </c>
      <c r="F1602" s="1" t="s">
        <v>2062</v>
      </c>
      <c r="G1602" s="4">
        <v>0.24299999999999999</v>
      </c>
      <c r="H1602" s="28">
        <v>43746</v>
      </c>
      <c r="I1602" s="29">
        <f t="shared" si="2172"/>
        <v>2019</v>
      </c>
      <c r="J1602" s="1" t="s">
        <v>3279</v>
      </c>
      <c r="K1602" s="1" t="s">
        <v>6005</v>
      </c>
      <c r="L1602" s="11" t="str">
        <f t="shared" si="2072"/>
        <v>НЕТ</v>
      </c>
      <c r="M1602" s="10" t="s">
        <v>1575</v>
      </c>
      <c r="N1602" s="10" t="s">
        <v>1575</v>
      </c>
      <c r="O1602" s="10">
        <v>35.942</v>
      </c>
      <c r="P1602" s="10">
        <f t="shared" si="2140"/>
        <v>147.90946502057614</v>
      </c>
      <c r="Q1602" s="10">
        <f t="shared" si="2141"/>
        <v>144.94046502057614</v>
      </c>
      <c r="R1602" s="10">
        <v>66.105000000000004</v>
      </c>
      <c r="S1602" s="10">
        <v>1.3299999999999983</v>
      </c>
      <c r="T1602" s="10">
        <v>-8.3350000000000009</v>
      </c>
      <c r="U1602" s="10">
        <v>-8.0630000000000006</v>
      </c>
      <c r="V1602" s="10">
        <v>164.97499999999999</v>
      </c>
      <c r="W1602" s="10">
        <v>-2.9690000000000007</v>
      </c>
      <c r="X1602" s="10">
        <f t="shared" si="2143"/>
        <v>162.006</v>
      </c>
      <c r="Y1602" s="10">
        <f t="shared" si="2144"/>
        <v>2.237492852591727</v>
      </c>
      <c r="Z1602" s="10">
        <f t="shared" si="2145"/>
        <v>-18.344222376358196</v>
      </c>
      <c r="AA1602" s="10">
        <f t="shared" si="2146"/>
        <v>0.89655684207047215</v>
      </c>
      <c r="AB1602" s="10">
        <f t="shared" si="2147"/>
        <v>2.1925794572358539</v>
      </c>
      <c r="AC1602" s="10">
        <f t="shared" si="2148"/>
        <v>108.97779324855362</v>
      </c>
      <c r="AD1602" s="10">
        <f t="shared" si="2149"/>
        <v>-17.389377926883757</v>
      </c>
      <c r="AE1602" s="10">
        <f t="shared" si="2150"/>
        <v>0.89466109292604068</v>
      </c>
      <c r="AF1602" s="1" t="s">
        <v>2073</v>
      </c>
    </row>
    <row r="1603" spans="1:32" x14ac:dyDescent="0.2">
      <c r="A1603" s="1" t="s">
        <v>6012</v>
      </c>
      <c r="B1603" s="1" t="s">
        <v>5</v>
      </c>
      <c r="C1603" s="1" t="s">
        <v>1575</v>
      </c>
      <c r="D1603" s="1" t="s">
        <v>1615</v>
      </c>
      <c r="E1603" s="1" t="s">
        <v>3089</v>
      </c>
      <c r="F1603" s="1" t="s">
        <v>2072</v>
      </c>
      <c r="G1603" s="4">
        <v>5.8700000000000002E-2</v>
      </c>
      <c r="H1603" s="28">
        <v>43799</v>
      </c>
      <c r="I1603" s="29">
        <f t="shared" si="2172"/>
        <v>2019</v>
      </c>
      <c r="J1603" s="1" t="s">
        <v>7</v>
      </c>
      <c r="K1603" s="1" t="s">
        <v>6005</v>
      </c>
      <c r="L1603" s="11" t="str">
        <f t="shared" si="2072"/>
        <v>НЕТ</v>
      </c>
      <c r="M1603" s="10" t="s">
        <v>1575</v>
      </c>
      <c r="N1603" s="10" t="s">
        <v>1575</v>
      </c>
      <c r="O1603" s="10">
        <v>0.96199999999999997</v>
      </c>
      <c r="P1603" s="10">
        <f t="shared" ref="P1603:P1666" si="2273">IFERROR(O1603/G1603,"NA")</f>
        <v>16.388415672913116</v>
      </c>
      <c r="Q1603" s="10" t="str">
        <f t="shared" ref="Q1603:Q1666" si="2274">IFERROR(P1603+W1603,"NA")</f>
        <v>NA</v>
      </c>
      <c r="R1603" s="10" t="s">
        <v>1575</v>
      </c>
      <c r="S1603" s="10" t="s">
        <v>1575</v>
      </c>
      <c r="T1603" s="10" t="s">
        <v>1575</v>
      </c>
      <c r="U1603" s="10" t="s">
        <v>1575</v>
      </c>
      <c r="V1603" s="10" t="s">
        <v>1575</v>
      </c>
      <c r="W1603" s="10" t="s">
        <v>1575</v>
      </c>
      <c r="X1603" s="10" t="str">
        <f t="shared" si="2143"/>
        <v>NA</v>
      </c>
      <c r="Y1603" s="10" t="str">
        <f t="shared" si="2144"/>
        <v>NA</v>
      </c>
      <c r="Z1603" s="10" t="str">
        <f t="shared" si="2145"/>
        <v>NA</v>
      </c>
      <c r="AA1603" s="10" t="str">
        <f t="shared" si="2146"/>
        <v>NA</v>
      </c>
      <c r="AB1603" s="10" t="str">
        <f t="shared" si="2147"/>
        <v>NA</v>
      </c>
      <c r="AC1603" s="10" t="str">
        <f t="shared" si="2148"/>
        <v>NA</v>
      </c>
      <c r="AD1603" s="10" t="str">
        <f t="shared" si="2149"/>
        <v>NA</v>
      </c>
      <c r="AE1603" s="10" t="str">
        <f t="shared" si="2150"/>
        <v>NA</v>
      </c>
      <c r="AF1603" s="1" t="s">
        <v>2071</v>
      </c>
    </row>
    <row r="1604" spans="1:32" x14ac:dyDescent="0.2">
      <c r="A1604" s="1" t="s">
        <v>6013</v>
      </c>
      <c r="B1604" s="1" t="s">
        <v>5</v>
      </c>
      <c r="C1604" s="1" t="s">
        <v>1575</v>
      </c>
      <c r="D1604" s="1" t="s">
        <v>1578</v>
      </c>
      <c r="E1604" s="16" t="s">
        <v>9250</v>
      </c>
      <c r="F1604" s="1" t="s">
        <v>1909</v>
      </c>
      <c r="G1604" s="4" t="s">
        <v>673</v>
      </c>
      <c r="H1604" s="28">
        <v>43251</v>
      </c>
      <c r="I1604" s="29">
        <f t="shared" si="2172"/>
        <v>2018</v>
      </c>
      <c r="J1604" s="1" t="s">
        <v>6005</v>
      </c>
      <c r="K1604" s="1" t="s">
        <v>7</v>
      </c>
      <c r="L1604" s="11" t="str">
        <f t="shared" si="2072"/>
        <v>НЕТ</v>
      </c>
      <c r="M1604" s="10" t="s">
        <v>1575</v>
      </c>
      <c r="N1604" s="10" t="s">
        <v>1575</v>
      </c>
      <c r="O1604" s="10">
        <v>15.44</v>
      </c>
      <c r="P1604" s="10" t="str">
        <f t="shared" si="2273"/>
        <v>NA</v>
      </c>
      <c r="Q1604" s="10" t="str">
        <f t="shared" si="2274"/>
        <v>NA</v>
      </c>
      <c r="R1604" s="10" t="s">
        <v>1575</v>
      </c>
      <c r="S1604" s="10" t="s">
        <v>1575</v>
      </c>
      <c r="T1604" s="10" t="s">
        <v>1575</v>
      </c>
      <c r="U1604" s="10" t="s">
        <v>1575</v>
      </c>
      <c r="V1604" s="10">
        <v>22.109000000000002</v>
      </c>
      <c r="W1604" s="10" t="s">
        <v>1575</v>
      </c>
      <c r="X1604" s="10" t="str">
        <f t="shared" si="2143"/>
        <v>NA</v>
      </c>
      <c r="Y1604" s="10" t="str">
        <f t="shared" si="2144"/>
        <v>NA</v>
      </c>
      <c r="Z1604" s="10" t="str">
        <f t="shared" si="2145"/>
        <v>NA</v>
      </c>
      <c r="AA1604" s="10" t="str">
        <f t="shared" si="2146"/>
        <v>NA</v>
      </c>
      <c r="AB1604" s="10" t="str">
        <f t="shared" si="2147"/>
        <v>NA</v>
      </c>
      <c r="AC1604" s="10" t="str">
        <f t="shared" si="2148"/>
        <v>NA</v>
      </c>
      <c r="AD1604" s="10" t="str">
        <f t="shared" si="2149"/>
        <v>NA</v>
      </c>
      <c r="AE1604" s="10" t="str">
        <f t="shared" si="2150"/>
        <v>NA</v>
      </c>
      <c r="AF1604" s="1" t="s">
        <v>2074</v>
      </c>
    </row>
    <row r="1605" spans="1:32" x14ac:dyDescent="0.2">
      <c r="A1605" s="1" t="s">
        <v>6008</v>
      </c>
      <c r="B1605" s="1" t="s">
        <v>5</v>
      </c>
      <c r="C1605" s="1" t="s">
        <v>1575</v>
      </c>
      <c r="D1605" s="1" t="s">
        <v>1813</v>
      </c>
      <c r="E1605" s="1" t="s">
        <v>3101</v>
      </c>
      <c r="F1605" s="1" t="s">
        <v>2062</v>
      </c>
      <c r="G1605" s="4">
        <v>0.55000000000000004</v>
      </c>
      <c r="H1605" s="28">
        <v>43281</v>
      </c>
      <c r="I1605" s="29">
        <f t="shared" si="2172"/>
        <v>2018</v>
      </c>
      <c r="J1605" s="1" t="s">
        <v>6014</v>
      </c>
      <c r="K1605" s="1" t="s">
        <v>6005</v>
      </c>
      <c r="L1605" s="11" t="str">
        <f t="shared" si="2072"/>
        <v>НЕТ</v>
      </c>
      <c r="M1605" s="10">
        <v>247.5</v>
      </c>
      <c r="N1605" s="10" t="s">
        <v>1575</v>
      </c>
      <c r="O1605" s="10">
        <v>15.51</v>
      </c>
      <c r="P1605" s="10">
        <f t="shared" si="2273"/>
        <v>28.199999999999996</v>
      </c>
      <c r="Q1605" s="10" t="str">
        <f t="shared" si="2274"/>
        <v>NA</v>
      </c>
      <c r="R1605" s="10">
        <v>51.5</v>
      </c>
      <c r="S1605" s="10" t="s">
        <v>1575</v>
      </c>
      <c r="T1605" s="10" t="s">
        <v>1575</v>
      </c>
      <c r="U1605" s="10">
        <v>0.442</v>
      </c>
      <c r="V1605" s="10">
        <v>47.027999999999999</v>
      </c>
      <c r="W1605" s="10" t="s">
        <v>1575</v>
      </c>
      <c r="X1605" s="10" t="str">
        <f t="shared" si="2143"/>
        <v>NA</v>
      </c>
      <c r="Y1605" s="10">
        <f t="shared" si="2144"/>
        <v>0.54757281553398052</v>
      </c>
      <c r="Z1605" s="10">
        <f t="shared" si="2145"/>
        <v>63.800904977375552</v>
      </c>
      <c r="AA1605" s="10">
        <f t="shared" si="2146"/>
        <v>0.5996427660117376</v>
      </c>
      <c r="AB1605" s="10" t="str">
        <f t="shared" si="2147"/>
        <v>NA</v>
      </c>
      <c r="AC1605" s="10" t="str">
        <f t="shared" si="2148"/>
        <v>NA</v>
      </c>
      <c r="AD1605" s="10" t="str">
        <f t="shared" si="2149"/>
        <v>NA</v>
      </c>
      <c r="AE1605" s="10" t="str">
        <f t="shared" si="2150"/>
        <v>NA</v>
      </c>
      <c r="AF1605" s="1" t="s">
        <v>2077</v>
      </c>
    </row>
    <row r="1606" spans="1:32" x14ac:dyDescent="0.2">
      <c r="A1606" s="1" t="s">
        <v>6015</v>
      </c>
      <c r="B1606" s="1" t="s">
        <v>5</v>
      </c>
      <c r="C1606" s="1" t="s">
        <v>1575</v>
      </c>
      <c r="D1606" s="1" t="s">
        <v>1813</v>
      </c>
      <c r="E1606" s="1" t="s">
        <v>1587</v>
      </c>
      <c r="F1606" s="1" t="s">
        <v>2076</v>
      </c>
      <c r="G1606" s="4">
        <v>1</v>
      </c>
      <c r="H1606" s="28">
        <v>43281</v>
      </c>
      <c r="I1606" s="29">
        <f t="shared" si="2172"/>
        <v>2018</v>
      </c>
      <c r="J1606" s="1" t="s">
        <v>6005</v>
      </c>
      <c r="K1606" s="1" t="s">
        <v>7</v>
      </c>
      <c r="L1606" s="11" t="str">
        <f t="shared" si="2072"/>
        <v>НЕТ</v>
      </c>
      <c r="M1606" s="10" t="s">
        <v>1575</v>
      </c>
      <c r="N1606" s="10" t="s">
        <v>1575</v>
      </c>
      <c r="O1606" s="10">
        <v>0.53</v>
      </c>
      <c r="P1606" s="10">
        <f t="shared" si="2273"/>
        <v>0.53</v>
      </c>
      <c r="Q1606" s="10" t="str">
        <f t="shared" si="2274"/>
        <v>NA</v>
      </c>
      <c r="R1606" s="10" t="s">
        <v>1575</v>
      </c>
      <c r="S1606" s="10" t="s">
        <v>1575</v>
      </c>
      <c r="T1606" s="10" t="s">
        <v>1575</v>
      </c>
      <c r="U1606" s="10" t="s">
        <v>1575</v>
      </c>
      <c r="V1606" s="10" t="s">
        <v>1575</v>
      </c>
      <c r="W1606" s="10" t="s">
        <v>1575</v>
      </c>
      <c r="X1606" s="10" t="str">
        <f t="shared" si="2143"/>
        <v>NA</v>
      </c>
      <c r="Y1606" s="10" t="str">
        <f t="shared" si="2144"/>
        <v>NA</v>
      </c>
      <c r="Z1606" s="10" t="str">
        <f t="shared" si="2145"/>
        <v>NA</v>
      </c>
      <c r="AA1606" s="10" t="str">
        <f t="shared" si="2146"/>
        <v>NA</v>
      </c>
      <c r="AB1606" s="10" t="str">
        <f t="shared" si="2147"/>
        <v>NA</v>
      </c>
      <c r="AC1606" s="10" t="str">
        <f t="shared" si="2148"/>
        <v>NA</v>
      </c>
      <c r="AD1606" s="10" t="str">
        <f t="shared" si="2149"/>
        <v>NA</v>
      </c>
      <c r="AE1606" s="10" t="str">
        <f t="shared" si="2150"/>
        <v>NA</v>
      </c>
      <c r="AF1606" s="1" t="s">
        <v>2075</v>
      </c>
    </row>
    <row r="1607" spans="1:32" x14ac:dyDescent="0.2">
      <c r="A1607" s="1" t="s">
        <v>6012</v>
      </c>
      <c r="B1607" s="1" t="s">
        <v>5</v>
      </c>
      <c r="C1607" s="1" t="s">
        <v>1575</v>
      </c>
      <c r="D1607" s="1" t="s">
        <v>1615</v>
      </c>
      <c r="E1607" s="1" t="s">
        <v>3089</v>
      </c>
      <c r="F1607" s="1" t="s">
        <v>2072</v>
      </c>
      <c r="G1607" s="4">
        <f>18.37%</f>
        <v>0.1837</v>
      </c>
      <c r="H1607" s="28">
        <v>43220</v>
      </c>
      <c r="I1607" s="29">
        <f t="shared" si="2172"/>
        <v>2018</v>
      </c>
      <c r="J1607" s="1" t="s">
        <v>6016</v>
      </c>
      <c r="K1607" s="1" t="s">
        <v>7</v>
      </c>
      <c r="L1607" s="11" t="str">
        <f t="shared" si="2072"/>
        <v>НЕТ</v>
      </c>
      <c r="M1607" s="10" t="s">
        <v>1575</v>
      </c>
      <c r="N1607" s="10" t="s">
        <v>1575</v>
      </c>
      <c r="O1607" s="10">
        <v>0.61799999999999999</v>
      </c>
      <c r="P1607" s="10">
        <f t="shared" si="2273"/>
        <v>3.3641807294501906</v>
      </c>
      <c r="Q1607" s="10" t="str">
        <f t="shared" si="2274"/>
        <v>NA</v>
      </c>
      <c r="R1607" s="10" t="s">
        <v>1575</v>
      </c>
      <c r="S1607" s="10" t="s">
        <v>1575</v>
      </c>
      <c r="T1607" s="10" t="s">
        <v>1575</v>
      </c>
      <c r="U1607" s="10" t="s">
        <v>1575</v>
      </c>
      <c r="V1607" s="10" t="s">
        <v>1575</v>
      </c>
      <c r="W1607" s="10" t="s">
        <v>1575</v>
      </c>
      <c r="X1607" s="10" t="str">
        <f t="shared" si="2143"/>
        <v>NA</v>
      </c>
      <c r="Y1607" s="10" t="str">
        <f t="shared" si="2144"/>
        <v>NA</v>
      </c>
      <c r="Z1607" s="10" t="str">
        <f t="shared" si="2145"/>
        <v>NA</v>
      </c>
      <c r="AA1607" s="10" t="str">
        <f t="shared" si="2146"/>
        <v>NA</v>
      </c>
      <c r="AB1607" s="10" t="str">
        <f t="shared" si="2147"/>
        <v>NA</v>
      </c>
      <c r="AC1607" s="10" t="str">
        <f t="shared" si="2148"/>
        <v>NA</v>
      </c>
      <c r="AD1607" s="10" t="str">
        <f t="shared" si="2149"/>
        <v>NA</v>
      </c>
      <c r="AE1607" s="10" t="str">
        <f t="shared" si="2150"/>
        <v>NA</v>
      </c>
      <c r="AF1607" s="1" t="s">
        <v>2078</v>
      </c>
    </row>
    <row r="1608" spans="1:32" x14ac:dyDescent="0.2">
      <c r="A1608" s="1" t="s">
        <v>6017</v>
      </c>
      <c r="B1608" s="1" t="s">
        <v>5</v>
      </c>
      <c r="C1608" s="1" t="s">
        <v>1575</v>
      </c>
      <c r="D1608" s="1" t="s">
        <v>1813</v>
      </c>
      <c r="E1608" s="1" t="s">
        <v>1698</v>
      </c>
      <c r="F1608" s="1" t="s">
        <v>255</v>
      </c>
      <c r="G1608" s="4" t="s">
        <v>11</v>
      </c>
      <c r="H1608" s="28">
        <v>43281</v>
      </c>
      <c r="I1608" s="29">
        <f t="shared" si="2172"/>
        <v>2018</v>
      </c>
      <c r="J1608" s="1" t="s">
        <v>6018</v>
      </c>
      <c r="K1608" s="1" t="s">
        <v>7</v>
      </c>
      <c r="L1608" s="11" t="str">
        <f t="shared" si="2072"/>
        <v>НЕТ</v>
      </c>
      <c r="M1608" s="10" t="s">
        <v>1575</v>
      </c>
      <c r="N1608" s="10" t="s">
        <v>1575</v>
      </c>
      <c r="O1608" s="10">
        <v>2.6080000000000001</v>
      </c>
      <c r="P1608" s="10" t="str">
        <f t="shared" si="2273"/>
        <v>NA</v>
      </c>
      <c r="Q1608" s="10" t="str">
        <f t="shared" si="2274"/>
        <v>NA</v>
      </c>
      <c r="R1608" s="10" t="s">
        <v>1575</v>
      </c>
      <c r="S1608" s="10" t="s">
        <v>1575</v>
      </c>
      <c r="T1608" s="10" t="s">
        <v>1575</v>
      </c>
      <c r="U1608" s="10" t="s">
        <v>1575</v>
      </c>
      <c r="V1608" s="10">
        <v>0.57199999999999995</v>
      </c>
      <c r="W1608" s="10" t="s">
        <v>1575</v>
      </c>
      <c r="X1608" s="10" t="str">
        <f t="shared" si="2143"/>
        <v>NA</v>
      </c>
      <c r="Y1608" s="10" t="str">
        <f t="shared" si="2144"/>
        <v>NA</v>
      </c>
      <c r="Z1608" s="10" t="str">
        <f t="shared" si="2145"/>
        <v>NA</v>
      </c>
      <c r="AA1608" s="10" t="str">
        <f t="shared" si="2146"/>
        <v>NA</v>
      </c>
      <c r="AB1608" s="10" t="str">
        <f t="shared" si="2147"/>
        <v>NA</v>
      </c>
      <c r="AC1608" s="10" t="str">
        <f t="shared" si="2148"/>
        <v>NA</v>
      </c>
      <c r="AD1608" s="10" t="str">
        <f t="shared" si="2149"/>
        <v>NA</v>
      </c>
      <c r="AE1608" s="10" t="str">
        <f t="shared" si="2150"/>
        <v>NA</v>
      </c>
      <c r="AF1608" s="1" t="s">
        <v>2080</v>
      </c>
    </row>
    <row r="1609" spans="1:32" x14ac:dyDescent="0.2">
      <c r="A1609" s="1" t="s">
        <v>3202</v>
      </c>
      <c r="B1609" s="1" t="s">
        <v>5</v>
      </c>
      <c r="C1609" s="1" t="s">
        <v>3240</v>
      </c>
      <c r="D1609" s="1" t="s">
        <v>1813</v>
      </c>
      <c r="E1609" s="1" t="s">
        <v>3101</v>
      </c>
      <c r="F1609" s="1" t="s">
        <v>3102</v>
      </c>
      <c r="G1609" s="4">
        <v>0.152</v>
      </c>
      <c r="H1609" s="28">
        <v>42775</v>
      </c>
      <c r="I1609" s="29">
        <f t="shared" si="2172"/>
        <v>2017</v>
      </c>
      <c r="J1609" s="1" t="s">
        <v>6005</v>
      </c>
      <c r="K1609" s="1" t="s">
        <v>7</v>
      </c>
      <c r="L1609" s="11" t="str">
        <f t="shared" si="2072"/>
        <v>НЕТ</v>
      </c>
      <c r="M1609" s="10">
        <v>740</v>
      </c>
      <c r="N1609" s="10" t="s">
        <v>1575</v>
      </c>
      <c r="O1609" s="10">
        <v>44.04</v>
      </c>
      <c r="P1609" s="10">
        <f t="shared" si="2273"/>
        <v>289.73684210526318</v>
      </c>
      <c r="Q1609" s="10" t="str">
        <f t="shared" si="2274"/>
        <v>NA</v>
      </c>
      <c r="R1609" s="10" t="s">
        <v>1575</v>
      </c>
      <c r="S1609" s="10" t="s">
        <v>1575</v>
      </c>
      <c r="T1609" s="10" t="s">
        <v>1575</v>
      </c>
      <c r="U1609" s="10" t="s">
        <v>1575</v>
      </c>
      <c r="V1609" s="10">
        <v>57.100999999999999</v>
      </c>
      <c r="W1609" s="10" t="s">
        <v>1575</v>
      </c>
      <c r="X1609" s="10" t="str">
        <f t="shared" si="2143"/>
        <v>NA</v>
      </c>
      <c r="Y1609" s="10" t="str">
        <f t="shared" si="2144"/>
        <v>NA</v>
      </c>
      <c r="Z1609" s="10" t="str">
        <f t="shared" si="2145"/>
        <v>NA</v>
      </c>
      <c r="AA1609" s="10">
        <f t="shared" si="2146"/>
        <v>5.0741115235330936</v>
      </c>
      <c r="AB1609" s="10" t="str">
        <f t="shared" si="2147"/>
        <v>NA</v>
      </c>
      <c r="AC1609" s="10" t="str">
        <f t="shared" si="2148"/>
        <v>NA</v>
      </c>
      <c r="AD1609" s="10" t="str">
        <f t="shared" si="2149"/>
        <v>NA</v>
      </c>
      <c r="AE1609" s="10" t="str">
        <f t="shared" si="2150"/>
        <v>NA</v>
      </c>
      <c r="AF1609" s="1" t="s">
        <v>2081</v>
      </c>
    </row>
    <row r="1610" spans="1:32" x14ac:dyDescent="0.2">
      <c r="A1610" s="1" t="s">
        <v>2082</v>
      </c>
      <c r="B1610" s="1" t="s">
        <v>5</v>
      </c>
      <c r="C1610" s="1" t="s">
        <v>1575</v>
      </c>
      <c r="D1610" s="1" t="s">
        <v>1582</v>
      </c>
      <c r="E1610" s="1" t="s">
        <v>2084</v>
      </c>
      <c r="F1610" s="1" t="s">
        <v>2083</v>
      </c>
      <c r="G1610" s="4">
        <v>0.90090000000000003</v>
      </c>
      <c r="H1610" s="28">
        <v>42886</v>
      </c>
      <c r="I1610" s="29">
        <f t="shared" si="2172"/>
        <v>2017</v>
      </c>
      <c r="J1610" s="1" t="s">
        <v>6019</v>
      </c>
      <c r="K1610" s="1" t="s">
        <v>7</v>
      </c>
      <c r="L1610" s="11" t="str">
        <f t="shared" ref="L1610:L1714" si="2275">IF(OR(A1610=J1610,A1610=K1610),"ДА","НЕТ")</f>
        <v>НЕТ</v>
      </c>
      <c r="M1610" s="10" t="s">
        <v>1575</v>
      </c>
      <c r="N1610" s="10" t="s">
        <v>1575</v>
      </c>
      <c r="O1610" s="10">
        <v>1.042</v>
      </c>
      <c r="P1610" s="10">
        <f t="shared" si="2273"/>
        <v>1.1566211566211566</v>
      </c>
      <c r="Q1610" s="10">
        <f t="shared" si="2274"/>
        <v>1.1426211566211566</v>
      </c>
      <c r="R1610" s="10" t="s">
        <v>1575</v>
      </c>
      <c r="S1610" s="10" t="s">
        <v>1575</v>
      </c>
      <c r="T1610" s="10" t="s">
        <v>1575</v>
      </c>
      <c r="U1610" s="10" t="s">
        <v>1575</v>
      </c>
      <c r="V1610" s="10">
        <v>0.121</v>
      </c>
      <c r="W1610" s="10">
        <f>0.01-0.024</f>
        <v>-1.4E-2</v>
      </c>
      <c r="X1610" s="10">
        <f t="shared" si="2143"/>
        <v>0.107</v>
      </c>
      <c r="Y1610" s="10" t="str">
        <f t="shared" si="2144"/>
        <v>NA</v>
      </c>
      <c r="Z1610" s="10" t="str">
        <f t="shared" si="2145"/>
        <v>NA</v>
      </c>
      <c r="AA1610" s="10">
        <f t="shared" si="2146"/>
        <v>9.5588525340591453</v>
      </c>
      <c r="AB1610" s="10" t="str">
        <f t="shared" si="2147"/>
        <v>NA</v>
      </c>
      <c r="AC1610" s="10" t="str">
        <f t="shared" si="2148"/>
        <v>NA</v>
      </c>
      <c r="AD1610" s="10" t="str">
        <f t="shared" si="2149"/>
        <v>NA</v>
      </c>
      <c r="AE1610" s="10">
        <f t="shared" si="2150"/>
        <v>10.678702398328566</v>
      </c>
      <c r="AF1610" s="1" t="s">
        <v>3271</v>
      </c>
    </row>
    <row r="1611" spans="1:32" x14ac:dyDescent="0.2">
      <c r="A1611" s="1" t="s">
        <v>2086</v>
      </c>
      <c r="B1611" s="1" t="s">
        <v>5</v>
      </c>
      <c r="C1611" s="1" t="s">
        <v>1575</v>
      </c>
      <c r="D1611" s="1" t="s">
        <v>1813</v>
      </c>
      <c r="E1611" s="1" t="s">
        <v>1821</v>
      </c>
      <c r="F1611" s="1" t="s">
        <v>2085</v>
      </c>
      <c r="G1611" s="4" t="s">
        <v>11</v>
      </c>
      <c r="H1611" s="28">
        <v>42886</v>
      </c>
      <c r="I1611" s="29">
        <f t="shared" si="2172"/>
        <v>2017</v>
      </c>
      <c r="J1611" s="1" t="s">
        <v>6019</v>
      </c>
      <c r="K1611" s="1" t="s">
        <v>3277</v>
      </c>
      <c r="L1611" s="11" t="str">
        <f t="shared" si="2275"/>
        <v>НЕТ</v>
      </c>
      <c r="M1611" s="10" t="s">
        <v>1575</v>
      </c>
      <c r="N1611" s="10" t="s">
        <v>1575</v>
      </c>
      <c r="O1611" s="10">
        <v>0.54200000000000004</v>
      </c>
      <c r="P1611" s="10" t="str">
        <f t="shared" si="2273"/>
        <v>NA</v>
      </c>
      <c r="Q1611" s="10" t="str">
        <f t="shared" si="2274"/>
        <v>NA</v>
      </c>
      <c r="R1611" s="10" t="s">
        <v>1575</v>
      </c>
      <c r="S1611" s="10" t="s">
        <v>1575</v>
      </c>
      <c r="T1611" s="10" t="s">
        <v>1575</v>
      </c>
      <c r="U1611" s="10" t="s">
        <v>1575</v>
      </c>
      <c r="V1611" s="10" t="s">
        <v>1575</v>
      </c>
      <c r="W1611" s="10" t="s">
        <v>1575</v>
      </c>
      <c r="X1611" s="10" t="str">
        <f t="shared" si="2143"/>
        <v>NA</v>
      </c>
      <c r="Y1611" s="10" t="str">
        <f t="shared" si="2144"/>
        <v>NA</v>
      </c>
      <c r="Z1611" s="10" t="str">
        <f t="shared" si="2145"/>
        <v>NA</v>
      </c>
      <c r="AA1611" s="10" t="str">
        <f t="shared" si="2146"/>
        <v>NA</v>
      </c>
      <c r="AB1611" s="10" t="str">
        <f t="shared" si="2147"/>
        <v>NA</v>
      </c>
      <c r="AC1611" s="10" t="str">
        <f t="shared" si="2148"/>
        <v>NA</v>
      </c>
      <c r="AD1611" s="10" t="str">
        <f t="shared" si="2149"/>
        <v>NA</v>
      </c>
      <c r="AE1611" s="10" t="str">
        <f t="shared" si="2150"/>
        <v>NA</v>
      </c>
      <c r="AF1611" s="1" t="s">
        <v>3276</v>
      </c>
    </row>
    <row r="1612" spans="1:32" x14ac:dyDescent="0.2">
      <c r="A1612" s="1" t="s">
        <v>6020</v>
      </c>
      <c r="B1612" s="1" t="s">
        <v>5</v>
      </c>
      <c r="C1612" s="1" t="s">
        <v>1575</v>
      </c>
      <c r="D1612" s="1" t="s">
        <v>1595</v>
      </c>
      <c r="E1612" s="16" t="s">
        <v>9208</v>
      </c>
      <c r="F1612" s="1" t="s">
        <v>286</v>
      </c>
      <c r="G1612" s="4">
        <v>1</v>
      </c>
      <c r="H1612" s="28">
        <v>42735</v>
      </c>
      <c r="I1612" s="29">
        <f t="shared" si="2172"/>
        <v>2016</v>
      </c>
      <c r="J1612" s="1" t="s">
        <v>6005</v>
      </c>
      <c r="K1612" s="1" t="s">
        <v>7</v>
      </c>
      <c r="L1612" s="11" t="str">
        <f t="shared" si="2275"/>
        <v>НЕТ</v>
      </c>
      <c r="M1612" s="10" t="s">
        <v>1575</v>
      </c>
      <c r="N1612" s="10" t="s">
        <v>1575</v>
      </c>
      <c r="O1612" s="10">
        <v>6.2E-2</v>
      </c>
      <c r="P1612" s="10">
        <f t="shared" si="2273"/>
        <v>6.2E-2</v>
      </c>
      <c r="Q1612" s="10" t="str">
        <f t="shared" si="2274"/>
        <v>NA</v>
      </c>
      <c r="R1612" s="10" t="s">
        <v>1575</v>
      </c>
      <c r="S1612" s="10" t="s">
        <v>1575</v>
      </c>
      <c r="T1612" s="10" t="s">
        <v>1575</v>
      </c>
      <c r="U1612" s="10" t="s">
        <v>1575</v>
      </c>
      <c r="V1612" s="10" t="s">
        <v>1575</v>
      </c>
      <c r="W1612" s="10" t="s">
        <v>1575</v>
      </c>
      <c r="X1612" s="10" t="str">
        <f t="shared" si="2143"/>
        <v>NA</v>
      </c>
      <c r="Y1612" s="10" t="str">
        <f t="shared" si="2144"/>
        <v>NA</v>
      </c>
      <c r="Z1612" s="10" t="str">
        <f t="shared" si="2145"/>
        <v>NA</v>
      </c>
      <c r="AA1612" s="10" t="str">
        <f t="shared" si="2146"/>
        <v>NA</v>
      </c>
      <c r="AB1612" s="10" t="str">
        <f t="shared" si="2147"/>
        <v>NA</v>
      </c>
      <c r="AC1612" s="10" t="str">
        <f t="shared" si="2148"/>
        <v>NA</v>
      </c>
      <c r="AD1612" s="10" t="str">
        <f t="shared" si="2149"/>
        <v>NA</v>
      </c>
      <c r="AE1612" s="10" t="str">
        <f t="shared" si="2150"/>
        <v>NA</v>
      </c>
      <c r="AF1612" s="1" t="s">
        <v>2087</v>
      </c>
    </row>
    <row r="1613" spans="1:32" x14ac:dyDescent="0.2">
      <c r="A1613" s="1" t="s">
        <v>6021</v>
      </c>
      <c r="B1613" s="1" t="s">
        <v>5</v>
      </c>
      <c r="C1613" s="1" t="s">
        <v>1575</v>
      </c>
      <c r="D1613" s="1" t="s">
        <v>1584</v>
      </c>
      <c r="E1613" s="1" t="s">
        <v>1587</v>
      </c>
      <c r="F1613" s="1" t="s">
        <v>2060</v>
      </c>
      <c r="G1613" s="9">
        <v>0.49998999999999999</v>
      </c>
      <c r="H1613" s="28">
        <v>42286</v>
      </c>
      <c r="I1613" s="29">
        <f t="shared" si="2172"/>
        <v>2015</v>
      </c>
      <c r="J1613" s="1" t="s">
        <v>6005</v>
      </c>
      <c r="K1613" s="1" t="s">
        <v>7</v>
      </c>
      <c r="L1613" s="11" t="str">
        <f t="shared" si="2275"/>
        <v>НЕТ</v>
      </c>
      <c r="M1613" s="10">
        <v>282</v>
      </c>
      <c r="N1613" s="10" t="s">
        <v>1575</v>
      </c>
      <c r="O1613" s="10">
        <v>17.55</v>
      </c>
      <c r="P1613" s="10">
        <f t="shared" si="2273"/>
        <v>35.10070201404028</v>
      </c>
      <c r="Q1613" s="10" t="str">
        <f t="shared" si="2274"/>
        <v>NA</v>
      </c>
      <c r="R1613" s="10" t="s">
        <v>1575</v>
      </c>
      <c r="S1613" s="10" t="s">
        <v>1575</v>
      </c>
      <c r="T1613" s="10" t="s">
        <v>1575</v>
      </c>
      <c r="U1613" s="10" t="s">
        <v>1575</v>
      </c>
      <c r="V1613" s="10">
        <v>19.193999999999999</v>
      </c>
      <c r="W1613" s="10" t="s">
        <v>1575</v>
      </c>
      <c r="X1613" s="10" t="str">
        <f t="shared" si="2143"/>
        <v>NA</v>
      </c>
      <c r="Y1613" s="10" t="str">
        <f t="shared" si="2144"/>
        <v>NA</v>
      </c>
      <c r="Z1613" s="10" t="str">
        <f t="shared" si="2145"/>
        <v>NA</v>
      </c>
      <c r="AA1613" s="10">
        <f t="shared" si="2146"/>
        <v>1.8287330423069856</v>
      </c>
      <c r="AB1613" s="10" t="str">
        <f t="shared" si="2147"/>
        <v>NA</v>
      </c>
      <c r="AC1613" s="10" t="str">
        <f t="shared" si="2148"/>
        <v>NA</v>
      </c>
      <c r="AD1613" s="10" t="str">
        <f t="shared" si="2149"/>
        <v>NA</v>
      </c>
      <c r="AE1613" s="10" t="str">
        <f t="shared" si="2150"/>
        <v>NA</v>
      </c>
      <c r="AF1613" s="1" t="s">
        <v>2088</v>
      </c>
    </row>
    <row r="1614" spans="1:32" x14ac:dyDescent="0.2">
      <c r="A1614" s="1" t="s">
        <v>2089</v>
      </c>
      <c r="B1614" s="1" t="s">
        <v>5</v>
      </c>
      <c r="C1614" s="1" t="s">
        <v>1575</v>
      </c>
      <c r="D1614" s="1" t="s">
        <v>1595</v>
      </c>
      <c r="E1614" s="16" t="s">
        <v>9208</v>
      </c>
      <c r="F1614" s="1" t="s">
        <v>286</v>
      </c>
      <c r="G1614" s="4">
        <v>1</v>
      </c>
      <c r="H1614" s="28">
        <v>42265</v>
      </c>
      <c r="I1614" s="29">
        <f t="shared" si="2172"/>
        <v>2015</v>
      </c>
      <c r="J1614" s="1" t="s">
        <v>6005</v>
      </c>
      <c r="K1614" s="1" t="s">
        <v>7</v>
      </c>
      <c r="L1614" s="11" t="str">
        <f t="shared" si="2275"/>
        <v>НЕТ</v>
      </c>
      <c r="M1614" s="10" t="s">
        <v>1575</v>
      </c>
      <c r="N1614" s="10" t="s">
        <v>1575</v>
      </c>
      <c r="O1614" s="10">
        <v>2.2130000000000001</v>
      </c>
      <c r="P1614" s="10">
        <f t="shared" si="2273"/>
        <v>2.2130000000000001</v>
      </c>
      <c r="Q1614" s="10" t="str">
        <f t="shared" si="2274"/>
        <v>NA</v>
      </c>
      <c r="R1614" s="10" t="s">
        <v>1575</v>
      </c>
      <c r="S1614" s="10" t="s">
        <v>1575</v>
      </c>
      <c r="T1614" s="10" t="s">
        <v>1575</v>
      </c>
      <c r="U1614" s="10" t="s">
        <v>1575</v>
      </c>
      <c r="V1614" s="10">
        <v>0.61499999999999999</v>
      </c>
      <c r="W1614" s="10" t="s">
        <v>1575</v>
      </c>
      <c r="X1614" s="10" t="str">
        <f t="shared" si="2143"/>
        <v>NA</v>
      </c>
      <c r="Y1614" s="10" t="str">
        <f t="shared" si="2144"/>
        <v>NA</v>
      </c>
      <c r="Z1614" s="10" t="str">
        <f t="shared" si="2145"/>
        <v>NA</v>
      </c>
      <c r="AA1614" s="10">
        <f t="shared" si="2146"/>
        <v>3.5983739837398376</v>
      </c>
      <c r="AB1614" s="10" t="str">
        <f t="shared" si="2147"/>
        <v>NA</v>
      </c>
      <c r="AC1614" s="10" t="str">
        <f t="shared" si="2148"/>
        <v>NA</v>
      </c>
      <c r="AD1614" s="10" t="str">
        <f t="shared" si="2149"/>
        <v>NA</v>
      </c>
      <c r="AE1614" s="10" t="str">
        <f t="shared" si="2150"/>
        <v>NA</v>
      </c>
      <c r="AF1614" s="1" t="s">
        <v>2090</v>
      </c>
    </row>
    <row r="1615" spans="1:32" x14ac:dyDescent="0.2">
      <c r="A1615" s="1" t="s">
        <v>6022</v>
      </c>
      <c r="B1615" s="1" t="s">
        <v>5</v>
      </c>
      <c r="C1615" s="1" t="s">
        <v>1575</v>
      </c>
      <c r="D1615" s="1" t="s">
        <v>1595</v>
      </c>
      <c r="E1615" s="16" t="s">
        <v>9208</v>
      </c>
      <c r="F1615" s="1" t="s">
        <v>286</v>
      </c>
      <c r="G1615" s="4">
        <v>1</v>
      </c>
      <c r="H1615" s="28">
        <v>42369</v>
      </c>
      <c r="I1615" s="29">
        <f t="shared" si="2172"/>
        <v>2015</v>
      </c>
      <c r="J1615" s="1" t="s">
        <v>6005</v>
      </c>
      <c r="K1615" s="1" t="s">
        <v>7</v>
      </c>
      <c r="L1615" s="11" t="str">
        <f t="shared" si="2275"/>
        <v>НЕТ</v>
      </c>
      <c r="M1615" s="10" t="s">
        <v>1575</v>
      </c>
      <c r="N1615" s="10" t="s">
        <v>1575</v>
      </c>
      <c r="O1615" s="10">
        <v>4.8000000000000001E-2</v>
      </c>
      <c r="P1615" s="10">
        <f t="shared" si="2273"/>
        <v>4.8000000000000001E-2</v>
      </c>
      <c r="Q1615" s="10" t="str">
        <f t="shared" si="2274"/>
        <v>NA</v>
      </c>
      <c r="R1615" s="10" t="s">
        <v>1575</v>
      </c>
      <c r="S1615" s="10" t="s">
        <v>1575</v>
      </c>
      <c r="T1615" s="10" t="s">
        <v>1575</v>
      </c>
      <c r="U1615" s="10" t="s">
        <v>1575</v>
      </c>
      <c r="V1615" s="10">
        <v>5.0000000000000001E-3</v>
      </c>
      <c r="W1615" s="10" t="s">
        <v>1575</v>
      </c>
      <c r="X1615" s="10" t="str">
        <f t="shared" si="2143"/>
        <v>NA</v>
      </c>
      <c r="Y1615" s="10" t="str">
        <f t="shared" si="2144"/>
        <v>NA</v>
      </c>
      <c r="Z1615" s="10" t="str">
        <f t="shared" si="2145"/>
        <v>NA</v>
      </c>
      <c r="AA1615" s="10">
        <f t="shared" si="2146"/>
        <v>9.6</v>
      </c>
      <c r="AB1615" s="10" t="str">
        <f t="shared" si="2147"/>
        <v>NA</v>
      </c>
      <c r="AC1615" s="10" t="str">
        <f t="shared" si="2148"/>
        <v>NA</v>
      </c>
      <c r="AD1615" s="10" t="str">
        <f t="shared" si="2149"/>
        <v>NA</v>
      </c>
      <c r="AE1615" s="10" t="str">
        <f t="shared" si="2150"/>
        <v>NA</v>
      </c>
      <c r="AF1615" s="1" t="s">
        <v>2091</v>
      </c>
    </row>
    <row r="1616" spans="1:32" x14ac:dyDescent="0.2">
      <c r="A1616" s="1" t="s">
        <v>6023</v>
      </c>
      <c r="B1616" s="1" t="s">
        <v>5</v>
      </c>
      <c r="C1616" s="1" t="s">
        <v>1575</v>
      </c>
      <c r="D1616" s="1" t="s">
        <v>1595</v>
      </c>
      <c r="E1616" s="16" t="s">
        <v>9208</v>
      </c>
      <c r="F1616" s="1" t="s">
        <v>286</v>
      </c>
      <c r="G1616" s="4">
        <v>1</v>
      </c>
      <c r="H1616" s="28">
        <v>42004</v>
      </c>
      <c r="I1616" s="29">
        <f t="shared" si="2172"/>
        <v>2014</v>
      </c>
      <c r="J1616" s="1" t="s">
        <v>6005</v>
      </c>
      <c r="K1616" s="1" t="s">
        <v>7</v>
      </c>
      <c r="L1616" s="11" t="str">
        <f t="shared" si="2275"/>
        <v>НЕТ</v>
      </c>
      <c r="M1616" s="10" t="s">
        <v>1575</v>
      </c>
      <c r="N1616" s="10" t="s">
        <v>1575</v>
      </c>
      <c r="O1616" s="10">
        <v>0.14299999999999999</v>
      </c>
      <c r="P1616" s="10">
        <f t="shared" si="2273"/>
        <v>0.14299999999999999</v>
      </c>
      <c r="Q1616" s="10" t="str">
        <f t="shared" si="2274"/>
        <v>NA</v>
      </c>
      <c r="R1616" s="10" t="s">
        <v>1575</v>
      </c>
      <c r="S1616" s="10" t="s">
        <v>1575</v>
      </c>
      <c r="T1616" s="10" t="s">
        <v>1575</v>
      </c>
      <c r="U1616" s="10" t="s">
        <v>1575</v>
      </c>
      <c r="V1616" s="10">
        <v>0.01</v>
      </c>
      <c r="W1616" s="10" t="s">
        <v>1575</v>
      </c>
      <c r="X1616" s="10" t="str">
        <f t="shared" si="2143"/>
        <v>NA</v>
      </c>
      <c r="Y1616" s="10" t="str">
        <f t="shared" si="2144"/>
        <v>NA</v>
      </c>
      <c r="Z1616" s="10" t="str">
        <f t="shared" si="2145"/>
        <v>NA</v>
      </c>
      <c r="AA1616" s="10">
        <f t="shared" si="2146"/>
        <v>14.299999999999999</v>
      </c>
      <c r="AB1616" s="10" t="str">
        <f t="shared" si="2147"/>
        <v>NA</v>
      </c>
      <c r="AC1616" s="10" t="str">
        <f t="shared" si="2148"/>
        <v>NA</v>
      </c>
      <c r="AD1616" s="10" t="str">
        <f t="shared" si="2149"/>
        <v>NA</v>
      </c>
      <c r="AE1616" s="10" t="str">
        <f t="shared" si="2150"/>
        <v>NA</v>
      </c>
      <c r="AF1616" s="1" t="s">
        <v>2093</v>
      </c>
    </row>
    <row r="1617" spans="1:32" x14ac:dyDescent="0.2">
      <c r="A1617" s="1" t="s">
        <v>6024</v>
      </c>
      <c r="B1617" s="1" t="s">
        <v>5</v>
      </c>
      <c r="C1617" s="1" t="s">
        <v>1575</v>
      </c>
      <c r="D1617" s="1" t="s">
        <v>1595</v>
      </c>
      <c r="E1617" s="16" t="s">
        <v>9208</v>
      </c>
      <c r="F1617" s="1" t="s">
        <v>286</v>
      </c>
      <c r="G1617" s="4">
        <v>1</v>
      </c>
      <c r="H1617" s="28">
        <v>42004</v>
      </c>
      <c r="I1617" s="29">
        <f t="shared" si="2172"/>
        <v>2014</v>
      </c>
      <c r="J1617" s="1" t="s">
        <v>6005</v>
      </c>
      <c r="K1617" s="1" t="s">
        <v>7</v>
      </c>
      <c r="L1617" s="11" t="str">
        <f t="shared" si="2275"/>
        <v>НЕТ</v>
      </c>
      <c r="M1617" s="10" t="s">
        <v>1575</v>
      </c>
      <c r="N1617" s="10" t="s">
        <v>1575</v>
      </c>
      <c r="O1617" s="10">
        <v>0.06</v>
      </c>
      <c r="P1617" s="10">
        <f t="shared" si="2273"/>
        <v>0.06</v>
      </c>
      <c r="Q1617" s="10" t="str">
        <f t="shared" si="2274"/>
        <v>NA</v>
      </c>
      <c r="R1617" s="10" t="s">
        <v>1575</v>
      </c>
      <c r="S1617" s="10" t="s">
        <v>1575</v>
      </c>
      <c r="T1617" s="10" t="s">
        <v>1575</v>
      </c>
      <c r="U1617" s="10" t="s">
        <v>1575</v>
      </c>
      <c r="V1617" s="10">
        <v>2.1999999999999999E-2</v>
      </c>
      <c r="W1617" s="10" t="s">
        <v>1575</v>
      </c>
      <c r="X1617" s="10" t="str">
        <f t="shared" si="2143"/>
        <v>NA</v>
      </c>
      <c r="Y1617" s="10" t="str">
        <f t="shared" si="2144"/>
        <v>NA</v>
      </c>
      <c r="Z1617" s="10" t="str">
        <f t="shared" si="2145"/>
        <v>NA</v>
      </c>
      <c r="AA1617" s="10">
        <f t="shared" si="2146"/>
        <v>2.7272727272727275</v>
      </c>
      <c r="AB1617" s="10" t="str">
        <f t="shared" si="2147"/>
        <v>NA</v>
      </c>
      <c r="AC1617" s="10" t="str">
        <f t="shared" si="2148"/>
        <v>NA</v>
      </c>
      <c r="AD1617" s="10" t="str">
        <f t="shared" si="2149"/>
        <v>NA</v>
      </c>
      <c r="AE1617" s="10" t="str">
        <f t="shared" si="2150"/>
        <v>NA</v>
      </c>
      <c r="AF1617" s="1" t="s">
        <v>2093</v>
      </c>
    </row>
    <row r="1618" spans="1:32" x14ac:dyDescent="0.2">
      <c r="A1618" s="1" t="s">
        <v>6025</v>
      </c>
      <c r="B1618" s="1" t="s">
        <v>5</v>
      </c>
      <c r="C1618" s="1" t="s">
        <v>1575</v>
      </c>
      <c r="D1618" s="1" t="s">
        <v>1595</v>
      </c>
      <c r="E1618" s="16" t="s">
        <v>9208</v>
      </c>
      <c r="F1618" s="1" t="s">
        <v>286</v>
      </c>
      <c r="G1618" s="4">
        <v>1</v>
      </c>
      <c r="H1618" s="28">
        <v>42004</v>
      </c>
      <c r="I1618" s="29">
        <f t="shared" si="2172"/>
        <v>2014</v>
      </c>
      <c r="J1618" s="1" t="s">
        <v>6005</v>
      </c>
      <c r="K1618" s="1" t="s">
        <v>7</v>
      </c>
      <c r="L1618" s="11" t="str">
        <f t="shared" si="2275"/>
        <v>НЕТ</v>
      </c>
      <c r="M1618" s="10" t="s">
        <v>1575</v>
      </c>
      <c r="N1618" s="10" t="s">
        <v>1575</v>
      </c>
      <c r="O1618" s="10">
        <v>9.9000000000000005E-2</v>
      </c>
      <c r="P1618" s="10">
        <f t="shared" si="2273"/>
        <v>9.9000000000000005E-2</v>
      </c>
      <c r="Q1618" s="10" t="str">
        <f t="shared" si="2274"/>
        <v>NA</v>
      </c>
      <c r="R1618" s="10" t="s">
        <v>1575</v>
      </c>
      <c r="S1618" s="10" t="s">
        <v>1575</v>
      </c>
      <c r="T1618" s="10" t="s">
        <v>1575</v>
      </c>
      <c r="U1618" s="10" t="s">
        <v>1575</v>
      </c>
      <c r="V1618" s="10">
        <v>-5.5E-2</v>
      </c>
      <c r="W1618" s="10" t="s">
        <v>1575</v>
      </c>
      <c r="X1618" s="10" t="str">
        <f t="shared" si="2143"/>
        <v>NA</v>
      </c>
      <c r="Y1618" s="10" t="str">
        <f t="shared" si="2144"/>
        <v>NA</v>
      </c>
      <c r="Z1618" s="10" t="str">
        <f t="shared" si="2145"/>
        <v>NA</v>
      </c>
      <c r="AA1618" s="10">
        <f t="shared" si="2146"/>
        <v>-1.8</v>
      </c>
      <c r="AB1618" s="10" t="str">
        <f t="shared" si="2147"/>
        <v>NA</v>
      </c>
      <c r="AC1618" s="10" t="str">
        <f t="shared" si="2148"/>
        <v>NA</v>
      </c>
      <c r="AD1618" s="10" t="str">
        <f t="shared" si="2149"/>
        <v>NA</v>
      </c>
      <c r="AE1618" s="10" t="str">
        <f t="shared" si="2150"/>
        <v>NA</v>
      </c>
      <c r="AF1618" s="1" t="s">
        <v>2093</v>
      </c>
    </row>
    <row r="1619" spans="1:32" x14ac:dyDescent="0.2">
      <c r="A1619" s="1" t="s">
        <v>6026</v>
      </c>
      <c r="B1619" s="1" t="s">
        <v>5</v>
      </c>
      <c r="C1619" s="1" t="s">
        <v>1575</v>
      </c>
      <c r="D1619" s="1" t="s">
        <v>1595</v>
      </c>
      <c r="E1619" s="16" t="s">
        <v>9208</v>
      </c>
      <c r="F1619" s="1" t="s">
        <v>286</v>
      </c>
      <c r="G1619" s="4">
        <v>1</v>
      </c>
      <c r="H1619" s="28">
        <v>42004</v>
      </c>
      <c r="I1619" s="29">
        <f t="shared" si="2172"/>
        <v>2014</v>
      </c>
      <c r="J1619" s="1" t="s">
        <v>6005</v>
      </c>
      <c r="K1619" s="1" t="s">
        <v>7</v>
      </c>
      <c r="L1619" s="11" t="str">
        <f t="shared" si="2275"/>
        <v>НЕТ</v>
      </c>
      <c r="M1619" s="10" t="s">
        <v>1575</v>
      </c>
      <c r="N1619" s="10" t="s">
        <v>1575</v>
      </c>
      <c r="O1619" s="10">
        <v>7.9000000000000001E-2</v>
      </c>
      <c r="P1619" s="10">
        <f t="shared" si="2273"/>
        <v>7.9000000000000001E-2</v>
      </c>
      <c r="Q1619" s="10" t="str">
        <f t="shared" si="2274"/>
        <v>NA</v>
      </c>
      <c r="R1619" s="10" t="s">
        <v>1575</v>
      </c>
      <c r="S1619" s="10" t="s">
        <v>1575</v>
      </c>
      <c r="T1619" s="10" t="s">
        <v>1575</v>
      </c>
      <c r="U1619" s="10" t="s">
        <v>1575</v>
      </c>
      <c r="V1619" s="10">
        <v>0.03</v>
      </c>
      <c r="W1619" s="10" t="s">
        <v>1575</v>
      </c>
      <c r="X1619" s="10" t="str">
        <f t="shared" si="2143"/>
        <v>NA</v>
      </c>
      <c r="Y1619" s="10" t="str">
        <f t="shared" si="2144"/>
        <v>NA</v>
      </c>
      <c r="Z1619" s="10" t="str">
        <f t="shared" si="2145"/>
        <v>NA</v>
      </c>
      <c r="AA1619" s="10">
        <f t="shared" si="2146"/>
        <v>2.6333333333333333</v>
      </c>
      <c r="AB1619" s="10" t="str">
        <f t="shared" si="2147"/>
        <v>NA</v>
      </c>
      <c r="AC1619" s="10" t="str">
        <f t="shared" si="2148"/>
        <v>NA</v>
      </c>
      <c r="AD1619" s="10" t="str">
        <f t="shared" si="2149"/>
        <v>NA</v>
      </c>
      <c r="AE1619" s="10" t="str">
        <f t="shared" si="2150"/>
        <v>NA</v>
      </c>
      <c r="AF1619" s="1" t="s">
        <v>2093</v>
      </c>
    </row>
    <row r="1620" spans="1:32" x14ac:dyDescent="0.2">
      <c r="A1620" s="1" t="s">
        <v>246</v>
      </c>
      <c r="B1620" s="1" t="s">
        <v>5</v>
      </c>
      <c r="C1620" s="1" t="s">
        <v>1575</v>
      </c>
      <c r="D1620" s="1" t="s">
        <v>1578</v>
      </c>
      <c r="E1620" s="16" t="s">
        <v>9250</v>
      </c>
      <c r="F1620" s="1" t="s">
        <v>1909</v>
      </c>
      <c r="G1620" s="4">
        <v>0.5</v>
      </c>
      <c r="H1620" s="28">
        <v>41829</v>
      </c>
      <c r="I1620" s="29">
        <f t="shared" si="2172"/>
        <v>2014</v>
      </c>
      <c r="J1620" s="1" t="s">
        <v>6005</v>
      </c>
      <c r="K1620" s="1" t="s">
        <v>245</v>
      </c>
      <c r="L1620" s="11" t="str">
        <f t="shared" si="2275"/>
        <v>НЕТ</v>
      </c>
      <c r="M1620" s="10" t="s">
        <v>1575</v>
      </c>
      <c r="N1620" s="10" t="s">
        <v>1575</v>
      </c>
      <c r="O1620" s="10">
        <v>32.567</v>
      </c>
      <c r="P1620" s="10">
        <f t="shared" si="2273"/>
        <v>65.134</v>
      </c>
      <c r="Q1620" s="10" t="str">
        <f t="shared" si="2274"/>
        <v>NA</v>
      </c>
      <c r="R1620" s="10" t="s">
        <v>1575</v>
      </c>
      <c r="S1620" s="10" t="s">
        <v>1575</v>
      </c>
      <c r="T1620" s="10" t="s">
        <v>1575</v>
      </c>
      <c r="U1620" s="10">
        <v>0.42599999999999999</v>
      </c>
      <c r="V1620" s="10">
        <v>30.931999999999999</v>
      </c>
      <c r="W1620" s="10" t="s">
        <v>1575</v>
      </c>
      <c r="X1620" s="10" t="str">
        <f t="shared" si="2143"/>
        <v>NA</v>
      </c>
      <c r="Y1620" s="10" t="str">
        <f t="shared" si="2144"/>
        <v>NA</v>
      </c>
      <c r="Z1620" s="10">
        <f t="shared" si="2145"/>
        <v>152.89671361502349</v>
      </c>
      <c r="AA1620" s="10">
        <f t="shared" si="2146"/>
        <v>2.1057157636105006</v>
      </c>
      <c r="AB1620" s="10" t="str">
        <f t="shared" si="2147"/>
        <v>NA</v>
      </c>
      <c r="AC1620" s="10" t="str">
        <f t="shared" si="2148"/>
        <v>NA</v>
      </c>
      <c r="AD1620" s="10" t="str">
        <f t="shared" si="2149"/>
        <v>NA</v>
      </c>
      <c r="AE1620" s="10" t="str">
        <f t="shared" si="2150"/>
        <v>NA</v>
      </c>
      <c r="AF1620" s="1" t="s">
        <v>2094</v>
      </c>
    </row>
    <row r="1621" spans="1:32" x14ac:dyDescent="0.2">
      <c r="A1621" s="1" t="s">
        <v>6027</v>
      </c>
      <c r="B1621" s="1" t="s">
        <v>5</v>
      </c>
      <c r="C1621" s="1" t="s">
        <v>1575</v>
      </c>
      <c r="D1621" s="1" t="s">
        <v>1595</v>
      </c>
      <c r="E1621" s="16" t="s">
        <v>9208</v>
      </c>
      <c r="F1621" s="1" t="s">
        <v>286</v>
      </c>
      <c r="G1621" s="4">
        <v>1</v>
      </c>
      <c r="H1621" s="28">
        <v>41548</v>
      </c>
      <c r="I1621" s="29">
        <f t="shared" si="2172"/>
        <v>2013</v>
      </c>
      <c r="J1621" s="1" t="s">
        <v>6005</v>
      </c>
      <c r="K1621" s="1" t="s">
        <v>245</v>
      </c>
      <c r="L1621" s="11" t="str">
        <f t="shared" si="2275"/>
        <v>НЕТ</v>
      </c>
      <c r="M1621" s="10" t="s">
        <v>1575</v>
      </c>
      <c r="N1621" s="10" t="s">
        <v>1575</v>
      </c>
      <c r="O1621" s="10">
        <v>55.735999999999997</v>
      </c>
      <c r="P1621" s="10">
        <f t="shared" si="2273"/>
        <v>55.735999999999997</v>
      </c>
      <c r="Q1621" s="10" t="str">
        <f t="shared" si="2274"/>
        <v>NA</v>
      </c>
      <c r="R1621" s="10" t="s">
        <v>1575</v>
      </c>
      <c r="S1621" s="10" t="s">
        <v>1575</v>
      </c>
      <c r="T1621" s="10" t="s">
        <v>1575</v>
      </c>
      <c r="U1621" s="10" t="s">
        <v>1575</v>
      </c>
      <c r="V1621" s="10">
        <v>47.801000000000002</v>
      </c>
      <c r="W1621" s="10" t="s">
        <v>1575</v>
      </c>
      <c r="X1621" s="10" t="str">
        <f t="shared" si="2143"/>
        <v>NA</v>
      </c>
      <c r="Y1621" s="10" t="str">
        <f t="shared" si="2144"/>
        <v>NA</v>
      </c>
      <c r="Z1621" s="10" t="str">
        <f t="shared" si="2145"/>
        <v>NA</v>
      </c>
      <c r="AA1621" s="10">
        <f t="shared" si="2146"/>
        <v>1.1660007112821906</v>
      </c>
      <c r="AB1621" s="10" t="str">
        <f t="shared" si="2147"/>
        <v>NA</v>
      </c>
      <c r="AC1621" s="10" t="str">
        <f t="shared" si="2148"/>
        <v>NA</v>
      </c>
      <c r="AD1621" s="10" t="str">
        <f t="shared" si="2149"/>
        <v>NA</v>
      </c>
      <c r="AE1621" s="10" t="str">
        <f t="shared" si="2150"/>
        <v>NA</v>
      </c>
      <c r="AF1621" s="1" t="s">
        <v>2092</v>
      </c>
    </row>
    <row r="1622" spans="1:32" x14ac:dyDescent="0.2">
      <c r="A1622" s="1" t="s">
        <v>6028</v>
      </c>
      <c r="B1622" s="1" t="s">
        <v>5</v>
      </c>
      <c r="C1622" s="1" t="s">
        <v>1575</v>
      </c>
      <c r="D1622" s="1" t="s">
        <v>1595</v>
      </c>
      <c r="E1622" s="1" t="s">
        <v>1587</v>
      </c>
      <c r="F1622" s="1" t="s">
        <v>286</v>
      </c>
      <c r="G1622" s="4">
        <v>1</v>
      </c>
      <c r="H1622" s="28">
        <v>41163</v>
      </c>
      <c r="I1622" s="29">
        <f t="shared" si="2172"/>
        <v>2012</v>
      </c>
      <c r="J1622" s="1" t="s">
        <v>6005</v>
      </c>
      <c r="K1622" s="1" t="s">
        <v>7</v>
      </c>
      <c r="L1622" s="11" t="str">
        <f t="shared" si="2275"/>
        <v>НЕТ</v>
      </c>
      <c r="M1622" s="10" t="s">
        <v>1575</v>
      </c>
      <c r="N1622" s="10" t="s">
        <v>1575</v>
      </c>
      <c r="O1622" s="10">
        <v>8.6790000000000003</v>
      </c>
      <c r="P1622" s="10">
        <f t="shared" si="2273"/>
        <v>8.6790000000000003</v>
      </c>
      <c r="Q1622" s="10" t="str">
        <f t="shared" si="2274"/>
        <v>NA</v>
      </c>
      <c r="R1622" s="10" t="s">
        <v>1575</v>
      </c>
      <c r="S1622" s="10" t="s">
        <v>1575</v>
      </c>
      <c r="T1622" s="10" t="s">
        <v>1575</v>
      </c>
      <c r="U1622" s="10" t="s">
        <v>1575</v>
      </c>
      <c r="V1622" s="10">
        <v>0.13500000000000001</v>
      </c>
      <c r="W1622" s="10" t="s">
        <v>1575</v>
      </c>
      <c r="X1622" s="10" t="str">
        <f t="shared" si="2143"/>
        <v>NA</v>
      </c>
      <c r="Y1622" s="10" t="str">
        <f t="shared" si="2144"/>
        <v>NA</v>
      </c>
      <c r="Z1622" s="10" t="str">
        <f t="shared" si="2145"/>
        <v>NA</v>
      </c>
      <c r="AA1622" s="10">
        <f t="shared" si="2146"/>
        <v>64.288888888888891</v>
      </c>
      <c r="AB1622" s="10" t="str">
        <f t="shared" si="2147"/>
        <v>NA</v>
      </c>
      <c r="AC1622" s="10" t="str">
        <f t="shared" si="2148"/>
        <v>NA</v>
      </c>
      <c r="AD1622" s="10" t="str">
        <f t="shared" si="2149"/>
        <v>NA</v>
      </c>
      <c r="AE1622" s="10" t="str">
        <f t="shared" si="2150"/>
        <v>NA</v>
      </c>
      <c r="AF1622" s="1" t="s">
        <v>2095</v>
      </c>
    </row>
    <row r="1623" spans="1:32" x14ac:dyDescent="0.2">
      <c r="A1623" s="1" t="s">
        <v>6029</v>
      </c>
      <c r="B1623" s="1" t="s">
        <v>5</v>
      </c>
      <c r="C1623" s="1" t="s">
        <v>1575</v>
      </c>
      <c r="D1623" s="1" t="s">
        <v>1813</v>
      </c>
      <c r="E1623" s="1" t="s">
        <v>2096</v>
      </c>
      <c r="F1623" s="1" t="s">
        <v>2097</v>
      </c>
      <c r="G1623" s="4">
        <v>0.376</v>
      </c>
      <c r="H1623" s="28">
        <v>41163</v>
      </c>
      <c r="I1623" s="29">
        <f t="shared" si="2172"/>
        <v>2012</v>
      </c>
      <c r="J1623" s="1" t="s">
        <v>6005</v>
      </c>
      <c r="K1623" s="1" t="s">
        <v>7</v>
      </c>
      <c r="L1623" s="11" t="str">
        <f t="shared" si="2275"/>
        <v>НЕТ</v>
      </c>
      <c r="M1623" s="10" t="s">
        <v>1575</v>
      </c>
      <c r="N1623" s="10" t="s">
        <v>1575</v>
      </c>
      <c r="O1623" s="10">
        <v>0.182</v>
      </c>
      <c r="P1623" s="10">
        <f t="shared" si="2273"/>
        <v>0.48404255319148937</v>
      </c>
      <c r="Q1623" s="10" t="str">
        <f t="shared" si="2274"/>
        <v>NA</v>
      </c>
      <c r="R1623" s="10" t="s">
        <v>1575</v>
      </c>
      <c r="S1623" s="10" t="s">
        <v>1575</v>
      </c>
      <c r="T1623" s="10" t="s">
        <v>1575</v>
      </c>
      <c r="U1623" s="10" t="s">
        <v>1575</v>
      </c>
      <c r="V1623" s="10" t="s">
        <v>1575</v>
      </c>
      <c r="W1623" s="10" t="s">
        <v>1575</v>
      </c>
      <c r="X1623" s="10" t="str">
        <f t="shared" si="2143"/>
        <v>NA</v>
      </c>
      <c r="Y1623" s="10" t="str">
        <f t="shared" si="2144"/>
        <v>NA</v>
      </c>
      <c r="Z1623" s="10" t="str">
        <f t="shared" si="2145"/>
        <v>NA</v>
      </c>
      <c r="AA1623" s="10" t="str">
        <f t="shared" si="2146"/>
        <v>NA</v>
      </c>
      <c r="AB1623" s="10" t="str">
        <f t="shared" si="2147"/>
        <v>NA</v>
      </c>
      <c r="AC1623" s="10" t="str">
        <f t="shared" si="2148"/>
        <v>NA</v>
      </c>
      <c r="AD1623" s="10" t="str">
        <f t="shared" si="2149"/>
        <v>NA</v>
      </c>
      <c r="AE1623" s="10" t="str">
        <f t="shared" si="2150"/>
        <v>NA</v>
      </c>
      <c r="AF1623" s="1" t="s">
        <v>2098</v>
      </c>
    </row>
    <row r="1624" spans="1:32" x14ac:dyDescent="0.2">
      <c r="A1624" s="1" t="s">
        <v>6030</v>
      </c>
      <c r="B1624" s="1" t="s">
        <v>5</v>
      </c>
      <c r="C1624" s="1" t="s">
        <v>1575</v>
      </c>
      <c r="D1624" s="1" t="s">
        <v>1595</v>
      </c>
      <c r="E1624" s="16" t="s">
        <v>9208</v>
      </c>
      <c r="F1624" s="1" t="s">
        <v>286</v>
      </c>
      <c r="G1624" s="4">
        <v>1</v>
      </c>
      <c r="H1624" s="28">
        <v>40695</v>
      </c>
      <c r="I1624" s="29">
        <f t="shared" si="2172"/>
        <v>2011</v>
      </c>
      <c r="J1624" s="1" t="s">
        <v>6005</v>
      </c>
      <c r="K1624" s="1" t="s">
        <v>7</v>
      </c>
      <c r="L1624" s="11" t="str">
        <f t="shared" si="2275"/>
        <v>НЕТ</v>
      </c>
      <c r="M1624" s="10" t="s">
        <v>1575</v>
      </c>
      <c r="N1624" s="10" t="s">
        <v>1575</v>
      </c>
      <c r="O1624" s="10">
        <v>8.7309999999999999</v>
      </c>
      <c r="P1624" s="10">
        <f t="shared" si="2273"/>
        <v>8.7309999999999999</v>
      </c>
      <c r="Q1624" s="10" t="str">
        <f t="shared" si="2274"/>
        <v>NA</v>
      </c>
      <c r="R1624" s="10">
        <v>1.2290000000000001</v>
      </c>
      <c r="S1624" s="10" t="s">
        <v>1575</v>
      </c>
      <c r="T1624" s="10" t="s">
        <v>1575</v>
      </c>
      <c r="U1624" s="10">
        <v>0.158</v>
      </c>
      <c r="V1624" s="10">
        <v>1.38</v>
      </c>
      <c r="W1624" s="10" t="s">
        <v>1575</v>
      </c>
      <c r="X1624" s="10" t="str">
        <f t="shared" si="2143"/>
        <v>NA</v>
      </c>
      <c r="Y1624" s="10">
        <f t="shared" si="2144"/>
        <v>7.1041497152156214</v>
      </c>
      <c r="Z1624" s="10">
        <f t="shared" si="2145"/>
        <v>55.259493670886073</v>
      </c>
      <c r="AA1624" s="10">
        <f t="shared" si="2146"/>
        <v>6.3268115942028986</v>
      </c>
      <c r="AB1624" s="10" t="str">
        <f t="shared" si="2147"/>
        <v>NA</v>
      </c>
      <c r="AC1624" s="10" t="str">
        <f t="shared" si="2148"/>
        <v>NA</v>
      </c>
      <c r="AD1624" s="10" t="str">
        <f t="shared" si="2149"/>
        <v>NA</v>
      </c>
      <c r="AE1624" s="10" t="str">
        <f t="shared" si="2150"/>
        <v>NA</v>
      </c>
      <c r="AF1624" s="1" t="s">
        <v>2099</v>
      </c>
    </row>
    <row r="1625" spans="1:32" x14ac:dyDescent="0.2">
      <c r="A1625" s="1" t="s">
        <v>6031</v>
      </c>
      <c r="B1625" s="1" t="s">
        <v>5</v>
      </c>
      <c r="C1625" s="1" t="s">
        <v>1575</v>
      </c>
      <c r="D1625" s="1" t="s">
        <v>1595</v>
      </c>
      <c r="E1625" s="16" t="s">
        <v>9208</v>
      </c>
      <c r="F1625" s="1" t="s">
        <v>286</v>
      </c>
      <c r="G1625" s="4">
        <v>1</v>
      </c>
      <c r="H1625" s="28">
        <v>40890</v>
      </c>
      <c r="I1625" s="29">
        <f t="shared" si="2172"/>
        <v>2011</v>
      </c>
      <c r="J1625" s="1" t="s">
        <v>6005</v>
      </c>
      <c r="K1625" s="1" t="s">
        <v>7</v>
      </c>
      <c r="L1625" s="11" t="str">
        <f t="shared" si="2275"/>
        <v>НЕТ</v>
      </c>
      <c r="M1625" s="10" t="s">
        <v>1575</v>
      </c>
      <c r="N1625" s="10" t="s">
        <v>1575</v>
      </c>
      <c r="O1625" s="10">
        <v>2.4209999999999998</v>
      </c>
      <c r="P1625" s="10">
        <f t="shared" si="2273"/>
        <v>2.4209999999999998</v>
      </c>
      <c r="Q1625" s="10" t="str">
        <f t="shared" si="2274"/>
        <v>NA</v>
      </c>
      <c r="R1625" s="10" t="s">
        <v>1575</v>
      </c>
      <c r="S1625" s="10" t="s">
        <v>1575</v>
      </c>
      <c r="T1625" s="10" t="s">
        <v>1575</v>
      </c>
      <c r="U1625" s="10" t="s">
        <v>1575</v>
      </c>
      <c r="V1625" s="10">
        <v>1.9179999999999999</v>
      </c>
      <c r="W1625" s="10" t="s">
        <v>1575</v>
      </c>
      <c r="X1625" s="10" t="str">
        <f t="shared" si="2143"/>
        <v>NA</v>
      </c>
      <c r="Y1625" s="10" t="str">
        <f t="shared" si="2144"/>
        <v>NA</v>
      </c>
      <c r="Z1625" s="10" t="str">
        <f t="shared" si="2145"/>
        <v>NA</v>
      </c>
      <c r="AA1625" s="10">
        <f t="shared" si="2146"/>
        <v>1.2622523461939519</v>
      </c>
      <c r="AB1625" s="10" t="str">
        <f t="shared" si="2147"/>
        <v>NA</v>
      </c>
      <c r="AC1625" s="10" t="str">
        <f t="shared" si="2148"/>
        <v>NA</v>
      </c>
      <c r="AD1625" s="10" t="str">
        <f t="shared" si="2149"/>
        <v>NA</v>
      </c>
      <c r="AE1625" s="10" t="str">
        <f t="shared" si="2150"/>
        <v>NA</v>
      </c>
      <c r="AF1625" s="1" t="s">
        <v>2100</v>
      </c>
    </row>
    <row r="1626" spans="1:32" x14ac:dyDescent="0.2">
      <c r="A1626" s="1" t="s">
        <v>6032</v>
      </c>
      <c r="B1626" s="1" t="s">
        <v>5</v>
      </c>
      <c r="C1626" s="1" t="s">
        <v>1575</v>
      </c>
      <c r="D1626" s="1" t="s">
        <v>1595</v>
      </c>
      <c r="E1626" s="16" t="s">
        <v>9208</v>
      </c>
      <c r="F1626" s="1" t="s">
        <v>286</v>
      </c>
      <c r="G1626" s="4">
        <v>1</v>
      </c>
      <c r="H1626" s="28">
        <v>40908</v>
      </c>
      <c r="I1626" s="29">
        <f t="shared" si="2172"/>
        <v>2011</v>
      </c>
      <c r="J1626" s="1" t="s">
        <v>6005</v>
      </c>
      <c r="K1626" s="1" t="s">
        <v>7</v>
      </c>
      <c r="L1626" s="11" t="str">
        <f t="shared" si="2275"/>
        <v>НЕТ</v>
      </c>
      <c r="M1626" s="10" t="s">
        <v>1575</v>
      </c>
      <c r="N1626" s="10" t="s">
        <v>1575</v>
      </c>
      <c r="O1626" s="10">
        <v>5.3999999999999999E-2</v>
      </c>
      <c r="P1626" s="10">
        <f t="shared" si="2273"/>
        <v>5.3999999999999999E-2</v>
      </c>
      <c r="Q1626" s="10" t="str">
        <f t="shared" si="2274"/>
        <v>NA</v>
      </c>
      <c r="R1626" s="10" t="s">
        <v>1575</v>
      </c>
      <c r="S1626" s="10" t="s">
        <v>1575</v>
      </c>
      <c r="T1626" s="10" t="s">
        <v>1575</v>
      </c>
      <c r="U1626" s="10" t="s">
        <v>1575</v>
      </c>
      <c r="V1626" s="10">
        <v>5.6000000000000001E-2</v>
      </c>
      <c r="W1626" s="10" t="s">
        <v>1575</v>
      </c>
      <c r="X1626" s="10" t="str">
        <f t="shared" si="2143"/>
        <v>NA</v>
      </c>
      <c r="Y1626" s="10" t="str">
        <f t="shared" si="2144"/>
        <v>NA</v>
      </c>
      <c r="Z1626" s="10" t="str">
        <f t="shared" si="2145"/>
        <v>NA</v>
      </c>
      <c r="AA1626" s="10">
        <f t="shared" si="2146"/>
        <v>0.9642857142857143</v>
      </c>
      <c r="AB1626" s="10" t="str">
        <f t="shared" si="2147"/>
        <v>NA</v>
      </c>
      <c r="AC1626" s="10" t="str">
        <f t="shared" si="2148"/>
        <v>NA</v>
      </c>
      <c r="AD1626" s="10" t="str">
        <f t="shared" si="2149"/>
        <v>NA</v>
      </c>
      <c r="AE1626" s="10" t="str">
        <f t="shared" si="2150"/>
        <v>NA</v>
      </c>
      <c r="AF1626" s="1" t="s">
        <v>2101</v>
      </c>
    </row>
    <row r="1627" spans="1:32" x14ac:dyDescent="0.2">
      <c r="A1627" s="1" t="s">
        <v>6033</v>
      </c>
      <c r="B1627" s="1" t="s">
        <v>5</v>
      </c>
      <c r="C1627" s="1" t="s">
        <v>1575</v>
      </c>
      <c r="D1627" s="1" t="s">
        <v>1595</v>
      </c>
      <c r="E1627" s="16" t="s">
        <v>9208</v>
      </c>
      <c r="F1627" s="1" t="s">
        <v>286</v>
      </c>
      <c r="G1627" s="4">
        <v>1</v>
      </c>
      <c r="H1627" s="28">
        <v>40908</v>
      </c>
      <c r="I1627" s="29">
        <f t="shared" si="2172"/>
        <v>2011</v>
      </c>
      <c r="J1627" s="1" t="s">
        <v>6005</v>
      </c>
      <c r="K1627" s="1" t="s">
        <v>7</v>
      </c>
      <c r="L1627" s="11" t="str">
        <f t="shared" si="2275"/>
        <v>НЕТ</v>
      </c>
      <c r="M1627" s="10" t="s">
        <v>1575</v>
      </c>
      <c r="N1627" s="10" t="s">
        <v>1575</v>
      </c>
      <c r="O1627" s="10">
        <v>0.19600000000000001</v>
      </c>
      <c r="P1627" s="10">
        <f t="shared" si="2273"/>
        <v>0.19600000000000001</v>
      </c>
      <c r="Q1627" s="10" t="str">
        <f t="shared" si="2274"/>
        <v>NA</v>
      </c>
      <c r="R1627" s="10" t="s">
        <v>1575</v>
      </c>
      <c r="S1627" s="10" t="s">
        <v>1575</v>
      </c>
      <c r="T1627" s="10" t="s">
        <v>1575</v>
      </c>
      <c r="U1627" s="10" t="s">
        <v>1575</v>
      </c>
      <c r="V1627" s="10">
        <v>0.113</v>
      </c>
      <c r="W1627" s="10" t="s">
        <v>1575</v>
      </c>
      <c r="X1627" s="10" t="str">
        <f t="shared" si="2143"/>
        <v>NA</v>
      </c>
      <c r="Y1627" s="10" t="str">
        <f t="shared" si="2144"/>
        <v>NA</v>
      </c>
      <c r="Z1627" s="10" t="str">
        <f t="shared" si="2145"/>
        <v>NA</v>
      </c>
      <c r="AA1627" s="10">
        <f t="shared" si="2146"/>
        <v>1.7345132743362832</v>
      </c>
      <c r="AB1627" s="10" t="str">
        <f t="shared" si="2147"/>
        <v>NA</v>
      </c>
      <c r="AC1627" s="10" t="str">
        <f t="shared" si="2148"/>
        <v>NA</v>
      </c>
      <c r="AD1627" s="10" t="str">
        <f t="shared" si="2149"/>
        <v>NA</v>
      </c>
      <c r="AE1627" s="10" t="str">
        <f t="shared" si="2150"/>
        <v>NA</v>
      </c>
      <c r="AF1627" s="1" t="s">
        <v>2101</v>
      </c>
    </row>
    <row r="1628" spans="1:32" x14ac:dyDescent="0.2">
      <c r="A1628" s="1" t="s">
        <v>6034</v>
      </c>
      <c r="B1628" s="1" t="s">
        <v>5</v>
      </c>
      <c r="C1628" s="1" t="s">
        <v>1575</v>
      </c>
      <c r="D1628" s="1" t="s">
        <v>1595</v>
      </c>
      <c r="E1628" s="16" t="s">
        <v>9208</v>
      </c>
      <c r="F1628" s="1" t="s">
        <v>286</v>
      </c>
      <c r="G1628" s="4">
        <v>1</v>
      </c>
      <c r="H1628" s="28">
        <v>40908</v>
      </c>
      <c r="I1628" s="29">
        <f t="shared" si="2172"/>
        <v>2011</v>
      </c>
      <c r="J1628" s="1" t="s">
        <v>6005</v>
      </c>
      <c r="K1628" s="1" t="s">
        <v>7</v>
      </c>
      <c r="L1628" s="11" t="str">
        <f t="shared" si="2275"/>
        <v>НЕТ</v>
      </c>
      <c r="M1628" s="10" t="s">
        <v>1575</v>
      </c>
      <c r="N1628" s="10" t="s">
        <v>1575</v>
      </c>
      <c r="O1628" s="10">
        <v>0.61</v>
      </c>
      <c r="P1628" s="10">
        <f t="shared" si="2273"/>
        <v>0.61</v>
      </c>
      <c r="Q1628" s="10" t="str">
        <f t="shared" si="2274"/>
        <v>NA</v>
      </c>
      <c r="R1628" s="10" t="s">
        <v>1575</v>
      </c>
      <c r="S1628" s="10" t="s">
        <v>1575</v>
      </c>
      <c r="T1628" s="10" t="s">
        <v>1575</v>
      </c>
      <c r="U1628" s="10" t="s">
        <v>1575</v>
      </c>
      <c r="V1628" s="10">
        <v>0.42199999999999999</v>
      </c>
      <c r="W1628" s="10" t="s">
        <v>1575</v>
      </c>
      <c r="X1628" s="10" t="str">
        <f t="shared" si="2143"/>
        <v>NA</v>
      </c>
      <c r="Y1628" s="10" t="str">
        <f t="shared" si="2144"/>
        <v>NA</v>
      </c>
      <c r="Z1628" s="10" t="str">
        <f t="shared" si="2145"/>
        <v>NA</v>
      </c>
      <c r="AA1628" s="10">
        <f t="shared" si="2146"/>
        <v>1.4454976303317535</v>
      </c>
      <c r="AB1628" s="10" t="str">
        <f t="shared" si="2147"/>
        <v>NA</v>
      </c>
      <c r="AC1628" s="10" t="str">
        <f t="shared" si="2148"/>
        <v>NA</v>
      </c>
      <c r="AD1628" s="10" t="str">
        <f t="shared" si="2149"/>
        <v>NA</v>
      </c>
      <c r="AE1628" s="10" t="str">
        <f t="shared" si="2150"/>
        <v>NA</v>
      </c>
      <c r="AF1628" s="1" t="s">
        <v>2101</v>
      </c>
    </row>
    <row r="1629" spans="1:32" x14ac:dyDescent="0.2">
      <c r="A1629" s="1" t="s">
        <v>6035</v>
      </c>
      <c r="B1629" s="1" t="s">
        <v>5</v>
      </c>
      <c r="C1629" s="1" t="s">
        <v>1575</v>
      </c>
      <c r="D1629" s="1" t="s">
        <v>1595</v>
      </c>
      <c r="E1629" s="16" t="s">
        <v>9208</v>
      </c>
      <c r="F1629" s="1" t="s">
        <v>286</v>
      </c>
      <c r="G1629" s="4">
        <v>1</v>
      </c>
      <c r="H1629" s="28">
        <v>40908</v>
      </c>
      <c r="I1629" s="29">
        <f t="shared" si="2172"/>
        <v>2011</v>
      </c>
      <c r="J1629" s="1" t="s">
        <v>6005</v>
      </c>
      <c r="K1629" s="1" t="s">
        <v>7</v>
      </c>
      <c r="L1629" s="11" t="str">
        <f t="shared" si="2275"/>
        <v>НЕТ</v>
      </c>
      <c r="M1629" s="10" t="s">
        <v>1575</v>
      </c>
      <c r="N1629" s="10" t="s">
        <v>1575</v>
      </c>
      <c r="O1629" s="10">
        <v>0.318</v>
      </c>
      <c r="P1629" s="10">
        <f t="shared" si="2273"/>
        <v>0.318</v>
      </c>
      <c r="Q1629" s="10" t="str">
        <f t="shared" si="2274"/>
        <v>NA</v>
      </c>
      <c r="R1629" s="10" t="s">
        <v>1575</v>
      </c>
      <c r="S1629" s="10" t="s">
        <v>1575</v>
      </c>
      <c r="T1629" s="10" t="s">
        <v>1575</v>
      </c>
      <c r="U1629" s="10" t="s">
        <v>1575</v>
      </c>
      <c r="V1629" s="10">
        <v>9.5000000000000001E-2</v>
      </c>
      <c r="W1629" s="10" t="s">
        <v>1575</v>
      </c>
      <c r="X1629" s="10" t="str">
        <f t="shared" si="2143"/>
        <v>NA</v>
      </c>
      <c r="Y1629" s="10" t="str">
        <f t="shared" si="2144"/>
        <v>NA</v>
      </c>
      <c r="Z1629" s="10" t="str">
        <f t="shared" si="2145"/>
        <v>NA</v>
      </c>
      <c r="AA1629" s="10">
        <f t="shared" si="2146"/>
        <v>3.3473684210526318</v>
      </c>
      <c r="AB1629" s="10" t="str">
        <f t="shared" si="2147"/>
        <v>NA</v>
      </c>
      <c r="AC1629" s="10" t="str">
        <f t="shared" si="2148"/>
        <v>NA</v>
      </c>
      <c r="AD1629" s="10" t="str">
        <f t="shared" si="2149"/>
        <v>NA</v>
      </c>
      <c r="AE1629" s="10" t="str">
        <f t="shared" si="2150"/>
        <v>NA</v>
      </c>
      <c r="AF1629" s="1" t="s">
        <v>2101</v>
      </c>
    </row>
    <row r="1630" spans="1:32" x14ac:dyDescent="0.2">
      <c r="A1630" s="1" t="s">
        <v>6036</v>
      </c>
      <c r="B1630" s="1" t="s">
        <v>5</v>
      </c>
      <c r="C1630" s="1" t="s">
        <v>1575</v>
      </c>
      <c r="D1630" s="1" t="s">
        <v>1595</v>
      </c>
      <c r="E1630" s="1" t="s">
        <v>1810</v>
      </c>
      <c r="F1630" s="1" t="s">
        <v>1974</v>
      </c>
      <c r="G1630" s="4">
        <v>1</v>
      </c>
      <c r="H1630" s="28">
        <v>40331</v>
      </c>
      <c r="I1630" s="29">
        <f t="shared" si="2172"/>
        <v>2010</v>
      </c>
      <c r="J1630" s="1" t="s">
        <v>6005</v>
      </c>
      <c r="K1630" s="1" t="s">
        <v>247</v>
      </c>
      <c r="L1630" s="11" t="str">
        <f t="shared" si="2275"/>
        <v>НЕТ</v>
      </c>
      <c r="M1630" s="10" t="s">
        <v>1575</v>
      </c>
      <c r="N1630" s="10" t="s">
        <v>1575</v>
      </c>
      <c r="O1630" s="10">
        <v>12.433</v>
      </c>
      <c r="P1630" s="10">
        <f t="shared" si="2273"/>
        <v>12.433</v>
      </c>
      <c r="Q1630" s="10" t="str">
        <f t="shared" si="2274"/>
        <v>NA</v>
      </c>
      <c r="R1630" s="10">
        <v>6.6559999999999997</v>
      </c>
      <c r="S1630" s="10" t="s">
        <v>1575</v>
      </c>
      <c r="T1630" s="10" t="s">
        <v>1575</v>
      </c>
      <c r="U1630" s="10">
        <v>4.2000000000000003E-2</v>
      </c>
      <c r="V1630" s="10">
        <v>7.0570000000000004</v>
      </c>
      <c r="W1630" s="10" t="s">
        <v>1575</v>
      </c>
      <c r="X1630" s="10" t="str">
        <f t="shared" si="2143"/>
        <v>NA</v>
      </c>
      <c r="Y1630" s="10">
        <f t="shared" si="2144"/>
        <v>1.8679387019230771</v>
      </c>
      <c r="Z1630" s="10">
        <f t="shared" si="2145"/>
        <v>296.02380952380952</v>
      </c>
      <c r="AA1630" s="10">
        <f t="shared" si="2146"/>
        <v>1.7617967975060222</v>
      </c>
      <c r="AB1630" s="10" t="str">
        <f t="shared" si="2147"/>
        <v>NA</v>
      </c>
      <c r="AC1630" s="10" t="str">
        <f t="shared" si="2148"/>
        <v>NA</v>
      </c>
      <c r="AD1630" s="10" t="str">
        <f t="shared" si="2149"/>
        <v>NA</v>
      </c>
      <c r="AE1630" s="10" t="str">
        <f t="shared" si="2150"/>
        <v>NA</v>
      </c>
      <c r="AF1630" s="1" t="s">
        <v>2102</v>
      </c>
    </row>
    <row r="1631" spans="1:32" x14ac:dyDescent="0.2">
      <c r="A1631" s="1" t="s">
        <v>6037</v>
      </c>
      <c r="B1631" s="1" t="s">
        <v>5</v>
      </c>
      <c r="C1631" s="1" t="s">
        <v>1575</v>
      </c>
      <c r="D1631" s="1" t="s">
        <v>1595</v>
      </c>
      <c r="E1631" s="1" t="s">
        <v>1810</v>
      </c>
      <c r="F1631" s="1" t="s">
        <v>1974</v>
      </c>
      <c r="G1631" s="4">
        <v>1</v>
      </c>
      <c r="H1631" s="28">
        <v>40463</v>
      </c>
      <c r="I1631" s="29">
        <f t="shared" si="2172"/>
        <v>2010</v>
      </c>
      <c r="J1631" s="1" t="s">
        <v>6005</v>
      </c>
      <c r="K1631" s="1" t="s">
        <v>7</v>
      </c>
      <c r="L1631" s="11" t="str">
        <f t="shared" si="2275"/>
        <v>НЕТ</v>
      </c>
      <c r="M1631" s="10" t="s">
        <v>1575</v>
      </c>
      <c r="N1631" s="10" t="s">
        <v>1575</v>
      </c>
      <c r="O1631" s="10">
        <v>2</v>
      </c>
      <c r="P1631" s="10">
        <f t="shared" si="2273"/>
        <v>2</v>
      </c>
      <c r="Q1631" s="10" t="str">
        <f t="shared" si="2274"/>
        <v>NA</v>
      </c>
      <c r="R1631" s="10">
        <v>0.18</v>
      </c>
      <c r="S1631" s="10" t="s">
        <v>1575</v>
      </c>
      <c r="T1631" s="10" t="s">
        <v>1575</v>
      </c>
      <c r="U1631" s="10">
        <v>-1.6E-2</v>
      </c>
      <c r="V1631" s="10">
        <v>1.07</v>
      </c>
      <c r="W1631" s="10" t="s">
        <v>1575</v>
      </c>
      <c r="X1631" s="10" t="str">
        <f t="shared" si="2143"/>
        <v>NA</v>
      </c>
      <c r="Y1631" s="10">
        <f t="shared" si="2144"/>
        <v>11.111111111111111</v>
      </c>
      <c r="Z1631" s="10">
        <f t="shared" si="2145"/>
        <v>-125</v>
      </c>
      <c r="AA1631" s="10">
        <f t="shared" si="2146"/>
        <v>1.8691588785046729</v>
      </c>
      <c r="AB1631" s="10" t="str">
        <f t="shared" si="2147"/>
        <v>NA</v>
      </c>
      <c r="AC1631" s="10" t="str">
        <f t="shared" si="2148"/>
        <v>NA</v>
      </c>
      <c r="AD1631" s="10" t="str">
        <f t="shared" si="2149"/>
        <v>NA</v>
      </c>
      <c r="AE1631" s="10" t="str">
        <f t="shared" si="2150"/>
        <v>NA</v>
      </c>
      <c r="AF1631" s="1" t="s">
        <v>2103</v>
      </c>
    </row>
    <row r="1632" spans="1:32" x14ac:dyDescent="0.2">
      <c r="A1632" s="1" t="s">
        <v>6038</v>
      </c>
      <c r="B1632" s="1" t="s">
        <v>1575</v>
      </c>
      <c r="C1632" s="1" t="s">
        <v>1575</v>
      </c>
      <c r="D1632" s="1" t="s">
        <v>1575</v>
      </c>
      <c r="E1632" s="1" t="s">
        <v>1575</v>
      </c>
      <c r="F1632" s="1" t="s">
        <v>3432</v>
      </c>
      <c r="G1632" s="4">
        <v>1</v>
      </c>
      <c r="H1632" s="28">
        <v>44865</v>
      </c>
      <c r="I1632" s="29">
        <v>2022</v>
      </c>
      <c r="J1632" s="1" t="s">
        <v>7</v>
      </c>
      <c r="K1632" s="1" t="s">
        <v>6039</v>
      </c>
      <c r="L1632" s="11" t="str">
        <f t="shared" ref="L1632:L1633" si="2276">IF(OR(A1632=J1632,A1632=K1632),"ДА","НЕТ")</f>
        <v>НЕТ</v>
      </c>
      <c r="M1632" s="10" t="s">
        <v>1575</v>
      </c>
      <c r="N1632" s="10" t="s">
        <v>1575</v>
      </c>
      <c r="O1632" s="10" t="s">
        <v>1575</v>
      </c>
      <c r="P1632" s="10" t="str">
        <f t="shared" si="2273"/>
        <v>NA</v>
      </c>
      <c r="Q1632" s="10" t="str">
        <f t="shared" si="2274"/>
        <v>NA</v>
      </c>
      <c r="R1632" s="10">
        <v>2.226</v>
      </c>
      <c r="S1632" s="10" t="s">
        <v>1575</v>
      </c>
      <c r="T1632" s="10" t="s">
        <v>1575</v>
      </c>
      <c r="U1632" s="10">
        <v>2.8000000000000001E-2</v>
      </c>
      <c r="V1632" s="10">
        <f>10.735-4.838</f>
        <v>5.8969999999999994</v>
      </c>
      <c r="W1632" s="10">
        <f>0.413-5.894</f>
        <v>-5.4809999999999999</v>
      </c>
      <c r="X1632" s="10">
        <f t="shared" si="2143"/>
        <v>0.41599999999999948</v>
      </c>
      <c r="Y1632" s="10" t="str">
        <f t="shared" si="2144"/>
        <v>NA</v>
      </c>
      <c r="Z1632" s="10" t="str">
        <f t="shared" si="2145"/>
        <v>NA</v>
      </c>
      <c r="AA1632" s="10" t="str">
        <f t="shared" si="2146"/>
        <v>NA</v>
      </c>
      <c r="AB1632" s="10" t="str">
        <f t="shared" si="2147"/>
        <v>NA</v>
      </c>
      <c r="AC1632" s="10" t="str">
        <f t="shared" si="2148"/>
        <v>NA</v>
      </c>
      <c r="AD1632" s="10" t="str">
        <f t="shared" si="2149"/>
        <v>NA</v>
      </c>
      <c r="AE1632" s="10" t="str">
        <f t="shared" si="2150"/>
        <v>NA</v>
      </c>
      <c r="AF1632" s="1" t="s">
        <v>3433</v>
      </c>
    </row>
    <row r="1633" spans="1:32" x14ac:dyDescent="0.2">
      <c r="A1633" s="1" t="s">
        <v>3431</v>
      </c>
      <c r="B1633" s="1" t="s">
        <v>1575</v>
      </c>
      <c r="C1633" s="1" t="s">
        <v>1575</v>
      </c>
      <c r="D1633" s="1" t="s">
        <v>1575</v>
      </c>
      <c r="E1633" s="1" t="s">
        <v>1575</v>
      </c>
      <c r="F1633" s="1" t="s">
        <v>3432</v>
      </c>
      <c r="G1633" s="4" t="s">
        <v>1575</v>
      </c>
      <c r="H1633" s="28">
        <v>44834</v>
      </c>
      <c r="I1633" s="29">
        <v>2022</v>
      </c>
      <c r="J1633" s="1" t="s">
        <v>7</v>
      </c>
      <c r="K1633" s="1" t="s">
        <v>6039</v>
      </c>
      <c r="L1633" s="11" t="str">
        <f t="shared" si="2276"/>
        <v>НЕТ</v>
      </c>
      <c r="M1633" s="10" t="s">
        <v>1575</v>
      </c>
      <c r="N1633" s="10" t="s">
        <v>1575</v>
      </c>
      <c r="O1633" s="10">
        <v>3.8559999999999999</v>
      </c>
      <c r="P1633" s="10" t="str">
        <f t="shared" si="2273"/>
        <v>NA</v>
      </c>
      <c r="Q1633" s="10" t="str">
        <f t="shared" si="2274"/>
        <v>NA</v>
      </c>
      <c r="R1633" s="10">
        <v>20.472999999999999</v>
      </c>
      <c r="S1633" s="10" t="s">
        <v>1575</v>
      </c>
      <c r="T1633" s="10" t="s">
        <v>1575</v>
      </c>
      <c r="U1633" s="10">
        <v>-12.63</v>
      </c>
      <c r="V1633" s="10" t="s">
        <v>1575</v>
      </c>
      <c r="W1633" s="10" t="s">
        <v>1575</v>
      </c>
      <c r="X1633" s="10" t="str">
        <f t="shared" si="2143"/>
        <v>NA</v>
      </c>
      <c r="Y1633" s="10" t="str">
        <f t="shared" si="2144"/>
        <v>NA</v>
      </c>
      <c r="Z1633" s="10" t="str">
        <f t="shared" si="2145"/>
        <v>NA</v>
      </c>
      <c r="AA1633" s="10" t="str">
        <f t="shared" si="2146"/>
        <v>NA</v>
      </c>
      <c r="AB1633" s="10" t="str">
        <f t="shared" si="2147"/>
        <v>NA</v>
      </c>
      <c r="AC1633" s="10" t="str">
        <f t="shared" si="2148"/>
        <v>NA</v>
      </c>
      <c r="AD1633" s="10" t="str">
        <f t="shared" si="2149"/>
        <v>NA</v>
      </c>
      <c r="AE1633" s="10" t="str">
        <f t="shared" si="2150"/>
        <v>NA</v>
      </c>
      <c r="AF1633" s="1" t="s">
        <v>3430</v>
      </c>
    </row>
    <row r="1634" spans="1:32" x14ac:dyDescent="0.2">
      <c r="A1634" s="1" t="s">
        <v>3434</v>
      </c>
      <c r="B1634" s="1" t="s">
        <v>1575</v>
      </c>
      <c r="C1634" s="1" t="s">
        <v>1575</v>
      </c>
      <c r="D1634" s="1" t="s">
        <v>1580</v>
      </c>
      <c r="E1634" s="1" t="s">
        <v>1593</v>
      </c>
      <c r="F1634" s="1" t="s">
        <v>545</v>
      </c>
      <c r="G1634" s="4">
        <v>1</v>
      </c>
      <c r="H1634" s="28">
        <v>44701</v>
      </c>
      <c r="I1634" s="29">
        <v>2022</v>
      </c>
      <c r="J1634" s="1" t="s">
        <v>7</v>
      </c>
      <c r="K1634" s="1" t="s">
        <v>6039</v>
      </c>
      <c r="L1634" s="11" t="str">
        <f t="shared" ref="L1634" si="2277">IF(OR(A1634=J1634,A1634=K1634),"ДА","НЕТ")</f>
        <v>НЕТ</v>
      </c>
      <c r="M1634" s="10" t="s">
        <v>1575</v>
      </c>
      <c r="N1634" s="10" t="s">
        <v>1575</v>
      </c>
      <c r="O1634" s="10" t="s">
        <v>1575</v>
      </c>
      <c r="P1634" s="10" t="str">
        <f t="shared" si="2273"/>
        <v>NA</v>
      </c>
      <c r="Q1634" s="10" t="str">
        <f t="shared" si="2274"/>
        <v>NA</v>
      </c>
      <c r="R1634" s="10" t="s">
        <v>1575</v>
      </c>
      <c r="S1634" s="10" t="s">
        <v>1575</v>
      </c>
      <c r="T1634" s="10" t="s">
        <v>1575</v>
      </c>
      <c r="U1634" s="10" t="s">
        <v>1575</v>
      </c>
      <c r="V1634" s="10" t="s">
        <v>1575</v>
      </c>
      <c r="W1634" s="10" t="s">
        <v>1575</v>
      </c>
      <c r="X1634" s="10" t="str">
        <f t="shared" ref="X1634:X1696" si="2278">IFERROR(V1634+W1634,"NA")</f>
        <v>NA</v>
      </c>
      <c r="Y1634" s="10" t="str">
        <f t="shared" ref="Y1634:Y1696" si="2279">IFERROR(P1634/R1634,"NA")</f>
        <v>NA</v>
      </c>
      <c r="Z1634" s="10" t="str">
        <f t="shared" ref="Z1634:Z1696" si="2280">IFERROR(P1634/U1634,"NA")</f>
        <v>NA</v>
      </c>
      <c r="AA1634" s="10" t="str">
        <f t="shared" ref="AA1634:AA1696" si="2281">IFERROR(P1634/V1634,"NA")</f>
        <v>NA</v>
      </c>
      <c r="AB1634" s="10" t="str">
        <f t="shared" ref="AB1634:AB1696" si="2282">IFERROR(Q1634/R1634,"NA")</f>
        <v>NA</v>
      </c>
      <c r="AC1634" s="10" t="str">
        <f t="shared" ref="AC1634:AC1696" si="2283">IFERROR(Q1634/S1634,"NA")</f>
        <v>NA</v>
      </c>
      <c r="AD1634" s="10" t="str">
        <f t="shared" ref="AD1634:AD1696" si="2284">IFERROR(Q1634/T1634,"NA")</f>
        <v>NA</v>
      </c>
      <c r="AE1634" s="10" t="str">
        <f t="shared" ref="AE1634:AE1696" si="2285">IFERROR(Q1634/X1634,"NA")</f>
        <v>NA</v>
      </c>
      <c r="AF1634" s="1" t="s">
        <v>3435</v>
      </c>
    </row>
    <row r="1635" spans="1:32" x14ac:dyDescent="0.2">
      <c r="A1635" s="1" t="s">
        <v>3436</v>
      </c>
      <c r="B1635" s="1" t="s">
        <v>5</v>
      </c>
      <c r="C1635" s="1" t="s">
        <v>3437</v>
      </c>
      <c r="D1635" s="1" t="s">
        <v>1584</v>
      </c>
      <c r="E1635" s="1" t="s">
        <v>3486</v>
      </c>
      <c r="F1635" s="1" t="s">
        <v>3447</v>
      </c>
      <c r="G1635" s="4">
        <v>0.19</v>
      </c>
      <c r="H1635" s="28">
        <v>44712</v>
      </c>
      <c r="I1635" s="29">
        <v>2022</v>
      </c>
      <c r="J1635" s="1" t="s">
        <v>6039</v>
      </c>
      <c r="K1635" s="1" t="s">
        <v>7</v>
      </c>
      <c r="L1635" s="11" t="str">
        <f t="shared" ref="L1635" si="2286">IF(OR(A1635=J1635,A1635=K1635),"ДА","НЕТ")</f>
        <v>НЕТ</v>
      </c>
      <c r="M1635" s="10" t="s">
        <v>1575</v>
      </c>
      <c r="N1635" s="10" t="s">
        <v>1575</v>
      </c>
      <c r="O1635" s="10">
        <v>24.035</v>
      </c>
      <c r="P1635" s="10">
        <f t="shared" si="2273"/>
        <v>126.5</v>
      </c>
      <c r="Q1635" s="10">
        <f t="shared" si="2274"/>
        <v>202.51099999999997</v>
      </c>
      <c r="R1635" s="10">
        <v>87.138000000000005</v>
      </c>
      <c r="S1635" s="10">
        <v>13.767000000000001</v>
      </c>
      <c r="T1635" s="10">
        <v>13.246</v>
      </c>
      <c r="U1635" s="10">
        <v>3.0070000000000001</v>
      </c>
      <c r="V1635" s="10">
        <v>61.36</v>
      </c>
      <c r="W1635" s="10">
        <v>76.010999999999981</v>
      </c>
      <c r="X1635" s="10">
        <f t="shared" si="2278"/>
        <v>137.37099999999998</v>
      </c>
      <c r="Y1635" s="10">
        <f t="shared" si="2279"/>
        <v>1.4517202598177603</v>
      </c>
      <c r="Z1635" s="10">
        <f t="shared" si="2280"/>
        <v>42.068506817426005</v>
      </c>
      <c r="AA1635" s="10">
        <f t="shared" si="2281"/>
        <v>2.0616036505867013</v>
      </c>
      <c r="AB1635" s="10">
        <f t="shared" si="2282"/>
        <v>2.3240262572012207</v>
      </c>
      <c r="AC1635" s="10">
        <f t="shared" si="2283"/>
        <v>14.70988595917774</v>
      </c>
      <c r="AD1635" s="10">
        <f t="shared" si="2284"/>
        <v>15.288464442095725</v>
      </c>
      <c r="AE1635" s="10">
        <f t="shared" si="2285"/>
        <v>1.4741903312926308</v>
      </c>
      <c r="AF1635" s="1" t="s">
        <v>3438</v>
      </c>
    </row>
    <row r="1636" spans="1:32" x14ac:dyDescent="0.2">
      <c r="A1636" s="1" t="s">
        <v>6040</v>
      </c>
      <c r="B1636" s="1" t="s">
        <v>5</v>
      </c>
      <c r="C1636" s="1" t="s">
        <v>1575</v>
      </c>
      <c r="D1636" s="1" t="s">
        <v>1584</v>
      </c>
      <c r="E1636" s="1" t="s">
        <v>3486</v>
      </c>
      <c r="F1636" s="1" t="s">
        <v>3447</v>
      </c>
      <c r="G1636" s="4">
        <v>1</v>
      </c>
      <c r="H1636" s="28">
        <v>44712</v>
      </c>
      <c r="I1636" s="29">
        <v>2022</v>
      </c>
      <c r="J1636" s="1" t="s">
        <v>6041</v>
      </c>
      <c r="K1636" s="1" t="s">
        <v>7</v>
      </c>
      <c r="L1636" s="11" t="str">
        <f t="shared" ref="L1636" si="2287">IF(OR(A1636=J1636,A1636=K1636),"ДА","НЕТ")</f>
        <v>НЕТ</v>
      </c>
      <c r="M1636" s="10" t="s">
        <v>1575</v>
      </c>
      <c r="N1636" s="10" t="s">
        <v>1575</v>
      </c>
      <c r="O1636" s="10">
        <v>1.923</v>
      </c>
      <c r="P1636" s="10">
        <f t="shared" si="2273"/>
        <v>1.923</v>
      </c>
      <c r="Q1636" s="10">
        <f t="shared" si="2274"/>
        <v>3.996</v>
      </c>
      <c r="R1636" s="10" t="s">
        <v>1575</v>
      </c>
      <c r="S1636" s="10" t="s">
        <v>1575</v>
      </c>
      <c r="T1636" s="10" t="s">
        <v>1575</v>
      </c>
      <c r="U1636" s="10" t="s">
        <v>1575</v>
      </c>
      <c r="V1636" s="10">
        <v>14.156000000000001</v>
      </c>
      <c r="W1636" s="10">
        <f>0.578+3.951-2.456</f>
        <v>2.073</v>
      </c>
      <c r="X1636" s="10">
        <f t="shared" si="2278"/>
        <v>16.228999999999999</v>
      </c>
      <c r="Y1636" s="10" t="str">
        <f t="shared" si="2279"/>
        <v>NA</v>
      </c>
      <c r="Z1636" s="10" t="str">
        <f t="shared" si="2280"/>
        <v>NA</v>
      </c>
      <c r="AA1636" s="10">
        <f t="shared" si="2281"/>
        <v>0.13584345860412544</v>
      </c>
      <c r="AB1636" s="10" t="str">
        <f t="shared" si="2282"/>
        <v>NA</v>
      </c>
      <c r="AC1636" s="10" t="str">
        <f t="shared" si="2283"/>
        <v>NA</v>
      </c>
      <c r="AD1636" s="10" t="str">
        <f t="shared" si="2284"/>
        <v>NA</v>
      </c>
      <c r="AE1636" s="10">
        <f t="shared" si="2285"/>
        <v>0.24622589192186828</v>
      </c>
      <c r="AF1636" s="1" t="s">
        <v>3439</v>
      </c>
    </row>
    <row r="1637" spans="1:32" x14ac:dyDescent="0.2">
      <c r="A1637" s="1" t="s">
        <v>6042</v>
      </c>
      <c r="B1637" s="1" t="s">
        <v>5</v>
      </c>
      <c r="C1637" s="1" t="s">
        <v>1575</v>
      </c>
      <c r="D1637" s="1" t="s">
        <v>1578</v>
      </c>
      <c r="E1637" s="1" t="s">
        <v>2143</v>
      </c>
      <c r="F1637" s="1" t="s">
        <v>3442</v>
      </c>
      <c r="G1637" s="4">
        <v>1</v>
      </c>
      <c r="H1637" s="28">
        <v>44926</v>
      </c>
      <c r="I1637" s="29">
        <v>2022</v>
      </c>
      <c r="J1637" s="1" t="s">
        <v>6039</v>
      </c>
      <c r="K1637" s="1" t="s">
        <v>7</v>
      </c>
      <c r="L1637" s="11" t="str">
        <f t="shared" ref="L1637" si="2288">IF(OR(A1637=J1637,A1637=K1637),"ДА","НЕТ")</f>
        <v>НЕТ</v>
      </c>
      <c r="M1637" s="10" t="s">
        <v>1575</v>
      </c>
      <c r="N1637" s="10" t="s">
        <v>1575</v>
      </c>
      <c r="O1637" s="10">
        <v>4.9290000000000003</v>
      </c>
      <c r="P1637" s="10">
        <f t="shared" si="2273"/>
        <v>4.9290000000000003</v>
      </c>
      <c r="Q1637" s="10" t="str">
        <f t="shared" si="2274"/>
        <v>NA</v>
      </c>
      <c r="R1637" s="10" t="s">
        <v>1575</v>
      </c>
      <c r="S1637" s="10" t="s">
        <v>1575</v>
      </c>
      <c r="T1637" s="10" t="s">
        <v>1575</v>
      </c>
      <c r="U1637" s="10" t="s">
        <v>1575</v>
      </c>
      <c r="V1637" s="10" t="s">
        <v>1575</v>
      </c>
      <c r="W1637" s="10" t="s">
        <v>1575</v>
      </c>
      <c r="X1637" s="10" t="str">
        <f t="shared" si="2278"/>
        <v>NA</v>
      </c>
      <c r="Y1637" s="10" t="str">
        <f t="shared" si="2279"/>
        <v>NA</v>
      </c>
      <c r="Z1637" s="10" t="str">
        <f t="shared" si="2280"/>
        <v>NA</v>
      </c>
      <c r="AA1637" s="10" t="str">
        <f t="shared" si="2281"/>
        <v>NA</v>
      </c>
      <c r="AB1637" s="10" t="str">
        <f t="shared" si="2282"/>
        <v>NA</v>
      </c>
      <c r="AC1637" s="10" t="str">
        <f t="shared" si="2283"/>
        <v>NA</v>
      </c>
      <c r="AD1637" s="10" t="str">
        <f t="shared" si="2284"/>
        <v>NA</v>
      </c>
      <c r="AE1637" s="10" t="str">
        <f t="shared" si="2285"/>
        <v>NA</v>
      </c>
      <c r="AF1637" s="1" t="s">
        <v>3443</v>
      </c>
    </row>
    <row r="1638" spans="1:32" x14ac:dyDescent="0.2">
      <c r="A1638" s="1" t="s">
        <v>6043</v>
      </c>
      <c r="B1638" s="1" t="s">
        <v>5</v>
      </c>
      <c r="C1638" s="1" t="s">
        <v>1575</v>
      </c>
      <c r="D1638" s="1" t="s">
        <v>1578</v>
      </c>
      <c r="E1638" s="1" t="s">
        <v>2143</v>
      </c>
      <c r="F1638" s="1" t="s">
        <v>3442</v>
      </c>
      <c r="G1638" s="4">
        <v>1</v>
      </c>
      <c r="H1638" s="28">
        <v>44926</v>
      </c>
      <c r="I1638" s="29">
        <v>2022</v>
      </c>
      <c r="J1638" s="1" t="s">
        <v>6039</v>
      </c>
      <c r="K1638" s="1" t="s">
        <v>7</v>
      </c>
      <c r="L1638" s="11" t="str">
        <f t="shared" ref="L1638:L1641" si="2289">IF(OR(A1638=J1638,A1638=K1638),"ДА","НЕТ")</f>
        <v>НЕТ</v>
      </c>
      <c r="M1638" s="10" t="s">
        <v>1575</v>
      </c>
      <c r="N1638" s="10" t="s">
        <v>1575</v>
      </c>
      <c r="O1638" s="10">
        <v>0.14299999999999999</v>
      </c>
      <c r="P1638" s="10">
        <f t="shared" si="2273"/>
        <v>0.14299999999999999</v>
      </c>
      <c r="Q1638" s="10" t="str">
        <f t="shared" si="2274"/>
        <v>NA</v>
      </c>
      <c r="R1638" s="10" t="s">
        <v>1575</v>
      </c>
      <c r="S1638" s="10" t="s">
        <v>1575</v>
      </c>
      <c r="T1638" s="10" t="s">
        <v>1575</v>
      </c>
      <c r="U1638" s="10" t="s">
        <v>1575</v>
      </c>
      <c r="V1638" s="10" t="s">
        <v>1575</v>
      </c>
      <c r="W1638" s="10" t="s">
        <v>1575</v>
      </c>
      <c r="X1638" s="10" t="str">
        <f t="shared" si="2278"/>
        <v>NA</v>
      </c>
      <c r="Y1638" s="10" t="str">
        <f t="shared" si="2279"/>
        <v>NA</v>
      </c>
      <c r="Z1638" s="10" t="str">
        <f t="shared" si="2280"/>
        <v>NA</v>
      </c>
      <c r="AA1638" s="10" t="str">
        <f t="shared" si="2281"/>
        <v>NA</v>
      </c>
      <c r="AB1638" s="10" t="str">
        <f t="shared" si="2282"/>
        <v>NA</v>
      </c>
      <c r="AC1638" s="10" t="str">
        <f t="shared" si="2283"/>
        <v>NA</v>
      </c>
      <c r="AD1638" s="10" t="str">
        <f t="shared" si="2284"/>
        <v>NA</v>
      </c>
      <c r="AE1638" s="10" t="str">
        <f t="shared" si="2285"/>
        <v>NA</v>
      </c>
      <c r="AF1638" s="1" t="s">
        <v>3444</v>
      </c>
    </row>
    <row r="1639" spans="1:32" x14ac:dyDescent="0.2">
      <c r="A1639" s="1" t="s">
        <v>6044</v>
      </c>
      <c r="B1639" s="1" t="s">
        <v>5</v>
      </c>
      <c r="C1639" s="1" t="s">
        <v>1575</v>
      </c>
      <c r="D1639" s="1" t="s">
        <v>1578</v>
      </c>
      <c r="E1639" s="1" t="s">
        <v>2143</v>
      </c>
      <c r="F1639" s="1" t="s">
        <v>3442</v>
      </c>
      <c r="G1639" s="4">
        <v>0.75</v>
      </c>
      <c r="H1639" s="28">
        <v>44926</v>
      </c>
      <c r="I1639" s="29">
        <v>2022</v>
      </c>
      <c r="J1639" s="1" t="s">
        <v>6039</v>
      </c>
      <c r="K1639" s="1" t="s">
        <v>7</v>
      </c>
      <c r="L1639" s="11" t="str">
        <f t="shared" si="2289"/>
        <v>НЕТ</v>
      </c>
      <c r="M1639" s="10" t="s">
        <v>1575</v>
      </c>
      <c r="N1639" s="10" t="s">
        <v>1575</v>
      </c>
      <c r="O1639" s="10">
        <v>1.125</v>
      </c>
      <c r="P1639" s="10">
        <f t="shared" si="2273"/>
        <v>1.5</v>
      </c>
      <c r="Q1639" s="10" t="str">
        <f t="shared" si="2274"/>
        <v>NA</v>
      </c>
      <c r="R1639" s="10" t="s">
        <v>1575</v>
      </c>
      <c r="S1639" s="10" t="s">
        <v>1575</v>
      </c>
      <c r="T1639" s="10" t="s">
        <v>1575</v>
      </c>
      <c r="U1639" s="10" t="s">
        <v>1575</v>
      </c>
      <c r="V1639" s="10" t="s">
        <v>1575</v>
      </c>
      <c r="W1639" s="10" t="s">
        <v>1575</v>
      </c>
      <c r="X1639" s="10" t="str">
        <f t="shared" si="2278"/>
        <v>NA</v>
      </c>
      <c r="Y1639" s="10" t="str">
        <f t="shared" si="2279"/>
        <v>NA</v>
      </c>
      <c r="Z1639" s="10" t="str">
        <f t="shared" si="2280"/>
        <v>NA</v>
      </c>
      <c r="AA1639" s="10" t="str">
        <f t="shared" si="2281"/>
        <v>NA</v>
      </c>
      <c r="AB1639" s="10" t="str">
        <f t="shared" si="2282"/>
        <v>NA</v>
      </c>
      <c r="AC1639" s="10" t="str">
        <f t="shared" si="2283"/>
        <v>NA</v>
      </c>
      <c r="AD1639" s="10" t="str">
        <f t="shared" si="2284"/>
        <v>NA</v>
      </c>
      <c r="AE1639" s="10" t="str">
        <f t="shared" si="2285"/>
        <v>NA</v>
      </c>
      <c r="AF1639" s="1" t="s">
        <v>3445</v>
      </c>
    </row>
    <row r="1640" spans="1:32" x14ac:dyDescent="0.2">
      <c r="A1640" s="1" t="s">
        <v>6045</v>
      </c>
      <c r="B1640" s="1" t="s">
        <v>5</v>
      </c>
      <c r="C1640" s="1" t="s">
        <v>1575</v>
      </c>
      <c r="D1640" s="1" t="s">
        <v>1578</v>
      </c>
      <c r="E1640" s="1" t="s">
        <v>2143</v>
      </c>
      <c r="F1640" s="1" t="s">
        <v>3442</v>
      </c>
      <c r="G1640" s="4">
        <v>0.1</v>
      </c>
      <c r="H1640" s="28">
        <v>44926</v>
      </c>
      <c r="I1640" s="29">
        <v>2022</v>
      </c>
      <c r="J1640" s="1" t="s">
        <v>6039</v>
      </c>
      <c r="K1640" s="1" t="s">
        <v>7</v>
      </c>
      <c r="L1640" s="11" t="str">
        <f t="shared" si="2289"/>
        <v>НЕТ</v>
      </c>
      <c r="M1640" s="10" t="s">
        <v>1575</v>
      </c>
      <c r="N1640" s="10" t="s">
        <v>1575</v>
      </c>
      <c r="O1640" s="10">
        <v>0.255</v>
      </c>
      <c r="P1640" s="10">
        <f t="shared" si="2273"/>
        <v>2.5499999999999998</v>
      </c>
      <c r="Q1640" s="10" t="str">
        <f t="shared" si="2274"/>
        <v>NA</v>
      </c>
      <c r="R1640" s="10" t="s">
        <v>1575</v>
      </c>
      <c r="S1640" s="10" t="s">
        <v>1575</v>
      </c>
      <c r="T1640" s="10" t="s">
        <v>1575</v>
      </c>
      <c r="U1640" s="10" t="s">
        <v>1575</v>
      </c>
      <c r="V1640" s="10" t="s">
        <v>1575</v>
      </c>
      <c r="W1640" s="10" t="s">
        <v>1575</v>
      </c>
      <c r="X1640" s="10" t="str">
        <f t="shared" si="2278"/>
        <v>NA</v>
      </c>
      <c r="Y1640" s="10" t="str">
        <f t="shared" si="2279"/>
        <v>NA</v>
      </c>
      <c r="Z1640" s="10" t="str">
        <f t="shared" si="2280"/>
        <v>NA</v>
      </c>
      <c r="AA1640" s="10" t="str">
        <f t="shared" si="2281"/>
        <v>NA</v>
      </c>
      <c r="AB1640" s="10" t="str">
        <f t="shared" si="2282"/>
        <v>NA</v>
      </c>
      <c r="AC1640" s="10" t="str">
        <f t="shared" si="2283"/>
        <v>NA</v>
      </c>
      <c r="AD1640" s="10" t="str">
        <f t="shared" si="2284"/>
        <v>NA</v>
      </c>
      <c r="AE1640" s="10" t="str">
        <f t="shared" si="2285"/>
        <v>NA</v>
      </c>
      <c r="AF1640" s="1" t="s">
        <v>3446</v>
      </c>
    </row>
    <row r="1641" spans="1:32" x14ac:dyDescent="0.2">
      <c r="A1641" s="1" t="s">
        <v>3431</v>
      </c>
      <c r="B1641" s="1" t="s">
        <v>5</v>
      </c>
      <c r="C1641" s="1" t="s">
        <v>1575</v>
      </c>
      <c r="D1641" s="1" t="s">
        <v>1575</v>
      </c>
      <c r="E1641" s="1" t="s">
        <v>1575</v>
      </c>
      <c r="F1641" s="1" t="s">
        <v>3432</v>
      </c>
      <c r="G1641" s="4" t="s">
        <v>1575</v>
      </c>
      <c r="H1641" s="28">
        <v>44834</v>
      </c>
      <c r="I1641" s="29">
        <v>2022</v>
      </c>
      <c r="J1641" s="1" t="s">
        <v>6039</v>
      </c>
      <c r="K1641" s="1" t="s">
        <v>7</v>
      </c>
      <c r="L1641" s="11" t="str">
        <f t="shared" si="2289"/>
        <v>НЕТ</v>
      </c>
      <c r="M1641" s="10" t="s">
        <v>1575</v>
      </c>
      <c r="N1641" s="10" t="s">
        <v>1575</v>
      </c>
      <c r="O1641" s="10">
        <v>3.9860000000000002</v>
      </c>
      <c r="P1641" s="10" t="str">
        <f t="shared" si="2273"/>
        <v>NA</v>
      </c>
      <c r="Q1641" s="10" t="str">
        <f t="shared" si="2274"/>
        <v>NA</v>
      </c>
      <c r="R1641" s="10" t="s">
        <v>1575</v>
      </c>
      <c r="S1641" s="10" t="s">
        <v>1575</v>
      </c>
      <c r="T1641" s="10" t="s">
        <v>1575</v>
      </c>
      <c r="U1641" s="10" t="s">
        <v>1575</v>
      </c>
      <c r="V1641" s="10">
        <v>3.9</v>
      </c>
      <c r="W1641" s="10">
        <f>0.044+0.079+5.962-0.28</f>
        <v>5.8049999999999997</v>
      </c>
      <c r="X1641" s="10">
        <f t="shared" si="2278"/>
        <v>9.7050000000000001</v>
      </c>
      <c r="Y1641" s="10" t="str">
        <f t="shared" si="2279"/>
        <v>NA</v>
      </c>
      <c r="Z1641" s="10" t="str">
        <f t="shared" si="2280"/>
        <v>NA</v>
      </c>
      <c r="AA1641" s="10" t="str">
        <f t="shared" si="2281"/>
        <v>NA</v>
      </c>
      <c r="AB1641" s="10" t="str">
        <f t="shared" si="2282"/>
        <v>NA</v>
      </c>
      <c r="AC1641" s="10" t="str">
        <f t="shared" si="2283"/>
        <v>NA</v>
      </c>
      <c r="AD1641" s="10" t="str">
        <f t="shared" si="2284"/>
        <v>NA</v>
      </c>
      <c r="AE1641" s="10" t="str">
        <f t="shared" si="2285"/>
        <v>NA</v>
      </c>
    </row>
    <row r="1642" spans="1:32" x14ac:dyDescent="0.2">
      <c r="A1642" s="1" t="s">
        <v>6046</v>
      </c>
      <c r="B1642" s="1" t="s">
        <v>5</v>
      </c>
      <c r="C1642" s="1" t="s">
        <v>1575</v>
      </c>
      <c r="D1642" s="1" t="s">
        <v>1578</v>
      </c>
      <c r="E1642" s="1" t="s">
        <v>2422</v>
      </c>
      <c r="F1642" s="1" t="s">
        <v>363</v>
      </c>
      <c r="G1642" s="4" t="s">
        <v>1575</v>
      </c>
      <c r="H1642" s="28">
        <v>44255</v>
      </c>
      <c r="I1642" s="29">
        <v>2021</v>
      </c>
      <c r="J1642" s="1" t="s">
        <v>6039</v>
      </c>
      <c r="K1642" s="1" t="s">
        <v>7</v>
      </c>
      <c r="L1642" s="11" t="str">
        <f t="shared" ref="L1642" si="2290">IF(OR(A1642=J1642,A1642=K1642),"ДА","НЕТ")</f>
        <v>НЕТ</v>
      </c>
      <c r="M1642" s="10" t="s">
        <v>1575</v>
      </c>
      <c r="N1642" s="10" t="s">
        <v>1575</v>
      </c>
      <c r="O1642" s="10">
        <v>38.343000000000004</v>
      </c>
      <c r="P1642" s="10" t="str">
        <f t="shared" si="2273"/>
        <v>NA</v>
      </c>
      <c r="Q1642" s="10" t="str">
        <f t="shared" si="2274"/>
        <v>NA</v>
      </c>
      <c r="R1642" s="10" t="s">
        <v>1575</v>
      </c>
      <c r="S1642" s="10" t="s">
        <v>1575</v>
      </c>
      <c r="T1642" s="10" t="s">
        <v>1575</v>
      </c>
      <c r="U1642" s="10" t="s">
        <v>1575</v>
      </c>
      <c r="V1642" s="10">
        <v>30.254999999999999</v>
      </c>
      <c r="W1642" s="10">
        <f>0.389+8.942</f>
        <v>9.3309999999999995</v>
      </c>
      <c r="X1642" s="10">
        <f t="shared" si="2278"/>
        <v>39.585999999999999</v>
      </c>
      <c r="Y1642" s="10" t="str">
        <f t="shared" si="2279"/>
        <v>NA</v>
      </c>
      <c r="Z1642" s="10" t="str">
        <f t="shared" si="2280"/>
        <v>NA</v>
      </c>
      <c r="AA1642" s="10" t="str">
        <f t="shared" si="2281"/>
        <v>NA</v>
      </c>
      <c r="AB1642" s="10" t="str">
        <f t="shared" si="2282"/>
        <v>NA</v>
      </c>
      <c r="AC1642" s="10" t="str">
        <f t="shared" si="2283"/>
        <v>NA</v>
      </c>
      <c r="AD1642" s="10" t="str">
        <f t="shared" si="2284"/>
        <v>NA</v>
      </c>
      <c r="AE1642" s="10" t="str">
        <f t="shared" si="2285"/>
        <v>NA</v>
      </c>
      <c r="AF1642" s="1" t="s">
        <v>3440</v>
      </c>
    </row>
    <row r="1643" spans="1:32" x14ac:dyDescent="0.2">
      <c r="A1643" s="1" t="s">
        <v>6047</v>
      </c>
      <c r="B1643" s="1" t="s">
        <v>5</v>
      </c>
      <c r="C1643" s="1" t="s">
        <v>1575</v>
      </c>
      <c r="D1643" s="1" t="s">
        <v>1578</v>
      </c>
      <c r="E1643" s="1" t="s">
        <v>2422</v>
      </c>
      <c r="F1643" s="1" t="s">
        <v>363</v>
      </c>
      <c r="G1643" s="4">
        <v>0.32390000000000002</v>
      </c>
      <c r="H1643" s="28">
        <v>44286</v>
      </c>
      <c r="I1643" s="29">
        <v>2021</v>
      </c>
      <c r="J1643" s="1" t="s">
        <v>6048</v>
      </c>
      <c r="K1643" s="1" t="s">
        <v>6049</v>
      </c>
      <c r="L1643" s="11" t="str">
        <f t="shared" ref="L1643:L1645" si="2291">IF(OR(A1643=J1643,A1643=K1643),"ДА","НЕТ")</f>
        <v>НЕТ</v>
      </c>
      <c r="M1643" s="10" t="s">
        <v>1575</v>
      </c>
      <c r="N1643" s="10" t="s">
        <v>1575</v>
      </c>
      <c r="O1643" s="10">
        <v>6.9</v>
      </c>
      <c r="P1643" s="10">
        <f t="shared" si="2273"/>
        <v>21.302871256560667</v>
      </c>
      <c r="Q1643" s="10" t="str">
        <f t="shared" si="2274"/>
        <v>NA</v>
      </c>
      <c r="R1643" s="10" t="s">
        <v>1575</v>
      </c>
      <c r="S1643" s="10" t="s">
        <v>1575</v>
      </c>
      <c r="T1643" s="10" t="s">
        <v>1575</v>
      </c>
      <c r="U1643" s="10" t="s">
        <v>1575</v>
      </c>
      <c r="V1643" s="10" t="s">
        <v>1575</v>
      </c>
      <c r="W1643" s="10" t="s">
        <v>1575</v>
      </c>
      <c r="X1643" s="10" t="str">
        <f t="shared" si="2278"/>
        <v>NA</v>
      </c>
      <c r="Y1643" s="10" t="str">
        <f t="shared" si="2279"/>
        <v>NA</v>
      </c>
      <c r="Z1643" s="10" t="str">
        <f t="shared" si="2280"/>
        <v>NA</v>
      </c>
      <c r="AA1643" s="10" t="str">
        <f t="shared" si="2281"/>
        <v>NA</v>
      </c>
      <c r="AB1643" s="10" t="str">
        <f t="shared" si="2282"/>
        <v>NA</v>
      </c>
      <c r="AC1643" s="10" t="str">
        <f t="shared" si="2283"/>
        <v>NA</v>
      </c>
      <c r="AD1643" s="10" t="str">
        <f t="shared" si="2284"/>
        <v>NA</v>
      </c>
      <c r="AE1643" s="10" t="str">
        <f t="shared" si="2285"/>
        <v>NA</v>
      </c>
      <c r="AF1643" s="1" t="s">
        <v>3441</v>
      </c>
    </row>
    <row r="1644" spans="1:32" x14ac:dyDescent="0.2">
      <c r="A1644" s="1" t="s">
        <v>3448</v>
      </c>
      <c r="B1644" s="1" t="s">
        <v>1575</v>
      </c>
      <c r="C1644" s="1" t="s">
        <v>1575</v>
      </c>
      <c r="D1644" s="1" t="s">
        <v>1580</v>
      </c>
      <c r="E1644" s="1" t="s">
        <v>1593</v>
      </c>
      <c r="F1644" s="1" t="s">
        <v>545</v>
      </c>
      <c r="G1644" s="4">
        <v>3.95E-2</v>
      </c>
      <c r="H1644" s="28">
        <v>44316</v>
      </c>
      <c r="I1644" s="29">
        <v>2021</v>
      </c>
      <c r="J1644" s="1" t="s">
        <v>6039</v>
      </c>
      <c r="K1644" s="1" t="s">
        <v>7</v>
      </c>
      <c r="L1644" s="11" t="str">
        <f t="shared" si="2291"/>
        <v>НЕТ</v>
      </c>
      <c r="M1644" s="10" t="s">
        <v>1575</v>
      </c>
      <c r="N1644" s="10" t="s">
        <v>1575</v>
      </c>
      <c r="O1644" s="10">
        <v>1.2</v>
      </c>
      <c r="P1644" s="10">
        <f t="shared" si="2273"/>
        <v>30.379746835443036</v>
      </c>
      <c r="Q1644" s="10" t="str">
        <f t="shared" si="2274"/>
        <v>NA</v>
      </c>
      <c r="R1644" s="10" t="s">
        <v>1575</v>
      </c>
      <c r="S1644" s="10" t="s">
        <v>1575</v>
      </c>
      <c r="T1644" s="10" t="s">
        <v>1575</v>
      </c>
      <c r="U1644" s="10" t="s">
        <v>1575</v>
      </c>
      <c r="V1644" s="10" t="s">
        <v>1575</v>
      </c>
      <c r="W1644" s="10" t="s">
        <v>1575</v>
      </c>
      <c r="X1644" s="10" t="str">
        <f t="shared" si="2278"/>
        <v>NA</v>
      </c>
      <c r="Y1644" s="10" t="str">
        <f t="shared" si="2279"/>
        <v>NA</v>
      </c>
      <c r="Z1644" s="10" t="str">
        <f t="shared" si="2280"/>
        <v>NA</v>
      </c>
      <c r="AA1644" s="10" t="str">
        <f t="shared" si="2281"/>
        <v>NA</v>
      </c>
      <c r="AB1644" s="10" t="str">
        <f t="shared" si="2282"/>
        <v>NA</v>
      </c>
      <c r="AC1644" s="10" t="str">
        <f t="shared" si="2283"/>
        <v>NA</v>
      </c>
      <c r="AD1644" s="10" t="str">
        <f t="shared" si="2284"/>
        <v>NA</v>
      </c>
      <c r="AE1644" s="10" t="str">
        <f t="shared" si="2285"/>
        <v>NA</v>
      </c>
      <c r="AF1644" s="1" t="s">
        <v>3449</v>
      </c>
    </row>
    <row r="1645" spans="1:32" x14ac:dyDescent="0.2">
      <c r="A1645" s="1" t="s">
        <v>3448</v>
      </c>
      <c r="B1645" s="1" t="s">
        <v>1575</v>
      </c>
      <c r="C1645" s="1" t="s">
        <v>1575</v>
      </c>
      <c r="D1645" s="1" t="s">
        <v>1580</v>
      </c>
      <c r="E1645" s="1" t="s">
        <v>1593</v>
      </c>
      <c r="F1645" s="1" t="s">
        <v>545</v>
      </c>
      <c r="G1645" s="4">
        <v>0.112</v>
      </c>
      <c r="H1645" s="28">
        <v>44375</v>
      </c>
      <c r="I1645" s="29">
        <v>2021</v>
      </c>
      <c r="J1645" s="1" t="s">
        <v>3450</v>
      </c>
      <c r="K1645" s="1" t="s">
        <v>6048</v>
      </c>
      <c r="L1645" s="11" t="str">
        <f t="shared" si="2291"/>
        <v>НЕТ</v>
      </c>
      <c r="M1645" s="10" t="s">
        <v>1575</v>
      </c>
      <c r="N1645" s="10" t="s">
        <v>1575</v>
      </c>
      <c r="O1645" s="10">
        <v>7</v>
      </c>
      <c r="P1645" s="10">
        <f t="shared" si="2273"/>
        <v>62.5</v>
      </c>
      <c r="Q1645" s="10" t="str">
        <f t="shared" si="2274"/>
        <v>NA</v>
      </c>
      <c r="R1645" s="10" t="s">
        <v>1575</v>
      </c>
      <c r="S1645" s="10" t="s">
        <v>1575</v>
      </c>
      <c r="T1645" s="10" t="s">
        <v>1575</v>
      </c>
      <c r="U1645" s="10" t="s">
        <v>1575</v>
      </c>
      <c r="V1645" s="10" t="s">
        <v>1575</v>
      </c>
      <c r="W1645" s="10" t="s">
        <v>1575</v>
      </c>
      <c r="X1645" s="10" t="str">
        <f t="shared" si="2278"/>
        <v>NA</v>
      </c>
      <c r="Y1645" s="10" t="str">
        <f t="shared" si="2279"/>
        <v>NA</v>
      </c>
      <c r="Z1645" s="10" t="str">
        <f t="shared" si="2280"/>
        <v>NA</v>
      </c>
      <c r="AA1645" s="10" t="str">
        <f t="shared" si="2281"/>
        <v>NA</v>
      </c>
      <c r="AB1645" s="10" t="str">
        <f t="shared" si="2282"/>
        <v>NA</v>
      </c>
      <c r="AC1645" s="10" t="str">
        <f t="shared" si="2283"/>
        <v>NA</v>
      </c>
      <c r="AD1645" s="10" t="str">
        <f t="shared" si="2284"/>
        <v>NA</v>
      </c>
      <c r="AE1645" s="10" t="str">
        <f t="shared" si="2285"/>
        <v>NA</v>
      </c>
      <c r="AF1645" s="1" t="s">
        <v>3451</v>
      </c>
    </row>
    <row r="1646" spans="1:32" x14ac:dyDescent="0.2">
      <c r="A1646" s="1" t="s">
        <v>3448</v>
      </c>
      <c r="B1646" s="1" t="s">
        <v>1575</v>
      </c>
      <c r="C1646" s="1" t="s">
        <v>1575</v>
      </c>
      <c r="D1646" s="1" t="s">
        <v>1580</v>
      </c>
      <c r="E1646" s="1" t="s">
        <v>1593</v>
      </c>
      <c r="F1646" s="1" t="s">
        <v>545</v>
      </c>
      <c r="G1646" s="4">
        <v>0.2097</v>
      </c>
      <c r="H1646" s="28">
        <v>44407</v>
      </c>
      <c r="I1646" s="29">
        <v>2021</v>
      </c>
      <c r="J1646" s="1" t="s">
        <v>6039</v>
      </c>
      <c r="K1646" s="1" t="s">
        <v>7</v>
      </c>
      <c r="L1646" s="11" t="str">
        <f t="shared" ref="L1646" si="2292">IF(OR(A1646=J1646,A1646=K1646),"ДА","НЕТ")</f>
        <v>НЕТ</v>
      </c>
      <c r="M1646" s="10" t="s">
        <v>1575</v>
      </c>
      <c r="N1646" s="10" t="s">
        <v>1575</v>
      </c>
      <c r="O1646" s="10">
        <v>6.7</v>
      </c>
      <c r="P1646" s="10">
        <f t="shared" si="2273"/>
        <v>31.950405340963282</v>
      </c>
      <c r="Q1646" s="10" t="str">
        <f t="shared" si="2274"/>
        <v>NA</v>
      </c>
      <c r="R1646" s="10" t="s">
        <v>1575</v>
      </c>
      <c r="S1646" s="10" t="s">
        <v>1575</v>
      </c>
      <c r="T1646" s="10" t="s">
        <v>1575</v>
      </c>
      <c r="U1646" s="10" t="s">
        <v>1575</v>
      </c>
      <c r="V1646" s="10" t="s">
        <v>1575</v>
      </c>
      <c r="W1646" s="10" t="s">
        <v>1575</v>
      </c>
      <c r="X1646" s="10" t="str">
        <f t="shared" si="2278"/>
        <v>NA</v>
      </c>
      <c r="Y1646" s="10" t="str">
        <f t="shared" si="2279"/>
        <v>NA</v>
      </c>
      <c r="Z1646" s="10" t="str">
        <f t="shared" si="2280"/>
        <v>NA</v>
      </c>
      <c r="AA1646" s="10" t="str">
        <f t="shared" si="2281"/>
        <v>NA</v>
      </c>
      <c r="AB1646" s="10" t="str">
        <f t="shared" si="2282"/>
        <v>NA</v>
      </c>
      <c r="AC1646" s="10" t="str">
        <f t="shared" si="2283"/>
        <v>NA</v>
      </c>
      <c r="AD1646" s="10" t="str">
        <f t="shared" si="2284"/>
        <v>NA</v>
      </c>
      <c r="AE1646" s="10" t="str">
        <f t="shared" si="2285"/>
        <v>NA</v>
      </c>
      <c r="AF1646" s="1" t="s">
        <v>3452</v>
      </c>
    </row>
    <row r="1647" spans="1:32" x14ac:dyDescent="0.2">
      <c r="A1647" s="1" t="s">
        <v>3454</v>
      </c>
      <c r="B1647" s="1" t="s">
        <v>1575</v>
      </c>
      <c r="C1647" s="1" t="s">
        <v>1575</v>
      </c>
      <c r="D1647" s="1" t="s">
        <v>1580</v>
      </c>
      <c r="E1647" s="1" t="s">
        <v>1593</v>
      </c>
      <c r="F1647" s="1" t="s">
        <v>545</v>
      </c>
      <c r="G1647" s="4">
        <v>1</v>
      </c>
      <c r="H1647" s="28">
        <v>44561</v>
      </c>
      <c r="I1647" s="29">
        <v>2021</v>
      </c>
      <c r="J1647" s="1" t="s">
        <v>6048</v>
      </c>
      <c r="K1647" s="1" t="s">
        <v>7</v>
      </c>
      <c r="L1647" s="11" t="str">
        <f t="shared" ref="L1647" si="2293">IF(OR(A1647=J1647,A1647=K1647),"ДА","НЕТ")</f>
        <v>НЕТ</v>
      </c>
      <c r="M1647" s="10" t="s">
        <v>1575</v>
      </c>
      <c r="N1647" s="10" t="s">
        <v>1575</v>
      </c>
      <c r="O1647" s="10">
        <v>9.06</v>
      </c>
      <c r="P1647" s="10">
        <f t="shared" si="2273"/>
        <v>9.06</v>
      </c>
      <c r="Q1647" s="10" t="str">
        <f t="shared" si="2274"/>
        <v>NA</v>
      </c>
      <c r="R1647" s="10" t="s">
        <v>1575</v>
      </c>
      <c r="S1647" s="10" t="s">
        <v>1575</v>
      </c>
      <c r="T1647" s="10" t="s">
        <v>1575</v>
      </c>
      <c r="U1647" s="10" t="s">
        <v>1575</v>
      </c>
      <c r="V1647" s="10" t="s">
        <v>1575</v>
      </c>
      <c r="W1647" s="10" t="s">
        <v>1575</v>
      </c>
      <c r="X1647" s="10" t="str">
        <f t="shared" si="2278"/>
        <v>NA</v>
      </c>
      <c r="Y1647" s="10" t="str">
        <f t="shared" si="2279"/>
        <v>NA</v>
      </c>
      <c r="Z1647" s="10" t="str">
        <f t="shared" si="2280"/>
        <v>NA</v>
      </c>
      <c r="AA1647" s="10" t="str">
        <f t="shared" si="2281"/>
        <v>NA</v>
      </c>
      <c r="AB1647" s="10" t="str">
        <f t="shared" si="2282"/>
        <v>NA</v>
      </c>
      <c r="AC1647" s="10" t="str">
        <f t="shared" si="2283"/>
        <v>NA</v>
      </c>
      <c r="AD1647" s="10" t="str">
        <f t="shared" si="2284"/>
        <v>NA</v>
      </c>
      <c r="AE1647" s="10" t="str">
        <f t="shared" si="2285"/>
        <v>NA</v>
      </c>
      <c r="AF1647" s="1" t="s">
        <v>3453</v>
      </c>
    </row>
    <row r="1648" spans="1:32" x14ac:dyDescent="0.2">
      <c r="A1648" s="1" t="s">
        <v>6050</v>
      </c>
      <c r="B1648" s="1" t="s">
        <v>5</v>
      </c>
      <c r="C1648" s="1" t="s">
        <v>1575</v>
      </c>
      <c r="D1648" s="1" t="s">
        <v>2160</v>
      </c>
      <c r="E1648" s="1" t="s">
        <v>2167</v>
      </c>
      <c r="F1648" s="1" t="s">
        <v>3455</v>
      </c>
      <c r="G1648" s="4">
        <v>1</v>
      </c>
      <c r="H1648" s="28">
        <v>44558</v>
      </c>
      <c r="I1648" s="29">
        <v>2021</v>
      </c>
      <c r="J1648" s="1" t="s">
        <v>6051</v>
      </c>
      <c r="K1648" s="1" t="s">
        <v>7</v>
      </c>
      <c r="L1648" s="11" t="str">
        <f t="shared" ref="L1648" si="2294">IF(OR(A1648=J1648,A1648=K1648),"ДА","НЕТ")</f>
        <v>НЕТ</v>
      </c>
      <c r="M1648" s="10">
        <v>528</v>
      </c>
      <c r="N1648" s="10" t="s">
        <v>1575</v>
      </c>
      <c r="O1648" s="10">
        <v>38.747999999999998</v>
      </c>
      <c r="P1648" s="10">
        <f t="shared" si="2273"/>
        <v>38.747999999999998</v>
      </c>
      <c r="Q1648" s="10">
        <f t="shared" si="2274"/>
        <v>64.331999999999994</v>
      </c>
      <c r="R1648" s="10" t="s">
        <v>1575</v>
      </c>
      <c r="S1648" s="10" t="s">
        <v>1575</v>
      </c>
      <c r="T1648" s="10" t="s">
        <v>1575</v>
      </c>
      <c r="U1648" s="10" t="s">
        <v>1575</v>
      </c>
      <c r="V1648" s="10">
        <v>38.747999999999998</v>
      </c>
      <c r="W1648" s="10">
        <f>11.005+14.579</f>
        <v>25.584000000000003</v>
      </c>
      <c r="X1648" s="10">
        <f t="shared" si="2278"/>
        <v>64.331999999999994</v>
      </c>
      <c r="Y1648" s="10" t="str">
        <f t="shared" si="2279"/>
        <v>NA</v>
      </c>
      <c r="Z1648" s="10" t="str">
        <f t="shared" si="2280"/>
        <v>NA</v>
      </c>
      <c r="AA1648" s="10">
        <f t="shared" si="2281"/>
        <v>1</v>
      </c>
      <c r="AB1648" s="10" t="str">
        <f t="shared" si="2282"/>
        <v>NA</v>
      </c>
      <c r="AC1648" s="10" t="str">
        <f t="shared" si="2283"/>
        <v>NA</v>
      </c>
      <c r="AD1648" s="10" t="str">
        <f t="shared" si="2284"/>
        <v>NA</v>
      </c>
      <c r="AE1648" s="10">
        <f t="shared" si="2285"/>
        <v>1</v>
      </c>
      <c r="AF1648" s="1" t="s">
        <v>3456</v>
      </c>
    </row>
    <row r="1649" spans="1:32" x14ac:dyDescent="0.2">
      <c r="A1649" s="1" t="s">
        <v>6052</v>
      </c>
      <c r="B1649" s="1" t="s">
        <v>5</v>
      </c>
      <c r="C1649" s="1" t="s">
        <v>1575</v>
      </c>
      <c r="D1649" s="1" t="s">
        <v>2160</v>
      </c>
      <c r="E1649" s="1" t="s">
        <v>2167</v>
      </c>
      <c r="F1649" s="1" t="s">
        <v>3455</v>
      </c>
      <c r="G1649" s="4">
        <v>1</v>
      </c>
      <c r="H1649" s="28">
        <v>44404</v>
      </c>
      <c r="I1649" s="29">
        <v>2021</v>
      </c>
      <c r="J1649" s="1" t="s">
        <v>6051</v>
      </c>
      <c r="K1649" s="1" t="s">
        <v>7</v>
      </c>
      <c r="L1649" s="11" t="str">
        <f t="shared" ref="L1649" si="2295">IF(OR(A1649=J1649,A1649=K1649),"ДА","НЕТ")</f>
        <v>НЕТ</v>
      </c>
      <c r="M1649" s="10" t="s">
        <v>1575</v>
      </c>
      <c r="N1649" s="10" t="s">
        <v>1575</v>
      </c>
      <c r="O1649" s="10">
        <v>3.7080000000000002</v>
      </c>
      <c r="P1649" s="10">
        <f t="shared" si="2273"/>
        <v>3.7080000000000002</v>
      </c>
      <c r="Q1649" s="10">
        <f t="shared" si="2274"/>
        <v>6.7690000000000001</v>
      </c>
      <c r="R1649" s="10" t="s">
        <v>1575</v>
      </c>
      <c r="S1649" s="10" t="s">
        <v>1575</v>
      </c>
      <c r="T1649" s="10" t="s">
        <v>1575</v>
      </c>
      <c r="U1649" s="10" t="s">
        <v>1575</v>
      </c>
      <c r="V1649" s="10">
        <v>7.53</v>
      </c>
      <c r="W1649" s="10">
        <f>1.837+1.224</f>
        <v>3.0609999999999999</v>
      </c>
      <c r="X1649" s="10">
        <f t="shared" si="2278"/>
        <v>10.591000000000001</v>
      </c>
      <c r="Y1649" s="10" t="str">
        <f t="shared" si="2279"/>
        <v>NA</v>
      </c>
      <c r="Z1649" s="10" t="str">
        <f t="shared" si="2280"/>
        <v>NA</v>
      </c>
      <c r="AA1649" s="10">
        <f t="shared" si="2281"/>
        <v>0.49243027888446217</v>
      </c>
      <c r="AB1649" s="10" t="str">
        <f t="shared" si="2282"/>
        <v>NA</v>
      </c>
      <c r="AC1649" s="10" t="str">
        <f t="shared" si="2283"/>
        <v>NA</v>
      </c>
      <c r="AD1649" s="10" t="str">
        <f t="shared" si="2284"/>
        <v>NA</v>
      </c>
      <c r="AE1649" s="10">
        <f t="shared" si="2285"/>
        <v>0.63912756113681424</v>
      </c>
      <c r="AF1649" s="1" t="s">
        <v>3458</v>
      </c>
    </row>
    <row r="1650" spans="1:32" x14ac:dyDescent="0.2">
      <c r="A1650" s="1" t="s">
        <v>6053</v>
      </c>
      <c r="B1650" s="1" t="s">
        <v>5</v>
      </c>
      <c r="C1650" s="1" t="s">
        <v>1575</v>
      </c>
      <c r="D1650" s="1" t="s">
        <v>1578</v>
      </c>
      <c r="E1650" s="1" t="s">
        <v>2531</v>
      </c>
      <c r="F1650" s="1" t="s">
        <v>3457</v>
      </c>
      <c r="G1650" s="4" t="s">
        <v>11</v>
      </c>
      <c r="H1650" s="28">
        <v>44561</v>
      </c>
      <c r="I1650" s="29">
        <v>2021</v>
      </c>
      <c r="J1650" s="1" t="s">
        <v>6054</v>
      </c>
      <c r="K1650" s="1" t="s">
        <v>7</v>
      </c>
      <c r="L1650" s="11" t="str">
        <f t="shared" ref="L1650:L1652" si="2296">IF(OR(A1650=J1650,A1650=K1650),"ДА","НЕТ")</f>
        <v>НЕТ</v>
      </c>
      <c r="M1650" s="10" t="s">
        <v>1575</v>
      </c>
      <c r="N1650" s="10" t="s">
        <v>1575</v>
      </c>
      <c r="O1650" s="10">
        <v>2.1179999999999999</v>
      </c>
      <c r="P1650" s="10" t="str">
        <f t="shared" si="2273"/>
        <v>NA</v>
      </c>
      <c r="Q1650" s="10" t="str">
        <f t="shared" si="2274"/>
        <v>NA</v>
      </c>
      <c r="R1650" s="10" t="s">
        <v>1575</v>
      </c>
      <c r="S1650" s="10" t="s">
        <v>1575</v>
      </c>
      <c r="T1650" s="10" t="s">
        <v>1575</v>
      </c>
      <c r="U1650" s="10" t="s">
        <v>1575</v>
      </c>
      <c r="V1650" s="10">
        <v>1.9039999999999999</v>
      </c>
      <c r="W1650" s="10">
        <v>0.95899999999999996</v>
      </c>
      <c r="X1650" s="10">
        <f t="shared" si="2278"/>
        <v>2.863</v>
      </c>
      <c r="Y1650" s="10" t="str">
        <f t="shared" si="2279"/>
        <v>NA</v>
      </c>
      <c r="Z1650" s="10" t="str">
        <f t="shared" si="2280"/>
        <v>NA</v>
      </c>
      <c r="AA1650" s="10" t="str">
        <f t="shared" si="2281"/>
        <v>NA</v>
      </c>
      <c r="AB1650" s="10" t="str">
        <f t="shared" si="2282"/>
        <v>NA</v>
      </c>
      <c r="AC1650" s="10" t="str">
        <f t="shared" si="2283"/>
        <v>NA</v>
      </c>
      <c r="AD1650" s="10" t="str">
        <f t="shared" si="2284"/>
        <v>NA</v>
      </c>
      <c r="AE1650" s="10" t="str">
        <f t="shared" si="2285"/>
        <v>NA</v>
      </c>
      <c r="AF1650" s="1" t="s">
        <v>3459</v>
      </c>
    </row>
    <row r="1651" spans="1:32" x14ac:dyDescent="0.2">
      <c r="A1651" s="1" t="s">
        <v>6055</v>
      </c>
      <c r="B1651" s="1" t="s">
        <v>5</v>
      </c>
      <c r="C1651" s="1" t="s">
        <v>1575</v>
      </c>
      <c r="D1651" s="1" t="s">
        <v>1578</v>
      </c>
      <c r="E1651" s="1" t="s">
        <v>2143</v>
      </c>
      <c r="F1651" s="1" t="s">
        <v>3442</v>
      </c>
      <c r="G1651" s="4">
        <v>0.41</v>
      </c>
      <c r="H1651" s="28">
        <v>44561</v>
      </c>
      <c r="I1651" s="29">
        <v>2021</v>
      </c>
      <c r="J1651" s="1" t="s">
        <v>6039</v>
      </c>
      <c r="K1651" s="1" t="s">
        <v>7</v>
      </c>
      <c r="L1651" s="11" t="str">
        <f t="shared" ref="L1651" si="2297">IF(OR(A1651=J1651,A1651=K1651),"ДА","НЕТ")</f>
        <v>НЕТ</v>
      </c>
      <c r="M1651" s="10" t="s">
        <v>1575</v>
      </c>
      <c r="N1651" s="10" t="s">
        <v>1575</v>
      </c>
      <c r="O1651" s="10">
        <v>3.2</v>
      </c>
      <c r="P1651" s="10">
        <f t="shared" si="2273"/>
        <v>7.8048780487804885</v>
      </c>
      <c r="Q1651" s="10">
        <f t="shared" si="2274"/>
        <v>8.4998780487804879</v>
      </c>
      <c r="R1651" s="10" t="s">
        <v>1575</v>
      </c>
      <c r="S1651" s="10" t="s">
        <v>1575</v>
      </c>
      <c r="T1651" s="10" t="s">
        <v>1575</v>
      </c>
      <c r="U1651" s="10" t="s">
        <v>1575</v>
      </c>
      <c r="V1651" s="10">
        <v>5.6479999999999997</v>
      </c>
      <c r="W1651" s="10">
        <v>0.69499999999999995</v>
      </c>
      <c r="X1651" s="10">
        <f t="shared" si="2278"/>
        <v>6.343</v>
      </c>
      <c r="Y1651" s="10" t="str">
        <f t="shared" si="2279"/>
        <v>NA</v>
      </c>
      <c r="Z1651" s="10" t="str">
        <f t="shared" si="2280"/>
        <v>NA</v>
      </c>
      <c r="AA1651" s="10">
        <f t="shared" si="2281"/>
        <v>1.3818835072203415</v>
      </c>
      <c r="AB1651" s="10" t="str">
        <f t="shared" si="2282"/>
        <v>NA</v>
      </c>
      <c r="AC1651" s="10" t="str">
        <f t="shared" si="2283"/>
        <v>NA</v>
      </c>
      <c r="AD1651" s="10" t="str">
        <f t="shared" si="2284"/>
        <v>NA</v>
      </c>
      <c r="AE1651" s="10">
        <f t="shared" si="2285"/>
        <v>1.3400406824500217</v>
      </c>
      <c r="AF1651" s="1" t="s">
        <v>3460</v>
      </c>
    </row>
    <row r="1652" spans="1:32" x14ac:dyDescent="0.2">
      <c r="A1652" s="1" t="s">
        <v>6055</v>
      </c>
      <c r="B1652" s="1" t="s">
        <v>5</v>
      </c>
      <c r="C1652" s="1" t="s">
        <v>1575</v>
      </c>
      <c r="D1652" s="1" t="s">
        <v>1578</v>
      </c>
      <c r="E1652" s="1" t="s">
        <v>2143</v>
      </c>
      <c r="F1652" s="1" t="s">
        <v>3442</v>
      </c>
      <c r="G1652" s="4">
        <v>0.49</v>
      </c>
      <c r="H1652" s="28">
        <v>44408</v>
      </c>
      <c r="I1652" s="29">
        <v>2021</v>
      </c>
      <c r="J1652" s="1" t="s">
        <v>6039</v>
      </c>
      <c r="K1652" s="1" t="s">
        <v>7</v>
      </c>
      <c r="L1652" s="11" t="str">
        <f t="shared" si="2296"/>
        <v>НЕТ</v>
      </c>
      <c r="M1652" s="10" t="s">
        <v>1575</v>
      </c>
      <c r="N1652" s="10" t="s">
        <v>1575</v>
      </c>
      <c r="O1652" s="10">
        <v>3</v>
      </c>
      <c r="P1652" s="10">
        <f t="shared" si="2273"/>
        <v>6.1224489795918364</v>
      </c>
      <c r="Q1652" s="10">
        <f t="shared" si="2274"/>
        <v>6.8174489795918367</v>
      </c>
      <c r="R1652" s="10" t="s">
        <v>1575</v>
      </c>
      <c r="S1652" s="10" t="s">
        <v>1575</v>
      </c>
      <c r="T1652" s="10" t="s">
        <v>1575</v>
      </c>
      <c r="U1652" s="10" t="s">
        <v>1575</v>
      </c>
      <c r="V1652" s="10">
        <v>5.6479999999999997</v>
      </c>
      <c r="W1652" s="10">
        <v>0.69499999999999995</v>
      </c>
      <c r="X1652" s="10">
        <f t="shared" si="2278"/>
        <v>6.343</v>
      </c>
      <c r="Y1652" s="10" t="str">
        <f t="shared" si="2279"/>
        <v>NA</v>
      </c>
      <c r="Z1652" s="10" t="str">
        <f t="shared" si="2280"/>
        <v>NA</v>
      </c>
      <c r="AA1652" s="10">
        <f t="shared" si="2281"/>
        <v>1.0840030063016708</v>
      </c>
      <c r="AB1652" s="10" t="str">
        <f t="shared" si="2282"/>
        <v>NA</v>
      </c>
      <c r="AC1652" s="10" t="str">
        <f t="shared" si="2283"/>
        <v>NA</v>
      </c>
      <c r="AD1652" s="10" t="str">
        <f t="shared" si="2284"/>
        <v>NA</v>
      </c>
      <c r="AE1652" s="10">
        <f t="shared" si="2285"/>
        <v>1.0747988301421783</v>
      </c>
      <c r="AF1652" s="1" t="s">
        <v>3460</v>
      </c>
    </row>
    <row r="1653" spans="1:32" x14ac:dyDescent="0.2">
      <c r="A1653" s="1" t="s">
        <v>3461</v>
      </c>
      <c r="B1653" s="1" t="s">
        <v>1575</v>
      </c>
      <c r="C1653" s="1" t="s">
        <v>1575</v>
      </c>
      <c r="D1653" s="1" t="s">
        <v>1575</v>
      </c>
      <c r="E1653" s="1" t="s">
        <v>1575</v>
      </c>
      <c r="F1653" s="1" t="s">
        <v>3432</v>
      </c>
      <c r="G1653" s="4" t="s">
        <v>1575</v>
      </c>
      <c r="H1653" s="28">
        <v>44561</v>
      </c>
      <c r="I1653" s="29">
        <v>2021</v>
      </c>
      <c r="J1653" s="1" t="s">
        <v>6039</v>
      </c>
      <c r="K1653" s="1" t="s">
        <v>7</v>
      </c>
      <c r="L1653" s="11" t="str">
        <f t="shared" ref="L1653:L1655" si="2298">IF(OR(A1653=J1653,A1653=K1653),"ДА","НЕТ")</f>
        <v>НЕТ</v>
      </c>
      <c r="M1653" s="10" t="s">
        <v>1575</v>
      </c>
      <c r="N1653" s="10" t="s">
        <v>1575</v>
      </c>
      <c r="O1653" s="10">
        <v>3.5739999999999998</v>
      </c>
      <c r="P1653" s="10" t="str">
        <f t="shared" si="2273"/>
        <v>NA</v>
      </c>
      <c r="Q1653" s="10" t="str">
        <f t="shared" si="2274"/>
        <v>NA</v>
      </c>
      <c r="R1653" s="10" t="s">
        <v>1575</v>
      </c>
      <c r="S1653" s="10" t="s">
        <v>1575</v>
      </c>
      <c r="T1653" s="10" t="s">
        <v>1575</v>
      </c>
      <c r="U1653" s="10" t="s">
        <v>1575</v>
      </c>
      <c r="V1653" s="10">
        <v>0.77600000000000002</v>
      </c>
      <c r="W1653" s="10">
        <f>0.592+0.468</f>
        <v>1.06</v>
      </c>
      <c r="X1653" s="10">
        <f t="shared" si="2278"/>
        <v>1.8360000000000001</v>
      </c>
      <c r="Y1653" s="10" t="str">
        <f t="shared" si="2279"/>
        <v>NA</v>
      </c>
      <c r="Z1653" s="10" t="str">
        <f t="shared" si="2280"/>
        <v>NA</v>
      </c>
      <c r="AA1653" s="10" t="str">
        <f t="shared" si="2281"/>
        <v>NA</v>
      </c>
      <c r="AB1653" s="10" t="str">
        <f t="shared" si="2282"/>
        <v>NA</v>
      </c>
      <c r="AC1653" s="10" t="str">
        <f t="shared" si="2283"/>
        <v>NA</v>
      </c>
      <c r="AD1653" s="10" t="str">
        <f t="shared" si="2284"/>
        <v>NA</v>
      </c>
      <c r="AE1653" s="10" t="str">
        <f t="shared" si="2285"/>
        <v>NA</v>
      </c>
    </row>
    <row r="1654" spans="1:32" x14ac:dyDescent="0.2">
      <c r="A1654" s="1" t="s">
        <v>3462</v>
      </c>
      <c r="B1654" s="1" t="s">
        <v>5</v>
      </c>
      <c r="C1654" s="1" t="s">
        <v>1575</v>
      </c>
      <c r="D1654" s="1" t="s">
        <v>1578</v>
      </c>
      <c r="E1654" s="1" t="s">
        <v>2531</v>
      </c>
      <c r="F1654" s="1" t="s">
        <v>3457</v>
      </c>
      <c r="G1654" s="4">
        <v>1</v>
      </c>
      <c r="H1654" s="28">
        <v>43921</v>
      </c>
      <c r="I1654" s="29">
        <v>2020</v>
      </c>
      <c r="J1654" s="1" t="s">
        <v>6054</v>
      </c>
      <c r="K1654" s="1" t="s">
        <v>7</v>
      </c>
      <c r="L1654" s="11" t="str">
        <f t="shared" si="2298"/>
        <v>НЕТ</v>
      </c>
      <c r="M1654" s="10" t="s">
        <v>1575</v>
      </c>
      <c r="N1654" s="10" t="s">
        <v>1575</v>
      </c>
      <c r="O1654" s="10">
        <v>0.13</v>
      </c>
      <c r="P1654" s="10">
        <f t="shared" si="2273"/>
        <v>0.13</v>
      </c>
      <c r="Q1654" s="10">
        <f t="shared" si="2274"/>
        <v>0.14899999999999999</v>
      </c>
      <c r="R1654" s="10" t="s">
        <v>1575</v>
      </c>
      <c r="S1654" s="10" t="s">
        <v>1575</v>
      </c>
      <c r="T1654" s="10" t="s">
        <v>1575</v>
      </c>
      <c r="U1654" s="10" t="s">
        <v>1575</v>
      </c>
      <c r="V1654" s="10">
        <v>0.23200000000000001</v>
      </c>
      <c r="W1654" s="10">
        <v>1.9E-2</v>
      </c>
      <c r="X1654" s="10">
        <f t="shared" si="2278"/>
        <v>0.251</v>
      </c>
      <c r="Y1654" s="10" t="str">
        <f t="shared" si="2279"/>
        <v>NA</v>
      </c>
      <c r="Z1654" s="10" t="str">
        <f t="shared" si="2280"/>
        <v>NA</v>
      </c>
      <c r="AA1654" s="10">
        <f t="shared" si="2281"/>
        <v>0.56034482758620685</v>
      </c>
      <c r="AB1654" s="10" t="str">
        <f t="shared" si="2282"/>
        <v>NA</v>
      </c>
      <c r="AC1654" s="10" t="str">
        <f t="shared" si="2283"/>
        <v>NA</v>
      </c>
      <c r="AD1654" s="10" t="str">
        <f t="shared" si="2284"/>
        <v>NA</v>
      </c>
      <c r="AE1654" s="10">
        <f t="shared" si="2285"/>
        <v>0.59362549800796804</v>
      </c>
    </row>
    <row r="1655" spans="1:32" x14ac:dyDescent="0.2">
      <c r="A1655" s="1" t="s">
        <v>3463</v>
      </c>
      <c r="B1655" s="1" t="s">
        <v>5</v>
      </c>
      <c r="C1655" s="1" t="s">
        <v>1575</v>
      </c>
      <c r="D1655" s="1" t="s">
        <v>2160</v>
      </c>
      <c r="E1655" s="1" t="s">
        <v>2167</v>
      </c>
      <c r="F1655" s="1" t="s">
        <v>3455</v>
      </c>
      <c r="G1655" s="4">
        <v>1</v>
      </c>
      <c r="H1655" s="28">
        <v>43861</v>
      </c>
      <c r="I1655" s="29">
        <v>2020</v>
      </c>
      <c r="J1655" s="1" t="s">
        <v>6051</v>
      </c>
      <c r="K1655" s="1" t="s">
        <v>7</v>
      </c>
      <c r="L1655" s="11" t="str">
        <f t="shared" si="2298"/>
        <v>НЕТ</v>
      </c>
      <c r="M1655" s="10" t="s">
        <v>1575</v>
      </c>
      <c r="N1655" s="10" t="s">
        <v>1575</v>
      </c>
      <c r="O1655" s="10">
        <v>0.95</v>
      </c>
      <c r="P1655" s="10">
        <f t="shared" si="2273"/>
        <v>0.95</v>
      </c>
      <c r="Q1655" s="10">
        <f t="shared" si="2274"/>
        <v>1.575</v>
      </c>
      <c r="R1655" s="10" t="s">
        <v>1575</v>
      </c>
      <c r="S1655" s="10" t="s">
        <v>1575</v>
      </c>
      <c r="T1655" s="10" t="s">
        <v>1575</v>
      </c>
      <c r="U1655" s="10" t="s">
        <v>1575</v>
      </c>
      <c r="V1655" s="10">
        <v>1.9379999999999999</v>
      </c>
      <c r="W1655" s="10">
        <f>0.197+0.428</f>
        <v>0.625</v>
      </c>
      <c r="X1655" s="10">
        <f t="shared" si="2278"/>
        <v>2.5629999999999997</v>
      </c>
      <c r="Y1655" s="10" t="str">
        <f t="shared" si="2279"/>
        <v>NA</v>
      </c>
      <c r="Z1655" s="10" t="str">
        <f t="shared" si="2280"/>
        <v>NA</v>
      </c>
      <c r="AA1655" s="10">
        <f t="shared" si="2281"/>
        <v>0.49019607843137253</v>
      </c>
      <c r="AB1655" s="10" t="str">
        <f t="shared" si="2282"/>
        <v>NA</v>
      </c>
      <c r="AC1655" s="10" t="str">
        <f t="shared" si="2283"/>
        <v>NA</v>
      </c>
      <c r="AD1655" s="10" t="str">
        <f t="shared" si="2284"/>
        <v>NA</v>
      </c>
      <c r="AE1655" s="10">
        <f t="shared" si="2285"/>
        <v>0.61451424112368325</v>
      </c>
    </row>
    <row r="1656" spans="1:32" x14ac:dyDescent="0.2">
      <c r="A1656" s="1" t="s">
        <v>3464</v>
      </c>
      <c r="B1656" s="1" t="s">
        <v>1575</v>
      </c>
      <c r="C1656" s="1" t="s">
        <v>1575</v>
      </c>
      <c r="D1656" s="1" t="s">
        <v>2160</v>
      </c>
      <c r="E1656" s="1" t="s">
        <v>2167</v>
      </c>
      <c r="F1656" s="1" t="s">
        <v>3455</v>
      </c>
      <c r="G1656" s="4" t="s">
        <v>11</v>
      </c>
      <c r="H1656" s="28">
        <v>43951</v>
      </c>
      <c r="I1656" s="29">
        <v>2020</v>
      </c>
      <c r="J1656" s="1" t="s">
        <v>6051</v>
      </c>
      <c r="K1656" s="1" t="s">
        <v>7</v>
      </c>
      <c r="L1656" s="11" t="str">
        <f t="shared" ref="L1656" si="2299">IF(OR(A1656=J1656,A1656=K1656),"ДА","НЕТ")</f>
        <v>НЕТ</v>
      </c>
      <c r="M1656" s="10" t="s">
        <v>1575</v>
      </c>
      <c r="N1656" s="10" t="s">
        <v>1575</v>
      </c>
      <c r="O1656" s="10">
        <v>7.3999999999999996E-2</v>
      </c>
      <c r="P1656" s="10" t="str">
        <f t="shared" si="2273"/>
        <v>NA</v>
      </c>
      <c r="Q1656" s="10" t="str">
        <f t="shared" si="2274"/>
        <v>NA</v>
      </c>
      <c r="R1656" s="10" t="s">
        <v>1575</v>
      </c>
      <c r="S1656" s="10" t="s">
        <v>1575</v>
      </c>
      <c r="T1656" s="10" t="s">
        <v>1575</v>
      </c>
      <c r="U1656" s="10" t="s">
        <v>1575</v>
      </c>
      <c r="V1656" s="10">
        <v>4.9000000000000002E-2</v>
      </c>
      <c r="W1656" s="10">
        <v>9.1999999999999998E-2</v>
      </c>
      <c r="X1656" s="10">
        <f t="shared" si="2278"/>
        <v>0.14100000000000001</v>
      </c>
      <c r="Y1656" s="10" t="str">
        <f t="shared" si="2279"/>
        <v>NA</v>
      </c>
      <c r="Z1656" s="10" t="str">
        <f t="shared" si="2280"/>
        <v>NA</v>
      </c>
      <c r="AA1656" s="10" t="str">
        <f t="shared" si="2281"/>
        <v>NA</v>
      </c>
      <c r="AB1656" s="10" t="str">
        <f t="shared" si="2282"/>
        <v>NA</v>
      </c>
      <c r="AC1656" s="10" t="str">
        <f t="shared" si="2283"/>
        <v>NA</v>
      </c>
      <c r="AD1656" s="10" t="str">
        <f t="shared" si="2284"/>
        <v>NA</v>
      </c>
      <c r="AE1656" s="10" t="str">
        <f t="shared" si="2285"/>
        <v>NA</v>
      </c>
    </row>
    <row r="1657" spans="1:32" x14ac:dyDescent="0.2">
      <c r="A1657" s="1" t="s">
        <v>3465</v>
      </c>
      <c r="B1657" s="1" t="s">
        <v>1575</v>
      </c>
      <c r="C1657" s="1" t="s">
        <v>1575</v>
      </c>
      <c r="D1657" s="1" t="s">
        <v>1578</v>
      </c>
      <c r="E1657" s="1" t="s">
        <v>1579</v>
      </c>
      <c r="F1657" s="1" t="s">
        <v>429</v>
      </c>
      <c r="G1657" s="4">
        <v>1</v>
      </c>
      <c r="H1657" s="28">
        <v>43982</v>
      </c>
      <c r="I1657" s="29">
        <v>2020</v>
      </c>
      <c r="J1657" s="1" t="s">
        <v>5757</v>
      </c>
      <c r="K1657" s="1" t="s">
        <v>7</v>
      </c>
      <c r="L1657" s="11" t="str">
        <f t="shared" ref="L1657" si="2300">IF(OR(A1657=J1657,A1657=K1657),"ДА","НЕТ")</f>
        <v>НЕТ</v>
      </c>
      <c r="M1657" s="10" t="s">
        <v>1575</v>
      </c>
      <c r="N1657" s="10" t="s">
        <v>1575</v>
      </c>
      <c r="O1657" s="10">
        <v>4.7359999999999998</v>
      </c>
      <c r="P1657" s="10">
        <f t="shared" si="2273"/>
        <v>4.7359999999999998</v>
      </c>
      <c r="Q1657" s="10">
        <f t="shared" si="2274"/>
        <v>7.2110000000000003</v>
      </c>
      <c r="R1657" s="10" t="s">
        <v>1575</v>
      </c>
      <c r="S1657" s="10" t="s">
        <v>1575</v>
      </c>
      <c r="T1657" s="10" t="s">
        <v>1575</v>
      </c>
      <c r="U1657" s="10" t="s">
        <v>1575</v>
      </c>
      <c r="V1657" s="10">
        <v>3.0470000000000002</v>
      </c>
      <c r="W1657" s="10">
        <f>1+1.475</f>
        <v>2.4750000000000001</v>
      </c>
      <c r="X1657" s="10">
        <f t="shared" si="2278"/>
        <v>5.5220000000000002</v>
      </c>
      <c r="Y1657" s="10" t="str">
        <f t="shared" si="2279"/>
        <v>NA</v>
      </c>
      <c r="Z1657" s="10" t="str">
        <f t="shared" si="2280"/>
        <v>NA</v>
      </c>
      <c r="AA1657" s="10">
        <f t="shared" si="2281"/>
        <v>1.5543157203807021</v>
      </c>
      <c r="AB1657" s="10" t="str">
        <f t="shared" si="2282"/>
        <v>NA</v>
      </c>
      <c r="AC1657" s="10" t="str">
        <f t="shared" si="2283"/>
        <v>NA</v>
      </c>
      <c r="AD1657" s="10" t="str">
        <f t="shared" si="2284"/>
        <v>NA</v>
      </c>
      <c r="AE1657" s="10">
        <f t="shared" si="2285"/>
        <v>1.3058674393335747</v>
      </c>
    </row>
    <row r="1658" spans="1:32" x14ac:dyDescent="0.2">
      <c r="A1658" s="1" t="s">
        <v>3471</v>
      </c>
      <c r="B1658" s="1" t="s">
        <v>5</v>
      </c>
      <c r="C1658" s="1" t="s">
        <v>3472</v>
      </c>
      <c r="D1658" s="1" t="s">
        <v>1595</v>
      </c>
      <c r="E1658" s="1" t="s">
        <v>1596</v>
      </c>
      <c r="F1658" s="1" t="s">
        <v>244</v>
      </c>
      <c r="G1658" s="4">
        <f>(65308610)/1998381575</f>
        <v>3.2680750671953127E-2</v>
      </c>
      <c r="H1658" s="28">
        <v>44561</v>
      </c>
      <c r="I1658" s="29">
        <v>2021</v>
      </c>
      <c r="J1658" s="1" t="s">
        <v>3471</v>
      </c>
      <c r="K1658" s="1" t="s">
        <v>6056</v>
      </c>
      <c r="L1658" s="11" t="str">
        <f t="shared" ref="L1658" si="2301">IF(OR(A1658=J1658,A1658=K1658),"ДА","НЕТ")</f>
        <v>ДА</v>
      </c>
      <c r="M1658" s="10" t="s">
        <v>1575</v>
      </c>
      <c r="N1658" s="10" t="s">
        <v>1575</v>
      </c>
      <c r="O1658" s="10">
        <v>7.5</v>
      </c>
      <c r="P1658" s="10">
        <f t="shared" si="2273"/>
        <v>229.49289247619879</v>
      </c>
      <c r="Q1658" s="10">
        <f t="shared" si="2274"/>
        <v>769.58489247619866</v>
      </c>
      <c r="R1658" s="10">
        <v>527.92100000000005</v>
      </c>
      <c r="S1658" s="10">
        <v>229.09299999999999</v>
      </c>
      <c r="T1658" s="10">
        <v>118.005</v>
      </c>
      <c r="U1658" s="10">
        <v>64.269000000000005</v>
      </c>
      <c r="V1658" s="10">
        <v>14.603999999999999</v>
      </c>
      <c r="W1658" s="10">
        <v>540.09199999999987</v>
      </c>
      <c r="X1658" s="10">
        <f t="shared" si="2278"/>
        <v>554.69599999999991</v>
      </c>
      <c r="Y1658" s="10">
        <f t="shared" si="2279"/>
        <v>0.43471067162738131</v>
      </c>
      <c r="Z1658" s="10">
        <f t="shared" si="2280"/>
        <v>3.5708178511599491</v>
      </c>
      <c r="AA1658" s="10">
        <f t="shared" si="2281"/>
        <v>15.71438595427272</v>
      </c>
      <c r="AB1658" s="10">
        <f t="shared" si="2282"/>
        <v>1.4577652574460924</v>
      </c>
      <c r="AC1658" s="10">
        <f t="shared" si="2283"/>
        <v>3.3592684738346379</v>
      </c>
      <c r="AD1658" s="10">
        <f t="shared" si="2284"/>
        <v>6.5216295282081154</v>
      </c>
      <c r="AE1658" s="10">
        <f t="shared" si="2285"/>
        <v>1.3873993907945952</v>
      </c>
      <c r="AF1658" s="1" t="s">
        <v>3466</v>
      </c>
    </row>
    <row r="1659" spans="1:32" x14ac:dyDescent="0.2">
      <c r="A1659" s="1" t="s">
        <v>6057</v>
      </c>
      <c r="B1659" s="1" t="s">
        <v>5</v>
      </c>
      <c r="C1659" s="1" t="s">
        <v>3468</v>
      </c>
      <c r="D1659" s="1" t="s">
        <v>2160</v>
      </c>
      <c r="E1659" s="1" t="s">
        <v>2167</v>
      </c>
      <c r="F1659" s="1" t="s">
        <v>3455</v>
      </c>
      <c r="G1659" s="4">
        <f>3.75/15.69</f>
        <v>0.23900573613766732</v>
      </c>
      <c r="H1659" s="28">
        <v>44314</v>
      </c>
      <c r="I1659" s="29">
        <v>2021</v>
      </c>
      <c r="J1659" s="1" t="s">
        <v>7</v>
      </c>
      <c r="K1659" s="1" t="s">
        <v>6039</v>
      </c>
      <c r="L1659" s="11" t="str">
        <f t="shared" ref="L1659" si="2302">IF(OR(A1659=J1659,A1659=K1659),"ДА","НЕТ")</f>
        <v>НЕТ</v>
      </c>
      <c r="M1659" s="10" t="s">
        <v>1575</v>
      </c>
      <c r="N1659" s="10" t="s">
        <v>1575</v>
      </c>
      <c r="O1659" s="10">
        <v>30</v>
      </c>
      <c r="P1659" s="10">
        <f t="shared" si="2273"/>
        <v>125.52</v>
      </c>
      <c r="Q1659" s="10">
        <f t="shared" si="2274"/>
        <v>187.95191399999999</v>
      </c>
      <c r="R1659" s="10">
        <v>68.986649</v>
      </c>
      <c r="S1659" s="10">
        <v>17.457366000000007</v>
      </c>
      <c r="T1659" s="10">
        <v>11.184670000000008</v>
      </c>
      <c r="U1659" s="10">
        <v>-1.3478829999999926</v>
      </c>
      <c r="V1659" s="10">
        <v>8.8682159999999985</v>
      </c>
      <c r="W1659" s="10">
        <v>62.431914000000006</v>
      </c>
      <c r="X1659" s="10">
        <f t="shared" si="2278"/>
        <v>71.30013000000001</v>
      </c>
      <c r="Y1659" s="10">
        <f t="shared" si="2279"/>
        <v>1.8194824914600505</v>
      </c>
      <c r="Z1659" s="10">
        <f t="shared" si="2280"/>
        <v>-93.123809707519626</v>
      </c>
      <c r="AA1659" s="10">
        <f t="shared" si="2281"/>
        <v>14.153917766549666</v>
      </c>
      <c r="AB1659" s="10">
        <f t="shared" si="2282"/>
        <v>2.7244679474139986</v>
      </c>
      <c r="AC1659" s="10">
        <f t="shared" si="2283"/>
        <v>10.766338633216483</v>
      </c>
      <c r="AD1659" s="10">
        <f t="shared" si="2284"/>
        <v>16.804421945394889</v>
      </c>
      <c r="AE1659" s="10">
        <f t="shared" si="2285"/>
        <v>2.6360669188120691</v>
      </c>
      <c r="AF1659" s="1" t="s">
        <v>3467</v>
      </c>
    </row>
    <row r="1660" spans="1:32" x14ac:dyDescent="0.2">
      <c r="A1660" s="1" t="s">
        <v>6057</v>
      </c>
      <c r="B1660" s="1" t="s">
        <v>5</v>
      </c>
      <c r="C1660" s="1" t="s">
        <v>3468</v>
      </c>
      <c r="D1660" s="1" t="s">
        <v>2160</v>
      </c>
      <c r="E1660" s="1" t="s">
        <v>2167</v>
      </c>
      <c r="F1660" s="1" t="s">
        <v>3455</v>
      </c>
      <c r="G1660" s="4">
        <v>8.6999999999999994E-2</v>
      </c>
      <c r="H1660" s="28">
        <v>44561</v>
      </c>
      <c r="I1660" s="29">
        <v>2021</v>
      </c>
      <c r="J1660" s="1" t="s">
        <v>7</v>
      </c>
      <c r="K1660" s="1" t="s">
        <v>6039</v>
      </c>
      <c r="L1660" s="11" t="str">
        <f t="shared" ref="L1660" si="2303">IF(OR(A1660=J1660,A1660=K1660),"ДА","НЕТ")</f>
        <v>НЕТ</v>
      </c>
      <c r="M1660" s="10">
        <v>150</v>
      </c>
      <c r="N1660" s="10" t="s">
        <v>1575</v>
      </c>
      <c r="O1660" s="10">
        <v>11</v>
      </c>
      <c r="P1660" s="10">
        <f t="shared" si="2273"/>
        <v>126.43678160919541</v>
      </c>
      <c r="Q1660" s="10">
        <f t="shared" si="2274"/>
        <v>221.04378160919538</v>
      </c>
      <c r="R1660" s="10">
        <v>92.442267000000001</v>
      </c>
      <c r="S1660" s="10">
        <v>29.25292</v>
      </c>
      <c r="T1660" s="10">
        <v>22.350922000000001</v>
      </c>
      <c r="U1660" s="10">
        <v>15.237405000000003</v>
      </c>
      <c r="V1660" s="10">
        <v>46.192</v>
      </c>
      <c r="W1660" s="10">
        <v>94.606999999999985</v>
      </c>
      <c r="X1660" s="10">
        <f t="shared" si="2278"/>
        <v>140.79899999999998</v>
      </c>
      <c r="Y1660" s="10">
        <f t="shared" si="2279"/>
        <v>1.367737786105953</v>
      </c>
      <c r="Z1660" s="10">
        <f t="shared" si="2280"/>
        <v>8.2977896570443193</v>
      </c>
      <c r="AA1660" s="10">
        <f t="shared" si="2281"/>
        <v>2.737200848830867</v>
      </c>
      <c r="AB1660" s="10">
        <f t="shared" si="2282"/>
        <v>2.3911549206078577</v>
      </c>
      <c r="AC1660" s="10">
        <f t="shared" si="2283"/>
        <v>7.5562980245799523</v>
      </c>
      <c r="AD1660" s="10">
        <f t="shared" si="2284"/>
        <v>9.8896941078849174</v>
      </c>
      <c r="AE1660" s="10">
        <f t="shared" si="2285"/>
        <v>1.5699243716872664</v>
      </c>
      <c r="AF1660" s="1" t="s">
        <v>3469</v>
      </c>
    </row>
    <row r="1661" spans="1:32" x14ac:dyDescent="0.2">
      <c r="A1661" s="1" t="s">
        <v>3471</v>
      </c>
      <c r="B1661" s="1" t="s">
        <v>5</v>
      </c>
      <c r="C1661" s="1" t="s">
        <v>3472</v>
      </c>
      <c r="D1661" s="1" t="s">
        <v>1595</v>
      </c>
      <c r="E1661" s="1" t="s">
        <v>1596</v>
      </c>
      <c r="F1661" s="1" t="s">
        <v>244</v>
      </c>
      <c r="G1661" s="4">
        <f>(48797719+22758872)/1998381575</f>
        <v>3.5807271191439005E-2</v>
      </c>
      <c r="H1661" s="28">
        <v>44196</v>
      </c>
      <c r="I1661" s="29">
        <v>2020</v>
      </c>
      <c r="J1661" s="1" t="s">
        <v>3471</v>
      </c>
      <c r="K1661" s="1" t="s">
        <v>6056</v>
      </c>
      <c r="L1661" s="11" t="str">
        <f t="shared" ref="L1661" si="2304">IF(OR(A1661=J1661,A1661=K1661),"ДА","НЕТ")</f>
        <v>ДА</v>
      </c>
      <c r="M1661" s="10" t="s">
        <v>1575</v>
      </c>
      <c r="N1661" s="10" t="s">
        <v>1575</v>
      </c>
      <c r="O1661" s="10">
        <v>7.49</v>
      </c>
      <c r="P1661" s="10">
        <f t="shared" si="2273"/>
        <v>209.17539233737392</v>
      </c>
      <c r="Q1661" s="10">
        <f t="shared" si="2274"/>
        <v>705.96039233737395</v>
      </c>
      <c r="R1661" s="10">
        <v>489.83100000000002</v>
      </c>
      <c r="S1661" s="10">
        <v>212.80799999999999</v>
      </c>
      <c r="T1661" s="10">
        <v>112.60299999999999</v>
      </c>
      <c r="U1661" s="10">
        <v>62.073</v>
      </c>
      <c r="V1661" s="10">
        <v>32.69</v>
      </c>
      <c r="W1661" s="10">
        <v>496.78500000000003</v>
      </c>
      <c r="X1661" s="10">
        <f t="shared" si="2278"/>
        <v>529.47500000000002</v>
      </c>
      <c r="Y1661" s="10">
        <f t="shared" si="2279"/>
        <v>0.42703583958012847</v>
      </c>
      <c r="Z1661" s="10">
        <f t="shared" si="2280"/>
        <v>3.3698289487760205</v>
      </c>
      <c r="AA1661" s="10">
        <f t="shared" si="2281"/>
        <v>6.3987577955758317</v>
      </c>
      <c r="AB1661" s="10">
        <f t="shared" si="2282"/>
        <v>1.441232572739116</v>
      </c>
      <c r="AC1661" s="10">
        <f t="shared" si="2283"/>
        <v>3.3173583339788633</v>
      </c>
      <c r="AD1661" s="10">
        <f t="shared" si="2284"/>
        <v>6.2694634453555764</v>
      </c>
      <c r="AE1661" s="10">
        <f t="shared" si="2285"/>
        <v>1.333321483237875</v>
      </c>
      <c r="AF1661" s="1" t="s">
        <v>3470</v>
      </c>
    </row>
    <row r="1662" spans="1:32" x14ac:dyDescent="0.2">
      <c r="A1662" s="1" t="s">
        <v>6058</v>
      </c>
      <c r="B1662" s="1" t="s">
        <v>5</v>
      </c>
      <c r="C1662" s="1" t="s">
        <v>1575</v>
      </c>
      <c r="D1662" s="1" t="s">
        <v>1584</v>
      </c>
      <c r="E1662" s="1" t="s">
        <v>1586</v>
      </c>
      <c r="F1662" s="1" t="s">
        <v>66</v>
      </c>
      <c r="G1662" s="4">
        <v>0.49</v>
      </c>
      <c r="H1662" s="28">
        <v>43708</v>
      </c>
      <c r="I1662" s="29">
        <v>2019</v>
      </c>
      <c r="J1662" s="1" t="s">
        <v>6041</v>
      </c>
      <c r="K1662" s="1" t="s">
        <v>6039</v>
      </c>
      <c r="L1662" s="11" t="str">
        <f t="shared" ref="L1662" si="2305">IF(OR(A1662=J1662,A1662=K1662),"ДА","НЕТ")</f>
        <v>НЕТ</v>
      </c>
      <c r="M1662" s="10" t="s">
        <v>1575</v>
      </c>
      <c r="N1662" s="10" t="s">
        <v>1575</v>
      </c>
      <c r="O1662" s="10">
        <v>14.6</v>
      </c>
      <c r="P1662" s="10">
        <f t="shared" si="2273"/>
        <v>29.795918367346939</v>
      </c>
      <c r="Q1662" s="10" t="str">
        <f t="shared" si="2274"/>
        <v>NA</v>
      </c>
      <c r="R1662" s="10">
        <v>1.444</v>
      </c>
      <c r="S1662" s="10" t="s">
        <v>1575</v>
      </c>
      <c r="T1662" s="10" t="s">
        <v>1575</v>
      </c>
      <c r="U1662" s="10">
        <v>-0.317</v>
      </c>
      <c r="V1662" s="10" t="s">
        <v>1575</v>
      </c>
      <c r="W1662" s="10" t="s">
        <v>1575</v>
      </c>
      <c r="X1662" s="10" t="str">
        <f t="shared" si="2278"/>
        <v>NA</v>
      </c>
      <c r="Y1662" s="10">
        <f t="shared" si="2279"/>
        <v>20.634292498162701</v>
      </c>
      <c r="Z1662" s="10">
        <f t="shared" si="2280"/>
        <v>-93.993433335479295</v>
      </c>
      <c r="AA1662" s="10" t="str">
        <f t="shared" si="2281"/>
        <v>NA</v>
      </c>
      <c r="AB1662" s="10" t="str">
        <f t="shared" si="2282"/>
        <v>NA</v>
      </c>
      <c r="AC1662" s="10" t="str">
        <f t="shared" si="2283"/>
        <v>NA</v>
      </c>
      <c r="AD1662" s="10" t="str">
        <f t="shared" si="2284"/>
        <v>NA</v>
      </c>
      <c r="AE1662" s="10" t="str">
        <f t="shared" si="2285"/>
        <v>NA</v>
      </c>
      <c r="AF1662" s="1" t="s">
        <v>3473</v>
      </c>
    </row>
    <row r="1663" spans="1:32" x14ac:dyDescent="0.2">
      <c r="A1663" s="1" t="s">
        <v>6058</v>
      </c>
      <c r="B1663" s="1" t="s">
        <v>5</v>
      </c>
      <c r="C1663" s="1" t="s">
        <v>1575</v>
      </c>
      <c r="D1663" s="1" t="s">
        <v>1584</v>
      </c>
      <c r="E1663" s="1" t="s">
        <v>1586</v>
      </c>
      <c r="F1663" s="1" t="s">
        <v>66</v>
      </c>
      <c r="G1663" s="4">
        <v>0.51</v>
      </c>
      <c r="H1663" s="28">
        <v>43524</v>
      </c>
      <c r="I1663" s="29">
        <v>2019</v>
      </c>
      <c r="J1663" s="1" t="s">
        <v>6041</v>
      </c>
      <c r="K1663" s="1" t="s">
        <v>6039</v>
      </c>
      <c r="L1663" s="11" t="str">
        <f t="shared" ref="L1663" si="2306">IF(OR(A1663=J1663,A1663=K1663),"ДА","НЕТ")</f>
        <v>НЕТ</v>
      </c>
      <c r="M1663" s="10" t="s">
        <v>1575</v>
      </c>
      <c r="N1663" s="10" t="s">
        <v>1575</v>
      </c>
      <c r="O1663" s="10">
        <v>15.2</v>
      </c>
      <c r="P1663" s="10">
        <f t="shared" si="2273"/>
        <v>29.803921568627448</v>
      </c>
      <c r="Q1663" s="10" t="str">
        <f t="shared" si="2274"/>
        <v>NA</v>
      </c>
      <c r="R1663" s="10">
        <v>1.444</v>
      </c>
      <c r="S1663" s="10" t="s">
        <v>1575</v>
      </c>
      <c r="T1663" s="10" t="s">
        <v>1575</v>
      </c>
      <c r="U1663" s="10">
        <v>-0.317</v>
      </c>
      <c r="V1663" s="10" t="s">
        <v>1575</v>
      </c>
      <c r="W1663" s="10" t="s">
        <v>1575</v>
      </c>
      <c r="X1663" s="10" t="str">
        <f t="shared" si="2278"/>
        <v>NA</v>
      </c>
      <c r="Y1663" s="10">
        <f t="shared" si="2279"/>
        <v>20.639834881320947</v>
      </c>
      <c r="Z1663" s="10">
        <f t="shared" si="2280"/>
        <v>-94.018680027215922</v>
      </c>
      <c r="AA1663" s="10" t="str">
        <f t="shared" si="2281"/>
        <v>NA</v>
      </c>
      <c r="AB1663" s="10" t="str">
        <f t="shared" si="2282"/>
        <v>NA</v>
      </c>
      <c r="AC1663" s="10" t="str">
        <f t="shared" si="2283"/>
        <v>NA</v>
      </c>
      <c r="AD1663" s="10" t="str">
        <f t="shared" si="2284"/>
        <v>NA</v>
      </c>
      <c r="AE1663" s="10" t="str">
        <f t="shared" si="2285"/>
        <v>NA</v>
      </c>
      <c r="AF1663" s="1" t="s">
        <v>3473</v>
      </c>
    </row>
    <row r="1664" spans="1:32" x14ac:dyDescent="0.2">
      <c r="A1664" s="1" t="s">
        <v>2265</v>
      </c>
      <c r="B1664" s="1" t="s">
        <v>5</v>
      </c>
      <c r="C1664" s="1" t="s">
        <v>2266</v>
      </c>
      <c r="D1664" s="1" t="s">
        <v>1578</v>
      </c>
      <c r="E1664" s="1" t="s">
        <v>2267</v>
      </c>
      <c r="F1664" s="1" t="s">
        <v>3474</v>
      </c>
      <c r="G1664" s="4">
        <v>0.187</v>
      </c>
      <c r="H1664" s="28">
        <v>43799</v>
      </c>
      <c r="I1664" s="29">
        <v>2019</v>
      </c>
      <c r="J1664" s="1" t="s">
        <v>7</v>
      </c>
      <c r="K1664" s="1" t="s">
        <v>6039</v>
      </c>
      <c r="L1664" s="11" t="str">
        <f t="shared" ref="L1664" si="2307">IF(OR(A1664=J1664,A1664=K1664),"ДА","НЕТ")</f>
        <v>НЕТ</v>
      </c>
      <c r="M1664" s="10" t="s">
        <v>1575</v>
      </c>
      <c r="N1664" s="10" t="s">
        <v>1575</v>
      </c>
      <c r="O1664" s="10">
        <v>12.5</v>
      </c>
      <c r="P1664" s="10">
        <f t="shared" si="2273"/>
        <v>66.844919786096256</v>
      </c>
      <c r="Q1664" s="10">
        <f t="shared" si="2274"/>
        <v>115.67791978609625</v>
      </c>
      <c r="R1664" s="10">
        <v>110.874</v>
      </c>
      <c r="S1664" s="10">
        <v>20.332000000000001</v>
      </c>
      <c r="T1664" s="10">
        <v>11.231999999999999</v>
      </c>
      <c r="U1664" s="10">
        <v>5.694</v>
      </c>
      <c r="V1664" s="10">
        <v>-0.94200000000000017</v>
      </c>
      <c r="W1664" s="10">
        <v>48.833000000000006</v>
      </c>
      <c r="X1664" s="10">
        <f t="shared" si="2278"/>
        <v>47.891000000000005</v>
      </c>
      <c r="Y1664" s="10">
        <f t="shared" si="2279"/>
        <v>0.60289084714266883</v>
      </c>
      <c r="Z1664" s="10">
        <f t="shared" si="2280"/>
        <v>11.739536316490385</v>
      </c>
      <c r="AA1664" s="10">
        <f t="shared" si="2281"/>
        <v>-70.960636715601112</v>
      </c>
      <c r="AB1664" s="10">
        <f t="shared" si="2282"/>
        <v>1.0433277394708973</v>
      </c>
      <c r="AC1664" s="10">
        <f t="shared" si="2283"/>
        <v>5.6894511010277515</v>
      </c>
      <c r="AD1664" s="10">
        <f t="shared" si="2284"/>
        <v>10.298960094915978</v>
      </c>
      <c r="AE1664" s="10">
        <f t="shared" si="2285"/>
        <v>2.4154417278005522</v>
      </c>
      <c r="AF1664" s="1" t="s">
        <v>3475</v>
      </c>
    </row>
    <row r="1665" spans="1:32" x14ac:dyDescent="0.2">
      <c r="A1665" s="1" t="s">
        <v>3476</v>
      </c>
      <c r="B1665" s="1" t="s">
        <v>5</v>
      </c>
      <c r="C1665" s="1" t="s">
        <v>1575</v>
      </c>
      <c r="D1665" s="1" t="s">
        <v>2160</v>
      </c>
      <c r="E1665" s="1" t="s">
        <v>2167</v>
      </c>
      <c r="F1665" s="1" t="s">
        <v>3455</v>
      </c>
      <c r="G1665" s="4" t="s">
        <v>11</v>
      </c>
      <c r="H1665" s="28">
        <v>43830</v>
      </c>
      <c r="I1665" s="29">
        <v>2019</v>
      </c>
      <c r="J1665" s="1" t="s">
        <v>6039</v>
      </c>
      <c r="K1665" s="1" t="s">
        <v>7</v>
      </c>
      <c r="L1665" s="11" t="str">
        <f t="shared" ref="L1665:L1667" si="2308">IF(OR(A1665=J1665,A1665=K1665),"ДА","НЕТ")</f>
        <v>НЕТ</v>
      </c>
      <c r="M1665" s="10" t="s">
        <v>1575</v>
      </c>
      <c r="N1665" s="10" t="s">
        <v>1575</v>
      </c>
      <c r="O1665" s="10">
        <v>0.14000000000000001</v>
      </c>
      <c r="P1665" s="10" t="str">
        <f t="shared" si="2273"/>
        <v>NA</v>
      </c>
      <c r="Q1665" s="10" t="str">
        <f t="shared" si="2274"/>
        <v>NA</v>
      </c>
      <c r="R1665" s="10" t="s">
        <v>1575</v>
      </c>
      <c r="S1665" s="10" t="s">
        <v>1575</v>
      </c>
      <c r="T1665" s="10" t="s">
        <v>1575</v>
      </c>
      <c r="U1665" s="10" t="s">
        <v>1575</v>
      </c>
      <c r="V1665" s="10">
        <v>0.14000000000000001</v>
      </c>
      <c r="W1665" s="10" t="s">
        <v>1575</v>
      </c>
      <c r="X1665" s="10" t="str">
        <f t="shared" si="2278"/>
        <v>NA</v>
      </c>
      <c r="Y1665" s="10" t="str">
        <f t="shared" si="2279"/>
        <v>NA</v>
      </c>
      <c r="Z1665" s="10" t="str">
        <f t="shared" si="2280"/>
        <v>NA</v>
      </c>
      <c r="AA1665" s="10" t="str">
        <f t="shared" si="2281"/>
        <v>NA</v>
      </c>
      <c r="AB1665" s="10" t="str">
        <f t="shared" si="2282"/>
        <v>NA</v>
      </c>
      <c r="AC1665" s="10" t="str">
        <f t="shared" si="2283"/>
        <v>NA</v>
      </c>
      <c r="AD1665" s="10" t="str">
        <f t="shared" si="2284"/>
        <v>NA</v>
      </c>
      <c r="AE1665" s="10" t="str">
        <f t="shared" si="2285"/>
        <v>NA</v>
      </c>
    </row>
    <row r="1666" spans="1:32" x14ac:dyDescent="0.2">
      <c r="A1666" s="1" t="s">
        <v>3477</v>
      </c>
      <c r="B1666" s="1" t="s">
        <v>5</v>
      </c>
      <c r="C1666" s="1" t="s">
        <v>1575</v>
      </c>
      <c r="D1666" s="1" t="s">
        <v>1578</v>
      </c>
      <c r="E1666" s="1" t="s">
        <v>2531</v>
      </c>
      <c r="F1666" s="1" t="s">
        <v>3457</v>
      </c>
      <c r="G1666" s="4" t="s">
        <v>11</v>
      </c>
      <c r="H1666" s="28">
        <v>43830</v>
      </c>
      <c r="I1666" s="29">
        <v>2019</v>
      </c>
      <c r="J1666" s="1" t="s">
        <v>6039</v>
      </c>
      <c r="K1666" s="1" t="s">
        <v>7</v>
      </c>
      <c r="L1666" s="11" t="str">
        <f t="shared" si="2308"/>
        <v>НЕТ</v>
      </c>
      <c r="M1666" s="10" t="s">
        <v>1575</v>
      </c>
      <c r="N1666" s="10" t="s">
        <v>1575</v>
      </c>
      <c r="O1666" s="10">
        <v>4.1000000000000002E-2</v>
      </c>
      <c r="P1666" s="10" t="str">
        <f t="shared" si="2273"/>
        <v>NA</v>
      </c>
      <c r="Q1666" s="10" t="str">
        <f t="shared" si="2274"/>
        <v>NA</v>
      </c>
      <c r="R1666" s="10" t="s">
        <v>1575</v>
      </c>
      <c r="S1666" s="10" t="s">
        <v>1575</v>
      </c>
      <c r="T1666" s="10" t="s">
        <v>1575</v>
      </c>
      <c r="U1666" s="10" t="s">
        <v>1575</v>
      </c>
      <c r="V1666" s="10">
        <v>8.0000000000000002E-3</v>
      </c>
      <c r="W1666" s="10" t="s">
        <v>1575</v>
      </c>
      <c r="X1666" s="10" t="str">
        <f t="shared" si="2278"/>
        <v>NA</v>
      </c>
      <c r="Y1666" s="10" t="str">
        <f t="shared" si="2279"/>
        <v>NA</v>
      </c>
      <c r="Z1666" s="10" t="str">
        <f t="shared" si="2280"/>
        <v>NA</v>
      </c>
      <c r="AA1666" s="10" t="str">
        <f t="shared" si="2281"/>
        <v>NA</v>
      </c>
      <c r="AB1666" s="10" t="str">
        <f t="shared" si="2282"/>
        <v>NA</v>
      </c>
      <c r="AC1666" s="10" t="str">
        <f t="shared" si="2283"/>
        <v>NA</v>
      </c>
      <c r="AD1666" s="10" t="str">
        <f t="shared" si="2284"/>
        <v>NA</v>
      </c>
      <c r="AE1666" s="10" t="str">
        <f t="shared" si="2285"/>
        <v>NA</v>
      </c>
    </row>
    <row r="1667" spans="1:32" x14ac:dyDescent="0.2">
      <c r="A1667" s="1" t="s">
        <v>3471</v>
      </c>
      <c r="B1667" s="1" t="s">
        <v>5</v>
      </c>
      <c r="C1667" s="1" t="s">
        <v>3472</v>
      </c>
      <c r="D1667" s="1" t="s">
        <v>1595</v>
      </c>
      <c r="E1667" s="1" t="s">
        <v>1596</v>
      </c>
      <c r="F1667" s="1" t="s">
        <v>244</v>
      </c>
      <c r="G1667" s="4">
        <f>(57719394)/1998381575</f>
        <v>2.8883069540910876E-2</v>
      </c>
      <c r="H1667" s="28">
        <v>43465</v>
      </c>
      <c r="I1667" s="29">
        <v>2018</v>
      </c>
      <c r="J1667" s="1" t="s">
        <v>3471</v>
      </c>
      <c r="K1667" s="1" t="s">
        <v>6056</v>
      </c>
      <c r="L1667" s="11" t="str">
        <f t="shared" si="2308"/>
        <v>ДА</v>
      </c>
      <c r="M1667" s="10" t="s">
        <v>1575</v>
      </c>
      <c r="N1667" s="10" t="s">
        <v>1575</v>
      </c>
      <c r="O1667" s="10">
        <v>7.45</v>
      </c>
      <c r="P1667" s="10">
        <f t="shared" ref="P1667:P1730" si="2309">IFERROR(O1667/G1667,"NA")</f>
        <v>257.93657386198475</v>
      </c>
      <c r="Q1667" s="10">
        <f t="shared" ref="Q1667:Q1730" si="2310">IFERROR(P1667+W1667,"NA")</f>
        <v>680.07757386198455</v>
      </c>
      <c r="R1667" s="10">
        <v>446.238</v>
      </c>
      <c r="S1667" s="10">
        <v>213.91499999999999</v>
      </c>
      <c r="T1667" s="10">
        <v>109.327</v>
      </c>
      <c r="U1667" s="10">
        <v>7.8319999999999999</v>
      </c>
      <c r="V1667" s="10">
        <v>77.564999999999998</v>
      </c>
      <c r="W1667" s="10">
        <v>422.14099999999985</v>
      </c>
      <c r="X1667" s="10">
        <f t="shared" si="2278"/>
        <v>499.70599999999985</v>
      </c>
      <c r="Y1667" s="10">
        <f t="shared" si="2279"/>
        <v>0.5780246726230952</v>
      </c>
      <c r="Z1667" s="10">
        <f t="shared" si="2280"/>
        <v>32.933678991571085</v>
      </c>
      <c r="AA1667" s="10">
        <f t="shared" si="2281"/>
        <v>3.3254247903304939</v>
      </c>
      <c r="AB1667" s="10">
        <f t="shared" si="2282"/>
        <v>1.5240243409615151</v>
      </c>
      <c r="AC1667" s="10">
        <f t="shared" si="2283"/>
        <v>3.1791953526493448</v>
      </c>
      <c r="AD1667" s="10">
        <f t="shared" si="2284"/>
        <v>6.2205820507467005</v>
      </c>
      <c r="AE1667" s="10">
        <f t="shared" si="2285"/>
        <v>1.3609553894929913</v>
      </c>
      <c r="AF1667" s="1" t="s">
        <v>3478</v>
      </c>
    </row>
    <row r="1668" spans="1:32" x14ac:dyDescent="0.2">
      <c r="A1668" s="1" t="s">
        <v>4732</v>
      </c>
      <c r="B1668" s="1" t="s">
        <v>5</v>
      </c>
      <c r="C1668" s="1" t="s">
        <v>3821</v>
      </c>
      <c r="D1668" s="1" t="s">
        <v>1580</v>
      </c>
      <c r="E1668" s="1" t="s">
        <v>1694</v>
      </c>
      <c r="F1668" s="1" t="s">
        <v>1863</v>
      </c>
      <c r="G1668" s="4">
        <v>0.39500000000000002</v>
      </c>
      <c r="H1668" s="28">
        <v>43524</v>
      </c>
      <c r="I1668" s="29">
        <v>2019</v>
      </c>
      <c r="J1668" s="1" t="s">
        <v>7</v>
      </c>
      <c r="K1668" s="1" t="s">
        <v>6048</v>
      </c>
      <c r="L1668" s="11" t="str">
        <f t="shared" ref="L1668" si="2311">IF(OR(A1668=J1668,A1668=K1668),"ДА","НЕТ")</f>
        <v>НЕТ</v>
      </c>
      <c r="M1668" s="10" t="s">
        <v>1575</v>
      </c>
      <c r="N1668" s="10" t="s">
        <v>1575</v>
      </c>
      <c r="O1668" s="10">
        <v>11.4</v>
      </c>
      <c r="P1668" s="10">
        <f t="shared" si="2309"/>
        <v>28.860759493670887</v>
      </c>
      <c r="Q1668" s="10" t="str">
        <f t="shared" si="2310"/>
        <v>NA</v>
      </c>
      <c r="R1668" s="10" t="s">
        <v>1575</v>
      </c>
      <c r="S1668" s="10" t="s">
        <v>1575</v>
      </c>
      <c r="T1668" s="10" t="s">
        <v>1575</v>
      </c>
      <c r="U1668" s="10">
        <v>0.61432699999999996</v>
      </c>
      <c r="V1668" s="10">
        <v>19.072941</v>
      </c>
      <c r="W1668" s="10" t="s">
        <v>1575</v>
      </c>
      <c r="X1668" s="10" t="str">
        <f t="shared" si="2278"/>
        <v>NA</v>
      </c>
      <c r="Y1668" s="10" t="str">
        <f t="shared" si="2279"/>
        <v>NA</v>
      </c>
      <c r="Z1668" s="10">
        <f t="shared" si="2280"/>
        <v>46.979474276193116</v>
      </c>
      <c r="AA1668" s="10">
        <f t="shared" si="2281"/>
        <v>1.5131782504686029</v>
      </c>
      <c r="AB1668" s="10" t="str">
        <f t="shared" si="2282"/>
        <v>NA</v>
      </c>
      <c r="AC1668" s="10" t="str">
        <f t="shared" si="2283"/>
        <v>NA</v>
      </c>
      <c r="AD1668" s="10" t="str">
        <f t="shared" si="2284"/>
        <v>NA</v>
      </c>
      <c r="AE1668" s="10" t="str">
        <f t="shared" si="2285"/>
        <v>NA</v>
      </c>
      <c r="AF1668" s="1" t="s">
        <v>3479</v>
      </c>
    </row>
    <row r="1669" spans="1:32" x14ac:dyDescent="0.2">
      <c r="A1669" s="1" t="s">
        <v>4732</v>
      </c>
      <c r="B1669" s="1" t="s">
        <v>5</v>
      </c>
      <c r="C1669" s="1" t="s">
        <v>3821</v>
      </c>
      <c r="D1669" s="1" t="s">
        <v>1580</v>
      </c>
      <c r="E1669" s="1" t="s">
        <v>1694</v>
      </c>
      <c r="F1669" s="1" t="s">
        <v>1863</v>
      </c>
      <c r="G1669" s="4">
        <v>4.4999999999999998E-2</v>
      </c>
      <c r="H1669" s="28">
        <v>43830</v>
      </c>
      <c r="I1669" s="29">
        <v>2019</v>
      </c>
      <c r="J1669" s="1" t="s">
        <v>3483</v>
      </c>
      <c r="K1669" s="1" t="s">
        <v>6039</v>
      </c>
      <c r="L1669" s="11" t="str">
        <f t="shared" ref="L1669" si="2312">IF(OR(A1669=J1669,A1669=K1669),"ДА","НЕТ")</f>
        <v>НЕТ</v>
      </c>
      <c r="M1669" s="10" t="s">
        <v>1575</v>
      </c>
      <c r="N1669" s="10" t="s">
        <v>1575</v>
      </c>
      <c r="O1669" s="10">
        <v>1.4</v>
      </c>
      <c r="P1669" s="10">
        <f t="shared" si="2309"/>
        <v>31.111111111111111</v>
      </c>
      <c r="Q1669" s="10" t="str">
        <f t="shared" si="2310"/>
        <v>NA</v>
      </c>
      <c r="R1669" s="10" t="s">
        <v>1575</v>
      </c>
      <c r="S1669" s="10" t="s">
        <v>1575</v>
      </c>
      <c r="T1669" s="10" t="s">
        <v>1575</v>
      </c>
      <c r="U1669" s="10">
        <v>1.8187469999999999</v>
      </c>
      <c r="V1669" s="10">
        <v>29.040827</v>
      </c>
      <c r="W1669" s="10" t="s">
        <v>1575</v>
      </c>
      <c r="X1669" s="10" t="str">
        <f t="shared" si="2278"/>
        <v>NA</v>
      </c>
      <c r="Y1669" s="10" t="str">
        <f t="shared" si="2279"/>
        <v>NA</v>
      </c>
      <c r="Z1669" s="10">
        <f t="shared" si="2280"/>
        <v>17.105793775116116</v>
      </c>
      <c r="AA1669" s="10">
        <f t="shared" si="2281"/>
        <v>1.0712887450178712</v>
      </c>
      <c r="AB1669" s="10" t="str">
        <f t="shared" si="2282"/>
        <v>NA</v>
      </c>
      <c r="AC1669" s="10" t="str">
        <f t="shared" si="2283"/>
        <v>NA</v>
      </c>
      <c r="AD1669" s="10" t="str">
        <f t="shared" si="2284"/>
        <v>NA</v>
      </c>
      <c r="AE1669" s="10" t="str">
        <f t="shared" si="2285"/>
        <v>NA</v>
      </c>
      <c r="AF1669" s="1" t="s">
        <v>3480</v>
      </c>
    </row>
    <row r="1670" spans="1:32" x14ac:dyDescent="0.2">
      <c r="A1670" s="1" t="s">
        <v>3484</v>
      </c>
      <c r="B1670" s="1" t="s">
        <v>5</v>
      </c>
      <c r="C1670" s="1" t="s">
        <v>1575</v>
      </c>
      <c r="D1670" s="1" t="s">
        <v>1578</v>
      </c>
      <c r="E1670" s="1" t="s">
        <v>1579</v>
      </c>
      <c r="F1670" s="1" t="s">
        <v>429</v>
      </c>
      <c r="G1670" s="4" t="s">
        <v>1575</v>
      </c>
      <c r="H1670" s="28">
        <v>43555</v>
      </c>
      <c r="I1670" s="29">
        <v>2019</v>
      </c>
      <c r="J1670" s="1" t="s">
        <v>3484</v>
      </c>
      <c r="K1670" s="1" t="s">
        <v>7</v>
      </c>
      <c r="L1670" s="11" t="str">
        <f t="shared" ref="L1670:L1671" si="2313">IF(OR(A1670=J1670,A1670=K1670),"ДА","НЕТ")</f>
        <v>ДА</v>
      </c>
      <c r="M1670" s="10" t="s">
        <v>1575</v>
      </c>
      <c r="N1670" s="10" t="s">
        <v>1575</v>
      </c>
      <c r="O1670" s="10">
        <v>2</v>
      </c>
      <c r="P1670" s="10" t="str">
        <f t="shared" si="2309"/>
        <v>NA</v>
      </c>
      <c r="Q1670" s="10" t="str">
        <f t="shared" si="2310"/>
        <v>NA</v>
      </c>
      <c r="R1670" s="10" t="s">
        <v>1575</v>
      </c>
      <c r="S1670" s="10" t="s">
        <v>1575</v>
      </c>
      <c r="T1670" s="10" t="s">
        <v>1575</v>
      </c>
      <c r="U1670" s="10" t="s">
        <v>1575</v>
      </c>
      <c r="V1670" s="10" t="s">
        <v>1575</v>
      </c>
      <c r="W1670" s="10" t="s">
        <v>1575</v>
      </c>
      <c r="X1670" s="10" t="str">
        <f t="shared" si="2278"/>
        <v>NA</v>
      </c>
      <c r="Y1670" s="10" t="str">
        <f t="shared" si="2279"/>
        <v>NA</v>
      </c>
      <c r="Z1670" s="10" t="str">
        <f t="shared" si="2280"/>
        <v>NA</v>
      </c>
      <c r="AA1670" s="10" t="str">
        <f t="shared" si="2281"/>
        <v>NA</v>
      </c>
      <c r="AB1670" s="10" t="str">
        <f t="shared" si="2282"/>
        <v>NA</v>
      </c>
      <c r="AC1670" s="10" t="str">
        <f t="shared" si="2283"/>
        <v>NA</v>
      </c>
      <c r="AD1670" s="10" t="str">
        <f t="shared" si="2284"/>
        <v>NA</v>
      </c>
      <c r="AE1670" s="10" t="str">
        <f t="shared" si="2285"/>
        <v>NA</v>
      </c>
      <c r="AF1670" s="1" t="s">
        <v>3481</v>
      </c>
    </row>
    <row r="1671" spans="1:32" x14ac:dyDescent="0.2">
      <c r="A1671" s="1" t="s">
        <v>6059</v>
      </c>
      <c r="B1671" s="1" t="s">
        <v>5</v>
      </c>
      <c r="C1671" s="1" t="s">
        <v>1575</v>
      </c>
      <c r="D1671" s="1" t="s">
        <v>1578</v>
      </c>
      <c r="E1671" s="1" t="s">
        <v>2422</v>
      </c>
      <c r="F1671" s="1" t="s">
        <v>363</v>
      </c>
      <c r="G1671" s="4">
        <f>89%-74%</f>
        <v>0.15000000000000002</v>
      </c>
      <c r="H1671" s="28">
        <v>43830</v>
      </c>
      <c r="I1671" s="29">
        <v>2019</v>
      </c>
      <c r="J1671" s="1" t="s">
        <v>6039</v>
      </c>
      <c r="K1671" s="1" t="s">
        <v>7</v>
      </c>
      <c r="L1671" s="11" t="str">
        <f t="shared" si="2313"/>
        <v>НЕТ</v>
      </c>
      <c r="M1671" s="10" t="s">
        <v>1575</v>
      </c>
      <c r="N1671" s="10" t="s">
        <v>1575</v>
      </c>
      <c r="O1671" s="10" t="s">
        <v>1575</v>
      </c>
      <c r="P1671" s="10" t="str">
        <f t="shared" si="2309"/>
        <v>NA</v>
      </c>
      <c r="Q1671" s="10" t="str">
        <f t="shared" si="2310"/>
        <v>NA</v>
      </c>
      <c r="R1671" s="10" t="s">
        <v>1575</v>
      </c>
      <c r="S1671" s="10" t="s">
        <v>1575</v>
      </c>
      <c r="T1671" s="10" t="s">
        <v>1575</v>
      </c>
      <c r="U1671" s="10" t="s">
        <v>1575</v>
      </c>
      <c r="V1671" s="10" t="s">
        <v>1575</v>
      </c>
      <c r="W1671" s="10" t="s">
        <v>1575</v>
      </c>
      <c r="X1671" s="10" t="str">
        <f t="shared" si="2278"/>
        <v>NA</v>
      </c>
      <c r="Y1671" s="10" t="str">
        <f t="shared" si="2279"/>
        <v>NA</v>
      </c>
      <c r="Z1671" s="10" t="str">
        <f t="shared" si="2280"/>
        <v>NA</v>
      </c>
      <c r="AA1671" s="10" t="str">
        <f t="shared" si="2281"/>
        <v>NA</v>
      </c>
      <c r="AB1671" s="10" t="str">
        <f t="shared" si="2282"/>
        <v>NA</v>
      </c>
      <c r="AC1671" s="10" t="str">
        <f t="shared" si="2283"/>
        <v>NA</v>
      </c>
      <c r="AD1671" s="10" t="str">
        <f t="shared" si="2284"/>
        <v>NA</v>
      </c>
      <c r="AE1671" s="10" t="str">
        <f t="shared" si="2285"/>
        <v>NA</v>
      </c>
      <c r="AF1671" s="1" t="s">
        <v>3482</v>
      </c>
    </row>
    <row r="1672" spans="1:32" x14ac:dyDescent="0.2">
      <c r="A1672" s="1" t="s">
        <v>6060</v>
      </c>
      <c r="B1672" s="1" t="s">
        <v>5</v>
      </c>
      <c r="C1672" s="1" t="s">
        <v>5323</v>
      </c>
      <c r="D1672" s="1" t="s">
        <v>1584</v>
      </c>
      <c r="E1672" s="1" t="s">
        <v>1586</v>
      </c>
      <c r="F1672" s="1" t="s">
        <v>66</v>
      </c>
      <c r="G1672" s="4">
        <v>0.2964</v>
      </c>
      <c r="H1672" s="28">
        <v>44255</v>
      </c>
      <c r="I1672" s="29">
        <v>2021</v>
      </c>
      <c r="J1672" s="1" t="s">
        <v>6061</v>
      </c>
      <c r="K1672" s="1" t="s">
        <v>7</v>
      </c>
      <c r="L1672" s="11" t="str">
        <f t="shared" ref="L1672" si="2314">IF(OR(A1672=J1672,A1672=K1672),"ДА","НЕТ")</f>
        <v>НЕТ</v>
      </c>
      <c r="M1672" s="10" t="s">
        <v>1575</v>
      </c>
      <c r="N1672" s="10" t="s">
        <v>1575</v>
      </c>
      <c r="O1672" s="10">
        <v>5.8</v>
      </c>
      <c r="P1672" s="10">
        <f t="shared" si="2309"/>
        <v>19.568151147098515</v>
      </c>
      <c r="Q1672" s="10" t="str">
        <f t="shared" si="2310"/>
        <v>NA</v>
      </c>
      <c r="R1672" s="10" t="s">
        <v>1575</v>
      </c>
      <c r="S1672" s="10" t="s">
        <v>1575</v>
      </c>
      <c r="T1672" s="10" t="s">
        <v>1575</v>
      </c>
      <c r="U1672" s="10" t="s">
        <v>1575</v>
      </c>
      <c r="V1672" s="10" t="s">
        <v>1575</v>
      </c>
      <c r="W1672" s="10" t="s">
        <v>1575</v>
      </c>
      <c r="X1672" s="10" t="str">
        <f t="shared" si="2278"/>
        <v>NA</v>
      </c>
      <c r="Y1672" s="10" t="str">
        <f t="shared" si="2279"/>
        <v>NA</v>
      </c>
      <c r="Z1672" s="10" t="str">
        <f t="shared" si="2280"/>
        <v>NA</v>
      </c>
      <c r="AA1672" s="10" t="str">
        <f t="shared" si="2281"/>
        <v>NA</v>
      </c>
      <c r="AB1672" s="10" t="str">
        <f t="shared" si="2282"/>
        <v>NA</v>
      </c>
      <c r="AC1672" s="10" t="str">
        <f t="shared" si="2283"/>
        <v>NA</v>
      </c>
      <c r="AD1672" s="10" t="str">
        <f t="shared" si="2284"/>
        <v>NA</v>
      </c>
      <c r="AE1672" s="10" t="str">
        <f t="shared" si="2285"/>
        <v>NA</v>
      </c>
      <c r="AF1672" s="1" t="s">
        <v>3485</v>
      </c>
    </row>
    <row r="1673" spans="1:32" x14ac:dyDescent="0.2">
      <c r="A1673" s="1" t="s">
        <v>6062</v>
      </c>
      <c r="B1673" s="1" t="s">
        <v>5</v>
      </c>
      <c r="C1673" s="1" t="s">
        <v>1575</v>
      </c>
      <c r="D1673" s="1" t="s">
        <v>1595</v>
      </c>
      <c r="E1673" s="1" t="s">
        <v>1587</v>
      </c>
      <c r="F1673" s="1" t="s">
        <v>244</v>
      </c>
      <c r="G1673" s="4">
        <v>1</v>
      </c>
      <c r="H1673" s="28">
        <v>44689</v>
      </c>
      <c r="I1673" s="29">
        <f t="shared" si="2172"/>
        <v>2022</v>
      </c>
      <c r="J1673" s="1" t="s">
        <v>1990</v>
      </c>
      <c r="K1673" s="1" t="s">
        <v>269</v>
      </c>
      <c r="L1673" s="11" t="str">
        <f t="shared" si="2275"/>
        <v>НЕТ</v>
      </c>
      <c r="M1673" s="10" t="s">
        <v>1575</v>
      </c>
      <c r="N1673" s="10" t="s">
        <v>1575</v>
      </c>
      <c r="O1673" s="10">
        <v>6.2E-2</v>
      </c>
      <c r="P1673" s="10">
        <f t="shared" si="2309"/>
        <v>6.2E-2</v>
      </c>
      <c r="Q1673" s="10" t="str">
        <f t="shared" si="2310"/>
        <v>NA</v>
      </c>
      <c r="R1673" s="10" t="s">
        <v>1575</v>
      </c>
      <c r="S1673" s="10" t="s">
        <v>1575</v>
      </c>
      <c r="T1673" s="10" t="s">
        <v>1575</v>
      </c>
      <c r="U1673" s="10" t="s">
        <v>1575</v>
      </c>
      <c r="V1673" s="10">
        <f>0.002+0.138+0.018+0.002+0.009-1.754-0.046</f>
        <v>-1.631</v>
      </c>
      <c r="W1673" s="10" t="s">
        <v>1575</v>
      </c>
      <c r="X1673" s="10" t="str">
        <f t="shared" si="2278"/>
        <v>NA</v>
      </c>
      <c r="Y1673" s="10" t="str">
        <f t="shared" si="2279"/>
        <v>NA</v>
      </c>
      <c r="Z1673" s="10" t="str">
        <f t="shared" si="2280"/>
        <v>NA</v>
      </c>
      <c r="AA1673" s="10">
        <f t="shared" si="2281"/>
        <v>-3.8013488657265483E-2</v>
      </c>
      <c r="AB1673" s="10" t="str">
        <f t="shared" si="2282"/>
        <v>NA</v>
      </c>
      <c r="AC1673" s="10" t="str">
        <f t="shared" si="2283"/>
        <v>NA</v>
      </c>
      <c r="AD1673" s="10" t="str">
        <f t="shared" si="2284"/>
        <v>NA</v>
      </c>
      <c r="AE1673" s="10" t="str">
        <f t="shared" si="2285"/>
        <v>NA</v>
      </c>
      <c r="AF1673" s="1" t="s">
        <v>1989</v>
      </c>
    </row>
    <row r="1674" spans="1:32" x14ac:dyDescent="0.2">
      <c r="A1674" s="1" t="s">
        <v>6063</v>
      </c>
      <c r="B1674" s="1" t="s">
        <v>5</v>
      </c>
      <c r="C1674" s="1" t="s">
        <v>1575</v>
      </c>
      <c r="D1674" s="1" t="s">
        <v>1595</v>
      </c>
      <c r="E1674" s="1" t="s">
        <v>1992</v>
      </c>
      <c r="F1674" s="1" t="s">
        <v>244</v>
      </c>
      <c r="G1674" s="4">
        <v>1</v>
      </c>
      <c r="H1674" s="28">
        <v>44439</v>
      </c>
      <c r="I1674" s="29">
        <f t="shared" si="2172"/>
        <v>2021</v>
      </c>
      <c r="J1674" s="1" t="s">
        <v>7</v>
      </c>
      <c r="K1674" s="1" t="s">
        <v>269</v>
      </c>
      <c r="L1674" s="11" t="str">
        <f t="shared" si="2275"/>
        <v>НЕТ</v>
      </c>
      <c r="M1674" s="10" t="s">
        <v>1575</v>
      </c>
      <c r="N1674" s="10" t="s">
        <v>1575</v>
      </c>
      <c r="O1674" s="10">
        <v>2.5000000000000001E-2</v>
      </c>
      <c r="P1674" s="10">
        <f t="shared" si="2309"/>
        <v>2.5000000000000001E-2</v>
      </c>
      <c r="Q1674" s="10" t="str">
        <f t="shared" si="2310"/>
        <v>NA</v>
      </c>
      <c r="R1674" s="10" t="s">
        <v>1575</v>
      </c>
      <c r="S1674" s="10" t="s">
        <v>1575</v>
      </c>
      <c r="T1674" s="10" t="s">
        <v>1575</v>
      </c>
      <c r="U1674" s="10" t="s">
        <v>1575</v>
      </c>
      <c r="V1674" s="10">
        <f>0.002+0.014+0.014+0.012+0.003-0.006-0.013</f>
        <v>2.6000000000000002E-2</v>
      </c>
      <c r="W1674" s="10" t="s">
        <v>1575</v>
      </c>
      <c r="X1674" s="10" t="str">
        <f t="shared" si="2278"/>
        <v>NA</v>
      </c>
      <c r="Y1674" s="10" t="str">
        <f t="shared" si="2279"/>
        <v>NA</v>
      </c>
      <c r="Z1674" s="10" t="str">
        <f t="shared" si="2280"/>
        <v>NA</v>
      </c>
      <c r="AA1674" s="10">
        <f t="shared" si="2281"/>
        <v>0.96153846153846145</v>
      </c>
      <c r="AB1674" s="10" t="str">
        <f t="shared" si="2282"/>
        <v>NA</v>
      </c>
      <c r="AC1674" s="10" t="str">
        <f t="shared" si="2283"/>
        <v>NA</v>
      </c>
      <c r="AD1674" s="10" t="str">
        <f t="shared" si="2284"/>
        <v>NA</v>
      </c>
      <c r="AE1674" s="10" t="str">
        <f t="shared" si="2285"/>
        <v>NA</v>
      </c>
      <c r="AF1674" s="1" t="s">
        <v>1991</v>
      </c>
    </row>
    <row r="1675" spans="1:32" x14ac:dyDescent="0.2">
      <c r="A1675" s="1" t="s">
        <v>6064</v>
      </c>
      <c r="B1675" s="1" t="s">
        <v>5</v>
      </c>
      <c r="C1675" s="1" t="s">
        <v>1575</v>
      </c>
      <c r="D1675" s="1" t="s">
        <v>1595</v>
      </c>
      <c r="E1675" s="1" t="s">
        <v>1587</v>
      </c>
      <c r="F1675" s="1" t="s">
        <v>244</v>
      </c>
      <c r="G1675" s="4">
        <v>1</v>
      </c>
      <c r="H1675" s="28">
        <v>44439</v>
      </c>
      <c r="I1675" s="29">
        <f t="shared" si="2172"/>
        <v>2021</v>
      </c>
      <c r="J1675" s="1" t="s">
        <v>7</v>
      </c>
      <c r="K1675" s="1" t="s">
        <v>269</v>
      </c>
      <c r="L1675" s="11" t="str">
        <f t="shared" si="2275"/>
        <v>НЕТ</v>
      </c>
      <c r="M1675" s="10" t="s">
        <v>1575</v>
      </c>
      <c r="N1675" s="10" t="s">
        <v>1575</v>
      </c>
      <c r="O1675" s="10">
        <v>0.34100000000000003</v>
      </c>
      <c r="P1675" s="10">
        <f t="shared" si="2309"/>
        <v>0.34100000000000003</v>
      </c>
      <c r="Q1675" s="10" t="str">
        <f t="shared" si="2310"/>
        <v>NA</v>
      </c>
      <c r="R1675" s="10" t="s">
        <v>1575</v>
      </c>
      <c r="S1675" s="10" t="s">
        <v>1575</v>
      </c>
      <c r="T1675" s="10" t="s">
        <v>1575</v>
      </c>
      <c r="U1675" s="10" t="s">
        <v>1575</v>
      </c>
      <c r="V1675" s="10">
        <f>0.072+0.092+0.013+0.211+0.038+0.003+0.03-0.061-0.057</f>
        <v>0.34099999999999997</v>
      </c>
      <c r="W1675" s="10" t="s">
        <v>1575</v>
      </c>
      <c r="X1675" s="10" t="str">
        <f t="shared" si="2278"/>
        <v>NA</v>
      </c>
      <c r="Y1675" s="10" t="str">
        <f t="shared" si="2279"/>
        <v>NA</v>
      </c>
      <c r="Z1675" s="10" t="str">
        <f t="shared" si="2280"/>
        <v>NA</v>
      </c>
      <c r="AA1675" s="10">
        <f t="shared" si="2281"/>
        <v>1.0000000000000002</v>
      </c>
      <c r="AB1675" s="10" t="str">
        <f t="shared" si="2282"/>
        <v>NA</v>
      </c>
      <c r="AC1675" s="10" t="str">
        <f t="shared" si="2283"/>
        <v>NA</v>
      </c>
      <c r="AD1675" s="10" t="str">
        <f t="shared" si="2284"/>
        <v>NA</v>
      </c>
      <c r="AE1675" s="10" t="str">
        <f t="shared" si="2285"/>
        <v>NA</v>
      </c>
      <c r="AF1675" s="1" t="s">
        <v>1995</v>
      </c>
    </row>
    <row r="1676" spans="1:32" x14ac:dyDescent="0.2">
      <c r="A1676" s="1" t="s">
        <v>1999</v>
      </c>
      <c r="B1676" s="1" t="s">
        <v>5</v>
      </c>
      <c r="C1676" s="1" t="s">
        <v>1575</v>
      </c>
      <c r="D1676" s="1" t="s">
        <v>1584</v>
      </c>
      <c r="E1676" s="1" t="s">
        <v>1586</v>
      </c>
      <c r="F1676" s="1" t="s">
        <v>66</v>
      </c>
      <c r="G1676" s="4">
        <v>1</v>
      </c>
      <c r="H1676" s="28">
        <v>43708</v>
      </c>
      <c r="I1676" s="29">
        <f t="shared" si="2172"/>
        <v>2019</v>
      </c>
      <c r="J1676" s="1" t="s">
        <v>269</v>
      </c>
      <c r="K1676" s="1" t="s">
        <v>6065</v>
      </c>
      <c r="L1676" s="11" t="str">
        <f t="shared" si="2275"/>
        <v>НЕТ</v>
      </c>
      <c r="M1676" s="10" t="s">
        <v>1575</v>
      </c>
      <c r="N1676" s="10" t="s">
        <v>1575</v>
      </c>
      <c r="O1676" s="10">
        <v>0.32900000000000001</v>
      </c>
      <c r="P1676" s="10">
        <f t="shared" si="2309"/>
        <v>0.32900000000000001</v>
      </c>
      <c r="Q1676" s="10" t="str">
        <f t="shared" si="2310"/>
        <v>NA</v>
      </c>
      <c r="R1676" s="10" t="s">
        <v>1575</v>
      </c>
      <c r="S1676" s="10" t="s">
        <v>1575</v>
      </c>
      <c r="T1676" s="10" t="s">
        <v>1575</v>
      </c>
      <c r="U1676" s="10" t="s">
        <v>1575</v>
      </c>
      <c r="V1676" s="10">
        <v>4.5999999999999999E-2</v>
      </c>
      <c r="W1676" s="10" t="s">
        <v>1575</v>
      </c>
      <c r="X1676" s="10" t="str">
        <f t="shared" si="2278"/>
        <v>NA</v>
      </c>
      <c r="Y1676" s="10" t="str">
        <f t="shared" si="2279"/>
        <v>NA</v>
      </c>
      <c r="Z1676" s="10" t="str">
        <f t="shared" si="2280"/>
        <v>NA</v>
      </c>
      <c r="AA1676" s="10">
        <f t="shared" si="2281"/>
        <v>7.1521739130434785</v>
      </c>
      <c r="AB1676" s="10" t="str">
        <f t="shared" si="2282"/>
        <v>NA</v>
      </c>
      <c r="AC1676" s="10" t="str">
        <f t="shared" si="2283"/>
        <v>NA</v>
      </c>
      <c r="AD1676" s="10" t="str">
        <f t="shared" si="2284"/>
        <v>NA</v>
      </c>
      <c r="AE1676" s="10" t="str">
        <f t="shared" si="2285"/>
        <v>NA</v>
      </c>
      <c r="AF1676" s="1" t="s">
        <v>2000</v>
      </c>
    </row>
    <row r="1677" spans="1:32" x14ac:dyDescent="0.2">
      <c r="A1677" s="1" t="s">
        <v>6064</v>
      </c>
      <c r="B1677" s="1" t="s">
        <v>5</v>
      </c>
      <c r="C1677" s="1" t="s">
        <v>1575</v>
      </c>
      <c r="D1677" s="1" t="s">
        <v>1595</v>
      </c>
      <c r="E1677" s="1" t="s">
        <v>1587</v>
      </c>
      <c r="F1677" s="1" t="s">
        <v>244</v>
      </c>
      <c r="G1677" s="4">
        <v>1</v>
      </c>
      <c r="H1677" s="28">
        <v>43343</v>
      </c>
      <c r="I1677" s="29">
        <f t="shared" si="2172"/>
        <v>2018</v>
      </c>
      <c r="J1677" s="1" t="s">
        <v>269</v>
      </c>
      <c r="K1677" s="1" t="s">
        <v>7</v>
      </c>
      <c r="L1677" s="11" t="str">
        <f t="shared" si="2275"/>
        <v>НЕТ</v>
      </c>
      <c r="M1677" s="10" t="s">
        <v>1575</v>
      </c>
      <c r="N1677" s="10" t="s">
        <v>1575</v>
      </c>
      <c r="O1677" s="10">
        <v>0.42499999999999999</v>
      </c>
      <c r="P1677" s="10">
        <f t="shared" si="2309"/>
        <v>0.42499999999999999</v>
      </c>
      <c r="Q1677" s="10" t="str">
        <f t="shared" si="2310"/>
        <v>NA</v>
      </c>
      <c r="R1677" s="10" t="s">
        <v>1575</v>
      </c>
      <c r="S1677" s="10" t="s">
        <v>1575</v>
      </c>
      <c r="T1677" s="10" t="s">
        <v>1575</v>
      </c>
      <c r="U1677" s="10" t="s">
        <v>1575</v>
      </c>
      <c r="V1677" s="10">
        <f>0.213+0.123+0.129+0.045+0.019+0.029-0.076-0.086</f>
        <v>0.39600000000000002</v>
      </c>
      <c r="W1677" s="10" t="s">
        <v>1575</v>
      </c>
      <c r="X1677" s="10" t="str">
        <f t="shared" si="2278"/>
        <v>NA</v>
      </c>
      <c r="Y1677" s="10" t="str">
        <f t="shared" si="2279"/>
        <v>NA</v>
      </c>
      <c r="Z1677" s="10" t="str">
        <f t="shared" si="2280"/>
        <v>NA</v>
      </c>
      <c r="AA1677" s="10">
        <f t="shared" si="2281"/>
        <v>1.0732323232323231</v>
      </c>
      <c r="AB1677" s="10" t="str">
        <f t="shared" si="2282"/>
        <v>NA</v>
      </c>
      <c r="AC1677" s="10" t="str">
        <f t="shared" si="2283"/>
        <v>NA</v>
      </c>
      <c r="AD1677" s="10" t="str">
        <f t="shared" si="2284"/>
        <v>NA</v>
      </c>
      <c r="AE1677" s="10" t="str">
        <f t="shared" si="2285"/>
        <v>NA</v>
      </c>
      <c r="AF1677" s="1" t="s">
        <v>2001</v>
      </c>
    </row>
    <row r="1678" spans="1:32" x14ac:dyDescent="0.2">
      <c r="A1678" s="1" t="s">
        <v>6066</v>
      </c>
      <c r="B1678" s="1" t="s">
        <v>5</v>
      </c>
      <c r="C1678" s="1" t="s">
        <v>1575</v>
      </c>
      <c r="D1678" s="1" t="s">
        <v>1595</v>
      </c>
      <c r="E1678" s="1" t="s">
        <v>1587</v>
      </c>
      <c r="F1678" s="1" t="s">
        <v>244</v>
      </c>
      <c r="G1678" s="4">
        <v>1</v>
      </c>
      <c r="H1678" s="28">
        <v>43677</v>
      </c>
      <c r="I1678" s="29">
        <f t="shared" si="2172"/>
        <v>2019</v>
      </c>
      <c r="J1678" s="1" t="s">
        <v>1815</v>
      </c>
      <c r="K1678" s="1" t="s">
        <v>269</v>
      </c>
      <c r="L1678" s="11" t="str">
        <f t="shared" si="2275"/>
        <v>НЕТ</v>
      </c>
      <c r="M1678" s="10" t="s">
        <v>1575</v>
      </c>
      <c r="N1678" s="10" t="s">
        <v>1575</v>
      </c>
      <c r="O1678" s="10">
        <v>9.4E-2</v>
      </c>
      <c r="P1678" s="10">
        <f t="shared" si="2309"/>
        <v>9.4E-2</v>
      </c>
      <c r="Q1678" s="10" t="str">
        <f t="shared" si="2310"/>
        <v>NA</v>
      </c>
      <c r="R1678" s="10" t="s">
        <v>1575</v>
      </c>
      <c r="S1678" s="10" t="s">
        <v>1575</v>
      </c>
      <c r="T1678" s="10" t="s">
        <v>1575</v>
      </c>
      <c r="U1678" s="10" t="s">
        <v>1575</v>
      </c>
      <c r="V1678" s="10">
        <f>0.043+0.041+0.008+0.009+0.002-0.029</f>
        <v>7.3999999999999996E-2</v>
      </c>
      <c r="W1678" s="10" t="s">
        <v>1575</v>
      </c>
      <c r="X1678" s="10" t="str">
        <f t="shared" si="2278"/>
        <v>NA</v>
      </c>
      <c r="Y1678" s="10" t="str">
        <f t="shared" si="2279"/>
        <v>NA</v>
      </c>
      <c r="Z1678" s="10" t="str">
        <f t="shared" si="2280"/>
        <v>NA</v>
      </c>
      <c r="AA1678" s="10">
        <f t="shared" si="2281"/>
        <v>1.2702702702702704</v>
      </c>
      <c r="AB1678" s="10" t="str">
        <f t="shared" si="2282"/>
        <v>NA</v>
      </c>
      <c r="AC1678" s="10" t="str">
        <f t="shared" si="2283"/>
        <v>NA</v>
      </c>
      <c r="AD1678" s="10" t="str">
        <f t="shared" si="2284"/>
        <v>NA</v>
      </c>
      <c r="AE1678" s="10" t="str">
        <f t="shared" si="2285"/>
        <v>NA</v>
      </c>
      <c r="AF1678" s="1" t="s">
        <v>2002</v>
      </c>
    </row>
    <row r="1679" spans="1:32" x14ac:dyDescent="0.2">
      <c r="A1679" s="1" t="s">
        <v>6067</v>
      </c>
      <c r="B1679" s="1" t="s">
        <v>5</v>
      </c>
      <c r="C1679" s="1" t="s">
        <v>1575</v>
      </c>
      <c r="D1679" s="1" t="s">
        <v>1580</v>
      </c>
      <c r="E1679" s="1" t="s">
        <v>1590</v>
      </c>
      <c r="F1679" s="1" t="s">
        <v>2004</v>
      </c>
      <c r="G1679" s="4">
        <v>0.98980000000000001</v>
      </c>
      <c r="H1679" s="28">
        <v>43585</v>
      </c>
      <c r="I1679" s="29">
        <f t="shared" si="2172"/>
        <v>2019</v>
      </c>
      <c r="J1679" s="1" t="s">
        <v>269</v>
      </c>
      <c r="K1679" s="1" t="s">
        <v>7</v>
      </c>
      <c r="L1679" s="11" t="str">
        <f t="shared" si="2275"/>
        <v>НЕТ</v>
      </c>
      <c r="M1679" s="10" t="s">
        <v>1575</v>
      </c>
      <c r="N1679" s="10" t="s">
        <v>1575</v>
      </c>
      <c r="O1679" s="10" t="s">
        <v>1575</v>
      </c>
      <c r="P1679" s="10" t="str">
        <f t="shared" si="2309"/>
        <v>NA</v>
      </c>
      <c r="Q1679" s="10" t="str">
        <f t="shared" si="2310"/>
        <v>NA</v>
      </c>
      <c r="R1679" s="10" t="s">
        <v>1575</v>
      </c>
      <c r="S1679" s="10" t="s">
        <v>1575</v>
      </c>
      <c r="T1679" s="10" t="s">
        <v>1575</v>
      </c>
      <c r="U1679" s="10" t="s">
        <v>1575</v>
      </c>
      <c r="V1679" s="10" t="s">
        <v>1575</v>
      </c>
      <c r="W1679" s="10" t="s">
        <v>1575</v>
      </c>
      <c r="X1679" s="10" t="str">
        <f t="shared" si="2278"/>
        <v>NA</v>
      </c>
      <c r="Y1679" s="10" t="str">
        <f t="shared" si="2279"/>
        <v>NA</v>
      </c>
      <c r="Z1679" s="10" t="str">
        <f t="shared" si="2280"/>
        <v>NA</v>
      </c>
      <c r="AA1679" s="10" t="str">
        <f t="shared" si="2281"/>
        <v>NA</v>
      </c>
      <c r="AB1679" s="10" t="str">
        <f t="shared" si="2282"/>
        <v>NA</v>
      </c>
      <c r="AC1679" s="10" t="str">
        <f t="shared" si="2283"/>
        <v>NA</v>
      </c>
      <c r="AD1679" s="10" t="str">
        <f t="shared" si="2284"/>
        <v>NA</v>
      </c>
      <c r="AE1679" s="10" t="str">
        <f t="shared" si="2285"/>
        <v>NA</v>
      </c>
      <c r="AF1679" s="1" t="s">
        <v>2003</v>
      </c>
    </row>
    <row r="1680" spans="1:32" x14ac:dyDescent="0.2">
      <c r="A1680" s="1" t="s">
        <v>2005</v>
      </c>
      <c r="B1680" s="1" t="s">
        <v>5</v>
      </c>
      <c r="C1680" s="1" t="s">
        <v>1575</v>
      </c>
      <c r="D1680" s="1" t="s">
        <v>1580</v>
      </c>
      <c r="E1680" s="1" t="s">
        <v>1590</v>
      </c>
      <c r="F1680" s="1" t="s">
        <v>2004</v>
      </c>
      <c r="G1680" s="4">
        <v>0.13</v>
      </c>
      <c r="H1680" s="28">
        <v>43861</v>
      </c>
      <c r="I1680" s="29">
        <f t="shared" si="2172"/>
        <v>2020</v>
      </c>
      <c r="J1680" s="1" t="s">
        <v>1815</v>
      </c>
      <c r="K1680" s="1" t="s">
        <v>7</v>
      </c>
      <c r="L1680" s="11" t="str">
        <f t="shared" si="2275"/>
        <v>НЕТ</v>
      </c>
      <c r="M1680" s="10" t="s">
        <v>1575</v>
      </c>
      <c r="N1680" s="10" t="s">
        <v>1575</v>
      </c>
      <c r="O1680" s="10" t="s">
        <v>1575</v>
      </c>
      <c r="P1680" s="10" t="str">
        <f t="shared" si="2309"/>
        <v>NA</v>
      </c>
      <c r="Q1680" s="10" t="str">
        <f t="shared" si="2310"/>
        <v>NA</v>
      </c>
      <c r="R1680" s="10" t="s">
        <v>1575</v>
      </c>
      <c r="S1680" s="10" t="s">
        <v>1575</v>
      </c>
      <c r="T1680" s="10" t="s">
        <v>1575</v>
      </c>
      <c r="U1680" s="10" t="s">
        <v>1575</v>
      </c>
      <c r="V1680" s="10" t="s">
        <v>1575</v>
      </c>
      <c r="W1680" s="10" t="s">
        <v>1575</v>
      </c>
      <c r="X1680" s="10" t="str">
        <f t="shared" si="2278"/>
        <v>NA</v>
      </c>
      <c r="Y1680" s="10" t="str">
        <f t="shared" si="2279"/>
        <v>NA</v>
      </c>
      <c r="Z1680" s="10" t="str">
        <f t="shared" si="2280"/>
        <v>NA</v>
      </c>
      <c r="AA1680" s="10" t="str">
        <f t="shared" si="2281"/>
        <v>NA</v>
      </c>
      <c r="AB1680" s="10" t="str">
        <f t="shared" si="2282"/>
        <v>NA</v>
      </c>
      <c r="AC1680" s="10" t="str">
        <f t="shared" si="2283"/>
        <v>NA</v>
      </c>
      <c r="AD1680" s="10" t="str">
        <f t="shared" si="2284"/>
        <v>NA</v>
      </c>
      <c r="AE1680" s="10" t="str">
        <f t="shared" si="2285"/>
        <v>NA</v>
      </c>
      <c r="AF1680" s="1" t="s">
        <v>1997</v>
      </c>
    </row>
    <row r="1681" spans="1:32" x14ac:dyDescent="0.2">
      <c r="A1681" s="1" t="s">
        <v>6062</v>
      </c>
      <c r="B1681" s="1" t="s">
        <v>5</v>
      </c>
      <c r="C1681" s="1" t="s">
        <v>1575</v>
      </c>
      <c r="D1681" s="1" t="s">
        <v>1595</v>
      </c>
      <c r="E1681" s="1" t="s">
        <v>1587</v>
      </c>
      <c r="F1681" s="1" t="s">
        <v>244</v>
      </c>
      <c r="G1681" s="4">
        <f>100%-90%</f>
        <v>9.9999999999999978E-2</v>
      </c>
      <c r="H1681" s="28">
        <v>43281</v>
      </c>
      <c r="I1681" s="29">
        <f t="shared" ref="I1681:I1744" si="2315">YEAR(H1681)</f>
        <v>2018</v>
      </c>
      <c r="J1681" s="1" t="s">
        <v>1815</v>
      </c>
      <c r="K1681" s="1" t="s">
        <v>7</v>
      </c>
      <c r="L1681" s="11" t="str">
        <f t="shared" si="2275"/>
        <v>НЕТ</v>
      </c>
      <c r="M1681" s="10" t="s">
        <v>1575</v>
      </c>
      <c r="N1681" s="10" t="s">
        <v>1575</v>
      </c>
      <c r="O1681" s="10">
        <v>5.4000000000000003E-3</v>
      </c>
      <c r="P1681" s="10">
        <f t="shared" si="2309"/>
        <v>5.4000000000000013E-2</v>
      </c>
      <c r="Q1681" s="10" t="str">
        <f t="shared" si="2310"/>
        <v>NA</v>
      </c>
      <c r="R1681" s="10" t="s">
        <v>1575</v>
      </c>
      <c r="S1681" s="10" t="s">
        <v>1575</v>
      </c>
      <c r="T1681" s="10" t="s">
        <v>1575</v>
      </c>
      <c r="U1681" s="10" t="s">
        <v>1575</v>
      </c>
      <c r="V1681" s="10" t="s">
        <v>1575</v>
      </c>
      <c r="W1681" s="10" t="s">
        <v>1575</v>
      </c>
      <c r="X1681" s="10" t="str">
        <f t="shared" si="2278"/>
        <v>NA</v>
      </c>
      <c r="Y1681" s="10" t="str">
        <f t="shared" si="2279"/>
        <v>NA</v>
      </c>
      <c r="Z1681" s="10" t="str">
        <f t="shared" si="2280"/>
        <v>NA</v>
      </c>
      <c r="AA1681" s="10" t="str">
        <f t="shared" si="2281"/>
        <v>NA</v>
      </c>
      <c r="AB1681" s="10" t="str">
        <f t="shared" si="2282"/>
        <v>NA</v>
      </c>
      <c r="AC1681" s="10" t="str">
        <f t="shared" si="2283"/>
        <v>NA</v>
      </c>
      <c r="AD1681" s="10" t="str">
        <f t="shared" si="2284"/>
        <v>NA</v>
      </c>
      <c r="AE1681" s="10" t="str">
        <f t="shared" si="2285"/>
        <v>NA</v>
      </c>
      <c r="AF1681" s="1" t="s">
        <v>2006</v>
      </c>
    </row>
    <row r="1682" spans="1:32" x14ac:dyDescent="0.2">
      <c r="A1682" s="1" t="s">
        <v>6068</v>
      </c>
      <c r="B1682" s="1" t="s">
        <v>5</v>
      </c>
      <c r="C1682" s="1" t="s">
        <v>1575</v>
      </c>
      <c r="D1682" s="1" t="s">
        <v>1578</v>
      </c>
      <c r="E1682" s="1" t="s">
        <v>2007</v>
      </c>
      <c r="F1682" s="1" t="s">
        <v>3495</v>
      </c>
      <c r="G1682" s="4">
        <v>0.32990000000000003</v>
      </c>
      <c r="H1682" s="28">
        <v>43131</v>
      </c>
      <c r="I1682" s="29">
        <f t="shared" si="2315"/>
        <v>2018</v>
      </c>
      <c r="J1682" s="1" t="s">
        <v>1815</v>
      </c>
      <c r="K1682" s="1" t="s">
        <v>7</v>
      </c>
      <c r="L1682" s="11" t="str">
        <f t="shared" si="2275"/>
        <v>НЕТ</v>
      </c>
      <c r="M1682" s="10" t="s">
        <v>1575</v>
      </c>
      <c r="N1682" s="10" t="s">
        <v>1575</v>
      </c>
      <c r="O1682" s="10">
        <v>1.397E-2</v>
      </c>
      <c r="P1682" s="10">
        <f t="shared" si="2309"/>
        <v>4.2346165504698392E-2</v>
      </c>
      <c r="Q1682" s="10" t="str">
        <f t="shared" si="2310"/>
        <v>NA</v>
      </c>
      <c r="R1682" s="10" t="s">
        <v>1575</v>
      </c>
      <c r="S1682" s="10" t="s">
        <v>1575</v>
      </c>
      <c r="T1682" s="10" t="s">
        <v>1575</v>
      </c>
      <c r="U1682" s="10" t="s">
        <v>1575</v>
      </c>
      <c r="V1682" s="10" t="s">
        <v>1575</v>
      </c>
      <c r="W1682" s="10" t="s">
        <v>1575</v>
      </c>
      <c r="X1682" s="10" t="str">
        <f t="shared" si="2278"/>
        <v>NA</v>
      </c>
      <c r="Y1682" s="10" t="str">
        <f t="shared" si="2279"/>
        <v>NA</v>
      </c>
      <c r="Z1682" s="10" t="str">
        <f t="shared" si="2280"/>
        <v>NA</v>
      </c>
      <c r="AA1682" s="10" t="str">
        <f t="shared" si="2281"/>
        <v>NA</v>
      </c>
      <c r="AB1682" s="10" t="str">
        <f t="shared" si="2282"/>
        <v>NA</v>
      </c>
      <c r="AC1682" s="10" t="str">
        <f t="shared" si="2283"/>
        <v>NA</v>
      </c>
      <c r="AD1682" s="10" t="str">
        <f t="shared" si="2284"/>
        <v>NA</v>
      </c>
      <c r="AE1682" s="10" t="str">
        <f t="shared" si="2285"/>
        <v>NA</v>
      </c>
      <c r="AF1682" s="1" t="s">
        <v>2008</v>
      </c>
    </row>
    <row r="1683" spans="1:32" x14ac:dyDescent="0.2">
      <c r="A1683" s="1" t="s">
        <v>6062</v>
      </c>
      <c r="B1683" s="1" t="s">
        <v>5</v>
      </c>
      <c r="C1683" s="1" t="s">
        <v>1575</v>
      </c>
      <c r="D1683" s="1" t="s">
        <v>1595</v>
      </c>
      <c r="E1683" s="1" t="s">
        <v>1587</v>
      </c>
      <c r="F1683" s="1" t="s">
        <v>244</v>
      </c>
      <c r="G1683" s="4">
        <v>7.85E-2</v>
      </c>
      <c r="H1683" s="28">
        <v>42825</v>
      </c>
      <c r="I1683" s="29">
        <f t="shared" si="2315"/>
        <v>2017</v>
      </c>
      <c r="J1683" s="1" t="s">
        <v>1815</v>
      </c>
      <c r="K1683" s="1" t="s">
        <v>7</v>
      </c>
      <c r="L1683" s="11" t="str">
        <f t="shared" si="2275"/>
        <v>НЕТ</v>
      </c>
      <c r="M1683" s="10" t="s">
        <v>1575</v>
      </c>
      <c r="N1683" s="10" t="s">
        <v>1575</v>
      </c>
      <c r="O1683" s="10">
        <v>8.5000000000000006E-3</v>
      </c>
      <c r="P1683" s="10">
        <f t="shared" si="2309"/>
        <v>0.10828025477707007</v>
      </c>
      <c r="Q1683" s="10" t="str">
        <f t="shared" si="2310"/>
        <v>NA</v>
      </c>
      <c r="R1683" s="10" t="s">
        <v>1575</v>
      </c>
      <c r="S1683" s="10" t="s">
        <v>1575</v>
      </c>
      <c r="T1683" s="10" t="s">
        <v>1575</v>
      </c>
      <c r="U1683" s="10" t="s">
        <v>1575</v>
      </c>
      <c r="V1683" s="10" t="s">
        <v>1575</v>
      </c>
      <c r="W1683" s="10" t="s">
        <v>1575</v>
      </c>
      <c r="X1683" s="10" t="str">
        <f t="shared" si="2278"/>
        <v>NA</v>
      </c>
      <c r="Y1683" s="10" t="str">
        <f t="shared" si="2279"/>
        <v>NA</v>
      </c>
      <c r="Z1683" s="10" t="str">
        <f t="shared" si="2280"/>
        <v>NA</v>
      </c>
      <c r="AA1683" s="10" t="str">
        <f t="shared" si="2281"/>
        <v>NA</v>
      </c>
      <c r="AB1683" s="10" t="str">
        <f t="shared" si="2282"/>
        <v>NA</v>
      </c>
      <c r="AC1683" s="10" t="str">
        <f t="shared" si="2283"/>
        <v>NA</v>
      </c>
      <c r="AD1683" s="10" t="str">
        <f t="shared" si="2284"/>
        <v>NA</v>
      </c>
      <c r="AE1683" s="10" t="str">
        <f t="shared" si="2285"/>
        <v>NA</v>
      </c>
      <c r="AF1683" s="1" t="s">
        <v>2009</v>
      </c>
    </row>
    <row r="1684" spans="1:32" x14ac:dyDescent="0.2">
      <c r="A1684" s="1" t="s">
        <v>6063</v>
      </c>
      <c r="B1684" s="1" t="s">
        <v>5</v>
      </c>
      <c r="C1684" s="1" t="s">
        <v>1575</v>
      </c>
      <c r="D1684" s="1" t="s">
        <v>1595</v>
      </c>
      <c r="E1684" s="1" t="s">
        <v>1992</v>
      </c>
      <c r="F1684" s="1" t="s">
        <v>244</v>
      </c>
      <c r="G1684" s="4">
        <v>0.51</v>
      </c>
      <c r="H1684" s="28">
        <v>42855</v>
      </c>
      <c r="I1684" s="29">
        <f t="shared" si="2315"/>
        <v>2017</v>
      </c>
      <c r="J1684" s="1" t="s">
        <v>269</v>
      </c>
      <c r="K1684" s="1" t="s">
        <v>1815</v>
      </c>
      <c r="L1684" s="11" t="str">
        <f t="shared" si="2275"/>
        <v>НЕТ</v>
      </c>
      <c r="M1684" s="10" t="s">
        <v>1575</v>
      </c>
      <c r="N1684" s="10" t="s">
        <v>1575</v>
      </c>
      <c r="O1684" s="10">
        <v>2.92E-2</v>
      </c>
      <c r="P1684" s="10">
        <f t="shared" si="2309"/>
        <v>5.725490196078431E-2</v>
      </c>
      <c r="Q1684" s="10" t="str">
        <f t="shared" si="2310"/>
        <v>NA</v>
      </c>
      <c r="R1684" s="10" t="s">
        <v>1575</v>
      </c>
      <c r="S1684" s="10" t="s">
        <v>1575</v>
      </c>
      <c r="T1684" s="10" t="s">
        <v>1575</v>
      </c>
      <c r="U1684" s="10" t="s">
        <v>1575</v>
      </c>
      <c r="V1684" s="10">
        <f>0.082+0.021+0.01+0.012-0.02</f>
        <v>0.105</v>
      </c>
      <c r="W1684" s="10" t="s">
        <v>1575</v>
      </c>
      <c r="X1684" s="10" t="str">
        <f t="shared" si="2278"/>
        <v>NA</v>
      </c>
      <c r="Y1684" s="10" t="str">
        <f t="shared" si="2279"/>
        <v>NA</v>
      </c>
      <c r="Z1684" s="10" t="str">
        <f t="shared" si="2280"/>
        <v>NA</v>
      </c>
      <c r="AA1684" s="10">
        <f t="shared" si="2281"/>
        <v>0.54528478057889818</v>
      </c>
      <c r="AB1684" s="10" t="str">
        <f t="shared" si="2282"/>
        <v>NA</v>
      </c>
      <c r="AC1684" s="10" t="str">
        <f t="shared" si="2283"/>
        <v>NA</v>
      </c>
      <c r="AD1684" s="10" t="str">
        <f t="shared" si="2284"/>
        <v>NA</v>
      </c>
      <c r="AE1684" s="10" t="str">
        <f t="shared" si="2285"/>
        <v>NA</v>
      </c>
      <c r="AF1684" s="1" t="s">
        <v>1998</v>
      </c>
    </row>
    <row r="1685" spans="1:32" x14ac:dyDescent="0.2">
      <c r="A1685" s="1" t="s">
        <v>6062</v>
      </c>
      <c r="B1685" s="1" t="s">
        <v>5</v>
      </c>
      <c r="C1685" s="1" t="s">
        <v>1575</v>
      </c>
      <c r="D1685" s="1" t="s">
        <v>1595</v>
      </c>
      <c r="E1685" s="1" t="s">
        <v>1587</v>
      </c>
      <c r="F1685" s="1" t="s">
        <v>244</v>
      </c>
      <c r="G1685" s="4">
        <v>0.89529999999999998</v>
      </c>
      <c r="H1685" s="28">
        <v>42369</v>
      </c>
      <c r="I1685" s="29">
        <f t="shared" si="2315"/>
        <v>2015</v>
      </c>
      <c r="J1685" s="1" t="s">
        <v>269</v>
      </c>
      <c r="K1685" s="1" t="s">
        <v>7</v>
      </c>
      <c r="L1685" s="11" t="str">
        <f t="shared" si="2275"/>
        <v>НЕТ</v>
      </c>
      <c r="M1685" s="10" t="s">
        <v>1575</v>
      </c>
      <c r="N1685" s="10" t="s">
        <v>1575</v>
      </c>
      <c r="O1685" s="10">
        <v>4.3999999999999997E-2</v>
      </c>
      <c r="P1685" s="10">
        <f t="shared" si="2309"/>
        <v>4.9145537808555788E-2</v>
      </c>
      <c r="Q1685" s="10" t="str">
        <f t="shared" si="2310"/>
        <v>NA</v>
      </c>
      <c r="R1685" s="10">
        <v>0.75900000000000001</v>
      </c>
      <c r="S1685" s="10" t="s">
        <v>1575</v>
      </c>
      <c r="T1685" s="10" t="s">
        <v>1575</v>
      </c>
      <c r="U1685" s="10">
        <v>0.20799999999999999</v>
      </c>
      <c r="V1685" s="10">
        <v>-0.49099999999999999</v>
      </c>
      <c r="W1685" s="10" t="s">
        <v>1575</v>
      </c>
      <c r="X1685" s="10" t="str">
        <f t="shared" si="2278"/>
        <v>NA</v>
      </c>
      <c r="Y1685" s="10">
        <f t="shared" si="2279"/>
        <v>6.4750379194408153E-2</v>
      </c>
      <c r="Z1685" s="10">
        <f t="shared" si="2280"/>
        <v>0.23627662407959515</v>
      </c>
      <c r="AA1685" s="10">
        <f t="shared" si="2281"/>
        <v>-0.10009274502760854</v>
      </c>
      <c r="AB1685" s="10" t="str">
        <f t="shared" si="2282"/>
        <v>NA</v>
      </c>
      <c r="AC1685" s="10" t="str">
        <f t="shared" si="2283"/>
        <v>NA</v>
      </c>
      <c r="AD1685" s="10" t="str">
        <f t="shared" si="2284"/>
        <v>NA</v>
      </c>
      <c r="AE1685" s="10" t="str">
        <f t="shared" si="2285"/>
        <v>NA</v>
      </c>
      <c r="AF1685" s="1" t="s">
        <v>248</v>
      </c>
    </row>
    <row r="1686" spans="1:32" x14ac:dyDescent="0.2">
      <c r="A1686" s="1" t="s">
        <v>6069</v>
      </c>
      <c r="B1686" s="1" t="s">
        <v>5</v>
      </c>
      <c r="C1686" s="1" t="s">
        <v>1575</v>
      </c>
      <c r="D1686" s="1" t="s">
        <v>1584</v>
      </c>
      <c r="E1686" s="1" t="s">
        <v>1586</v>
      </c>
      <c r="F1686" s="1" t="s">
        <v>66</v>
      </c>
      <c r="G1686" s="4">
        <v>0.51</v>
      </c>
      <c r="H1686" s="28">
        <v>42063</v>
      </c>
      <c r="I1686" s="29">
        <f t="shared" si="2315"/>
        <v>2015</v>
      </c>
      <c r="J1686" s="1" t="s">
        <v>6070</v>
      </c>
      <c r="K1686" s="1" t="s">
        <v>269</v>
      </c>
      <c r="L1686" s="11" t="str">
        <f t="shared" si="2275"/>
        <v>НЕТ</v>
      </c>
      <c r="M1686" s="10" t="s">
        <v>1575</v>
      </c>
      <c r="N1686" s="10" t="s">
        <v>1575</v>
      </c>
      <c r="O1686" s="10">
        <v>4.3380000000000001</v>
      </c>
      <c r="P1686" s="10">
        <f t="shared" si="2309"/>
        <v>8.5058823529411764</v>
      </c>
      <c r="Q1686" s="10" t="str">
        <f t="shared" si="2310"/>
        <v>NA</v>
      </c>
      <c r="R1686" s="10" t="s">
        <v>1575</v>
      </c>
      <c r="S1686" s="10" t="s">
        <v>1575</v>
      </c>
      <c r="T1686" s="10" t="s">
        <v>1575</v>
      </c>
      <c r="U1686" s="10" t="s">
        <v>1575</v>
      </c>
      <c r="V1686" s="10">
        <f>0.908+0.94</f>
        <v>1.8479999999999999</v>
      </c>
      <c r="W1686" s="10" t="s">
        <v>1575</v>
      </c>
      <c r="X1686" s="10" t="str">
        <f t="shared" si="2278"/>
        <v>NA</v>
      </c>
      <c r="Y1686" s="10" t="str">
        <f t="shared" si="2279"/>
        <v>NA</v>
      </c>
      <c r="Z1686" s="10" t="str">
        <f t="shared" si="2280"/>
        <v>NA</v>
      </c>
      <c r="AA1686" s="10">
        <f t="shared" si="2281"/>
        <v>4.6027501909854855</v>
      </c>
      <c r="AB1686" s="10" t="str">
        <f t="shared" si="2282"/>
        <v>NA</v>
      </c>
      <c r="AC1686" s="10" t="str">
        <f t="shared" si="2283"/>
        <v>NA</v>
      </c>
      <c r="AD1686" s="10" t="str">
        <f t="shared" si="2284"/>
        <v>NA</v>
      </c>
      <c r="AE1686" s="10" t="str">
        <f t="shared" si="2285"/>
        <v>NA</v>
      </c>
      <c r="AF1686" s="1" t="s">
        <v>251</v>
      </c>
    </row>
    <row r="1687" spans="1:32" x14ac:dyDescent="0.2">
      <c r="A1687" s="1" t="s">
        <v>6069</v>
      </c>
      <c r="B1687" s="1" t="s">
        <v>5</v>
      </c>
      <c r="C1687" s="1" t="s">
        <v>1575</v>
      </c>
      <c r="D1687" s="1" t="s">
        <v>1584</v>
      </c>
      <c r="E1687" s="1" t="s">
        <v>1586</v>
      </c>
      <c r="F1687" s="1" t="s">
        <v>66</v>
      </c>
      <c r="G1687" s="4">
        <v>0.49</v>
      </c>
      <c r="H1687" s="28">
        <v>42155</v>
      </c>
      <c r="I1687" s="29">
        <f t="shared" si="2315"/>
        <v>2015</v>
      </c>
      <c r="J1687" s="1" t="s">
        <v>6070</v>
      </c>
      <c r="K1687" s="1" t="s">
        <v>269</v>
      </c>
      <c r="L1687" s="11" t="str">
        <f t="shared" si="2275"/>
        <v>НЕТ</v>
      </c>
      <c r="M1687" s="10" t="s">
        <v>1575</v>
      </c>
      <c r="N1687" s="10" t="s">
        <v>1575</v>
      </c>
      <c r="O1687" s="10">
        <v>4.1680000000000001</v>
      </c>
      <c r="P1687" s="10">
        <f t="shared" si="2309"/>
        <v>8.5061224489795926</v>
      </c>
      <c r="Q1687" s="10" t="str">
        <f t="shared" si="2310"/>
        <v>NA</v>
      </c>
      <c r="R1687" s="10" t="s">
        <v>1575</v>
      </c>
      <c r="S1687" s="10" t="s">
        <v>1575</v>
      </c>
      <c r="T1687" s="10" t="s">
        <v>1575</v>
      </c>
      <c r="U1687" s="10" t="s">
        <v>1575</v>
      </c>
      <c r="V1687" s="10">
        <f>0.908+0.94</f>
        <v>1.8479999999999999</v>
      </c>
      <c r="W1687" s="10" t="s">
        <v>1575</v>
      </c>
      <c r="X1687" s="10" t="str">
        <f t="shared" si="2278"/>
        <v>NA</v>
      </c>
      <c r="Y1687" s="10" t="str">
        <f t="shared" si="2279"/>
        <v>NA</v>
      </c>
      <c r="Z1687" s="10" t="str">
        <f t="shared" si="2280"/>
        <v>NA</v>
      </c>
      <c r="AA1687" s="10">
        <f t="shared" si="2281"/>
        <v>4.6028801130841952</v>
      </c>
      <c r="AB1687" s="10" t="str">
        <f t="shared" si="2282"/>
        <v>NA</v>
      </c>
      <c r="AC1687" s="10" t="str">
        <f t="shared" si="2283"/>
        <v>NA</v>
      </c>
      <c r="AD1687" s="10" t="str">
        <f t="shared" si="2284"/>
        <v>NA</v>
      </c>
      <c r="AE1687" s="10" t="str">
        <f t="shared" si="2285"/>
        <v>NA</v>
      </c>
      <c r="AF1687" s="1" t="s">
        <v>251</v>
      </c>
    </row>
    <row r="1688" spans="1:32" x14ac:dyDescent="0.2">
      <c r="A1688" s="1" t="s">
        <v>6071</v>
      </c>
      <c r="B1688" s="1" t="s">
        <v>5</v>
      </c>
      <c r="C1688" s="1" t="s">
        <v>1575</v>
      </c>
      <c r="D1688" s="1" t="s">
        <v>1595</v>
      </c>
      <c r="E1688" s="1" t="s">
        <v>1587</v>
      </c>
      <c r="F1688" s="1" t="s">
        <v>1996</v>
      </c>
      <c r="G1688" s="4">
        <v>0.4995</v>
      </c>
      <c r="H1688" s="28">
        <v>42369</v>
      </c>
      <c r="I1688" s="29">
        <f t="shared" si="2315"/>
        <v>2015</v>
      </c>
      <c r="J1688" s="1" t="s">
        <v>6039</v>
      </c>
      <c r="K1688" s="1" t="s">
        <v>269</v>
      </c>
      <c r="L1688" s="11" t="str">
        <f t="shared" si="2275"/>
        <v>НЕТ</v>
      </c>
      <c r="M1688" s="10" t="s">
        <v>1575</v>
      </c>
      <c r="N1688" s="10" t="s">
        <v>1575</v>
      </c>
      <c r="O1688" s="10">
        <v>0.34399999999999997</v>
      </c>
      <c r="P1688" s="10">
        <f t="shared" si="2309"/>
        <v>0.6886886886886886</v>
      </c>
      <c r="Q1688" s="10" t="str">
        <f t="shared" si="2310"/>
        <v>NA</v>
      </c>
      <c r="R1688" s="10" t="s">
        <v>1575</v>
      </c>
      <c r="S1688" s="10" t="s">
        <v>1575</v>
      </c>
      <c r="T1688" s="10" t="s">
        <v>1575</v>
      </c>
      <c r="U1688" s="10" t="s">
        <v>1575</v>
      </c>
      <c r="V1688" s="10" t="s">
        <v>1575</v>
      </c>
      <c r="W1688" s="10" t="s">
        <v>1575</v>
      </c>
      <c r="X1688" s="10" t="str">
        <f t="shared" si="2278"/>
        <v>NA</v>
      </c>
      <c r="Y1688" s="10" t="str">
        <f t="shared" si="2279"/>
        <v>NA</v>
      </c>
      <c r="Z1688" s="10" t="str">
        <f t="shared" si="2280"/>
        <v>NA</v>
      </c>
      <c r="AA1688" s="10" t="str">
        <f t="shared" si="2281"/>
        <v>NA</v>
      </c>
      <c r="AB1688" s="10" t="str">
        <f t="shared" si="2282"/>
        <v>NA</v>
      </c>
      <c r="AC1688" s="10" t="str">
        <f t="shared" si="2283"/>
        <v>NA</v>
      </c>
      <c r="AD1688" s="10" t="str">
        <f t="shared" si="2284"/>
        <v>NA</v>
      </c>
      <c r="AE1688" s="10" t="str">
        <f t="shared" si="2285"/>
        <v>NA</v>
      </c>
    </row>
    <row r="1689" spans="1:32" x14ac:dyDescent="0.2">
      <c r="A1689" s="1" t="s">
        <v>6071</v>
      </c>
      <c r="B1689" s="1" t="s">
        <v>5</v>
      </c>
      <c r="C1689" s="1" t="s">
        <v>1575</v>
      </c>
      <c r="D1689" s="1" t="s">
        <v>1595</v>
      </c>
      <c r="E1689" s="1" t="s">
        <v>1587</v>
      </c>
      <c r="F1689" s="1" t="s">
        <v>1996</v>
      </c>
      <c r="G1689" s="4">
        <v>0.43809999999999999</v>
      </c>
      <c r="H1689" s="28">
        <v>40512</v>
      </c>
      <c r="I1689" s="29">
        <f t="shared" si="2315"/>
        <v>2010</v>
      </c>
      <c r="J1689" s="1" t="s">
        <v>269</v>
      </c>
      <c r="K1689" s="1" t="s">
        <v>6039</v>
      </c>
      <c r="L1689" s="11" t="str">
        <f t="shared" si="2275"/>
        <v>НЕТ</v>
      </c>
      <c r="M1689" s="10" t="s">
        <v>1575</v>
      </c>
      <c r="N1689" s="10" t="s">
        <v>1575</v>
      </c>
      <c r="O1689" s="10">
        <v>0.3785</v>
      </c>
      <c r="P1689" s="10">
        <f t="shared" si="2309"/>
        <v>0.86395800045651683</v>
      </c>
      <c r="Q1689" s="10" t="str">
        <f t="shared" si="2310"/>
        <v>NA</v>
      </c>
      <c r="R1689" s="10" t="s">
        <v>1575</v>
      </c>
      <c r="S1689" s="10" t="s">
        <v>1575</v>
      </c>
      <c r="T1689" s="10" t="s">
        <v>1575</v>
      </c>
      <c r="U1689" s="10" t="s">
        <v>1575</v>
      </c>
      <c r="V1689" s="10" t="s">
        <v>1575</v>
      </c>
      <c r="W1689" s="10" t="s">
        <v>1575</v>
      </c>
      <c r="X1689" s="10" t="str">
        <f t="shared" si="2278"/>
        <v>NA</v>
      </c>
      <c r="Y1689" s="10" t="str">
        <f t="shared" si="2279"/>
        <v>NA</v>
      </c>
      <c r="Z1689" s="10" t="str">
        <f t="shared" si="2280"/>
        <v>NA</v>
      </c>
      <c r="AA1689" s="10" t="str">
        <f t="shared" si="2281"/>
        <v>NA</v>
      </c>
      <c r="AB1689" s="10" t="str">
        <f t="shared" si="2282"/>
        <v>NA</v>
      </c>
      <c r="AC1689" s="10" t="str">
        <f t="shared" si="2283"/>
        <v>NA</v>
      </c>
      <c r="AD1689" s="10" t="str">
        <f t="shared" si="2284"/>
        <v>NA</v>
      </c>
      <c r="AE1689" s="10" t="str">
        <f t="shared" si="2285"/>
        <v>NA</v>
      </c>
    </row>
    <row r="1690" spans="1:32" x14ac:dyDescent="0.2">
      <c r="A1690" s="1" t="s">
        <v>6071</v>
      </c>
      <c r="B1690" s="1" t="s">
        <v>5</v>
      </c>
      <c r="C1690" s="1" t="s">
        <v>1575</v>
      </c>
      <c r="D1690" s="1" t="s">
        <v>1595</v>
      </c>
      <c r="E1690" s="1" t="s">
        <v>1587</v>
      </c>
      <c r="F1690" s="1" t="s">
        <v>1996</v>
      </c>
      <c r="G1690" s="4">
        <v>6.1400000000000003E-2</v>
      </c>
      <c r="H1690" s="28">
        <v>40633</v>
      </c>
      <c r="I1690" s="29">
        <f t="shared" si="2315"/>
        <v>2011</v>
      </c>
      <c r="J1690" s="1" t="s">
        <v>269</v>
      </c>
      <c r="K1690" s="1" t="s">
        <v>6039</v>
      </c>
      <c r="L1690" s="11" t="str">
        <f t="shared" si="2275"/>
        <v>НЕТ</v>
      </c>
      <c r="M1690" s="10" t="s">
        <v>1575</v>
      </c>
      <c r="N1690" s="10" t="s">
        <v>1575</v>
      </c>
      <c r="O1690" s="10">
        <v>2.3900000000000001E-2</v>
      </c>
      <c r="P1690" s="10">
        <f t="shared" si="2309"/>
        <v>0.38925081433224756</v>
      </c>
      <c r="Q1690" s="10" t="str">
        <f t="shared" si="2310"/>
        <v>NA</v>
      </c>
      <c r="R1690" s="10" t="s">
        <v>1575</v>
      </c>
      <c r="S1690" s="10" t="s">
        <v>1575</v>
      </c>
      <c r="T1690" s="10" t="s">
        <v>1575</v>
      </c>
      <c r="U1690" s="10" t="s">
        <v>1575</v>
      </c>
      <c r="V1690" s="10" t="s">
        <v>1575</v>
      </c>
      <c r="W1690" s="10" t="s">
        <v>1575</v>
      </c>
      <c r="X1690" s="10" t="str">
        <f t="shared" si="2278"/>
        <v>NA</v>
      </c>
      <c r="Y1690" s="10" t="str">
        <f t="shared" si="2279"/>
        <v>NA</v>
      </c>
      <c r="Z1690" s="10" t="str">
        <f t="shared" si="2280"/>
        <v>NA</v>
      </c>
      <c r="AA1690" s="10" t="str">
        <f t="shared" si="2281"/>
        <v>NA</v>
      </c>
      <c r="AB1690" s="10" t="str">
        <f t="shared" si="2282"/>
        <v>NA</v>
      </c>
      <c r="AC1690" s="10" t="str">
        <f t="shared" si="2283"/>
        <v>NA</v>
      </c>
      <c r="AD1690" s="10" t="str">
        <f t="shared" si="2284"/>
        <v>NA</v>
      </c>
      <c r="AE1690" s="10" t="str">
        <f t="shared" si="2285"/>
        <v>NA</v>
      </c>
      <c r="AF1690" s="1" t="s">
        <v>249</v>
      </c>
    </row>
    <row r="1691" spans="1:32" x14ac:dyDescent="0.2">
      <c r="A1691" s="1" t="s">
        <v>250</v>
      </c>
      <c r="B1691" s="1" t="s">
        <v>5</v>
      </c>
      <c r="C1691" s="1" t="s">
        <v>1575</v>
      </c>
      <c r="D1691" s="1" t="s">
        <v>1584</v>
      </c>
      <c r="E1691" s="1" t="s">
        <v>1586</v>
      </c>
      <c r="F1691" s="1" t="s">
        <v>66</v>
      </c>
      <c r="G1691" s="4">
        <v>6.1400000000000003E-2</v>
      </c>
      <c r="H1691" s="28">
        <v>41943</v>
      </c>
      <c r="I1691" s="29">
        <f t="shared" si="2315"/>
        <v>2014</v>
      </c>
      <c r="J1691" s="1" t="s">
        <v>6072</v>
      </c>
      <c r="K1691" s="1" t="s">
        <v>269</v>
      </c>
      <c r="L1691" s="11" t="str">
        <f t="shared" si="2275"/>
        <v>НЕТ</v>
      </c>
      <c r="M1691" s="10" t="s">
        <v>1575</v>
      </c>
      <c r="N1691" s="10" t="s">
        <v>1575</v>
      </c>
      <c r="O1691" s="10">
        <v>0.50800000000000001</v>
      </c>
      <c r="P1691" s="10">
        <f t="shared" si="2309"/>
        <v>8.2736156351791532</v>
      </c>
      <c r="Q1691" s="10" t="str">
        <f t="shared" si="2310"/>
        <v>NA</v>
      </c>
      <c r="R1691" s="10" t="s">
        <v>1575</v>
      </c>
      <c r="S1691" s="10" t="s">
        <v>1575</v>
      </c>
      <c r="T1691" s="10" t="s">
        <v>1575</v>
      </c>
      <c r="U1691" s="10" t="s">
        <v>1575</v>
      </c>
      <c r="V1691" s="10" t="s">
        <v>1575</v>
      </c>
      <c r="W1691" s="10" t="s">
        <v>1575</v>
      </c>
      <c r="X1691" s="10" t="str">
        <f t="shared" si="2278"/>
        <v>NA</v>
      </c>
      <c r="Y1691" s="10" t="str">
        <f t="shared" si="2279"/>
        <v>NA</v>
      </c>
      <c r="Z1691" s="10" t="str">
        <f t="shared" si="2280"/>
        <v>NA</v>
      </c>
      <c r="AA1691" s="10" t="str">
        <f t="shared" si="2281"/>
        <v>NA</v>
      </c>
      <c r="AB1691" s="10" t="str">
        <f t="shared" si="2282"/>
        <v>NA</v>
      </c>
      <c r="AC1691" s="10" t="str">
        <f t="shared" si="2283"/>
        <v>NA</v>
      </c>
      <c r="AD1691" s="10" t="str">
        <f t="shared" si="2284"/>
        <v>NA</v>
      </c>
      <c r="AE1691" s="10" t="str">
        <f t="shared" si="2285"/>
        <v>NA</v>
      </c>
    </row>
    <row r="1692" spans="1:32" x14ac:dyDescent="0.2">
      <c r="A1692" s="1" t="s">
        <v>6073</v>
      </c>
      <c r="B1692" s="1" t="s">
        <v>5</v>
      </c>
      <c r="C1692" s="1" t="s">
        <v>1575</v>
      </c>
      <c r="D1692" s="1" t="s">
        <v>1584</v>
      </c>
      <c r="E1692" s="1" t="s">
        <v>1586</v>
      </c>
      <c r="F1692" s="1" t="s">
        <v>66</v>
      </c>
      <c r="G1692" s="4">
        <v>0.51</v>
      </c>
      <c r="H1692" s="28">
        <v>41639</v>
      </c>
      <c r="I1692" s="29">
        <f t="shared" si="2315"/>
        <v>2013</v>
      </c>
      <c r="J1692" s="1" t="s">
        <v>6039</v>
      </c>
      <c r="K1692" s="1" t="s">
        <v>269</v>
      </c>
      <c r="L1692" s="11" t="str">
        <f t="shared" si="2275"/>
        <v>НЕТ</v>
      </c>
      <c r="M1692" s="10" t="s">
        <v>1575</v>
      </c>
      <c r="N1692" s="10" t="s">
        <v>1575</v>
      </c>
      <c r="O1692" s="10">
        <v>3.2</v>
      </c>
      <c r="P1692" s="10">
        <f t="shared" si="2309"/>
        <v>6.2745098039215685</v>
      </c>
      <c r="Q1692" s="10" t="str">
        <f t="shared" si="2310"/>
        <v>NA</v>
      </c>
      <c r="R1692" s="10" t="s">
        <v>1575</v>
      </c>
      <c r="S1692" s="10" t="s">
        <v>1575</v>
      </c>
      <c r="T1692" s="10" t="s">
        <v>1575</v>
      </c>
      <c r="U1692" s="10" t="s">
        <v>1575</v>
      </c>
      <c r="V1692" s="10" t="s">
        <v>1575</v>
      </c>
      <c r="W1692" s="10" t="s">
        <v>1575</v>
      </c>
      <c r="X1692" s="10" t="str">
        <f t="shared" si="2278"/>
        <v>NA</v>
      </c>
      <c r="Y1692" s="10" t="str">
        <f t="shared" si="2279"/>
        <v>NA</v>
      </c>
      <c r="Z1692" s="10" t="str">
        <f t="shared" si="2280"/>
        <v>NA</v>
      </c>
      <c r="AA1692" s="10" t="str">
        <f t="shared" si="2281"/>
        <v>NA</v>
      </c>
      <c r="AB1692" s="10" t="str">
        <f t="shared" si="2282"/>
        <v>NA</v>
      </c>
      <c r="AC1692" s="10" t="str">
        <f t="shared" si="2283"/>
        <v>NA</v>
      </c>
      <c r="AD1692" s="10" t="str">
        <f t="shared" si="2284"/>
        <v>NA</v>
      </c>
      <c r="AE1692" s="10" t="str">
        <f t="shared" si="2285"/>
        <v>NA</v>
      </c>
      <c r="AF1692" s="1" t="s">
        <v>1993</v>
      </c>
    </row>
    <row r="1693" spans="1:32" x14ac:dyDescent="0.2">
      <c r="A1693" s="1" t="s">
        <v>6073</v>
      </c>
      <c r="B1693" s="1" t="s">
        <v>5</v>
      </c>
      <c r="C1693" s="1" t="s">
        <v>1575</v>
      </c>
      <c r="D1693" s="1" t="s">
        <v>1584</v>
      </c>
      <c r="E1693" s="1" t="s">
        <v>1586</v>
      </c>
      <c r="F1693" s="1" t="s">
        <v>66</v>
      </c>
      <c r="G1693" s="4">
        <v>0.49</v>
      </c>
      <c r="H1693" s="28">
        <v>41759</v>
      </c>
      <c r="I1693" s="29">
        <f t="shared" si="2315"/>
        <v>2014</v>
      </c>
      <c r="J1693" s="1" t="s">
        <v>6039</v>
      </c>
      <c r="K1693" s="1" t="s">
        <v>269</v>
      </c>
      <c r="L1693" s="11" t="str">
        <f t="shared" si="2275"/>
        <v>НЕТ</v>
      </c>
      <c r="M1693" s="10" t="s">
        <v>1575</v>
      </c>
      <c r="N1693" s="10" t="s">
        <v>1575</v>
      </c>
      <c r="O1693" s="10">
        <v>3.1</v>
      </c>
      <c r="P1693" s="10">
        <f t="shared" si="2309"/>
        <v>6.3265306122448983</v>
      </c>
      <c r="Q1693" s="10" t="str">
        <f t="shared" si="2310"/>
        <v>NA</v>
      </c>
      <c r="R1693" s="10" t="s">
        <v>1575</v>
      </c>
      <c r="S1693" s="10" t="s">
        <v>1575</v>
      </c>
      <c r="T1693" s="10" t="s">
        <v>1575</v>
      </c>
      <c r="U1693" s="10" t="s">
        <v>1575</v>
      </c>
      <c r="V1693" s="10" t="s">
        <v>1575</v>
      </c>
      <c r="W1693" s="10" t="s">
        <v>1575</v>
      </c>
      <c r="X1693" s="10" t="str">
        <f t="shared" si="2278"/>
        <v>NA</v>
      </c>
      <c r="Y1693" s="10" t="str">
        <f t="shared" si="2279"/>
        <v>NA</v>
      </c>
      <c r="Z1693" s="10" t="str">
        <f t="shared" si="2280"/>
        <v>NA</v>
      </c>
      <c r="AA1693" s="10" t="str">
        <f t="shared" si="2281"/>
        <v>NA</v>
      </c>
      <c r="AB1693" s="10" t="str">
        <f t="shared" si="2282"/>
        <v>NA</v>
      </c>
      <c r="AC1693" s="10" t="str">
        <f t="shared" si="2283"/>
        <v>NA</v>
      </c>
      <c r="AD1693" s="10" t="str">
        <f t="shared" si="2284"/>
        <v>NA</v>
      </c>
      <c r="AE1693" s="10" t="str">
        <f t="shared" si="2285"/>
        <v>NA</v>
      </c>
      <c r="AF1693" s="1" t="s">
        <v>1993</v>
      </c>
    </row>
    <row r="1694" spans="1:32" x14ac:dyDescent="0.2">
      <c r="A1694" s="1" t="s">
        <v>6074</v>
      </c>
      <c r="B1694" s="1" t="s">
        <v>5</v>
      </c>
      <c r="C1694" s="1" t="s">
        <v>1575</v>
      </c>
      <c r="D1694" s="1" t="s">
        <v>1595</v>
      </c>
      <c r="E1694" s="1" t="s">
        <v>1810</v>
      </c>
      <c r="F1694" s="1" t="s">
        <v>244</v>
      </c>
      <c r="G1694" s="4">
        <v>1</v>
      </c>
      <c r="H1694" s="28">
        <v>41060</v>
      </c>
      <c r="I1694" s="29">
        <f t="shared" si="2315"/>
        <v>2012</v>
      </c>
      <c r="J1694" s="1" t="s">
        <v>269</v>
      </c>
      <c r="K1694" s="1" t="s">
        <v>7</v>
      </c>
      <c r="L1694" s="11" t="str">
        <f t="shared" si="2275"/>
        <v>НЕТ</v>
      </c>
      <c r="M1694" s="10" t="s">
        <v>1575</v>
      </c>
      <c r="N1694" s="10" t="s">
        <v>1575</v>
      </c>
      <c r="O1694" s="10">
        <v>1.4370000000000001</v>
      </c>
      <c r="P1694" s="10">
        <f t="shared" si="2309"/>
        <v>1.4370000000000001</v>
      </c>
      <c r="Q1694" s="10" t="str">
        <f t="shared" si="2310"/>
        <v>NA</v>
      </c>
      <c r="R1694" s="10" t="s">
        <v>1575</v>
      </c>
      <c r="S1694" s="10" t="s">
        <v>1575</v>
      </c>
      <c r="T1694" s="10" t="s">
        <v>1575</v>
      </c>
      <c r="U1694" s="10" t="s">
        <v>1575</v>
      </c>
      <c r="V1694" s="10">
        <f>0.489+0.586+1.083+0.168+0.203-0.815-0.107-0.17</f>
        <v>1.4370000000000001</v>
      </c>
      <c r="W1694" s="10" t="s">
        <v>1575</v>
      </c>
      <c r="X1694" s="10" t="str">
        <f t="shared" si="2278"/>
        <v>NA</v>
      </c>
      <c r="Y1694" s="10" t="str">
        <f t="shared" si="2279"/>
        <v>NA</v>
      </c>
      <c r="Z1694" s="10" t="str">
        <f t="shared" si="2280"/>
        <v>NA</v>
      </c>
      <c r="AA1694" s="10">
        <f t="shared" si="2281"/>
        <v>1</v>
      </c>
      <c r="AB1694" s="10" t="str">
        <f t="shared" si="2282"/>
        <v>NA</v>
      </c>
      <c r="AC1694" s="10" t="str">
        <f t="shared" si="2283"/>
        <v>NA</v>
      </c>
      <c r="AD1694" s="10" t="str">
        <f t="shared" si="2284"/>
        <v>NA</v>
      </c>
      <c r="AE1694" s="10" t="str">
        <f t="shared" si="2285"/>
        <v>NA</v>
      </c>
    </row>
    <row r="1695" spans="1:32" x14ac:dyDescent="0.2">
      <c r="A1695" s="1" t="s">
        <v>6075</v>
      </c>
      <c r="B1695" s="1" t="s">
        <v>5</v>
      </c>
      <c r="C1695" s="1" t="s">
        <v>1575</v>
      </c>
      <c r="D1695" s="1" t="s">
        <v>1595</v>
      </c>
      <c r="E1695" s="1" t="s">
        <v>1587</v>
      </c>
      <c r="F1695" s="1" t="s">
        <v>244</v>
      </c>
      <c r="G1695" s="4">
        <v>1</v>
      </c>
      <c r="H1695" s="28">
        <v>41857</v>
      </c>
      <c r="I1695" s="29">
        <f t="shared" si="2315"/>
        <v>2014</v>
      </c>
      <c r="J1695" s="1" t="s">
        <v>7</v>
      </c>
      <c r="K1695" s="1" t="s">
        <v>2013</v>
      </c>
      <c r="L1695" s="11" t="str">
        <f t="shared" si="2275"/>
        <v>НЕТ</v>
      </c>
      <c r="M1695" s="10" t="s">
        <v>1575</v>
      </c>
      <c r="N1695" s="10" t="s">
        <v>1575</v>
      </c>
      <c r="O1695" s="10">
        <v>1E-3</v>
      </c>
      <c r="P1695" s="10">
        <f t="shared" si="2309"/>
        <v>1E-3</v>
      </c>
      <c r="Q1695" s="10" t="str">
        <f t="shared" si="2310"/>
        <v>NA</v>
      </c>
      <c r="R1695" s="10" t="s">
        <v>1575</v>
      </c>
      <c r="S1695" s="10" t="s">
        <v>1575</v>
      </c>
      <c r="T1695" s="10" t="s">
        <v>1575</v>
      </c>
      <c r="U1695" s="10" t="s">
        <v>1575</v>
      </c>
      <c r="V1695" s="10">
        <v>-1.4E-2</v>
      </c>
      <c r="W1695" s="10" t="s">
        <v>1575</v>
      </c>
      <c r="X1695" s="10" t="str">
        <f t="shared" si="2278"/>
        <v>NA</v>
      </c>
      <c r="Y1695" s="10" t="str">
        <f t="shared" si="2279"/>
        <v>NA</v>
      </c>
      <c r="Z1695" s="10" t="str">
        <f t="shared" si="2280"/>
        <v>NA</v>
      </c>
      <c r="AA1695" s="10">
        <f t="shared" si="2281"/>
        <v>-7.1428571428571425E-2</v>
      </c>
      <c r="AB1695" s="10" t="str">
        <f t="shared" si="2282"/>
        <v>NA</v>
      </c>
      <c r="AC1695" s="10" t="str">
        <f t="shared" si="2283"/>
        <v>NA</v>
      </c>
      <c r="AD1695" s="10" t="str">
        <f t="shared" si="2284"/>
        <v>NA</v>
      </c>
      <c r="AE1695" s="10" t="str">
        <f t="shared" si="2285"/>
        <v>NA</v>
      </c>
    </row>
    <row r="1696" spans="1:32" x14ac:dyDescent="0.2">
      <c r="A1696" s="1" t="s">
        <v>6076</v>
      </c>
      <c r="B1696" s="1" t="s">
        <v>5</v>
      </c>
      <c r="C1696" s="1" t="s">
        <v>1575</v>
      </c>
      <c r="D1696" s="1" t="s">
        <v>1813</v>
      </c>
      <c r="E1696" s="1" t="s">
        <v>1840</v>
      </c>
      <c r="F1696" s="1" t="s">
        <v>1841</v>
      </c>
      <c r="G1696" s="4">
        <v>0.67</v>
      </c>
      <c r="H1696" s="28">
        <v>44985</v>
      </c>
      <c r="I1696" s="29">
        <f t="shared" si="2315"/>
        <v>2023</v>
      </c>
      <c r="J1696" s="1" t="s">
        <v>1815</v>
      </c>
      <c r="K1696" s="1" t="s">
        <v>7</v>
      </c>
      <c r="L1696" s="11" t="str">
        <f t="shared" si="2275"/>
        <v>НЕТ</v>
      </c>
      <c r="M1696" s="10" t="s">
        <v>1575</v>
      </c>
      <c r="N1696" s="10" t="s">
        <v>1575</v>
      </c>
      <c r="O1696" s="10">
        <v>0.371</v>
      </c>
      <c r="P1696" s="10">
        <f t="shared" si="2309"/>
        <v>0.55373134328358209</v>
      </c>
      <c r="Q1696" s="10" t="str">
        <f t="shared" si="2310"/>
        <v>NA</v>
      </c>
      <c r="R1696" s="10" t="s">
        <v>1575</v>
      </c>
      <c r="S1696" s="10" t="s">
        <v>1575</v>
      </c>
      <c r="T1696" s="10" t="s">
        <v>1575</v>
      </c>
      <c r="U1696" s="10" t="s">
        <v>1575</v>
      </c>
      <c r="V1696" s="10" t="s">
        <v>1575</v>
      </c>
      <c r="W1696" s="10" t="s">
        <v>1575</v>
      </c>
      <c r="X1696" s="10" t="str">
        <f t="shared" si="2278"/>
        <v>NA</v>
      </c>
      <c r="Y1696" s="10" t="str">
        <f t="shared" si="2279"/>
        <v>NA</v>
      </c>
      <c r="Z1696" s="10" t="str">
        <f t="shared" si="2280"/>
        <v>NA</v>
      </c>
      <c r="AA1696" s="10" t="str">
        <f t="shared" si="2281"/>
        <v>NA</v>
      </c>
      <c r="AB1696" s="10" t="str">
        <f t="shared" si="2282"/>
        <v>NA</v>
      </c>
      <c r="AC1696" s="10" t="str">
        <f t="shared" si="2283"/>
        <v>NA</v>
      </c>
      <c r="AD1696" s="10" t="str">
        <f t="shared" si="2284"/>
        <v>NA</v>
      </c>
      <c r="AE1696" s="10" t="str">
        <f t="shared" si="2285"/>
        <v>NA</v>
      </c>
      <c r="AF1696" s="1" t="s">
        <v>1838</v>
      </c>
    </row>
    <row r="1697" spans="1:32" x14ac:dyDescent="0.2">
      <c r="A1697" s="1" t="s">
        <v>1839</v>
      </c>
      <c r="B1697" s="1" t="s">
        <v>1575</v>
      </c>
      <c r="C1697" s="1" t="s">
        <v>1575</v>
      </c>
      <c r="D1697" s="1" t="s">
        <v>1813</v>
      </c>
      <c r="E1697" s="1" t="s">
        <v>1971</v>
      </c>
      <c r="F1697" s="1" t="s">
        <v>255</v>
      </c>
      <c r="G1697" s="4">
        <v>0.50849999999999995</v>
      </c>
      <c r="H1697" s="28">
        <v>44834</v>
      </c>
      <c r="I1697" s="29">
        <f t="shared" si="2315"/>
        <v>2022</v>
      </c>
      <c r="J1697" s="1" t="s">
        <v>1815</v>
      </c>
      <c r="K1697" s="1" t="s">
        <v>7</v>
      </c>
      <c r="L1697" s="11" t="str">
        <f t="shared" si="2275"/>
        <v>НЕТ</v>
      </c>
      <c r="M1697" s="10" t="s">
        <v>1575</v>
      </c>
      <c r="N1697" s="10" t="s">
        <v>1575</v>
      </c>
      <c r="O1697" s="10">
        <v>0.69</v>
      </c>
      <c r="P1697" s="10">
        <f t="shared" si="2309"/>
        <v>1.3569321533923304</v>
      </c>
      <c r="Q1697" s="10" t="str">
        <f t="shared" si="2310"/>
        <v>NA</v>
      </c>
      <c r="R1697" s="10" t="s">
        <v>1575</v>
      </c>
      <c r="S1697" s="10" t="s">
        <v>1575</v>
      </c>
      <c r="T1697" s="10" t="s">
        <v>1575</v>
      </c>
      <c r="U1697" s="10" t="s">
        <v>1575</v>
      </c>
      <c r="V1697" s="10" t="s">
        <v>1575</v>
      </c>
      <c r="W1697" s="10" t="s">
        <v>1575</v>
      </c>
      <c r="X1697" s="10" t="str">
        <f t="shared" ref="X1697:X1760" si="2316">IFERROR(V1697+W1697,"NA")</f>
        <v>NA</v>
      </c>
      <c r="Y1697" s="10" t="str">
        <f t="shared" ref="Y1697:Y1760" si="2317">IFERROR(P1697/R1697,"NA")</f>
        <v>NA</v>
      </c>
      <c r="Z1697" s="10" t="str">
        <f t="shared" ref="Z1697:Z1760" si="2318">IFERROR(P1697/U1697,"NA")</f>
        <v>NA</v>
      </c>
      <c r="AA1697" s="10" t="str">
        <f t="shared" ref="AA1697:AA1760" si="2319">IFERROR(P1697/V1697,"NA")</f>
        <v>NA</v>
      </c>
      <c r="AB1697" s="10" t="str">
        <f t="shared" ref="AB1697:AB1760" si="2320">IFERROR(Q1697/R1697,"NA")</f>
        <v>NA</v>
      </c>
      <c r="AC1697" s="10" t="str">
        <f t="shared" ref="AC1697:AC1760" si="2321">IFERROR(Q1697/S1697,"NA")</f>
        <v>NA</v>
      </c>
      <c r="AD1697" s="10" t="str">
        <f t="shared" ref="AD1697:AD1760" si="2322">IFERROR(Q1697/T1697,"NA")</f>
        <v>NA</v>
      </c>
      <c r="AE1697" s="10" t="str">
        <f t="shared" ref="AE1697:AE1760" si="2323">IFERROR(Q1697/X1697,"NA")</f>
        <v>NA</v>
      </c>
      <c r="AF1697" s="1" t="s">
        <v>1837</v>
      </c>
    </row>
    <row r="1698" spans="1:32" x14ac:dyDescent="0.2">
      <c r="A1698" s="1" t="s">
        <v>1816</v>
      </c>
      <c r="B1698" s="1" t="s">
        <v>1575</v>
      </c>
      <c r="C1698" s="1" t="s">
        <v>1575</v>
      </c>
      <c r="D1698" s="1" t="s">
        <v>1813</v>
      </c>
      <c r="E1698" s="1" t="s">
        <v>1587</v>
      </c>
      <c r="F1698" s="1" t="s">
        <v>255</v>
      </c>
      <c r="G1698" s="4">
        <v>1</v>
      </c>
      <c r="H1698" s="28">
        <v>44620</v>
      </c>
      <c r="I1698" s="29">
        <f t="shared" si="2315"/>
        <v>2022</v>
      </c>
      <c r="J1698" s="1" t="s">
        <v>1815</v>
      </c>
      <c r="K1698" s="1" t="s">
        <v>7</v>
      </c>
      <c r="L1698" s="11" t="str">
        <f t="shared" si="2275"/>
        <v>НЕТ</v>
      </c>
      <c r="M1698" s="10" t="s">
        <v>1575</v>
      </c>
      <c r="N1698" s="10" t="s">
        <v>1575</v>
      </c>
      <c r="O1698" s="10">
        <v>6.556</v>
      </c>
      <c r="P1698" s="10">
        <f t="shared" si="2309"/>
        <v>6.556</v>
      </c>
      <c r="Q1698" s="10" t="str">
        <f t="shared" si="2310"/>
        <v>NA</v>
      </c>
      <c r="R1698" s="10" t="s">
        <v>1575</v>
      </c>
      <c r="S1698" s="10" t="s">
        <v>1575</v>
      </c>
      <c r="T1698" s="10" t="s">
        <v>1575</v>
      </c>
      <c r="U1698" s="10" t="s">
        <v>1575</v>
      </c>
      <c r="V1698" s="10">
        <f>(2.333+0.736+0.081+0.031+0.319+0.326-0.816-0.774)</f>
        <v>2.2360000000000002</v>
      </c>
      <c r="W1698" s="10" t="s">
        <v>1575</v>
      </c>
      <c r="X1698" s="10" t="str">
        <f t="shared" si="2316"/>
        <v>NA</v>
      </c>
      <c r="Y1698" s="10" t="str">
        <f t="shared" si="2317"/>
        <v>NA</v>
      </c>
      <c r="Z1698" s="10" t="str">
        <f t="shared" si="2318"/>
        <v>NA</v>
      </c>
      <c r="AA1698" s="10">
        <f t="shared" si="2319"/>
        <v>2.9320214669051876</v>
      </c>
      <c r="AB1698" s="10" t="str">
        <f t="shared" si="2320"/>
        <v>NA</v>
      </c>
      <c r="AC1698" s="10" t="str">
        <f t="shared" si="2321"/>
        <v>NA</v>
      </c>
      <c r="AD1698" s="10" t="str">
        <f t="shared" si="2322"/>
        <v>NA</v>
      </c>
      <c r="AE1698" s="10" t="str">
        <f t="shared" si="2323"/>
        <v>NA</v>
      </c>
      <c r="AF1698" s="1" t="s">
        <v>1814</v>
      </c>
    </row>
    <row r="1699" spans="1:32" x14ac:dyDescent="0.2">
      <c r="A1699" s="1" t="s">
        <v>6077</v>
      </c>
      <c r="B1699" s="1" t="s">
        <v>5</v>
      </c>
      <c r="C1699" s="1" t="s">
        <v>1575</v>
      </c>
      <c r="D1699" s="1" t="s">
        <v>1595</v>
      </c>
      <c r="E1699" s="1" t="s">
        <v>1587</v>
      </c>
      <c r="F1699" s="1" t="s">
        <v>244</v>
      </c>
      <c r="G1699" s="4">
        <v>0.58379999999999999</v>
      </c>
      <c r="H1699" s="28">
        <v>44681</v>
      </c>
      <c r="I1699" s="29">
        <f t="shared" si="2315"/>
        <v>2022</v>
      </c>
      <c r="J1699" s="1" t="s">
        <v>1815</v>
      </c>
      <c r="K1699" s="1" t="s">
        <v>7</v>
      </c>
      <c r="L1699" s="11" t="str">
        <f t="shared" si="2275"/>
        <v>НЕТ</v>
      </c>
      <c r="M1699" s="10" t="s">
        <v>1575</v>
      </c>
      <c r="N1699" s="10" t="s">
        <v>1575</v>
      </c>
      <c r="O1699" s="10">
        <v>1.9990000000000001</v>
      </c>
      <c r="P1699" s="10">
        <f t="shared" si="2309"/>
        <v>3.4241178485782804</v>
      </c>
      <c r="Q1699" s="10" t="str">
        <f t="shared" si="2310"/>
        <v>NA</v>
      </c>
      <c r="R1699" s="10" t="s">
        <v>1575</v>
      </c>
      <c r="S1699" s="10" t="s">
        <v>1575</v>
      </c>
      <c r="T1699" s="10" t="s">
        <v>1575</v>
      </c>
      <c r="U1699" s="10" t="s">
        <v>1575</v>
      </c>
      <c r="V1699" s="10">
        <f>(2.114+0.332+0.279+0.289+2.609+0.024-3.055-1.877-0.605)</f>
        <v>0.10999999999999921</v>
      </c>
      <c r="W1699" s="10" t="s">
        <v>1575</v>
      </c>
      <c r="X1699" s="10" t="str">
        <f t="shared" si="2316"/>
        <v>NA</v>
      </c>
      <c r="Y1699" s="10" t="str">
        <f t="shared" si="2317"/>
        <v>NA</v>
      </c>
      <c r="Z1699" s="10" t="str">
        <f t="shared" si="2318"/>
        <v>NA</v>
      </c>
      <c r="AA1699" s="10">
        <f t="shared" si="2319"/>
        <v>31.12834407798459</v>
      </c>
      <c r="AB1699" s="10" t="str">
        <f t="shared" si="2320"/>
        <v>NA</v>
      </c>
      <c r="AC1699" s="10" t="str">
        <f t="shared" si="2321"/>
        <v>NA</v>
      </c>
      <c r="AD1699" s="10" t="str">
        <f t="shared" si="2322"/>
        <v>NA</v>
      </c>
      <c r="AE1699" s="10" t="str">
        <f t="shared" si="2323"/>
        <v>NA</v>
      </c>
      <c r="AF1699" s="1" t="s">
        <v>1817</v>
      </c>
    </row>
    <row r="1700" spans="1:32" x14ac:dyDescent="0.2">
      <c r="A1700" s="1" t="s">
        <v>6078</v>
      </c>
      <c r="B1700" s="1" t="s">
        <v>5</v>
      </c>
      <c r="C1700" s="1" t="s">
        <v>1575</v>
      </c>
      <c r="D1700" s="1" t="s">
        <v>1813</v>
      </c>
      <c r="E1700" s="1" t="s">
        <v>1819</v>
      </c>
      <c r="F1700" s="1" t="s">
        <v>255</v>
      </c>
      <c r="G1700" s="4">
        <v>1</v>
      </c>
      <c r="H1700" s="28">
        <v>44772</v>
      </c>
      <c r="I1700" s="29">
        <f t="shared" si="2315"/>
        <v>2022</v>
      </c>
      <c r="J1700" s="1" t="s">
        <v>1815</v>
      </c>
      <c r="K1700" s="1" t="s">
        <v>7</v>
      </c>
      <c r="L1700" s="11" t="str">
        <f t="shared" si="2275"/>
        <v>НЕТ</v>
      </c>
      <c r="M1700" s="10" t="s">
        <v>1575</v>
      </c>
      <c r="N1700" s="10" t="s">
        <v>1575</v>
      </c>
      <c r="O1700" s="10">
        <v>4</v>
      </c>
      <c r="P1700" s="10">
        <f t="shared" si="2309"/>
        <v>4</v>
      </c>
      <c r="Q1700" s="10" t="str">
        <f t="shared" si="2310"/>
        <v>NA</v>
      </c>
      <c r="R1700" s="10" t="s">
        <v>1575</v>
      </c>
      <c r="S1700" s="10" t="s">
        <v>1575</v>
      </c>
      <c r="T1700" s="10" t="s">
        <v>1575</v>
      </c>
      <c r="U1700" s="10" t="s">
        <v>1575</v>
      </c>
      <c r="V1700" s="10">
        <f>(0.038+0.008+0.041+1.266+0.197-1.416-0.032)</f>
        <v>0.10200000000000012</v>
      </c>
      <c r="W1700" s="10" t="s">
        <v>1575</v>
      </c>
      <c r="X1700" s="10" t="str">
        <f t="shared" si="2316"/>
        <v>NA</v>
      </c>
      <c r="Y1700" s="10" t="str">
        <f t="shared" si="2317"/>
        <v>NA</v>
      </c>
      <c r="Z1700" s="10" t="str">
        <f t="shared" si="2318"/>
        <v>NA</v>
      </c>
      <c r="AA1700" s="10">
        <f t="shared" si="2319"/>
        <v>39.215686274509757</v>
      </c>
      <c r="AB1700" s="10" t="str">
        <f t="shared" si="2320"/>
        <v>NA</v>
      </c>
      <c r="AC1700" s="10" t="str">
        <f t="shared" si="2321"/>
        <v>NA</v>
      </c>
      <c r="AD1700" s="10" t="str">
        <f t="shared" si="2322"/>
        <v>NA</v>
      </c>
      <c r="AE1700" s="10" t="str">
        <f t="shared" si="2323"/>
        <v>NA</v>
      </c>
      <c r="AF1700" s="1" t="s">
        <v>1818</v>
      </c>
    </row>
    <row r="1701" spans="1:32" x14ac:dyDescent="0.2">
      <c r="A1701" s="1" t="s">
        <v>6079</v>
      </c>
      <c r="B1701" s="1" t="s">
        <v>5</v>
      </c>
      <c r="C1701" s="1" t="s">
        <v>1575</v>
      </c>
      <c r="D1701" s="1" t="s">
        <v>1813</v>
      </c>
      <c r="E1701" s="1" t="s">
        <v>1821</v>
      </c>
      <c r="F1701" s="1" t="s">
        <v>255</v>
      </c>
      <c r="G1701" s="4">
        <v>0.755</v>
      </c>
      <c r="H1701" s="28">
        <v>44772</v>
      </c>
      <c r="I1701" s="29">
        <f t="shared" si="2315"/>
        <v>2022</v>
      </c>
      <c r="J1701" s="1" t="s">
        <v>1815</v>
      </c>
      <c r="K1701" s="1" t="s">
        <v>7</v>
      </c>
      <c r="L1701" s="11" t="str">
        <f t="shared" si="2275"/>
        <v>НЕТ</v>
      </c>
      <c r="M1701" s="10" t="s">
        <v>1575</v>
      </c>
      <c r="N1701" s="10" t="s">
        <v>1575</v>
      </c>
      <c r="O1701" s="10">
        <v>2.0950000000000002</v>
      </c>
      <c r="P1701" s="10">
        <f t="shared" si="2309"/>
        <v>2.7748344370860929</v>
      </c>
      <c r="Q1701" s="10" t="str">
        <f t="shared" si="2310"/>
        <v>NA</v>
      </c>
      <c r="R1701" s="10" t="s">
        <v>1575</v>
      </c>
      <c r="S1701" s="10" t="s">
        <v>1575</v>
      </c>
      <c r="T1701" s="10" t="s">
        <v>1575</v>
      </c>
      <c r="U1701" s="10" t="s">
        <v>1575</v>
      </c>
      <c r="V1701" s="10">
        <f>(0.452+0.012+0.084+0.057+0.058-0.187-0.986-0.004)</f>
        <v>-0.51399999999999979</v>
      </c>
      <c r="W1701" s="10" t="s">
        <v>1575</v>
      </c>
      <c r="X1701" s="10" t="str">
        <f t="shared" si="2316"/>
        <v>NA</v>
      </c>
      <c r="Y1701" s="10" t="str">
        <f t="shared" si="2317"/>
        <v>NA</v>
      </c>
      <c r="Z1701" s="10" t="str">
        <f t="shared" si="2318"/>
        <v>NA</v>
      </c>
      <c r="AA1701" s="10">
        <f t="shared" si="2319"/>
        <v>-5.3985105779885094</v>
      </c>
      <c r="AB1701" s="10" t="str">
        <f t="shared" si="2320"/>
        <v>NA</v>
      </c>
      <c r="AC1701" s="10" t="str">
        <f t="shared" si="2321"/>
        <v>NA</v>
      </c>
      <c r="AD1701" s="10" t="str">
        <f t="shared" si="2322"/>
        <v>NA</v>
      </c>
      <c r="AE1701" s="10" t="str">
        <f t="shared" si="2323"/>
        <v>NA</v>
      </c>
      <c r="AF1701" s="1" t="s">
        <v>1820</v>
      </c>
    </row>
    <row r="1702" spans="1:32" x14ac:dyDescent="0.2">
      <c r="A1702" s="1" t="s">
        <v>6079</v>
      </c>
      <c r="B1702" s="1" t="s">
        <v>5</v>
      </c>
      <c r="C1702" s="1" t="s">
        <v>1575</v>
      </c>
      <c r="D1702" s="1" t="s">
        <v>1813</v>
      </c>
      <c r="E1702" s="1" t="s">
        <v>1821</v>
      </c>
      <c r="F1702" s="1" t="s">
        <v>255</v>
      </c>
      <c r="G1702" s="4">
        <f>84.25%-75.5%</f>
        <v>8.7500000000000022E-2</v>
      </c>
      <c r="H1702" s="28">
        <v>44834</v>
      </c>
      <c r="I1702" s="29">
        <f t="shared" si="2315"/>
        <v>2022</v>
      </c>
      <c r="J1702" s="1" t="s">
        <v>1815</v>
      </c>
      <c r="K1702" s="1" t="s">
        <v>7</v>
      </c>
      <c r="L1702" s="11" t="str">
        <f t="shared" si="2275"/>
        <v>НЕТ</v>
      </c>
      <c r="M1702" s="10" t="s">
        <v>1575</v>
      </c>
      <c r="N1702" s="10" t="s">
        <v>1575</v>
      </c>
      <c r="O1702" s="10">
        <v>0.32800000000000001</v>
      </c>
      <c r="P1702" s="10">
        <f t="shared" si="2309"/>
        <v>3.7485714285714278</v>
      </c>
      <c r="Q1702" s="10" t="str">
        <f t="shared" si="2310"/>
        <v>NA</v>
      </c>
      <c r="R1702" s="10" t="s">
        <v>1575</v>
      </c>
      <c r="S1702" s="10" t="s">
        <v>1575</v>
      </c>
      <c r="T1702" s="10" t="s">
        <v>1575</v>
      </c>
      <c r="U1702" s="10" t="s">
        <v>1575</v>
      </c>
      <c r="V1702" s="10">
        <f>(0.452+0.012+0.084+0.057+0.058-0.187-0.986-0.004)</f>
        <v>-0.51399999999999979</v>
      </c>
      <c r="W1702" s="10" t="s">
        <v>1575</v>
      </c>
      <c r="X1702" s="10" t="str">
        <f t="shared" si="2316"/>
        <v>NA</v>
      </c>
      <c r="Y1702" s="10" t="str">
        <f t="shared" si="2317"/>
        <v>NA</v>
      </c>
      <c r="Z1702" s="10" t="str">
        <f t="shared" si="2318"/>
        <v>NA</v>
      </c>
      <c r="AA1702" s="10">
        <f t="shared" si="2319"/>
        <v>-7.2929405225125086</v>
      </c>
      <c r="AB1702" s="10" t="str">
        <f t="shared" si="2320"/>
        <v>NA</v>
      </c>
      <c r="AC1702" s="10" t="str">
        <f t="shared" si="2321"/>
        <v>NA</v>
      </c>
      <c r="AD1702" s="10" t="str">
        <f t="shared" si="2322"/>
        <v>NA</v>
      </c>
      <c r="AE1702" s="10" t="str">
        <f t="shared" si="2323"/>
        <v>NA</v>
      </c>
      <c r="AF1702" s="1" t="s">
        <v>1820</v>
      </c>
    </row>
    <row r="1703" spans="1:32" x14ac:dyDescent="0.2">
      <c r="A1703" s="1" t="s">
        <v>1822</v>
      </c>
      <c r="B1703" s="1" t="s">
        <v>1192</v>
      </c>
      <c r="C1703" s="1" t="s">
        <v>1575</v>
      </c>
      <c r="D1703" s="1" t="s">
        <v>1813</v>
      </c>
      <c r="E1703" s="1" t="s">
        <v>1587</v>
      </c>
      <c r="F1703" s="1" t="s">
        <v>255</v>
      </c>
      <c r="G1703" s="4">
        <v>1</v>
      </c>
      <c r="H1703" s="28">
        <v>44865</v>
      </c>
      <c r="I1703" s="29">
        <f t="shared" si="2315"/>
        <v>2022</v>
      </c>
      <c r="J1703" s="1" t="s">
        <v>7</v>
      </c>
      <c r="K1703" s="1" t="s">
        <v>1815</v>
      </c>
      <c r="L1703" s="11" t="str">
        <f t="shared" si="2275"/>
        <v>НЕТ</v>
      </c>
      <c r="M1703" s="10" t="s">
        <v>1575</v>
      </c>
      <c r="N1703" s="10" t="s">
        <v>1575</v>
      </c>
      <c r="O1703" s="10">
        <v>0.45300000000000001</v>
      </c>
      <c r="P1703" s="10">
        <f t="shared" si="2309"/>
        <v>0.45300000000000001</v>
      </c>
      <c r="Q1703" s="10" t="str">
        <f t="shared" si="2310"/>
        <v>NA</v>
      </c>
      <c r="R1703" s="10">
        <v>6.4820000000000002</v>
      </c>
      <c r="S1703" s="10" t="s">
        <v>1575</v>
      </c>
      <c r="T1703" s="10" t="s">
        <v>1575</v>
      </c>
      <c r="U1703" s="10">
        <v>0.32200000000000001</v>
      </c>
      <c r="V1703" s="10">
        <f>(0.225+0.032+0.371+2.17+0.08-0.103-1.547+0.794-0.202)</f>
        <v>1.8200000000000003</v>
      </c>
      <c r="W1703" s="10" t="s">
        <v>1575</v>
      </c>
      <c r="X1703" s="10" t="str">
        <f t="shared" si="2316"/>
        <v>NA</v>
      </c>
      <c r="Y1703" s="10">
        <f t="shared" si="2317"/>
        <v>6.9885837704412215E-2</v>
      </c>
      <c r="Z1703" s="10">
        <f t="shared" si="2318"/>
        <v>1.4068322981366459</v>
      </c>
      <c r="AA1703" s="10">
        <f t="shared" si="2319"/>
        <v>0.24890109890109888</v>
      </c>
      <c r="AB1703" s="10" t="str">
        <f t="shared" si="2320"/>
        <v>NA</v>
      </c>
      <c r="AC1703" s="10" t="str">
        <f t="shared" si="2321"/>
        <v>NA</v>
      </c>
      <c r="AD1703" s="10" t="str">
        <f t="shared" si="2322"/>
        <v>NA</v>
      </c>
      <c r="AE1703" s="10" t="str">
        <f t="shared" si="2323"/>
        <v>NA</v>
      </c>
      <c r="AF1703" s="1" t="s">
        <v>1833</v>
      </c>
    </row>
    <row r="1704" spans="1:32" x14ac:dyDescent="0.2">
      <c r="A1704" s="1" t="s">
        <v>6080</v>
      </c>
      <c r="B1704" s="1" t="s">
        <v>1575</v>
      </c>
      <c r="C1704" s="1" t="s">
        <v>1575</v>
      </c>
      <c r="D1704" s="1" t="s">
        <v>1813</v>
      </c>
      <c r="E1704" s="1" t="s">
        <v>1821</v>
      </c>
      <c r="F1704" s="1" t="s">
        <v>255</v>
      </c>
      <c r="G1704" s="4">
        <f>14.39%-13.68%</f>
        <v>7.0999999999999952E-3</v>
      </c>
      <c r="H1704" s="28">
        <v>44530</v>
      </c>
      <c r="I1704" s="29">
        <f t="shared" si="2315"/>
        <v>2021</v>
      </c>
      <c r="J1704" s="1" t="s">
        <v>1815</v>
      </c>
      <c r="K1704" s="1" t="s">
        <v>7</v>
      </c>
      <c r="L1704" s="11" t="str">
        <f t="shared" si="2275"/>
        <v>НЕТ</v>
      </c>
      <c r="M1704" s="10" t="s">
        <v>1575</v>
      </c>
      <c r="N1704" s="10" t="s">
        <v>1575</v>
      </c>
      <c r="O1704" s="10" t="s">
        <v>1575</v>
      </c>
      <c r="P1704" s="10" t="str">
        <f t="shared" si="2309"/>
        <v>NA</v>
      </c>
      <c r="Q1704" s="10" t="str">
        <f t="shared" si="2310"/>
        <v>NA</v>
      </c>
      <c r="R1704" s="10" t="s">
        <v>1575</v>
      </c>
      <c r="S1704" s="10" t="s">
        <v>1575</v>
      </c>
      <c r="T1704" s="10" t="s">
        <v>1575</v>
      </c>
      <c r="U1704" s="10" t="s">
        <v>1575</v>
      </c>
      <c r="V1704" s="10" t="s">
        <v>1575</v>
      </c>
      <c r="W1704" s="10" t="s">
        <v>1575</v>
      </c>
      <c r="X1704" s="10" t="str">
        <f t="shared" si="2316"/>
        <v>NA</v>
      </c>
      <c r="Y1704" s="10" t="str">
        <f t="shared" si="2317"/>
        <v>NA</v>
      </c>
      <c r="Z1704" s="10" t="str">
        <f t="shared" si="2318"/>
        <v>NA</v>
      </c>
      <c r="AA1704" s="10" t="str">
        <f t="shared" si="2319"/>
        <v>NA</v>
      </c>
      <c r="AB1704" s="10" t="str">
        <f t="shared" si="2320"/>
        <v>NA</v>
      </c>
      <c r="AC1704" s="10" t="str">
        <f t="shared" si="2321"/>
        <v>NA</v>
      </c>
      <c r="AD1704" s="10" t="str">
        <f t="shared" si="2322"/>
        <v>NA</v>
      </c>
      <c r="AE1704" s="10" t="str">
        <f t="shared" si="2323"/>
        <v>NA</v>
      </c>
      <c r="AF1704" s="1" t="s">
        <v>1836</v>
      </c>
    </row>
    <row r="1705" spans="1:32" x14ac:dyDescent="0.2">
      <c r="A1705" s="1" t="s">
        <v>6081</v>
      </c>
      <c r="B1705" s="1" t="s">
        <v>5</v>
      </c>
      <c r="C1705" s="1" t="s">
        <v>1575</v>
      </c>
      <c r="D1705" s="1" t="s">
        <v>1595</v>
      </c>
      <c r="E1705" s="1" t="s">
        <v>1810</v>
      </c>
      <c r="F1705" s="1" t="s">
        <v>1974</v>
      </c>
      <c r="G1705" s="4">
        <f>100%-51%</f>
        <v>0.49</v>
      </c>
      <c r="H1705" s="28">
        <v>44316</v>
      </c>
      <c r="I1705" s="29">
        <f t="shared" si="2315"/>
        <v>2021</v>
      </c>
      <c r="J1705" s="1" t="s">
        <v>1815</v>
      </c>
      <c r="K1705" s="1" t="s">
        <v>7</v>
      </c>
      <c r="L1705" s="11" t="str">
        <f t="shared" si="2275"/>
        <v>НЕТ</v>
      </c>
      <c r="M1705" s="10" t="s">
        <v>1575</v>
      </c>
      <c r="N1705" s="10" t="s">
        <v>1575</v>
      </c>
      <c r="O1705" s="10">
        <v>1.512</v>
      </c>
      <c r="P1705" s="10">
        <f t="shared" si="2309"/>
        <v>3.0857142857142859</v>
      </c>
      <c r="Q1705" s="10" t="str">
        <f t="shared" si="2310"/>
        <v>NA</v>
      </c>
      <c r="R1705" s="10" t="s">
        <v>1575</v>
      </c>
      <c r="S1705" s="10" t="s">
        <v>1575</v>
      </c>
      <c r="T1705" s="10" t="s">
        <v>1575</v>
      </c>
      <c r="U1705" s="10" t="s">
        <v>1575</v>
      </c>
      <c r="V1705" s="10">
        <f>(0.32+0.012+0.024+0.623+0.043+1.417+0.152-0.725-0.118)</f>
        <v>1.7480000000000002</v>
      </c>
      <c r="W1705" s="10" t="s">
        <v>1575</v>
      </c>
      <c r="X1705" s="10" t="str">
        <f t="shared" si="2316"/>
        <v>NA</v>
      </c>
      <c r="Y1705" s="10" t="str">
        <f t="shared" si="2317"/>
        <v>NA</v>
      </c>
      <c r="Z1705" s="10" t="str">
        <f t="shared" si="2318"/>
        <v>NA</v>
      </c>
      <c r="AA1705" s="10">
        <f t="shared" si="2319"/>
        <v>1.7652827721477606</v>
      </c>
      <c r="AB1705" s="10" t="str">
        <f t="shared" si="2320"/>
        <v>NA</v>
      </c>
      <c r="AC1705" s="10" t="str">
        <f t="shared" si="2321"/>
        <v>NA</v>
      </c>
      <c r="AD1705" s="10" t="str">
        <f t="shared" si="2322"/>
        <v>NA</v>
      </c>
      <c r="AE1705" s="10" t="str">
        <f t="shared" si="2323"/>
        <v>NA</v>
      </c>
      <c r="AF1705" s="1" t="s">
        <v>1826</v>
      </c>
    </row>
    <row r="1706" spans="1:32" x14ac:dyDescent="0.2">
      <c r="A1706" s="1" t="s">
        <v>6082</v>
      </c>
      <c r="B1706" s="1" t="s">
        <v>5</v>
      </c>
      <c r="C1706" s="1" t="s">
        <v>1575</v>
      </c>
      <c r="D1706" s="1" t="s">
        <v>1580</v>
      </c>
      <c r="E1706" s="1" t="s">
        <v>1827</v>
      </c>
      <c r="F1706" s="1" t="s">
        <v>1828</v>
      </c>
      <c r="G1706" s="4">
        <v>1</v>
      </c>
      <c r="H1706" s="28">
        <v>44316</v>
      </c>
      <c r="I1706" s="29">
        <f t="shared" si="2315"/>
        <v>2021</v>
      </c>
      <c r="J1706" s="1" t="s">
        <v>1815</v>
      </c>
      <c r="K1706" s="1" t="s">
        <v>7</v>
      </c>
      <c r="L1706" s="11" t="str">
        <f t="shared" si="2275"/>
        <v>НЕТ</v>
      </c>
      <c r="M1706" s="10" t="s">
        <v>1575</v>
      </c>
      <c r="N1706" s="10" t="s">
        <v>1575</v>
      </c>
      <c r="O1706" s="10">
        <f>0.06001</f>
        <v>6.0010000000000001E-2</v>
      </c>
      <c r="P1706" s="10">
        <f t="shared" si="2309"/>
        <v>6.0010000000000001E-2</v>
      </c>
      <c r="Q1706" s="10" t="str">
        <f t="shared" si="2310"/>
        <v>NA</v>
      </c>
      <c r="R1706" s="10" t="s">
        <v>1575</v>
      </c>
      <c r="S1706" s="10" t="s">
        <v>1575</v>
      </c>
      <c r="T1706" s="10" t="s">
        <v>1575</v>
      </c>
      <c r="U1706" s="10" t="s">
        <v>1575</v>
      </c>
      <c r="V1706" s="10">
        <f>(0.004+0.018+0.003-0.011)</f>
        <v>1.3999999999999999E-2</v>
      </c>
      <c r="W1706" s="10" t="s">
        <v>1575</v>
      </c>
      <c r="X1706" s="10" t="str">
        <f t="shared" si="2316"/>
        <v>NA</v>
      </c>
      <c r="Y1706" s="10" t="str">
        <f t="shared" si="2317"/>
        <v>NA</v>
      </c>
      <c r="Z1706" s="10" t="str">
        <f t="shared" si="2318"/>
        <v>NA</v>
      </c>
      <c r="AA1706" s="10">
        <f t="shared" si="2319"/>
        <v>4.2864285714285719</v>
      </c>
      <c r="AB1706" s="10" t="str">
        <f t="shared" si="2320"/>
        <v>NA</v>
      </c>
      <c r="AC1706" s="10" t="str">
        <f t="shared" si="2321"/>
        <v>NA</v>
      </c>
      <c r="AD1706" s="10" t="str">
        <f t="shared" si="2322"/>
        <v>NA</v>
      </c>
      <c r="AE1706" s="10" t="str">
        <f t="shared" si="2323"/>
        <v>NA</v>
      </c>
      <c r="AF1706" s="1" t="s">
        <v>1823</v>
      </c>
    </row>
    <row r="1707" spans="1:32" x14ac:dyDescent="0.2">
      <c r="A1707" s="1" t="s">
        <v>6083</v>
      </c>
      <c r="B1707" s="1" t="s">
        <v>5</v>
      </c>
      <c r="C1707" s="1" t="s">
        <v>1575</v>
      </c>
      <c r="D1707" s="1" t="s">
        <v>1813</v>
      </c>
      <c r="E1707" s="1" t="s">
        <v>1587</v>
      </c>
      <c r="F1707" s="1" t="s">
        <v>255</v>
      </c>
      <c r="G1707" s="4">
        <v>1</v>
      </c>
      <c r="H1707" s="28">
        <v>44377</v>
      </c>
      <c r="I1707" s="29">
        <f t="shared" si="2315"/>
        <v>2021</v>
      </c>
      <c r="J1707" s="1" t="s">
        <v>1815</v>
      </c>
      <c r="K1707" s="1" t="s">
        <v>7</v>
      </c>
      <c r="L1707" s="11" t="str">
        <f t="shared" si="2275"/>
        <v>НЕТ</v>
      </c>
      <c r="M1707" s="10" t="s">
        <v>1575</v>
      </c>
      <c r="N1707" s="10" t="s">
        <v>1575</v>
      </c>
      <c r="O1707" s="10">
        <f>3.68+1.958+0.16</f>
        <v>5.798</v>
      </c>
      <c r="P1707" s="10">
        <f t="shared" si="2309"/>
        <v>5.798</v>
      </c>
      <c r="Q1707" s="10" t="str">
        <f t="shared" si="2310"/>
        <v>NA</v>
      </c>
      <c r="R1707" s="10" t="s">
        <v>1575</v>
      </c>
      <c r="S1707" s="10" t="s">
        <v>1575</v>
      </c>
      <c r="T1707" s="10" t="s">
        <v>1575</v>
      </c>
      <c r="U1707" s="10" t="s">
        <v>1575</v>
      </c>
      <c r="V1707" s="10">
        <f>(0.288+0.094+0.828+1.409+0.254+3.056+0.34-2.656-0.738)</f>
        <v>2.875</v>
      </c>
      <c r="W1707" s="10" t="s">
        <v>1575</v>
      </c>
      <c r="X1707" s="10" t="str">
        <f t="shared" si="2316"/>
        <v>NA</v>
      </c>
      <c r="Y1707" s="10" t="str">
        <f t="shared" si="2317"/>
        <v>NA</v>
      </c>
      <c r="Z1707" s="10" t="str">
        <f t="shared" si="2318"/>
        <v>NA</v>
      </c>
      <c r="AA1707" s="10">
        <f t="shared" si="2319"/>
        <v>2.016695652173913</v>
      </c>
      <c r="AB1707" s="10" t="str">
        <f t="shared" si="2320"/>
        <v>NA</v>
      </c>
      <c r="AC1707" s="10" t="str">
        <f t="shared" si="2321"/>
        <v>NA</v>
      </c>
      <c r="AD1707" s="10" t="str">
        <f t="shared" si="2322"/>
        <v>NA</v>
      </c>
      <c r="AE1707" s="10" t="str">
        <f t="shared" si="2323"/>
        <v>NA</v>
      </c>
      <c r="AF1707" s="1" t="s">
        <v>1824</v>
      </c>
    </row>
    <row r="1708" spans="1:32" x14ac:dyDescent="0.2">
      <c r="A1708" s="1" t="s">
        <v>6084</v>
      </c>
      <c r="B1708" s="1" t="s">
        <v>5</v>
      </c>
      <c r="C1708" s="1" t="s">
        <v>1575</v>
      </c>
      <c r="D1708" s="1" t="s">
        <v>1813</v>
      </c>
      <c r="E1708" s="1" t="s">
        <v>1945</v>
      </c>
      <c r="F1708" s="1" t="s">
        <v>255</v>
      </c>
      <c r="G1708" s="4">
        <v>1</v>
      </c>
      <c r="H1708" s="28">
        <v>44377</v>
      </c>
      <c r="I1708" s="29">
        <f t="shared" si="2315"/>
        <v>2021</v>
      </c>
      <c r="J1708" s="1" t="s">
        <v>1815</v>
      </c>
      <c r="K1708" s="1" t="s">
        <v>7</v>
      </c>
      <c r="L1708" s="11" t="str">
        <f t="shared" si="2275"/>
        <v>НЕТ</v>
      </c>
      <c r="M1708" s="10" t="s">
        <v>1575</v>
      </c>
      <c r="N1708" s="10" t="s">
        <v>1575</v>
      </c>
      <c r="O1708" s="10">
        <v>5.2</v>
      </c>
      <c r="P1708" s="10">
        <f t="shared" si="2309"/>
        <v>5.2</v>
      </c>
      <c r="Q1708" s="10" t="str">
        <f t="shared" si="2310"/>
        <v>NA</v>
      </c>
      <c r="R1708" s="10" t="s">
        <v>1575</v>
      </c>
      <c r="S1708" s="10" t="s">
        <v>1575</v>
      </c>
      <c r="T1708" s="10" t="s">
        <v>1575</v>
      </c>
      <c r="U1708" s="10" t="s">
        <v>1575</v>
      </c>
      <c r="V1708" s="10">
        <f>(0.001+5.171+0.017+0.084+0.009-0.026-0.056)</f>
        <v>5.2000000000000011</v>
      </c>
      <c r="W1708" s="10" t="s">
        <v>1575</v>
      </c>
      <c r="X1708" s="10" t="str">
        <f t="shared" si="2316"/>
        <v>NA</v>
      </c>
      <c r="Y1708" s="10" t="str">
        <f t="shared" si="2317"/>
        <v>NA</v>
      </c>
      <c r="Z1708" s="10" t="str">
        <f t="shared" si="2318"/>
        <v>NA</v>
      </c>
      <c r="AA1708" s="10">
        <f t="shared" si="2319"/>
        <v>0.99999999999999978</v>
      </c>
      <c r="AB1708" s="10" t="str">
        <f t="shared" si="2320"/>
        <v>NA</v>
      </c>
      <c r="AC1708" s="10" t="str">
        <f t="shared" si="2321"/>
        <v>NA</v>
      </c>
      <c r="AD1708" s="10" t="str">
        <f t="shared" si="2322"/>
        <v>NA</v>
      </c>
      <c r="AE1708" s="10" t="str">
        <f t="shared" si="2323"/>
        <v>NA</v>
      </c>
      <c r="AF1708" s="1" t="s">
        <v>1825</v>
      </c>
    </row>
    <row r="1709" spans="1:32" x14ac:dyDescent="0.2">
      <c r="A1709" s="1" t="s">
        <v>6085</v>
      </c>
      <c r="B1709" s="1" t="s">
        <v>5</v>
      </c>
      <c r="C1709" s="1" t="s">
        <v>1575</v>
      </c>
      <c r="D1709" s="1" t="s">
        <v>1580</v>
      </c>
      <c r="E1709" s="1" t="s">
        <v>1593</v>
      </c>
      <c r="F1709" s="1" t="s">
        <v>96</v>
      </c>
      <c r="G1709" s="4">
        <v>0.7</v>
      </c>
      <c r="H1709" s="28">
        <v>44469</v>
      </c>
      <c r="I1709" s="29">
        <f t="shared" si="2315"/>
        <v>2021</v>
      </c>
      <c r="J1709" s="1" t="s">
        <v>1815</v>
      </c>
      <c r="K1709" s="1" t="s">
        <v>6086</v>
      </c>
      <c r="L1709" s="11" t="str">
        <f t="shared" si="2275"/>
        <v>НЕТ</v>
      </c>
      <c r="M1709" s="10" t="s">
        <v>1575</v>
      </c>
      <c r="N1709" s="10" t="s">
        <v>1575</v>
      </c>
      <c r="O1709" s="10">
        <v>3.5</v>
      </c>
      <c r="P1709" s="10">
        <f t="shared" si="2309"/>
        <v>5</v>
      </c>
      <c r="Q1709" s="10" t="str">
        <f t="shared" si="2310"/>
        <v>NA</v>
      </c>
      <c r="R1709" s="10" t="s">
        <v>1575</v>
      </c>
      <c r="S1709" s="10" t="s">
        <v>1575</v>
      </c>
      <c r="T1709" s="10" t="s">
        <v>1575</v>
      </c>
      <c r="U1709" s="10" t="s">
        <v>1575</v>
      </c>
      <c r="V1709" s="10" t="s">
        <v>1575</v>
      </c>
      <c r="W1709" s="10" t="s">
        <v>1575</v>
      </c>
      <c r="X1709" s="10" t="str">
        <f t="shared" si="2316"/>
        <v>NA</v>
      </c>
      <c r="Y1709" s="10" t="str">
        <f t="shared" si="2317"/>
        <v>NA</v>
      </c>
      <c r="Z1709" s="10" t="str">
        <f t="shared" si="2318"/>
        <v>NA</v>
      </c>
      <c r="AA1709" s="10" t="str">
        <f t="shared" si="2319"/>
        <v>NA</v>
      </c>
      <c r="AB1709" s="10" t="str">
        <f t="shared" si="2320"/>
        <v>NA</v>
      </c>
      <c r="AC1709" s="10" t="str">
        <f t="shared" si="2321"/>
        <v>NA</v>
      </c>
      <c r="AD1709" s="10" t="str">
        <f t="shared" si="2322"/>
        <v>NA</v>
      </c>
      <c r="AE1709" s="10" t="str">
        <f t="shared" si="2323"/>
        <v>NA</v>
      </c>
      <c r="AF1709" s="1" t="s">
        <v>1851</v>
      </c>
    </row>
    <row r="1710" spans="1:32" x14ac:dyDescent="0.2">
      <c r="A1710" s="1" t="s">
        <v>6087</v>
      </c>
      <c r="B1710" s="1" t="s">
        <v>91</v>
      </c>
      <c r="C1710" s="1" t="s">
        <v>1575</v>
      </c>
      <c r="D1710" s="1" t="s">
        <v>1813</v>
      </c>
      <c r="E1710" s="1" t="s">
        <v>1587</v>
      </c>
      <c r="F1710" s="1" t="s">
        <v>255</v>
      </c>
      <c r="G1710" s="4">
        <v>1</v>
      </c>
      <c r="H1710" s="28">
        <v>44255</v>
      </c>
      <c r="I1710" s="29">
        <f t="shared" si="2315"/>
        <v>2021</v>
      </c>
      <c r="J1710" s="1" t="s">
        <v>7</v>
      </c>
      <c r="K1710" s="1" t="s">
        <v>1815</v>
      </c>
      <c r="L1710" s="11" t="str">
        <f t="shared" si="2275"/>
        <v>НЕТ</v>
      </c>
      <c r="M1710" s="10" t="s">
        <v>1575</v>
      </c>
      <c r="N1710" s="10" t="s">
        <v>1575</v>
      </c>
      <c r="O1710" s="10">
        <v>5.1999999999999998E-2</v>
      </c>
      <c r="P1710" s="10">
        <f t="shared" si="2309"/>
        <v>5.1999999999999998E-2</v>
      </c>
      <c r="Q1710" s="10" t="str">
        <f t="shared" si="2310"/>
        <v>NA</v>
      </c>
      <c r="R1710" s="10" t="s">
        <v>1575</v>
      </c>
      <c r="S1710" s="10" t="s">
        <v>1575</v>
      </c>
      <c r="T1710" s="10" t="s">
        <v>1575</v>
      </c>
      <c r="U1710" s="10" t="s">
        <v>1575</v>
      </c>
      <c r="V1710" s="10">
        <f>(0.333-0.311)</f>
        <v>2.200000000000002E-2</v>
      </c>
      <c r="W1710" s="10" t="s">
        <v>1575</v>
      </c>
      <c r="X1710" s="10" t="str">
        <f t="shared" si="2316"/>
        <v>NA</v>
      </c>
      <c r="Y1710" s="10" t="str">
        <f t="shared" si="2317"/>
        <v>NA</v>
      </c>
      <c r="Z1710" s="10" t="str">
        <f t="shared" si="2318"/>
        <v>NA</v>
      </c>
      <c r="AA1710" s="10">
        <f t="shared" si="2319"/>
        <v>2.3636363636363615</v>
      </c>
      <c r="AB1710" s="10" t="str">
        <f t="shared" si="2320"/>
        <v>NA</v>
      </c>
      <c r="AC1710" s="10" t="str">
        <f t="shared" si="2321"/>
        <v>NA</v>
      </c>
      <c r="AD1710" s="10" t="str">
        <f t="shared" si="2322"/>
        <v>NA</v>
      </c>
      <c r="AE1710" s="10" t="str">
        <f t="shared" si="2323"/>
        <v>NA</v>
      </c>
      <c r="AF1710" s="1" t="s">
        <v>1829</v>
      </c>
    </row>
    <row r="1711" spans="1:32" x14ac:dyDescent="0.2">
      <c r="A1711" s="1" t="s">
        <v>6088</v>
      </c>
      <c r="B1711" s="1" t="s">
        <v>5</v>
      </c>
      <c r="C1711" s="1" t="s">
        <v>1575</v>
      </c>
      <c r="D1711" s="1" t="s">
        <v>1813</v>
      </c>
      <c r="E1711" s="1" t="s">
        <v>1587</v>
      </c>
      <c r="F1711" s="1" t="s">
        <v>255</v>
      </c>
      <c r="G1711" s="4">
        <v>0.51</v>
      </c>
      <c r="H1711" s="28">
        <v>44407</v>
      </c>
      <c r="I1711" s="29">
        <f t="shared" si="2315"/>
        <v>2021</v>
      </c>
      <c r="J1711" s="1" t="s">
        <v>1815</v>
      </c>
      <c r="K1711" s="1" t="s">
        <v>7</v>
      </c>
      <c r="L1711" s="11" t="str">
        <f t="shared" si="2275"/>
        <v>НЕТ</v>
      </c>
      <c r="M1711" s="10" t="s">
        <v>1575</v>
      </c>
      <c r="N1711" s="10" t="s">
        <v>1575</v>
      </c>
      <c r="O1711" s="10">
        <v>0.86699999999999999</v>
      </c>
      <c r="P1711" s="10">
        <f t="shared" si="2309"/>
        <v>1.7</v>
      </c>
      <c r="Q1711" s="10" t="str">
        <f t="shared" si="2310"/>
        <v>NA</v>
      </c>
      <c r="R1711" s="10" t="s">
        <v>1575</v>
      </c>
      <c r="S1711" s="10" t="s">
        <v>1575</v>
      </c>
      <c r="T1711" s="10" t="s">
        <v>1575</v>
      </c>
      <c r="U1711" s="10" t="s">
        <v>1575</v>
      </c>
      <c r="V1711" s="10" t="s">
        <v>1575</v>
      </c>
      <c r="W1711" s="10" t="s">
        <v>1575</v>
      </c>
      <c r="X1711" s="10" t="str">
        <f t="shared" si="2316"/>
        <v>NA</v>
      </c>
      <c r="Y1711" s="10" t="str">
        <f t="shared" si="2317"/>
        <v>NA</v>
      </c>
      <c r="Z1711" s="10" t="str">
        <f t="shared" si="2318"/>
        <v>NA</v>
      </c>
      <c r="AA1711" s="10" t="str">
        <f t="shared" si="2319"/>
        <v>NA</v>
      </c>
      <c r="AB1711" s="10" t="str">
        <f t="shared" si="2320"/>
        <v>NA</v>
      </c>
      <c r="AC1711" s="10" t="str">
        <f t="shared" si="2321"/>
        <v>NA</v>
      </c>
      <c r="AD1711" s="10" t="str">
        <f t="shared" si="2322"/>
        <v>NA</v>
      </c>
      <c r="AE1711" s="10" t="str">
        <f t="shared" si="2323"/>
        <v>NA</v>
      </c>
      <c r="AF1711" s="1" t="s">
        <v>1835</v>
      </c>
    </row>
    <row r="1712" spans="1:32" x14ac:dyDescent="0.2">
      <c r="A1712" s="1" t="s">
        <v>6089</v>
      </c>
      <c r="B1712" s="1" t="s">
        <v>5</v>
      </c>
      <c r="C1712" s="1" t="s">
        <v>1575</v>
      </c>
      <c r="D1712" s="1" t="s">
        <v>1813</v>
      </c>
      <c r="E1712" s="1" t="s">
        <v>1587</v>
      </c>
      <c r="F1712" s="1" t="s">
        <v>255</v>
      </c>
      <c r="G1712" s="4">
        <v>1</v>
      </c>
      <c r="H1712" s="28">
        <v>44012</v>
      </c>
      <c r="I1712" s="29">
        <f t="shared" si="2315"/>
        <v>2020</v>
      </c>
      <c r="J1712" s="1" t="s">
        <v>1815</v>
      </c>
      <c r="K1712" s="1" t="s">
        <v>7</v>
      </c>
      <c r="L1712" s="11" t="str">
        <f t="shared" si="2275"/>
        <v>НЕТ</v>
      </c>
      <c r="M1712" s="10" t="s">
        <v>1575</v>
      </c>
      <c r="N1712" s="10" t="s">
        <v>1575</v>
      </c>
      <c r="O1712" s="10">
        <v>0.312</v>
      </c>
      <c r="P1712" s="10">
        <f t="shared" si="2309"/>
        <v>0.312</v>
      </c>
      <c r="Q1712" s="10" t="str">
        <f t="shared" si="2310"/>
        <v>NA</v>
      </c>
      <c r="R1712" s="10">
        <v>0.49527300000000002</v>
      </c>
      <c r="S1712" s="10" t="s">
        <v>1575</v>
      </c>
      <c r="T1712" s="10" t="s">
        <v>1575</v>
      </c>
      <c r="U1712" s="10">
        <v>6.2079000000000002E-2</v>
      </c>
      <c r="V1712" s="10">
        <f>(0.002+0.23+0.069-0.262)</f>
        <v>3.9000000000000035E-2</v>
      </c>
      <c r="W1712" s="10" t="s">
        <v>1575</v>
      </c>
      <c r="X1712" s="10" t="str">
        <f t="shared" si="2316"/>
        <v>NA</v>
      </c>
      <c r="Y1712" s="10">
        <f t="shared" si="2317"/>
        <v>0.62995560024471353</v>
      </c>
      <c r="Z1712" s="10">
        <f t="shared" si="2318"/>
        <v>5.0258541535785044</v>
      </c>
      <c r="AA1712" s="10">
        <f t="shared" si="2319"/>
        <v>7.9999999999999929</v>
      </c>
      <c r="AB1712" s="10" t="str">
        <f t="shared" si="2320"/>
        <v>NA</v>
      </c>
      <c r="AC1712" s="10" t="str">
        <f t="shared" si="2321"/>
        <v>NA</v>
      </c>
      <c r="AD1712" s="10" t="str">
        <f t="shared" si="2322"/>
        <v>NA</v>
      </c>
      <c r="AE1712" s="10" t="str">
        <f t="shared" si="2323"/>
        <v>NA</v>
      </c>
      <c r="AF1712" s="1" t="s">
        <v>1830</v>
      </c>
    </row>
    <row r="1713" spans="1:32" x14ac:dyDescent="0.2">
      <c r="A1713" s="1" t="s">
        <v>1994</v>
      </c>
      <c r="B1713" s="1" t="s">
        <v>5</v>
      </c>
      <c r="C1713" s="1" t="s">
        <v>1575</v>
      </c>
      <c r="D1713" s="1" t="s">
        <v>1813</v>
      </c>
      <c r="E1713" s="1" t="s">
        <v>1587</v>
      </c>
      <c r="F1713" s="1" t="s">
        <v>255</v>
      </c>
      <c r="G1713" s="4">
        <v>1</v>
      </c>
      <c r="H1713" s="28">
        <v>44134</v>
      </c>
      <c r="I1713" s="29">
        <f t="shared" si="2315"/>
        <v>2020</v>
      </c>
      <c r="J1713" s="1" t="s">
        <v>6039</v>
      </c>
      <c r="K1713" s="1" t="s">
        <v>1815</v>
      </c>
      <c r="L1713" s="11" t="str">
        <f t="shared" si="2275"/>
        <v>НЕТ</v>
      </c>
      <c r="M1713" s="10" t="s">
        <v>1575</v>
      </c>
      <c r="N1713" s="10" t="s">
        <v>1575</v>
      </c>
      <c r="O1713" s="10">
        <v>0.36899999999999999</v>
      </c>
      <c r="P1713" s="10">
        <f t="shared" si="2309"/>
        <v>0.36899999999999999</v>
      </c>
      <c r="Q1713" s="10" t="str">
        <f t="shared" si="2310"/>
        <v>NA</v>
      </c>
      <c r="R1713" s="10" t="s">
        <v>1575</v>
      </c>
      <c r="S1713" s="10" t="s">
        <v>1575</v>
      </c>
      <c r="T1713" s="10" t="s">
        <v>1575</v>
      </c>
      <c r="U1713" s="10" t="s">
        <v>1575</v>
      </c>
      <c r="V1713" s="10">
        <f>(0.095+0.245+0.22+2.912+0.285-0.098-3.281+0.003)</f>
        <v>0.38100000000000012</v>
      </c>
      <c r="W1713" s="10" t="s">
        <v>1575</v>
      </c>
      <c r="X1713" s="10" t="str">
        <f t="shared" si="2316"/>
        <v>NA</v>
      </c>
      <c r="Y1713" s="10" t="str">
        <f t="shared" si="2317"/>
        <v>NA</v>
      </c>
      <c r="Z1713" s="10" t="str">
        <f t="shared" si="2318"/>
        <v>NA</v>
      </c>
      <c r="AA1713" s="10">
        <f t="shared" si="2319"/>
        <v>0.96850393700787374</v>
      </c>
      <c r="AB1713" s="10" t="str">
        <f t="shared" si="2320"/>
        <v>NA</v>
      </c>
      <c r="AC1713" s="10" t="str">
        <f t="shared" si="2321"/>
        <v>NA</v>
      </c>
      <c r="AD1713" s="10" t="str">
        <f t="shared" si="2322"/>
        <v>NA</v>
      </c>
      <c r="AE1713" s="10" t="str">
        <f t="shared" si="2323"/>
        <v>NA</v>
      </c>
      <c r="AF1713" s="1" t="s">
        <v>1832</v>
      </c>
    </row>
    <row r="1714" spans="1:32" x14ac:dyDescent="0.2">
      <c r="A1714" s="1" t="s">
        <v>6081</v>
      </c>
      <c r="B1714" s="1" t="s">
        <v>5</v>
      </c>
      <c r="C1714" s="1" t="s">
        <v>1575</v>
      </c>
      <c r="D1714" s="1" t="s">
        <v>1595</v>
      </c>
      <c r="E1714" s="1" t="s">
        <v>1810</v>
      </c>
      <c r="F1714" s="1" t="s">
        <v>1974</v>
      </c>
      <c r="G1714" s="4">
        <v>0.51</v>
      </c>
      <c r="H1714" s="28">
        <v>43889</v>
      </c>
      <c r="I1714" s="29">
        <f t="shared" si="2315"/>
        <v>2020</v>
      </c>
      <c r="J1714" s="1" t="s">
        <v>1815</v>
      </c>
      <c r="K1714" s="1" t="s">
        <v>7</v>
      </c>
      <c r="L1714" s="11" t="str">
        <f t="shared" si="2275"/>
        <v>НЕТ</v>
      </c>
      <c r="M1714" s="10" t="s">
        <v>1575</v>
      </c>
      <c r="N1714" s="10" t="s">
        <v>1575</v>
      </c>
      <c r="O1714" s="10">
        <v>1.512</v>
      </c>
      <c r="P1714" s="10">
        <f t="shared" si="2309"/>
        <v>2.9647058823529413</v>
      </c>
      <c r="Q1714" s="10" t="str">
        <f t="shared" si="2310"/>
        <v>NA</v>
      </c>
      <c r="R1714" s="10" t="s">
        <v>1575</v>
      </c>
      <c r="S1714" s="10" t="s">
        <v>1575</v>
      </c>
      <c r="T1714" s="10" t="s">
        <v>1575</v>
      </c>
      <c r="U1714" s="10" t="s">
        <v>1575</v>
      </c>
      <c r="V1714" s="10">
        <f>(0.32+0.012+0.024+0.623+0.043+1.417+0.152-0.725-0.118)</f>
        <v>1.7480000000000002</v>
      </c>
      <c r="W1714" s="10" t="s">
        <v>1575</v>
      </c>
      <c r="X1714" s="10" t="str">
        <f t="shared" si="2316"/>
        <v>NA</v>
      </c>
      <c r="Y1714" s="10" t="str">
        <f t="shared" si="2317"/>
        <v>NA</v>
      </c>
      <c r="Z1714" s="10" t="str">
        <f t="shared" si="2318"/>
        <v>NA</v>
      </c>
      <c r="AA1714" s="10">
        <f t="shared" si="2319"/>
        <v>1.6960559967694171</v>
      </c>
      <c r="AB1714" s="10" t="str">
        <f t="shared" si="2320"/>
        <v>NA</v>
      </c>
      <c r="AC1714" s="10" t="str">
        <f t="shared" si="2321"/>
        <v>NA</v>
      </c>
      <c r="AD1714" s="10" t="str">
        <f t="shared" si="2322"/>
        <v>NA</v>
      </c>
      <c r="AE1714" s="10" t="str">
        <f t="shared" si="2323"/>
        <v>NA</v>
      </c>
      <c r="AF1714" s="1" t="s">
        <v>1834</v>
      </c>
    </row>
    <row r="1715" spans="1:32" x14ac:dyDescent="0.2">
      <c r="A1715" s="1" t="s">
        <v>6090</v>
      </c>
      <c r="B1715" s="1" t="s">
        <v>91</v>
      </c>
      <c r="C1715" s="1" t="s">
        <v>1575</v>
      </c>
      <c r="D1715" s="1" t="s">
        <v>1595</v>
      </c>
      <c r="E1715" s="1" t="s">
        <v>1596</v>
      </c>
      <c r="F1715" s="1" t="s">
        <v>1973</v>
      </c>
      <c r="G1715" s="4" t="s">
        <v>11</v>
      </c>
      <c r="H1715" s="28">
        <v>43791</v>
      </c>
      <c r="I1715" s="29">
        <f t="shared" si="2315"/>
        <v>2019</v>
      </c>
      <c r="J1715" s="1" t="s">
        <v>7</v>
      </c>
      <c r="K1715" s="1" t="s">
        <v>1815</v>
      </c>
      <c r="L1715" s="11" t="str">
        <f t="shared" ref="L1715:L1778" si="2324">IF(OR(A1715=J1715,A1715=K1715),"ДА","НЕТ")</f>
        <v>НЕТ</v>
      </c>
      <c r="M1715" s="10">
        <f>645+12+32</f>
        <v>689</v>
      </c>
      <c r="N1715" s="10" t="s">
        <v>1575</v>
      </c>
      <c r="O1715" s="10">
        <v>44.386000000000003</v>
      </c>
      <c r="P1715" s="10" t="str">
        <f t="shared" si="2309"/>
        <v>NA</v>
      </c>
      <c r="Q1715" s="10" t="str">
        <f t="shared" si="2310"/>
        <v>NA</v>
      </c>
      <c r="R1715" s="10">
        <v>36.674999999999997</v>
      </c>
      <c r="S1715" s="10" t="s">
        <v>1575</v>
      </c>
      <c r="T1715" s="10" t="s">
        <v>1575</v>
      </c>
      <c r="U1715" s="10">
        <v>6.093</v>
      </c>
      <c r="V1715" s="10">
        <f>(26.037+8.175+18.124+0.114+1.534+10.76+4.181-9.009-17.979+7.948)</f>
        <v>49.884999999999998</v>
      </c>
      <c r="W1715" s="10" t="s">
        <v>1575</v>
      </c>
      <c r="X1715" s="10" t="str">
        <f t="shared" si="2316"/>
        <v>NA</v>
      </c>
      <c r="Y1715" s="10" t="str">
        <f t="shared" si="2317"/>
        <v>NA</v>
      </c>
      <c r="Z1715" s="10" t="str">
        <f t="shared" si="2318"/>
        <v>NA</v>
      </c>
      <c r="AA1715" s="10" t="str">
        <f t="shared" si="2319"/>
        <v>NA</v>
      </c>
      <c r="AB1715" s="10" t="str">
        <f t="shared" si="2320"/>
        <v>NA</v>
      </c>
      <c r="AC1715" s="10" t="str">
        <f t="shared" si="2321"/>
        <v>NA</v>
      </c>
      <c r="AD1715" s="10" t="str">
        <f t="shared" si="2322"/>
        <v>NA</v>
      </c>
      <c r="AE1715" s="10" t="str">
        <f t="shared" si="2323"/>
        <v>NA</v>
      </c>
      <c r="AF1715" s="1" t="s">
        <v>1831</v>
      </c>
    </row>
    <row r="1716" spans="1:32" x14ac:dyDescent="0.2">
      <c r="A1716" s="1" t="s">
        <v>6091</v>
      </c>
      <c r="B1716" s="1" t="s">
        <v>5</v>
      </c>
      <c r="C1716" s="1" t="s">
        <v>1575</v>
      </c>
      <c r="D1716" s="1" t="s">
        <v>1595</v>
      </c>
      <c r="E1716" s="1" t="s">
        <v>1810</v>
      </c>
      <c r="F1716" s="1" t="s">
        <v>1974</v>
      </c>
      <c r="G1716" s="4">
        <v>0.97399999999999998</v>
      </c>
      <c r="H1716" s="28">
        <v>43646</v>
      </c>
      <c r="I1716" s="29">
        <f t="shared" si="2315"/>
        <v>2019</v>
      </c>
      <c r="J1716" s="1" t="s">
        <v>1815</v>
      </c>
      <c r="K1716" s="1" t="s">
        <v>7</v>
      </c>
      <c r="L1716" s="11" t="str">
        <f t="shared" si="2324"/>
        <v>НЕТ</v>
      </c>
      <c r="M1716" s="10" t="s">
        <v>1575</v>
      </c>
      <c r="N1716" s="10" t="s">
        <v>1575</v>
      </c>
      <c r="O1716" s="10">
        <v>0.36</v>
      </c>
      <c r="P1716" s="10">
        <f t="shared" si="2309"/>
        <v>0.36960985626283366</v>
      </c>
      <c r="Q1716" s="10" t="str">
        <f t="shared" si="2310"/>
        <v>NA</v>
      </c>
      <c r="R1716" s="10" t="s">
        <v>1575</v>
      </c>
      <c r="S1716" s="10" t="s">
        <v>1575</v>
      </c>
      <c r="T1716" s="10" t="s">
        <v>1575</v>
      </c>
      <c r="U1716" s="10" t="s">
        <v>1575</v>
      </c>
      <c r="V1716" s="10">
        <f>0.36-0.105</f>
        <v>0.255</v>
      </c>
      <c r="W1716" s="10" t="s">
        <v>1575</v>
      </c>
      <c r="X1716" s="10" t="str">
        <f t="shared" si="2316"/>
        <v>NA</v>
      </c>
      <c r="Y1716" s="10" t="str">
        <f t="shared" si="2317"/>
        <v>NA</v>
      </c>
      <c r="Z1716" s="10" t="str">
        <f t="shared" si="2318"/>
        <v>NA</v>
      </c>
      <c r="AA1716" s="10">
        <f t="shared" si="2319"/>
        <v>1.4494504167169948</v>
      </c>
      <c r="AB1716" s="10" t="str">
        <f t="shared" si="2320"/>
        <v>NA</v>
      </c>
      <c r="AC1716" s="10" t="str">
        <f t="shared" si="2321"/>
        <v>NA</v>
      </c>
      <c r="AD1716" s="10" t="str">
        <f t="shared" si="2322"/>
        <v>NA</v>
      </c>
      <c r="AE1716" s="10" t="str">
        <f t="shared" si="2323"/>
        <v>NA</v>
      </c>
      <c r="AF1716" s="1" t="s">
        <v>1842</v>
      </c>
    </row>
    <row r="1717" spans="1:32" x14ac:dyDescent="0.2">
      <c r="A1717" s="1" t="s">
        <v>6092</v>
      </c>
      <c r="B1717" s="1" t="s">
        <v>5</v>
      </c>
      <c r="C1717" s="1" t="s">
        <v>1575</v>
      </c>
      <c r="D1717" s="1" t="s">
        <v>1582</v>
      </c>
      <c r="E1717" s="1" t="s">
        <v>1845</v>
      </c>
      <c r="F1717" s="1" t="s">
        <v>1844</v>
      </c>
      <c r="G1717" s="4" t="s">
        <v>11</v>
      </c>
      <c r="H1717" s="28">
        <v>43585</v>
      </c>
      <c r="I1717" s="29">
        <f t="shared" si="2315"/>
        <v>2019</v>
      </c>
      <c r="J1717" s="1" t="s">
        <v>1815</v>
      </c>
      <c r="K1717" s="1" t="s">
        <v>6093</v>
      </c>
      <c r="L1717" s="11" t="str">
        <f t="shared" si="2324"/>
        <v>НЕТ</v>
      </c>
      <c r="M1717" s="10" t="s">
        <v>1575</v>
      </c>
      <c r="N1717" s="10" t="s">
        <v>1575</v>
      </c>
      <c r="O1717" s="10">
        <v>2.0419999999999998</v>
      </c>
      <c r="P1717" s="10" t="str">
        <f t="shared" si="2309"/>
        <v>NA</v>
      </c>
      <c r="Q1717" s="10" t="str">
        <f t="shared" si="2310"/>
        <v>NA</v>
      </c>
      <c r="R1717" s="10" t="s">
        <v>1575</v>
      </c>
      <c r="S1717" s="10" t="s">
        <v>1575</v>
      </c>
      <c r="T1717" s="10" t="s">
        <v>1575</v>
      </c>
      <c r="U1717" s="10" t="s">
        <v>1575</v>
      </c>
      <c r="V1717" s="10" t="s">
        <v>1575</v>
      </c>
      <c r="W1717" s="10" t="s">
        <v>1575</v>
      </c>
      <c r="X1717" s="10" t="str">
        <f t="shared" si="2316"/>
        <v>NA</v>
      </c>
      <c r="Y1717" s="10" t="str">
        <f t="shared" si="2317"/>
        <v>NA</v>
      </c>
      <c r="Z1717" s="10" t="str">
        <f t="shared" si="2318"/>
        <v>NA</v>
      </c>
      <c r="AA1717" s="10" t="str">
        <f t="shared" si="2319"/>
        <v>NA</v>
      </c>
      <c r="AB1717" s="10" t="str">
        <f t="shared" si="2320"/>
        <v>NA</v>
      </c>
      <c r="AC1717" s="10" t="str">
        <f t="shared" si="2321"/>
        <v>NA</v>
      </c>
      <c r="AD1717" s="10" t="str">
        <f t="shared" si="2322"/>
        <v>NA</v>
      </c>
      <c r="AE1717" s="10" t="str">
        <f t="shared" si="2323"/>
        <v>NA</v>
      </c>
      <c r="AF1717" s="1" t="s">
        <v>1843</v>
      </c>
    </row>
    <row r="1718" spans="1:32" x14ac:dyDescent="0.2">
      <c r="A1718" s="1" t="s">
        <v>6094</v>
      </c>
      <c r="B1718" s="1" t="s">
        <v>5</v>
      </c>
      <c r="C1718" s="1" t="s">
        <v>1575</v>
      </c>
      <c r="D1718" s="1" t="s">
        <v>1584</v>
      </c>
      <c r="E1718" s="1" t="s">
        <v>1586</v>
      </c>
      <c r="F1718" s="1" t="s">
        <v>66</v>
      </c>
      <c r="G1718" s="4" t="s">
        <v>1575</v>
      </c>
      <c r="H1718" s="28">
        <v>43585</v>
      </c>
      <c r="I1718" s="29">
        <f t="shared" si="2315"/>
        <v>2019</v>
      </c>
      <c r="J1718" s="1" t="s">
        <v>1815</v>
      </c>
      <c r="K1718" s="1" t="s">
        <v>6039</v>
      </c>
      <c r="L1718" s="11" t="str">
        <f t="shared" si="2324"/>
        <v>НЕТ</v>
      </c>
      <c r="M1718" s="10" t="s">
        <v>1575</v>
      </c>
      <c r="N1718" s="10" t="s">
        <v>1575</v>
      </c>
      <c r="O1718" s="10">
        <v>0.32900000000000001</v>
      </c>
      <c r="P1718" s="10" t="str">
        <f t="shared" si="2309"/>
        <v>NA</v>
      </c>
      <c r="Q1718" s="10" t="str">
        <f t="shared" si="2310"/>
        <v>NA</v>
      </c>
      <c r="R1718" s="10" t="s">
        <v>1575</v>
      </c>
      <c r="S1718" s="10" t="s">
        <v>1575</v>
      </c>
      <c r="T1718" s="10" t="s">
        <v>1575</v>
      </c>
      <c r="U1718" s="10" t="s">
        <v>1575</v>
      </c>
      <c r="V1718" s="10" t="s">
        <v>1575</v>
      </c>
      <c r="W1718" s="10" t="s">
        <v>1575</v>
      </c>
      <c r="X1718" s="10" t="str">
        <f t="shared" si="2316"/>
        <v>NA</v>
      </c>
      <c r="Y1718" s="10" t="str">
        <f t="shared" si="2317"/>
        <v>NA</v>
      </c>
      <c r="Z1718" s="10" t="str">
        <f t="shared" si="2318"/>
        <v>NA</v>
      </c>
      <c r="AA1718" s="10" t="str">
        <f t="shared" si="2319"/>
        <v>NA</v>
      </c>
      <c r="AB1718" s="10" t="str">
        <f t="shared" si="2320"/>
        <v>NA</v>
      </c>
      <c r="AC1718" s="10" t="str">
        <f t="shared" si="2321"/>
        <v>NA</v>
      </c>
      <c r="AD1718" s="10" t="str">
        <f t="shared" si="2322"/>
        <v>NA</v>
      </c>
      <c r="AE1718" s="10" t="str">
        <f t="shared" si="2323"/>
        <v>NA</v>
      </c>
      <c r="AF1718" s="1" t="s">
        <v>1846</v>
      </c>
    </row>
    <row r="1719" spans="1:32" x14ac:dyDescent="0.2">
      <c r="A1719" s="1" t="s">
        <v>1852</v>
      </c>
      <c r="B1719" s="1" t="s">
        <v>5</v>
      </c>
      <c r="C1719" s="1" t="s">
        <v>1575</v>
      </c>
      <c r="D1719" s="1" t="s">
        <v>1584</v>
      </c>
      <c r="E1719" s="1" t="s">
        <v>1586</v>
      </c>
      <c r="F1719" s="1" t="s">
        <v>66</v>
      </c>
      <c r="G1719" s="4" t="s">
        <v>1575</v>
      </c>
      <c r="H1719" s="28">
        <v>43555</v>
      </c>
      <c r="I1719" s="29">
        <f t="shared" si="2315"/>
        <v>2019</v>
      </c>
      <c r="J1719" s="1" t="s">
        <v>6095</v>
      </c>
      <c r="K1719" s="1" t="s">
        <v>1815</v>
      </c>
      <c r="L1719" s="11" t="str">
        <f t="shared" si="2324"/>
        <v>НЕТ</v>
      </c>
      <c r="M1719" s="10" t="s">
        <v>1575</v>
      </c>
      <c r="N1719" s="10" t="s">
        <v>1575</v>
      </c>
      <c r="O1719" s="10">
        <v>7.2469999999999999</v>
      </c>
      <c r="P1719" s="10" t="str">
        <f t="shared" si="2309"/>
        <v>NA</v>
      </c>
      <c r="Q1719" s="10" t="str">
        <f t="shared" si="2310"/>
        <v>NA</v>
      </c>
      <c r="R1719" s="10" t="s">
        <v>1575</v>
      </c>
      <c r="S1719" s="10" t="s">
        <v>1575</v>
      </c>
      <c r="T1719" s="10" t="s">
        <v>1575</v>
      </c>
      <c r="U1719" s="10" t="s">
        <v>1575</v>
      </c>
      <c r="V1719" s="10" t="s">
        <v>1575</v>
      </c>
      <c r="W1719" s="10" t="s">
        <v>1575</v>
      </c>
      <c r="X1719" s="10" t="str">
        <f t="shared" si="2316"/>
        <v>NA</v>
      </c>
      <c r="Y1719" s="10" t="str">
        <f t="shared" si="2317"/>
        <v>NA</v>
      </c>
      <c r="Z1719" s="10" t="str">
        <f t="shared" si="2318"/>
        <v>NA</v>
      </c>
      <c r="AA1719" s="10" t="str">
        <f t="shared" si="2319"/>
        <v>NA</v>
      </c>
      <c r="AB1719" s="10" t="str">
        <f t="shared" si="2320"/>
        <v>NA</v>
      </c>
      <c r="AC1719" s="10" t="str">
        <f t="shared" si="2321"/>
        <v>NA</v>
      </c>
      <c r="AD1719" s="10" t="str">
        <f t="shared" si="2322"/>
        <v>NA</v>
      </c>
      <c r="AE1719" s="10" t="str">
        <f t="shared" si="2323"/>
        <v>NA</v>
      </c>
      <c r="AF1719" s="1" t="s">
        <v>1849</v>
      </c>
    </row>
    <row r="1720" spans="1:32" x14ac:dyDescent="0.2">
      <c r="A1720" s="1" t="s">
        <v>6096</v>
      </c>
      <c r="B1720" s="1" t="s">
        <v>5</v>
      </c>
      <c r="C1720" s="1" t="s">
        <v>1853</v>
      </c>
      <c r="D1720" s="1" t="s">
        <v>1813</v>
      </c>
      <c r="E1720" s="1" t="s">
        <v>1819</v>
      </c>
      <c r="F1720" s="1" t="s">
        <v>3068</v>
      </c>
      <c r="G1720" s="4">
        <v>0.18690000000000001</v>
      </c>
      <c r="H1720" s="28">
        <v>43555</v>
      </c>
      <c r="I1720" s="29">
        <f t="shared" si="2315"/>
        <v>2019</v>
      </c>
      <c r="J1720" s="1" t="s">
        <v>6039</v>
      </c>
      <c r="K1720" s="1" t="s">
        <v>1815</v>
      </c>
      <c r="L1720" s="11" t="str">
        <f t="shared" si="2324"/>
        <v>НЕТ</v>
      </c>
      <c r="M1720" s="10" t="s">
        <v>1575</v>
      </c>
      <c r="N1720" s="10" t="s">
        <v>1575</v>
      </c>
      <c r="O1720" s="10">
        <v>7.9020000000000001</v>
      </c>
      <c r="P1720" s="10">
        <f t="shared" si="2309"/>
        <v>42.279293739967898</v>
      </c>
      <c r="Q1720" s="10" t="str">
        <f t="shared" si="2310"/>
        <v>NA</v>
      </c>
      <c r="R1720" s="10">
        <v>37.22</v>
      </c>
      <c r="S1720" s="10">
        <v>-5.3599999999999994</v>
      </c>
      <c r="T1720" s="10">
        <v>-5.8469999999999995</v>
      </c>
      <c r="U1720" s="10">
        <v>-5.6609999999999996</v>
      </c>
      <c r="V1720" s="10" t="s">
        <v>1575</v>
      </c>
      <c r="W1720" s="10" t="s">
        <v>1575</v>
      </c>
      <c r="X1720" s="10" t="str">
        <f t="shared" si="2316"/>
        <v>NA</v>
      </c>
      <c r="Y1720" s="10">
        <f t="shared" si="2317"/>
        <v>1.1359294395477673</v>
      </c>
      <c r="Z1720" s="10">
        <f t="shared" si="2318"/>
        <v>-7.4685203568217453</v>
      </c>
      <c r="AA1720" s="10" t="str">
        <f t="shared" si="2319"/>
        <v>NA</v>
      </c>
      <c r="AB1720" s="10" t="str">
        <f t="shared" si="2320"/>
        <v>NA</v>
      </c>
      <c r="AC1720" s="10" t="str">
        <f t="shared" si="2321"/>
        <v>NA</v>
      </c>
      <c r="AD1720" s="10" t="str">
        <f t="shared" si="2322"/>
        <v>NA</v>
      </c>
      <c r="AE1720" s="10" t="str">
        <f t="shared" si="2323"/>
        <v>NA</v>
      </c>
      <c r="AF1720" s="1" t="s">
        <v>1847</v>
      </c>
    </row>
    <row r="1721" spans="1:32" x14ac:dyDescent="0.2">
      <c r="A1721" s="1" t="s">
        <v>6097</v>
      </c>
      <c r="B1721" s="1" t="s">
        <v>5</v>
      </c>
      <c r="C1721" s="1" t="s">
        <v>1575</v>
      </c>
      <c r="D1721" s="1" t="s">
        <v>1813</v>
      </c>
      <c r="E1721" s="1" t="s">
        <v>1587</v>
      </c>
      <c r="F1721" s="1" t="s">
        <v>255</v>
      </c>
      <c r="G1721" s="4">
        <v>0.15010000000000001</v>
      </c>
      <c r="H1721" s="28">
        <v>43830</v>
      </c>
      <c r="I1721" s="29">
        <f t="shared" si="2315"/>
        <v>2019</v>
      </c>
      <c r="J1721" s="1" t="s">
        <v>1815</v>
      </c>
      <c r="K1721" s="1" t="s">
        <v>7</v>
      </c>
      <c r="L1721" s="11" t="str">
        <f t="shared" si="2324"/>
        <v>НЕТ</v>
      </c>
      <c r="M1721" s="10" t="s">
        <v>1575</v>
      </c>
      <c r="N1721" s="10" t="s">
        <v>1575</v>
      </c>
      <c r="O1721" s="10">
        <v>7.4999999999999997E-2</v>
      </c>
      <c r="P1721" s="10">
        <f t="shared" si="2309"/>
        <v>0.49966688874083937</v>
      </c>
      <c r="Q1721" s="10" t="str">
        <f t="shared" si="2310"/>
        <v>NA</v>
      </c>
      <c r="R1721" s="10" t="s">
        <v>1575</v>
      </c>
      <c r="S1721" s="10" t="s">
        <v>1575</v>
      </c>
      <c r="T1721" s="10" t="s">
        <v>1575</v>
      </c>
      <c r="U1721" s="10" t="s">
        <v>1575</v>
      </c>
      <c r="V1721" s="10" t="s">
        <v>1575</v>
      </c>
      <c r="W1721" s="10" t="s">
        <v>1575</v>
      </c>
      <c r="X1721" s="10" t="str">
        <f t="shared" si="2316"/>
        <v>NA</v>
      </c>
      <c r="Y1721" s="10" t="str">
        <f t="shared" si="2317"/>
        <v>NA</v>
      </c>
      <c r="Z1721" s="10" t="str">
        <f t="shared" si="2318"/>
        <v>NA</v>
      </c>
      <c r="AA1721" s="10" t="str">
        <f t="shared" si="2319"/>
        <v>NA</v>
      </c>
      <c r="AB1721" s="10" t="str">
        <f t="shared" si="2320"/>
        <v>NA</v>
      </c>
      <c r="AC1721" s="10" t="str">
        <f t="shared" si="2321"/>
        <v>NA</v>
      </c>
      <c r="AD1721" s="10" t="str">
        <f t="shared" si="2322"/>
        <v>NA</v>
      </c>
      <c r="AE1721" s="10" t="str">
        <f t="shared" si="2323"/>
        <v>NA</v>
      </c>
      <c r="AF1721" s="1" t="s">
        <v>1855</v>
      </c>
    </row>
    <row r="1722" spans="1:32" x14ac:dyDescent="0.2">
      <c r="A1722" s="1" t="s">
        <v>6098</v>
      </c>
      <c r="B1722" s="1" t="s">
        <v>5</v>
      </c>
      <c r="C1722" s="1" t="s">
        <v>1575</v>
      </c>
      <c r="D1722" s="1" t="s">
        <v>1580</v>
      </c>
      <c r="E1722" s="1" t="s">
        <v>1590</v>
      </c>
      <c r="F1722" s="1" t="s">
        <v>1856</v>
      </c>
      <c r="G1722" s="4">
        <v>0.40260000000000001</v>
      </c>
      <c r="H1722" s="28">
        <v>43465</v>
      </c>
      <c r="I1722" s="29">
        <f t="shared" si="2315"/>
        <v>2018</v>
      </c>
      <c r="J1722" s="1" t="s">
        <v>6095</v>
      </c>
      <c r="K1722" s="1" t="s">
        <v>1854</v>
      </c>
      <c r="L1722" s="11" t="str">
        <f t="shared" si="2324"/>
        <v>НЕТ</v>
      </c>
      <c r="M1722" s="10" t="s">
        <v>1575</v>
      </c>
      <c r="N1722" s="10" t="s">
        <v>1575</v>
      </c>
      <c r="O1722" s="10">
        <v>0.45</v>
      </c>
      <c r="P1722" s="10">
        <f t="shared" si="2309"/>
        <v>1.1177347242921014</v>
      </c>
      <c r="Q1722" s="10" t="str">
        <f t="shared" si="2310"/>
        <v>NA</v>
      </c>
      <c r="R1722" s="10" t="s">
        <v>1575</v>
      </c>
      <c r="S1722" s="10" t="s">
        <v>1575</v>
      </c>
      <c r="T1722" s="10" t="s">
        <v>1575</v>
      </c>
      <c r="U1722" s="10" t="s">
        <v>1575</v>
      </c>
      <c r="V1722" s="10" t="s">
        <v>1575</v>
      </c>
      <c r="W1722" s="10" t="s">
        <v>1575</v>
      </c>
      <c r="X1722" s="10" t="str">
        <f t="shared" si="2316"/>
        <v>NA</v>
      </c>
      <c r="Y1722" s="10" t="str">
        <f t="shared" si="2317"/>
        <v>NA</v>
      </c>
      <c r="Z1722" s="10" t="str">
        <f t="shared" si="2318"/>
        <v>NA</v>
      </c>
      <c r="AA1722" s="10" t="str">
        <f t="shared" si="2319"/>
        <v>NA</v>
      </c>
      <c r="AB1722" s="10" t="str">
        <f t="shared" si="2320"/>
        <v>NA</v>
      </c>
      <c r="AC1722" s="10" t="str">
        <f t="shared" si="2321"/>
        <v>NA</v>
      </c>
      <c r="AD1722" s="10" t="str">
        <f t="shared" si="2322"/>
        <v>NA</v>
      </c>
      <c r="AE1722" s="10" t="str">
        <f t="shared" si="2323"/>
        <v>NA</v>
      </c>
      <c r="AF1722" s="1" t="s">
        <v>1848</v>
      </c>
    </row>
    <row r="1723" spans="1:32" x14ac:dyDescent="0.2">
      <c r="A1723" s="1" t="s">
        <v>6080</v>
      </c>
      <c r="B1723" s="1" t="s">
        <v>1575</v>
      </c>
      <c r="C1723" s="1" t="s">
        <v>1575</v>
      </c>
      <c r="D1723" s="1" t="s">
        <v>1813</v>
      </c>
      <c r="E1723" s="1" t="s">
        <v>1821</v>
      </c>
      <c r="F1723" s="1" t="s">
        <v>255</v>
      </c>
      <c r="G1723" s="4">
        <v>0.1368</v>
      </c>
      <c r="H1723" s="28">
        <v>43373</v>
      </c>
      <c r="I1723" s="29">
        <f t="shared" si="2315"/>
        <v>2018</v>
      </c>
      <c r="J1723" s="1" t="s">
        <v>1815</v>
      </c>
      <c r="K1723" s="1" t="s">
        <v>7</v>
      </c>
      <c r="L1723" s="11" t="str">
        <f t="shared" si="2324"/>
        <v>НЕТ</v>
      </c>
      <c r="M1723" s="10" t="s">
        <v>1575</v>
      </c>
      <c r="N1723" s="10" t="s">
        <v>1575</v>
      </c>
      <c r="O1723" s="10">
        <v>0.82399999999999995</v>
      </c>
      <c r="P1723" s="10">
        <f t="shared" si="2309"/>
        <v>6.0233918128654969</v>
      </c>
      <c r="Q1723" s="10" t="str">
        <f t="shared" si="2310"/>
        <v>NA</v>
      </c>
      <c r="R1723" s="10" t="s">
        <v>1575</v>
      </c>
      <c r="S1723" s="10" t="s">
        <v>1575</v>
      </c>
      <c r="T1723" s="10" t="s">
        <v>1575</v>
      </c>
      <c r="U1723" s="10" t="s">
        <v>1575</v>
      </c>
      <c r="V1723" s="10" t="s">
        <v>1575</v>
      </c>
      <c r="W1723" s="10" t="s">
        <v>1575</v>
      </c>
      <c r="X1723" s="10" t="str">
        <f t="shared" si="2316"/>
        <v>NA</v>
      </c>
      <c r="Y1723" s="10" t="str">
        <f t="shared" si="2317"/>
        <v>NA</v>
      </c>
      <c r="Z1723" s="10" t="str">
        <f t="shared" si="2318"/>
        <v>NA</v>
      </c>
      <c r="AA1723" s="10" t="str">
        <f t="shared" si="2319"/>
        <v>NA</v>
      </c>
      <c r="AB1723" s="10" t="str">
        <f t="shared" si="2320"/>
        <v>NA</v>
      </c>
      <c r="AC1723" s="10" t="str">
        <f t="shared" si="2321"/>
        <v>NA</v>
      </c>
      <c r="AD1723" s="10" t="str">
        <f t="shared" si="2322"/>
        <v>NA</v>
      </c>
      <c r="AE1723" s="10" t="str">
        <f t="shared" si="2323"/>
        <v>NA</v>
      </c>
      <c r="AF1723" s="1" t="s">
        <v>1836</v>
      </c>
    </row>
    <row r="1724" spans="1:32" x14ac:dyDescent="0.2">
      <c r="A1724" s="1" t="s">
        <v>6099</v>
      </c>
      <c r="B1724" s="1" t="s">
        <v>5</v>
      </c>
      <c r="C1724" s="1" t="s">
        <v>1575</v>
      </c>
      <c r="D1724" s="1" t="s">
        <v>1813</v>
      </c>
      <c r="E1724" s="1" t="s">
        <v>1819</v>
      </c>
      <c r="F1724" s="1" t="s">
        <v>3068</v>
      </c>
      <c r="G1724" s="4">
        <v>0.78200000000000003</v>
      </c>
      <c r="H1724" s="28">
        <v>43373</v>
      </c>
      <c r="I1724" s="29">
        <f t="shared" si="2315"/>
        <v>2018</v>
      </c>
      <c r="J1724" s="1" t="s">
        <v>1815</v>
      </c>
      <c r="K1724" s="1" t="s">
        <v>7</v>
      </c>
      <c r="L1724" s="11" t="str">
        <f t="shared" si="2324"/>
        <v>НЕТ</v>
      </c>
      <c r="M1724" s="10" t="s">
        <v>1575</v>
      </c>
      <c r="N1724" s="10" t="s">
        <v>1575</v>
      </c>
      <c r="O1724" s="10">
        <v>0.32100000000000001</v>
      </c>
      <c r="P1724" s="10">
        <f t="shared" si="2309"/>
        <v>0.41048593350383633</v>
      </c>
      <c r="Q1724" s="10" t="str">
        <f t="shared" si="2310"/>
        <v>NA</v>
      </c>
      <c r="R1724" s="10" t="s">
        <v>1575</v>
      </c>
      <c r="S1724" s="10" t="s">
        <v>1575</v>
      </c>
      <c r="T1724" s="10" t="s">
        <v>1575</v>
      </c>
      <c r="U1724" s="10" t="s">
        <v>1575</v>
      </c>
      <c r="V1724" s="10">
        <f>(0.037+0.129+0.043+0.117+0.039-0.383-0.106-0.034)</f>
        <v>-0.15800000000000003</v>
      </c>
      <c r="W1724" s="10" t="s">
        <v>1575</v>
      </c>
      <c r="X1724" s="10" t="str">
        <f t="shared" si="2316"/>
        <v>NA</v>
      </c>
      <c r="Y1724" s="10" t="str">
        <f t="shared" si="2317"/>
        <v>NA</v>
      </c>
      <c r="Z1724" s="10" t="str">
        <f t="shared" si="2318"/>
        <v>NA</v>
      </c>
      <c r="AA1724" s="10">
        <f t="shared" si="2319"/>
        <v>-2.5980122373660524</v>
      </c>
      <c r="AB1724" s="10" t="str">
        <f t="shared" si="2320"/>
        <v>NA</v>
      </c>
      <c r="AC1724" s="10" t="str">
        <f t="shared" si="2321"/>
        <v>NA</v>
      </c>
      <c r="AD1724" s="10" t="str">
        <f t="shared" si="2322"/>
        <v>NA</v>
      </c>
      <c r="AE1724" s="10" t="str">
        <f t="shared" si="2323"/>
        <v>NA</v>
      </c>
      <c r="AF1724" s="1" t="s">
        <v>1857</v>
      </c>
    </row>
    <row r="1725" spans="1:32" x14ac:dyDescent="0.2">
      <c r="A1725" s="1" t="s">
        <v>6100</v>
      </c>
      <c r="B1725" s="1" t="s">
        <v>5</v>
      </c>
      <c r="C1725" s="1" t="s">
        <v>1575</v>
      </c>
      <c r="D1725" s="1" t="s">
        <v>1813</v>
      </c>
      <c r="E1725" s="1" t="s">
        <v>1819</v>
      </c>
      <c r="F1725" s="1" t="s">
        <v>3068</v>
      </c>
      <c r="G1725" s="4">
        <v>1</v>
      </c>
      <c r="H1725" s="28">
        <v>43159</v>
      </c>
      <c r="I1725" s="29">
        <f t="shared" si="2315"/>
        <v>2018</v>
      </c>
      <c r="J1725" s="1" t="s">
        <v>1815</v>
      </c>
      <c r="K1725" s="1" t="s">
        <v>7</v>
      </c>
      <c r="L1725" s="11" t="str">
        <f t="shared" si="2324"/>
        <v>НЕТ</v>
      </c>
      <c r="M1725" s="10" t="s">
        <v>1575</v>
      </c>
      <c r="N1725" s="10" t="s">
        <v>1575</v>
      </c>
      <c r="O1725" s="10">
        <v>3.19</v>
      </c>
      <c r="P1725" s="10">
        <f t="shared" si="2309"/>
        <v>3.19</v>
      </c>
      <c r="Q1725" s="10" t="str">
        <f t="shared" si="2310"/>
        <v>NA</v>
      </c>
      <c r="R1725" s="10" t="s">
        <v>1575</v>
      </c>
      <c r="S1725" s="10" t="s">
        <v>1575</v>
      </c>
      <c r="T1725" s="10" t="s">
        <v>1575</v>
      </c>
      <c r="U1725" s="10" t="s">
        <v>1575</v>
      </c>
      <c r="V1725" s="10">
        <f>(0.727+0.779+0.142+0.202+0.542-0.868-0.37)</f>
        <v>1.1539999999999999</v>
      </c>
      <c r="W1725" s="10" t="s">
        <v>1575</v>
      </c>
      <c r="X1725" s="10" t="str">
        <f t="shared" si="2316"/>
        <v>NA</v>
      </c>
      <c r="Y1725" s="10" t="str">
        <f t="shared" si="2317"/>
        <v>NA</v>
      </c>
      <c r="Z1725" s="10" t="str">
        <f t="shared" si="2318"/>
        <v>NA</v>
      </c>
      <c r="AA1725" s="10">
        <f t="shared" si="2319"/>
        <v>2.7642980935875219</v>
      </c>
      <c r="AB1725" s="10" t="str">
        <f t="shared" si="2320"/>
        <v>NA</v>
      </c>
      <c r="AC1725" s="10" t="str">
        <f t="shared" si="2321"/>
        <v>NA</v>
      </c>
      <c r="AD1725" s="10" t="str">
        <f t="shared" si="2322"/>
        <v>NA</v>
      </c>
      <c r="AE1725" s="10" t="str">
        <f t="shared" si="2323"/>
        <v>NA</v>
      </c>
      <c r="AF1725" s="1" t="s">
        <v>1862</v>
      </c>
    </row>
    <row r="1726" spans="1:32" x14ac:dyDescent="0.2">
      <c r="A1726" s="1" t="s">
        <v>6101</v>
      </c>
      <c r="B1726" s="1" t="s">
        <v>5</v>
      </c>
      <c r="C1726" s="1" t="s">
        <v>1575</v>
      </c>
      <c r="D1726" s="1" t="s">
        <v>1595</v>
      </c>
      <c r="E1726" s="1" t="s">
        <v>1810</v>
      </c>
      <c r="F1726" s="1" t="s">
        <v>1974</v>
      </c>
      <c r="G1726" s="4">
        <v>0.99</v>
      </c>
      <c r="H1726" s="28">
        <v>43343</v>
      </c>
      <c r="I1726" s="29">
        <f t="shared" si="2315"/>
        <v>2018</v>
      </c>
      <c r="J1726" s="1" t="s">
        <v>1815</v>
      </c>
      <c r="K1726" s="1" t="s">
        <v>7</v>
      </c>
      <c r="L1726" s="11" t="str">
        <f t="shared" si="2324"/>
        <v>НЕТ</v>
      </c>
      <c r="M1726" s="10" t="s">
        <v>1575</v>
      </c>
      <c r="N1726" s="10" t="s">
        <v>1575</v>
      </c>
      <c r="O1726" s="10">
        <v>0.39500000000000002</v>
      </c>
      <c r="P1726" s="10">
        <f t="shared" si="2309"/>
        <v>0.39898989898989901</v>
      </c>
      <c r="Q1726" s="10" t="str">
        <f t="shared" si="2310"/>
        <v>NA</v>
      </c>
      <c r="R1726" s="10" t="s">
        <v>1575</v>
      </c>
      <c r="S1726" s="10" t="s">
        <v>1575</v>
      </c>
      <c r="T1726" s="10" t="s">
        <v>1575</v>
      </c>
      <c r="U1726" s="10" t="s">
        <v>1575</v>
      </c>
      <c r="V1726" s="10">
        <f>(0.123+0.172+0.015+0.028-0.08-0.076)</f>
        <v>0.182</v>
      </c>
      <c r="W1726" s="10" t="s">
        <v>1575</v>
      </c>
      <c r="X1726" s="10" t="str">
        <f t="shared" si="2316"/>
        <v>NA</v>
      </c>
      <c r="Y1726" s="10" t="str">
        <f t="shared" si="2317"/>
        <v>NA</v>
      </c>
      <c r="Z1726" s="10" t="str">
        <f t="shared" si="2318"/>
        <v>NA</v>
      </c>
      <c r="AA1726" s="10">
        <f t="shared" si="2319"/>
        <v>2.1922521922521923</v>
      </c>
      <c r="AB1726" s="10" t="str">
        <f t="shared" si="2320"/>
        <v>NA</v>
      </c>
      <c r="AC1726" s="10" t="str">
        <f t="shared" si="2321"/>
        <v>NA</v>
      </c>
      <c r="AD1726" s="10" t="str">
        <f t="shared" si="2322"/>
        <v>NA</v>
      </c>
      <c r="AE1726" s="10" t="str">
        <f t="shared" si="2323"/>
        <v>NA</v>
      </c>
      <c r="AF1726" s="1" t="s">
        <v>1858</v>
      </c>
    </row>
    <row r="1727" spans="1:32" x14ac:dyDescent="0.2">
      <c r="A1727" s="1" t="s">
        <v>6102</v>
      </c>
      <c r="B1727" s="1" t="s">
        <v>5</v>
      </c>
      <c r="C1727" s="1" t="s">
        <v>1575</v>
      </c>
      <c r="D1727" s="1" t="s">
        <v>1813</v>
      </c>
      <c r="E1727" s="1" t="s">
        <v>1945</v>
      </c>
      <c r="F1727" s="1" t="s">
        <v>255</v>
      </c>
      <c r="G1727" s="4">
        <v>1</v>
      </c>
      <c r="H1727" s="28">
        <v>43465</v>
      </c>
      <c r="I1727" s="29">
        <f t="shared" si="2315"/>
        <v>2018</v>
      </c>
      <c r="J1727" s="1" t="s">
        <v>1815</v>
      </c>
      <c r="K1727" s="1" t="s">
        <v>7</v>
      </c>
      <c r="L1727" s="11" t="str">
        <f t="shared" si="2324"/>
        <v>НЕТ</v>
      </c>
      <c r="M1727" s="10" t="s">
        <v>1575</v>
      </c>
      <c r="N1727" s="10" t="s">
        <v>1575</v>
      </c>
      <c r="O1727" s="10">
        <v>2.3559999999999999</v>
      </c>
      <c r="P1727" s="10">
        <f t="shared" si="2309"/>
        <v>2.3559999999999999</v>
      </c>
      <c r="Q1727" s="10" t="str">
        <f t="shared" si="2310"/>
        <v>NA</v>
      </c>
      <c r="R1727" s="10" t="s">
        <v>1575</v>
      </c>
      <c r="S1727" s="10" t="s">
        <v>1575</v>
      </c>
      <c r="T1727" s="10" t="s">
        <v>1575</v>
      </c>
      <c r="U1727" s="10" t="s">
        <v>1575</v>
      </c>
      <c r="V1727" s="10">
        <f>(0.451+0.041+0.16+0.044+0.013-0.106-0.124)</f>
        <v>0.47900000000000009</v>
      </c>
      <c r="W1727" s="10" t="s">
        <v>1575</v>
      </c>
      <c r="X1727" s="10" t="str">
        <f t="shared" si="2316"/>
        <v>NA</v>
      </c>
      <c r="Y1727" s="10" t="str">
        <f t="shared" si="2317"/>
        <v>NA</v>
      </c>
      <c r="Z1727" s="10" t="str">
        <f t="shared" si="2318"/>
        <v>NA</v>
      </c>
      <c r="AA1727" s="10">
        <f t="shared" si="2319"/>
        <v>4.9185803757828799</v>
      </c>
      <c r="AB1727" s="10" t="str">
        <f t="shared" si="2320"/>
        <v>NA</v>
      </c>
      <c r="AC1727" s="10" t="str">
        <f t="shared" si="2321"/>
        <v>NA</v>
      </c>
      <c r="AD1727" s="10" t="str">
        <f t="shared" si="2322"/>
        <v>NA</v>
      </c>
      <c r="AE1727" s="10" t="str">
        <f t="shared" si="2323"/>
        <v>NA</v>
      </c>
      <c r="AF1727" s="1" t="s">
        <v>1859</v>
      </c>
    </row>
    <row r="1728" spans="1:32" x14ac:dyDescent="0.2">
      <c r="A1728" s="1" t="s">
        <v>6103</v>
      </c>
      <c r="B1728" s="1" t="s">
        <v>5</v>
      </c>
      <c r="C1728" s="1" t="s">
        <v>1575</v>
      </c>
      <c r="D1728" s="1" t="s">
        <v>1584</v>
      </c>
      <c r="E1728" s="1" t="s">
        <v>1586</v>
      </c>
      <c r="F1728" s="1" t="s">
        <v>66</v>
      </c>
      <c r="G1728" s="4" t="s">
        <v>1575</v>
      </c>
      <c r="H1728" s="28">
        <v>43404</v>
      </c>
      <c r="I1728" s="29">
        <f t="shared" si="2315"/>
        <v>2018</v>
      </c>
      <c r="J1728" s="1" t="s">
        <v>1815</v>
      </c>
      <c r="K1728" s="1" t="s">
        <v>6093</v>
      </c>
      <c r="L1728" s="11" t="str">
        <f t="shared" si="2324"/>
        <v>НЕТ</v>
      </c>
      <c r="M1728" s="10" t="s">
        <v>1575</v>
      </c>
      <c r="N1728" s="10" t="s">
        <v>1575</v>
      </c>
      <c r="O1728" s="10">
        <v>5.242</v>
      </c>
      <c r="P1728" s="10" t="str">
        <f t="shared" si="2309"/>
        <v>NA</v>
      </c>
      <c r="Q1728" s="10" t="str">
        <f t="shared" si="2310"/>
        <v>NA</v>
      </c>
      <c r="R1728" s="10" t="s">
        <v>1575</v>
      </c>
      <c r="S1728" s="10" t="s">
        <v>1575</v>
      </c>
      <c r="T1728" s="10" t="s">
        <v>1575</v>
      </c>
      <c r="U1728" s="10" t="s">
        <v>1575</v>
      </c>
      <c r="V1728" s="10">
        <f>3.406-0.125</f>
        <v>3.2810000000000001</v>
      </c>
      <c r="W1728" s="10" t="s">
        <v>1575</v>
      </c>
      <c r="X1728" s="10" t="str">
        <f t="shared" si="2316"/>
        <v>NA</v>
      </c>
      <c r="Y1728" s="10" t="str">
        <f t="shared" si="2317"/>
        <v>NA</v>
      </c>
      <c r="Z1728" s="10" t="str">
        <f t="shared" si="2318"/>
        <v>NA</v>
      </c>
      <c r="AA1728" s="10" t="str">
        <f t="shared" si="2319"/>
        <v>NA</v>
      </c>
      <c r="AB1728" s="10" t="str">
        <f t="shared" si="2320"/>
        <v>NA</v>
      </c>
      <c r="AC1728" s="10" t="str">
        <f t="shared" si="2321"/>
        <v>NA</v>
      </c>
      <c r="AD1728" s="10" t="str">
        <f t="shared" si="2322"/>
        <v>NA</v>
      </c>
      <c r="AE1728" s="10" t="str">
        <f t="shared" si="2323"/>
        <v>NA</v>
      </c>
      <c r="AF1728" s="1" t="s">
        <v>1860</v>
      </c>
    </row>
    <row r="1729" spans="1:32" x14ac:dyDescent="0.2">
      <c r="A1729" s="1" t="s">
        <v>4732</v>
      </c>
      <c r="B1729" s="1" t="s">
        <v>5</v>
      </c>
      <c r="C1729" s="1" t="s">
        <v>3821</v>
      </c>
      <c r="D1729" s="1" t="s">
        <v>1580</v>
      </c>
      <c r="E1729" s="1" t="s">
        <v>1694</v>
      </c>
      <c r="F1729" s="1" t="s">
        <v>1863</v>
      </c>
      <c r="G1729" s="4">
        <f>55.4%-26.6%</f>
        <v>0.28799999999999992</v>
      </c>
      <c r="H1729" s="28">
        <v>43311</v>
      </c>
      <c r="I1729" s="29">
        <f t="shared" si="2315"/>
        <v>2018</v>
      </c>
      <c r="J1729" s="1" t="s">
        <v>1815</v>
      </c>
      <c r="K1729" s="1" t="s">
        <v>7</v>
      </c>
      <c r="L1729" s="11" t="str">
        <f t="shared" si="2324"/>
        <v>НЕТ</v>
      </c>
      <c r="M1729" s="10" t="s">
        <v>1575</v>
      </c>
      <c r="N1729" s="10" t="s">
        <v>1575</v>
      </c>
      <c r="O1729" s="10">
        <v>6.8730000000000002</v>
      </c>
      <c r="P1729" s="10">
        <f t="shared" si="2309"/>
        <v>23.864583333333339</v>
      </c>
      <c r="Q1729" s="10" t="str">
        <f t="shared" si="2310"/>
        <v>NA</v>
      </c>
      <c r="R1729" s="10" t="s">
        <v>1575</v>
      </c>
      <c r="S1729" s="10" t="s">
        <v>1575</v>
      </c>
      <c r="T1729" s="10" t="s">
        <v>1575</v>
      </c>
      <c r="U1729" s="10">
        <v>-0.60899999999999999</v>
      </c>
      <c r="V1729" s="10">
        <f>(1.401+126.18-128.165)</f>
        <v>-0.58399999999998897</v>
      </c>
      <c r="W1729" s="10" t="s">
        <v>1575</v>
      </c>
      <c r="X1729" s="10" t="str">
        <f t="shared" si="2316"/>
        <v>NA</v>
      </c>
      <c r="Y1729" s="10" t="str">
        <f t="shared" si="2317"/>
        <v>NA</v>
      </c>
      <c r="Z1729" s="10">
        <f t="shared" si="2318"/>
        <v>-39.186507936507944</v>
      </c>
      <c r="AA1729" s="10">
        <f t="shared" si="2319"/>
        <v>-40.864012557078411</v>
      </c>
      <c r="AB1729" s="10" t="str">
        <f t="shared" si="2320"/>
        <v>NA</v>
      </c>
      <c r="AC1729" s="10" t="str">
        <f t="shared" si="2321"/>
        <v>NA</v>
      </c>
      <c r="AD1729" s="10" t="str">
        <f t="shared" si="2322"/>
        <v>NA</v>
      </c>
      <c r="AE1729" s="10" t="str">
        <f t="shared" si="2323"/>
        <v>NA</v>
      </c>
      <c r="AF1729" s="1" t="s">
        <v>1864</v>
      </c>
    </row>
    <row r="1730" spans="1:32" x14ac:dyDescent="0.2">
      <c r="A1730" s="1" t="s">
        <v>6104</v>
      </c>
      <c r="B1730" s="1" t="s">
        <v>5</v>
      </c>
      <c r="C1730" s="1" t="s">
        <v>1575</v>
      </c>
      <c r="D1730" s="1" t="s">
        <v>1584</v>
      </c>
      <c r="E1730" s="1" t="s">
        <v>1586</v>
      </c>
      <c r="F1730" s="1" t="s">
        <v>66</v>
      </c>
      <c r="G1730" s="4" t="s">
        <v>1575</v>
      </c>
      <c r="H1730" s="28">
        <v>43465</v>
      </c>
      <c r="I1730" s="29">
        <f t="shared" si="2315"/>
        <v>2018</v>
      </c>
      <c r="J1730" s="1" t="s">
        <v>1815</v>
      </c>
      <c r="K1730" s="1" t="s">
        <v>6093</v>
      </c>
      <c r="L1730" s="11" t="str">
        <f t="shared" si="2324"/>
        <v>НЕТ</v>
      </c>
      <c r="M1730" s="10" t="s">
        <v>1575</v>
      </c>
      <c r="N1730" s="10" t="s">
        <v>1575</v>
      </c>
      <c r="O1730" s="10">
        <v>1.7110000000000001</v>
      </c>
      <c r="P1730" s="10" t="str">
        <f t="shared" si="2309"/>
        <v>NA</v>
      </c>
      <c r="Q1730" s="10" t="str">
        <f t="shared" si="2310"/>
        <v>NA</v>
      </c>
      <c r="R1730" s="10" t="s">
        <v>1575</v>
      </c>
      <c r="S1730" s="10" t="s">
        <v>1575</v>
      </c>
      <c r="T1730" s="10" t="s">
        <v>1575</v>
      </c>
      <c r="U1730" s="10" t="s">
        <v>1575</v>
      </c>
      <c r="V1730" s="10">
        <v>0.38300000000000001</v>
      </c>
      <c r="W1730" s="10" t="s">
        <v>1575</v>
      </c>
      <c r="X1730" s="10" t="str">
        <f t="shared" si="2316"/>
        <v>NA</v>
      </c>
      <c r="Y1730" s="10" t="str">
        <f t="shared" si="2317"/>
        <v>NA</v>
      </c>
      <c r="Z1730" s="10" t="str">
        <f t="shared" si="2318"/>
        <v>NA</v>
      </c>
      <c r="AA1730" s="10" t="str">
        <f t="shared" si="2319"/>
        <v>NA</v>
      </c>
      <c r="AB1730" s="10" t="str">
        <f t="shared" si="2320"/>
        <v>NA</v>
      </c>
      <c r="AC1730" s="10" t="str">
        <f t="shared" si="2321"/>
        <v>NA</v>
      </c>
      <c r="AD1730" s="10" t="str">
        <f t="shared" si="2322"/>
        <v>NA</v>
      </c>
      <c r="AE1730" s="10" t="str">
        <f t="shared" si="2323"/>
        <v>NA</v>
      </c>
      <c r="AF1730" s="1" t="s">
        <v>1861</v>
      </c>
    </row>
    <row r="1731" spans="1:32" x14ac:dyDescent="0.2">
      <c r="A1731" s="1" t="s">
        <v>6096</v>
      </c>
      <c r="B1731" s="1" t="s">
        <v>5</v>
      </c>
      <c r="C1731" s="1" t="s">
        <v>1853</v>
      </c>
      <c r="D1731" s="1" t="s">
        <v>1813</v>
      </c>
      <c r="E1731" s="1" t="s">
        <v>1819</v>
      </c>
      <c r="F1731" s="1" t="s">
        <v>255</v>
      </c>
      <c r="G1731" s="4">
        <f>18.69%-11.19%</f>
        <v>7.5000000000000011E-2</v>
      </c>
      <c r="H1731" s="28">
        <v>43465</v>
      </c>
      <c r="I1731" s="29">
        <f t="shared" si="2315"/>
        <v>2018</v>
      </c>
      <c r="J1731" s="1" t="s">
        <v>1815</v>
      </c>
      <c r="K1731" s="1" t="s">
        <v>7</v>
      </c>
      <c r="L1731" s="11" t="str">
        <f t="shared" si="2324"/>
        <v>НЕТ</v>
      </c>
      <c r="M1731" s="10" t="s">
        <v>1575</v>
      </c>
      <c r="N1731" s="10" t="s">
        <v>1575</v>
      </c>
      <c r="O1731" s="10">
        <f>0.289+0.575+0.085+0.943+1.158</f>
        <v>3.05</v>
      </c>
      <c r="P1731" s="10">
        <f t="shared" ref="P1731:P1794" si="2325">IFERROR(O1731/G1731,"NA")</f>
        <v>40.666666666666657</v>
      </c>
      <c r="Q1731" s="10" t="str">
        <f t="shared" ref="Q1731:Q1794" si="2326">IFERROR(P1731+W1731,"NA")</f>
        <v>NA</v>
      </c>
      <c r="R1731" s="10">
        <v>37.22</v>
      </c>
      <c r="S1731" s="10">
        <v>-5.3599999999999994</v>
      </c>
      <c r="T1731" s="10">
        <v>-5.8469999999999995</v>
      </c>
      <c r="U1731" s="10">
        <v>-5.6609999999999996</v>
      </c>
      <c r="V1731" s="10" t="s">
        <v>1575</v>
      </c>
      <c r="W1731" s="10" t="s">
        <v>1575</v>
      </c>
      <c r="X1731" s="10" t="str">
        <f t="shared" si="2316"/>
        <v>NA</v>
      </c>
      <c r="Y1731" s="10">
        <f t="shared" si="2317"/>
        <v>1.0926025434354287</v>
      </c>
      <c r="Z1731" s="10">
        <f t="shared" si="2318"/>
        <v>-7.183654242477771</v>
      </c>
      <c r="AA1731" s="10" t="str">
        <f t="shared" si="2319"/>
        <v>NA</v>
      </c>
      <c r="AB1731" s="10" t="str">
        <f t="shared" si="2320"/>
        <v>NA</v>
      </c>
      <c r="AC1731" s="10" t="str">
        <f t="shared" si="2321"/>
        <v>NA</v>
      </c>
      <c r="AD1731" s="10" t="str">
        <f t="shared" si="2322"/>
        <v>NA</v>
      </c>
      <c r="AE1731" s="10" t="str">
        <f t="shared" si="2323"/>
        <v>NA</v>
      </c>
      <c r="AF1731" s="1" t="s">
        <v>1872</v>
      </c>
    </row>
    <row r="1732" spans="1:32" x14ac:dyDescent="0.2">
      <c r="A1732" s="1" t="s">
        <v>6105</v>
      </c>
      <c r="B1732" s="1" t="s">
        <v>5</v>
      </c>
      <c r="C1732" s="1" t="s">
        <v>1575</v>
      </c>
      <c r="D1732" s="1" t="s">
        <v>1595</v>
      </c>
      <c r="E1732" s="1" t="s">
        <v>1596</v>
      </c>
      <c r="F1732" s="1" t="s">
        <v>1973</v>
      </c>
      <c r="G1732" s="4">
        <v>1</v>
      </c>
      <c r="H1732" s="28">
        <v>42947</v>
      </c>
      <c r="I1732" s="29">
        <f t="shared" si="2315"/>
        <v>2017</v>
      </c>
      <c r="J1732" s="1" t="s">
        <v>1815</v>
      </c>
      <c r="K1732" s="1" t="s">
        <v>7</v>
      </c>
      <c r="L1732" s="11" t="str">
        <f t="shared" si="2324"/>
        <v>НЕТ</v>
      </c>
      <c r="M1732" s="10" t="s">
        <v>1575</v>
      </c>
      <c r="N1732" s="10" t="s">
        <v>1575</v>
      </c>
      <c r="O1732" s="10">
        <v>0.29199999999999998</v>
      </c>
      <c r="P1732" s="10">
        <f t="shared" si="2325"/>
        <v>0.29199999999999998</v>
      </c>
      <c r="Q1732" s="10" t="str">
        <f t="shared" si="2326"/>
        <v>NA</v>
      </c>
      <c r="R1732" s="10" t="s">
        <v>1575</v>
      </c>
      <c r="S1732" s="10" t="s">
        <v>1575</v>
      </c>
      <c r="T1732" s="10" t="s">
        <v>1575</v>
      </c>
      <c r="U1732" s="10" t="s">
        <v>1575</v>
      </c>
      <c r="V1732" s="10">
        <f>(0.26+0.021+0.005+0.013-0.015-0.054)</f>
        <v>0.23000000000000004</v>
      </c>
      <c r="W1732" s="10" t="s">
        <v>1575</v>
      </c>
      <c r="X1732" s="10" t="str">
        <f t="shared" si="2316"/>
        <v>NA</v>
      </c>
      <c r="Y1732" s="10" t="str">
        <f t="shared" si="2317"/>
        <v>NA</v>
      </c>
      <c r="Z1732" s="10" t="str">
        <f t="shared" si="2318"/>
        <v>NA</v>
      </c>
      <c r="AA1732" s="10">
        <f t="shared" si="2319"/>
        <v>1.2695652173913041</v>
      </c>
      <c r="AB1732" s="10" t="str">
        <f t="shared" si="2320"/>
        <v>NA</v>
      </c>
      <c r="AC1732" s="10" t="str">
        <f t="shared" si="2321"/>
        <v>NA</v>
      </c>
      <c r="AD1732" s="10" t="str">
        <f t="shared" si="2322"/>
        <v>NA</v>
      </c>
      <c r="AE1732" s="10" t="str">
        <f t="shared" si="2323"/>
        <v>NA</v>
      </c>
      <c r="AF1732" s="1" t="s">
        <v>1865</v>
      </c>
    </row>
    <row r="1733" spans="1:32" x14ac:dyDescent="0.2">
      <c r="A1733" s="1" t="s">
        <v>6106</v>
      </c>
      <c r="B1733" s="1" t="s">
        <v>5</v>
      </c>
      <c r="C1733" s="1" t="s">
        <v>1575</v>
      </c>
      <c r="D1733" s="1" t="s">
        <v>1813</v>
      </c>
      <c r="E1733" s="1" t="s">
        <v>1587</v>
      </c>
      <c r="F1733" s="1" t="s">
        <v>255</v>
      </c>
      <c r="G1733" s="4">
        <v>0.50819999999999999</v>
      </c>
      <c r="H1733" s="28">
        <v>43039</v>
      </c>
      <c r="I1733" s="29">
        <f t="shared" si="2315"/>
        <v>2017</v>
      </c>
      <c r="J1733" s="1" t="s">
        <v>1815</v>
      </c>
      <c r="K1733" s="1" t="s">
        <v>7</v>
      </c>
      <c r="L1733" s="11" t="str">
        <f t="shared" si="2324"/>
        <v>НЕТ</v>
      </c>
      <c r="M1733" s="10" t="s">
        <v>1575</v>
      </c>
      <c r="N1733" s="10" t="s">
        <v>1575</v>
      </c>
      <c r="O1733" s="10">
        <v>0.59</v>
      </c>
      <c r="P1733" s="10">
        <f t="shared" si="2325"/>
        <v>1.1609602518693427</v>
      </c>
      <c r="Q1733" s="10" t="str">
        <f t="shared" si="2326"/>
        <v>NA</v>
      </c>
      <c r="R1733" s="10" t="s">
        <v>1575</v>
      </c>
      <c r="S1733" s="10" t="s">
        <v>1575</v>
      </c>
      <c r="T1733" s="10" t="s">
        <v>1575</v>
      </c>
      <c r="U1733" s="10" t="s">
        <v>1575</v>
      </c>
      <c r="V1733" s="10">
        <f>(0.181+0.42+0.023-0.123-0.402-0.033)</f>
        <v>6.5999999999999975E-2</v>
      </c>
      <c r="W1733" s="10" t="s">
        <v>1575</v>
      </c>
      <c r="X1733" s="10" t="str">
        <f t="shared" si="2316"/>
        <v>NA</v>
      </c>
      <c r="Y1733" s="10" t="str">
        <f t="shared" si="2317"/>
        <v>NA</v>
      </c>
      <c r="Z1733" s="10" t="str">
        <f t="shared" si="2318"/>
        <v>NA</v>
      </c>
      <c r="AA1733" s="10">
        <f t="shared" si="2319"/>
        <v>17.5903068465052</v>
      </c>
      <c r="AB1733" s="10" t="str">
        <f t="shared" si="2320"/>
        <v>NA</v>
      </c>
      <c r="AC1733" s="10" t="str">
        <f t="shared" si="2321"/>
        <v>NA</v>
      </c>
      <c r="AD1733" s="10" t="str">
        <f t="shared" si="2322"/>
        <v>NA</v>
      </c>
      <c r="AE1733" s="10" t="str">
        <f t="shared" si="2323"/>
        <v>NA</v>
      </c>
      <c r="AF1733" s="1" t="s">
        <v>1866</v>
      </c>
    </row>
    <row r="1734" spans="1:32" x14ac:dyDescent="0.2">
      <c r="A1734" s="1" t="s">
        <v>6107</v>
      </c>
      <c r="B1734" s="1" t="s">
        <v>1575</v>
      </c>
      <c r="C1734" s="1" t="s">
        <v>1575</v>
      </c>
      <c r="D1734" s="1" t="s">
        <v>1813</v>
      </c>
      <c r="E1734" s="1" t="s">
        <v>1869</v>
      </c>
      <c r="F1734" s="1" t="s">
        <v>1870</v>
      </c>
      <c r="G1734" s="4">
        <v>1</v>
      </c>
      <c r="H1734" s="28">
        <v>43100</v>
      </c>
      <c r="I1734" s="29">
        <f t="shared" si="2315"/>
        <v>2017</v>
      </c>
      <c r="J1734" s="1" t="s">
        <v>1815</v>
      </c>
      <c r="K1734" s="1" t="s">
        <v>7</v>
      </c>
      <c r="L1734" s="11" t="str">
        <f t="shared" si="2324"/>
        <v>НЕТ</v>
      </c>
      <c r="M1734" s="10" t="s">
        <v>1575</v>
      </c>
      <c r="N1734" s="10" t="s">
        <v>1575</v>
      </c>
      <c r="O1734" s="10">
        <v>0.313</v>
      </c>
      <c r="P1734" s="10">
        <f t="shared" si="2325"/>
        <v>0.313</v>
      </c>
      <c r="Q1734" s="10" t="str">
        <f t="shared" si="2326"/>
        <v>NA</v>
      </c>
      <c r="R1734" s="10" t="s">
        <v>1575</v>
      </c>
      <c r="S1734" s="10" t="s">
        <v>1575</v>
      </c>
      <c r="T1734" s="10" t="s">
        <v>1575</v>
      </c>
      <c r="U1734" s="10" t="s">
        <v>1575</v>
      </c>
      <c r="V1734" s="10">
        <f>(0.132-0.027)</f>
        <v>0.10500000000000001</v>
      </c>
      <c r="W1734" s="10" t="s">
        <v>1575</v>
      </c>
      <c r="X1734" s="10" t="str">
        <f t="shared" si="2316"/>
        <v>NA</v>
      </c>
      <c r="Y1734" s="10" t="str">
        <f t="shared" si="2317"/>
        <v>NA</v>
      </c>
      <c r="Z1734" s="10" t="str">
        <f t="shared" si="2318"/>
        <v>NA</v>
      </c>
      <c r="AA1734" s="10">
        <f t="shared" si="2319"/>
        <v>2.9809523809523806</v>
      </c>
      <c r="AB1734" s="10" t="str">
        <f t="shared" si="2320"/>
        <v>NA</v>
      </c>
      <c r="AC1734" s="10" t="str">
        <f t="shared" si="2321"/>
        <v>NA</v>
      </c>
      <c r="AD1734" s="10" t="str">
        <f t="shared" si="2322"/>
        <v>NA</v>
      </c>
      <c r="AE1734" s="10" t="str">
        <f t="shared" si="2323"/>
        <v>NA</v>
      </c>
      <c r="AF1734" s="1" t="s">
        <v>1867</v>
      </c>
    </row>
    <row r="1735" spans="1:32" x14ac:dyDescent="0.2">
      <c r="A1735" s="1" t="s">
        <v>1871</v>
      </c>
      <c r="B1735" s="1" t="s">
        <v>1575</v>
      </c>
      <c r="C1735" s="1" t="s">
        <v>1575</v>
      </c>
      <c r="D1735" s="1" t="s">
        <v>1580</v>
      </c>
      <c r="E1735" s="1" t="s">
        <v>1694</v>
      </c>
      <c r="F1735" s="1" t="s">
        <v>1863</v>
      </c>
      <c r="G1735" s="4">
        <v>0.47</v>
      </c>
      <c r="H1735" s="28">
        <v>42886</v>
      </c>
      <c r="I1735" s="29">
        <f t="shared" si="2315"/>
        <v>2017</v>
      </c>
      <c r="J1735" s="1" t="s">
        <v>6039</v>
      </c>
      <c r="K1735" s="1" t="s">
        <v>1854</v>
      </c>
      <c r="L1735" s="11" t="str">
        <f t="shared" si="2324"/>
        <v>НЕТ</v>
      </c>
      <c r="M1735" s="10" t="s">
        <v>1575</v>
      </c>
      <c r="N1735" s="10" t="s">
        <v>1575</v>
      </c>
      <c r="O1735" s="10" t="s">
        <v>1575</v>
      </c>
      <c r="P1735" s="10" t="str">
        <f t="shared" si="2325"/>
        <v>NA</v>
      </c>
      <c r="Q1735" s="10" t="str">
        <f t="shared" si="2326"/>
        <v>NA</v>
      </c>
      <c r="R1735" s="10" t="s">
        <v>1575</v>
      </c>
      <c r="S1735" s="10" t="s">
        <v>1575</v>
      </c>
      <c r="T1735" s="10" t="s">
        <v>1575</v>
      </c>
      <c r="U1735" s="10" t="s">
        <v>1575</v>
      </c>
      <c r="V1735" s="10" t="s">
        <v>1575</v>
      </c>
      <c r="W1735" s="10" t="s">
        <v>1575</v>
      </c>
      <c r="X1735" s="10" t="str">
        <f t="shared" si="2316"/>
        <v>NA</v>
      </c>
      <c r="Y1735" s="10" t="str">
        <f t="shared" si="2317"/>
        <v>NA</v>
      </c>
      <c r="Z1735" s="10" t="str">
        <f t="shared" si="2318"/>
        <v>NA</v>
      </c>
      <c r="AA1735" s="10" t="str">
        <f t="shared" si="2319"/>
        <v>NA</v>
      </c>
      <c r="AB1735" s="10" t="str">
        <f t="shared" si="2320"/>
        <v>NA</v>
      </c>
      <c r="AC1735" s="10" t="str">
        <f t="shared" si="2321"/>
        <v>NA</v>
      </c>
      <c r="AD1735" s="10" t="str">
        <f t="shared" si="2322"/>
        <v>NA</v>
      </c>
      <c r="AE1735" s="10" t="str">
        <f t="shared" si="2323"/>
        <v>NA</v>
      </c>
      <c r="AF1735" s="1" t="s">
        <v>1868</v>
      </c>
    </row>
    <row r="1736" spans="1:32" x14ac:dyDescent="0.2">
      <c r="A1736" s="1" t="s">
        <v>6096</v>
      </c>
      <c r="B1736" s="1" t="s">
        <v>5</v>
      </c>
      <c r="C1736" s="1" t="s">
        <v>1853</v>
      </c>
      <c r="D1736" s="1" t="s">
        <v>1813</v>
      </c>
      <c r="E1736" s="1" t="s">
        <v>1819</v>
      </c>
      <c r="F1736" s="1" t="s">
        <v>255</v>
      </c>
      <c r="G1736" s="4">
        <f>11.2%-10.8%</f>
        <v>3.9999999999999758E-3</v>
      </c>
      <c r="H1736" s="28">
        <v>43100</v>
      </c>
      <c r="I1736" s="29">
        <f t="shared" si="2315"/>
        <v>2017</v>
      </c>
      <c r="J1736" s="1" t="s">
        <v>1815</v>
      </c>
      <c r="K1736" s="1" t="s">
        <v>7</v>
      </c>
      <c r="L1736" s="11" t="str">
        <f t="shared" si="2324"/>
        <v>НЕТ</v>
      </c>
      <c r="M1736" s="10" t="s">
        <v>1575</v>
      </c>
      <c r="N1736" s="10" t="s">
        <v>1575</v>
      </c>
      <c r="O1736" s="10">
        <f>0.019+0.028</f>
        <v>4.7E-2</v>
      </c>
      <c r="P1736" s="10">
        <f t="shared" si="2325"/>
        <v>11.750000000000071</v>
      </c>
      <c r="Q1736" s="10" t="str">
        <f t="shared" si="2326"/>
        <v>NA</v>
      </c>
      <c r="R1736" s="10" t="s">
        <v>1575</v>
      </c>
      <c r="S1736" s="10" t="s">
        <v>1575</v>
      </c>
      <c r="T1736" s="10" t="s">
        <v>1575</v>
      </c>
      <c r="U1736" s="10" t="s">
        <v>1575</v>
      </c>
      <c r="V1736" s="10" t="s">
        <v>1575</v>
      </c>
      <c r="W1736" s="10" t="s">
        <v>1575</v>
      </c>
      <c r="X1736" s="10" t="str">
        <f t="shared" si="2316"/>
        <v>NA</v>
      </c>
      <c r="Y1736" s="10" t="str">
        <f t="shared" si="2317"/>
        <v>NA</v>
      </c>
      <c r="Z1736" s="10" t="str">
        <f t="shared" si="2318"/>
        <v>NA</v>
      </c>
      <c r="AA1736" s="10" t="str">
        <f t="shared" si="2319"/>
        <v>NA</v>
      </c>
      <c r="AB1736" s="10" t="str">
        <f t="shared" si="2320"/>
        <v>NA</v>
      </c>
      <c r="AC1736" s="10" t="str">
        <f t="shared" si="2321"/>
        <v>NA</v>
      </c>
      <c r="AD1736" s="10" t="str">
        <f t="shared" si="2322"/>
        <v>NA</v>
      </c>
      <c r="AE1736" s="10" t="str">
        <f t="shared" si="2323"/>
        <v>NA</v>
      </c>
    </row>
    <row r="1737" spans="1:32" x14ac:dyDescent="0.2">
      <c r="A1737" s="1" t="s">
        <v>6085</v>
      </c>
      <c r="B1737" s="1" t="s">
        <v>5</v>
      </c>
      <c r="C1737" s="1" t="s">
        <v>1575</v>
      </c>
      <c r="D1737" s="1" t="s">
        <v>1580</v>
      </c>
      <c r="E1737" s="1" t="s">
        <v>1593</v>
      </c>
      <c r="F1737" s="1" t="s">
        <v>96</v>
      </c>
      <c r="G1737" s="4">
        <v>0.3</v>
      </c>
      <c r="H1737" s="28">
        <v>43008</v>
      </c>
      <c r="I1737" s="29">
        <f t="shared" si="2315"/>
        <v>2017</v>
      </c>
      <c r="J1737" s="1" t="s">
        <v>1815</v>
      </c>
      <c r="K1737" s="1" t="s">
        <v>7</v>
      </c>
      <c r="L1737" s="11" t="str">
        <f t="shared" si="2324"/>
        <v>НЕТ</v>
      </c>
      <c r="M1737" s="10" t="s">
        <v>1575</v>
      </c>
      <c r="N1737" s="10" t="s">
        <v>1575</v>
      </c>
      <c r="O1737" s="10">
        <v>0.35599999999999998</v>
      </c>
      <c r="P1737" s="10">
        <f t="shared" si="2325"/>
        <v>1.1866666666666668</v>
      </c>
      <c r="Q1737" s="10" t="str">
        <f t="shared" si="2326"/>
        <v>NA</v>
      </c>
      <c r="R1737" s="10" t="s">
        <v>1575</v>
      </c>
      <c r="S1737" s="10" t="s">
        <v>1575</v>
      </c>
      <c r="T1737" s="10" t="s">
        <v>1575</v>
      </c>
      <c r="U1737" s="10" t="s">
        <v>1575</v>
      </c>
      <c r="V1737" s="10" t="s">
        <v>1575</v>
      </c>
      <c r="W1737" s="10" t="s">
        <v>1575</v>
      </c>
      <c r="X1737" s="10" t="str">
        <f t="shared" si="2316"/>
        <v>NA</v>
      </c>
      <c r="Y1737" s="10" t="str">
        <f t="shared" si="2317"/>
        <v>NA</v>
      </c>
      <c r="Z1737" s="10" t="str">
        <f t="shared" si="2318"/>
        <v>NA</v>
      </c>
      <c r="AA1737" s="10" t="str">
        <f t="shared" si="2319"/>
        <v>NA</v>
      </c>
      <c r="AB1737" s="10" t="str">
        <f t="shared" si="2320"/>
        <v>NA</v>
      </c>
      <c r="AC1737" s="10" t="str">
        <f t="shared" si="2321"/>
        <v>NA</v>
      </c>
      <c r="AD1737" s="10" t="str">
        <f t="shared" si="2322"/>
        <v>NA</v>
      </c>
      <c r="AE1737" s="10" t="str">
        <f t="shared" si="2323"/>
        <v>NA</v>
      </c>
      <c r="AF1737" s="1" t="s">
        <v>1873</v>
      </c>
    </row>
    <row r="1738" spans="1:32" x14ac:dyDescent="0.2">
      <c r="A1738" s="1" t="s">
        <v>1875</v>
      </c>
      <c r="B1738" s="1" t="s">
        <v>5</v>
      </c>
      <c r="C1738" s="1" t="s">
        <v>1575</v>
      </c>
      <c r="D1738" s="1" t="s">
        <v>1595</v>
      </c>
      <c r="E1738" s="1" t="s">
        <v>1587</v>
      </c>
      <c r="F1738" s="1" t="s">
        <v>244</v>
      </c>
      <c r="G1738" s="4">
        <v>1</v>
      </c>
      <c r="H1738" s="28">
        <v>42643</v>
      </c>
      <c r="I1738" s="29">
        <f t="shared" si="2315"/>
        <v>2016</v>
      </c>
      <c r="J1738" s="1" t="s">
        <v>1815</v>
      </c>
      <c r="K1738" s="1" t="s">
        <v>7</v>
      </c>
      <c r="L1738" s="11" t="str">
        <f t="shared" si="2324"/>
        <v>НЕТ</v>
      </c>
      <c r="M1738" s="10" t="s">
        <v>1575</v>
      </c>
      <c r="N1738" s="10" t="s">
        <v>1575</v>
      </c>
      <c r="O1738" s="10">
        <v>1.2999999999999999E-2</v>
      </c>
      <c r="P1738" s="10">
        <f t="shared" si="2325"/>
        <v>1.2999999999999999E-2</v>
      </c>
      <c r="Q1738" s="10" t="str">
        <f t="shared" si="2326"/>
        <v>NA</v>
      </c>
      <c r="R1738" s="10">
        <v>435.69400000000002</v>
      </c>
      <c r="S1738" s="10" t="s">
        <v>1575</v>
      </c>
      <c r="T1738" s="10" t="s">
        <v>1575</v>
      </c>
      <c r="U1738" s="10">
        <v>48.465000000000003</v>
      </c>
      <c r="V1738" s="10">
        <f>(0.005+0.005+0.323+0.014-0.03-0.069)</f>
        <v>0.24800000000000005</v>
      </c>
      <c r="W1738" s="10" t="s">
        <v>1575</v>
      </c>
      <c r="X1738" s="10" t="str">
        <f t="shared" si="2316"/>
        <v>NA</v>
      </c>
      <c r="Y1738" s="10">
        <f t="shared" si="2317"/>
        <v>2.983745472740042E-5</v>
      </c>
      <c r="Z1738" s="10">
        <f t="shared" si="2318"/>
        <v>2.6823480862478075E-4</v>
      </c>
      <c r="AA1738" s="10">
        <f t="shared" si="2319"/>
        <v>5.2419354838709666E-2</v>
      </c>
      <c r="AB1738" s="10" t="str">
        <f t="shared" si="2320"/>
        <v>NA</v>
      </c>
      <c r="AC1738" s="10" t="str">
        <f t="shared" si="2321"/>
        <v>NA</v>
      </c>
      <c r="AD1738" s="10" t="str">
        <f t="shared" si="2322"/>
        <v>NA</v>
      </c>
      <c r="AE1738" s="10" t="str">
        <f t="shared" si="2323"/>
        <v>NA</v>
      </c>
      <c r="AF1738" s="1" t="s">
        <v>1874</v>
      </c>
    </row>
    <row r="1739" spans="1:32" x14ac:dyDescent="0.2">
      <c r="A1739" s="1" t="s">
        <v>4732</v>
      </c>
      <c r="B1739" s="1" t="s">
        <v>5</v>
      </c>
      <c r="C1739" s="1" t="s">
        <v>3821</v>
      </c>
      <c r="D1739" s="1" t="s">
        <v>1580</v>
      </c>
      <c r="E1739" s="1" t="s">
        <v>1694</v>
      </c>
      <c r="F1739" s="1" t="s">
        <v>1863</v>
      </c>
      <c r="G1739" s="4">
        <f>27%-26.8%</f>
        <v>2.0000000000000018E-3</v>
      </c>
      <c r="H1739" s="28">
        <v>42428</v>
      </c>
      <c r="I1739" s="29">
        <f t="shared" si="2315"/>
        <v>2016</v>
      </c>
      <c r="J1739" s="1" t="s">
        <v>1815</v>
      </c>
      <c r="K1739" s="1" t="s">
        <v>7</v>
      </c>
      <c r="L1739" s="11" t="str">
        <f t="shared" si="2324"/>
        <v>НЕТ</v>
      </c>
      <c r="M1739" s="10" t="s">
        <v>1575</v>
      </c>
      <c r="N1739" s="10" t="s">
        <v>1575</v>
      </c>
      <c r="O1739" s="10">
        <v>1.325</v>
      </c>
      <c r="P1739" s="10">
        <f t="shared" si="2325"/>
        <v>662.49999999999943</v>
      </c>
      <c r="Q1739" s="10" t="str">
        <f t="shared" si="2326"/>
        <v>NA</v>
      </c>
      <c r="R1739" s="10" t="s">
        <v>1575</v>
      </c>
      <c r="S1739" s="10" t="s">
        <v>1575</v>
      </c>
      <c r="T1739" s="10" t="s">
        <v>1575</v>
      </c>
      <c r="U1739" s="10">
        <v>4.4950000000000001</v>
      </c>
      <c r="V1739" s="10" t="s">
        <v>1575</v>
      </c>
      <c r="W1739" s="10" t="s">
        <v>1575</v>
      </c>
      <c r="X1739" s="10" t="str">
        <f t="shared" si="2316"/>
        <v>NA</v>
      </c>
      <c r="Y1739" s="10" t="str">
        <f t="shared" si="2317"/>
        <v>NA</v>
      </c>
      <c r="Z1739" s="10">
        <f t="shared" si="2318"/>
        <v>147.38598442714112</v>
      </c>
      <c r="AA1739" s="10" t="str">
        <f t="shared" si="2319"/>
        <v>NA</v>
      </c>
      <c r="AB1739" s="10" t="str">
        <f t="shared" si="2320"/>
        <v>NA</v>
      </c>
      <c r="AC1739" s="10" t="str">
        <f t="shared" si="2321"/>
        <v>NA</v>
      </c>
      <c r="AD1739" s="10" t="str">
        <f t="shared" si="2322"/>
        <v>NA</v>
      </c>
      <c r="AE1739" s="10" t="str">
        <f t="shared" si="2323"/>
        <v>NA</v>
      </c>
      <c r="AF1739" s="1" t="s">
        <v>1876</v>
      </c>
    </row>
    <row r="1740" spans="1:32" x14ac:dyDescent="0.2">
      <c r="A1740" s="1" t="s">
        <v>4732</v>
      </c>
      <c r="B1740" s="1" t="s">
        <v>5</v>
      </c>
      <c r="C1740" s="1" t="s">
        <v>3821</v>
      </c>
      <c r="D1740" s="1" t="s">
        <v>1580</v>
      </c>
      <c r="E1740" s="1" t="s">
        <v>1694</v>
      </c>
      <c r="F1740" s="1" t="s">
        <v>1863</v>
      </c>
      <c r="G1740" s="4">
        <f>26.8%-26.6%</f>
        <v>2.0000000000000018E-3</v>
      </c>
      <c r="H1740" s="28">
        <v>42704</v>
      </c>
      <c r="I1740" s="29">
        <f t="shared" si="2315"/>
        <v>2016</v>
      </c>
      <c r="J1740" s="1" t="s">
        <v>1815</v>
      </c>
      <c r="K1740" s="1" t="s">
        <v>7</v>
      </c>
      <c r="L1740" s="11" t="str">
        <f t="shared" si="2324"/>
        <v>НЕТ</v>
      </c>
      <c r="M1740" s="10" t="s">
        <v>1575</v>
      </c>
      <c r="N1740" s="10" t="s">
        <v>1575</v>
      </c>
      <c r="O1740" s="10">
        <v>2.7690000000000001</v>
      </c>
      <c r="P1740" s="10">
        <f t="shared" si="2325"/>
        <v>1384.4999999999989</v>
      </c>
      <c r="Q1740" s="10" t="str">
        <f t="shared" si="2326"/>
        <v>NA</v>
      </c>
      <c r="R1740" s="10" t="s">
        <v>1575</v>
      </c>
      <c r="S1740" s="10" t="s">
        <v>1575</v>
      </c>
      <c r="T1740" s="10" t="s">
        <v>1575</v>
      </c>
      <c r="U1740" s="10">
        <v>4.4950000000000001</v>
      </c>
      <c r="V1740" s="10" t="s">
        <v>1575</v>
      </c>
      <c r="W1740" s="10" t="s">
        <v>1575</v>
      </c>
      <c r="X1740" s="10" t="str">
        <f t="shared" si="2316"/>
        <v>NA</v>
      </c>
      <c r="Y1740" s="10" t="str">
        <f t="shared" si="2317"/>
        <v>NA</v>
      </c>
      <c r="Z1740" s="10">
        <f t="shared" si="2318"/>
        <v>308.00889877641799</v>
      </c>
      <c r="AA1740" s="10" t="str">
        <f t="shared" si="2319"/>
        <v>NA</v>
      </c>
      <c r="AB1740" s="10" t="str">
        <f t="shared" si="2320"/>
        <v>NA</v>
      </c>
      <c r="AC1740" s="10" t="str">
        <f t="shared" si="2321"/>
        <v>NA</v>
      </c>
      <c r="AD1740" s="10" t="str">
        <f t="shared" si="2322"/>
        <v>NA</v>
      </c>
      <c r="AE1740" s="10" t="str">
        <f t="shared" si="2323"/>
        <v>NA</v>
      </c>
      <c r="AF1740" s="1" t="s">
        <v>1877</v>
      </c>
    </row>
    <row r="1741" spans="1:32" x14ac:dyDescent="0.2">
      <c r="A1741" s="1" t="s">
        <v>252</v>
      </c>
      <c r="B1741" s="1" t="s">
        <v>254</v>
      </c>
      <c r="C1741" s="1" t="s">
        <v>1575</v>
      </c>
      <c r="D1741" s="1" t="s">
        <v>1595</v>
      </c>
      <c r="E1741" s="1" t="s">
        <v>1596</v>
      </c>
      <c r="F1741" s="1" t="s">
        <v>1973</v>
      </c>
      <c r="G1741" s="4">
        <v>0.50009999999999999</v>
      </c>
      <c r="H1741" s="28">
        <v>42587</v>
      </c>
      <c r="I1741" s="29">
        <f t="shared" si="2315"/>
        <v>2016</v>
      </c>
      <c r="J1741" s="1" t="s">
        <v>253</v>
      </c>
      <c r="K1741" s="1" t="s">
        <v>1815</v>
      </c>
      <c r="L1741" s="11" t="str">
        <f t="shared" si="2324"/>
        <v>НЕТ</v>
      </c>
      <c r="M1741" s="10" t="s">
        <v>1575</v>
      </c>
      <c r="N1741" s="10" t="s">
        <v>1575</v>
      </c>
      <c r="O1741" s="10">
        <f>6.705-2.7</f>
        <v>4.0049999999999999</v>
      </c>
      <c r="P1741" s="10">
        <f t="shared" si="2325"/>
        <v>8.0083983203359335</v>
      </c>
      <c r="Q1741" s="10" t="str">
        <f t="shared" si="2326"/>
        <v>NA</v>
      </c>
      <c r="R1741" s="10">
        <v>5.1150000000000002</v>
      </c>
      <c r="S1741" s="10" t="s">
        <v>1575</v>
      </c>
      <c r="T1741" s="10" t="s">
        <v>1575</v>
      </c>
      <c r="U1741" s="10">
        <v>-1.2949999999999999</v>
      </c>
      <c r="V1741" s="10">
        <f>6.705</f>
        <v>6.7050000000000001</v>
      </c>
      <c r="W1741" s="10" t="s">
        <v>1575</v>
      </c>
      <c r="X1741" s="10" t="str">
        <f t="shared" si="2316"/>
        <v>NA</v>
      </c>
      <c r="Y1741" s="10">
        <f t="shared" si="2317"/>
        <v>1.5656692708379145</v>
      </c>
      <c r="Z1741" s="10">
        <f t="shared" si="2318"/>
        <v>-6.1840913670547755</v>
      </c>
      <c r="AA1741" s="10">
        <f t="shared" si="2319"/>
        <v>1.1943919940844048</v>
      </c>
      <c r="AB1741" s="10" t="str">
        <f t="shared" si="2320"/>
        <v>NA</v>
      </c>
      <c r="AC1741" s="10" t="str">
        <f t="shared" si="2321"/>
        <v>NA</v>
      </c>
      <c r="AD1741" s="10" t="str">
        <f t="shared" si="2322"/>
        <v>NA</v>
      </c>
      <c r="AE1741" s="10" t="str">
        <f t="shared" si="2323"/>
        <v>NA</v>
      </c>
    </row>
    <row r="1742" spans="1:32" x14ac:dyDescent="0.2">
      <c r="A1742" s="1" t="s">
        <v>6108</v>
      </c>
      <c r="B1742" s="1" t="s">
        <v>5</v>
      </c>
      <c r="C1742" s="1" t="s">
        <v>1575</v>
      </c>
      <c r="D1742" s="1" t="s">
        <v>1584</v>
      </c>
      <c r="E1742" s="1" t="s">
        <v>1586</v>
      </c>
      <c r="F1742" s="1" t="s">
        <v>66</v>
      </c>
      <c r="G1742" s="4">
        <v>1</v>
      </c>
      <c r="H1742" s="28">
        <v>42185</v>
      </c>
      <c r="I1742" s="29">
        <f t="shared" si="2315"/>
        <v>2015</v>
      </c>
      <c r="J1742" s="1" t="s">
        <v>6095</v>
      </c>
      <c r="K1742" s="1" t="s">
        <v>1815</v>
      </c>
      <c r="L1742" s="11" t="str">
        <f t="shared" si="2324"/>
        <v>НЕТ</v>
      </c>
      <c r="M1742" s="10" t="s">
        <v>1575</v>
      </c>
      <c r="N1742" s="10" t="s">
        <v>1575</v>
      </c>
      <c r="O1742" s="10">
        <v>8.5</v>
      </c>
      <c r="P1742" s="10">
        <f t="shared" si="2325"/>
        <v>8.5</v>
      </c>
      <c r="Q1742" s="10" t="str">
        <f t="shared" si="2326"/>
        <v>NA</v>
      </c>
      <c r="R1742" s="10" t="s">
        <v>1575</v>
      </c>
      <c r="S1742" s="10" t="s">
        <v>1575</v>
      </c>
      <c r="T1742" s="10" t="s">
        <v>1575</v>
      </c>
      <c r="U1742" s="10" t="s">
        <v>1575</v>
      </c>
      <c r="V1742" s="10">
        <f>2.004-0.227</f>
        <v>1.7769999999999999</v>
      </c>
      <c r="W1742" s="10" t="s">
        <v>1575</v>
      </c>
      <c r="X1742" s="10" t="str">
        <f t="shared" si="2316"/>
        <v>NA</v>
      </c>
      <c r="Y1742" s="10" t="str">
        <f t="shared" si="2317"/>
        <v>NA</v>
      </c>
      <c r="Z1742" s="10" t="str">
        <f t="shared" si="2318"/>
        <v>NA</v>
      </c>
      <c r="AA1742" s="10">
        <f t="shared" si="2319"/>
        <v>4.7833427124366912</v>
      </c>
      <c r="AB1742" s="10" t="str">
        <f t="shared" si="2320"/>
        <v>NA</v>
      </c>
      <c r="AC1742" s="10" t="str">
        <f t="shared" si="2321"/>
        <v>NA</v>
      </c>
      <c r="AD1742" s="10" t="str">
        <f t="shared" si="2322"/>
        <v>NA</v>
      </c>
      <c r="AE1742" s="10" t="str">
        <f t="shared" si="2323"/>
        <v>NA</v>
      </c>
      <c r="AF1742" s="1" t="s">
        <v>1850</v>
      </c>
    </row>
    <row r="1743" spans="1:32" x14ac:dyDescent="0.2">
      <c r="A1743" s="1" t="s">
        <v>6109</v>
      </c>
      <c r="B1743" s="1" t="s">
        <v>5</v>
      </c>
      <c r="C1743" s="1" t="s">
        <v>1575</v>
      </c>
      <c r="D1743" s="1" t="s">
        <v>1813</v>
      </c>
      <c r="E1743" s="1" t="s">
        <v>2096</v>
      </c>
      <c r="F1743" s="1" t="s">
        <v>9202</v>
      </c>
      <c r="G1743" s="4">
        <v>0.55000000000000004</v>
      </c>
      <c r="H1743" s="28">
        <v>42369</v>
      </c>
      <c r="I1743" s="29">
        <f t="shared" si="2315"/>
        <v>2015</v>
      </c>
      <c r="J1743" s="1" t="s">
        <v>1815</v>
      </c>
      <c r="K1743" s="1" t="s">
        <v>7</v>
      </c>
      <c r="L1743" s="11" t="str">
        <f t="shared" si="2324"/>
        <v>НЕТ</v>
      </c>
      <c r="M1743" s="10" t="s">
        <v>1575</v>
      </c>
      <c r="N1743" s="10" t="s">
        <v>1575</v>
      </c>
      <c r="O1743" s="10">
        <f>0.561+1.089</f>
        <v>1.65</v>
      </c>
      <c r="P1743" s="10">
        <f t="shared" si="2325"/>
        <v>2.9999999999999996</v>
      </c>
      <c r="Q1743" s="10" t="str">
        <f t="shared" si="2326"/>
        <v>NA</v>
      </c>
      <c r="R1743" s="10">
        <v>1.28</v>
      </c>
      <c r="S1743" s="10" t="s">
        <v>1575</v>
      </c>
      <c r="T1743" s="10" t="s">
        <v>1575</v>
      </c>
      <c r="U1743" s="10">
        <v>0.22670000000000001</v>
      </c>
      <c r="V1743" s="10">
        <f>1.065-0.341</f>
        <v>0.72399999999999998</v>
      </c>
      <c r="W1743" s="10" t="s">
        <v>1575</v>
      </c>
      <c r="X1743" s="10" t="str">
        <f t="shared" si="2316"/>
        <v>NA</v>
      </c>
      <c r="Y1743" s="10">
        <f t="shared" si="2317"/>
        <v>2.3437499999999996</v>
      </c>
      <c r="Z1743" s="10">
        <f t="shared" si="2318"/>
        <v>13.233348037053371</v>
      </c>
      <c r="AA1743" s="10">
        <f t="shared" si="2319"/>
        <v>4.1436464088397784</v>
      </c>
      <c r="AB1743" s="10" t="str">
        <f t="shared" si="2320"/>
        <v>NA</v>
      </c>
      <c r="AC1743" s="10" t="str">
        <f t="shared" si="2321"/>
        <v>NA</v>
      </c>
      <c r="AD1743" s="10" t="str">
        <f t="shared" si="2322"/>
        <v>NA</v>
      </c>
      <c r="AE1743" s="10" t="str">
        <f t="shared" si="2323"/>
        <v>NA</v>
      </c>
      <c r="AF1743" s="1" t="s">
        <v>1878</v>
      </c>
    </row>
    <row r="1744" spans="1:32" x14ac:dyDescent="0.2">
      <c r="A1744" s="1" t="s">
        <v>256</v>
      </c>
      <c r="B1744" s="1" t="s">
        <v>5</v>
      </c>
      <c r="C1744" s="1" t="s">
        <v>1575</v>
      </c>
      <c r="D1744" s="1" t="s">
        <v>1813</v>
      </c>
      <c r="E1744" s="1" t="s">
        <v>1587</v>
      </c>
      <c r="F1744" s="1" t="s">
        <v>255</v>
      </c>
      <c r="G1744" s="4">
        <v>1</v>
      </c>
      <c r="H1744" s="28">
        <v>42369</v>
      </c>
      <c r="I1744" s="29">
        <f t="shared" si="2315"/>
        <v>2015</v>
      </c>
      <c r="J1744" s="1" t="s">
        <v>1815</v>
      </c>
      <c r="K1744" s="1" t="s">
        <v>6039</v>
      </c>
      <c r="L1744" s="11" t="str">
        <f t="shared" si="2324"/>
        <v>НЕТ</v>
      </c>
      <c r="M1744" s="10" t="s">
        <v>1575</v>
      </c>
      <c r="N1744" s="10" t="s">
        <v>1575</v>
      </c>
      <c r="O1744" s="10">
        <v>11.212999999999999</v>
      </c>
      <c r="P1744" s="10">
        <f t="shared" si="2325"/>
        <v>11.212999999999999</v>
      </c>
      <c r="Q1744" s="10" t="str">
        <f t="shared" si="2326"/>
        <v>NA</v>
      </c>
      <c r="R1744" s="10" t="s">
        <v>1575</v>
      </c>
      <c r="S1744" s="10" t="s">
        <v>1575</v>
      </c>
      <c r="T1744" s="10" t="s">
        <v>1575</v>
      </c>
      <c r="U1744" s="10" t="s">
        <v>1575</v>
      </c>
      <c r="V1744" s="10">
        <f>0.959+12.861-12.977</f>
        <v>0.84299999999999997</v>
      </c>
      <c r="W1744" s="10" t="s">
        <v>1575</v>
      </c>
      <c r="X1744" s="10" t="str">
        <f t="shared" si="2316"/>
        <v>NA</v>
      </c>
      <c r="Y1744" s="10" t="str">
        <f t="shared" si="2317"/>
        <v>NA</v>
      </c>
      <c r="Z1744" s="10" t="str">
        <f t="shared" si="2318"/>
        <v>NA</v>
      </c>
      <c r="AA1744" s="10">
        <f t="shared" si="2319"/>
        <v>13.301304863582443</v>
      </c>
      <c r="AB1744" s="10" t="str">
        <f t="shared" si="2320"/>
        <v>NA</v>
      </c>
      <c r="AC1744" s="10" t="str">
        <f t="shared" si="2321"/>
        <v>NA</v>
      </c>
      <c r="AD1744" s="10" t="str">
        <f t="shared" si="2322"/>
        <v>NA</v>
      </c>
      <c r="AE1744" s="10" t="str">
        <f t="shared" si="2323"/>
        <v>NA</v>
      </c>
      <c r="AF1744" s="1" t="s">
        <v>257</v>
      </c>
    </row>
    <row r="1745" spans="1:32" x14ac:dyDescent="0.2">
      <c r="A1745" s="1" t="s">
        <v>258</v>
      </c>
      <c r="B1745" s="1" t="s">
        <v>5</v>
      </c>
      <c r="C1745" s="1" t="s">
        <v>1575</v>
      </c>
      <c r="D1745" s="1" t="s">
        <v>1595</v>
      </c>
      <c r="E1745" s="1" t="s">
        <v>1812</v>
      </c>
      <c r="F1745" s="1" t="s">
        <v>244</v>
      </c>
      <c r="G1745" s="4">
        <v>0.89500000000000002</v>
      </c>
      <c r="H1745" s="28">
        <v>42035</v>
      </c>
      <c r="I1745" s="29">
        <f t="shared" ref="I1745:I1808" si="2327">YEAR(H1745)</f>
        <v>2015</v>
      </c>
      <c r="J1745" s="1" t="s">
        <v>1815</v>
      </c>
      <c r="K1745" s="1" t="s">
        <v>6039</v>
      </c>
      <c r="L1745" s="11" t="str">
        <f t="shared" si="2324"/>
        <v>НЕТ</v>
      </c>
      <c r="M1745" s="10" t="s">
        <v>1575</v>
      </c>
      <c r="N1745" s="10" t="s">
        <v>1575</v>
      </c>
      <c r="O1745" s="10">
        <v>4.3999999999999997E-2</v>
      </c>
      <c r="P1745" s="10">
        <f t="shared" si="2325"/>
        <v>4.9162011173184354E-2</v>
      </c>
      <c r="Q1745" s="10" t="str">
        <f t="shared" si="2326"/>
        <v>NA</v>
      </c>
      <c r="R1745" s="10" t="s">
        <v>1575</v>
      </c>
      <c r="S1745" s="10" t="s">
        <v>1575</v>
      </c>
      <c r="T1745" s="10" t="s">
        <v>1575</v>
      </c>
      <c r="U1745" s="10" t="s">
        <v>1575</v>
      </c>
      <c r="V1745" s="10">
        <f>0.221+0.589-1.36</f>
        <v>-0.55000000000000016</v>
      </c>
      <c r="W1745" s="10" t="s">
        <v>1575</v>
      </c>
      <c r="X1745" s="10" t="str">
        <f t="shared" si="2316"/>
        <v>NA</v>
      </c>
      <c r="Y1745" s="10" t="str">
        <f t="shared" si="2317"/>
        <v>NA</v>
      </c>
      <c r="Z1745" s="10" t="str">
        <f t="shared" si="2318"/>
        <v>NA</v>
      </c>
      <c r="AA1745" s="10">
        <f t="shared" si="2319"/>
        <v>-8.9385474860335171E-2</v>
      </c>
      <c r="AB1745" s="10" t="str">
        <f t="shared" si="2320"/>
        <v>NA</v>
      </c>
      <c r="AC1745" s="10" t="str">
        <f t="shared" si="2321"/>
        <v>NA</v>
      </c>
      <c r="AD1745" s="10" t="str">
        <f t="shared" si="2322"/>
        <v>NA</v>
      </c>
      <c r="AE1745" s="10" t="str">
        <f t="shared" si="2323"/>
        <v>NA</v>
      </c>
      <c r="AF1745" s="1" t="s">
        <v>259</v>
      </c>
    </row>
    <row r="1746" spans="1:32" x14ac:dyDescent="0.2">
      <c r="A1746" s="1" t="s">
        <v>6110</v>
      </c>
      <c r="B1746" s="1" t="s">
        <v>1575</v>
      </c>
      <c r="C1746" s="1" t="s">
        <v>1575</v>
      </c>
      <c r="D1746" s="1" t="s">
        <v>1595</v>
      </c>
      <c r="E1746" s="1" t="s">
        <v>1587</v>
      </c>
      <c r="F1746" s="1" t="s">
        <v>244</v>
      </c>
      <c r="G1746" s="4">
        <v>0.47299999999999998</v>
      </c>
      <c r="H1746" s="28">
        <v>42035</v>
      </c>
      <c r="I1746" s="29">
        <f t="shared" si="2327"/>
        <v>2015</v>
      </c>
      <c r="J1746" s="1" t="s">
        <v>6039</v>
      </c>
      <c r="K1746" s="1" t="s">
        <v>1815</v>
      </c>
      <c r="L1746" s="11" t="str">
        <f t="shared" si="2324"/>
        <v>НЕТ</v>
      </c>
      <c r="M1746" s="10" t="s">
        <v>1575</v>
      </c>
      <c r="N1746" s="10" t="s">
        <v>1575</v>
      </c>
      <c r="O1746" s="10">
        <v>0.34399999999999997</v>
      </c>
      <c r="P1746" s="10">
        <f t="shared" si="2325"/>
        <v>0.72727272727272729</v>
      </c>
      <c r="Q1746" s="10" t="str">
        <f t="shared" si="2326"/>
        <v>NA</v>
      </c>
      <c r="R1746" s="10">
        <v>0.19800000000000001</v>
      </c>
      <c r="S1746" s="10" t="s">
        <v>1575</v>
      </c>
      <c r="T1746" s="10" t="s">
        <v>1575</v>
      </c>
      <c r="U1746" s="10">
        <v>-0.17</v>
      </c>
      <c r="V1746" s="10">
        <f>0.695-0.523</f>
        <v>0.17199999999999993</v>
      </c>
      <c r="W1746" s="10" t="s">
        <v>1575</v>
      </c>
      <c r="X1746" s="10" t="str">
        <f t="shared" si="2316"/>
        <v>NA</v>
      </c>
      <c r="Y1746" s="10">
        <f t="shared" si="2317"/>
        <v>3.6730945821854912</v>
      </c>
      <c r="Z1746" s="10">
        <f t="shared" si="2318"/>
        <v>-4.2780748663101607</v>
      </c>
      <c r="AA1746" s="10">
        <f t="shared" si="2319"/>
        <v>4.2283298097251603</v>
      </c>
      <c r="AB1746" s="10" t="str">
        <f t="shared" si="2320"/>
        <v>NA</v>
      </c>
      <c r="AC1746" s="10" t="str">
        <f t="shared" si="2321"/>
        <v>NA</v>
      </c>
      <c r="AD1746" s="10" t="str">
        <f t="shared" si="2322"/>
        <v>NA</v>
      </c>
      <c r="AE1746" s="10" t="str">
        <f t="shared" si="2323"/>
        <v>NA</v>
      </c>
      <c r="AF1746" s="1" t="s">
        <v>1879</v>
      </c>
    </row>
    <row r="1747" spans="1:32" x14ac:dyDescent="0.2">
      <c r="A1747" s="1" t="s">
        <v>6096</v>
      </c>
      <c r="B1747" s="1" t="s">
        <v>5</v>
      </c>
      <c r="C1747" s="1" t="s">
        <v>1853</v>
      </c>
      <c r="D1747" s="1" t="s">
        <v>1813</v>
      </c>
      <c r="E1747" s="1" t="s">
        <v>1819</v>
      </c>
      <c r="F1747" s="1" t="s">
        <v>255</v>
      </c>
      <c r="G1747" s="4">
        <v>0.1082</v>
      </c>
      <c r="H1747" s="28">
        <v>41759</v>
      </c>
      <c r="I1747" s="29">
        <f t="shared" si="2327"/>
        <v>2014</v>
      </c>
      <c r="J1747" s="1" t="s">
        <v>1815</v>
      </c>
      <c r="K1747" s="1" t="s">
        <v>7</v>
      </c>
      <c r="L1747" s="11" t="str">
        <f t="shared" si="2324"/>
        <v>НЕТ</v>
      </c>
      <c r="M1747" s="10">
        <v>75</v>
      </c>
      <c r="N1747" s="10" t="s">
        <v>1575</v>
      </c>
      <c r="O1747" s="10">
        <v>2.702</v>
      </c>
      <c r="P1747" s="10">
        <f t="shared" si="2325"/>
        <v>24.972273567467653</v>
      </c>
      <c r="Q1747" s="10" t="str">
        <f t="shared" si="2326"/>
        <v>NA</v>
      </c>
      <c r="R1747" s="10">
        <v>11.097</v>
      </c>
      <c r="S1747" s="10" t="s">
        <v>1575</v>
      </c>
      <c r="T1747" s="10" t="s">
        <v>1575</v>
      </c>
      <c r="U1747" s="10">
        <v>-2.4940000000000002</v>
      </c>
      <c r="V1747" s="10">
        <f>10.85-4.017</f>
        <v>6.8329999999999993</v>
      </c>
      <c r="W1747" s="10" t="s">
        <v>1575</v>
      </c>
      <c r="X1747" s="10" t="str">
        <f t="shared" si="2316"/>
        <v>NA</v>
      </c>
      <c r="Y1747" s="10">
        <f t="shared" si="2317"/>
        <v>2.2503625815506583</v>
      </c>
      <c r="Z1747" s="10">
        <f t="shared" si="2318"/>
        <v>-10.012940484149018</v>
      </c>
      <c r="AA1747" s="10">
        <f t="shared" si="2319"/>
        <v>3.6546573346213456</v>
      </c>
      <c r="AB1747" s="10" t="str">
        <f t="shared" si="2320"/>
        <v>NA</v>
      </c>
      <c r="AC1747" s="10" t="str">
        <f t="shared" si="2321"/>
        <v>NA</v>
      </c>
      <c r="AD1747" s="10" t="str">
        <f t="shared" si="2322"/>
        <v>NA</v>
      </c>
      <c r="AE1747" s="10" t="str">
        <f t="shared" si="2323"/>
        <v>NA</v>
      </c>
      <c r="AF1747" s="1" t="s">
        <v>1882</v>
      </c>
    </row>
    <row r="1748" spans="1:32" x14ac:dyDescent="0.2">
      <c r="A1748" s="1" t="s">
        <v>260</v>
      </c>
      <c r="B1748" s="1" t="s">
        <v>5</v>
      </c>
      <c r="C1748" s="1" t="s">
        <v>1575</v>
      </c>
      <c r="D1748" s="1" t="s">
        <v>1595</v>
      </c>
      <c r="E1748" s="1" t="s">
        <v>1596</v>
      </c>
      <c r="F1748" s="1" t="s">
        <v>1973</v>
      </c>
      <c r="G1748" s="4">
        <v>1</v>
      </c>
      <c r="H1748" s="28">
        <v>42004</v>
      </c>
      <c r="I1748" s="29">
        <f t="shared" si="2327"/>
        <v>2014</v>
      </c>
      <c r="J1748" s="1" t="s">
        <v>1815</v>
      </c>
      <c r="K1748" s="1" t="s">
        <v>7</v>
      </c>
      <c r="L1748" s="11" t="str">
        <f t="shared" si="2324"/>
        <v>НЕТ</v>
      </c>
      <c r="M1748" s="10" t="s">
        <v>1575</v>
      </c>
      <c r="N1748" s="10" t="s">
        <v>1575</v>
      </c>
      <c r="O1748" s="10">
        <v>0.42699999999999999</v>
      </c>
      <c r="P1748" s="10">
        <f t="shared" si="2325"/>
        <v>0.42699999999999999</v>
      </c>
      <c r="Q1748" s="10" t="str">
        <f t="shared" si="2326"/>
        <v>NA</v>
      </c>
      <c r="R1748" s="10" t="s">
        <v>1575</v>
      </c>
      <c r="S1748" s="10" t="s">
        <v>1575</v>
      </c>
      <c r="T1748" s="10" t="s">
        <v>1575</v>
      </c>
      <c r="U1748" s="10" t="s">
        <v>1575</v>
      </c>
      <c r="V1748" s="10">
        <f>(0.007+0.466+0.101+0.019-0.086-0.078-0.002)</f>
        <v>0.4270000000000001</v>
      </c>
      <c r="W1748" s="10" t="s">
        <v>1575</v>
      </c>
      <c r="X1748" s="10" t="str">
        <f t="shared" si="2316"/>
        <v>NA</v>
      </c>
      <c r="Y1748" s="10" t="str">
        <f t="shared" si="2317"/>
        <v>NA</v>
      </c>
      <c r="Z1748" s="10" t="str">
        <f t="shared" si="2318"/>
        <v>NA</v>
      </c>
      <c r="AA1748" s="10">
        <f t="shared" si="2319"/>
        <v>0.99999999999999978</v>
      </c>
      <c r="AB1748" s="10" t="str">
        <f t="shared" si="2320"/>
        <v>NA</v>
      </c>
      <c r="AC1748" s="10" t="str">
        <f t="shared" si="2321"/>
        <v>NA</v>
      </c>
      <c r="AD1748" s="10" t="str">
        <f t="shared" si="2322"/>
        <v>NA</v>
      </c>
      <c r="AE1748" s="10" t="str">
        <f t="shared" si="2323"/>
        <v>NA</v>
      </c>
    </row>
    <row r="1749" spans="1:32" x14ac:dyDescent="0.2">
      <c r="A1749" s="1" t="s">
        <v>261</v>
      </c>
      <c r="B1749" s="1" t="s">
        <v>5</v>
      </c>
      <c r="C1749" s="1" t="s">
        <v>1575</v>
      </c>
      <c r="D1749" s="1" t="s">
        <v>1595</v>
      </c>
      <c r="E1749" s="1" t="s">
        <v>1596</v>
      </c>
      <c r="F1749" s="1" t="s">
        <v>1973</v>
      </c>
      <c r="G1749" s="4">
        <v>1</v>
      </c>
      <c r="H1749" s="28">
        <v>42004</v>
      </c>
      <c r="I1749" s="29">
        <f t="shared" si="2327"/>
        <v>2014</v>
      </c>
      <c r="J1749" s="1" t="s">
        <v>1815</v>
      </c>
      <c r="K1749" s="1" t="s">
        <v>7</v>
      </c>
      <c r="L1749" s="11" t="str">
        <f t="shared" si="2324"/>
        <v>НЕТ</v>
      </c>
      <c r="M1749" s="10" t="s">
        <v>1575</v>
      </c>
      <c r="N1749" s="10" t="s">
        <v>1575</v>
      </c>
      <c r="O1749" s="10">
        <v>0.39800000000000002</v>
      </c>
      <c r="P1749" s="10">
        <f t="shared" si="2325"/>
        <v>0.39800000000000002</v>
      </c>
      <c r="Q1749" s="10" t="str">
        <f t="shared" si="2326"/>
        <v>NA</v>
      </c>
      <c r="R1749" s="10" t="s">
        <v>1575</v>
      </c>
      <c r="S1749" s="10" t="s">
        <v>1575</v>
      </c>
      <c r="T1749" s="10" t="s">
        <v>1575</v>
      </c>
      <c r="U1749" s="10" t="s">
        <v>1575</v>
      </c>
      <c r="V1749" s="10">
        <f>(0.007+0.621+0.114+0.008-0.269-0.081-0.002)</f>
        <v>0.39799999999999996</v>
      </c>
      <c r="W1749" s="10" t="s">
        <v>1575</v>
      </c>
      <c r="X1749" s="10" t="str">
        <f t="shared" si="2316"/>
        <v>NA</v>
      </c>
      <c r="Y1749" s="10" t="str">
        <f t="shared" si="2317"/>
        <v>NA</v>
      </c>
      <c r="Z1749" s="10" t="str">
        <f t="shared" si="2318"/>
        <v>NA</v>
      </c>
      <c r="AA1749" s="10">
        <f t="shared" si="2319"/>
        <v>1.0000000000000002</v>
      </c>
      <c r="AB1749" s="10" t="str">
        <f t="shared" si="2320"/>
        <v>NA</v>
      </c>
      <c r="AC1749" s="10" t="str">
        <f t="shared" si="2321"/>
        <v>NA</v>
      </c>
      <c r="AD1749" s="10" t="str">
        <f t="shared" si="2322"/>
        <v>NA</v>
      </c>
      <c r="AE1749" s="10" t="str">
        <f t="shared" si="2323"/>
        <v>NA</v>
      </c>
    </row>
    <row r="1750" spans="1:32" x14ac:dyDescent="0.2">
      <c r="A1750" s="1" t="s">
        <v>262</v>
      </c>
      <c r="B1750" s="1" t="s">
        <v>5</v>
      </c>
      <c r="C1750" s="1" t="s">
        <v>1575</v>
      </c>
      <c r="D1750" s="1" t="s">
        <v>1595</v>
      </c>
      <c r="E1750" s="1" t="s">
        <v>1596</v>
      </c>
      <c r="F1750" s="1" t="s">
        <v>1973</v>
      </c>
      <c r="G1750" s="4">
        <v>1</v>
      </c>
      <c r="H1750" s="28">
        <v>42004</v>
      </c>
      <c r="I1750" s="29">
        <f t="shared" si="2327"/>
        <v>2014</v>
      </c>
      <c r="J1750" s="1" t="s">
        <v>1815</v>
      </c>
      <c r="K1750" s="1" t="s">
        <v>7</v>
      </c>
      <c r="L1750" s="11" t="str">
        <f t="shared" si="2324"/>
        <v>НЕТ</v>
      </c>
      <c r="M1750" s="10" t="s">
        <v>1575</v>
      </c>
      <c r="N1750" s="10" t="s">
        <v>1575</v>
      </c>
      <c r="O1750" s="10">
        <v>1.9430000000000001</v>
      </c>
      <c r="P1750" s="10">
        <f t="shared" si="2325"/>
        <v>1.9430000000000001</v>
      </c>
      <c r="Q1750" s="10" t="str">
        <f t="shared" si="2326"/>
        <v>NA</v>
      </c>
      <c r="R1750" s="10" t="s">
        <v>1575</v>
      </c>
      <c r="S1750" s="10" t="s">
        <v>1575</v>
      </c>
      <c r="T1750" s="10" t="s">
        <v>1575</v>
      </c>
      <c r="U1750" s="10" t="s">
        <v>1575</v>
      </c>
      <c r="V1750" s="10">
        <f>(0.162+0.484+0.164+1.406+0.165+0.098-0.325-0.115-0.096)</f>
        <v>1.9429999999999996</v>
      </c>
      <c r="W1750" s="10" t="s">
        <v>1575</v>
      </c>
      <c r="X1750" s="10" t="str">
        <f t="shared" si="2316"/>
        <v>NA</v>
      </c>
      <c r="Y1750" s="10" t="str">
        <f t="shared" si="2317"/>
        <v>NA</v>
      </c>
      <c r="Z1750" s="10" t="str">
        <f t="shared" si="2318"/>
        <v>NA</v>
      </c>
      <c r="AA1750" s="10">
        <f t="shared" si="2319"/>
        <v>1.0000000000000002</v>
      </c>
      <c r="AB1750" s="10" t="str">
        <f t="shared" si="2320"/>
        <v>NA</v>
      </c>
      <c r="AC1750" s="10" t="str">
        <f t="shared" si="2321"/>
        <v>NA</v>
      </c>
      <c r="AD1750" s="10" t="str">
        <f t="shared" si="2322"/>
        <v>NA</v>
      </c>
      <c r="AE1750" s="10" t="str">
        <f t="shared" si="2323"/>
        <v>NA</v>
      </c>
    </row>
    <row r="1751" spans="1:32" x14ac:dyDescent="0.2">
      <c r="A1751" s="1" t="s">
        <v>4732</v>
      </c>
      <c r="B1751" s="1" t="s">
        <v>5</v>
      </c>
      <c r="C1751" s="1" t="s">
        <v>3821</v>
      </c>
      <c r="D1751" s="1" t="s">
        <v>1580</v>
      </c>
      <c r="E1751" s="1" t="s">
        <v>1694</v>
      </c>
      <c r="F1751" s="1" t="s">
        <v>1863</v>
      </c>
      <c r="G1751" s="4">
        <f>27%-25.1%</f>
        <v>1.9000000000000017E-2</v>
      </c>
      <c r="H1751" s="28">
        <v>42004</v>
      </c>
      <c r="I1751" s="29">
        <f t="shared" si="2327"/>
        <v>2014</v>
      </c>
      <c r="J1751" s="1" t="s">
        <v>1815</v>
      </c>
      <c r="K1751" s="1" t="s">
        <v>7</v>
      </c>
      <c r="L1751" s="11" t="str">
        <f t="shared" si="2324"/>
        <v>НЕТ</v>
      </c>
      <c r="M1751" s="10" t="s">
        <v>1575</v>
      </c>
      <c r="N1751" s="10" t="s">
        <v>1575</v>
      </c>
      <c r="O1751" s="10">
        <v>3.6389999999999998</v>
      </c>
      <c r="P1751" s="10">
        <f t="shared" si="2325"/>
        <v>191.5263157894735</v>
      </c>
      <c r="Q1751" s="10" t="str">
        <f t="shared" si="2326"/>
        <v>NA</v>
      </c>
      <c r="R1751" s="10" t="s">
        <v>1575</v>
      </c>
      <c r="S1751" s="10" t="s">
        <v>1575</v>
      </c>
      <c r="T1751" s="10">
        <v>-1.036</v>
      </c>
      <c r="U1751" s="10">
        <v>-0.86799999999999999</v>
      </c>
      <c r="V1751" s="10">
        <f>224.446-201.077</f>
        <v>23.369</v>
      </c>
      <c r="W1751" s="10" t="s">
        <v>1575</v>
      </c>
      <c r="X1751" s="10" t="str">
        <f t="shared" si="2316"/>
        <v>NA</v>
      </c>
      <c r="Y1751" s="10" t="str">
        <f t="shared" si="2317"/>
        <v>NA</v>
      </c>
      <c r="Z1751" s="10">
        <f t="shared" si="2318"/>
        <v>-220.65243754547637</v>
      </c>
      <c r="AA1751" s="10">
        <f t="shared" si="2319"/>
        <v>8.1957428982615212</v>
      </c>
      <c r="AB1751" s="10" t="str">
        <f t="shared" si="2320"/>
        <v>NA</v>
      </c>
      <c r="AC1751" s="10" t="str">
        <f t="shared" si="2321"/>
        <v>NA</v>
      </c>
      <c r="AD1751" s="10" t="str">
        <f t="shared" si="2322"/>
        <v>NA</v>
      </c>
      <c r="AE1751" s="10" t="str">
        <f t="shared" si="2323"/>
        <v>NA</v>
      </c>
      <c r="AF1751" s="1" t="s">
        <v>1881</v>
      </c>
    </row>
    <row r="1752" spans="1:32" x14ac:dyDescent="0.2">
      <c r="A1752" s="1" t="s">
        <v>4732</v>
      </c>
      <c r="B1752" s="1" t="s">
        <v>5</v>
      </c>
      <c r="C1752" s="1" t="s">
        <v>3821</v>
      </c>
      <c r="D1752" s="1" t="s">
        <v>1580</v>
      </c>
      <c r="E1752" s="1" t="s">
        <v>1694</v>
      </c>
      <c r="F1752" s="1" t="s">
        <v>1863</v>
      </c>
      <c r="G1752" s="4">
        <v>0.251</v>
      </c>
      <c r="H1752" s="28">
        <v>41394</v>
      </c>
      <c r="I1752" s="29">
        <f t="shared" si="2327"/>
        <v>2013</v>
      </c>
      <c r="J1752" s="1" t="s">
        <v>1815</v>
      </c>
      <c r="K1752" s="1" t="s">
        <v>7</v>
      </c>
      <c r="L1752" s="11" t="str">
        <f t="shared" si="2324"/>
        <v>НЕТ</v>
      </c>
      <c r="M1752" s="10" t="s">
        <v>1575</v>
      </c>
      <c r="N1752" s="10" t="s">
        <v>1575</v>
      </c>
      <c r="O1752" s="10">
        <v>5.0890000000000004</v>
      </c>
      <c r="P1752" s="10">
        <f t="shared" si="2325"/>
        <v>20.274900398406377</v>
      </c>
      <c r="Q1752" s="10" t="str">
        <f t="shared" si="2326"/>
        <v>NA</v>
      </c>
      <c r="R1752" s="10" t="s">
        <v>1575</v>
      </c>
      <c r="S1752" s="10" t="s">
        <v>1575</v>
      </c>
      <c r="T1752" s="10">
        <v>-1.036</v>
      </c>
      <c r="U1752" s="10">
        <v>-0.86799999999999999</v>
      </c>
      <c r="V1752" s="10">
        <f>224.446-201.077</f>
        <v>23.369</v>
      </c>
      <c r="W1752" s="10" t="s">
        <v>1575</v>
      </c>
      <c r="X1752" s="10" t="str">
        <f t="shared" si="2316"/>
        <v>NA</v>
      </c>
      <c r="Y1752" s="10" t="str">
        <f t="shared" si="2317"/>
        <v>NA</v>
      </c>
      <c r="Z1752" s="10">
        <f t="shared" si="2318"/>
        <v>-23.358180182495826</v>
      </c>
      <c r="AA1752" s="10">
        <f t="shared" si="2319"/>
        <v>0.86759811709557011</v>
      </c>
      <c r="AB1752" s="10" t="str">
        <f t="shared" si="2320"/>
        <v>NA</v>
      </c>
      <c r="AC1752" s="10" t="str">
        <f t="shared" si="2321"/>
        <v>NA</v>
      </c>
      <c r="AD1752" s="10" t="str">
        <f t="shared" si="2322"/>
        <v>NA</v>
      </c>
      <c r="AE1752" s="10" t="str">
        <f t="shared" si="2323"/>
        <v>NA</v>
      </c>
      <c r="AF1752" s="1" t="s">
        <v>1881</v>
      </c>
    </row>
    <row r="1753" spans="1:32" x14ac:dyDescent="0.2">
      <c r="A1753" s="1" t="s">
        <v>263</v>
      </c>
      <c r="B1753" s="1" t="s">
        <v>5</v>
      </c>
      <c r="C1753" s="1" t="s">
        <v>1575</v>
      </c>
      <c r="D1753" s="1" t="s">
        <v>1595</v>
      </c>
      <c r="E1753" s="1" t="s">
        <v>1810</v>
      </c>
      <c r="F1753" s="1" t="s">
        <v>1974</v>
      </c>
      <c r="G1753" s="4">
        <v>1</v>
      </c>
      <c r="H1753" s="28">
        <v>41151</v>
      </c>
      <c r="I1753" s="29">
        <f t="shared" si="2327"/>
        <v>2012</v>
      </c>
      <c r="J1753" s="1" t="s">
        <v>1815</v>
      </c>
      <c r="K1753" s="1" t="s">
        <v>7</v>
      </c>
      <c r="L1753" s="11" t="str">
        <f t="shared" si="2324"/>
        <v>НЕТ</v>
      </c>
      <c r="M1753" s="10" t="s">
        <v>1575</v>
      </c>
      <c r="N1753" s="10" t="s">
        <v>1575</v>
      </c>
      <c r="O1753" s="10">
        <v>0.191</v>
      </c>
      <c r="P1753" s="10">
        <f t="shared" si="2325"/>
        <v>0.191</v>
      </c>
      <c r="Q1753" s="10" t="str">
        <f t="shared" si="2326"/>
        <v>NA</v>
      </c>
      <c r="R1753" s="10" t="s">
        <v>1575</v>
      </c>
      <c r="S1753" s="10" t="s">
        <v>1575</v>
      </c>
      <c r="T1753" s="10" t="s">
        <v>1575</v>
      </c>
      <c r="U1753" s="10" t="s">
        <v>1575</v>
      </c>
      <c r="V1753" s="10">
        <f>0.006+0.049+0.172+0.045-0.044-0.009-0.028</f>
        <v>0.19099999999999998</v>
      </c>
      <c r="W1753" s="10" t="s">
        <v>1575</v>
      </c>
      <c r="X1753" s="10" t="str">
        <f t="shared" si="2316"/>
        <v>NA</v>
      </c>
      <c r="Y1753" s="10" t="str">
        <f t="shared" si="2317"/>
        <v>NA</v>
      </c>
      <c r="Z1753" s="10" t="str">
        <f t="shared" si="2318"/>
        <v>NA</v>
      </c>
      <c r="AA1753" s="10">
        <f t="shared" si="2319"/>
        <v>1.0000000000000002</v>
      </c>
      <c r="AB1753" s="10" t="str">
        <f t="shared" si="2320"/>
        <v>NA</v>
      </c>
      <c r="AC1753" s="10" t="str">
        <f t="shared" si="2321"/>
        <v>NA</v>
      </c>
      <c r="AD1753" s="10" t="str">
        <f t="shared" si="2322"/>
        <v>NA</v>
      </c>
      <c r="AE1753" s="10" t="str">
        <f t="shared" si="2323"/>
        <v>NA</v>
      </c>
      <c r="AF1753" s="1" t="s">
        <v>264</v>
      </c>
    </row>
    <row r="1754" spans="1:32" x14ac:dyDescent="0.2">
      <c r="A1754" s="1" t="s">
        <v>265</v>
      </c>
      <c r="B1754" s="1" t="s">
        <v>5</v>
      </c>
      <c r="C1754" s="1" t="s">
        <v>1575</v>
      </c>
      <c r="D1754" s="1" t="s">
        <v>1595</v>
      </c>
      <c r="E1754" s="1" t="s">
        <v>1810</v>
      </c>
      <c r="F1754" s="1" t="s">
        <v>1974</v>
      </c>
      <c r="G1754" s="4">
        <v>1</v>
      </c>
      <c r="H1754" s="28">
        <v>41151</v>
      </c>
      <c r="I1754" s="29">
        <f t="shared" si="2327"/>
        <v>2012</v>
      </c>
      <c r="J1754" s="1" t="s">
        <v>1815</v>
      </c>
      <c r="K1754" s="1" t="s">
        <v>7</v>
      </c>
      <c r="L1754" s="11" t="str">
        <f t="shared" si="2324"/>
        <v>НЕТ</v>
      </c>
      <c r="M1754" s="10" t="s">
        <v>1575</v>
      </c>
      <c r="N1754" s="10" t="s">
        <v>1575</v>
      </c>
      <c r="O1754" s="10">
        <v>0.08</v>
      </c>
      <c r="P1754" s="10">
        <f t="shared" si="2325"/>
        <v>0.08</v>
      </c>
      <c r="Q1754" s="10" t="str">
        <f t="shared" si="2326"/>
        <v>NA</v>
      </c>
      <c r="R1754" s="10" t="s">
        <v>1575</v>
      </c>
      <c r="S1754" s="10" t="s">
        <v>1575</v>
      </c>
      <c r="T1754" s="10" t="s">
        <v>1575</v>
      </c>
      <c r="U1754" s="10" t="s">
        <v>1575</v>
      </c>
      <c r="V1754" s="10">
        <f>0.009+0.011+0.062+0.029-0.015-0.006-0.01</f>
        <v>7.9999999999999988E-2</v>
      </c>
      <c r="W1754" s="10" t="s">
        <v>1575</v>
      </c>
      <c r="X1754" s="10" t="str">
        <f t="shared" si="2316"/>
        <v>NA</v>
      </c>
      <c r="Y1754" s="10" t="str">
        <f t="shared" si="2317"/>
        <v>NA</v>
      </c>
      <c r="Z1754" s="10" t="str">
        <f t="shared" si="2318"/>
        <v>NA</v>
      </c>
      <c r="AA1754" s="10">
        <f t="shared" si="2319"/>
        <v>1.0000000000000002</v>
      </c>
      <c r="AB1754" s="10" t="str">
        <f t="shared" si="2320"/>
        <v>NA</v>
      </c>
      <c r="AC1754" s="10" t="str">
        <f t="shared" si="2321"/>
        <v>NA</v>
      </c>
      <c r="AD1754" s="10" t="str">
        <f t="shared" si="2322"/>
        <v>NA</v>
      </c>
      <c r="AE1754" s="10" t="str">
        <f t="shared" si="2323"/>
        <v>NA</v>
      </c>
      <c r="AF1754" s="1" t="s">
        <v>266</v>
      </c>
    </row>
    <row r="1755" spans="1:32" x14ac:dyDescent="0.2">
      <c r="A1755" s="1" t="s">
        <v>267</v>
      </c>
      <c r="B1755" s="1" t="s">
        <v>5</v>
      </c>
      <c r="C1755" s="1" t="s">
        <v>1575</v>
      </c>
      <c r="D1755" s="1" t="s">
        <v>1595</v>
      </c>
      <c r="E1755" s="1" t="s">
        <v>1810</v>
      </c>
      <c r="F1755" s="1" t="s">
        <v>1974</v>
      </c>
      <c r="G1755" s="4">
        <v>1</v>
      </c>
      <c r="H1755" s="28">
        <v>41213</v>
      </c>
      <c r="I1755" s="29">
        <f t="shared" si="2327"/>
        <v>2012</v>
      </c>
      <c r="J1755" s="1" t="s">
        <v>1815</v>
      </c>
      <c r="K1755" s="1" t="s">
        <v>7</v>
      </c>
      <c r="L1755" s="11" t="str">
        <f t="shared" si="2324"/>
        <v>НЕТ</v>
      </c>
      <c r="M1755" s="10" t="s">
        <v>1575</v>
      </c>
      <c r="N1755" s="10" t="s">
        <v>1575</v>
      </c>
      <c r="O1755" s="10">
        <v>0.14699999999999999</v>
      </c>
      <c r="P1755" s="10">
        <f t="shared" si="2325"/>
        <v>0.14699999999999999</v>
      </c>
      <c r="Q1755" s="10" t="str">
        <f t="shared" si="2326"/>
        <v>NA</v>
      </c>
      <c r="R1755" s="10" t="s">
        <v>1575</v>
      </c>
      <c r="S1755" s="10" t="s">
        <v>1575</v>
      </c>
      <c r="T1755" s="10" t="s">
        <v>1575</v>
      </c>
      <c r="U1755" s="10" t="s">
        <v>1575</v>
      </c>
      <c r="V1755" s="10">
        <f>0.004+0.003+0.115+0.054-0.013-0.011-0.005</f>
        <v>0.14699999999999999</v>
      </c>
      <c r="W1755" s="10" t="s">
        <v>1575</v>
      </c>
      <c r="X1755" s="10" t="str">
        <f t="shared" si="2316"/>
        <v>NA</v>
      </c>
      <c r="Y1755" s="10" t="str">
        <f t="shared" si="2317"/>
        <v>NA</v>
      </c>
      <c r="Z1755" s="10" t="str">
        <f t="shared" si="2318"/>
        <v>NA</v>
      </c>
      <c r="AA1755" s="10">
        <f t="shared" si="2319"/>
        <v>1</v>
      </c>
      <c r="AB1755" s="10" t="str">
        <f t="shared" si="2320"/>
        <v>NA</v>
      </c>
      <c r="AC1755" s="10" t="str">
        <f t="shared" si="2321"/>
        <v>NA</v>
      </c>
      <c r="AD1755" s="10" t="str">
        <f t="shared" si="2322"/>
        <v>NA</v>
      </c>
      <c r="AE1755" s="10" t="str">
        <f t="shared" si="2323"/>
        <v>NA</v>
      </c>
      <c r="AF1755" s="1" t="s">
        <v>264</v>
      </c>
    </row>
    <row r="1756" spans="1:32" x14ac:dyDescent="0.2">
      <c r="A1756" s="1" t="s">
        <v>268</v>
      </c>
      <c r="B1756" s="1" t="s">
        <v>5</v>
      </c>
      <c r="C1756" s="1" t="s">
        <v>1575</v>
      </c>
      <c r="D1756" s="1" t="s">
        <v>1595</v>
      </c>
      <c r="E1756" s="1" t="s">
        <v>1810</v>
      </c>
      <c r="F1756" s="1" t="s">
        <v>1974</v>
      </c>
      <c r="G1756" s="4">
        <v>1</v>
      </c>
      <c r="H1756" s="28">
        <v>41213</v>
      </c>
      <c r="I1756" s="29">
        <f t="shared" si="2327"/>
        <v>2012</v>
      </c>
      <c r="J1756" s="1" t="s">
        <v>1815</v>
      </c>
      <c r="K1756" s="1" t="s">
        <v>7</v>
      </c>
      <c r="L1756" s="11" t="str">
        <f t="shared" si="2324"/>
        <v>НЕТ</v>
      </c>
      <c r="M1756" s="10" t="s">
        <v>1575</v>
      </c>
      <c r="N1756" s="10" t="s">
        <v>1575</v>
      </c>
      <c r="O1756" s="10">
        <v>9.0999999999999998E-2</v>
      </c>
      <c r="P1756" s="10">
        <f t="shared" si="2325"/>
        <v>9.0999999999999998E-2</v>
      </c>
      <c r="Q1756" s="10" t="str">
        <f t="shared" si="2326"/>
        <v>NA</v>
      </c>
      <c r="R1756" s="10" t="s">
        <v>1575</v>
      </c>
      <c r="S1756" s="10" t="s">
        <v>1575</v>
      </c>
      <c r="T1756" s="10" t="s">
        <v>1575</v>
      </c>
      <c r="U1756" s="10" t="s">
        <v>1575</v>
      </c>
      <c r="V1756" s="10">
        <f>0.003+0.021+0.055+0.022-0.006-0.004</f>
        <v>9.0999999999999998E-2</v>
      </c>
      <c r="W1756" s="10" t="s">
        <v>1575</v>
      </c>
      <c r="X1756" s="10" t="str">
        <f t="shared" si="2316"/>
        <v>NA</v>
      </c>
      <c r="Y1756" s="10" t="str">
        <f t="shared" si="2317"/>
        <v>NA</v>
      </c>
      <c r="Z1756" s="10" t="str">
        <f t="shared" si="2318"/>
        <v>NA</v>
      </c>
      <c r="AA1756" s="10">
        <f t="shared" si="2319"/>
        <v>1</v>
      </c>
      <c r="AB1756" s="10" t="str">
        <f t="shared" si="2320"/>
        <v>NA</v>
      </c>
      <c r="AC1756" s="10" t="str">
        <f t="shared" si="2321"/>
        <v>NA</v>
      </c>
      <c r="AD1756" s="10" t="str">
        <f t="shared" si="2322"/>
        <v>NA</v>
      </c>
      <c r="AE1756" s="10" t="str">
        <f t="shared" si="2323"/>
        <v>NA</v>
      </c>
      <c r="AF1756" s="1" t="s">
        <v>264</v>
      </c>
    </row>
    <row r="1757" spans="1:32" x14ac:dyDescent="0.2">
      <c r="A1757" s="1" t="s">
        <v>6074</v>
      </c>
      <c r="B1757" s="1" t="s">
        <v>5</v>
      </c>
      <c r="C1757" s="1" t="s">
        <v>1575</v>
      </c>
      <c r="D1757" s="1" t="s">
        <v>1595</v>
      </c>
      <c r="E1757" s="1" t="s">
        <v>1810</v>
      </c>
      <c r="F1757" s="1" t="s">
        <v>1974</v>
      </c>
      <c r="G1757" s="4">
        <v>1</v>
      </c>
      <c r="H1757" s="28">
        <v>41060</v>
      </c>
      <c r="I1757" s="29">
        <f t="shared" si="2327"/>
        <v>2012</v>
      </c>
      <c r="J1757" s="1" t="s">
        <v>1815</v>
      </c>
      <c r="K1757" s="1" t="s">
        <v>7</v>
      </c>
      <c r="L1757" s="11" t="str">
        <f t="shared" si="2324"/>
        <v>НЕТ</v>
      </c>
      <c r="M1757" s="10" t="s">
        <v>1575</v>
      </c>
      <c r="N1757" s="10" t="s">
        <v>1575</v>
      </c>
      <c r="O1757" s="10">
        <v>1.4370000000000001</v>
      </c>
      <c r="P1757" s="10">
        <f t="shared" si="2325"/>
        <v>1.4370000000000001</v>
      </c>
      <c r="Q1757" s="10" t="str">
        <f t="shared" si="2326"/>
        <v>NA</v>
      </c>
      <c r="R1757" s="10" t="s">
        <v>1575</v>
      </c>
      <c r="S1757" s="10" t="s">
        <v>1575</v>
      </c>
      <c r="T1757" s="10" t="s">
        <v>1575</v>
      </c>
      <c r="U1757" s="10" t="s">
        <v>1575</v>
      </c>
      <c r="V1757" s="10">
        <f>0.489+0.586+1.083+0.168+0.188-0.8-0.107-0.17</f>
        <v>1.4370000000000003</v>
      </c>
      <c r="W1757" s="10" t="s">
        <v>1575</v>
      </c>
      <c r="X1757" s="10" t="str">
        <f t="shared" si="2316"/>
        <v>NA</v>
      </c>
      <c r="Y1757" s="10" t="str">
        <f t="shared" si="2317"/>
        <v>NA</v>
      </c>
      <c r="Z1757" s="10" t="str">
        <f t="shared" si="2318"/>
        <v>NA</v>
      </c>
      <c r="AA1757" s="10">
        <f t="shared" si="2319"/>
        <v>0.99999999999999989</v>
      </c>
      <c r="AB1757" s="10" t="str">
        <f t="shared" si="2320"/>
        <v>NA</v>
      </c>
      <c r="AC1757" s="10" t="str">
        <f t="shared" si="2321"/>
        <v>NA</v>
      </c>
      <c r="AD1757" s="10" t="str">
        <f t="shared" si="2322"/>
        <v>NA</v>
      </c>
      <c r="AE1757" s="10" t="str">
        <f t="shared" si="2323"/>
        <v>NA</v>
      </c>
      <c r="AF1757" s="1" t="s">
        <v>1880</v>
      </c>
    </row>
    <row r="1758" spans="1:32" x14ac:dyDescent="0.2">
      <c r="A1758" s="1" t="s">
        <v>269</v>
      </c>
      <c r="B1758" s="1" t="s">
        <v>5</v>
      </c>
      <c r="C1758" s="1" t="s">
        <v>1811</v>
      </c>
      <c r="D1758" s="1" t="s">
        <v>1595</v>
      </c>
      <c r="E1758" s="1" t="s">
        <v>1810</v>
      </c>
      <c r="F1758" s="1" t="s">
        <v>1974</v>
      </c>
      <c r="G1758" s="4">
        <v>0.28999999999999998</v>
      </c>
      <c r="H1758" s="28">
        <v>40908</v>
      </c>
      <c r="I1758" s="29">
        <f t="shared" si="2327"/>
        <v>2011</v>
      </c>
      <c r="J1758" s="1" t="s">
        <v>1815</v>
      </c>
      <c r="K1758" s="1" t="s">
        <v>6039</v>
      </c>
      <c r="L1758" s="11" t="str">
        <f t="shared" si="2324"/>
        <v>НЕТ</v>
      </c>
      <c r="M1758" s="10" t="s">
        <v>1575</v>
      </c>
      <c r="N1758" s="10" t="s">
        <v>1575</v>
      </c>
      <c r="O1758" s="10">
        <v>10.56</v>
      </c>
      <c r="P1758" s="10">
        <f t="shared" si="2325"/>
        <v>36.413793103448278</v>
      </c>
      <c r="Q1758" s="10" t="str">
        <f t="shared" si="2326"/>
        <v>NA</v>
      </c>
      <c r="R1758" s="10" t="s">
        <v>1575</v>
      </c>
      <c r="S1758" s="10" t="s">
        <v>1575</v>
      </c>
      <c r="T1758" s="10" t="s">
        <v>1575</v>
      </c>
      <c r="U1758" s="10" t="s">
        <v>1575</v>
      </c>
      <c r="V1758" s="10" t="s">
        <v>1575</v>
      </c>
      <c r="W1758" s="10" t="s">
        <v>1575</v>
      </c>
      <c r="X1758" s="10" t="str">
        <f t="shared" si="2316"/>
        <v>NA</v>
      </c>
      <c r="Y1758" s="10" t="str">
        <f t="shared" si="2317"/>
        <v>NA</v>
      </c>
      <c r="Z1758" s="10" t="str">
        <f t="shared" si="2318"/>
        <v>NA</v>
      </c>
      <c r="AA1758" s="10" t="str">
        <f t="shared" si="2319"/>
        <v>NA</v>
      </c>
      <c r="AB1758" s="10" t="str">
        <f t="shared" si="2320"/>
        <v>NA</v>
      </c>
      <c r="AC1758" s="10" t="str">
        <f t="shared" si="2321"/>
        <v>NA</v>
      </c>
      <c r="AD1758" s="10" t="str">
        <f t="shared" si="2322"/>
        <v>NA</v>
      </c>
      <c r="AE1758" s="10" t="str">
        <f t="shared" si="2323"/>
        <v>NA</v>
      </c>
      <c r="AF1758" s="1" t="s">
        <v>270</v>
      </c>
    </row>
    <row r="1759" spans="1:32" x14ac:dyDescent="0.2">
      <c r="A1759" s="1" t="s">
        <v>271</v>
      </c>
      <c r="B1759" s="1" t="s">
        <v>5</v>
      </c>
      <c r="C1759" s="1" t="s">
        <v>1575</v>
      </c>
      <c r="D1759" s="1" t="s">
        <v>1595</v>
      </c>
      <c r="E1759" s="1" t="s">
        <v>1810</v>
      </c>
      <c r="F1759" s="1" t="s">
        <v>1974</v>
      </c>
      <c r="G1759" s="4">
        <v>1</v>
      </c>
      <c r="H1759" s="28">
        <v>40663</v>
      </c>
      <c r="I1759" s="29">
        <f t="shared" si="2327"/>
        <v>2011</v>
      </c>
      <c r="J1759" s="1" t="s">
        <v>1815</v>
      </c>
      <c r="K1759" s="1" t="s">
        <v>7</v>
      </c>
      <c r="L1759" s="11" t="str">
        <f t="shared" si="2324"/>
        <v>НЕТ</v>
      </c>
      <c r="M1759" s="10">
        <v>19.2</v>
      </c>
      <c r="N1759" s="10" t="s">
        <v>1575</v>
      </c>
      <c r="O1759" s="10">
        <f>M1759*27.5022/1000</f>
        <v>0.52804224</v>
      </c>
      <c r="P1759" s="10">
        <f t="shared" si="2325"/>
        <v>0.52804224</v>
      </c>
      <c r="Q1759" s="10" t="str">
        <f t="shared" si="2326"/>
        <v>NA</v>
      </c>
      <c r="R1759" s="10" t="s">
        <v>1575</v>
      </c>
      <c r="S1759" s="10" t="s">
        <v>1575</v>
      </c>
      <c r="T1759" s="10" t="s">
        <v>1575</v>
      </c>
      <c r="U1759" s="10" t="s">
        <v>1575</v>
      </c>
      <c r="V1759" s="10">
        <f>0.025+0.307+0.303+0.063+0.001-0.128-0.025</f>
        <v>0.54599999999999993</v>
      </c>
      <c r="W1759" s="10" t="s">
        <v>1575</v>
      </c>
      <c r="X1759" s="10" t="str">
        <f t="shared" si="2316"/>
        <v>NA</v>
      </c>
      <c r="Y1759" s="10" t="str">
        <f t="shared" si="2317"/>
        <v>NA</v>
      </c>
      <c r="Z1759" s="10" t="str">
        <f t="shared" si="2318"/>
        <v>NA</v>
      </c>
      <c r="AA1759" s="10">
        <f t="shared" si="2319"/>
        <v>0.96711032967032984</v>
      </c>
      <c r="AB1759" s="10" t="str">
        <f t="shared" si="2320"/>
        <v>NA</v>
      </c>
      <c r="AC1759" s="10" t="str">
        <f t="shared" si="2321"/>
        <v>NA</v>
      </c>
      <c r="AD1759" s="10" t="str">
        <f t="shared" si="2322"/>
        <v>NA</v>
      </c>
      <c r="AE1759" s="10" t="str">
        <f t="shared" si="2323"/>
        <v>NA</v>
      </c>
      <c r="AF1759" s="1" t="s">
        <v>272</v>
      </c>
    </row>
    <row r="1760" spans="1:32" x14ac:dyDescent="0.2">
      <c r="A1760" s="1" t="s">
        <v>273</v>
      </c>
      <c r="B1760" s="1" t="s">
        <v>5</v>
      </c>
      <c r="C1760" s="1" t="s">
        <v>1575</v>
      </c>
      <c r="D1760" s="1" t="s">
        <v>1595</v>
      </c>
      <c r="E1760" s="1" t="s">
        <v>1810</v>
      </c>
      <c r="F1760" s="1" t="s">
        <v>1974</v>
      </c>
      <c r="G1760" s="4">
        <v>1</v>
      </c>
      <c r="H1760" s="28">
        <v>40663</v>
      </c>
      <c r="I1760" s="29">
        <f t="shared" si="2327"/>
        <v>2011</v>
      </c>
      <c r="J1760" s="1" t="s">
        <v>1815</v>
      </c>
      <c r="K1760" s="1" t="s">
        <v>7</v>
      </c>
      <c r="L1760" s="11" t="str">
        <f t="shared" si="2324"/>
        <v>НЕТ</v>
      </c>
      <c r="M1760" s="10">
        <v>15.436999999999999</v>
      </c>
      <c r="N1760" s="10" t="s">
        <v>1575</v>
      </c>
      <c r="O1760" s="10">
        <f>M1760*27.5022/1000</f>
        <v>0.42455146139999994</v>
      </c>
      <c r="P1760" s="10">
        <f t="shared" si="2325"/>
        <v>0.42455146139999994</v>
      </c>
      <c r="Q1760" s="10" t="str">
        <f t="shared" si="2326"/>
        <v>NA</v>
      </c>
      <c r="R1760" s="10" t="s">
        <v>1575</v>
      </c>
      <c r="S1760" s="10" t="s">
        <v>1575</v>
      </c>
      <c r="T1760" s="10" t="s">
        <v>1575</v>
      </c>
      <c r="U1760" s="10" t="s">
        <v>1575</v>
      </c>
      <c r="V1760" s="10">
        <f>0.08+0.072+0.411+0.135-0.239-0.028</f>
        <v>0.43099999999999994</v>
      </c>
      <c r="W1760" s="10" t="s">
        <v>1575</v>
      </c>
      <c r="X1760" s="10" t="str">
        <f t="shared" si="2316"/>
        <v>NA</v>
      </c>
      <c r="Y1760" s="10" t="str">
        <f t="shared" si="2317"/>
        <v>NA</v>
      </c>
      <c r="Z1760" s="10" t="str">
        <f t="shared" si="2318"/>
        <v>NA</v>
      </c>
      <c r="AA1760" s="10">
        <f t="shared" si="2319"/>
        <v>0.98503819350348032</v>
      </c>
      <c r="AB1760" s="10" t="str">
        <f t="shared" si="2320"/>
        <v>NA</v>
      </c>
      <c r="AC1760" s="10" t="str">
        <f t="shared" si="2321"/>
        <v>NA</v>
      </c>
      <c r="AD1760" s="10" t="str">
        <f t="shared" si="2322"/>
        <v>NA</v>
      </c>
      <c r="AE1760" s="10" t="str">
        <f t="shared" si="2323"/>
        <v>NA</v>
      </c>
      <c r="AF1760" s="1" t="s">
        <v>274</v>
      </c>
    </row>
    <row r="1761" spans="1:32" x14ac:dyDescent="0.2">
      <c r="A1761" s="1" t="s">
        <v>275</v>
      </c>
      <c r="B1761" s="1" t="s">
        <v>5</v>
      </c>
      <c r="C1761" s="1" t="s">
        <v>1575</v>
      </c>
      <c r="D1761" s="1" t="s">
        <v>1595</v>
      </c>
      <c r="E1761" s="1" t="s">
        <v>1810</v>
      </c>
      <c r="F1761" s="1" t="s">
        <v>1974</v>
      </c>
      <c r="G1761" s="4">
        <v>1</v>
      </c>
      <c r="H1761" s="28">
        <v>40786</v>
      </c>
      <c r="I1761" s="29">
        <f t="shared" si="2327"/>
        <v>2011</v>
      </c>
      <c r="J1761" s="1" t="s">
        <v>1815</v>
      </c>
      <c r="K1761" s="1" t="s">
        <v>7</v>
      </c>
      <c r="L1761" s="11" t="str">
        <f t="shared" si="2324"/>
        <v>НЕТ</v>
      </c>
      <c r="M1761" s="10">
        <v>25.59</v>
      </c>
      <c r="N1761" s="10" t="s">
        <v>1575</v>
      </c>
      <c r="O1761" s="10">
        <f>M1761*28.8569/1000</f>
        <v>0.73844807099999998</v>
      </c>
      <c r="P1761" s="10">
        <f t="shared" si="2325"/>
        <v>0.73844807099999998</v>
      </c>
      <c r="Q1761" s="10" t="str">
        <f t="shared" si="2326"/>
        <v>NA</v>
      </c>
      <c r="R1761" s="10" t="s">
        <v>1575</v>
      </c>
      <c r="S1761" s="10" t="s">
        <v>1575</v>
      </c>
      <c r="T1761" s="10" t="s">
        <v>1575</v>
      </c>
      <c r="U1761" s="10" t="s">
        <v>1575</v>
      </c>
      <c r="V1761" s="10">
        <f>0.094+0.109+0.372+0.381+0.047-0.162-0.092</f>
        <v>0.74899999999999989</v>
      </c>
      <c r="W1761" s="10" t="s">
        <v>1575</v>
      </c>
      <c r="X1761" s="10" t="str">
        <f t="shared" ref="X1761:X1824" si="2328">IFERROR(V1761+W1761,"NA")</f>
        <v>NA</v>
      </c>
      <c r="Y1761" s="10" t="str">
        <f t="shared" ref="Y1761:Y1824" si="2329">IFERROR(P1761/R1761,"NA")</f>
        <v>NA</v>
      </c>
      <c r="Z1761" s="10" t="str">
        <f t="shared" ref="Z1761:Z1824" si="2330">IFERROR(P1761/U1761,"NA")</f>
        <v>NA</v>
      </c>
      <c r="AA1761" s="10">
        <f t="shared" ref="AA1761:AA1824" si="2331">IFERROR(P1761/V1761,"NA")</f>
        <v>0.9859119773030709</v>
      </c>
      <c r="AB1761" s="10" t="str">
        <f t="shared" ref="AB1761:AB1824" si="2332">IFERROR(Q1761/R1761,"NA")</f>
        <v>NA</v>
      </c>
      <c r="AC1761" s="10" t="str">
        <f t="shared" ref="AC1761:AC1824" si="2333">IFERROR(Q1761/S1761,"NA")</f>
        <v>NA</v>
      </c>
      <c r="AD1761" s="10" t="str">
        <f t="shared" ref="AD1761:AD1824" si="2334">IFERROR(Q1761/T1761,"NA")</f>
        <v>NA</v>
      </c>
      <c r="AE1761" s="10" t="str">
        <f t="shared" ref="AE1761:AE1824" si="2335">IFERROR(Q1761/X1761,"NA")</f>
        <v>NA</v>
      </c>
      <c r="AF1761" s="1" t="s">
        <v>264</v>
      </c>
    </row>
    <row r="1762" spans="1:32" x14ac:dyDescent="0.2">
      <c r="A1762" s="1" t="s">
        <v>276</v>
      </c>
      <c r="B1762" s="1" t="s">
        <v>5</v>
      </c>
      <c r="C1762" s="1" t="s">
        <v>1575</v>
      </c>
      <c r="D1762" s="1" t="s">
        <v>1595</v>
      </c>
      <c r="E1762" s="1" t="s">
        <v>1810</v>
      </c>
      <c r="F1762" s="1" t="s">
        <v>1974</v>
      </c>
      <c r="G1762" s="4">
        <v>1</v>
      </c>
      <c r="H1762" s="28">
        <v>40847</v>
      </c>
      <c r="I1762" s="29">
        <f t="shared" si="2327"/>
        <v>2011</v>
      </c>
      <c r="J1762" s="1" t="s">
        <v>1815</v>
      </c>
      <c r="K1762" s="1" t="s">
        <v>7</v>
      </c>
      <c r="L1762" s="11" t="str">
        <f t="shared" si="2324"/>
        <v>НЕТ</v>
      </c>
      <c r="M1762" s="10">
        <v>162.54300000000001</v>
      </c>
      <c r="N1762" s="10" t="s">
        <v>1575</v>
      </c>
      <c r="O1762" s="10">
        <f>M1762*29.8977/1000</f>
        <v>4.8596618511000003</v>
      </c>
      <c r="P1762" s="10">
        <f t="shared" si="2325"/>
        <v>4.8596618511000003</v>
      </c>
      <c r="Q1762" s="10" t="str">
        <f t="shared" si="2326"/>
        <v>NA</v>
      </c>
      <c r="R1762" s="10" t="s">
        <v>1575</v>
      </c>
      <c r="S1762" s="10" t="s">
        <v>1575</v>
      </c>
      <c r="T1762" s="10" t="s">
        <v>1575</v>
      </c>
      <c r="U1762" s="10" t="s">
        <v>1575</v>
      </c>
      <c r="V1762" s="10">
        <f>0.237+2.136+3.509+0.23+0.059-0.799-0.299</f>
        <v>5.0729999999999995</v>
      </c>
      <c r="W1762" s="10" t="s">
        <v>1575</v>
      </c>
      <c r="X1762" s="10" t="str">
        <f t="shared" si="2328"/>
        <v>NA</v>
      </c>
      <c r="Y1762" s="10" t="str">
        <f t="shared" si="2329"/>
        <v>NA</v>
      </c>
      <c r="Z1762" s="10" t="str">
        <f t="shared" si="2330"/>
        <v>NA</v>
      </c>
      <c r="AA1762" s="10">
        <f t="shared" si="2331"/>
        <v>0.95794635345949153</v>
      </c>
      <c r="AB1762" s="10" t="str">
        <f t="shared" si="2332"/>
        <v>NA</v>
      </c>
      <c r="AC1762" s="10" t="str">
        <f t="shared" si="2333"/>
        <v>NA</v>
      </c>
      <c r="AD1762" s="10" t="str">
        <f t="shared" si="2334"/>
        <v>NA</v>
      </c>
      <c r="AE1762" s="10" t="str">
        <f t="shared" si="2335"/>
        <v>NA</v>
      </c>
      <c r="AF1762" s="1" t="s">
        <v>266</v>
      </c>
    </row>
    <row r="1763" spans="1:32" x14ac:dyDescent="0.2">
      <c r="A1763" s="1" t="s">
        <v>277</v>
      </c>
      <c r="B1763" s="1" t="s">
        <v>5</v>
      </c>
      <c r="C1763" s="1" t="s">
        <v>1575</v>
      </c>
      <c r="D1763" s="1" t="s">
        <v>1595</v>
      </c>
      <c r="E1763" s="1" t="s">
        <v>1810</v>
      </c>
      <c r="F1763" s="1" t="s">
        <v>1974</v>
      </c>
      <c r="G1763" s="4">
        <v>1</v>
      </c>
      <c r="H1763" s="28">
        <v>40237</v>
      </c>
      <c r="I1763" s="29">
        <f t="shared" si="2327"/>
        <v>2010</v>
      </c>
      <c r="J1763" s="1" t="s">
        <v>1815</v>
      </c>
      <c r="K1763" s="1" t="s">
        <v>7</v>
      </c>
      <c r="L1763" s="11" t="str">
        <f t="shared" si="2324"/>
        <v>НЕТ</v>
      </c>
      <c r="M1763" s="10">
        <v>6.2460000000000004</v>
      </c>
      <c r="N1763" s="10" t="s">
        <v>1575</v>
      </c>
      <c r="O1763" s="10">
        <f>M1763*29.9484/1000</f>
        <v>0.1870577064</v>
      </c>
      <c r="P1763" s="10">
        <f t="shared" si="2325"/>
        <v>0.1870577064</v>
      </c>
      <c r="Q1763" s="10" t="str">
        <f t="shared" si="2326"/>
        <v>NA</v>
      </c>
      <c r="R1763" s="10" t="s">
        <v>1575</v>
      </c>
      <c r="S1763" s="10" t="s">
        <v>1575</v>
      </c>
      <c r="T1763" s="10" t="s">
        <v>1575</v>
      </c>
      <c r="U1763" s="10" t="s">
        <v>1575</v>
      </c>
      <c r="V1763" s="10">
        <f>(0.000711+0.002191+0.006616-0.003142-0.00013)*29.9484</f>
        <v>0.18705770640000002</v>
      </c>
      <c r="W1763" s="10" t="s">
        <v>1575</v>
      </c>
      <c r="X1763" s="10" t="str">
        <f t="shared" si="2328"/>
        <v>NA</v>
      </c>
      <c r="Y1763" s="10" t="str">
        <f t="shared" si="2329"/>
        <v>NA</v>
      </c>
      <c r="Z1763" s="10" t="str">
        <f t="shared" si="2330"/>
        <v>NA</v>
      </c>
      <c r="AA1763" s="10">
        <f t="shared" si="2331"/>
        <v>0.99999999999999989</v>
      </c>
      <c r="AB1763" s="10" t="str">
        <f t="shared" si="2332"/>
        <v>NA</v>
      </c>
      <c r="AC1763" s="10" t="str">
        <f t="shared" si="2333"/>
        <v>NA</v>
      </c>
      <c r="AD1763" s="10" t="str">
        <f t="shared" si="2334"/>
        <v>NA</v>
      </c>
      <c r="AE1763" s="10" t="str">
        <f t="shared" si="2335"/>
        <v>NA</v>
      </c>
      <c r="AF1763" s="1" t="s">
        <v>264</v>
      </c>
    </row>
    <row r="1764" spans="1:32" x14ac:dyDescent="0.2">
      <c r="A1764" s="1" t="s">
        <v>278</v>
      </c>
      <c r="B1764" s="1" t="s">
        <v>5</v>
      </c>
      <c r="C1764" s="1" t="s">
        <v>1575</v>
      </c>
      <c r="D1764" s="1" t="s">
        <v>1595</v>
      </c>
      <c r="E1764" s="1" t="s">
        <v>1810</v>
      </c>
      <c r="F1764" s="1" t="s">
        <v>1974</v>
      </c>
      <c r="G1764" s="4">
        <v>1</v>
      </c>
      <c r="H1764" s="28">
        <v>40359</v>
      </c>
      <c r="I1764" s="29">
        <f t="shared" si="2327"/>
        <v>2010</v>
      </c>
      <c r="J1764" s="1" t="s">
        <v>1815</v>
      </c>
      <c r="K1764" s="1" t="s">
        <v>7</v>
      </c>
      <c r="L1764" s="11" t="str">
        <f t="shared" si="2324"/>
        <v>НЕТ</v>
      </c>
      <c r="M1764" s="10">
        <v>19.332000000000001</v>
      </c>
      <c r="N1764" s="10" t="s">
        <v>1575</v>
      </c>
      <c r="O1764" s="10">
        <f>M1764*31.1954/1000</f>
        <v>0.60306947280000001</v>
      </c>
      <c r="P1764" s="10">
        <f t="shared" si="2325"/>
        <v>0.60306947280000001</v>
      </c>
      <c r="Q1764" s="10" t="str">
        <f t="shared" si="2326"/>
        <v>NA</v>
      </c>
      <c r="R1764" s="10" t="s">
        <v>1575</v>
      </c>
      <c r="S1764" s="10" t="s">
        <v>1575</v>
      </c>
      <c r="T1764" s="10" t="s">
        <v>1575</v>
      </c>
      <c r="U1764" s="10" t="s">
        <v>1575</v>
      </c>
      <c r="V1764" s="10">
        <f>(0.001076+0.002407+0.007394+0.015603-0.004369-0.002779)*31.1954</f>
        <v>0.60306947280000012</v>
      </c>
      <c r="W1764" s="10" t="s">
        <v>1575</v>
      </c>
      <c r="X1764" s="10" t="str">
        <f t="shared" si="2328"/>
        <v>NA</v>
      </c>
      <c r="Y1764" s="10" t="str">
        <f t="shared" si="2329"/>
        <v>NA</v>
      </c>
      <c r="Z1764" s="10" t="str">
        <f t="shared" si="2330"/>
        <v>NA</v>
      </c>
      <c r="AA1764" s="10">
        <f t="shared" si="2331"/>
        <v>0.99999999999999978</v>
      </c>
      <c r="AB1764" s="10" t="str">
        <f t="shared" si="2332"/>
        <v>NA</v>
      </c>
      <c r="AC1764" s="10" t="str">
        <f t="shared" si="2333"/>
        <v>NA</v>
      </c>
      <c r="AD1764" s="10" t="str">
        <f t="shared" si="2334"/>
        <v>NA</v>
      </c>
      <c r="AE1764" s="10" t="str">
        <f t="shared" si="2335"/>
        <v>NA</v>
      </c>
      <c r="AF1764" s="1" t="s">
        <v>266</v>
      </c>
    </row>
    <row r="1765" spans="1:32" x14ac:dyDescent="0.2">
      <c r="A1765" s="1" t="s">
        <v>279</v>
      </c>
      <c r="B1765" s="1" t="s">
        <v>5</v>
      </c>
      <c r="C1765" s="1" t="s">
        <v>1575</v>
      </c>
      <c r="D1765" s="1" t="s">
        <v>1595</v>
      </c>
      <c r="E1765" s="1" t="s">
        <v>1810</v>
      </c>
      <c r="F1765" s="1" t="s">
        <v>1974</v>
      </c>
      <c r="G1765" s="4">
        <v>1</v>
      </c>
      <c r="H1765" s="28">
        <v>40543</v>
      </c>
      <c r="I1765" s="29">
        <f t="shared" si="2327"/>
        <v>2010</v>
      </c>
      <c r="J1765" s="1" t="s">
        <v>1815</v>
      </c>
      <c r="K1765" s="1" t="s">
        <v>7</v>
      </c>
      <c r="L1765" s="11" t="str">
        <f t="shared" si="2324"/>
        <v>НЕТ</v>
      </c>
      <c r="M1765" s="10">
        <v>23.398</v>
      </c>
      <c r="N1765" s="10" t="s">
        <v>1575</v>
      </c>
      <c r="O1765" s="10">
        <f>M1765*30.4769/1000</f>
        <v>0.71309850619999993</v>
      </c>
      <c r="P1765" s="10">
        <f t="shared" si="2325"/>
        <v>0.71309850619999993</v>
      </c>
      <c r="Q1765" s="10" t="str">
        <f t="shared" si="2326"/>
        <v>NA</v>
      </c>
      <c r="R1765" s="10" t="s">
        <v>1575</v>
      </c>
      <c r="S1765" s="10" t="s">
        <v>1575</v>
      </c>
      <c r="T1765" s="10" t="s">
        <v>1575</v>
      </c>
      <c r="U1765" s="10" t="s">
        <v>1575</v>
      </c>
      <c r="V1765" s="10">
        <f>(0.002575+0.010625+0.014113+0.005512+0.000124-0.008607-0.000944)*30.4769</f>
        <v>0.71309850619999993</v>
      </c>
      <c r="W1765" s="10" t="s">
        <v>1575</v>
      </c>
      <c r="X1765" s="10" t="str">
        <f t="shared" si="2328"/>
        <v>NA</v>
      </c>
      <c r="Y1765" s="10" t="str">
        <f t="shared" si="2329"/>
        <v>NA</v>
      </c>
      <c r="Z1765" s="10" t="str">
        <f t="shared" si="2330"/>
        <v>NA</v>
      </c>
      <c r="AA1765" s="10">
        <f t="shared" si="2331"/>
        <v>1</v>
      </c>
      <c r="AB1765" s="10" t="str">
        <f t="shared" si="2332"/>
        <v>NA</v>
      </c>
      <c r="AC1765" s="10" t="str">
        <f t="shared" si="2333"/>
        <v>NA</v>
      </c>
      <c r="AD1765" s="10" t="str">
        <f t="shared" si="2334"/>
        <v>NA</v>
      </c>
      <c r="AE1765" s="10" t="str">
        <f t="shared" si="2335"/>
        <v>NA</v>
      </c>
      <c r="AF1765" s="1" t="s">
        <v>272</v>
      </c>
    </row>
    <row r="1766" spans="1:32" x14ac:dyDescent="0.2">
      <c r="A1766" s="1" t="s">
        <v>280</v>
      </c>
      <c r="B1766" s="1" t="s">
        <v>5</v>
      </c>
      <c r="C1766" s="1" t="s">
        <v>1575</v>
      </c>
      <c r="D1766" s="1" t="s">
        <v>1595</v>
      </c>
      <c r="E1766" s="1" t="s">
        <v>1810</v>
      </c>
      <c r="F1766" s="1" t="s">
        <v>1974</v>
      </c>
      <c r="G1766" s="4">
        <v>1</v>
      </c>
      <c r="H1766" s="28">
        <v>40543</v>
      </c>
      <c r="I1766" s="29">
        <f t="shared" si="2327"/>
        <v>2010</v>
      </c>
      <c r="J1766" s="1" t="s">
        <v>1815</v>
      </c>
      <c r="K1766" s="1" t="s">
        <v>7</v>
      </c>
      <c r="L1766" s="11" t="str">
        <f t="shared" si="2324"/>
        <v>НЕТ</v>
      </c>
      <c r="M1766" s="10">
        <v>17.821000000000002</v>
      </c>
      <c r="N1766" s="10" t="s">
        <v>1575</v>
      </c>
      <c r="O1766" s="10">
        <f>M1766*30.4769/1000</f>
        <v>0.54312883489999997</v>
      </c>
      <c r="P1766" s="10">
        <f t="shared" si="2325"/>
        <v>0.54312883489999997</v>
      </c>
      <c r="Q1766" s="10" t="str">
        <f t="shared" si="2326"/>
        <v>NA</v>
      </c>
      <c r="R1766" s="10" t="s">
        <v>1575</v>
      </c>
      <c r="S1766" s="10" t="s">
        <v>1575</v>
      </c>
      <c r="T1766" s="10" t="s">
        <v>1575</v>
      </c>
      <c r="U1766" s="10" t="s">
        <v>1575</v>
      </c>
      <c r="V1766" s="10">
        <f>(0.001634+0.010618+0.011119+0.006773+0.000337-0.010936-0.001684)*30.4769</f>
        <v>0.54434791090000012</v>
      </c>
      <c r="W1766" s="10" t="s">
        <v>1575</v>
      </c>
      <c r="X1766" s="10" t="str">
        <f t="shared" si="2328"/>
        <v>NA</v>
      </c>
      <c r="Y1766" s="10" t="str">
        <f t="shared" si="2329"/>
        <v>NA</v>
      </c>
      <c r="Z1766" s="10" t="str">
        <f t="shared" si="2330"/>
        <v>NA</v>
      </c>
      <c r="AA1766" s="10">
        <f t="shared" si="2331"/>
        <v>0.99776048373551285</v>
      </c>
      <c r="AB1766" s="10" t="str">
        <f t="shared" si="2332"/>
        <v>NA</v>
      </c>
      <c r="AC1766" s="10" t="str">
        <f t="shared" si="2333"/>
        <v>NA</v>
      </c>
      <c r="AD1766" s="10" t="str">
        <f t="shared" si="2334"/>
        <v>NA</v>
      </c>
      <c r="AE1766" s="10" t="str">
        <f t="shared" si="2335"/>
        <v>NA</v>
      </c>
      <c r="AF1766" s="1" t="s">
        <v>281</v>
      </c>
    </row>
    <row r="1767" spans="1:32" x14ac:dyDescent="0.2">
      <c r="A1767" s="1" t="s">
        <v>282</v>
      </c>
      <c r="B1767" s="1" t="s">
        <v>5</v>
      </c>
      <c r="C1767" s="1" t="s">
        <v>1575</v>
      </c>
      <c r="D1767" s="1" t="s">
        <v>1595</v>
      </c>
      <c r="E1767" s="1" t="s">
        <v>1810</v>
      </c>
      <c r="F1767" s="1" t="s">
        <v>1974</v>
      </c>
      <c r="G1767" s="4">
        <v>1</v>
      </c>
      <c r="H1767" s="28">
        <v>40478</v>
      </c>
      <c r="I1767" s="29">
        <f t="shared" si="2327"/>
        <v>2010</v>
      </c>
      <c r="J1767" s="1" t="s">
        <v>1815</v>
      </c>
      <c r="K1767" s="1" t="s">
        <v>6039</v>
      </c>
      <c r="L1767" s="11" t="str">
        <f t="shared" si="2324"/>
        <v>НЕТ</v>
      </c>
      <c r="M1767" s="10">
        <v>378.98</v>
      </c>
      <c r="N1767" s="10" t="s">
        <v>1575</v>
      </c>
      <c r="O1767" s="10">
        <v>11.59</v>
      </c>
      <c r="P1767" s="10">
        <f t="shared" si="2325"/>
        <v>11.59</v>
      </c>
      <c r="Q1767" s="10" t="str">
        <f t="shared" si="2326"/>
        <v>NA</v>
      </c>
      <c r="R1767" s="10" t="s">
        <v>1575</v>
      </c>
      <c r="S1767" s="10" t="s">
        <v>1575</v>
      </c>
      <c r="T1767" s="10" t="s">
        <v>1575</v>
      </c>
      <c r="U1767" s="10" t="s">
        <v>1575</v>
      </c>
      <c r="V1767" s="10" t="s">
        <v>1575</v>
      </c>
      <c r="W1767" s="10" t="s">
        <v>1575</v>
      </c>
      <c r="X1767" s="10" t="str">
        <f t="shared" si="2328"/>
        <v>NA</v>
      </c>
      <c r="Y1767" s="10" t="str">
        <f t="shared" si="2329"/>
        <v>NA</v>
      </c>
      <c r="Z1767" s="10" t="str">
        <f t="shared" si="2330"/>
        <v>NA</v>
      </c>
      <c r="AA1767" s="10" t="str">
        <f t="shared" si="2331"/>
        <v>NA</v>
      </c>
      <c r="AB1767" s="10" t="str">
        <f t="shared" si="2332"/>
        <v>NA</v>
      </c>
      <c r="AC1767" s="10" t="str">
        <f t="shared" si="2333"/>
        <v>NA</v>
      </c>
      <c r="AD1767" s="10" t="str">
        <f t="shared" si="2334"/>
        <v>NA</v>
      </c>
      <c r="AE1767" s="10" t="str">
        <f t="shared" si="2335"/>
        <v>NA</v>
      </c>
    </row>
    <row r="1768" spans="1:32" x14ac:dyDescent="0.2">
      <c r="A1768" s="1" t="s">
        <v>283</v>
      </c>
      <c r="B1768" s="1" t="s">
        <v>5</v>
      </c>
      <c r="C1768" s="1" t="s">
        <v>1575</v>
      </c>
      <c r="D1768" s="1" t="s">
        <v>1595</v>
      </c>
      <c r="E1768" s="16" t="s">
        <v>9208</v>
      </c>
      <c r="F1768" s="1" t="s">
        <v>286</v>
      </c>
      <c r="G1768" s="4">
        <v>0.95</v>
      </c>
      <c r="H1768" s="28">
        <v>40420</v>
      </c>
      <c r="I1768" s="29">
        <f t="shared" si="2327"/>
        <v>2010</v>
      </c>
      <c r="J1768" s="1" t="s">
        <v>1815</v>
      </c>
      <c r="K1768" s="1" t="s">
        <v>6111</v>
      </c>
      <c r="L1768" s="11" t="str">
        <f t="shared" si="2324"/>
        <v>НЕТ</v>
      </c>
      <c r="M1768" s="10">
        <v>11.01</v>
      </c>
      <c r="N1768" s="10" t="s">
        <v>1575</v>
      </c>
      <c r="O1768" s="10">
        <v>0.33934999999999998</v>
      </c>
      <c r="P1768" s="10">
        <f t="shared" si="2325"/>
        <v>0.35721052631578948</v>
      </c>
      <c r="Q1768" s="10" t="str">
        <f t="shared" si="2326"/>
        <v>NA</v>
      </c>
      <c r="R1768" s="10" t="s">
        <v>1575</v>
      </c>
      <c r="S1768" s="10" t="s">
        <v>1575</v>
      </c>
      <c r="T1768" s="10" t="s">
        <v>1575</v>
      </c>
      <c r="U1768" s="10" t="s">
        <v>1575</v>
      </c>
      <c r="V1768" s="10" t="s">
        <v>1575</v>
      </c>
      <c r="W1768" s="10" t="s">
        <v>1575</v>
      </c>
      <c r="X1768" s="10" t="str">
        <f t="shared" si="2328"/>
        <v>NA</v>
      </c>
      <c r="Y1768" s="10" t="str">
        <f t="shared" si="2329"/>
        <v>NA</v>
      </c>
      <c r="Z1768" s="10" t="str">
        <f t="shared" si="2330"/>
        <v>NA</v>
      </c>
      <c r="AA1768" s="10" t="str">
        <f t="shared" si="2331"/>
        <v>NA</v>
      </c>
      <c r="AB1768" s="10" t="str">
        <f t="shared" si="2332"/>
        <v>NA</v>
      </c>
      <c r="AC1768" s="10" t="str">
        <f t="shared" si="2333"/>
        <v>NA</v>
      </c>
      <c r="AD1768" s="10" t="str">
        <f t="shared" si="2334"/>
        <v>NA</v>
      </c>
      <c r="AE1768" s="10" t="str">
        <f t="shared" si="2335"/>
        <v>NA</v>
      </c>
      <c r="AF1768" s="1" t="s">
        <v>284</v>
      </c>
    </row>
    <row r="1769" spans="1:32" x14ac:dyDescent="0.2">
      <c r="A1769" s="1" t="s">
        <v>285</v>
      </c>
      <c r="B1769" s="1" t="s">
        <v>5</v>
      </c>
      <c r="C1769" s="1" t="s">
        <v>1575</v>
      </c>
      <c r="D1769" s="1" t="s">
        <v>1595</v>
      </c>
      <c r="E1769" s="16" t="s">
        <v>9208</v>
      </c>
      <c r="F1769" s="1" t="s">
        <v>286</v>
      </c>
      <c r="G1769" s="4">
        <v>1</v>
      </c>
      <c r="H1769" s="28">
        <v>40390</v>
      </c>
      <c r="I1769" s="29">
        <f t="shared" si="2327"/>
        <v>2010</v>
      </c>
      <c r="J1769" s="1" t="s">
        <v>1815</v>
      </c>
      <c r="K1769" s="1" t="s">
        <v>7</v>
      </c>
      <c r="L1769" s="11" t="str">
        <f t="shared" si="2324"/>
        <v>НЕТ</v>
      </c>
      <c r="M1769" s="10">
        <v>123.6</v>
      </c>
      <c r="N1769" s="10" t="s">
        <v>1575</v>
      </c>
      <c r="O1769" s="10">
        <f>M1769*30.1869/1000</f>
        <v>3.7311008399999999</v>
      </c>
      <c r="P1769" s="10">
        <f t="shared" si="2325"/>
        <v>3.7311008399999999</v>
      </c>
      <c r="Q1769" s="10" t="str">
        <f t="shared" si="2326"/>
        <v>NA</v>
      </c>
      <c r="R1769" s="10" t="s">
        <v>1575</v>
      </c>
      <c r="S1769" s="10" t="s">
        <v>1575</v>
      </c>
      <c r="T1769" s="10" t="s">
        <v>1575</v>
      </c>
      <c r="U1769" s="10" t="s">
        <v>1575</v>
      </c>
      <c r="V1769" s="10">
        <f>(0.046476+0.046432+0.076376+0.148743-0.12678-0.044007-0.024244)*30.1869</f>
        <v>3.7128679523999986</v>
      </c>
      <c r="W1769" s="10" t="s">
        <v>1575</v>
      </c>
      <c r="X1769" s="10" t="str">
        <f t="shared" si="2328"/>
        <v>NA</v>
      </c>
      <c r="Y1769" s="10" t="str">
        <f t="shared" si="2329"/>
        <v>NA</v>
      </c>
      <c r="Z1769" s="10" t="str">
        <f t="shared" si="2330"/>
        <v>NA</v>
      </c>
      <c r="AA1769" s="10">
        <f t="shared" si="2331"/>
        <v>1.0049107288041892</v>
      </c>
      <c r="AB1769" s="10" t="str">
        <f t="shared" si="2332"/>
        <v>NA</v>
      </c>
      <c r="AC1769" s="10" t="str">
        <f t="shared" si="2333"/>
        <v>NA</v>
      </c>
      <c r="AD1769" s="10" t="str">
        <f t="shared" si="2334"/>
        <v>NA</v>
      </c>
      <c r="AE1769" s="10" t="str">
        <f t="shared" si="2335"/>
        <v>NA</v>
      </c>
      <c r="AF1769" s="1" t="s">
        <v>287</v>
      </c>
    </row>
    <row r="1770" spans="1:32" x14ac:dyDescent="0.2">
      <c r="A1770" s="1" t="s">
        <v>288</v>
      </c>
      <c r="B1770" s="1" t="s">
        <v>5</v>
      </c>
      <c r="C1770" s="1" t="s">
        <v>1575</v>
      </c>
      <c r="D1770" s="1" t="s">
        <v>1595</v>
      </c>
      <c r="E1770" s="1" t="s">
        <v>1810</v>
      </c>
      <c r="F1770" s="1" t="s">
        <v>1974</v>
      </c>
      <c r="G1770" s="4">
        <v>0.251</v>
      </c>
      <c r="H1770" s="28">
        <v>40359</v>
      </c>
      <c r="I1770" s="29">
        <f t="shared" si="2327"/>
        <v>2010</v>
      </c>
      <c r="J1770" s="1" t="s">
        <v>1815</v>
      </c>
      <c r="K1770" s="1" t="s">
        <v>7</v>
      </c>
      <c r="L1770" s="11" t="str">
        <f t="shared" si="2324"/>
        <v>НЕТ</v>
      </c>
      <c r="M1770" s="10">
        <v>8.5</v>
      </c>
      <c r="N1770" s="10" t="s">
        <v>1575</v>
      </c>
      <c r="O1770" s="10">
        <f>M1770*31.1954/1000</f>
        <v>0.26516089999999998</v>
      </c>
      <c r="P1770" s="10">
        <f t="shared" si="2325"/>
        <v>1.0564179282868524</v>
      </c>
      <c r="Q1770" s="10" t="str">
        <f t="shared" si="2326"/>
        <v>NA</v>
      </c>
      <c r="R1770" s="10" t="s">
        <v>1575</v>
      </c>
      <c r="S1770" s="10" t="s">
        <v>1575</v>
      </c>
      <c r="T1770" s="10" t="s">
        <v>1575</v>
      </c>
      <c r="U1770" s="10" t="s">
        <v>1575</v>
      </c>
      <c r="V1770" s="10" t="s">
        <v>1575</v>
      </c>
      <c r="W1770" s="10" t="s">
        <v>1575</v>
      </c>
      <c r="X1770" s="10" t="str">
        <f t="shared" si="2328"/>
        <v>NA</v>
      </c>
      <c r="Y1770" s="10" t="str">
        <f t="shared" si="2329"/>
        <v>NA</v>
      </c>
      <c r="Z1770" s="10" t="str">
        <f t="shared" si="2330"/>
        <v>NA</v>
      </c>
      <c r="AA1770" s="10" t="str">
        <f t="shared" si="2331"/>
        <v>NA</v>
      </c>
      <c r="AB1770" s="10" t="str">
        <f t="shared" si="2332"/>
        <v>NA</v>
      </c>
      <c r="AC1770" s="10" t="str">
        <f t="shared" si="2333"/>
        <v>NA</v>
      </c>
      <c r="AD1770" s="10" t="str">
        <f t="shared" si="2334"/>
        <v>NA</v>
      </c>
      <c r="AE1770" s="10" t="str">
        <f t="shared" si="2335"/>
        <v>NA</v>
      </c>
      <c r="AF1770" s="1" t="s">
        <v>289</v>
      </c>
    </row>
    <row r="1771" spans="1:32" x14ac:dyDescent="0.2">
      <c r="A1771" s="1" t="s">
        <v>290</v>
      </c>
      <c r="B1771" s="1" t="s">
        <v>5</v>
      </c>
      <c r="C1771" s="1" t="s">
        <v>1575</v>
      </c>
      <c r="D1771" s="1" t="s">
        <v>1595</v>
      </c>
      <c r="E1771" s="1" t="s">
        <v>1810</v>
      </c>
      <c r="F1771" s="1" t="s">
        <v>1974</v>
      </c>
      <c r="G1771" s="4">
        <v>0.15</v>
      </c>
      <c r="H1771" s="28">
        <v>40359</v>
      </c>
      <c r="I1771" s="29">
        <f t="shared" si="2327"/>
        <v>2010</v>
      </c>
      <c r="J1771" s="1" t="s">
        <v>1815</v>
      </c>
      <c r="K1771" s="1" t="s">
        <v>7</v>
      </c>
      <c r="L1771" s="11" t="str">
        <f t="shared" si="2324"/>
        <v>НЕТ</v>
      </c>
      <c r="M1771" s="10">
        <v>1.0000000000000001E-9</v>
      </c>
      <c r="N1771" s="10" t="s">
        <v>1575</v>
      </c>
      <c r="O1771" s="10">
        <f>M1771*31.1954/1000</f>
        <v>3.1195400000000007E-11</v>
      </c>
      <c r="P1771" s="10">
        <f t="shared" si="2325"/>
        <v>2.0796933333333339E-10</v>
      </c>
      <c r="Q1771" s="10" t="str">
        <f t="shared" si="2326"/>
        <v>NA</v>
      </c>
      <c r="R1771" s="10" t="s">
        <v>1575</v>
      </c>
      <c r="S1771" s="10" t="s">
        <v>1575</v>
      </c>
      <c r="T1771" s="10" t="s">
        <v>1575</v>
      </c>
      <c r="U1771" s="10" t="s">
        <v>1575</v>
      </c>
      <c r="V1771" s="10" t="s">
        <v>1575</v>
      </c>
      <c r="W1771" s="10" t="s">
        <v>1575</v>
      </c>
      <c r="X1771" s="10" t="str">
        <f t="shared" si="2328"/>
        <v>NA</v>
      </c>
      <c r="Y1771" s="10" t="str">
        <f t="shared" si="2329"/>
        <v>NA</v>
      </c>
      <c r="Z1771" s="10" t="str">
        <f t="shared" si="2330"/>
        <v>NA</v>
      </c>
      <c r="AA1771" s="10" t="str">
        <f t="shared" si="2331"/>
        <v>NA</v>
      </c>
      <c r="AB1771" s="10" t="str">
        <f t="shared" si="2332"/>
        <v>NA</v>
      </c>
      <c r="AC1771" s="10" t="str">
        <f t="shared" si="2333"/>
        <v>NA</v>
      </c>
      <c r="AD1771" s="10" t="str">
        <f t="shared" si="2334"/>
        <v>NA</v>
      </c>
      <c r="AE1771" s="10" t="str">
        <f t="shared" si="2335"/>
        <v>NA</v>
      </c>
      <c r="AF1771" s="1" t="s">
        <v>291</v>
      </c>
    </row>
    <row r="1772" spans="1:32" x14ac:dyDescent="0.2">
      <c r="A1772" s="1" t="s">
        <v>2011</v>
      </c>
      <c r="B1772" s="1" t="s">
        <v>5</v>
      </c>
      <c r="C1772" s="1" t="s">
        <v>2012</v>
      </c>
      <c r="D1772" s="1" t="s">
        <v>1595</v>
      </c>
      <c r="E1772" s="1" t="s">
        <v>1810</v>
      </c>
      <c r="F1772" s="1" t="s">
        <v>1974</v>
      </c>
      <c r="G1772" s="4">
        <v>0.09</v>
      </c>
      <c r="H1772" s="28">
        <v>40451</v>
      </c>
      <c r="I1772" s="29">
        <f t="shared" si="2327"/>
        <v>2010</v>
      </c>
      <c r="J1772" s="1" t="s">
        <v>1815</v>
      </c>
      <c r="K1772" s="1" t="s">
        <v>7</v>
      </c>
      <c r="L1772" s="11" t="str">
        <f t="shared" si="2324"/>
        <v>НЕТ</v>
      </c>
      <c r="M1772" s="10">
        <v>271.89</v>
      </c>
      <c r="N1772" s="10" t="s">
        <v>1575</v>
      </c>
      <c r="O1772" s="10">
        <v>8.2799999999999994</v>
      </c>
      <c r="P1772" s="10">
        <f t="shared" si="2325"/>
        <v>92</v>
      </c>
      <c r="Q1772" s="10" t="str">
        <f t="shared" si="2326"/>
        <v>NA</v>
      </c>
      <c r="R1772" s="10" t="s">
        <v>1575</v>
      </c>
      <c r="S1772" s="10" t="s">
        <v>1575</v>
      </c>
      <c r="T1772" s="10" t="s">
        <v>1575</v>
      </c>
      <c r="U1772" s="10" t="s">
        <v>1575</v>
      </c>
      <c r="V1772" s="10" t="s">
        <v>1575</v>
      </c>
      <c r="W1772" s="10" t="s">
        <v>1575</v>
      </c>
      <c r="X1772" s="10" t="str">
        <f t="shared" si="2328"/>
        <v>NA</v>
      </c>
      <c r="Y1772" s="10" t="str">
        <f t="shared" si="2329"/>
        <v>NA</v>
      </c>
      <c r="Z1772" s="10" t="str">
        <f t="shared" si="2330"/>
        <v>NA</v>
      </c>
      <c r="AA1772" s="10" t="str">
        <f t="shared" si="2331"/>
        <v>NA</v>
      </c>
      <c r="AB1772" s="10" t="str">
        <f t="shared" si="2332"/>
        <v>NA</v>
      </c>
      <c r="AC1772" s="10" t="str">
        <f t="shared" si="2333"/>
        <v>NA</v>
      </c>
      <c r="AD1772" s="10" t="str">
        <f t="shared" si="2334"/>
        <v>NA</v>
      </c>
      <c r="AE1772" s="10" t="str">
        <f t="shared" si="2335"/>
        <v>NA</v>
      </c>
      <c r="AF1772" s="1" t="s">
        <v>292</v>
      </c>
    </row>
    <row r="1773" spans="1:32" x14ac:dyDescent="0.2">
      <c r="A1773" s="1" t="s">
        <v>294</v>
      </c>
      <c r="B1773" s="1" t="s">
        <v>5</v>
      </c>
      <c r="C1773" s="1" t="s">
        <v>1575</v>
      </c>
      <c r="D1773" s="1" t="s">
        <v>1578</v>
      </c>
      <c r="E1773" s="16" t="s">
        <v>9250</v>
      </c>
      <c r="F1773" s="1" t="s">
        <v>293</v>
      </c>
      <c r="G1773" s="4">
        <v>1</v>
      </c>
      <c r="H1773" s="28">
        <v>39872</v>
      </c>
      <c r="I1773" s="29">
        <f t="shared" si="2327"/>
        <v>2009</v>
      </c>
      <c r="J1773" s="1" t="s">
        <v>1815</v>
      </c>
      <c r="K1773" s="1" t="s">
        <v>7</v>
      </c>
      <c r="L1773" s="11" t="str">
        <f t="shared" si="2324"/>
        <v>НЕТ</v>
      </c>
      <c r="M1773" s="10">
        <v>60</v>
      </c>
      <c r="N1773" s="10" t="s">
        <v>1575</v>
      </c>
      <c r="O1773" s="10">
        <f>M1773*35.7205/1000</f>
        <v>2.14323</v>
      </c>
      <c r="P1773" s="10">
        <f t="shared" si="2325"/>
        <v>2.14323</v>
      </c>
      <c r="Q1773" s="10" t="str">
        <f t="shared" si="2326"/>
        <v>NA</v>
      </c>
      <c r="R1773" s="10" t="s">
        <v>1575</v>
      </c>
      <c r="S1773" s="10" t="s">
        <v>1575</v>
      </c>
      <c r="T1773" s="10" t="s">
        <v>1575</v>
      </c>
      <c r="U1773" s="10" t="s">
        <v>1575</v>
      </c>
      <c r="V1773" s="10">
        <f>(0.048979+0.002315+0.123333-0.108701-0.005926)*35.7205</f>
        <v>2.14323</v>
      </c>
      <c r="W1773" s="10" t="s">
        <v>1575</v>
      </c>
      <c r="X1773" s="10" t="str">
        <f t="shared" si="2328"/>
        <v>NA</v>
      </c>
      <c r="Y1773" s="10" t="str">
        <f t="shared" si="2329"/>
        <v>NA</v>
      </c>
      <c r="Z1773" s="10" t="str">
        <f t="shared" si="2330"/>
        <v>NA</v>
      </c>
      <c r="AA1773" s="10">
        <f t="shared" si="2331"/>
        <v>1</v>
      </c>
      <c r="AB1773" s="10" t="str">
        <f t="shared" si="2332"/>
        <v>NA</v>
      </c>
      <c r="AC1773" s="10" t="str">
        <f t="shared" si="2333"/>
        <v>NA</v>
      </c>
      <c r="AD1773" s="10" t="str">
        <f t="shared" si="2334"/>
        <v>NA</v>
      </c>
      <c r="AE1773" s="10" t="str">
        <f t="shared" si="2335"/>
        <v>NA</v>
      </c>
    </row>
    <row r="1774" spans="1:32" x14ac:dyDescent="0.2">
      <c r="A1774" s="1" t="s">
        <v>295</v>
      </c>
      <c r="B1774" s="1" t="s">
        <v>5</v>
      </c>
      <c r="C1774" s="1" t="s">
        <v>1575</v>
      </c>
      <c r="D1774" s="1" t="s">
        <v>1578</v>
      </c>
      <c r="E1774" s="16" t="s">
        <v>9250</v>
      </c>
      <c r="F1774" s="1" t="s">
        <v>293</v>
      </c>
      <c r="G1774" s="4">
        <v>1</v>
      </c>
      <c r="H1774" s="28">
        <v>39903</v>
      </c>
      <c r="I1774" s="29">
        <f t="shared" si="2327"/>
        <v>2009</v>
      </c>
      <c r="J1774" s="1" t="s">
        <v>1815</v>
      </c>
      <c r="K1774" s="1" t="s">
        <v>7</v>
      </c>
      <c r="L1774" s="11" t="str">
        <f t="shared" si="2324"/>
        <v>НЕТ</v>
      </c>
      <c r="M1774" s="10">
        <v>17.850000000000001</v>
      </c>
      <c r="N1774" s="10" t="s">
        <v>1575</v>
      </c>
      <c r="O1774" s="10">
        <f>M1774*34.0134/1000</f>
        <v>0.60713918999999994</v>
      </c>
      <c r="P1774" s="10">
        <f t="shared" si="2325"/>
        <v>0.60713918999999994</v>
      </c>
      <c r="Q1774" s="10" t="str">
        <f t="shared" si="2326"/>
        <v>NA</v>
      </c>
      <c r="R1774" s="10" t="s">
        <v>1575</v>
      </c>
      <c r="S1774" s="10" t="s">
        <v>1575</v>
      </c>
      <c r="T1774" s="10" t="s">
        <v>1575</v>
      </c>
      <c r="U1774" s="10" t="s">
        <v>1575</v>
      </c>
      <c r="V1774" s="10">
        <f>(0.002467+0.000911+0.000374+0.029875-0.012248-0.000115-0.003414)*34.0134</f>
        <v>0.60713918999999972</v>
      </c>
      <c r="W1774" s="10" t="s">
        <v>1575</v>
      </c>
      <c r="X1774" s="10" t="str">
        <f t="shared" si="2328"/>
        <v>NA</v>
      </c>
      <c r="Y1774" s="10" t="str">
        <f t="shared" si="2329"/>
        <v>NA</v>
      </c>
      <c r="Z1774" s="10" t="str">
        <f t="shared" si="2330"/>
        <v>NA</v>
      </c>
      <c r="AA1774" s="10">
        <f t="shared" si="2331"/>
        <v>1.0000000000000004</v>
      </c>
      <c r="AB1774" s="10" t="str">
        <f t="shared" si="2332"/>
        <v>NA</v>
      </c>
      <c r="AC1774" s="10" t="str">
        <f t="shared" si="2333"/>
        <v>NA</v>
      </c>
      <c r="AD1774" s="10" t="str">
        <f t="shared" si="2334"/>
        <v>NA</v>
      </c>
      <c r="AE1774" s="10" t="str">
        <f t="shared" si="2335"/>
        <v>NA</v>
      </c>
    </row>
    <row r="1775" spans="1:32" x14ac:dyDescent="0.2">
      <c r="A1775" s="1" t="s">
        <v>296</v>
      </c>
      <c r="B1775" s="1" t="s">
        <v>5</v>
      </c>
      <c r="C1775" s="1" t="s">
        <v>1575</v>
      </c>
      <c r="D1775" s="1" t="s">
        <v>1578</v>
      </c>
      <c r="E1775" s="16" t="s">
        <v>9250</v>
      </c>
      <c r="F1775" s="1" t="s">
        <v>293</v>
      </c>
      <c r="G1775" s="4">
        <v>1</v>
      </c>
      <c r="H1775" s="28">
        <v>40117</v>
      </c>
      <c r="I1775" s="29">
        <f t="shared" si="2327"/>
        <v>2009</v>
      </c>
      <c r="J1775" s="1" t="s">
        <v>1815</v>
      </c>
      <c r="K1775" s="1" t="s">
        <v>7</v>
      </c>
      <c r="L1775" s="11" t="str">
        <f t="shared" si="2324"/>
        <v>НЕТ</v>
      </c>
      <c r="M1775" s="10">
        <v>2.2000000000000002</v>
      </c>
      <c r="N1775" s="10" t="s">
        <v>1575</v>
      </c>
      <c r="O1775" s="10">
        <f>M1775*29.0488/1000</f>
        <v>6.390736000000001E-2</v>
      </c>
      <c r="P1775" s="10">
        <f t="shared" si="2325"/>
        <v>6.390736000000001E-2</v>
      </c>
      <c r="Q1775" s="10" t="str">
        <f t="shared" si="2326"/>
        <v>NA</v>
      </c>
      <c r="R1775" s="10" t="s">
        <v>1575</v>
      </c>
      <c r="S1775" s="10" t="s">
        <v>1575</v>
      </c>
      <c r="T1775" s="10" t="s">
        <v>1575</v>
      </c>
      <c r="U1775" s="10" t="s">
        <v>1575</v>
      </c>
      <c r="V1775" s="10">
        <f>(0.002953+0.000745+0.00905-0.003614-0.006934)*29.0488</f>
        <v>6.3907359999999996E-2</v>
      </c>
      <c r="W1775" s="10" t="s">
        <v>1575</v>
      </c>
      <c r="X1775" s="10" t="str">
        <f t="shared" si="2328"/>
        <v>NA</v>
      </c>
      <c r="Y1775" s="10" t="str">
        <f t="shared" si="2329"/>
        <v>NA</v>
      </c>
      <c r="Z1775" s="10" t="str">
        <f t="shared" si="2330"/>
        <v>NA</v>
      </c>
      <c r="AA1775" s="10">
        <f t="shared" si="2331"/>
        <v>1.0000000000000002</v>
      </c>
      <c r="AB1775" s="10" t="str">
        <f t="shared" si="2332"/>
        <v>NA</v>
      </c>
      <c r="AC1775" s="10" t="str">
        <f t="shared" si="2333"/>
        <v>NA</v>
      </c>
      <c r="AD1775" s="10" t="str">
        <f t="shared" si="2334"/>
        <v>NA</v>
      </c>
      <c r="AE1775" s="10" t="str">
        <f t="shared" si="2335"/>
        <v>NA</v>
      </c>
    </row>
    <row r="1776" spans="1:32" x14ac:dyDescent="0.2">
      <c r="A1776" s="1" t="s">
        <v>297</v>
      </c>
      <c r="B1776" s="1" t="s">
        <v>5</v>
      </c>
      <c r="C1776" s="1" t="s">
        <v>1575</v>
      </c>
      <c r="D1776" s="1" t="s">
        <v>1595</v>
      </c>
      <c r="E1776" s="1" t="s">
        <v>1810</v>
      </c>
      <c r="F1776" s="1" t="s">
        <v>1974</v>
      </c>
      <c r="G1776" s="4">
        <v>1</v>
      </c>
      <c r="H1776" s="28">
        <v>40178</v>
      </c>
      <c r="I1776" s="29">
        <f t="shared" si="2327"/>
        <v>2009</v>
      </c>
      <c r="J1776" s="1" t="s">
        <v>1815</v>
      </c>
      <c r="K1776" s="1" t="s">
        <v>7</v>
      </c>
      <c r="L1776" s="11" t="str">
        <f t="shared" si="2324"/>
        <v>НЕТ</v>
      </c>
      <c r="M1776" s="10">
        <v>90</v>
      </c>
      <c r="N1776" s="10" t="s">
        <v>1575</v>
      </c>
      <c r="O1776" s="10">
        <f>M1776*30.2442/1000</f>
        <v>2.721978</v>
      </c>
      <c r="P1776" s="10">
        <f t="shared" si="2325"/>
        <v>2.721978</v>
      </c>
      <c r="Q1776" s="10" t="str">
        <f t="shared" si="2326"/>
        <v>NA</v>
      </c>
      <c r="R1776" s="10" t="s">
        <v>1575</v>
      </c>
      <c r="S1776" s="10" t="s">
        <v>1575</v>
      </c>
      <c r="T1776" s="10" t="s">
        <v>1575</v>
      </c>
      <c r="U1776" s="10" t="s">
        <v>1575</v>
      </c>
      <c r="V1776" s="10">
        <f>(0.0143+0.06796+0.004726+0.098542-0.075528-0.02)*30.2442</f>
        <v>2.721978</v>
      </c>
      <c r="W1776" s="10" t="s">
        <v>1575</v>
      </c>
      <c r="X1776" s="10" t="str">
        <f t="shared" si="2328"/>
        <v>NA</v>
      </c>
      <c r="Y1776" s="10" t="str">
        <f t="shared" si="2329"/>
        <v>NA</v>
      </c>
      <c r="Z1776" s="10" t="str">
        <f t="shared" si="2330"/>
        <v>NA</v>
      </c>
      <c r="AA1776" s="10">
        <f t="shared" si="2331"/>
        <v>1</v>
      </c>
      <c r="AB1776" s="10" t="str">
        <f t="shared" si="2332"/>
        <v>NA</v>
      </c>
      <c r="AC1776" s="10" t="str">
        <f t="shared" si="2333"/>
        <v>NA</v>
      </c>
      <c r="AD1776" s="10" t="str">
        <f t="shared" si="2334"/>
        <v>NA</v>
      </c>
      <c r="AE1776" s="10" t="str">
        <f t="shared" si="2335"/>
        <v>NA</v>
      </c>
    </row>
    <row r="1777" spans="1:32" x14ac:dyDescent="0.2">
      <c r="A1777" s="1" t="s">
        <v>298</v>
      </c>
      <c r="B1777" s="1" t="s">
        <v>5</v>
      </c>
      <c r="C1777" s="1" t="s">
        <v>1575</v>
      </c>
      <c r="D1777" s="1" t="s">
        <v>1595</v>
      </c>
      <c r="E1777" s="1" t="s">
        <v>1810</v>
      </c>
      <c r="F1777" s="1" t="s">
        <v>1974</v>
      </c>
      <c r="G1777" s="4">
        <v>0.5091</v>
      </c>
      <c r="H1777" s="28">
        <v>40098</v>
      </c>
      <c r="I1777" s="29">
        <f t="shared" si="2327"/>
        <v>2009</v>
      </c>
      <c r="J1777" s="1" t="s">
        <v>1815</v>
      </c>
      <c r="K1777" s="1" t="s">
        <v>7</v>
      </c>
      <c r="L1777" s="11" t="str">
        <f t="shared" si="2324"/>
        <v>НЕТ</v>
      </c>
      <c r="M1777" s="10">
        <v>1320</v>
      </c>
      <c r="N1777" s="10" t="s">
        <v>1575</v>
      </c>
      <c r="O1777" s="10">
        <v>39.15</v>
      </c>
      <c r="P1777" s="10">
        <f t="shared" si="2325"/>
        <v>76.900412492634061</v>
      </c>
      <c r="Q1777" s="10" t="str">
        <f t="shared" si="2326"/>
        <v>NA</v>
      </c>
      <c r="R1777" s="10" t="s">
        <v>1575</v>
      </c>
      <c r="S1777" s="10" t="s">
        <v>1575</v>
      </c>
      <c r="T1777" s="10" t="s">
        <v>1575</v>
      </c>
      <c r="U1777" s="10" t="s">
        <v>1575</v>
      </c>
      <c r="V1777" s="10" t="s">
        <v>1575</v>
      </c>
      <c r="W1777" s="10" t="s">
        <v>1575</v>
      </c>
      <c r="X1777" s="10" t="str">
        <f t="shared" si="2328"/>
        <v>NA</v>
      </c>
      <c r="Y1777" s="10" t="str">
        <f t="shared" si="2329"/>
        <v>NA</v>
      </c>
      <c r="Z1777" s="10" t="str">
        <f t="shared" si="2330"/>
        <v>NA</v>
      </c>
      <c r="AA1777" s="10" t="str">
        <f t="shared" si="2331"/>
        <v>NA</v>
      </c>
      <c r="AB1777" s="10" t="str">
        <f t="shared" si="2332"/>
        <v>NA</v>
      </c>
      <c r="AC1777" s="10" t="str">
        <f t="shared" si="2333"/>
        <v>NA</v>
      </c>
      <c r="AD1777" s="10" t="str">
        <f t="shared" si="2334"/>
        <v>NA</v>
      </c>
      <c r="AE1777" s="10" t="str">
        <f t="shared" si="2335"/>
        <v>NA</v>
      </c>
      <c r="AF1777" s="1" t="s">
        <v>299</v>
      </c>
    </row>
    <row r="1778" spans="1:32" x14ac:dyDescent="0.2">
      <c r="A1778" s="1" t="s">
        <v>269</v>
      </c>
      <c r="B1778" s="1" t="s">
        <v>5</v>
      </c>
      <c r="C1778" s="1" t="s">
        <v>1811</v>
      </c>
      <c r="D1778" s="1" t="s">
        <v>1595</v>
      </c>
      <c r="E1778" s="1" t="s">
        <v>1810</v>
      </c>
      <c r="F1778" s="1" t="s">
        <v>1974</v>
      </c>
      <c r="G1778" s="4">
        <v>0.14199999999999999</v>
      </c>
      <c r="H1778" s="28">
        <v>40164</v>
      </c>
      <c r="I1778" s="29">
        <f t="shared" si="2327"/>
        <v>2009</v>
      </c>
      <c r="J1778" s="1" t="s">
        <v>1815</v>
      </c>
      <c r="K1778" s="1" t="s">
        <v>6039</v>
      </c>
      <c r="L1778" s="11" t="str">
        <f t="shared" si="2324"/>
        <v>НЕТ</v>
      </c>
      <c r="M1778" s="10" t="s">
        <v>1575</v>
      </c>
      <c r="N1778" s="10" t="s">
        <v>1575</v>
      </c>
      <c r="O1778" s="10">
        <v>7.17</v>
      </c>
      <c r="P1778" s="10">
        <f t="shared" si="2325"/>
        <v>50.492957746478879</v>
      </c>
      <c r="Q1778" s="10" t="str">
        <f t="shared" si="2326"/>
        <v>NA</v>
      </c>
      <c r="R1778" s="10" t="s">
        <v>1575</v>
      </c>
      <c r="S1778" s="10" t="s">
        <v>1575</v>
      </c>
      <c r="T1778" s="10" t="s">
        <v>1575</v>
      </c>
      <c r="U1778" s="10" t="s">
        <v>1575</v>
      </c>
      <c r="V1778" s="10" t="s">
        <v>1575</v>
      </c>
      <c r="W1778" s="10" t="s">
        <v>1575</v>
      </c>
      <c r="X1778" s="10" t="str">
        <f t="shared" si="2328"/>
        <v>NA</v>
      </c>
      <c r="Y1778" s="10" t="str">
        <f t="shared" si="2329"/>
        <v>NA</v>
      </c>
      <c r="Z1778" s="10" t="str">
        <f t="shared" si="2330"/>
        <v>NA</v>
      </c>
      <c r="AA1778" s="10" t="str">
        <f t="shared" si="2331"/>
        <v>NA</v>
      </c>
      <c r="AB1778" s="10" t="str">
        <f t="shared" si="2332"/>
        <v>NA</v>
      </c>
      <c r="AC1778" s="10" t="str">
        <f t="shared" si="2333"/>
        <v>NA</v>
      </c>
      <c r="AD1778" s="10" t="str">
        <f t="shared" si="2334"/>
        <v>NA</v>
      </c>
      <c r="AE1778" s="10" t="str">
        <f t="shared" si="2335"/>
        <v>NA</v>
      </c>
      <c r="AF1778" s="1" t="s">
        <v>300</v>
      </c>
    </row>
    <row r="1779" spans="1:32" x14ac:dyDescent="0.2">
      <c r="A1779" s="1" t="s">
        <v>301</v>
      </c>
      <c r="B1779" s="1" t="s">
        <v>254</v>
      </c>
      <c r="C1779" s="1" t="s">
        <v>1575</v>
      </c>
      <c r="D1779" s="1" t="s">
        <v>1582</v>
      </c>
      <c r="E1779" s="1" t="s">
        <v>2010</v>
      </c>
      <c r="F1779" s="1" t="s">
        <v>302</v>
      </c>
      <c r="G1779" s="4">
        <v>1</v>
      </c>
      <c r="H1779" s="28">
        <v>40086</v>
      </c>
      <c r="I1779" s="29">
        <f t="shared" si="2327"/>
        <v>2009</v>
      </c>
      <c r="J1779" s="1" t="s">
        <v>1815</v>
      </c>
      <c r="K1779" s="1" t="s">
        <v>7</v>
      </c>
      <c r="L1779" s="11" t="str">
        <f t="shared" ref="L1779:L1842" si="2336">IF(OR(A1779=J1779,A1779=K1779),"ДА","НЕТ")</f>
        <v>НЕТ</v>
      </c>
      <c r="M1779" s="10">
        <v>39.700000000000003</v>
      </c>
      <c r="N1779" s="10" t="s">
        <v>1575</v>
      </c>
      <c r="O1779" s="10">
        <f>M1779*30.0922/1000</f>
        <v>1.19466034</v>
      </c>
      <c r="P1779" s="10">
        <f t="shared" si="2325"/>
        <v>1.19466034</v>
      </c>
      <c r="Q1779" s="10" t="str">
        <f t="shared" si="2326"/>
        <v>NA</v>
      </c>
      <c r="R1779" s="10" t="s">
        <v>1575</v>
      </c>
      <c r="S1779" s="10" t="s">
        <v>1575</v>
      </c>
      <c r="T1779" s="10" t="s">
        <v>1575</v>
      </c>
      <c r="U1779" s="10" t="s">
        <v>1575</v>
      </c>
      <c r="V1779" s="10">
        <f>(0.000993+0.011788+0.002097+0.027109-0.000235)*30.0922</f>
        <v>1.2564095344000001</v>
      </c>
      <c r="W1779" s="10" t="s">
        <v>1575</v>
      </c>
      <c r="X1779" s="10" t="str">
        <f t="shared" si="2328"/>
        <v>NA</v>
      </c>
      <c r="Y1779" s="10" t="str">
        <f t="shared" si="2329"/>
        <v>NA</v>
      </c>
      <c r="Z1779" s="10" t="str">
        <f t="shared" si="2330"/>
        <v>NA</v>
      </c>
      <c r="AA1779" s="10">
        <f t="shared" si="2331"/>
        <v>0.95085265376508898</v>
      </c>
      <c r="AB1779" s="10" t="str">
        <f t="shared" si="2332"/>
        <v>NA</v>
      </c>
      <c r="AC1779" s="10" t="str">
        <f t="shared" si="2333"/>
        <v>NA</v>
      </c>
      <c r="AD1779" s="10" t="str">
        <f t="shared" si="2334"/>
        <v>NA</v>
      </c>
      <c r="AE1779" s="10" t="str">
        <f t="shared" si="2335"/>
        <v>NA</v>
      </c>
    </row>
    <row r="1780" spans="1:32" x14ac:dyDescent="0.2">
      <c r="A1780" s="1" t="s">
        <v>303</v>
      </c>
      <c r="B1780" s="1" t="s">
        <v>5</v>
      </c>
      <c r="C1780" s="1" t="s">
        <v>1575</v>
      </c>
      <c r="D1780" s="1" t="s">
        <v>1595</v>
      </c>
      <c r="E1780" s="1" t="s">
        <v>1810</v>
      </c>
      <c r="F1780" s="1" t="s">
        <v>1974</v>
      </c>
      <c r="G1780" s="4">
        <v>0.255</v>
      </c>
      <c r="H1780" s="28">
        <v>39844</v>
      </c>
      <c r="I1780" s="29">
        <f t="shared" si="2327"/>
        <v>2009</v>
      </c>
      <c r="J1780" s="1" t="s">
        <v>1815</v>
      </c>
      <c r="K1780" s="1" t="s">
        <v>304</v>
      </c>
      <c r="L1780" s="11" t="str">
        <f t="shared" si="2336"/>
        <v>НЕТ</v>
      </c>
      <c r="M1780" s="10">
        <f>51.3-12.5</f>
        <v>38.799999999999997</v>
      </c>
      <c r="N1780" s="10" t="s">
        <v>1575</v>
      </c>
      <c r="O1780" s="10">
        <f>M1780*35.4146/1000</f>
        <v>1.3740864799999999</v>
      </c>
      <c r="P1780" s="10">
        <f t="shared" si="2325"/>
        <v>5.3885744313725485</v>
      </c>
      <c r="Q1780" s="10" t="str">
        <f t="shared" si="2326"/>
        <v>NA</v>
      </c>
      <c r="R1780" s="10" t="s">
        <v>1575</v>
      </c>
      <c r="S1780" s="10" t="s">
        <v>1575</v>
      </c>
      <c r="T1780" s="10" t="s">
        <v>1575</v>
      </c>
      <c r="U1780" s="10" t="s">
        <v>1575</v>
      </c>
      <c r="V1780" s="10" t="s">
        <v>1575</v>
      </c>
      <c r="W1780" s="10" t="s">
        <v>1575</v>
      </c>
      <c r="X1780" s="10" t="str">
        <f t="shared" si="2328"/>
        <v>NA</v>
      </c>
      <c r="Y1780" s="10" t="str">
        <f t="shared" si="2329"/>
        <v>NA</v>
      </c>
      <c r="Z1780" s="10" t="str">
        <f t="shared" si="2330"/>
        <v>NA</v>
      </c>
      <c r="AA1780" s="10" t="str">
        <f t="shared" si="2331"/>
        <v>NA</v>
      </c>
      <c r="AB1780" s="10" t="str">
        <f t="shared" si="2332"/>
        <v>NA</v>
      </c>
      <c r="AC1780" s="10" t="str">
        <f t="shared" si="2333"/>
        <v>NA</v>
      </c>
      <c r="AD1780" s="10" t="str">
        <f t="shared" si="2334"/>
        <v>NA</v>
      </c>
      <c r="AE1780" s="10" t="str">
        <f t="shared" si="2335"/>
        <v>NA</v>
      </c>
      <c r="AF1780" s="1" t="s">
        <v>305</v>
      </c>
    </row>
    <row r="1781" spans="1:32" x14ac:dyDescent="0.2">
      <c r="A1781" s="1" t="s">
        <v>6112</v>
      </c>
      <c r="B1781" s="1" t="s">
        <v>5</v>
      </c>
      <c r="C1781" s="1" t="s">
        <v>1575</v>
      </c>
      <c r="D1781" s="1" t="s">
        <v>1595</v>
      </c>
      <c r="E1781" s="1" t="s">
        <v>1596</v>
      </c>
      <c r="F1781" s="1" t="s">
        <v>1973</v>
      </c>
      <c r="G1781" s="4">
        <v>1</v>
      </c>
      <c r="H1781" s="28">
        <v>44889</v>
      </c>
      <c r="I1781" s="29">
        <f t="shared" si="2327"/>
        <v>2022</v>
      </c>
      <c r="J1781" s="1" t="s">
        <v>1883</v>
      </c>
      <c r="K1781" s="1" t="s">
        <v>1894</v>
      </c>
      <c r="L1781" s="11" t="str">
        <f t="shared" si="2336"/>
        <v>НЕТ</v>
      </c>
      <c r="M1781" s="10">
        <v>1900</v>
      </c>
      <c r="N1781" s="10" t="s">
        <v>1575</v>
      </c>
      <c r="O1781" s="10">
        <v>130</v>
      </c>
      <c r="P1781" s="10">
        <f t="shared" si="2325"/>
        <v>130</v>
      </c>
      <c r="Q1781" s="10" t="str">
        <f t="shared" si="2326"/>
        <v>NA</v>
      </c>
      <c r="R1781" s="10">
        <f>4.277*71.0157228282828</f>
        <v>303.73424653656554</v>
      </c>
      <c r="S1781" s="10" t="s">
        <v>1575</v>
      </c>
      <c r="T1781" s="10" t="s">
        <v>1575</v>
      </c>
      <c r="U1781" s="10">
        <f>-0.164*71.0157228282828</f>
        <v>-11.64657854383838</v>
      </c>
      <c r="V1781" s="10">
        <f>(5.792-4.232)*70.3375</f>
        <v>109.72649999999999</v>
      </c>
      <c r="W1781" s="10" t="s">
        <v>1575</v>
      </c>
      <c r="X1781" s="10" t="str">
        <f t="shared" si="2328"/>
        <v>NA</v>
      </c>
      <c r="Y1781" s="10">
        <f t="shared" si="2329"/>
        <v>0.42800573686493976</v>
      </c>
      <c r="Z1781" s="10">
        <f t="shared" si="2330"/>
        <v>-11.162076442508214</v>
      </c>
      <c r="AA1781" s="10">
        <f t="shared" si="2331"/>
        <v>1.1847639357857949</v>
      </c>
      <c r="AB1781" s="10" t="str">
        <f t="shared" si="2332"/>
        <v>NA</v>
      </c>
      <c r="AC1781" s="10" t="str">
        <f t="shared" si="2333"/>
        <v>NA</v>
      </c>
      <c r="AD1781" s="10" t="str">
        <f t="shared" si="2334"/>
        <v>NA</v>
      </c>
      <c r="AE1781" s="10" t="str">
        <f t="shared" si="2335"/>
        <v>NA</v>
      </c>
      <c r="AF1781" s="1" t="s">
        <v>1886</v>
      </c>
    </row>
    <row r="1782" spans="1:32" x14ac:dyDescent="0.2">
      <c r="A1782" s="1" t="s">
        <v>1903</v>
      </c>
      <c r="B1782" s="1" t="s">
        <v>310</v>
      </c>
      <c r="C1782" s="1" t="s">
        <v>1575</v>
      </c>
      <c r="D1782" s="1" t="s">
        <v>1595</v>
      </c>
      <c r="E1782" s="1" t="s">
        <v>1596</v>
      </c>
      <c r="F1782" s="1" t="s">
        <v>1973</v>
      </c>
      <c r="G1782" s="4">
        <v>0.45569999999999999</v>
      </c>
      <c r="H1782" s="28">
        <v>44778</v>
      </c>
      <c r="I1782" s="29">
        <f t="shared" si="2327"/>
        <v>2022</v>
      </c>
      <c r="J1782" s="1" t="s">
        <v>1884</v>
      </c>
      <c r="K1782" s="1" t="s">
        <v>1894</v>
      </c>
      <c r="L1782" s="11" t="str">
        <f t="shared" si="2336"/>
        <v>НЕТ</v>
      </c>
      <c r="M1782" s="10">
        <v>682</v>
      </c>
      <c r="N1782" s="10" t="s">
        <v>1575</v>
      </c>
      <c r="O1782" s="10">
        <f>M1782*60.258/1000</f>
        <v>41.095956000000001</v>
      </c>
      <c r="P1782" s="10">
        <f t="shared" si="2325"/>
        <v>90.182040816326534</v>
      </c>
      <c r="Q1782" s="10" t="str">
        <f t="shared" si="2326"/>
        <v>NA</v>
      </c>
      <c r="R1782" s="10">
        <f>0.659*73.668539516129</f>
        <v>48.547567541129013</v>
      </c>
      <c r="S1782" s="10" t="s">
        <v>1575</v>
      </c>
      <c r="T1782" s="10" t="s">
        <v>1575</v>
      </c>
      <c r="U1782" s="10">
        <f>0.151*73.668539516129</f>
        <v>11.123949466935478</v>
      </c>
      <c r="V1782" s="10">
        <f>(1.897-0.367)*60.258</f>
        <v>92.19474000000001</v>
      </c>
      <c r="W1782" s="10" t="s">
        <v>1575</v>
      </c>
      <c r="X1782" s="10" t="str">
        <f t="shared" si="2328"/>
        <v>NA</v>
      </c>
      <c r="Y1782" s="10">
        <f t="shared" si="2329"/>
        <v>1.8576016345190769</v>
      </c>
      <c r="Z1782" s="10">
        <f t="shared" si="2330"/>
        <v>8.107016404954118</v>
      </c>
      <c r="AA1782" s="10">
        <f t="shared" si="2331"/>
        <v>0.97816904539593608</v>
      </c>
      <c r="AB1782" s="10" t="str">
        <f t="shared" si="2332"/>
        <v>NA</v>
      </c>
      <c r="AC1782" s="10" t="str">
        <f t="shared" si="2333"/>
        <v>NA</v>
      </c>
      <c r="AD1782" s="10" t="str">
        <f t="shared" si="2334"/>
        <v>NA</v>
      </c>
      <c r="AE1782" s="10" t="str">
        <f t="shared" si="2335"/>
        <v>NA</v>
      </c>
      <c r="AF1782" s="1" t="s">
        <v>1885</v>
      </c>
    </row>
    <row r="1783" spans="1:32" x14ac:dyDescent="0.2">
      <c r="A1783" s="1" t="s">
        <v>6113</v>
      </c>
      <c r="B1783" s="1" t="s">
        <v>379</v>
      </c>
      <c r="C1783" s="1" t="s">
        <v>1575</v>
      </c>
      <c r="D1783" s="1" t="s">
        <v>1595</v>
      </c>
      <c r="E1783" s="1" t="s">
        <v>1596</v>
      </c>
      <c r="F1783" s="1" t="s">
        <v>1973</v>
      </c>
      <c r="G1783" s="4" t="s">
        <v>1575</v>
      </c>
      <c r="H1783" s="28">
        <v>44720</v>
      </c>
      <c r="I1783" s="29">
        <f t="shared" si="2327"/>
        <v>2022</v>
      </c>
      <c r="J1783" s="1" t="s">
        <v>1887</v>
      </c>
      <c r="K1783" s="1" t="s">
        <v>6114</v>
      </c>
      <c r="L1783" s="11" t="str">
        <f t="shared" si="2336"/>
        <v>НЕТ</v>
      </c>
      <c r="M1783" s="10">
        <v>45</v>
      </c>
      <c r="N1783" s="10" t="s">
        <v>1575</v>
      </c>
      <c r="O1783" s="10">
        <f>M1783*60.9565/1000</f>
        <v>2.7430425000000001</v>
      </c>
      <c r="P1783" s="10" t="str">
        <f t="shared" si="2325"/>
        <v>NA</v>
      </c>
      <c r="Q1783" s="10" t="str">
        <f t="shared" si="2326"/>
        <v>NA</v>
      </c>
      <c r="R1783" s="10" t="s">
        <v>1575</v>
      </c>
      <c r="S1783" s="10" t="s">
        <v>1575</v>
      </c>
      <c r="T1783" s="10" t="s">
        <v>1575</v>
      </c>
      <c r="U1783" s="10" t="s">
        <v>1575</v>
      </c>
      <c r="V1783" s="10" t="s">
        <v>1575</v>
      </c>
      <c r="W1783" s="10" t="s">
        <v>1575</v>
      </c>
      <c r="X1783" s="10" t="str">
        <f t="shared" si="2328"/>
        <v>NA</v>
      </c>
      <c r="Y1783" s="10" t="str">
        <f t="shared" si="2329"/>
        <v>NA</v>
      </c>
      <c r="Z1783" s="10" t="str">
        <f t="shared" si="2330"/>
        <v>NA</v>
      </c>
      <c r="AA1783" s="10" t="str">
        <f t="shared" si="2331"/>
        <v>NA</v>
      </c>
      <c r="AB1783" s="10" t="str">
        <f t="shared" si="2332"/>
        <v>NA</v>
      </c>
      <c r="AC1783" s="10" t="str">
        <f t="shared" si="2333"/>
        <v>NA</v>
      </c>
      <c r="AD1783" s="10" t="str">
        <f t="shared" si="2334"/>
        <v>NA</v>
      </c>
      <c r="AE1783" s="10" t="str">
        <f t="shared" si="2335"/>
        <v>NA</v>
      </c>
      <c r="AF1783" s="1" t="s">
        <v>1888</v>
      </c>
    </row>
    <row r="1784" spans="1:32" x14ac:dyDescent="0.2">
      <c r="A1784" s="1" t="s">
        <v>1890</v>
      </c>
      <c r="B1784" s="1" t="s">
        <v>1893</v>
      </c>
      <c r="C1784" s="1" t="s">
        <v>1575</v>
      </c>
      <c r="D1784" s="1" t="s">
        <v>1595</v>
      </c>
      <c r="E1784" s="1" t="s">
        <v>1596</v>
      </c>
      <c r="F1784" s="1" t="s">
        <v>1973</v>
      </c>
      <c r="G1784" s="4" t="s">
        <v>1575</v>
      </c>
      <c r="H1784" s="28">
        <v>44286</v>
      </c>
      <c r="I1784" s="29">
        <f t="shared" si="2327"/>
        <v>2021</v>
      </c>
      <c r="J1784" s="1" t="s">
        <v>1889</v>
      </c>
      <c r="K1784" s="1" t="s">
        <v>1891</v>
      </c>
      <c r="L1784" s="11" t="str">
        <f t="shared" si="2336"/>
        <v>НЕТ</v>
      </c>
      <c r="M1784" s="10">
        <v>115</v>
      </c>
      <c r="N1784" s="10" t="s">
        <v>1575</v>
      </c>
      <c r="O1784" s="10">
        <f>M1784*75.7023/1000</f>
        <v>8.705764499999999</v>
      </c>
      <c r="P1784" s="10" t="str">
        <f t="shared" si="2325"/>
        <v>NA</v>
      </c>
      <c r="Q1784" s="10" t="str">
        <f t="shared" si="2326"/>
        <v>NA</v>
      </c>
      <c r="R1784" s="10" t="s">
        <v>1575</v>
      </c>
      <c r="S1784" s="10" t="s">
        <v>1575</v>
      </c>
      <c r="T1784" s="10" t="s">
        <v>1575</v>
      </c>
      <c r="U1784" s="10" t="s">
        <v>1575</v>
      </c>
      <c r="V1784" s="10" t="s">
        <v>1575</v>
      </c>
      <c r="W1784" s="10" t="s">
        <v>1575</v>
      </c>
      <c r="X1784" s="10" t="str">
        <f t="shared" si="2328"/>
        <v>NA</v>
      </c>
      <c r="Y1784" s="10" t="str">
        <f t="shared" si="2329"/>
        <v>NA</v>
      </c>
      <c r="Z1784" s="10" t="str">
        <f t="shared" si="2330"/>
        <v>NA</v>
      </c>
      <c r="AA1784" s="10" t="str">
        <f t="shared" si="2331"/>
        <v>NA</v>
      </c>
      <c r="AB1784" s="10" t="str">
        <f t="shared" si="2332"/>
        <v>NA</v>
      </c>
      <c r="AC1784" s="10" t="str">
        <f t="shared" si="2333"/>
        <v>NA</v>
      </c>
      <c r="AD1784" s="10" t="str">
        <f t="shared" si="2334"/>
        <v>NA</v>
      </c>
      <c r="AE1784" s="10" t="str">
        <f t="shared" si="2335"/>
        <v>NA</v>
      </c>
      <c r="AF1784" s="1" t="s">
        <v>1892</v>
      </c>
    </row>
    <row r="1785" spans="1:32" x14ac:dyDescent="0.2">
      <c r="A1785" s="1" t="s">
        <v>1905</v>
      </c>
      <c r="B1785" s="1" t="s">
        <v>5</v>
      </c>
      <c r="C1785" s="1" t="s">
        <v>1575</v>
      </c>
      <c r="D1785" s="1" t="s">
        <v>1595</v>
      </c>
      <c r="E1785" s="1" t="s">
        <v>1596</v>
      </c>
      <c r="F1785" s="1" t="s">
        <v>1973</v>
      </c>
      <c r="G1785" s="4">
        <v>1</v>
      </c>
      <c r="H1785" s="28">
        <v>44444</v>
      </c>
      <c r="I1785" s="29">
        <f t="shared" si="2327"/>
        <v>2021</v>
      </c>
      <c r="J1785" s="1" t="s">
        <v>1904</v>
      </c>
      <c r="K1785" s="1" t="s">
        <v>1894</v>
      </c>
      <c r="L1785" s="11" t="str">
        <f t="shared" si="2336"/>
        <v>НЕТ</v>
      </c>
      <c r="M1785" s="10">
        <v>945</v>
      </c>
      <c r="N1785" s="10" t="s">
        <v>1575</v>
      </c>
      <c r="O1785" s="10">
        <v>70.650000000000006</v>
      </c>
      <c r="P1785" s="10">
        <f t="shared" si="2325"/>
        <v>70.650000000000006</v>
      </c>
      <c r="Q1785" s="10" t="str">
        <f t="shared" si="2326"/>
        <v>NA</v>
      </c>
      <c r="R1785" s="10" t="s">
        <v>1575</v>
      </c>
      <c r="S1785" s="10" t="s">
        <v>1575</v>
      </c>
      <c r="T1785" s="10" t="s">
        <v>1575</v>
      </c>
      <c r="U1785" s="10" t="s">
        <v>1575</v>
      </c>
      <c r="V1785" s="10">
        <f>(0.51-0.15)*74.8926</f>
        <v>26.961335999999999</v>
      </c>
      <c r="W1785" s="10" t="s">
        <v>1575</v>
      </c>
      <c r="X1785" s="10" t="str">
        <f t="shared" si="2328"/>
        <v>NA</v>
      </c>
      <c r="Y1785" s="10" t="str">
        <f t="shared" si="2329"/>
        <v>NA</v>
      </c>
      <c r="Z1785" s="10" t="str">
        <f t="shared" si="2330"/>
        <v>NA</v>
      </c>
      <c r="AA1785" s="10">
        <f t="shared" si="2331"/>
        <v>2.6204191068276441</v>
      </c>
      <c r="AB1785" s="10" t="str">
        <f t="shared" si="2332"/>
        <v>NA</v>
      </c>
      <c r="AC1785" s="10" t="str">
        <f t="shared" si="2333"/>
        <v>NA</v>
      </c>
      <c r="AD1785" s="10" t="str">
        <f t="shared" si="2334"/>
        <v>NA</v>
      </c>
      <c r="AE1785" s="10" t="str">
        <f t="shared" si="2335"/>
        <v>NA</v>
      </c>
      <c r="AF1785" s="1" t="s">
        <v>1906</v>
      </c>
    </row>
    <row r="1786" spans="1:32" x14ac:dyDescent="0.2">
      <c r="A1786" s="1" t="s">
        <v>1897</v>
      </c>
      <c r="B1786" s="1" t="s">
        <v>5</v>
      </c>
      <c r="C1786" s="1" t="s">
        <v>1575</v>
      </c>
      <c r="D1786" s="1" t="s">
        <v>1813</v>
      </c>
      <c r="E1786" s="1" t="s">
        <v>1587</v>
      </c>
      <c r="F1786" s="1" t="s">
        <v>255</v>
      </c>
      <c r="G1786" s="4">
        <v>0.67</v>
      </c>
      <c r="H1786" s="28">
        <v>44377</v>
      </c>
      <c r="I1786" s="29">
        <f t="shared" si="2327"/>
        <v>2021</v>
      </c>
      <c r="J1786" s="1" t="s">
        <v>1894</v>
      </c>
      <c r="K1786" s="1" t="s">
        <v>7</v>
      </c>
      <c r="L1786" s="11" t="str">
        <f t="shared" si="2336"/>
        <v>НЕТ</v>
      </c>
      <c r="M1786" s="10">
        <v>16</v>
      </c>
      <c r="N1786" s="10" t="s">
        <v>1575</v>
      </c>
      <c r="O1786" s="10">
        <f>M1786*72.3723/1000</f>
        <v>1.1579568</v>
      </c>
      <c r="P1786" s="10">
        <f t="shared" si="2325"/>
        <v>1.7282937313432836</v>
      </c>
      <c r="Q1786" s="10" t="str">
        <f t="shared" si="2326"/>
        <v>NA</v>
      </c>
      <c r="R1786" s="10" t="s">
        <v>1575</v>
      </c>
      <c r="S1786" s="10" t="s">
        <v>1575</v>
      </c>
      <c r="T1786" s="10" t="s">
        <v>1575</v>
      </c>
      <c r="U1786" s="10" t="s">
        <v>1575</v>
      </c>
      <c r="V1786" s="10" t="s">
        <v>1575</v>
      </c>
      <c r="W1786" s="10" t="s">
        <v>1575</v>
      </c>
      <c r="X1786" s="10" t="str">
        <f t="shared" si="2328"/>
        <v>NA</v>
      </c>
      <c r="Y1786" s="10" t="str">
        <f t="shared" si="2329"/>
        <v>NA</v>
      </c>
      <c r="Z1786" s="10" t="str">
        <f t="shared" si="2330"/>
        <v>NA</v>
      </c>
      <c r="AA1786" s="10" t="str">
        <f t="shared" si="2331"/>
        <v>NA</v>
      </c>
      <c r="AB1786" s="10" t="str">
        <f t="shared" si="2332"/>
        <v>NA</v>
      </c>
      <c r="AC1786" s="10" t="str">
        <f t="shared" si="2333"/>
        <v>NA</v>
      </c>
      <c r="AD1786" s="10" t="str">
        <f t="shared" si="2334"/>
        <v>NA</v>
      </c>
      <c r="AE1786" s="10" t="str">
        <f t="shared" si="2335"/>
        <v>NA</v>
      </c>
      <c r="AF1786" s="1" t="s">
        <v>1898</v>
      </c>
    </row>
    <row r="1787" spans="1:32" x14ac:dyDescent="0.2">
      <c r="A1787" s="1" t="s">
        <v>1900</v>
      </c>
      <c r="B1787" s="1" t="s">
        <v>8</v>
      </c>
      <c r="C1787" s="1" t="s">
        <v>1575</v>
      </c>
      <c r="D1787" s="1" t="s">
        <v>1595</v>
      </c>
      <c r="E1787" s="1" t="s">
        <v>1596</v>
      </c>
      <c r="F1787" s="1" t="s">
        <v>1973</v>
      </c>
      <c r="G1787" s="4" t="s">
        <v>1575</v>
      </c>
      <c r="H1787" s="28">
        <v>44135</v>
      </c>
      <c r="I1787" s="29">
        <f t="shared" si="2327"/>
        <v>2020</v>
      </c>
      <c r="J1787" s="1" t="s">
        <v>7</v>
      </c>
      <c r="K1787" s="1" t="s">
        <v>1894</v>
      </c>
      <c r="L1787" s="11" t="str">
        <f t="shared" si="2336"/>
        <v>НЕТ</v>
      </c>
      <c r="M1787" s="10">
        <v>51</v>
      </c>
      <c r="N1787" s="10" t="s">
        <v>1575</v>
      </c>
      <c r="O1787" s="10">
        <f>M1787*79.3323/1000</f>
        <v>4.0459472999999999</v>
      </c>
      <c r="P1787" s="10" t="str">
        <f t="shared" si="2325"/>
        <v>NA</v>
      </c>
      <c r="Q1787" s="10" t="str">
        <f t="shared" si="2326"/>
        <v>NA</v>
      </c>
      <c r="R1787" s="10" t="s">
        <v>1575</v>
      </c>
      <c r="S1787" s="10" t="s">
        <v>1575</v>
      </c>
      <c r="T1787" s="10" t="s">
        <v>1575</v>
      </c>
      <c r="U1787" s="10" t="s">
        <v>1575</v>
      </c>
      <c r="V1787" s="10" t="s">
        <v>1575</v>
      </c>
      <c r="W1787" s="10" t="s">
        <v>1575</v>
      </c>
      <c r="X1787" s="10" t="str">
        <f t="shared" si="2328"/>
        <v>NA</v>
      </c>
      <c r="Y1787" s="10" t="str">
        <f t="shared" si="2329"/>
        <v>NA</v>
      </c>
      <c r="Z1787" s="10" t="str">
        <f t="shared" si="2330"/>
        <v>NA</v>
      </c>
      <c r="AA1787" s="10" t="str">
        <f t="shared" si="2331"/>
        <v>NA</v>
      </c>
      <c r="AB1787" s="10" t="str">
        <f t="shared" si="2332"/>
        <v>NA</v>
      </c>
      <c r="AC1787" s="10" t="str">
        <f t="shared" si="2333"/>
        <v>NA</v>
      </c>
      <c r="AD1787" s="10" t="str">
        <f t="shared" si="2334"/>
        <v>NA</v>
      </c>
      <c r="AE1787" s="10" t="str">
        <f t="shared" si="2335"/>
        <v>NA</v>
      </c>
      <c r="AF1787" s="1" t="s">
        <v>1899</v>
      </c>
    </row>
    <row r="1788" spans="1:32" x14ac:dyDescent="0.2">
      <c r="A1788" s="1" t="s">
        <v>1902</v>
      </c>
      <c r="B1788" s="1" t="s">
        <v>643</v>
      </c>
      <c r="C1788" s="1" t="s">
        <v>1575</v>
      </c>
      <c r="D1788" s="1" t="s">
        <v>1595</v>
      </c>
      <c r="E1788" s="1" t="s">
        <v>1596</v>
      </c>
      <c r="F1788" s="1" t="s">
        <v>1973</v>
      </c>
      <c r="G1788" s="4">
        <v>0.40550000000000003</v>
      </c>
      <c r="H1788" s="28">
        <v>43708</v>
      </c>
      <c r="I1788" s="29">
        <f t="shared" si="2327"/>
        <v>2019</v>
      </c>
      <c r="J1788" s="1" t="s">
        <v>1894</v>
      </c>
      <c r="K1788" s="1" t="s">
        <v>7</v>
      </c>
      <c r="L1788" s="11" t="str">
        <f t="shared" si="2336"/>
        <v>НЕТ</v>
      </c>
      <c r="M1788" s="10">
        <v>608</v>
      </c>
      <c r="N1788" s="10" t="s">
        <v>1575</v>
      </c>
      <c r="O1788" s="10">
        <f>M1788*66.4897/1000</f>
        <v>40.425737599999998</v>
      </c>
      <c r="P1788" s="10">
        <f t="shared" si="2325"/>
        <v>99.693557583230572</v>
      </c>
      <c r="Q1788" s="10" t="str">
        <f t="shared" si="2326"/>
        <v>NA</v>
      </c>
      <c r="R1788" s="10" t="s">
        <v>1575</v>
      </c>
      <c r="S1788" s="10" t="s">
        <v>1575</v>
      </c>
      <c r="T1788" s="10" t="s">
        <v>1575</v>
      </c>
      <c r="U1788" s="10" t="s">
        <v>1575</v>
      </c>
      <c r="V1788" s="10" t="s">
        <v>1575</v>
      </c>
      <c r="W1788" s="10" t="s">
        <v>1575</v>
      </c>
      <c r="X1788" s="10" t="str">
        <f t="shared" si="2328"/>
        <v>NA</v>
      </c>
      <c r="Y1788" s="10" t="str">
        <f t="shared" si="2329"/>
        <v>NA</v>
      </c>
      <c r="Z1788" s="10" t="str">
        <f t="shared" si="2330"/>
        <v>NA</v>
      </c>
      <c r="AA1788" s="10" t="str">
        <f t="shared" si="2331"/>
        <v>NA</v>
      </c>
      <c r="AB1788" s="10" t="str">
        <f t="shared" si="2332"/>
        <v>NA</v>
      </c>
      <c r="AC1788" s="10" t="str">
        <f t="shared" si="2333"/>
        <v>NA</v>
      </c>
      <c r="AD1788" s="10" t="str">
        <f t="shared" si="2334"/>
        <v>NA</v>
      </c>
      <c r="AE1788" s="10" t="str">
        <f t="shared" si="2335"/>
        <v>NA</v>
      </c>
      <c r="AF1788" s="1" t="s">
        <v>1901</v>
      </c>
    </row>
    <row r="1789" spans="1:32" x14ac:dyDescent="0.2">
      <c r="A1789" s="1" t="s">
        <v>1911</v>
      </c>
      <c r="B1789" s="1" t="s">
        <v>23</v>
      </c>
      <c r="C1789" s="1" t="s">
        <v>1575</v>
      </c>
      <c r="D1789" s="1" t="s">
        <v>1595</v>
      </c>
      <c r="E1789" s="1" t="s">
        <v>1596</v>
      </c>
      <c r="F1789" s="1" t="s">
        <v>1973</v>
      </c>
      <c r="G1789" s="4">
        <v>0.5</v>
      </c>
      <c r="H1789" s="28">
        <v>43350</v>
      </c>
      <c r="I1789" s="29">
        <f t="shared" si="2327"/>
        <v>2018</v>
      </c>
      <c r="J1789" s="1" t="s">
        <v>1907</v>
      </c>
      <c r="K1789" s="1" t="s">
        <v>1894</v>
      </c>
      <c r="L1789" s="11" t="str">
        <f t="shared" si="2336"/>
        <v>НЕТ</v>
      </c>
      <c r="M1789" s="10">
        <v>2830</v>
      </c>
      <c r="N1789" s="10">
        <v>2450</v>
      </c>
      <c r="O1789" s="10">
        <f>M1789*68.2505/1000</f>
        <v>193.14891500000002</v>
      </c>
      <c r="P1789" s="10">
        <f t="shared" si="2325"/>
        <v>386.29783000000003</v>
      </c>
      <c r="Q1789" s="10" t="str">
        <f t="shared" si="2326"/>
        <v>NA</v>
      </c>
      <c r="R1789" s="10" t="s">
        <v>1575</v>
      </c>
      <c r="S1789" s="10" t="s">
        <v>1575</v>
      </c>
      <c r="T1789" s="10" t="s">
        <v>1575</v>
      </c>
      <c r="U1789" s="10">
        <f>-0.39/0.5*58.2981846153846</f>
        <v>-45.472583999999991</v>
      </c>
      <c r="V1789" s="10">
        <f>1.599*68.2505</f>
        <v>109.1325495</v>
      </c>
      <c r="W1789" s="10" t="s">
        <v>1575</v>
      </c>
      <c r="X1789" s="10" t="str">
        <f t="shared" si="2328"/>
        <v>NA</v>
      </c>
      <c r="Y1789" s="10" t="str">
        <f t="shared" si="2329"/>
        <v>NA</v>
      </c>
      <c r="Z1789" s="10">
        <f t="shared" si="2330"/>
        <v>-8.4951809644246321</v>
      </c>
      <c r="AA1789" s="10">
        <f t="shared" si="2331"/>
        <v>3.5397123202001257</v>
      </c>
      <c r="AB1789" s="10" t="str">
        <f t="shared" si="2332"/>
        <v>NA</v>
      </c>
      <c r="AC1789" s="10" t="str">
        <f t="shared" si="2333"/>
        <v>NA</v>
      </c>
      <c r="AD1789" s="10" t="str">
        <f t="shared" si="2334"/>
        <v>NA</v>
      </c>
      <c r="AE1789" s="10" t="str">
        <f t="shared" si="2335"/>
        <v>NA</v>
      </c>
      <c r="AF1789" s="1" t="s">
        <v>1910</v>
      </c>
    </row>
    <row r="1790" spans="1:32" x14ac:dyDescent="0.2">
      <c r="A1790" s="1" t="s">
        <v>6115</v>
      </c>
      <c r="B1790" s="1" t="s">
        <v>5</v>
      </c>
      <c r="C1790" s="1" t="s">
        <v>1575</v>
      </c>
      <c r="D1790" s="1" t="s">
        <v>1578</v>
      </c>
      <c r="E1790" s="16" t="s">
        <v>9250</v>
      </c>
      <c r="F1790" s="1" t="s">
        <v>1909</v>
      </c>
      <c r="G1790" s="4">
        <v>0.5</v>
      </c>
      <c r="H1790" s="28">
        <v>43153</v>
      </c>
      <c r="I1790" s="29">
        <f t="shared" si="2327"/>
        <v>2018</v>
      </c>
      <c r="J1790" s="1" t="s">
        <v>6116</v>
      </c>
      <c r="K1790" s="1" t="s">
        <v>6005</v>
      </c>
      <c r="L1790" s="11" t="str">
        <f t="shared" si="2336"/>
        <v>НЕТ</v>
      </c>
      <c r="M1790" s="10">
        <v>21</v>
      </c>
      <c r="N1790" s="10" t="s">
        <v>1575</v>
      </c>
      <c r="O1790" s="10">
        <v>1.2</v>
      </c>
      <c r="P1790" s="10">
        <f t="shared" si="2325"/>
        <v>2.4</v>
      </c>
      <c r="Q1790" s="10" t="str">
        <f t="shared" si="2326"/>
        <v>NA</v>
      </c>
      <c r="R1790" s="10" t="s">
        <v>1575</v>
      </c>
      <c r="S1790" s="10" t="s">
        <v>1575</v>
      </c>
      <c r="T1790" s="10" t="s">
        <v>1575</v>
      </c>
      <c r="U1790" s="10" t="s">
        <v>1575</v>
      </c>
      <c r="V1790" s="10" t="s">
        <v>1575</v>
      </c>
      <c r="W1790" s="10" t="s">
        <v>1575</v>
      </c>
      <c r="X1790" s="10" t="str">
        <f t="shared" si="2328"/>
        <v>NA</v>
      </c>
      <c r="Y1790" s="10" t="str">
        <f t="shared" si="2329"/>
        <v>NA</v>
      </c>
      <c r="Z1790" s="10" t="str">
        <f t="shared" si="2330"/>
        <v>NA</v>
      </c>
      <c r="AA1790" s="10" t="str">
        <f t="shared" si="2331"/>
        <v>NA</v>
      </c>
      <c r="AB1790" s="10" t="str">
        <f t="shared" si="2332"/>
        <v>NA</v>
      </c>
      <c r="AC1790" s="10" t="str">
        <f t="shared" si="2333"/>
        <v>NA</v>
      </c>
      <c r="AD1790" s="10" t="str">
        <f t="shared" si="2334"/>
        <v>NA</v>
      </c>
      <c r="AE1790" s="10" t="str">
        <f t="shared" si="2335"/>
        <v>NA</v>
      </c>
      <c r="AF1790" s="1" t="s">
        <v>1908</v>
      </c>
    </row>
    <row r="1791" spans="1:32" x14ac:dyDescent="0.2">
      <c r="A1791" s="1" t="s">
        <v>1913</v>
      </c>
      <c r="B1791" s="1" t="s">
        <v>1914</v>
      </c>
      <c r="C1791" s="1" t="s">
        <v>1575</v>
      </c>
      <c r="D1791" s="1" t="s">
        <v>1595</v>
      </c>
      <c r="E1791" s="1" t="s">
        <v>1596</v>
      </c>
      <c r="F1791" s="1" t="s">
        <v>1973</v>
      </c>
      <c r="G1791" s="4">
        <v>1</v>
      </c>
      <c r="H1791" s="28">
        <v>42978</v>
      </c>
      <c r="I1791" s="29">
        <f t="shared" si="2327"/>
        <v>2017</v>
      </c>
      <c r="J1791" s="1" t="s">
        <v>7</v>
      </c>
      <c r="K1791" s="1" t="s">
        <v>6117</v>
      </c>
      <c r="L1791" s="11" t="str">
        <f t="shared" si="2336"/>
        <v>НЕТ</v>
      </c>
      <c r="M1791" s="10">
        <v>940</v>
      </c>
      <c r="N1791" s="10" t="s">
        <v>1575</v>
      </c>
      <c r="O1791" s="10">
        <f>M1791*58.7306/1000</f>
        <v>55.206764</v>
      </c>
      <c r="P1791" s="10">
        <f t="shared" si="2325"/>
        <v>55.206764</v>
      </c>
      <c r="Q1791" s="10" t="str">
        <f t="shared" si="2326"/>
        <v>NA</v>
      </c>
      <c r="R1791" s="10" t="s">
        <v>1575</v>
      </c>
      <c r="S1791" s="10" t="s">
        <v>1575</v>
      </c>
      <c r="T1791" s="10" t="s">
        <v>1575</v>
      </c>
      <c r="U1791" s="10" t="s">
        <v>1575</v>
      </c>
      <c r="V1791" s="10">
        <f>(0.511-0.035)*58.7306</f>
        <v>27.955765599999999</v>
      </c>
      <c r="W1791" s="10" t="s">
        <v>1575</v>
      </c>
      <c r="X1791" s="10" t="str">
        <f t="shared" si="2328"/>
        <v>NA</v>
      </c>
      <c r="Y1791" s="10" t="str">
        <f t="shared" si="2329"/>
        <v>NA</v>
      </c>
      <c r="Z1791" s="10" t="str">
        <f t="shared" si="2330"/>
        <v>NA</v>
      </c>
      <c r="AA1791" s="10">
        <f t="shared" si="2331"/>
        <v>1.9747899159663866</v>
      </c>
      <c r="AB1791" s="10" t="str">
        <f t="shared" si="2332"/>
        <v>NA</v>
      </c>
      <c r="AC1791" s="10" t="str">
        <f t="shared" si="2333"/>
        <v>NA</v>
      </c>
      <c r="AD1791" s="10" t="str">
        <f t="shared" si="2334"/>
        <v>NA</v>
      </c>
      <c r="AE1791" s="10" t="str">
        <f t="shared" si="2335"/>
        <v>NA</v>
      </c>
      <c r="AF1791" s="1" t="s">
        <v>1912</v>
      </c>
    </row>
    <row r="1792" spans="1:32" x14ac:dyDescent="0.2">
      <c r="A1792" s="1" t="s">
        <v>1902</v>
      </c>
      <c r="B1792" s="1" t="s">
        <v>643</v>
      </c>
      <c r="C1792" s="1" t="s">
        <v>1575</v>
      </c>
      <c r="D1792" s="1" t="s">
        <v>1595</v>
      </c>
      <c r="E1792" s="1" t="s">
        <v>1596</v>
      </c>
      <c r="F1792" s="1" t="s">
        <v>1973</v>
      </c>
      <c r="G1792" s="4">
        <v>5.7700000000000001E-2</v>
      </c>
      <c r="H1792" s="28">
        <v>42787</v>
      </c>
      <c r="I1792" s="29">
        <f t="shared" si="2327"/>
        <v>2017</v>
      </c>
      <c r="J1792" s="1" t="s">
        <v>1915</v>
      </c>
      <c r="K1792" s="1" t="s">
        <v>7</v>
      </c>
      <c r="L1792" s="11" t="str">
        <f t="shared" si="2336"/>
        <v>НЕТ</v>
      </c>
      <c r="M1792" s="10">
        <v>259</v>
      </c>
      <c r="N1792" s="10" t="s">
        <v>1575</v>
      </c>
      <c r="O1792" s="10">
        <f>M1792*58.0967/1000</f>
        <v>15.047045300000001</v>
      </c>
      <c r="P1792" s="10">
        <f t="shared" si="2325"/>
        <v>260.78068110918542</v>
      </c>
      <c r="Q1792" s="10" t="str">
        <f t="shared" si="2326"/>
        <v>NA</v>
      </c>
      <c r="R1792" s="10" t="s">
        <v>1575</v>
      </c>
      <c r="S1792" s="10" t="s">
        <v>1575</v>
      </c>
      <c r="T1792" s="10" t="s">
        <v>1575</v>
      </c>
      <c r="U1792" s="10" t="s">
        <v>1575</v>
      </c>
      <c r="V1792" s="10" t="s">
        <v>1575</v>
      </c>
      <c r="W1792" s="10" t="s">
        <v>1575</v>
      </c>
      <c r="X1792" s="10" t="str">
        <f t="shared" si="2328"/>
        <v>NA</v>
      </c>
      <c r="Y1792" s="10" t="str">
        <f t="shared" si="2329"/>
        <v>NA</v>
      </c>
      <c r="Z1792" s="10" t="str">
        <f t="shared" si="2330"/>
        <v>NA</v>
      </c>
      <c r="AA1792" s="10" t="str">
        <f t="shared" si="2331"/>
        <v>NA</v>
      </c>
      <c r="AB1792" s="10" t="str">
        <f t="shared" si="2332"/>
        <v>NA</v>
      </c>
      <c r="AC1792" s="10" t="str">
        <f t="shared" si="2333"/>
        <v>NA</v>
      </c>
      <c r="AD1792" s="10" t="str">
        <f t="shared" si="2334"/>
        <v>NA</v>
      </c>
      <c r="AE1792" s="10" t="str">
        <f t="shared" si="2335"/>
        <v>NA</v>
      </c>
      <c r="AF1792" s="1" t="s">
        <v>1916</v>
      </c>
    </row>
    <row r="1793" spans="1:32" x14ac:dyDescent="0.2">
      <c r="A1793" s="1" t="s">
        <v>6118</v>
      </c>
      <c r="B1793" s="1" t="s">
        <v>1914</v>
      </c>
      <c r="C1793" s="1" t="s">
        <v>1575</v>
      </c>
      <c r="D1793" s="1" t="s">
        <v>1595</v>
      </c>
      <c r="E1793" s="1" t="s">
        <v>1596</v>
      </c>
      <c r="F1793" s="1" t="s">
        <v>1973</v>
      </c>
      <c r="G1793" s="4">
        <v>1</v>
      </c>
      <c r="H1793" s="28">
        <v>42582</v>
      </c>
      <c r="I1793" s="29">
        <f t="shared" si="2327"/>
        <v>2016</v>
      </c>
      <c r="J1793" s="1" t="s">
        <v>1919</v>
      </c>
      <c r="K1793" s="1" t="s">
        <v>1917</v>
      </c>
      <c r="L1793" s="11" t="str">
        <f t="shared" si="2336"/>
        <v>НЕТ</v>
      </c>
      <c r="M1793" s="10">
        <v>321</v>
      </c>
      <c r="N1793" s="10" t="s">
        <v>1575</v>
      </c>
      <c r="O1793" s="10">
        <f>M1793*67.0512/1000</f>
        <v>21.523435200000002</v>
      </c>
      <c r="P1793" s="10">
        <f t="shared" si="2325"/>
        <v>21.523435200000002</v>
      </c>
      <c r="Q1793" s="10" t="str">
        <f t="shared" si="2326"/>
        <v>NA</v>
      </c>
      <c r="R1793" s="10" t="s">
        <v>1575</v>
      </c>
      <c r="S1793" s="10" t="s">
        <v>1575</v>
      </c>
      <c r="T1793" s="10" t="s">
        <v>1575</v>
      </c>
      <c r="U1793" s="10" t="s">
        <v>1575</v>
      </c>
      <c r="V1793" s="10">
        <f>0.12*67.0512</f>
        <v>8.0461439999999982</v>
      </c>
      <c r="W1793" s="10" t="s">
        <v>1575</v>
      </c>
      <c r="X1793" s="10" t="str">
        <f t="shared" si="2328"/>
        <v>NA</v>
      </c>
      <c r="Y1793" s="10" t="str">
        <f t="shared" si="2329"/>
        <v>NA</v>
      </c>
      <c r="Z1793" s="10" t="str">
        <f t="shared" si="2330"/>
        <v>NA</v>
      </c>
      <c r="AA1793" s="10">
        <f t="shared" si="2331"/>
        <v>2.6750000000000007</v>
      </c>
      <c r="AB1793" s="10" t="str">
        <f t="shared" si="2332"/>
        <v>NA</v>
      </c>
      <c r="AC1793" s="10" t="str">
        <f t="shared" si="2333"/>
        <v>NA</v>
      </c>
      <c r="AD1793" s="10" t="str">
        <f t="shared" si="2334"/>
        <v>NA</v>
      </c>
      <c r="AE1793" s="10" t="str">
        <f t="shared" si="2335"/>
        <v>NA</v>
      </c>
      <c r="AF1793" s="1" t="s">
        <v>1918</v>
      </c>
    </row>
    <row r="1794" spans="1:32" x14ac:dyDescent="0.2">
      <c r="A1794" s="1" t="s">
        <v>316</v>
      </c>
      <c r="B1794" s="1" t="s">
        <v>312</v>
      </c>
      <c r="C1794" s="1" t="s">
        <v>1575</v>
      </c>
      <c r="D1794" s="1" t="s">
        <v>1595</v>
      </c>
      <c r="E1794" s="1" t="s">
        <v>1596</v>
      </c>
      <c r="F1794" s="1" t="s">
        <v>1973</v>
      </c>
      <c r="G1794" s="4">
        <v>1</v>
      </c>
      <c r="H1794" s="28">
        <v>42704</v>
      </c>
      <c r="I1794" s="29">
        <f t="shared" si="2327"/>
        <v>2016</v>
      </c>
      <c r="J1794" s="1" t="s">
        <v>311</v>
      </c>
      <c r="K1794" s="1" t="s">
        <v>1894</v>
      </c>
      <c r="L1794" s="11" t="str">
        <f t="shared" si="2336"/>
        <v>НЕТ</v>
      </c>
      <c r="M1794" s="10">
        <v>40</v>
      </c>
      <c r="N1794" s="10" t="s">
        <v>1575</v>
      </c>
      <c r="O1794" s="10">
        <f>M1794*64.9449/1000</f>
        <v>2.5977960000000002</v>
      </c>
      <c r="P1794" s="10">
        <f t="shared" si="2325"/>
        <v>2.5977960000000002</v>
      </c>
      <c r="Q1794" s="10" t="str">
        <f t="shared" si="2326"/>
        <v>NA</v>
      </c>
      <c r="R1794" s="10" t="s">
        <v>1575</v>
      </c>
      <c r="S1794" s="10" t="s">
        <v>1575</v>
      </c>
      <c r="T1794" s="10" t="s">
        <v>1575</v>
      </c>
      <c r="U1794" s="10" t="s">
        <v>1575</v>
      </c>
      <c r="V1794" s="10" t="s">
        <v>1575</v>
      </c>
      <c r="W1794" s="10" t="s">
        <v>1575</v>
      </c>
      <c r="X1794" s="10" t="str">
        <f t="shared" si="2328"/>
        <v>NA</v>
      </c>
      <c r="Y1794" s="10" t="str">
        <f t="shared" si="2329"/>
        <v>NA</v>
      </c>
      <c r="Z1794" s="10" t="str">
        <f t="shared" si="2330"/>
        <v>NA</v>
      </c>
      <c r="AA1794" s="10" t="str">
        <f t="shared" si="2331"/>
        <v>NA</v>
      </c>
      <c r="AB1794" s="10" t="str">
        <f t="shared" si="2332"/>
        <v>NA</v>
      </c>
      <c r="AC1794" s="10" t="str">
        <f t="shared" si="2333"/>
        <v>NA</v>
      </c>
      <c r="AD1794" s="10" t="str">
        <f t="shared" si="2334"/>
        <v>NA</v>
      </c>
      <c r="AE1794" s="10" t="str">
        <f t="shared" si="2335"/>
        <v>NA</v>
      </c>
      <c r="AF1794" s="1" t="s">
        <v>1920</v>
      </c>
    </row>
    <row r="1795" spans="1:32" x14ac:dyDescent="0.2">
      <c r="A1795" s="1" t="s">
        <v>6119</v>
      </c>
      <c r="B1795" s="1" t="s">
        <v>21</v>
      </c>
      <c r="C1795" s="1" t="s">
        <v>1575</v>
      </c>
      <c r="D1795" s="1" t="s">
        <v>1595</v>
      </c>
      <c r="E1795" s="1" t="s">
        <v>1596</v>
      </c>
      <c r="F1795" s="1" t="s">
        <v>1973</v>
      </c>
      <c r="G1795" s="4">
        <v>0.16</v>
      </c>
      <c r="H1795" s="28">
        <v>42643</v>
      </c>
      <c r="I1795" s="29">
        <f t="shared" si="2327"/>
        <v>2016</v>
      </c>
      <c r="J1795" s="1" t="s">
        <v>1894</v>
      </c>
      <c r="K1795" s="1" t="s">
        <v>7</v>
      </c>
      <c r="L1795" s="11" t="str">
        <f t="shared" si="2336"/>
        <v>НЕТ</v>
      </c>
      <c r="M1795" s="10">
        <v>7</v>
      </c>
      <c r="N1795" s="10" t="s">
        <v>1575</v>
      </c>
      <c r="O1795" s="10">
        <f>M1795*63.1581/1000</f>
        <v>0.44210669999999996</v>
      </c>
      <c r="P1795" s="10">
        <f t="shared" ref="P1795:P1858" si="2337">IFERROR(O1795/G1795,"NA")</f>
        <v>2.7631668749999996</v>
      </c>
      <c r="Q1795" s="10" t="str">
        <f t="shared" ref="Q1795:Q1858" si="2338">IFERROR(P1795+W1795,"NA")</f>
        <v>NA</v>
      </c>
      <c r="R1795" s="10" t="s">
        <v>1575</v>
      </c>
      <c r="S1795" s="10" t="s">
        <v>1575</v>
      </c>
      <c r="T1795" s="10" t="s">
        <v>1575</v>
      </c>
      <c r="U1795" s="10" t="s">
        <v>1575</v>
      </c>
      <c r="V1795" s="10" t="s">
        <v>1575</v>
      </c>
      <c r="W1795" s="10" t="s">
        <v>1575</v>
      </c>
      <c r="X1795" s="10" t="str">
        <f t="shared" si="2328"/>
        <v>NA</v>
      </c>
      <c r="Y1795" s="10" t="str">
        <f t="shared" si="2329"/>
        <v>NA</v>
      </c>
      <c r="Z1795" s="10" t="str">
        <f t="shared" si="2330"/>
        <v>NA</v>
      </c>
      <c r="AA1795" s="10" t="str">
        <f t="shared" si="2331"/>
        <v>NA</v>
      </c>
      <c r="AB1795" s="10" t="str">
        <f t="shared" si="2332"/>
        <v>NA</v>
      </c>
      <c r="AC1795" s="10" t="str">
        <f t="shared" si="2333"/>
        <v>NA</v>
      </c>
      <c r="AD1795" s="10" t="str">
        <f t="shared" si="2334"/>
        <v>NA</v>
      </c>
      <c r="AE1795" s="10" t="str">
        <f t="shared" si="2335"/>
        <v>NA</v>
      </c>
      <c r="AF1795" s="1" t="s">
        <v>1921</v>
      </c>
    </row>
    <row r="1796" spans="1:32" x14ac:dyDescent="0.2">
      <c r="A1796" s="1" t="s">
        <v>6120</v>
      </c>
      <c r="B1796" s="1" t="s">
        <v>21</v>
      </c>
      <c r="C1796" s="1" t="s">
        <v>1575</v>
      </c>
      <c r="D1796" s="1" t="s">
        <v>1595</v>
      </c>
      <c r="E1796" s="1" t="s">
        <v>1596</v>
      </c>
      <c r="F1796" s="1" t="s">
        <v>1973</v>
      </c>
      <c r="G1796" s="4">
        <v>0.24</v>
      </c>
      <c r="H1796" s="28">
        <v>42643</v>
      </c>
      <c r="I1796" s="29">
        <f t="shared" si="2327"/>
        <v>2016</v>
      </c>
      <c r="J1796" s="1" t="s">
        <v>1894</v>
      </c>
      <c r="K1796" s="1" t="s">
        <v>7</v>
      </c>
      <c r="L1796" s="11" t="str">
        <f t="shared" si="2336"/>
        <v>НЕТ</v>
      </c>
      <c r="M1796" s="10">
        <v>1.0000000000000001E-9</v>
      </c>
      <c r="N1796" s="10" t="s">
        <v>1575</v>
      </c>
      <c r="O1796" s="10">
        <f>M1796*63.1581/1000</f>
        <v>6.3158100000000007E-11</v>
      </c>
      <c r="P1796" s="10">
        <f t="shared" si="2337"/>
        <v>2.6315875000000001E-10</v>
      </c>
      <c r="Q1796" s="10" t="str">
        <f t="shared" si="2338"/>
        <v>NA</v>
      </c>
      <c r="R1796" s="10" t="s">
        <v>1575</v>
      </c>
      <c r="S1796" s="10" t="s">
        <v>1575</v>
      </c>
      <c r="T1796" s="10" t="s">
        <v>1575</v>
      </c>
      <c r="U1796" s="10" t="s">
        <v>1575</v>
      </c>
      <c r="V1796" s="10" t="s">
        <v>1575</v>
      </c>
      <c r="W1796" s="10" t="s">
        <v>1575</v>
      </c>
      <c r="X1796" s="10" t="str">
        <f t="shared" si="2328"/>
        <v>NA</v>
      </c>
      <c r="Y1796" s="10" t="str">
        <f t="shared" si="2329"/>
        <v>NA</v>
      </c>
      <c r="Z1796" s="10" t="str">
        <f t="shared" si="2330"/>
        <v>NA</v>
      </c>
      <c r="AA1796" s="10" t="str">
        <f t="shared" si="2331"/>
        <v>NA</v>
      </c>
      <c r="AB1796" s="10" t="str">
        <f t="shared" si="2332"/>
        <v>NA</v>
      </c>
      <c r="AC1796" s="10" t="str">
        <f t="shared" si="2333"/>
        <v>NA</v>
      </c>
      <c r="AD1796" s="10" t="str">
        <f t="shared" si="2334"/>
        <v>NA</v>
      </c>
      <c r="AE1796" s="10" t="str">
        <f t="shared" si="2335"/>
        <v>NA</v>
      </c>
      <c r="AF1796" s="1" t="s">
        <v>1921</v>
      </c>
    </row>
    <row r="1797" spans="1:32" x14ac:dyDescent="0.2">
      <c r="A1797" s="1" t="s">
        <v>306</v>
      </c>
      <c r="B1797" s="1" t="s">
        <v>23</v>
      </c>
      <c r="C1797" s="1" t="s">
        <v>1575</v>
      </c>
      <c r="D1797" s="1" t="s">
        <v>1595</v>
      </c>
      <c r="E1797" s="1" t="s">
        <v>1596</v>
      </c>
      <c r="F1797" s="1" t="s">
        <v>1973</v>
      </c>
      <c r="G1797" s="4">
        <v>0.91</v>
      </c>
      <c r="H1797" s="28">
        <v>42089</v>
      </c>
      <c r="I1797" s="29">
        <f t="shared" si="2327"/>
        <v>2015</v>
      </c>
      <c r="J1797" s="1" t="s">
        <v>307</v>
      </c>
      <c r="K1797" s="1" t="s">
        <v>1894</v>
      </c>
      <c r="L1797" s="11" t="str">
        <f t="shared" si="2336"/>
        <v>НЕТ</v>
      </c>
      <c r="M1797" s="10">
        <v>750</v>
      </c>
      <c r="N1797" s="10">
        <v>693</v>
      </c>
      <c r="O1797" s="10">
        <f>M1797*57.3879/1000</f>
        <v>43.040925000000001</v>
      </c>
      <c r="P1797" s="10">
        <f t="shared" si="2337"/>
        <v>47.297719780219779</v>
      </c>
      <c r="Q1797" s="10" t="str">
        <f t="shared" si="2338"/>
        <v>NA</v>
      </c>
      <c r="R1797" s="10" t="s">
        <v>1575</v>
      </c>
      <c r="S1797" s="10" t="s">
        <v>1575</v>
      </c>
      <c r="T1797" s="10" t="s">
        <v>1575</v>
      </c>
      <c r="U1797" s="10" t="s">
        <v>1575</v>
      </c>
      <c r="V1797" s="10" t="s">
        <v>1575</v>
      </c>
      <c r="W1797" s="10" t="s">
        <v>1575</v>
      </c>
      <c r="X1797" s="10" t="str">
        <f t="shared" si="2328"/>
        <v>NA</v>
      </c>
      <c r="Y1797" s="10" t="str">
        <f t="shared" si="2329"/>
        <v>NA</v>
      </c>
      <c r="Z1797" s="10" t="str">
        <f t="shared" si="2330"/>
        <v>NA</v>
      </c>
      <c r="AA1797" s="10" t="str">
        <f t="shared" si="2331"/>
        <v>NA</v>
      </c>
      <c r="AB1797" s="10" t="str">
        <f t="shared" si="2332"/>
        <v>NA</v>
      </c>
      <c r="AC1797" s="10" t="str">
        <f t="shared" si="2333"/>
        <v>NA</v>
      </c>
      <c r="AD1797" s="10" t="str">
        <f t="shared" si="2334"/>
        <v>NA</v>
      </c>
      <c r="AE1797" s="10" t="str">
        <f t="shared" si="2335"/>
        <v>NA</v>
      </c>
      <c r="AF1797" s="1" t="s">
        <v>308</v>
      </c>
    </row>
    <row r="1798" spans="1:32" x14ac:dyDescent="0.2">
      <c r="A1798" s="1" t="s">
        <v>1903</v>
      </c>
      <c r="B1798" s="1" t="s">
        <v>310</v>
      </c>
      <c r="C1798" s="1" t="s">
        <v>1575</v>
      </c>
      <c r="D1798" s="1" t="s">
        <v>1595</v>
      </c>
      <c r="E1798" s="1" t="s">
        <v>1596</v>
      </c>
      <c r="F1798" s="1" t="s">
        <v>1973</v>
      </c>
      <c r="G1798" s="4">
        <v>0.51</v>
      </c>
      <c r="H1798" s="28">
        <v>42034</v>
      </c>
      <c r="I1798" s="29">
        <f t="shared" si="2327"/>
        <v>2015</v>
      </c>
      <c r="J1798" s="1" t="s">
        <v>309</v>
      </c>
      <c r="K1798" s="1" t="s">
        <v>1894</v>
      </c>
      <c r="L1798" s="11" t="str">
        <f t="shared" si="2336"/>
        <v>НЕТ</v>
      </c>
      <c r="M1798" s="10">
        <v>2643</v>
      </c>
      <c r="N1798" s="10" t="s">
        <v>1575</v>
      </c>
      <c r="O1798" s="10">
        <f>M1798*68.9291/1000</f>
        <v>182.1796113</v>
      </c>
      <c r="P1798" s="10">
        <f t="shared" si="2337"/>
        <v>357.21492411764706</v>
      </c>
      <c r="Q1798" s="10" t="str">
        <f t="shared" si="2338"/>
        <v>NA</v>
      </c>
      <c r="R1798" s="10" t="s">
        <v>1575</v>
      </c>
      <c r="S1798" s="10" t="s">
        <v>1575</v>
      </c>
      <c r="T1798" s="10" t="s">
        <v>1575</v>
      </c>
      <c r="U1798" s="10" t="s">
        <v>1575</v>
      </c>
      <c r="V1798" s="10" t="s">
        <v>1575</v>
      </c>
      <c r="W1798" s="10" t="s">
        <v>1575</v>
      </c>
      <c r="X1798" s="10" t="str">
        <f t="shared" si="2328"/>
        <v>NA</v>
      </c>
      <c r="Y1798" s="10" t="str">
        <f t="shared" si="2329"/>
        <v>NA</v>
      </c>
      <c r="Z1798" s="10" t="str">
        <f t="shared" si="2330"/>
        <v>NA</v>
      </c>
      <c r="AA1798" s="10" t="str">
        <f t="shared" si="2331"/>
        <v>NA</v>
      </c>
      <c r="AB1798" s="10" t="str">
        <f t="shared" si="2332"/>
        <v>NA</v>
      </c>
      <c r="AC1798" s="10" t="str">
        <f t="shared" si="2333"/>
        <v>NA</v>
      </c>
      <c r="AD1798" s="10" t="str">
        <f t="shared" si="2334"/>
        <v>NA</v>
      </c>
      <c r="AE1798" s="10" t="str">
        <f t="shared" si="2335"/>
        <v>NA</v>
      </c>
      <c r="AF1798" s="1" t="s">
        <v>1922</v>
      </c>
    </row>
    <row r="1799" spans="1:32" x14ac:dyDescent="0.2">
      <c r="A1799" s="1" t="s">
        <v>315</v>
      </c>
      <c r="B1799" s="1" t="s">
        <v>94</v>
      </c>
      <c r="C1799" s="1" t="s">
        <v>1575</v>
      </c>
      <c r="D1799" s="1" t="s">
        <v>1595</v>
      </c>
      <c r="E1799" s="1" t="s">
        <v>1596</v>
      </c>
      <c r="F1799" s="1" t="s">
        <v>1973</v>
      </c>
      <c r="G1799" s="4">
        <v>1</v>
      </c>
      <c r="H1799" s="28">
        <v>41898</v>
      </c>
      <c r="I1799" s="29">
        <f t="shared" si="2327"/>
        <v>2014</v>
      </c>
      <c r="J1799" s="1" t="s">
        <v>7</v>
      </c>
      <c r="K1799" s="1" t="s">
        <v>1894</v>
      </c>
      <c r="L1799" s="11" t="str">
        <f t="shared" si="2336"/>
        <v>НЕТ</v>
      </c>
      <c r="M1799" s="10">
        <f>135/1.1077</f>
        <v>121.87415365171076</v>
      </c>
      <c r="N1799" s="10" t="s">
        <v>1575</v>
      </c>
      <c r="O1799" s="10">
        <f>M1799*39.3866/1000</f>
        <v>4.8002085402184713</v>
      </c>
      <c r="P1799" s="10">
        <f t="shared" si="2337"/>
        <v>4.8002085402184713</v>
      </c>
      <c r="Q1799" s="10" t="str">
        <f t="shared" si="2338"/>
        <v>NA</v>
      </c>
      <c r="R1799" s="10" t="s">
        <v>1575</v>
      </c>
      <c r="S1799" s="10" t="s">
        <v>1575</v>
      </c>
      <c r="T1799" s="10" t="s">
        <v>1575</v>
      </c>
      <c r="U1799" s="10" t="s">
        <v>1575</v>
      </c>
      <c r="V1799" s="10" t="s">
        <v>1575</v>
      </c>
      <c r="W1799" s="10" t="s">
        <v>1575</v>
      </c>
      <c r="X1799" s="10" t="str">
        <f t="shared" si="2328"/>
        <v>NA</v>
      </c>
      <c r="Y1799" s="10" t="str">
        <f t="shared" si="2329"/>
        <v>NA</v>
      </c>
      <c r="Z1799" s="10" t="str">
        <f t="shared" si="2330"/>
        <v>NA</v>
      </c>
      <c r="AA1799" s="10" t="str">
        <f t="shared" si="2331"/>
        <v>NA</v>
      </c>
      <c r="AB1799" s="10" t="str">
        <f t="shared" si="2332"/>
        <v>NA</v>
      </c>
      <c r="AC1799" s="10" t="str">
        <f t="shared" si="2333"/>
        <v>NA</v>
      </c>
      <c r="AD1799" s="10" t="str">
        <f t="shared" si="2334"/>
        <v>NA</v>
      </c>
      <c r="AE1799" s="10" t="str">
        <f t="shared" si="2335"/>
        <v>NA</v>
      </c>
      <c r="AF1799" s="1" t="s">
        <v>313</v>
      </c>
    </row>
    <row r="1800" spans="1:32" x14ac:dyDescent="0.2">
      <c r="A1800" s="1" t="s">
        <v>314</v>
      </c>
      <c r="B1800" s="1" t="s">
        <v>28</v>
      </c>
      <c r="C1800" s="1" t="s">
        <v>1575</v>
      </c>
      <c r="D1800" s="1" t="s">
        <v>1595</v>
      </c>
      <c r="E1800" s="1" t="s">
        <v>1596</v>
      </c>
      <c r="F1800" s="1" t="s">
        <v>1973</v>
      </c>
      <c r="G1800" s="4">
        <v>1</v>
      </c>
      <c r="H1800" s="28">
        <v>41929</v>
      </c>
      <c r="I1800" s="29">
        <f t="shared" si="2327"/>
        <v>2014</v>
      </c>
      <c r="J1800" s="1" t="s">
        <v>7</v>
      </c>
      <c r="K1800" s="1" t="s">
        <v>1894</v>
      </c>
      <c r="L1800" s="11" t="str">
        <f t="shared" si="2336"/>
        <v>НЕТ</v>
      </c>
      <c r="M1800" s="10" t="s">
        <v>1575</v>
      </c>
      <c r="N1800" s="10" t="s">
        <v>1575</v>
      </c>
      <c r="O1800" s="10" t="s">
        <v>1575</v>
      </c>
      <c r="P1800" s="10" t="str">
        <f t="shared" si="2337"/>
        <v>NA</v>
      </c>
      <c r="Q1800" s="10" t="str">
        <f t="shared" si="2338"/>
        <v>NA</v>
      </c>
      <c r="R1800" s="10" t="s">
        <v>1575</v>
      </c>
      <c r="S1800" s="10" t="s">
        <v>1575</v>
      </c>
      <c r="T1800" s="10" t="s">
        <v>1575</v>
      </c>
      <c r="U1800" s="10" t="s">
        <v>1575</v>
      </c>
      <c r="V1800" s="10">
        <f>(0.142-0.07)*40.7457</f>
        <v>2.9336903999999993</v>
      </c>
      <c r="W1800" s="10" t="s">
        <v>1575</v>
      </c>
      <c r="X1800" s="10" t="str">
        <f t="shared" si="2328"/>
        <v>NA</v>
      </c>
      <c r="Y1800" s="10" t="str">
        <f t="shared" si="2329"/>
        <v>NA</v>
      </c>
      <c r="Z1800" s="10" t="str">
        <f t="shared" si="2330"/>
        <v>NA</v>
      </c>
      <c r="AA1800" s="10" t="str">
        <f t="shared" si="2331"/>
        <v>NA</v>
      </c>
      <c r="AB1800" s="10" t="str">
        <f t="shared" si="2332"/>
        <v>NA</v>
      </c>
      <c r="AC1800" s="10" t="str">
        <f t="shared" si="2333"/>
        <v>NA</v>
      </c>
      <c r="AD1800" s="10" t="str">
        <f t="shared" si="2334"/>
        <v>NA</v>
      </c>
      <c r="AE1800" s="10" t="str">
        <f t="shared" si="2335"/>
        <v>NA</v>
      </c>
      <c r="AF1800" s="1" t="s">
        <v>5324</v>
      </c>
    </row>
    <row r="1801" spans="1:32" x14ac:dyDescent="0.2">
      <c r="A1801" s="1" t="s">
        <v>1902</v>
      </c>
      <c r="B1801" s="1" t="s">
        <v>643</v>
      </c>
      <c r="C1801" s="1" t="s">
        <v>1575</v>
      </c>
      <c r="D1801" s="1" t="s">
        <v>1595</v>
      </c>
      <c r="E1801" s="1" t="s">
        <v>1596</v>
      </c>
      <c r="F1801" s="1" t="s">
        <v>1973</v>
      </c>
      <c r="G1801" s="4">
        <v>1</v>
      </c>
      <c r="H1801" s="28">
        <v>42366</v>
      </c>
      <c r="I1801" s="29">
        <f t="shared" si="2327"/>
        <v>2015</v>
      </c>
      <c r="J1801" s="1" t="s">
        <v>7</v>
      </c>
      <c r="K1801" s="1" t="s">
        <v>1896</v>
      </c>
      <c r="L1801" s="11" t="str">
        <f t="shared" si="2336"/>
        <v>НЕТ</v>
      </c>
      <c r="M1801" s="10">
        <v>20.8</v>
      </c>
      <c r="N1801" s="10" t="s">
        <v>1575</v>
      </c>
      <c r="O1801" s="10">
        <v>1.462</v>
      </c>
      <c r="P1801" s="10">
        <f t="shared" si="2337"/>
        <v>1.462</v>
      </c>
      <c r="Q1801" s="10" t="str">
        <f t="shared" si="2338"/>
        <v>NA</v>
      </c>
      <c r="R1801" s="10" t="s">
        <v>1575</v>
      </c>
      <c r="S1801" s="10" t="s">
        <v>1575</v>
      </c>
      <c r="T1801" s="10" t="s">
        <v>1575</v>
      </c>
      <c r="U1801" s="10" t="s">
        <v>1575</v>
      </c>
      <c r="V1801" s="10" t="s">
        <v>1575</v>
      </c>
      <c r="W1801" s="10" t="s">
        <v>1575</v>
      </c>
      <c r="X1801" s="10" t="str">
        <f t="shared" si="2328"/>
        <v>NA</v>
      </c>
      <c r="Y1801" s="10" t="str">
        <f t="shared" si="2329"/>
        <v>NA</v>
      </c>
      <c r="Z1801" s="10" t="str">
        <f t="shared" si="2330"/>
        <v>NA</v>
      </c>
      <c r="AA1801" s="10" t="str">
        <f t="shared" si="2331"/>
        <v>NA</v>
      </c>
      <c r="AB1801" s="10" t="str">
        <f t="shared" si="2332"/>
        <v>NA</v>
      </c>
      <c r="AC1801" s="10" t="str">
        <f t="shared" si="2333"/>
        <v>NA</v>
      </c>
      <c r="AD1801" s="10" t="str">
        <f t="shared" si="2334"/>
        <v>NA</v>
      </c>
      <c r="AE1801" s="10" t="str">
        <f t="shared" si="2335"/>
        <v>NA</v>
      </c>
    </row>
    <row r="1802" spans="1:32" x14ac:dyDescent="0.2">
      <c r="A1802" s="1" t="s">
        <v>6121</v>
      </c>
      <c r="B1802" s="1" t="s">
        <v>91</v>
      </c>
      <c r="C1802" s="1" t="s">
        <v>1575</v>
      </c>
      <c r="D1802" s="1" t="s">
        <v>1595</v>
      </c>
      <c r="E1802" s="1" t="s">
        <v>1596</v>
      </c>
      <c r="F1802" s="1" t="s">
        <v>1973</v>
      </c>
      <c r="G1802" s="4">
        <v>1</v>
      </c>
      <c r="H1802" s="28">
        <v>41872</v>
      </c>
      <c r="I1802" s="29">
        <f t="shared" si="2327"/>
        <v>2014</v>
      </c>
      <c r="J1802" s="1" t="s">
        <v>1895</v>
      </c>
      <c r="K1802" s="1" t="s">
        <v>1896</v>
      </c>
      <c r="L1802" s="11" t="str">
        <f t="shared" si="2336"/>
        <v>НЕТ</v>
      </c>
      <c r="M1802" s="10" t="s">
        <v>1575</v>
      </c>
      <c r="N1802" s="10" t="s">
        <v>1575</v>
      </c>
      <c r="O1802" s="10">
        <v>0.26400000000000001</v>
      </c>
      <c r="P1802" s="10">
        <f t="shared" si="2337"/>
        <v>0.26400000000000001</v>
      </c>
      <c r="Q1802" s="10" t="str">
        <f t="shared" si="2338"/>
        <v>NA</v>
      </c>
      <c r="R1802" s="10" t="s">
        <v>1575</v>
      </c>
      <c r="S1802" s="10" t="s">
        <v>1575</v>
      </c>
      <c r="T1802" s="10" t="s">
        <v>1575</v>
      </c>
      <c r="U1802" s="10" t="s">
        <v>1575</v>
      </c>
      <c r="V1802" s="10" t="s">
        <v>1575</v>
      </c>
      <c r="W1802" s="10" t="s">
        <v>1575</v>
      </c>
      <c r="X1802" s="10" t="str">
        <f t="shared" si="2328"/>
        <v>NA</v>
      </c>
      <c r="Y1802" s="10" t="str">
        <f t="shared" si="2329"/>
        <v>NA</v>
      </c>
      <c r="Z1802" s="10" t="str">
        <f t="shared" si="2330"/>
        <v>NA</v>
      </c>
      <c r="AA1802" s="10" t="str">
        <f t="shared" si="2331"/>
        <v>NA</v>
      </c>
      <c r="AB1802" s="10" t="str">
        <f t="shared" si="2332"/>
        <v>NA</v>
      </c>
      <c r="AC1802" s="10" t="str">
        <f t="shared" si="2333"/>
        <v>NA</v>
      </c>
      <c r="AD1802" s="10" t="str">
        <f t="shared" si="2334"/>
        <v>NA</v>
      </c>
      <c r="AE1802" s="10" t="str">
        <f t="shared" si="2335"/>
        <v>NA</v>
      </c>
      <c r="AF1802" s="1" t="s">
        <v>317</v>
      </c>
    </row>
    <row r="1803" spans="1:32" x14ac:dyDescent="0.2">
      <c r="A1803" s="1" t="s">
        <v>6122</v>
      </c>
      <c r="B1803" s="1" t="s">
        <v>5</v>
      </c>
      <c r="C1803" s="1" t="s">
        <v>1575</v>
      </c>
      <c r="D1803" s="1" t="s">
        <v>1595</v>
      </c>
      <c r="E1803" s="1" t="s">
        <v>1596</v>
      </c>
      <c r="F1803" s="1" t="s">
        <v>1973</v>
      </c>
      <c r="G1803" s="4" t="s">
        <v>1575</v>
      </c>
      <c r="H1803" s="28">
        <v>41470</v>
      </c>
      <c r="I1803" s="29">
        <f t="shared" si="2327"/>
        <v>2013</v>
      </c>
      <c r="J1803" s="1" t="s">
        <v>1896</v>
      </c>
      <c r="K1803" s="1" t="s">
        <v>7</v>
      </c>
      <c r="L1803" s="11" t="str">
        <f t="shared" si="2336"/>
        <v>НЕТ</v>
      </c>
      <c r="M1803" s="10" t="s">
        <v>1575</v>
      </c>
      <c r="N1803" s="10" t="s">
        <v>1575</v>
      </c>
      <c r="O1803" s="10" t="s">
        <v>1575</v>
      </c>
      <c r="P1803" s="10" t="str">
        <f t="shared" si="2337"/>
        <v>NA</v>
      </c>
      <c r="Q1803" s="10" t="str">
        <f t="shared" si="2338"/>
        <v>NA</v>
      </c>
      <c r="R1803" s="10" t="s">
        <v>1575</v>
      </c>
      <c r="S1803" s="10" t="s">
        <v>1575</v>
      </c>
      <c r="T1803" s="10" t="s">
        <v>1575</v>
      </c>
      <c r="U1803" s="10" t="s">
        <v>1575</v>
      </c>
      <c r="V1803" s="10" t="s">
        <v>1575</v>
      </c>
      <c r="W1803" s="10" t="s">
        <v>1575</v>
      </c>
      <c r="X1803" s="10" t="str">
        <f t="shared" si="2328"/>
        <v>NA</v>
      </c>
      <c r="Y1803" s="10" t="str">
        <f t="shared" si="2329"/>
        <v>NA</v>
      </c>
      <c r="Z1803" s="10" t="str">
        <f t="shared" si="2330"/>
        <v>NA</v>
      </c>
      <c r="AA1803" s="10" t="str">
        <f t="shared" si="2331"/>
        <v>NA</v>
      </c>
      <c r="AB1803" s="10" t="str">
        <f t="shared" si="2332"/>
        <v>NA</v>
      </c>
      <c r="AC1803" s="10" t="str">
        <f t="shared" si="2333"/>
        <v>NA</v>
      </c>
      <c r="AD1803" s="10" t="str">
        <f t="shared" si="2334"/>
        <v>NA</v>
      </c>
      <c r="AE1803" s="10" t="str">
        <f t="shared" si="2335"/>
        <v>NA</v>
      </c>
      <c r="AF1803" s="1" t="s">
        <v>1923</v>
      </c>
    </row>
    <row r="1804" spans="1:32" x14ac:dyDescent="0.2">
      <c r="A1804" s="1" t="s">
        <v>318</v>
      </c>
      <c r="B1804" s="1" t="s">
        <v>319</v>
      </c>
      <c r="C1804" s="1" t="s">
        <v>1575</v>
      </c>
      <c r="D1804" s="1" t="s">
        <v>1595</v>
      </c>
      <c r="E1804" s="1" t="s">
        <v>1596</v>
      </c>
      <c r="F1804" s="1" t="s">
        <v>244</v>
      </c>
      <c r="G1804" s="4">
        <v>0.9</v>
      </c>
      <c r="H1804" s="28">
        <v>41383</v>
      </c>
      <c r="I1804" s="29">
        <f t="shared" si="2327"/>
        <v>2013</v>
      </c>
      <c r="J1804" s="1" t="s">
        <v>7</v>
      </c>
      <c r="K1804" s="1" t="s">
        <v>1896</v>
      </c>
      <c r="L1804" s="11" t="str">
        <f t="shared" si="2336"/>
        <v>НЕТ</v>
      </c>
      <c r="M1804" s="10" t="s">
        <v>1575</v>
      </c>
      <c r="N1804" s="10" t="s">
        <v>1575</v>
      </c>
      <c r="O1804" s="10" t="s">
        <v>1575</v>
      </c>
      <c r="P1804" s="10" t="str">
        <f t="shared" si="2337"/>
        <v>NA</v>
      </c>
      <c r="Q1804" s="10" t="str">
        <f t="shared" si="2338"/>
        <v>NA</v>
      </c>
      <c r="R1804" s="10" t="s">
        <v>1575</v>
      </c>
      <c r="S1804" s="10" t="s">
        <v>1575</v>
      </c>
      <c r="T1804" s="10" t="s">
        <v>1575</v>
      </c>
      <c r="U1804" s="10" t="s">
        <v>1575</v>
      </c>
      <c r="V1804" s="10">
        <f>(0.142-0.07)*31.7151</f>
        <v>2.2834871999999993</v>
      </c>
      <c r="W1804" s="10" t="s">
        <v>1575</v>
      </c>
      <c r="X1804" s="10" t="str">
        <f t="shared" si="2328"/>
        <v>NA</v>
      </c>
      <c r="Y1804" s="10" t="str">
        <f t="shared" si="2329"/>
        <v>NA</v>
      </c>
      <c r="Z1804" s="10" t="str">
        <f t="shared" si="2330"/>
        <v>NA</v>
      </c>
      <c r="AA1804" s="10" t="str">
        <f t="shared" si="2331"/>
        <v>NA</v>
      </c>
      <c r="AB1804" s="10" t="str">
        <f t="shared" si="2332"/>
        <v>NA</v>
      </c>
      <c r="AC1804" s="10" t="str">
        <f t="shared" si="2333"/>
        <v>NA</v>
      </c>
      <c r="AD1804" s="10" t="str">
        <f t="shared" si="2334"/>
        <v>NA</v>
      </c>
      <c r="AE1804" s="10" t="str">
        <f t="shared" si="2335"/>
        <v>NA</v>
      </c>
      <c r="AF1804" s="1" t="s">
        <v>1924</v>
      </c>
    </row>
    <row r="1805" spans="1:32" x14ac:dyDescent="0.2">
      <c r="A1805" s="1" t="s">
        <v>320</v>
      </c>
      <c r="B1805" s="1" t="s">
        <v>5</v>
      </c>
      <c r="C1805" s="1" t="s">
        <v>1575</v>
      </c>
      <c r="D1805" s="1" t="s">
        <v>1595</v>
      </c>
      <c r="E1805" s="1" t="s">
        <v>1596</v>
      </c>
      <c r="F1805" s="1" t="s">
        <v>1973</v>
      </c>
      <c r="G1805" s="4">
        <v>1</v>
      </c>
      <c r="H1805" s="28">
        <v>41613</v>
      </c>
      <c r="I1805" s="29">
        <f t="shared" si="2327"/>
        <v>2013</v>
      </c>
      <c r="J1805" s="1" t="s">
        <v>7</v>
      </c>
      <c r="K1805" s="1" t="s">
        <v>1894</v>
      </c>
      <c r="L1805" s="11" t="str">
        <f t="shared" si="2336"/>
        <v>НЕТ</v>
      </c>
      <c r="M1805" s="10" t="s">
        <v>1575</v>
      </c>
      <c r="N1805" s="10" t="s">
        <v>1575</v>
      </c>
      <c r="O1805" s="10" t="s">
        <v>1575</v>
      </c>
      <c r="P1805" s="10" t="str">
        <f t="shared" si="2337"/>
        <v>NA</v>
      </c>
      <c r="Q1805" s="10" t="str">
        <f t="shared" si="2338"/>
        <v>NA</v>
      </c>
      <c r="R1805" s="10" t="s">
        <v>1575</v>
      </c>
      <c r="S1805" s="10" t="s">
        <v>1575</v>
      </c>
      <c r="T1805" s="10" t="s">
        <v>1575</v>
      </c>
      <c r="U1805" s="10" t="s">
        <v>1575</v>
      </c>
      <c r="V1805" s="10" t="s">
        <v>1575</v>
      </c>
      <c r="W1805" s="10" t="s">
        <v>1575</v>
      </c>
      <c r="X1805" s="10" t="str">
        <f t="shared" si="2328"/>
        <v>NA</v>
      </c>
      <c r="Y1805" s="10" t="str">
        <f t="shared" si="2329"/>
        <v>NA</v>
      </c>
      <c r="Z1805" s="10" t="str">
        <f t="shared" si="2330"/>
        <v>NA</v>
      </c>
      <c r="AA1805" s="10" t="str">
        <f t="shared" si="2331"/>
        <v>NA</v>
      </c>
      <c r="AB1805" s="10" t="str">
        <f t="shared" si="2332"/>
        <v>NA</v>
      </c>
      <c r="AC1805" s="10" t="str">
        <f t="shared" si="2333"/>
        <v>NA</v>
      </c>
      <c r="AD1805" s="10" t="str">
        <f t="shared" si="2334"/>
        <v>NA</v>
      </c>
      <c r="AE1805" s="10" t="str">
        <f t="shared" si="2335"/>
        <v>NA</v>
      </c>
      <c r="AF1805" s="1" t="s">
        <v>2207</v>
      </c>
    </row>
    <row r="1806" spans="1:32" x14ac:dyDescent="0.2">
      <c r="A1806" s="1" t="s">
        <v>321</v>
      </c>
      <c r="B1806" s="1" t="s">
        <v>323</v>
      </c>
      <c r="C1806" s="1" t="s">
        <v>1575</v>
      </c>
      <c r="D1806" s="1" t="s">
        <v>1595</v>
      </c>
      <c r="E1806" s="1" t="s">
        <v>1596</v>
      </c>
      <c r="F1806" s="1" t="s">
        <v>244</v>
      </c>
      <c r="G1806" s="4">
        <v>0.499</v>
      </c>
      <c r="H1806" s="28">
        <v>41022</v>
      </c>
      <c r="I1806" s="29">
        <f t="shared" si="2327"/>
        <v>2012</v>
      </c>
      <c r="J1806" s="1" t="s">
        <v>322</v>
      </c>
      <c r="K1806" s="1" t="s">
        <v>1894</v>
      </c>
      <c r="L1806" s="11" t="str">
        <f t="shared" si="2336"/>
        <v>НЕТ</v>
      </c>
      <c r="M1806" s="10">
        <v>45</v>
      </c>
      <c r="N1806" s="10" t="s">
        <v>1575</v>
      </c>
      <c r="O1806" s="10">
        <f>M1806*29.5214/1000</f>
        <v>1.3284629999999999</v>
      </c>
      <c r="P1806" s="10">
        <f t="shared" si="2337"/>
        <v>2.6622505010020041</v>
      </c>
      <c r="Q1806" s="10" t="str">
        <f t="shared" si="2338"/>
        <v>NA</v>
      </c>
      <c r="R1806" s="10" t="s">
        <v>1575</v>
      </c>
      <c r="S1806" s="10" t="s">
        <v>1575</v>
      </c>
      <c r="T1806" s="10" t="s">
        <v>1575</v>
      </c>
      <c r="U1806" s="10" t="s">
        <v>1575</v>
      </c>
      <c r="V1806" s="10" t="s">
        <v>1575</v>
      </c>
      <c r="W1806" s="10" t="s">
        <v>1575</v>
      </c>
      <c r="X1806" s="10" t="str">
        <f t="shared" si="2328"/>
        <v>NA</v>
      </c>
      <c r="Y1806" s="10" t="str">
        <f t="shared" si="2329"/>
        <v>NA</v>
      </c>
      <c r="Z1806" s="10" t="str">
        <f t="shared" si="2330"/>
        <v>NA</v>
      </c>
      <c r="AA1806" s="10" t="str">
        <f t="shared" si="2331"/>
        <v>NA</v>
      </c>
      <c r="AB1806" s="10" t="str">
        <f t="shared" si="2332"/>
        <v>NA</v>
      </c>
      <c r="AC1806" s="10" t="str">
        <f t="shared" si="2333"/>
        <v>NA</v>
      </c>
      <c r="AD1806" s="10" t="str">
        <f t="shared" si="2334"/>
        <v>NA</v>
      </c>
      <c r="AE1806" s="10" t="str">
        <f t="shared" si="2335"/>
        <v>NA</v>
      </c>
      <c r="AF1806" s="1" t="s">
        <v>1928</v>
      </c>
    </row>
    <row r="1807" spans="1:32" x14ac:dyDescent="0.2">
      <c r="A1807" s="1" t="s">
        <v>6123</v>
      </c>
      <c r="B1807" s="1" t="s">
        <v>91</v>
      </c>
      <c r="C1807" s="1" t="s">
        <v>1575</v>
      </c>
      <c r="D1807" s="1" t="s">
        <v>1595</v>
      </c>
      <c r="E1807" s="1" t="s">
        <v>1587</v>
      </c>
      <c r="F1807" s="1" t="s">
        <v>244</v>
      </c>
      <c r="G1807" s="4">
        <v>1</v>
      </c>
      <c r="H1807" s="28">
        <v>41173</v>
      </c>
      <c r="I1807" s="29">
        <f t="shared" si="2327"/>
        <v>2012</v>
      </c>
      <c r="J1807" s="1" t="s">
        <v>1895</v>
      </c>
      <c r="K1807" s="1" t="s">
        <v>1896</v>
      </c>
      <c r="L1807" s="11" t="str">
        <f t="shared" si="2336"/>
        <v>НЕТ</v>
      </c>
      <c r="M1807" s="10">
        <v>5.0000000000000004E-6</v>
      </c>
      <c r="N1807" s="10" t="s">
        <v>1575</v>
      </c>
      <c r="O1807" s="10">
        <f>M1807*31.5758/1000</f>
        <v>1.5787900000000001E-7</v>
      </c>
      <c r="P1807" s="10">
        <f t="shared" si="2337"/>
        <v>1.5787900000000001E-7</v>
      </c>
      <c r="Q1807" s="10" t="str">
        <f t="shared" si="2338"/>
        <v>NA</v>
      </c>
      <c r="R1807" s="10" t="s">
        <v>1575</v>
      </c>
      <c r="S1807" s="10" t="s">
        <v>1575</v>
      </c>
      <c r="T1807" s="10" t="s">
        <v>1575</v>
      </c>
      <c r="U1807" s="10" t="s">
        <v>1575</v>
      </c>
      <c r="V1807" s="10" t="s">
        <v>1575</v>
      </c>
      <c r="W1807" s="10" t="s">
        <v>1575</v>
      </c>
      <c r="X1807" s="10" t="str">
        <f t="shared" si="2328"/>
        <v>NA</v>
      </c>
      <c r="Y1807" s="10" t="str">
        <f t="shared" si="2329"/>
        <v>NA</v>
      </c>
      <c r="Z1807" s="10" t="str">
        <f t="shared" si="2330"/>
        <v>NA</v>
      </c>
      <c r="AA1807" s="10" t="str">
        <f t="shared" si="2331"/>
        <v>NA</v>
      </c>
      <c r="AB1807" s="10" t="str">
        <f t="shared" si="2332"/>
        <v>NA</v>
      </c>
      <c r="AC1807" s="10" t="str">
        <f t="shared" si="2333"/>
        <v>NA</v>
      </c>
      <c r="AD1807" s="10" t="str">
        <f t="shared" si="2334"/>
        <v>NA</v>
      </c>
      <c r="AE1807" s="10" t="str">
        <f t="shared" si="2335"/>
        <v>NA</v>
      </c>
    </row>
    <row r="1808" spans="1:32" x14ac:dyDescent="0.2">
      <c r="A1808" s="1" t="s">
        <v>326</v>
      </c>
      <c r="B1808" s="1" t="s">
        <v>23</v>
      </c>
      <c r="C1808" s="1" t="s">
        <v>1575</v>
      </c>
      <c r="D1808" s="1" t="s">
        <v>1595</v>
      </c>
      <c r="E1808" s="1" t="s">
        <v>1596</v>
      </c>
      <c r="F1808" s="1" t="s">
        <v>1973</v>
      </c>
      <c r="G1808" s="4">
        <v>1</v>
      </c>
      <c r="H1808" s="28">
        <v>40648</v>
      </c>
      <c r="I1808" s="29">
        <f t="shared" si="2327"/>
        <v>2011</v>
      </c>
      <c r="J1808" s="1" t="s">
        <v>1894</v>
      </c>
      <c r="K1808" s="1" t="s">
        <v>7</v>
      </c>
      <c r="L1808" s="11" t="str">
        <f t="shared" si="2336"/>
        <v>НЕТ</v>
      </c>
      <c r="M1808" s="10">
        <v>7253</v>
      </c>
      <c r="N1808" s="10" t="s">
        <v>1575</v>
      </c>
      <c r="O1808" s="10">
        <f>M1808*28.1886/1000</f>
        <v>204.45191580000002</v>
      </c>
      <c r="P1808" s="10">
        <f t="shared" si="2337"/>
        <v>204.45191580000002</v>
      </c>
      <c r="Q1808" s="10" t="str">
        <f t="shared" si="2338"/>
        <v>NA</v>
      </c>
      <c r="R1808" s="10" t="s">
        <v>1575</v>
      </c>
      <c r="S1808" s="10" t="s">
        <v>1575</v>
      </c>
      <c r="T1808" s="10" t="s">
        <v>1575</v>
      </c>
      <c r="U1808" s="10" t="s">
        <v>1575</v>
      </c>
      <c r="V1808" s="10">
        <f>(30.752-6.592-21.537-0.264-1.878)*28.429</f>
        <v>13.674349000000028</v>
      </c>
      <c r="W1808" s="10" t="s">
        <v>1575</v>
      </c>
      <c r="X1808" s="10" t="str">
        <f t="shared" si="2328"/>
        <v>NA</v>
      </c>
      <c r="Y1808" s="10" t="str">
        <f t="shared" si="2329"/>
        <v>NA</v>
      </c>
      <c r="Z1808" s="10" t="str">
        <f t="shared" si="2330"/>
        <v>NA</v>
      </c>
      <c r="AA1808" s="10">
        <f t="shared" si="2331"/>
        <v>14.951491716351514</v>
      </c>
      <c r="AB1808" s="10" t="str">
        <f t="shared" si="2332"/>
        <v>NA</v>
      </c>
      <c r="AC1808" s="10" t="str">
        <f t="shared" si="2333"/>
        <v>NA</v>
      </c>
      <c r="AD1808" s="10" t="str">
        <f t="shared" si="2334"/>
        <v>NA</v>
      </c>
      <c r="AE1808" s="10" t="str">
        <f t="shared" si="2335"/>
        <v>NA</v>
      </c>
      <c r="AF1808" s="1" t="s">
        <v>1929</v>
      </c>
    </row>
    <row r="1809" spans="1:32" x14ac:dyDescent="0.2">
      <c r="A1809" s="1" t="s">
        <v>1926</v>
      </c>
      <c r="B1809" s="1" t="s">
        <v>5</v>
      </c>
      <c r="C1809" s="1" t="s">
        <v>1575</v>
      </c>
      <c r="D1809" s="1" t="s">
        <v>1595</v>
      </c>
      <c r="E1809" s="1" t="s">
        <v>1596</v>
      </c>
      <c r="F1809" s="1" t="s">
        <v>1973</v>
      </c>
      <c r="G1809" s="4" t="s">
        <v>1575</v>
      </c>
      <c r="H1809" s="28">
        <v>40955</v>
      </c>
      <c r="I1809" s="29">
        <f t="shared" ref="I1809:I1872" si="2339">YEAR(H1809)</f>
        <v>2012</v>
      </c>
      <c r="J1809" s="1" t="s">
        <v>7</v>
      </c>
      <c r="K1809" s="1" t="s">
        <v>1896</v>
      </c>
      <c r="L1809" s="11" t="str">
        <f t="shared" si="2336"/>
        <v>НЕТ</v>
      </c>
      <c r="M1809" s="10" t="s">
        <v>1575</v>
      </c>
      <c r="N1809" s="10" t="s">
        <v>1575</v>
      </c>
      <c r="O1809" s="10" t="s">
        <v>1575</v>
      </c>
      <c r="P1809" s="10" t="str">
        <f t="shared" si="2337"/>
        <v>NA</v>
      </c>
      <c r="Q1809" s="10" t="str">
        <f t="shared" si="2338"/>
        <v>NA</v>
      </c>
      <c r="R1809" s="10" t="s">
        <v>1575</v>
      </c>
      <c r="S1809" s="10" t="s">
        <v>1575</v>
      </c>
      <c r="T1809" s="10" t="s">
        <v>1575</v>
      </c>
      <c r="U1809" s="10" t="s">
        <v>1575</v>
      </c>
      <c r="V1809" s="10" t="s">
        <v>1575</v>
      </c>
      <c r="W1809" s="10" t="s">
        <v>1575</v>
      </c>
      <c r="X1809" s="10" t="str">
        <f t="shared" si="2328"/>
        <v>NA</v>
      </c>
      <c r="Y1809" s="10" t="str">
        <f t="shared" si="2329"/>
        <v>NA</v>
      </c>
      <c r="Z1809" s="10" t="str">
        <f t="shared" si="2330"/>
        <v>NA</v>
      </c>
      <c r="AA1809" s="10" t="str">
        <f t="shared" si="2331"/>
        <v>NA</v>
      </c>
      <c r="AB1809" s="10" t="str">
        <f t="shared" si="2332"/>
        <v>NA</v>
      </c>
      <c r="AC1809" s="10" t="str">
        <f t="shared" si="2333"/>
        <v>NA</v>
      </c>
      <c r="AD1809" s="10" t="str">
        <f t="shared" si="2334"/>
        <v>NA</v>
      </c>
      <c r="AE1809" s="10" t="str">
        <f t="shared" si="2335"/>
        <v>NA</v>
      </c>
      <c r="AF1809" s="1" t="s">
        <v>1927</v>
      </c>
    </row>
    <row r="1810" spans="1:32" x14ac:dyDescent="0.2">
      <c r="A1810" s="1" t="s">
        <v>246</v>
      </c>
      <c r="B1810" s="1" t="s">
        <v>5</v>
      </c>
      <c r="C1810" s="1" t="s">
        <v>1575</v>
      </c>
      <c r="D1810" s="1" t="s">
        <v>1578</v>
      </c>
      <c r="E1810" s="16" t="s">
        <v>9250</v>
      </c>
      <c r="F1810" s="1" t="s">
        <v>1909</v>
      </c>
      <c r="G1810" s="4">
        <v>1E-3</v>
      </c>
      <c r="H1810" s="28">
        <v>41250</v>
      </c>
      <c r="I1810" s="29">
        <f t="shared" si="2339"/>
        <v>2012</v>
      </c>
      <c r="J1810" s="1" t="s">
        <v>1896</v>
      </c>
      <c r="K1810" s="1" t="s">
        <v>7</v>
      </c>
      <c r="L1810" s="11" t="str">
        <f t="shared" si="2336"/>
        <v>НЕТ</v>
      </c>
      <c r="M1810" s="10" t="s">
        <v>1575</v>
      </c>
      <c r="N1810" s="10" t="s">
        <v>1575</v>
      </c>
      <c r="O1810" s="10" t="s">
        <v>1575</v>
      </c>
      <c r="P1810" s="10" t="str">
        <f t="shared" si="2337"/>
        <v>NA</v>
      </c>
      <c r="Q1810" s="10" t="str">
        <f t="shared" si="2338"/>
        <v>NA</v>
      </c>
      <c r="R1810" s="10" t="s">
        <v>1575</v>
      </c>
      <c r="S1810" s="10" t="s">
        <v>1575</v>
      </c>
      <c r="T1810" s="10" t="s">
        <v>1575</v>
      </c>
      <c r="U1810" s="10" t="s">
        <v>1575</v>
      </c>
      <c r="V1810" s="10" t="s">
        <v>1575</v>
      </c>
      <c r="W1810" s="10" t="s">
        <v>1575</v>
      </c>
      <c r="X1810" s="10" t="str">
        <f t="shared" si="2328"/>
        <v>NA</v>
      </c>
      <c r="Y1810" s="10" t="str">
        <f t="shared" si="2329"/>
        <v>NA</v>
      </c>
      <c r="Z1810" s="10" t="str">
        <f t="shared" si="2330"/>
        <v>NA</v>
      </c>
      <c r="AA1810" s="10" t="str">
        <f t="shared" si="2331"/>
        <v>NA</v>
      </c>
      <c r="AB1810" s="10" t="str">
        <f t="shared" si="2332"/>
        <v>NA</v>
      </c>
      <c r="AC1810" s="10" t="str">
        <f t="shared" si="2333"/>
        <v>NA</v>
      </c>
      <c r="AD1810" s="10" t="str">
        <f t="shared" si="2334"/>
        <v>NA</v>
      </c>
      <c r="AE1810" s="10" t="str">
        <f t="shared" si="2335"/>
        <v>NA</v>
      </c>
      <c r="AF1810" s="1" t="s">
        <v>1925</v>
      </c>
    </row>
    <row r="1811" spans="1:32" x14ac:dyDescent="0.2">
      <c r="A1811" s="1" t="s">
        <v>246</v>
      </c>
      <c r="B1811" s="1" t="s">
        <v>5</v>
      </c>
      <c r="C1811" s="1" t="s">
        <v>1575</v>
      </c>
      <c r="D1811" s="1" t="s">
        <v>1578</v>
      </c>
      <c r="E1811" s="16" t="s">
        <v>9250</v>
      </c>
      <c r="F1811" s="1" t="s">
        <v>1909</v>
      </c>
      <c r="G1811" s="4">
        <v>0.499</v>
      </c>
      <c r="H1811" s="28">
        <v>41250</v>
      </c>
      <c r="I1811" s="29">
        <f t="shared" si="2339"/>
        <v>2012</v>
      </c>
      <c r="J1811" s="1" t="s">
        <v>1896</v>
      </c>
      <c r="K1811" s="1" t="s">
        <v>327</v>
      </c>
      <c r="L1811" s="11" t="str">
        <f t="shared" si="2336"/>
        <v>НЕТ</v>
      </c>
      <c r="M1811" s="10">
        <v>2300</v>
      </c>
      <c r="N1811" s="10" t="s">
        <v>1575</v>
      </c>
      <c r="O1811" s="10">
        <f>M1811*28.1886/1000</f>
        <v>64.833780000000004</v>
      </c>
      <c r="P1811" s="10">
        <f t="shared" si="2337"/>
        <v>129.92741482965934</v>
      </c>
      <c r="Q1811" s="10" t="str">
        <f t="shared" si="2338"/>
        <v>NA</v>
      </c>
      <c r="R1811" s="10" t="s">
        <v>1575</v>
      </c>
      <c r="S1811" s="10" t="s">
        <v>1575</v>
      </c>
      <c r="T1811" s="10" t="s">
        <v>1575</v>
      </c>
      <c r="U1811" s="10" t="s">
        <v>1575</v>
      </c>
      <c r="V1811" s="10" t="s">
        <v>1575</v>
      </c>
      <c r="W1811" s="10" t="s">
        <v>1575</v>
      </c>
      <c r="X1811" s="10" t="str">
        <f t="shared" si="2328"/>
        <v>NA</v>
      </c>
      <c r="Y1811" s="10" t="str">
        <f t="shared" si="2329"/>
        <v>NA</v>
      </c>
      <c r="Z1811" s="10" t="str">
        <f t="shared" si="2330"/>
        <v>NA</v>
      </c>
      <c r="AA1811" s="10" t="str">
        <f t="shared" si="2331"/>
        <v>NA</v>
      </c>
      <c r="AB1811" s="10" t="str">
        <f t="shared" si="2332"/>
        <v>NA</v>
      </c>
      <c r="AC1811" s="10" t="str">
        <f t="shared" si="2333"/>
        <v>NA</v>
      </c>
      <c r="AD1811" s="10" t="str">
        <f t="shared" si="2334"/>
        <v>NA</v>
      </c>
      <c r="AE1811" s="10" t="str">
        <f t="shared" si="2335"/>
        <v>NA</v>
      </c>
    </row>
    <row r="1812" spans="1:32" x14ac:dyDescent="0.2">
      <c r="A1812" s="1" t="s">
        <v>328</v>
      </c>
      <c r="B1812" s="1" t="s">
        <v>5</v>
      </c>
      <c r="C1812" s="1" t="s">
        <v>1575</v>
      </c>
      <c r="D1812" s="1" t="s">
        <v>1595</v>
      </c>
      <c r="E1812" s="1" t="s">
        <v>1596</v>
      </c>
      <c r="F1812" s="1" t="s">
        <v>1973</v>
      </c>
      <c r="G1812" s="4">
        <v>0.13</v>
      </c>
      <c r="H1812" s="28">
        <v>40979</v>
      </c>
      <c r="I1812" s="29">
        <f t="shared" si="2339"/>
        <v>2012</v>
      </c>
      <c r="J1812" s="1" t="s">
        <v>1896</v>
      </c>
      <c r="K1812" s="1" t="s">
        <v>7</v>
      </c>
      <c r="L1812" s="11" t="str">
        <f t="shared" si="2336"/>
        <v>НЕТ</v>
      </c>
      <c r="M1812" s="10">
        <v>3.895</v>
      </c>
      <c r="N1812" s="10" t="s">
        <v>1575</v>
      </c>
      <c r="O1812" s="10">
        <v>0.113</v>
      </c>
      <c r="P1812" s="10">
        <f t="shared" si="2337"/>
        <v>0.86923076923076925</v>
      </c>
      <c r="Q1812" s="10" t="str">
        <f t="shared" si="2338"/>
        <v>NA</v>
      </c>
      <c r="R1812" s="10" t="s">
        <v>1575</v>
      </c>
      <c r="S1812" s="10" t="s">
        <v>1575</v>
      </c>
      <c r="T1812" s="10" t="s">
        <v>1575</v>
      </c>
      <c r="U1812" s="10" t="s">
        <v>1575</v>
      </c>
      <c r="V1812" s="10" t="s">
        <v>1575</v>
      </c>
      <c r="W1812" s="10" t="s">
        <v>1575</v>
      </c>
      <c r="X1812" s="10" t="str">
        <f t="shared" si="2328"/>
        <v>NA</v>
      </c>
      <c r="Y1812" s="10" t="str">
        <f t="shared" si="2329"/>
        <v>NA</v>
      </c>
      <c r="Z1812" s="10" t="str">
        <f t="shared" si="2330"/>
        <v>NA</v>
      </c>
      <c r="AA1812" s="10" t="str">
        <f t="shared" si="2331"/>
        <v>NA</v>
      </c>
      <c r="AB1812" s="10" t="str">
        <f t="shared" si="2332"/>
        <v>NA</v>
      </c>
      <c r="AC1812" s="10" t="str">
        <f t="shared" si="2333"/>
        <v>NA</v>
      </c>
      <c r="AD1812" s="10" t="str">
        <f t="shared" si="2334"/>
        <v>NA</v>
      </c>
      <c r="AE1812" s="10" t="str">
        <f t="shared" si="2335"/>
        <v>NA</v>
      </c>
    </row>
    <row r="1813" spans="1:32" x14ac:dyDescent="0.2">
      <c r="A1813" s="1" t="s">
        <v>321</v>
      </c>
      <c r="B1813" s="1" t="s">
        <v>323</v>
      </c>
      <c r="C1813" s="1" t="s">
        <v>1575</v>
      </c>
      <c r="D1813" s="1" t="s">
        <v>1595</v>
      </c>
      <c r="E1813" s="1" t="s">
        <v>1596</v>
      </c>
      <c r="F1813" s="1" t="s">
        <v>1973</v>
      </c>
      <c r="G1813" s="4">
        <f>49%-40%</f>
        <v>8.9999999999999969E-2</v>
      </c>
      <c r="H1813" s="28">
        <v>40659</v>
      </c>
      <c r="I1813" s="29">
        <f t="shared" si="2339"/>
        <v>2011</v>
      </c>
      <c r="J1813" s="1" t="s">
        <v>1896</v>
      </c>
      <c r="K1813" s="1" t="s">
        <v>7</v>
      </c>
      <c r="L1813" s="11" t="str">
        <f t="shared" si="2336"/>
        <v>НЕТ</v>
      </c>
      <c r="M1813" s="10">
        <v>196</v>
      </c>
      <c r="N1813" s="10" t="s">
        <v>1575</v>
      </c>
      <c r="O1813" s="10">
        <f>M1813*27.9924/1000</f>
        <v>5.4865104000000002</v>
      </c>
      <c r="P1813" s="10">
        <f t="shared" si="2337"/>
        <v>60.96122666666669</v>
      </c>
      <c r="Q1813" s="10" t="str">
        <f t="shared" si="2338"/>
        <v>NA</v>
      </c>
      <c r="R1813" s="10" t="s">
        <v>1575</v>
      </c>
      <c r="S1813" s="10" t="s">
        <v>1575</v>
      </c>
      <c r="T1813" s="10" t="s">
        <v>1575</v>
      </c>
      <c r="U1813" s="10" t="s">
        <v>1575</v>
      </c>
      <c r="V1813" s="10" t="s">
        <v>1575</v>
      </c>
      <c r="W1813" s="10" t="s">
        <v>1575</v>
      </c>
      <c r="X1813" s="10" t="str">
        <f t="shared" si="2328"/>
        <v>NA</v>
      </c>
      <c r="Y1813" s="10" t="str">
        <f t="shared" si="2329"/>
        <v>NA</v>
      </c>
      <c r="Z1813" s="10" t="str">
        <f t="shared" si="2330"/>
        <v>NA</v>
      </c>
      <c r="AA1813" s="10" t="str">
        <f t="shared" si="2331"/>
        <v>NA</v>
      </c>
      <c r="AB1813" s="10" t="str">
        <f t="shared" si="2332"/>
        <v>NA</v>
      </c>
      <c r="AC1813" s="10" t="str">
        <f t="shared" si="2333"/>
        <v>NA</v>
      </c>
      <c r="AD1813" s="10" t="str">
        <f t="shared" si="2334"/>
        <v>NA</v>
      </c>
      <c r="AE1813" s="10" t="str">
        <f t="shared" si="2335"/>
        <v>NA</v>
      </c>
      <c r="AF1813" s="1" t="s">
        <v>1931</v>
      </c>
    </row>
    <row r="1814" spans="1:32" x14ac:dyDescent="0.2">
      <c r="A1814" s="1" t="s">
        <v>330</v>
      </c>
      <c r="B1814" s="1" t="s">
        <v>329</v>
      </c>
      <c r="C1814" s="1" t="s">
        <v>1575</v>
      </c>
      <c r="D1814" s="1" t="s">
        <v>1595</v>
      </c>
      <c r="E1814" s="1" t="s">
        <v>1596</v>
      </c>
      <c r="F1814" s="1" t="s">
        <v>1973</v>
      </c>
      <c r="G1814" s="4">
        <v>1</v>
      </c>
      <c r="H1814" s="28">
        <v>40611</v>
      </c>
      <c r="I1814" s="29">
        <f t="shared" si="2339"/>
        <v>2011</v>
      </c>
      <c r="J1814" s="1" t="s">
        <v>1896</v>
      </c>
      <c r="K1814" s="1" t="s">
        <v>7</v>
      </c>
      <c r="L1814" s="11" t="str">
        <f t="shared" si="2336"/>
        <v>НЕТ</v>
      </c>
      <c r="M1814" s="10">
        <v>70</v>
      </c>
      <c r="N1814" s="10" t="s">
        <v>1575</v>
      </c>
      <c r="O1814" s="10">
        <f>M1814*28.1717/1000</f>
        <v>1.972019</v>
      </c>
      <c r="P1814" s="10">
        <f t="shared" si="2337"/>
        <v>1.972019</v>
      </c>
      <c r="Q1814" s="10" t="str">
        <f t="shared" si="2338"/>
        <v>NA</v>
      </c>
      <c r="R1814" s="10" t="s">
        <v>1575</v>
      </c>
      <c r="S1814" s="10" t="s">
        <v>1575</v>
      </c>
      <c r="T1814" s="10" t="s">
        <v>1575</v>
      </c>
      <c r="U1814" s="10" t="s">
        <v>1575</v>
      </c>
      <c r="V1814" s="10" t="s">
        <v>1575</v>
      </c>
      <c r="W1814" s="10" t="s">
        <v>1575</v>
      </c>
      <c r="X1814" s="10" t="str">
        <f t="shared" si="2328"/>
        <v>NA</v>
      </c>
      <c r="Y1814" s="10" t="str">
        <f t="shared" si="2329"/>
        <v>NA</v>
      </c>
      <c r="Z1814" s="10" t="str">
        <f t="shared" si="2330"/>
        <v>NA</v>
      </c>
      <c r="AA1814" s="10" t="str">
        <f t="shared" si="2331"/>
        <v>NA</v>
      </c>
      <c r="AB1814" s="10" t="str">
        <f t="shared" si="2332"/>
        <v>NA</v>
      </c>
      <c r="AC1814" s="10" t="str">
        <f t="shared" si="2333"/>
        <v>NA</v>
      </c>
      <c r="AD1814" s="10" t="str">
        <f t="shared" si="2334"/>
        <v>NA</v>
      </c>
      <c r="AE1814" s="10" t="str">
        <f t="shared" si="2335"/>
        <v>NA</v>
      </c>
      <c r="AF1814" s="1" t="s">
        <v>1930</v>
      </c>
    </row>
    <row r="1815" spans="1:32" x14ac:dyDescent="0.2">
      <c r="A1815" s="1" t="s">
        <v>331</v>
      </c>
      <c r="B1815" s="1" t="s">
        <v>5</v>
      </c>
      <c r="C1815" s="1" t="s">
        <v>1575</v>
      </c>
      <c r="D1815" s="1" t="s">
        <v>1595</v>
      </c>
      <c r="E1815" s="1" t="s">
        <v>1810</v>
      </c>
      <c r="F1815" s="1" t="s">
        <v>1974</v>
      </c>
      <c r="G1815" s="4">
        <v>1</v>
      </c>
      <c r="H1815" s="28">
        <v>40564</v>
      </c>
      <c r="I1815" s="29">
        <f t="shared" si="2339"/>
        <v>2011</v>
      </c>
      <c r="J1815" s="1" t="s">
        <v>1896</v>
      </c>
      <c r="K1815" s="1" t="s">
        <v>7</v>
      </c>
      <c r="L1815" s="11" t="str">
        <f t="shared" si="2336"/>
        <v>НЕТ</v>
      </c>
      <c r="M1815" s="10">
        <v>33</v>
      </c>
      <c r="N1815" s="10" t="s">
        <v>1575</v>
      </c>
      <c r="O1815" s="10">
        <v>1</v>
      </c>
      <c r="P1815" s="10">
        <f t="shared" si="2337"/>
        <v>1</v>
      </c>
      <c r="Q1815" s="10" t="str">
        <f t="shared" si="2338"/>
        <v>NA</v>
      </c>
      <c r="R1815" s="10" t="s">
        <v>1575</v>
      </c>
      <c r="S1815" s="10" t="s">
        <v>1575</v>
      </c>
      <c r="T1815" s="10" t="s">
        <v>1575</v>
      </c>
      <c r="U1815" s="10" t="s">
        <v>1575</v>
      </c>
      <c r="V1815" s="10">
        <f>(0.016-0.003)*29.9147</f>
        <v>0.38889110000000005</v>
      </c>
      <c r="W1815" s="10" t="s">
        <v>1575</v>
      </c>
      <c r="X1815" s="10" t="str">
        <f t="shared" si="2328"/>
        <v>NA</v>
      </c>
      <c r="Y1815" s="10" t="str">
        <f t="shared" si="2329"/>
        <v>NA</v>
      </c>
      <c r="Z1815" s="10" t="str">
        <f t="shared" si="2330"/>
        <v>NA</v>
      </c>
      <c r="AA1815" s="10">
        <f t="shared" si="2331"/>
        <v>2.5714139511035348</v>
      </c>
      <c r="AB1815" s="10" t="str">
        <f t="shared" si="2332"/>
        <v>NA</v>
      </c>
      <c r="AC1815" s="10" t="str">
        <f t="shared" si="2333"/>
        <v>NA</v>
      </c>
      <c r="AD1815" s="10" t="str">
        <f t="shared" si="2334"/>
        <v>NA</v>
      </c>
      <c r="AE1815" s="10" t="str">
        <f t="shared" si="2335"/>
        <v>NA</v>
      </c>
      <c r="AF1815" s="1" t="s">
        <v>1934</v>
      </c>
    </row>
    <row r="1816" spans="1:32" x14ac:dyDescent="0.2">
      <c r="A1816" s="1" t="s">
        <v>332</v>
      </c>
      <c r="B1816" s="1" t="s">
        <v>5</v>
      </c>
      <c r="C1816" s="1" t="s">
        <v>1575</v>
      </c>
      <c r="D1816" s="1" t="s">
        <v>1595</v>
      </c>
      <c r="E1816" s="1" t="s">
        <v>1596</v>
      </c>
      <c r="F1816" s="1" t="s">
        <v>1973</v>
      </c>
      <c r="G1816" s="4">
        <v>0.9</v>
      </c>
      <c r="H1816" s="28">
        <v>40701</v>
      </c>
      <c r="I1816" s="29">
        <f t="shared" si="2339"/>
        <v>2011</v>
      </c>
      <c r="J1816" s="1" t="s">
        <v>1896</v>
      </c>
      <c r="K1816" s="1" t="s">
        <v>7</v>
      </c>
      <c r="L1816" s="11" t="str">
        <f t="shared" si="2336"/>
        <v>НЕТ</v>
      </c>
      <c r="M1816" s="10">
        <v>390.08300000000003</v>
      </c>
      <c r="N1816" s="10" t="s">
        <v>1575</v>
      </c>
      <c r="O1816" s="10">
        <v>10.835000000000001</v>
      </c>
      <c r="P1816" s="10">
        <f t="shared" si="2337"/>
        <v>12.03888888888889</v>
      </c>
      <c r="Q1816" s="10" t="str">
        <f t="shared" si="2338"/>
        <v>NA</v>
      </c>
      <c r="R1816" s="10" t="s">
        <v>1575</v>
      </c>
      <c r="S1816" s="10" t="s">
        <v>1575</v>
      </c>
      <c r="T1816" s="10" t="s">
        <v>1575</v>
      </c>
      <c r="U1816" s="10" t="s">
        <v>1575</v>
      </c>
      <c r="V1816" s="10" t="s">
        <v>1575</v>
      </c>
      <c r="W1816" s="10" t="s">
        <v>1575</v>
      </c>
      <c r="X1816" s="10" t="str">
        <f t="shared" si="2328"/>
        <v>NA</v>
      </c>
      <c r="Y1816" s="10" t="str">
        <f t="shared" si="2329"/>
        <v>NA</v>
      </c>
      <c r="Z1816" s="10" t="str">
        <f t="shared" si="2330"/>
        <v>NA</v>
      </c>
      <c r="AA1816" s="10" t="str">
        <f t="shared" si="2331"/>
        <v>NA</v>
      </c>
      <c r="AB1816" s="10" t="str">
        <f t="shared" si="2332"/>
        <v>NA</v>
      </c>
      <c r="AC1816" s="10" t="str">
        <f t="shared" si="2333"/>
        <v>NA</v>
      </c>
      <c r="AD1816" s="10" t="str">
        <f t="shared" si="2334"/>
        <v>NA</v>
      </c>
      <c r="AE1816" s="10" t="str">
        <f t="shared" si="2335"/>
        <v>NA</v>
      </c>
      <c r="AF1816" s="1" t="s">
        <v>1932</v>
      </c>
    </row>
    <row r="1817" spans="1:32" x14ac:dyDescent="0.2">
      <c r="A1817" s="1" t="s">
        <v>332</v>
      </c>
      <c r="B1817" s="1" t="s">
        <v>5</v>
      </c>
      <c r="C1817" s="1" t="s">
        <v>1575</v>
      </c>
      <c r="D1817" s="1" t="s">
        <v>1595</v>
      </c>
      <c r="E1817" s="1" t="s">
        <v>1596</v>
      </c>
      <c r="F1817" s="1" t="s">
        <v>1973</v>
      </c>
      <c r="G1817" s="4">
        <v>0.1</v>
      </c>
      <c r="H1817" s="28">
        <v>40837</v>
      </c>
      <c r="I1817" s="29">
        <f t="shared" si="2339"/>
        <v>2011</v>
      </c>
      <c r="J1817" s="1" t="s">
        <v>1896</v>
      </c>
      <c r="K1817" s="1" t="s">
        <v>7</v>
      </c>
      <c r="L1817" s="11" t="str">
        <f t="shared" si="2336"/>
        <v>НЕТ</v>
      </c>
      <c r="M1817" s="10">
        <f>438.359-390.083</f>
        <v>48.275999999999954</v>
      </c>
      <c r="N1817" s="10" t="s">
        <v>1575</v>
      </c>
      <c r="O1817" s="10">
        <f>M1817*31.3788/1000</f>
        <v>1.5148429487999986</v>
      </c>
      <c r="P1817" s="10">
        <f t="shared" si="2337"/>
        <v>15.148429487999985</v>
      </c>
      <c r="Q1817" s="10" t="str">
        <f t="shared" si="2338"/>
        <v>NA</v>
      </c>
      <c r="R1817" s="10" t="s">
        <v>1575</v>
      </c>
      <c r="S1817" s="10" t="s">
        <v>1575</v>
      </c>
      <c r="T1817" s="10" t="s">
        <v>1575</v>
      </c>
      <c r="U1817" s="10" t="s">
        <v>1575</v>
      </c>
      <c r="V1817" s="10" t="s">
        <v>1575</v>
      </c>
      <c r="W1817" s="10" t="s">
        <v>1575</v>
      </c>
      <c r="X1817" s="10" t="str">
        <f t="shared" si="2328"/>
        <v>NA</v>
      </c>
      <c r="Y1817" s="10" t="str">
        <f t="shared" si="2329"/>
        <v>NA</v>
      </c>
      <c r="Z1817" s="10" t="str">
        <f t="shared" si="2330"/>
        <v>NA</v>
      </c>
      <c r="AA1817" s="10" t="str">
        <f t="shared" si="2331"/>
        <v>NA</v>
      </c>
      <c r="AB1817" s="10" t="str">
        <f t="shared" si="2332"/>
        <v>NA</v>
      </c>
      <c r="AC1817" s="10" t="str">
        <f t="shared" si="2333"/>
        <v>NA</v>
      </c>
      <c r="AD1817" s="10" t="str">
        <f t="shared" si="2334"/>
        <v>NA</v>
      </c>
      <c r="AE1817" s="10" t="str">
        <f t="shared" si="2335"/>
        <v>NA</v>
      </c>
      <c r="AF1817" s="1" t="s">
        <v>1933</v>
      </c>
    </row>
    <row r="1818" spans="1:32" x14ac:dyDescent="0.2">
      <c r="A1818" s="1" t="s">
        <v>324</v>
      </c>
      <c r="B1818" s="1" t="s">
        <v>325</v>
      </c>
      <c r="C1818" s="1" t="s">
        <v>1575</v>
      </c>
      <c r="D1818" s="1" t="s">
        <v>1595</v>
      </c>
      <c r="E1818" s="1" t="s">
        <v>1596</v>
      </c>
      <c r="F1818" s="1" t="s">
        <v>1973</v>
      </c>
      <c r="G1818" s="4">
        <v>0.08</v>
      </c>
      <c r="H1818" s="28">
        <v>40868</v>
      </c>
      <c r="I1818" s="29">
        <f t="shared" si="2339"/>
        <v>2011</v>
      </c>
      <c r="J1818" s="1" t="s">
        <v>1896</v>
      </c>
      <c r="K1818" s="1" t="s">
        <v>7</v>
      </c>
      <c r="L1818" s="11" t="str">
        <f t="shared" si="2336"/>
        <v>НЕТ</v>
      </c>
      <c r="M1818" s="10">
        <v>9.1999999999999993</v>
      </c>
      <c r="N1818" s="10" t="s">
        <v>1575</v>
      </c>
      <c r="O1818" s="10">
        <f>M1818*30.919/1000</f>
        <v>0.28445479999999995</v>
      </c>
      <c r="P1818" s="10">
        <f t="shared" si="2337"/>
        <v>3.5556849999999995</v>
      </c>
      <c r="Q1818" s="10" t="str">
        <f t="shared" si="2338"/>
        <v>NA</v>
      </c>
      <c r="R1818" s="10" t="s">
        <v>1575</v>
      </c>
      <c r="S1818" s="10" t="s">
        <v>1575</v>
      </c>
      <c r="T1818" s="10" t="s">
        <v>1575</v>
      </c>
      <c r="U1818" s="10" t="s">
        <v>1575</v>
      </c>
      <c r="V1818" s="10" t="s">
        <v>1575</v>
      </c>
      <c r="W1818" s="10" t="s">
        <v>1575</v>
      </c>
      <c r="X1818" s="10" t="str">
        <f t="shared" si="2328"/>
        <v>NA</v>
      </c>
      <c r="Y1818" s="10" t="str">
        <f t="shared" si="2329"/>
        <v>NA</v>
      </c>
      <c r="Z1818" s="10" t="str">
        <f t="shared" si="2330"/>
        <v>NA</v>
      </c>
      <c r="AA1818" s="10" t="str">
        <f t="shared" si="2331"/>
        <v>NA</v>
      </c>
      <c r="AB1818" s="10" t="str">
        <f t="shared" si="2332"/>
        <v>NA</v>
      </c>
      <c r="AC1818" s="10" t="str">
        <f t="shared" si="2333"/>
        <v>NA</v>
      </c>
      <c r="AD1818" s="10" t="str">
        <f t="shared" si="2334"/>
        <v>NA</v>
      </c>
      <c r="AE1818" s="10" t="str">
        <f t="shared" si="2335"/>
        <v>NA</v>
      </c>
      <c r="AF1818" s="1" t="s">
        <v>1935</v>
      </c>
    </row>
    <row r="1819" spans="1:32" x14ac:dyDescent="0.2">
      <c r="A1819" s="1" t="s">
        <v>333</v>
      </c>
      <c r="B1819" s="1" t="s">
        <v>91</v>
      </c>
      <c r="C1819" s="1" t="s">
        <v>1575</v>
      </c>
      <c r="D1819" s="1" t="s">
        <v>1595</v>
      </c>
      <c r="E1819" s="1" t="s">
        <v>1596</v>
      </c>
      <c r="F1819" s="1" t="s">
        <v>1973</v>
      </c>
      <c r="G1819" s="4">
        <v>1</v>
      </c>
      <c r="H1819" s="28">
        <v>40289</v>
      </c>
      <c r="I1819" s="29">
        <f t="shared" si="2339"/>
        <v>2010</v>
      </c>
      <c r="J1819" s="1" t="s">
        <v>1894</v>
      </c>
      <c r="K1819" s="1" t="s">
        <v>7</v>
      </c>
      <c r="L1819" s="11" t="str">
        <f t="shared" si="2336"/>
        <v>НЕТ</v>
      </c>
      <c r="M1819" s="10">
        <v>5596</v>
      </c>
      <c r="N1819" s="10" t="s">
        <v>1575</v>
      </c>
      <c r="O1819" s="10">
        <f>M1819*29.1381/1000</f>
        <v>163.05680760000001</v>
      </c>
      <c r="P1819" s="10">
        <f t="shared" si="2337"/>
        <v>163.05680760000001</v>
      </c>
      <c r="Q1819" s="10" t="str">
        <f t="shared" si="2338"/>
        <v>NA</v>
      </c>
      <c r="R1819" s="10" t="s">
        <v>1575</v>
      </c>
      <c r="S1819" s="10" t="s">
        <v>1575</v>
      </c>
      <c r="T1819" s="10" t="s">
        <v>1575</v>
      </c>
      <c r="U1819" s="10" t="s">
        <v>1575</v>
      </c>
      <c r="V1819" s="10">
        <f>5.596*29.1381</f>
        <v>163.05680760000001</v>
      </c>
      <c r="W1819" s="10" t="s">
        <v>1575</v>
      </c>
      <c r="X1819" s="10" t="str">
        <f t="shared" si="2328"/>
        <v>NA</v>
      </c>
      <c r="Y1819" s="10" t="str">
        <f t="shared" si="2329"/>
        <v>NA</v>
      </c>
      <c r="Z1819" s="10" t="str">
        <f t="shared" si="2330"/>
        <v>NA</v>
      </c>
      <c r="AA1819" s="10">
        <f t="shared" si="2331"/>
        <v>1</v>
      </c>
      <c r="AB1819" s="10" t="str">
        <f t="shared" si="2332"/>
        <v>NA</v>
      </c>
      <c r="AC1819" s="10" t="str">
        <f t="shared" si="2333"/>
        <v>NA</v>
      </c>
      <c r="AD1819" s="10" t="str">
        <f t="shared" si="2334"/>
        <v>NA</v>
      </c>
      <c r="AE1819" s="10" t="str">
        <f t="shared" si="2335"/>
        <v>NA</v>
      </c>
      <c r="AF1819" s="1" t="s">
        <v>1936</v>
      </c>
    </row>
    <row r="1820" spans="1:32" x14ac:dyDescent="0.2">
      <c r="A1820" s="1" t="s">
        <v>6124</v>
      </c>
      <c r="B1820" s="1" t="s">
        <v>5</v>
      </c>
      <c r="C1820" s="1" t="s">
        <v>1575</v>
      </c>
      <c r="D1820" s="1" t="s">
        <v>1813</v>
      </c>
      <c r="E1820" s="1" t="s">
        <v>1587</v>
      </c>
      <c r="F1820" s="1" t="s">
        <v>2037</v>
      </c>
      <c r="G1820" s="4">
        <v>0.51</v>
      </c>
      <c r="H1820" s="28">
        <v>44227</v>
      </c>
      <c r="I1820" s="29">
        <f t="shared" si="2339"/>
        <v>2021</v>
      </c>
      <c r="J1820" s="1" t="s">
        <v>6125</v>
      </c>
      <c r="K1820" s="1" t="s">
        <v>7</v>
      </c>
      <c r="L1820" s="11" t="str">
        <f t="shared" si="2336"/>
        <v>НЕТ</v>
      </c>
      <c r="M1820" s="10" t="s">
        <v>1575</v>
      </c>
      <c r="N1820" s="10" t="s">
        <v>1575</v>
      </c>
      <c r="O1820" s="10">
        <v>5.0000000000000004E-6</v>
      </c>
      <c r="P1820" s="10">
        <f t="shared" si="2337"/>
        <v>9.8039215686274513E-6</v>
      </c>
      <c r="Q1820" s="10" t="str">
        <f t="shared" si="2338"/>
        <v>NA</v>
      </c>
      <c r="R1820" s="10" t="s">
        <v>1575</v>
      </c>
      <c r="S1820" s="10" t="s">
        <v>1575</v>
      </c>
      <c r="T1820" s="10" t="s">
        <v>1575</v>
      </c>
      <c r="U1820" s="10" t="s">
        <v>1575</v>
      </c>
      <c r="V1820" s="10">
        <v>-3.2261999999999999E-2</v>
      </c>
      <c r="W1820" s="10" t="s">
        <v>1575</v>
      </c>
      <c r="X1820" s="10" t="str">
        <f t="shared" si="2328"/>
        <v>NA</v>
      </c>
      <c r="Y1820" s="10" t="str">
        <f t="shared" si="2329"/>
        <v>NA</v>
      </c>
      <c r="Z1820" s="10" t="str">
        <f t="shared" si="2330"/>
        <v>NA</v>
      </c>
      <c r="AA1820" s="10">
        <f t="shared" si="2331"/>
        <v>-3.0388449471909526E-4</v>
      </c>
      <c r="AB1820" s="10" t="str">
        <f t="shared" si="2332"/>
        <v>NA</v>
      </c>
      <c r="AC1820" s="10" t="str">
        <f t="shared" si="2333"/>
        <v>NA</v>
      </c>
      <c r="AD1820" s="10" t="str">
        <f t="shared" si="2334"/>
        <v>NA</v>
      </c>
      <c r="AE1820" s="10" t="str">
        <f t="shared" si="2335"/>
        <v>NA</v>
      </c>
      <c r="AF1820" s="1" t="s">
        <v>2014</v>
      </c>
    </row>
    <row r="1821" spans="1:32" x14ac:dyDescent="0.2">
      <c r="A1821" s="1" t="s">
        <v>6126</v>
      </c>
      <c r="B1821" s="1" t="s">
        <v>5</v>
      </c>
      <c r="C1821" s="1" t="s">
        <v>1575</v>
      </c>
      <c r="D1821" s="1" t="s">
        <v>1813</v>
      </c>
      <c r="E1821" s="1" t="s">
        <v>1971</v>
      </c>
      <c r="F1821" s="1" t="s">
        <v>2025</v>
      </c>
      <c r="G1821" s="4">
        <v>0.51</v>
      </c>
      <c r="H1821" s="28">
        <v>44227</v>
      </c>
      <c r="I1821" s="29">
        <f t="shared" si="2339"/>
        <v>2021</v>
      </c>
      <c r="J1821" s="1" t="s">
        <v>6125</v>
      </c>
      <c r="K1821" s="1" t="s">
        <v>7</v>
      </c>
      <c r="L1821" s="11" t="str">
        <f t="shared" si="2336"/>
        <v>НЕТ</v>
      </c>
      <c r="M1821" s="10" t="s">
        <v>1575</v>
      </c>
      <c r="N1821" s="10" t="s">
        <v>1575</v>
      </c>
      <c r="O1821" s="10">
        <v>2.42E-4</v>
      </c>
      <c r="P1821" s="10">
        <f t="shared" si="2337"/>
        <v>4.745098039215686E-4</v>
      </c>
      <c r="Q1821" s="10" t="str">
        <f t="shared" si="2338"/>
        <v>NA</v>
      </c>
      <c r="R1821" s="10" t="s">
        <v>1575</v>
      </c>
      <c r="S1821" s="10" t="s">
        <v>1575</v>
      </c>
      <c r="T1821" s="10" t="s">
        <v>1575</v>
      </c>
      <c r="U1821" s="10" t="s">
        <v>1575</v>
      </c>
      <c r="V1821" s="10">
        <v>6.1609999999999998E-2</v>
      </c>
      <c r="W1821" s="10" t="s">
        <v>1575</v>
      </c>
      <c r="X1821" s="10" t="str">
        <f t="shared" si="2328"/>
        <v>NA</v>
      </c>
      <c r="Y1821" s="10" t="str">
        <f t="shared" si="2329"/>
        <v>NA</v>
      </c>
      <c r="Z1821" s="10" t="str">
        <f t="shared" si="2330"/>
        <v>NA</v>
      </c>
      <c r="AA1821" s="10">
        <f t="shared" si="2331"/>
        <v>7.7018309352632468E-3</v>
      </c>
      <c r="AB1821" s="10" t="str">
        <f t="shared" si="2332"/>
        <v>NA</v>
      </c>
      <c r="AC1821" s="10" t="str">
        <f t="shared" si="2333"/>
        <v>NA</v>
      </c>
      <c r="AD1821" s="10" t="str">
        <f t="shared" si="2334"/>
        <v>NA</v>
      </c>
      <c r="AE1821" s="10" t="str">
        <f t="shared" si="2335"/>
        <v>NA</v>
      </c>
      <c r="AF1821" s="1" t="s">
        <v>2015</v>
      </c>
    </row>
    <row r="1822" spans="1:32" x14ac:dyDescent="0.2">
      <c r="A1822" s="1" t="s">
        <v>6127</v>
      </c>
      <c r="B1822" s="1" t="s">
        <v>5</v>
      </c>
      <c r="C1822" s="1" t="s">
        <v>1575</v>
      </c>
      <c r="D1822" s="1" t="s">
        <v>1595</v>
      </c>
      <c r="E1822" s="1" t="s">
        <v>1810</v>
      </c>
      <c r="F1822" s="1" t="s">
        <v>1974</v>
      </c>
      <c r="G1822" s="4">
        <v>1</v>
      </c>
      <c r="H1822" s="28">
        <v>44286</v>
      </c>
      <c r="I1822" s="29">
        <f t="shared" si="2339"/>
        <v>2021</v>
      </c>
      <c r="J1822" s="1" t="s">
        <v>6125</v>
      </c>
      <c r="K1822" s="1" t="s">
        <v>7</v>
      </c>
      <c r="L1822" s="11" t="str">
        <f t="shared" si="2336"/>
        <v>НЕТ</v>
      </c>
      <c r="M1822" s="10" t="s">
        <v>1575</v>
      </c>
      <c r="N1822" s="10" t="s">
        <v>1575</v>
      </c>
      <c r="O1822" s="10">
        <v>1.0000000000000001E-5</v>
      </c>
      <c r="P1822" s="10">
        <f t="shared" si="2337"/>
        <v>1.0000000000000001E-5</v>
      </c>
      <c r="Q1822" s="10" t="str">
        <f t="shared" si="2338"/>
        <v>NA</v>
      </c>
      <c r="R1822" s="10" t="s">
        <v>1575</v>
      </c>
      <c r="S1822" s="10" t="s">
        <v>1575</v>
      </c>
      <c r="T1822" s="10" t="s">
        <v>1575</v>
      </c>
      <c r="U1822" s="10" t="s">
        <v>1575</v>
      </c>
      <c r="V1822" s="10">
        <v>-2.4414000000000002E-2</v>
      </c>
      <c r="W1822" s="10" t="s">
        <v>1575</v>
      </c>
      <c r="X1822" s="10" t="str">
        <f t="shared" si="2328"/>
        <v>NA</v>
      </c>
      <c r="Y1822" s="10" t="str">
        <f t="shared" si="2329"/>
        <v>NA</v>
      </c>
      <c r="Z1822" s="10" t="str">
        <f t="shared" si="2330"/>
        <v>NA</v>
      </c>
      <c r="AA1822" s="10">
        <f t="shared" si="2331"/>
        <v>-4.0960104857868437E-4</v>
      </c>
      <c r="AB1822" s="10" t="str">
        <f t="shared" si="2332"/>
        <v>NA</v>
      </c>
      <c r="AC1822" s="10" t="str">
        <f t="shared" si="2333"/>
        <v>NA</v>
      </c>
      <c r="AD1822" s="10" t="str">
        <f t="shared" si="2334"/>
        <v>NA</v>
      </c>
      <c r="AE1822" s="10" t="str">
        <f t="shared" si="2335"/>
        <v>NA</v>
      </c>
      <c r="AF1822" s="1" t="s">
        <v>2016</v>
      </c>
    </row>
    <row r="1823" spans="1:32" x14ac:dyDescent="0.2">
      <c r="A1823" s="1" t="s">
        <v>6128</v>
      </c>
      <c r="B1823" s="1" t="s">
        <v>5</v>
      </c>
      <c r="C1823" s="1" t="s">
        <v>1575</v>
      </c>
      <c r="D1823" s="1" t="s">
        <v>1813</v>
      </c>
      <c r="E1823" s="1" t="s">
        <v>1971</v>
      </c>
      <c r="F1823" s="1" t="s">
        <v>2025</v>
      </c>
      <c r="G1823" s="4" t="s">
        <v>11</v>
      </c>
      <c r="H1823" s="28">
        <v>44561</v>
      </c>
      <c r="I1823" s="29">
        <f t="shared" si="2339"/>
        <v>2021</v>
      </c>
      <c r="J1823" s="1" t="s">
        <v>6125</v>
      </c>
      <c r="K1823" s="1" t="s">
        <v>7</v>
      </c>
      <c r="L1823" s="11" t="str">
        <f t="shared" si="2336"/>
        <v>НЕТ</v>
      </c>
      <c r="M1823" s="10" t="s">
        <v>1575</v>
      </c>
      <c r="N1823" s="10" t="s">
        <v>1575</v>
      </c>
      <c r="O1823" s="10" t="s">
        <v>1575</v>
      </c>
      <c r="P1823" s="10" t="str">
        <f t="shared" si="2337"/>
        <v>NA</v>
      </c>
      <c r="Q1823" s="10" t="str">
        <f t="shared" si="2338"/>
        <v>NA</v>
      </c>
      <c r="R1823" s="10" t="s">
        <v>1575</v>
      </c>
      <c r="S1823" s="10" t="s">
        <v>1575</v>
      </c>
      <c r="T1823" s="10" t="s">
        <v>1575</v>
      </c>
      <c r="U1823" s="10" t="s">
        <v>1575</v>
      </c>
      <c r="V1823" s="10">
        <f>0.070771</f>
        <v>7.0771000000000001E-2</v>
      </c>
      <c r="W1823" s="10" t="s">
        <v>1575</v>
      </c>
      <c r="X1823" s="10" t="str">
        <f t="shared" si="2328"/>
        <v>NA</v>
      </c>
      <c r="Y1823" s="10" t="str">
        <f t="shared" si="2329"/>
        <v>NA</v>
      </c>
      <c r="Z1823" s="10" t="str">
        <f t="shared" si="2330"/>
        <v>NA</v>
      </c>
      <c r="AA1823" s="10" t="str">
        <f t="shared" si="2331"/>
        <v>NA</v>
      </c>
      <c r="AB1823" s="10" t="str">
        <f t="shared" si="2332"/>
        <v>NA</v>
      </c>
      <c r="AC1823" s="10" t="str">
        <f t="shared" si="2333"/>
        <v>NA</v>
      </c>
      <c r="AD1823" s="10" t="str">
        <f t="shared" si="2334"/>
        <v>NA</v>
      </c>
      <c r="AE1823" s="10" t="str">
        <f t="shared" si="2335"/>
        <v>NA</v>
      </c>
      <c r="AF1823" s="1" t="s">
        <v>2017</v>
      </c>
    </row>
    <row r="1824" spans="1:32" x14ac:dyDescent="0.2">
      <c r="A1824" s="1" t="s">
        <v>6129</v>
      </c>
      <c r="B1824" s="1" t="s">
        <v>5</v>
      </c>
      <c r="C1824" s="1" t="s">
        <v>1575</v>
      </c>
      <c r="D1824" s="1" t="s">
        <v>1584</v>
      </c>
      <c r="E1824" s="1" t="s">
        <v>3486</v>
      </c>
      <c r="F1824" s="1" t="s">
        <v>46</v>
      </c>
      <c r="G1824" s="4">
        <v>1</v>
      </c>
      <c r="H1824" s="28">
        <v>44561</v>
      </c>
      <c r="I1824" s="29">
        <f t="shared" si="2339"/>
        <v>2021</v>
      </c>
      <c r="J1824" s="1" t="s">
        <v>6130</v>
      </c>
      <c r="K1824" s="1" t="s">
        <v>7</v>
      </c>
      <c r="L1824" s="11" t="str">
        <f t="shared" si="2336"/>
        <v>НЕТ</v>
      </c>
      <c r="M1824" s="10" t="s">
        <v>1575</v>
      </c>
      <c r="N1824" s="10" t="s">
        <v>1575</v>
      </c>
      <c r="O1824" s="10">
        <v>0.190082</v>
      </c>
      <c r="P1824" s="10">
        <f t="shared" si="2337"/>
        <v>0.190082</v>
      </c>
      <c r="Q1824" s="10" t="str">
        <f t="shared" si="2338"/>
        <v>NA</v>
      </c>
      <c r="R1824" s="10" t="s">
        <v>1575</v>
      </c>
      <c r="S1824" s="10" t="s">
        <v>1575</v>
      </c>
      <c r="T1824" s="10" t="s">
        <v>1575</v>
      </c>
      <c r="U1824" s="10" t="s">
        <v>1575</v>
      </c>
      <c r="V1824" s="10" t="s">
        <v>1575</v>
      </c>
      <c r="W1824" s="10" t="s">
        <v>1575</v>
      </c>
      <c r="X1824" s="10" t="str">
        <f t="shared" si="2328"/>
        <v>NA</v>
      </c>
      <c r="Y1824" s="10" t="str">
        <f t="shared" si="2329"/>
        <v>NA</v>
      </c>
      <c r="Z1824" s="10" t="str">
        <f t="shared" si="2330"/>
        <v>NA</v>
      </c>
      <c r="AA1824" s="10" t="str">
        <f t="shared" si="2331"/>
        <v>NA</v>
      </c>
      <c r="AB1824" s="10" t="str">
        <f t="shared" si="2332"/>
        <v>NA</v>
      </c>
      <c r="AC1824" s="10" t="str">
        <f t="shared" si="2333"/>
        <v>NA</v>
      </c>
      <c r="AD1824" s="10" t="str">
        <f t="shared" si="2334"/>
        <v>NA</v>
      </c>
      <c r="AE1824" s="10" t="str">
        <f t="shared" si="2335"/>
        <v>NA</v>
      </c>
      <c r="AF1824" s="1" t="s">
        <v>2027</v>
      </c>
    </row>
    <row r="1825" spans="1:32" x14ac:dyDescent="0.2">
      <c r="A1825" s="1" t="s">
        <v>6131</v>
      </c>
      <c r="B1825" s="1" t="s">
        <v>5</v>
      </c>
      <c r="C1825" s="1" t="s">
        <v>1575</v>
      </c>
      <c r="D1825" s="1" t="s">
        <v>1595</v>
      </c>
      <c r="E1825" s="1" t="s">
        <v>1587</v>
      </c>
      <c r="F1825" s="1" t="s">
        <v>244</v>
      </c>
      <c r="G1825" s="4">
        <v>1</v>
      </c>
      <c r="H1825" s="28">
        <v>44592</v>
      </c>
      <c r="I1825" s="29">
        <f t="shared" si="2339"/>
        <v>2022</v>
      </c>
      <c r="J1825" s="1" t="s">
        <v>6132</v>
      </c>
      <c r="K1825" s="1" t="s">
        <v>7</v>
      </c>
      <c r="L1825" s="11" t="str">
        <f t="shared" si="2336"/>
        <v>НЕТ</v>
      </c>
      <c r="M1825" s="10" t="s">
        <v>1575</v>
      </c>
      <c r="N1825" s="10" t="s">
        <v>1575</v>
      </c>
      <c r="O1825" s="10" t="s">
        <v>1575</v>
      </c>
      <c r="P1825" s="10" t="str">
        <f t="shared" si="2337"/>
        <v>NA</v>
      </c>
      <c r="Q1825" s="10" t="str">
        <f t="shared" si="2338"/>
        <v>NA</v>
      </c>
      <c r="R1825" s="10" t="s">
        <v>1575</v>
      </c>
      <c r="S1825" s="10" t="s">
        <v>1575</v>
      </c>
      <c r="T1825" s="10" t="s">
        <v>1575</v>
      </c>
      <c r="U1825" s="10" t="s">
        <v>1575</v>
      </c>
      <c r="V1825" s="10" t="s">
        <v>1575</v>
      </c>
      <c r="W1825" s="10" t="s">
        <v>1575</v>
      </c>
      <c r="X1825" s="10" t="str">
        <f t="shared" ref="X1825:X1888" si="2340">IFERROR(V1825+W1825,"NA")</f>
        <v>NA</v>
      </c>
      <c r="Y1825" s="10" t="str">
        <f t="shared" ref="Y1825:Y1888" si="2341">IFERROR(P1825/R1825,"NA")</f>
        <v>NA</v>
      </c>
      <c r="Z1825" s="10" t="str">
        <f t="shared" ref="Z1825:Z1888" si="2342">IFERROR(P1825/U1825,"NA")</f>
        <v>NA</v>
      </c>
      <c r="AA1825" s="10" t="str">
        <f t="shared" ref="AA1825:AA1888" si="2343">IFERROR(P1825/V1825,"NA")</f>
        <v>NA</v>
      </c>
      <c r="AB1825" s="10" t="str">
        <f t="shared" ref="AB1825:AB1888" si="2344">IFERROR(Q1825/R1825,"NA")</f>
        <v>NA</v>
      </c>
      <c r="AC1825" s="10" t="str">
        <f t="shared" ref="AC1825:AC1888" si="2345">IFERROR(Q1825/S1825,"NA")</f>
        <v>NA</v>
      </c>
      <c r="AD1825" s="10" t="str">
        <f t="shared" ref="AD1825:AD1888" si="2346">IFERROR(Q1825/T1825,"NA")</f>
        <v>NA</v>
      </c>
      <c r="AE1825" s="10" t="str">
        <f t="shared" ref="AE1825:AE1888" si="2347">IFERROR(Q1825/X1825,"NA")</f>
        <v>NA</v>
      </c>
      <c r="AF1825" s="1" t="s">
        <v>2026</v>
      </c>
    </row>
    <row r="1826" spans="1:32" x14ac:dyDescent="0.2">
      <c r="A1826" s="1" t="s">
        <v>6133</v>
      </c>
      <c r="B1826" s="1" t="s">
        <v>5</v>
      </c>
      <c r="C1826" s="1" t="s">
        <v>1575</v>
      </c>
      <c r="D1826" s="1" t="s">
        <v>1813</v>
      </c>
      <c r="E1826" s="1" t="s">
        <v>1971</v>
      </c>
      <c r="F1826" s="1" t="s">
        <v>2025</v>
      </c>
      <c r="G1826" s="4">
        <v>0.59989999999999999</v>
      </c>
      <c r="H1826" s="28">
        <v>44042</v>
      </c>
      <c r="I1826" s="29">
        <f t="shared" si="2339"/>
        <v>2020</v>
      </c>
      <c r="J1826" s="1" t="s">
        <v>6125</v>
      </c>
      <c r="K1826" s="1" t="s">
        <v>7</v>
      </c>
      <c r="L1826" s="11" t="str">
        <f t="shared" si="2336"/>
        <v>НЕТ</v>
      </c>
      <c r="M1826" s="10" t="s">
        <v>1575</v>
      </c>
      <c r="N1826" s="10" t="s">
        <v>1575</v>
      </c>
      <c r="O1826" s="10">
        <v>1.1856850000000001</v>
      </c>
      <c r="P1826" s="10">
        <f t="shared" si="2337"/>
        <v>1.9764710785130857</v>
      </c>
      <c r="Q1826" s="10" t="str">
        <f t="shared" si="2338"/>
        <v>NA</v>
      </c>
      <c r="R1826" s="10" t="s">
        <v>1575</v>
      </c>
      <c r="S1826" s="10" t="s">
        <v>1575</v>
      </c>
      <c r="T1826" s="10" t="s">
        <v>1575</v>
      </c>
      <c r="U1826" s="10" t="s">
        <v>1575</v>
      </c>
      <c r="V1826" s="10">
        <v>1.416167</v>
      </c>
      <c r="W1826" s="10" t="s">
        <v>1575</v>
      </c>
      <c r="X1826" s="10" t="str">
        <f t="shared" si="2340"/>
        <v>NA</v>
      </c>
      <c r="Y1826" s="10" t="str">
        <f t="shared" si="2341"/>
        <v>NA</v>
      </c>
      <c r="Z1826" s="10" t="str">
        <f t="shared" si="2342"/>
        <v>NA</v>
      </c>
      <c r="AA1826" s="10">
        <f t="shared" si="2343"/>
        <v>1.3956483087892075</v>
      </c>
      <c r="AB1826" s="10" t="str">
        <f t="shared" si="2344"/>
        <v>NA</v>
      </c>
      <c r="AC1826" s="10" t="str">
        <f t="shared" si="2345"/>
        <v>NA</v>
      </c>
      <c r="AD1826" s="10" t="str">
        <f t="shared" si="2346"/>
        <v>NA</v>
      </c>
      <c r="AE1826" s="10" t="str">
        <f t="shared" si="2347"/>
        <v>NA</v>
      </c>
      <c r="AF1826" s="1" t="s">
        <v>2023</v>
      </c>
    </row>
    <row r="1827" spans="1:32" x14ac:dyDescent="0.2">
      <c r="A1827" s="1" t="s">
        <v>6133</v>
      </c>
      <c r="B1827" s="1" t="s">
        <v>5</v>
      </c>
      <c r="C1827" s="1" t="s">
        <v>1575</v>
      </c>
      <c r="D1827" s="1" t="s">
        <v>1813</v>
      </c>
      <c r="E1827" s="1" t="s">
        <v>1971</v>
      </c>
      <c r="F1827" s="1" t="s">
        <v>2025</v>
      </c>
      <c r="G1827" s="4">
        <v>0.25009999999999999</v>
      </c>
      <c r="H1827" s="28">
        <v>43921</v>
      </c>
      <c r="I1827" s="29">
        <f t="shared" si="2339"/>
        <v>2020</v>
      </c>
      <c r="J1827" s="1" t="s">
        <v>6125</v>
      </c>
      <c r="K1827" s="1" t="s">
        <v>7</v>
      </c>
      <c r="L1827" s="11" t="str">
        <f t="shared" si="2336"/>
        <v>НЕТ</v>
      </c>
      <c r="M1827" s="10" t="s">
        <v>1575</v>
      </c>
      <c r="N1827" s="10" t="s">
        <v>1575</v>
      </c>
      <c r="O1827" s="10">
        <v>0.494315</v>
      </c>
      <c r="P1827" s="10">
        <f t="shared" si="2337"/>
        <v>1.9764694122351061</v>
      </c>
      <c r="Q1827" s="10" t="str">
        <f t="shared" si="2338"/>
        <v>NA</v>
      </c>
      <c r="R1827" s="10" t="s">
        <v>1575</v>
      </c>
      <c r="S1827" s="10" t="s">
        <v>1575</v>
      </c>
      <c r="T1827" s="10" t="s">
        <v>1575</v>
      </c>
      <c r="U1827" s="10" t="s">
        <v>1575</v>
      </c>
      <c r="V1827" s="10">
        <v>1.416167</v>
      </c>
      <c r="W1827" s="10" t="s">
        <v>1575</v>
      </c>
      <c r="X1827" s="10" t="str">
        <f t="shared" si="2340"/>
        <v>NA</v>
      </c>
      <c r="Y1827" s="10" t="str">
        <f t="shared" si="2341"/>
        <v>NA</v>
      </c>
      <c r="Z1827" s="10" t="str">
        <f t="shared" si="2342"/>
        <v>NA</v>
      </c>
      <c r="AA1827" s="10">
        <f t="shared" si="2343"/>
        <v>1.3956471321779891</v>
      </c>
      <c r="AB1827" s="10" t="str">
        <f t="shared" si="2344"/>
        <v>NA</v>
      </c>
      <c r="AC1827" s="10" t="str">
        <f t="shared" si="2345"/>
        <v>NA</v>
      </c>
      <c r="AD1827" s="10" t="str">
        <f t="shared" si="2346"/>
        <v>NA</v>
      </c>
      <c r="AE1827" s="10" t="str">
        <f t="shared" si="2347"/>
        <v>NA</v>
      </c>
      <c r="AF1827" s="1" t="s">
        <v>2022</v>
      </c>
    </row>
    <row r="1828" spans="1:32" x14ac:dyDescent="0.2">
      <c r="A1828" s="1" t="s">
        <v>6134</v>
      </c>
      <c r="B1828" s="1" t="s">
        <v>5</v>
      </c>
      <c r="C1828" s="1" t="s">
        <v>1575</v>
      </c>
      <c r="D1828" s="1" t="s">
        <v>1595</v>
      </c>
      <c r="E1828" s="16" t="s">
        <v>9208</v>
      </c>
      <c r="F1828" s="1" t="s">
        <v>1947</v>
      </c>
      <c r="G1828" s="4">
        <v>0.99990000000000001</v>
      </c>
      <c r="H1828" s="28">
        <v>43921</v>
      </c>
      <c r="I1828" s="29">
        <f t="shared" si="2339"/>
        <v>2020</v>
      </c>
      <c r="J1828" s="1" t="s">
        <v>6125</v>
      </c>
      <c r="K1828" s="1" t="s">
        <v>7</v>
      </c>
      <c r="L1828" s="11" t="str">
        <f t="shared" si="2336"/>
        <v>НЕТ</v>
      </c>
      <c r="M1828" s="10" t="s">
        <v>1575</v>
      </c>
      <c r="N1828" s="10" t="s">
        <v>1575</v>
      </c>
      <c r="O1828" s="10">
        <v>0.71819599999999995</v>
      </c>
      <c r="P1828" s="10">
        <f t="shared" si="2337"/>
        <v>0.7182678267826782</v>
      </c>
      <c r="Q1828" s="10" t="str">
        <f t="shared" si="2338"/>
        <v>NA</v>
      </c>
      <c r="R1828" s="10" t="s">
        <v>1575</v>
      </c>
      <c r="S1828" s="10" t="s">
        <v>1575</v>
      </c>
      <c r="T1828" s="10" t="s">
        <v>1575</v>
      </c>
      <c r="U1828" s="10" t="s">
        <v>1575</v>
      </c>
      <c r="V1828" s="10">
        <v>0.160611</v>
      </c>
      <c r="W1828" s="10" t="s">
        <v>1575</v>
      </c>
      <c r="X1828" s="10" t="str">
        <f t="shared" si="2340"/>
        <v>NA</v>
      </c>
      <c r="Y1828" s="10" t="str">
        <f t="shared" si="2341"/>
        <v>NA</v>
      </c>
      <c r="Z1828" s="10" t="str">
        <f t="shared" si="2342"/>
        <v>NA</v>
      </c>
      <c r="AA1828" s="10">
        <f t="shared" si="2343"/>
        <v>4.4720961004083044</v>
      </c>
      <c r="AB1828" s="10" t="str">
        <f t="shared" si="2344"/>
        <v>NA</v>
      </c>
      <c r="AC1828" s="10" t="str">
        <f t="shared" si="2345"/>
        <v>NA</v>
      </c>
      <c r="AD1828" s="10" t="str">
        <f t="shared" si="2346"/>
        <v>NA</v>
      </c>
      <c r="AE1828" s="10" t="str">
        <f t="shared" si="2347"/>
        <v>NA</v>
      </c>
      <c r="AF1828" s="1" t="s">
        <v>2021</v>
      </c>
    </row>
    <row r="1829" spans="1:32" x14ac:dyDescent="0.2">
      <c r="A1829" s="1" t="s">
        <v>6135</v>
      </c>
      <c r="B1829" s="1" t="s">
        <v>5</v>
      </c>
      <c r="C1829" s="1" t="s">
        <v>1575</v>
      </c>
      <c r="D1829" s="1" t="s">
        <v>1595</v>
      </c>
      <c r="E1829" s="1" t="s">
        <v>1810</v>
      </c>
      <c r="F1829" s="1" t="s">
        <v>1974</v>
      </c>
      <c r="G1829" s="4">
        <v>0.51</v>
      </c>
      <c r="H1829" s="28">
        <v>43982</v>
      </c>
      <c r="I1829" s="29">
        <f t="shared" si="2339"/>
        <v>2020</v>
      </c>
      <c r="J1829" s="1" t="s">
        <v>6125</v>
      </c>
      <c r="K1829" s="1" t="s">
        <v>7</v>
      </c>
      <c r="L1829" s="11" t="str">
        <f t="shared" si="2336"/>
        <v>НЕТ</v>
      </c>
      <c r="M1829" s="10" t="s">
        <v>1575</v>
      </c>
      <c r="N1829" s="10" t="s">
        <v>1575</v>
      </c>
      <c r="O1829" s="10">
        <v>0.5</v>
      </c>
      <c r="P1829" s="10">
        <f t="shared" si="2337"/>
        <v>0.98039215686274506</v>
      </c>
      <c r="Q1829" s="10" t="str">
        <f t="shared" si="2338"/>
        <v>NA</v>
      </c>
      <c r="R1829" s="10" t="s">
        <v>1575</v>
      </c>
      <c r="S1829" s="10" t="s">
        <v>1575</v>
      </c>
      <c r="T1829" s="10" t="s">
        <v>1575</v>
      </c>
      <c r="U1829" s="10" t="s">
        <v>1575</v>
      </c>
      <c r="V1829" s="10">
        <v>0.13119700000000001</v>
      </c>
      <c r="W1829" s="10" t="s">
        <v>1575</v>
      </c>
      <c r="X1829" s="10" t="str">
        <f t="shared" si="2340"/>
        <v>NA</v>
      </c>
      <c r="Y1829" s="10" t="str">
        <f t="shared" si="2341"/>
        <v>NA</v>
      </c>
      <c r="Z1829" s="10" t="str">
        <f t="shared" si="2342"/>
        <v>NA</v>
      </c>
      <c r="AA1829" s="10">
        <f t="shared" si="2343"/>
        <v>7.4726720646260585</v>
      </c>
      <c r="AB1829" s="10" t="str">
        <f t="shared" si="2344"/>
        <v>NA</v>
      </c>
      <c r="AC1829" s="10" t="str">
        <f t="shared" si="2345"/>
        <v>NA</v>
      </c>
      <c r="AD1829" s="10" t="str">
        <f t="shared" si="2346"/>
        <v>NA</v>
      </c>
      <c r="AE1829" s="10" t="str">
        <f t="shared" si="2347"/>
        <v>NA</v>
      </c>
      <c r="AF1829" s="1" t="s">
        <v>2018</v>
      </c>
    </row>
    <row r="1830" spans="1:32" x14ac:dyDescent="0.2">
      <c r="A1830" s="1" t="s">
        <v>6136</v>
      </c>
      <c r="B1830" s="1" t="s">
        <v>5</v>
      </c>
      <c r="C1830" s="1" t="s">
        <v>1575</v>
      </c>
      <c r="D1830" s="1" t="s">
        <v>1582</v>
      </c>
      <c r="E1830" s="1" t="s">
        <v>2019</v>
      </c>
      <c r="F1830" s="1" t="s">
        <v>668</v>
      </c>
      <c r="G1830" s="4">
        <v>1</v>
      </c>
      <c r="H1830" s="28">
        <v>44135</v>
      </c>
      <c r="I1830" s="29">
        <f t="shared" si="2339"/>
        <v>2020</v>
      </c>
      <c r="J1830" s="1" t="s">
        <v>6125</v>
      </c>
      <c r="K1830" s="1" t="s">
        <v>7</v>
      </c>
      <c r="L1830" s="11" t="str">
        <f t="shared" si="2336"/>
        <v>НЕТ</v>
      </c>
      <c r="M1830" s="10" t="s">
        <v>1575</v>
      </c>
      <c r="N1830" s="10" t="s">
        <v>1575</v>
      </c>
      <c r="O1830" s="10">
        <v>2.3473619999999999</v>
      </c>
      <c r="P1830" s="10">
        <f t="shared" si="2337"/>
        <v>2.3473619999999999</v>
      </c>
      <c r="Q1830" s="10" t="str">
        <f t="shared" si="2338"/>
        <v>NA</v>
      </c>
      <c r="R1830" s="10" t="s">
        <v>1575</v>
      </c>
      <c r="S1830" s="10" t="s">
        <v>1575</v>
      </c>
      <c r="T1830" s="10" t="s">
        <v>1575</v>
      </c>
      <c r="U1830" s="10" t="s">
        <v>1575</v>
      </c>
      <c r="V1830" s="10">
        <v>1.793806</v>
      </c>
      <c r="W1830" s="10" t="s">
        <v>1575</v>
      </c>
      <c r="X1830" s="10" t="str">
        <f t="shared" si="2340"/>
        <v>NA</v>
      </c>
      <c r="Y1830" s="10" t="str">
        <f t="shared" si="2341"/>
        <v>NA</v>
      </c>
      <c r="Z1830" s="10" t="str">
        <f t="shared" si="2342"/>
        <v>NA</v>
      </c>
      <c r="AA1830" s="10">
        <f t="shared" si="2343"/>
        <v>1.3085930139602611</v>
      </c>
      <c r="AB1830" s="10" t="str">
        <f t="shared" si="2344"/>
        <v>NA</v>
      </c>
      <c r="AC1830" s="10" t="str">
        <f t="shared" si="2345"/>
        <v>NA</v>
      </c>
      <c r="AD1830" s="10" t="str">
        <f t="shared" si="2346"/>
        <v>NA</v>
      </c>
      <c r="AE1830" s="10" t="str">
        <f t="shared" si="2347"/>
        <v>NA</v>
      </c>
      <c r="AF1830" s="1" t="s">
        <v>2020</v>
      </c>
    </row>
    <row r="1831" spans="1:32" x14ac:dyDescent="0.2">
      <c r="A1831" s="1" t="s">
        <v>6137</v>
      </c>
      <c r="B1831" s="1" t="s">
        <v>5</v>
      </c>
      <c r="C1831" s="1" t="s">
        <v>1575</v>
      </c>
      <c r="D1831" s="1" t="s">
        <v>1582</v>
      </c>
      <c r="E1831" s="1" t="s">
        <v>2019</v>
      </c>
      <c r="F1831" s="1" t="s">
        <v>668</v>
      </c>
      <c r="G1831" s="4">
        <v>0.501</v>
      </c>
      <c r="H1831" s="28">
        <v>44165</v>
      </c>
      <c r="I1831" s="29">
        <f t="shared" si="2339"/>
        <v>2020</v>
      </c>
      <c r="J1831" s="1" t="s">
        <v>6125</v>
      </c>
      <c r="K1831" s="1" t="s">
        <v>7</v>
      </c>
      <c r="L1831" s="11" t="str">
        <f t="shared" si="2336"/>
        <v>НЕТ</v>
      </c>
      <c r="M1831" s="10" t="s">
        <v>1575</v>
      </c>
      <c r="N1831" s="10" t="s">
        <v>1575</v>
      </c>
      <c r="O1831" s="10">
        <v>0.817083</v>
      </c>
      <c r="P1831" s="10">
        <f t="shared" si="2337"/>
        <v>1.6309041916167664</v>
      </c>
      <c r="Q1831" s="10" t="str">
        <f t="shared" si="2338"/>
        <v>NA</v>
      </c>
      <c r="R1831" s="10" t="s">
        <v>1575</v>
      </c>
      <c r="S1831" s="10" t="s">
        <v>1575</v>
      </c>
      <c r="T1831" s="10" t="s">
        <v>1575</v>
      </c>
      <c r="U1831" s="10" t="s">
        <v>1575</v>
      </c>
      <c r="V1831" s="10">
        <v>1.595615</v>
      </c>
      <c r="W1831" s="10" t="s">
        <v>1575</v>
      </c>
      <c r="X1831" s="10" t="str">
        <f t="shared" si="2340"/>
        <v>NA</v>
      </c>
      <c r="Y1831" s="10" t="str">
        <f t="shared" si="2341"/>
        <v>NA</v>
      </c>
      <c r="Z1831" s="10" t="str">
        <f t="shared" si="2342"/>
        <v>NA</v>
      </c>
      <c r="AA1831" s="10">
        <f t="shared" si="2343"/>
        <v>1.0221163574024852</v>
      </c>
      <c r="AB1831" s="10" t="str">
        <f t="shared" si="2344"/>
        <v>NA</v>
      </c>
      <c r="AC1831" s="10" t="str">
        <f t="shared" si="2345"/>
        <v>NA</v>
      </c>
      <c r="AD1831" s="10" t="str">
        <f t="shared" si="2346"/>
        <v>NA</v>
      </c>
      <c r="AE1831" s="10" t="str">
        <f t="shared" si="2347"/>
        <v>NA</v>
      </c>
      <c r="AF1831" s="1" t="s">
        <v>2028</v>
      </c>
    </row>
    <row r="1832" spans="1:32" x14ac:dyDescent="0.2">
      <c r="A1832" s="1" t="s">
        <v>6138</v>
      </c>
      <c r="B1832" s="1" t="s">
        <v>5</v>
      </c>
      <c r="C1832" s="1" t="s">
        <v>1575</v>
      </c>
      <c r="D1832" s="1" t="s">
        <v>1595</v>
      </c>
      <c r="E1832" s="1" t="s">
        <v>1810</v>
      </c>
      <c r="F1832" s="1" t="s">
        <v>1974</v>
      </c>
      <c r="G1832" s="4">
        <v>0.99990000000000001</v>
      </c>
      <c r="H1832" s="28">
        <v>44165</v>
      </c>
      <c r="I1832" s="29">
        <f t="shared" si="2339"/>
        <v>2020</v>
      </c>
      <c r="J1832" s="1" t="s">
        <v>6125</v>
      </c>
      <c r="K1832" s="1" t="s">
        <v>7</v>
      </c>
      <c r="L1832" s="11" t="str">
        <f t="shared" si="2336"/>
        <v>НЕТ</v>
      </c>
      <c r="M1832" s="10" t="s">
        <v>1575</v>
      </c>
      <c r="N1832" s="10" t="s">
        <v>1575</v>
      </c>
      <c r="O1832" s="10">
        <v>1.75501</v>
      </c>
      <c r="P1832" s="10">
        <f t="shared" si="2337"/>
        <v>1.7551855185518552</v>
      </c>
      <c r="Q1832" s="10" t="str">
        <f t="shared" si="2338"/>
        <v>NA</v>
      </c>
      <c r="R1832" s="10" t="s">
        <v>1575</v>
      </c>
      <c r="S1832" s="10" t="s">
        <v>1575</v>
      </c>
      <c r="T1832" s="10" t="s">
        <v>1575</v>
      </c>
      <c r="U1832" s="10" t="s">
        <v>1575</v>
      </c>
      <c r="V1832" s="10">
        <v>1.078916</v>
      </c>
      <c r="W1832" s="10" t="s">
        <v>1575</v>
      </c>
      <c r="X1832" s="10" t="str">
        <f t="shared" si="2340"/>
        <v>NA</v>
      </c>
      <c r="Y1832" s="10" t="str">
        <f t="shared" si="2341"/>
        <v>NA</v>
      </c>
      <c r="Z1832" s="10" t="str">
        <f t="shared" si="2342"/>
        <v>NA</v>
      </c>
      <c r="AA1832" s="10">
        <f t="shared" si="2343"/>
        <v>1.6268046062453938</v>
      </c>
      <c r="AB1832" s="10" t="str">
        <f t="shared" si="2344"/>
        <v>NA</v>
      </c>
      <c r="AC1832" s="10" t="str">
        <f t="shared" si="2345"/>
        <v>NA</v>
      </c>
      <c r="AD1832" s="10" t="str">
        <f t="shared" si="2346"/>
        <v>NA</v>
      </c>
      <c r="AE1832" s="10" t="str">
        <f t="shared" si="2347"/>
        <v>NA</v>
      </c>
      <c r="AF1832" s="1" t="s">
        <v>2024</v>
      </c>
    </row>
    <row r="1833" spans="1:32" x14ac:dyDescent="0.2">
      <c r="A1833" s="1" t="s">
        <v>2040</v>
      </c>
      <c r="B1833" s="1" t="s">
        <v>5</v>
      </c>
      <c r="C1833" s="1" t="s">
        <v>1575</v>
      </c>
      <c r="D1833" s="1" t="s">
        <v>1595</v>
      </c>
      <c r="E1833" s="1" t="s">
        <v>5352</v>
      </c>
      <c r="F1833" s="1" t="s">
        <v>244</v>
      </c>
      <c r="G1833" s="4">
        <v>0.99990000000000001</v>
      </c>
      <c r="H1833" s="28">
        <v>44196</v>
      </c>
      <c r="I1833" s="29">
        <f t="shared" si="2339"/>
        <v>2020</v>
      </c>
      <c r="J1833" s="1" t="s">
        <v>6125</v>
      </c>
      <c r="K1833" s="1" t="s">
        <v>7</v>
      </c>
      <c r="L1833" s="11" t="str">
        <f t="shared" si="2336"/>
        <v>НЕТ</v>
      </c>
      <c r="M1833" s="10" t="s">
        <v>1575</v>
      </c>
      <c r="N1833" s="10" t="s">
        <v>1575</v>
      </c>
      <c r="O1833" s="10">
        <v>6.4019000000000006E-2</v>
      </c>
      <c r="P1833" s="10">
        <f t="shared" si="2337"/>
        <v>6.4025402540254031E-2</v>
      </c>
      <c r="Q1833" s="10" t="str">
        <f t="shared" si="2338"/>
        <v>NA</v>
      </c>
      <c r="R1833" s="10" t="s">
        <v>1575</v>
      </c>
      <c r="S1833" s="10" t="s">
        <v>1575</v>
      </c>
      <c r="T1833" s="10" t="s">
        <v>1575</v>
      </c>
      <c r="U1833" s="10" t="s">
        <v>1575</v>
      </c>
      <c r="V1833" s="10" t="s">
        <v>1575</v>
      </c>
      <c r="W1833" s="10" t="s">
        <v>1575</v>
      </c>
      <c r="X1833" s="10" t="str">
        <f t="shared" si="2340"/>
        <v>NA</v>
      </c>
      <c r="Y1833" s="10" t="str">
        <f t="shared" si="2341"/>
        <v>NA</v>
      </c>
      <c r="Z1833" s="10" t="str">
        <f t="shared" si="2342"/>
        <v>NA</v>
      </c>
      <c r="AA1833" s="10" t="str">
        <f t="shared" si="2343"/>
        <v>NA</v>
      </c>
      <c r="AB1833" s="10" t="str">
        <f t="shared" si="2344"/>
        <v>NA</v>
      </c>
      <c r="AC1833" s="10" t="str">
        <f t="shared" si="2345"/>
        <v>NA</v>
      </c>
      <c r="AD1833" s="10" t="str">
        <f t="shared" si="2346"/>
        <v>NA</v>
      </c>
      <c r="AE1833" s="10" t="str">
        <f t="shared" si="2347"/>
        <v>NA</v>
      </c>
      <c r="AF1833" s="1" t="s">
        <v>2041</v>
      </c>
    </row>
    <row r="1834" spans="1:32" x14ac:dyDescent="0.2">
      <c r="A1834" s="1" t="s">
        <v>6139</v>
      </c>
      <c r="B1834" s="1" t="s">
        <v>5</v>
      </c>
      <c r="C1834" s="1" t="s">
        <v>1575</v>
      </c>
      <c r="D1834" s="1" t="s">
        <v>1813</v>
      </c>
      <c r="E1834" s="1" t="s">
        <v>1945</v>
      </c>
      <c r="F1834" s="1" t="s">
        <v>2038</v>
      </c>
      <c r="G1834" s="4">
        <v>1</v>
      </c>
      <c r="H1834" s="28">
        <v>43708</v>
      </c>
      <c r="I1834" s="29">
        <f t="shared" si="2339"/>
        <v>2019</v>
      </c>
      <c r="J1834" s="1" t="s">
        <v>6125</v>
      </c>
      <c r="K1834" s="1" t="s">
        <v>7</v>
      </c>
      <c r="L1834" s="11" t="str">
        <f t="shared" si="2336"/>
        <v>НЕТ</v>
      </c>
      <c r="M1834" s="10" t="s">
        <v>1575</v>
      </c>
      <c r="N1834" s="10" t="s">
        <v>1575</v>
      </c>
      <c r="O1834" s="10">
        <v>2.2086000000000001</v>
      </c>
      <c r="P1834" s="10">
        <f t="shared" si="2337"/>
        <v>2.2086000000000001</v>
      </c>
      <c r="Q1834" s="10" t="str">
        <f t="shared" si="2338"/>
        <v>NA</v>
      </c>
      <c r="R1834" s="10" t="s">
        <v>1575</v>
      </c>
      <c r="S1834" s="10" t="s">
        <v>1575</v>
      </c>
      <c r="T1834" s="10" t="s">
        <v>1575</v>
      </c>
      <c r="U1834" s="10" t="s">
        <v>1575</v>
      </c>
      <c r="V1834" s="10">
        <v>0.59649200000000002</v>
      </c>
      <c r="W1834" s="10" t="s">
        <v>1575</v>
      </c>
      <c r="X1834" s="10" t="str">
        <f t="shared" si="2340"/>
        <v>NA</v>
      </c>
      <c r="Y1834" s="10" t="str">
        <f t="shared" si="2341"/>
        <v>NA</v>
      </c>
      <c r="Z1834" s="10" t="str">
        <f t="shared" si="2342"/>
        <v>NA</v>
      </c>
      <c r="AA1834" s="10">
        <f t="shared" si="2343"/>
        <v>3.7026481495141597</v>
      </c>
      <c r="AB1834" s="10" t="str">
        <f t="shared" si="2344"/>
        <v>NA</v>
      </c>
      <c r="AC1834" s="10" t="str">
        <f t="shared" si="2345"/>
        <v>NA</v>
      </c>
      <c r="AD1834" s="10" t="str">
        <f t="shared" si="2346"/>
        <v>NA</v>
      </c>
      <c r="AE1834" s="10" t="str">
        <f t="shared" si="2347"/>
        <v>NA</v>
      </c>
      <c r="AF1834" s="1" t="s">
        <v>2029</v>
      </c>
    </row>
    <row r="1835" spans="1:32" x14ac:dyDescent="0.2">
      <c r="A1835" s="1" t="s">
        <v>6140</v>
      </c>
      <c r="B1835" s="1" t="s">
        <v>5</v>
      </c>
      <c r="C1835" s="1" t="s">
        <v>1575</v>
      </c>
      <c r="D1835" s="1" t="s">
        <v>1584</v>
      </c>
      <c r="E1835" s="1" t="s">
        <v>3486</v>
      </c>
      <c r="F1835" s="1" t="s">
        <v>46</v>
      </c>
      <c r="G1835" s="4">
        <v>1</v>
      </c>
      <c r="H1835" s="28">
        <v>43769</v>
      </c>
      <c r="I1835" s="29">
        <f t="shared" si="2339"/>
        <v>2019</v>
      </c>
      <c r="J1835" s="1" t="s">
        <v>6125</v>
      </c>
      <c r="K1835" s="1" t="s">
        <v>7</v>
      </c>
      <c r="L1835" s="11" t="str">
        <f t="shared" si="2336"/>
        <v>НЕТ</v>
      </c>
      <c r="M1835" s="10" t="s">
        <v>1575</v>
      </c>
      <c r="N1835" s="10" t="s">
        <v>1575</v>
      </c>
      <c r="O1835" s="10">
        <v>0.336511</v>
      </c>
      <c r="P1835" s="10">
        <f t="shared" si="2337"/>
        <v>0.336511</v>
      </c>
      <c r="Q1835" s="10" t="str">
        <f t="shared" si="2338"/>
        <v>NA</v>
      </c>
      <c r="R1835" s="10" t="s">
        <v>1575</v>
      </c>
      <c r="S1835" s="10" t="s">
        <v>1575</v>
      </c>
      <c r="T1835" s="10" t="s">
        <v>1575</v>
      </c>
      <c r="U1835" s="10" t="s">
        <v>1575</v>
      </c>
      <c r="V1835" s="10">
        <v>0.25419999999999998</v>
      </c>
      <c r="W1835" s="10" t="s">
        <v>1575</v>
      </c>
      <c r="X1835" s="10" t="str">
        <f t="shared" si="2340"/>
        <v>NA</v>
      </c>
      <c r="Y1835" s="10" t="str">
        <f t="shared" si="2341"/>
        <v>NA</v>
      </c>
      <c r="Z1835" s="10" t="str">
        <f t="shared" si="2342"/>
        <v>NA</v>
      </c>
      <c r="AA1835" s="10">
        <f t="shared" si="2343"/>
        <v>1.3238040912667193</v>
      </c>
      <c r="AB1835" s="10" t="str">
        <f t="shared" si="2344"/>
        <v>NA</v>
      </c>
      <c r="AC1835" s="10" t="str">
        <f t="shared" si="2345"/>
        <v>NA</v>
      </c>
      <c r="AD1835" s="10" t="str">
        <f t="shared" si="2346"/>
        <v>NA</v>
      </c>
      <c r="AE1835" s="10" t="str">
        <f t="shared" si="2347"/>
        <v>NA</v>
      </c>
      <c r="AF1835" s="1" t="s">
        <v>2030</v>
      </c>
    </row>
    <row r="1836" spans="1:32" x14ac:dyDescent="0.2">
      <c r="A1836" s="1" t="s">
        <v>6141</v>
      </c>
      <c r="B1836" s="1" t="s">
        <v>5</v>
      </c>
      <c r="C1836" s="1" t="s">
        <v>1575</v>
      </c>
      <c r="D1836" s="1" t="s">
        <v>1595</v>
      </c>
      <c r="E1836" s="1" t="s">
        <v>1810</v>
      </c>
      <c r="F1836" s="1" t="s">
        <v>1974</v>
      </c>
      <c r="G1836" s="4">
        <v>1</v>
      </c>
      <c r="H1836" s="28">
        <v>43769</v>
      </c>
      <c r="I1836" s="29">
        <f t="shared" si="2339"/>
        <v>2019</v>
      </c>
      <c r="J1836" s="1" t="s">
        <v>6125</v>
      </c>
      <c r="K1836" s="1" t="s">
        <v>7</v>
      </c>
      <c r="L1836" s="11" t="str">
        <f t="shared" si="2336"/>
        <v>НЕТ</v>
      </c>
      <c r="M1836" s="10" t="s">
        <v>1575</v>
      </c>
      <c r="N1836" s="10" t="s">
        <v>1575</v>
      </c>
      <c r="O1836" s="10">
        <v>6.8787000000000001E-2</v>
      </c>
      <c r="P1836" s="10">
        <f t="shared" si="2337"/>
        <v>6.8787000000000001E-2</v>
      </c>
      <c r="Q1836" s="10" t="str">
        <f t="shared" si="2338"/>
        <v>NA</v>
      </c>
      <c r="R1836" s="10" t="s">
        <v>1575</v>
      </c>
      <c r="S1836" s="10" t="s">
        <v>1575</v>
      </c>
      <c r="T1836" s="10" t="s">
        <v>1575</v>
      </c>
      <c r="U1836" s="10" t="s">
        <v>1575</v>
      </c>
      <c r="V1836" s="10">
        <v>4.1310000000000001E-3</v>
      </c>
      <c r="W1836" s="10" t="s">
        <v>1575</v>
      </c>
      <c r="X1836" s="10" t="str">
        <f t="shared" si="2340"/>
        <v>NA</v>
      </c>
      <c r="Y1836" s="10" t="str">
        <f t="shared" si="2341"/>
        <v>NA</v>
      </c>
      <c r="Z1836" s="10" t="str">
        <f t="shared" si="2342"/>
        <v>NA</v>
      </c>
      <c r="AA1836" s="10">
        <f t="shared" si="2343"/>
        <v>16.651416122004356</v>
      </c>
      <c r="AB1836" s="10" t="str">
        <f t="shared" si="2344"/>
        <v>NA</v>
      </c>
      <c r="AC1836" s="10" t="str">
        <f t="shared" si="2345"/>
        <v>NA</v>
      </c>
      <c r="AD1836" s="10" t="str">
        <f t="shared" si="2346"/>
        <v>NA</v>
      </c>
      <c r="AE1836" s="10" t="str">
        <f t="shared" si="2347"/>
        <v>NA</v>
      </c>
      <c r="AF1836" s="1" t="s">
        <v>2036</v>
      </c>
    </row>
    <row r="1837" spans="1:32" x14ac:dyDescent="0.2">
      <c r="A1837" s="1" t="s">
        <v>6142</v>
      </c>
      <c r="B1837" s="1" t="s">
        <v>5</v>
      </c>
      <c r="C1837" s="1" t="s">
        <v>1575</v>
      </c>
      <c r="D1837" s="1" t="s">
        <v>1813</v>
      </c>
      <c r="E1837" s="1" t="s">
        <v>1971</v>
      </c>
      <c r="F1837" s="1" t="s">
        <v>2025</v>
      </c>
      <c r="G1837" s="4">
        <v>1</v>
      </c>
      <c r="H1837" s="28">
        <v>43799</v>
      </c>
      <c r="I1837" s="29">
        <f t="shared" si="2339"/>
        <v>2019</v>
      </c>
      <c r="J1837" s="1" t="s">
        <v>6125</v>
      </c>
      <c r="K1837" s="1" t="s">
        <v>7</v>
      </c>
      <c r="L1837" s="11" t="str">
        <f t="shared" si="2336"/>
        <v>НЕТ</v>
      </c>
      <c r="M1837" s="10" t="s">
        <v>1575</v>
      </c>
      <c r="N1837" s="10" t="s">
        <v>1575</v>
      </c>
      <c r="O1837" s="10">
        <v>0.43</v>
      </c>
      <c r="P1837" s="10">
        <f t="shared" si="2337"/>
        <v>0.43</v>
      </c>
      <c r="Q1837" s="10" t="str">
        <f t="shared" si="2338"/>
        <v>NA</v>
      </c>
      <c r="R1837" s="10" t="s">
        <v>1575</v>
      </c>
      <c r="S1837" s="10" t="s">
        <v>1575</v>
      </c>
      <c r="T1837" s="10" t="s">
        <v>1575</v>
      </c>
      <c r="U1837" s="10" t="s">
        <v>1575</v>
      </c>
      <c r="V1837" s="10">
        <v>0.16592399999999999</v>
      </c>
      <c r="W1837" s="10" t="s">
        <v>1575</v>
      </c>
      <c r="X1837" s="10" t="str">
        <f t="shared" si="2340"/>
        <v>NA</v>
      </c>
      <c r="Y1837" s="10" t="str">
        <f t="shared" si="2341"/>
        <v>NA</v>
      </c>
      <c r="Z1837" s="10" t="str">
        <f t="shared" si="2342"/>
        <v>NA</v>
      </c>
      <c r="AA1837" s="10">
        <f t="shared" si="2343"/>
        <v>2.5915479376099904</v>
      </c>
      <c r="AB1837" s="10" t="str">
        <f t="shared" si="2344"/>
        <v>NA</v>
      </c>
      <c r="AC1837" s="10" t="str">
        <f t="shared" si="2345"/>
        <v>NA</v>
      </c>
      <c r="AD1837" s="10" t="str">
        <f t="shared" si="2346"/>
        <v>NA</v>
      </c>
      <c r="AE1837" s="10" t="str">
        <f t="shared" si="2347"/>
        <v>NA</v>
      </c>
      <c r="AF1837" s="1" t="s">
        <v>2031</v>
      </c>
    </row>
    <row r="1838" spans="1:32" x14ac:dyDescent="0.2">
      <c r="A1838" s="1" t="s">
        <v>6143</v>
      </c>
      <c r="B1838" s="1" t="s">
        <v>5</v>
      </c>
      <c r="C1838" s="1" t="s">
        <v>1575</v>
      </c>
      <c r="D1838" s="1" t="s">
        <v>1595</v>
      </c>
      <c r="E1838" s="16" t="s">
        <v>9208</v>
      </c>
      <c r="F1838" s="1" t="s">
        <v>1947</v>
      </c>
      <c r="G1838" s="4">
        <v>1</v>
      </c>
      <c r="H1838" s="28">
        <v>43799</v>
      </c>
      <c r="I1838" s="29">
        <f t="shared" si="2339"/>
        <v>2019</v>
      </c>
      <c r="J1838" s="1" t="s">
        <v>6125</v>
      </c>
      <c r="K1838" s="1" t="s">
        <v>7</v>
      </c>
      <c r="L1838" s="11" t="str">
        <f t="shared" si="2336"/>
        <v>НЕТ</v>
      </c>
      <c r="M1838" s="10" t="s">
        <v>1575</v>
      </c>
      <c r="N1838" s="10" t="s">
        <v>1575</v>
      </c>
      <c r="O1838" s="10">
        <v>0.46495799999999998</v>
      </c>
      <c r="P1838" s="10">
        <f t="shared" si="2337"/>
        <v>0.46495799999999998</v>
      </c>
      <c r="Q1838" s="10" t="str">
        <f t="shared" si="2338"/>
        <v>NA</v>
      </c>
      <c r="R1838" s="10" t="s">
        <v>1575</v>
      </c>
      <c r="S1838" s="10" t="s">
        <v>1575</v>
      </c>
      <c r="T1838" s="10" t="s">
        <v>1575</v>
      </c>
      <c r="U1838" s="10" t="s">
        <v>1575</v>
      </c>
      <c r="V1838" s="10">
        <v>0.36764200000000002</v>
      </c>
      <c r="W1838" s="10" t="s">
        <v>1575</v>
      </c>
      <c r="X1838" s="10" t="str">
        <f t="shared" si="2340"/>
        <v>NA</v>
      </c>
      <c r="Y1838" s="10" t="str">
        <f t="shared" si="2341"/>
        <v>NA</v>
      </c>
      <c r="Z1838" s="10" t="str">
        <f t="shared" si="2342"/>
        <v>NA</v>
      </c>
      <c r="AA1838" s="10">
        <f t="shared" si="2343"/>
        <v>1.2647031623155134</v>
      </c>
      <c r="AB1838" s="10" t="str">
        <f t="shared" si="2344"/>
        <v>NA</v>
      </c>
      <c r="AC1838" s="10" t="str">
        <f t="shared" si="2345"/>
        <v>NA</v>
      </c>
      <c r="AD1838" s="10" t="str">
        <f t="shared" si="2346"/>
        <v>NA</v>
      </c>
      <c r="AE1838" s="10" t="str">
        <f t="shared" si="2347"/>
        <v>NA</v>
      </c>
      <c r="AF1838" s="1" t="s">
        <v>2032</v>
      </c>
    </row>
    <row r="1839" spans="1:32" x14ac:dyDescent="0.2">
      <c r="A1839" s="1" t="s">
        <v>6144</v>
      </c>
      <c r="B1839" s="1" t="s">
        <v>5</v>
      </c>
      <c r="C1839" s="1" t="s">
        <v>1575</v>
      </c>
      <c r="D1839" s="1" t="s">
        <v>1595</v>
      </c>
      <c r="E1839" s="1" t="s">
        <v>1810</v>
      </c>
      <c r="F1839" s="1" t="s">
        <v>1974</v>
      </c>
      <c r="G1839" s="4">
        <v>1</v>
      </c>
      <c r="H1839" s="28">
        <v>43555</v>
      </c>
      <c r="I1839" s="29">
        <f t="shared" si="2339"/>
        <v>2019</v>
      </c>
      <c r="J1839" s="1" t="s">
        <v>6125</v>
      </c>
      <c r="K1839" s="1" t="s">
        <v>7</v>
      </c>
      <c r="L1839" s="11" t="str">
        <f t="shared" si="2336"/>
        <v>НЕТ</v>
      </c>
      <c r="M1839" s="10" t="s">
        <v>1575</v>
      </c>
      <c r="N1839" s="10" t="s">
        <v>1575</v>
      </c>
      <c r="O1839" s="10">
        <v>0.34799999999999998</v>
      </c>
      <c r="P1839" s="10">
        <f t="shared" si="2337"/>
        <v>0.34799999999999998</v>
      </c>
      <c r="Q1839" s="10" t="str">
        <f t="shared" si="2338"/>
        <v>NA</v>
      </c>
      <c r="R1839" s="10" t="s">
        <v>1575</v>
      </c>
      <c r="S1839" s="10" t="s">
        <v>1575</v>
      </c>
      <c r="T1839" s="10" t="s">
        <v>1575</v>
      </c>
      <c r="U1839" s="10" t="s">
        <v>1575</v>
      </c>
      <c r="V1839" s="10">
        <v>0.11157499999999999</v>
      </c>
      <c r="W1839" s="10" t="s">
        <v>1575</v>
      </c>
      <c r="X1839" s="10" t="str">
        <f t="shared" si="2340"/>
        <v>NA</v>
      </c>
      <c r="Y1839" s="10" t="str">
        <f t="shared" si="2341"/>
        <v>NA</v>
      </c>
      <c r="Z1839" s="10" t="str">
        <f t="shared" si="2342"/>
        <v>NA</v>
      </c>
      <c r="AA1839" s="10">
        <f t="shared" si="2343"/>
        <v>3.1189782657405334</v>
      </c>
      <c r="AB1839" s="10" t="str">
        <f t="shared" si="2344"/>
        <v>NA</v>
      </c>
      <c r="AC1839" s="10" t="str">
        <f t="shared" si="2345"/>
        <v>NA</v>
      </c>
      <c r="AD1839" s="10" t="str">
        <f t="shared" si="2346"/>
        <v>NA</v>
      </c>
      <c r="AE1839" s="10" t="str">
        <f t="shared" si="2347"/>
        <v>NA</v>
      </c>
      <c r="AF1839" s="1" t="s">
        <v>2033</v>
      </c>
    </row>
    <row r="1840" spans="1:32" x14ac:dyDescent="0.2">
      <c r="A1840" s="1" t="s">
        <v>6145</v>
      </c>
      <c r="B1840" s="1" t="s">
        <v>5</v>
      </c>
      <c r="C1840" s="1" t="s">
        <v>1575</v>
      </c>
      <c r="D1840" s="1" t="s">
        <v>1595</v>
      </c>
      <c r="E1840" s="1" t="s">
        <v>1587</v>
      </c>
      <c r="F1840" s="1" t="s">
        <v>244</v>
      </c>
      <c r="G1840" s="4">
        <v>1</v>
      </c>
      <c r="H1840" s="28">
        <v>43646</v>
      </c>
      <c r="I1840" s="29">
        <f t="shared" si="2339"/>
        <v>2019</v>
      </c>
      <c r="J1840" s="1" t="s">
        <v>6125</v>
      </c>
      <c r="K1840" s="1" t="s">
        <v>7</v>
      </c>
      <c r="L1840" s="11" t="str">
        <f t="shared" si="2336"/>
        <v>НЕТ</v>
      </c>
      <c r="M1840" s="10" t="s">
        <v>1575</v>
      </c>
      <c r="N1840" s="10" t="s">
        <v>1575</v>
      </c>
      <c r="O1840" s="10">
        <v>0</v>
      </c>
      <c r="P1840" s="10">
        <f t="shared" si="2337"/>
        <v>0</v>
      </c>
      <c r="Q1840" s="10" t="str">
        <f t="shared" si="2338"/>
        <v>NA</v>
      </c>
      <c r="R1840" s="10" t="s">
        <v>1575</v>
      </c>
      <c r="S1840" s="10" t="s">
        <v>1575</v>
      </c>
      <c r="T1840" s="10" t="s">
        <v>1575</v>
      </c>
      <c r="U1840" s="10" t="s">
        <v>1575</v>
      </c>
      <c r="V1840" s="10" t="s">
        <v>1575</v>
      </c>
      <c r="W1840" s="10" t="s">
        <v>1575</v>
      </c>
      <c r="X1840" s="10" t="str">
        <f t="shared" si="2340"/>
        <v>NA</v>
      </c>
      <c r="Y1840" s="10" t="str">
        <f t="shared" si="2341"/>
        <v>NA</v>
      </c>
      <c r="Z1840" s="10" t="str">
        <f t="shared" si="2342"/>
        <v>NA</v>
      </c>
      <c r="AA1840" s="10" t="str">
        <f t="shared" si="2343"/>
        <v>NA</v>
      </c>
      <c r="AB1840" s="10" t="str">
        <f t="shared" si="2344"/>
        <v>NA</v>
      </c>
      <c r="AC1840" s="10" t="str">
        <f t="shared" si="2345"/>
        <v>NA</v>
      </c>
      <c r="AD1840" s="10" t="str">
        <f t="shared" si="2346"/>
        <v>NA</v>
      </c>
      <c r="AE1840" s="10" t="str">
        <f t="shared" si="2347"/>
        <v>NA</v>
      </c>
      <c r="AF1840" s="1" t="s">
        <v>2034</v>
      </c>
    </row>
    <row r="1841" spans="1:32" x14ac:dyDescent="0.2">
      <c r="A1841" s="1" t="s">
        <v>6129</v>
      </c>
      <c r="B1841" s="1" t="s">
        <v>5</v>
      </c>
      <c r="C1841" s="1" t="s">
        <v>1575</v>
      </c>
      <c r="D1841" s="1" t="s">
        <v>1584</v>
      </c>
      <c r="E1841" s="1" t="s">
        <v>3486</v>
      </c>
      <c r="F1841" s="1" t="s">
        <v>46</v>
      </c>
      <c r="G1841" s="4">
        <v>1</v>
      </c>
      <c r="H1841" s="28">
        <v>43676</v>
      </c>
      <c r="I1841" s="29">
        <f t="shared" si="2339"/>
        <v>2019</v>
      </c>
      <c r="J1841" s="1" t="s">
        <v>6125</v>
      </c>
      <c r="K1841" s="1" t="s">
        <v>7</v>
      </c>
      <c r="L1841" s="11" t="str">
        <f t="shared" si="2336"/>
        <v>НЕТ</v>
      </c>
      <c r="M1841" s="10" t="s">
        <v>1575</v>
      </c>
      <c r="N1841" s="10" t="s">
        <v>1575</v>
      </c>
      <c r="O1841" s="10">
        <v>0.7</v>
      </c>
      <c r="P1841" s="10">
        <f t="shared" si="2337"/>
        <v>0.7</v>
      </c>
      <c r="Q1841" s="10" t="str">
        <f t="shared" si="2338"/>
        <v>NA</v>
      </c>
      <c r="R1841" s="10" t="s">
        <v>1575</v>
      </c>
      <c r="S1841" s="10" t="s">
        <v>1575</v>
      </c>
      <c r="T1841" s="10" t="s">
        <v>1575</v>
      </c>
      <c r="U1841" s="10" t="s">
        <v>1575</v>
      </c>
      <c r="V1841" s="10">
        <v>0.31394300000000003</v>
      </c>
      <c r="W1841" s="10" t="s">
        <v>1575</v>
      </c>
      <c r="X1841" s="10" t="str">
        <f t="shared" si="2340"/>
        <v>NA</v>
      </c>
      <c r="Y1841" s="10" t="str">
        <f t="shared" si="2341"/>
        <v>NA</v>
      </c>
      <c r="Z1841" s="10" t="str">
        <f t="shared" si="2342"/>
        <v>NA</v>
      </c>
      <c r="AA1841" s="10">
        <f t="shared" si="2343"/>
        <v>2.229704118263506</v>
      </c>
      <c r="AB1841" s="10" t="str">
        <f t="shared" si="2344"/>
        <v>NA</v>
      </c>
      <c r="AC1841" s="10" t="str">
        <f t="shared" si="2345"/>
        <v>NA</v>
      </c>
      <c r="AD1841" s="10" t="str">
        <f t="shared" si="2346"/>
        <v>NA</v>
      </c>
      <c r="AE1841" s="10" t="str">
        <f t="shared" si="2347"/>
        <v>NA</v>
      </c>
      <c r="AF1841" s="1" t="s">
        <v>2035</v>
      </c>
    </row>
    <row r="1842" spans="1:32" x14ac:dyDescent="0.2">
      <c r="A1842" s="1" t="s">
        <v>6146</v>
      </c>
      <c r="B1842" s="1" t="s">
        <v>5</v>
      </c>
      <c r="C1842" s="1" t="s">
        <v>1575</v>
      </c>
      <c r="D1842" s="1" t="s">
        <v>1595</v>
      </c>
      <c r="E1842" s="1" t="s">
        <v>1596</v>
      </c>
      <c r="F1842" s="1" t="s">
        <v>1973</v>
      </c>
      <c r="G1842" s="4">
        <v>1</v>
      </c>
      <c r="H1842" s="28">
        <v>43131</v>
      </c>
      <c r="I1842" s="29">
        <f t="shared" si="2339"/>
        <v>2018</v>
      </c>
      <c r="J1842" s="1" t="s">
        <v>6125</v>
      </c>
      <c r="K1842" s="1" t="s">
        <v>7</v>
      </c>
      <c r="L1842" s="11" t="str">
        <f t="shared" si="2336"/>
        <v>НЕТ</v>
      </c>
      <c r="M1842" s="10" t="s">
        <v>1575</v>
      </c>
      <c r="N1842" s="10" t="s">
        <v>1575</v>
      </c>
      <c r="O1842" s="10">
        <v>0.25152000000000002</v>
      </c>
      <c r="P1842" s="10">
        <f t="shared" si="2337"/>
        <v>0.25152000000000002</v>
      </c>
      <c r="Q1842" s="10" t="str">
        <f t="shared" si="2338"/>
        <v>NA</v>
      </c>
      <c r="R1842" s="10" t="s">
        <v>1575</v>
      </c>
      <c r="S1842" s="10" t="s">
        <v>1575</v>
      </c>
      <c r="T1842" s="10" t="s">
        <v>1575</v>
      </c>
      <c r="U1842" s="10" t="s">
        <v>1575</v>
      </c>
      <c r="V1842" s="10">
        <v>0.21657899999999999</v>
      </c>
      <c r="W1842" s="10" t="s">
        <v>1575</v>
      </c>
      <c r="X1842" s="10" t="str">
        <f t="shared" si="2340"/>
        <v>NA</v>
      </c>
      <c r="Y1842" s="10" t="str">
        <f t="shared" si="2341"/>
        <v>NA</v>
      </c>
      <c r="Z1842" s="10" t="str">
        <f t="shared" si="2342"/>
        <v>NA</v>
      </c>
      <c r="AA1842" s="10">
        <f t="shared" si="2343"/>
        <v>1.1613314310251688</v>
      </c>
      <c r="AB1842" s="10" t="str">
        <f t="shared" si="2344"/>
        <v>NA</v>
      </c>
      <c r="AC1842" s="10" t="str">
        <f t="shared" si="2345"/>
        <v>NA</v>
      </c>
      <c r="AD1842" s="10" t="str">
        <f t="shared" si="2346"/>
        <v>NA</v>
      </c>
      <c r="AE1842" s="10" t="str">
        <f t="shared" si="2347"/>
        <v>NA</v>
      </c>
      <c r="AF1842" s="1" t="s">
        <v>2039</v>
      </c>
    </row>
    <row r="1843" spans="1:32" x14ac:dyDescent="0.2">
      <c r="A1843" s="1" t="s">
        <v>6147</v>
      </c>
      <c r="B1843" s="1" t="s">
        <v>5</v>
      </c>
      <c r="C1843" s="1" t="s">
        <v>1575</v>
      </c>
      <c r="D1843" s="1" t="s">
        <v>1813</v>
      </c>
      <c r="E1843" s="1" t="s">
        <v>1971</v>
      </c>
      <c r="F1843" s="1" t="s">
        <v>2025</v>
      </c>
      <c r="G1843" s="4">
        <v>0.99919999999999998</v>
      </c>
      <c r="H1843" s="28">
        <v>43465</v>
      </c>
      <c r="I1843" s="29">
        <f t="shared" si="2339"/>
        <v>2018</v>
      </c>
      <c r="J1843" s="1" t="s">
        <v>6125</v>
      </c>
      <c r="K1843" s="1" t="s">
        <v>7</v>
      </c>
      <c r="L1843" s="11" t="str">
        <f t="shared" ref="L1843:L1906" si="2348">IF(OR(A1843=J1843,A1843=K1843),"ДА","НЕТ")</f>
        <v>НЕТ</v>
      </c>
      <c r="M1843" s="10" t="s">
        <v>1575</v>
      </c>
      <c r="N1843" s="10" t="s">
        <v>1575</v>
      </c>
      <c r="O1843" s="10">
        <v>0.49</v>
      </c>
      <c r="P1843" s="10">
        <f t="shared" si="2337"/>
        <v>0.49039231385108084</v>
      </c>
      <c r="Q1843" s="10" t="str">
        <f t="shared" si="2338"/>
        <v>NA</v>
      </c>
      <c r="R1843" s="10" t="s">
        <v>1575</v>
      </c>
      <c r="S1843" s="10" t="s">
        <v>1575</v>
      </c>
      <c r="T1843" s="10" t="s">
        <v>1575</v>
      </c>
      <c r="U1843" s="10" t="s">
        <v>1575</v>
      </c>
      <c r="V1843" s="10">
        <v>0.31346400000000002</v>
      </c>
      <c r="W1843" s="10" t="s">
        <v>1575</v>
      </c>
      <c r="X1843" s="10" t="str">
        <f t="shared" si="2340"/>
        <v>NA</v>
      </c>
      <c r="Y1843" s="10" t="str">
        <f t="shared" si="2341"/>
        <v>NA</v>
      </c>
      <c r="Z1843" s="10" t="str">
        <f t="shared" si="2342"/>
        <v>NA</v>
      </c>
      <c r="AA1843" s="10">
        <f t="shared" si="2343"/>
        <v>1.5644294523488529</v>
      </c>
      <c r="AB1843" s="10" t="str">
        <f t="shared" si="2344"/>
        <v>NA</v>
      </c>
      <c r="AC1843" s="10" t="str">
        <f t="shared" si="2345"/>
        <v>NA</v>
      </c>
      <c r="AD1843" s="10" t="str">
        <f t="shared" si="2346"/>
        <v>NA</v>
      </c>
      <c r="AE1843" s="10" t="str">
        <f t="shared" si="2347"/>
        <v>NA</v>
      </c>
      <c r="AF1843" s="1" t="s">
        <v>2042</v>
      </c>
    </row>
    <row r="1844" spans="1:32" x14ac:dyDescent="0.2">
      <c r="A1844" s="1" t="s">
        <v>6148</v>
      </c>
      <c r="B1844" s="1" t="s">
        <v>5</v>
      </c>
      <c r="C1844" s="1" t="s">
        <v>1575</v>
      </c>
      <c r="D1844" s="1" t="s">
        <v>1813</v>
      </c>
      <c r="E1844" s="1" t="s">
        <v>1971</v>
      </c>
      <c r="F1844" s="1" t="s">
        <v>2025</v>
      </c>
      <c r="G1844" s="4">
        <v>1</v>
      </c>
      <c r="H1844" s="28">
        <v>43465</v>
      </c>
      <c r="I1844" s="29">
        <f t="shared" si="2339"/>
        <v>2018</v>
      </c>
      <c r="J1844" s="1" t="s">
        <v>6125</v>
      </c>
      <c r="K1844" s="1" t="s">
        <v>7</v>
      </c>
      <c r="L1844" s="11" t="str">
        <f t="shared" si="2348"/>
        <v>НЕТ</v>
      </c>
      <c r="M1844" s="10" t="s">
        <v>1575</v>
      </c>
      <c r="N1844" s="10" t="s">
        <v>1575</v>
      </c>
      <c r="O1844" s="10">
        <v>1.7117</v>
      </c>
      <c r="P1844" s="10">
        <f t="shared" si="2337"/>
        <v>1.7117</v>
      </c>
      <c r="Q1844" s="10" t="str">
        <f t="shared" si="2338"/>
        <v>NA</v>
      </c>
      <c r="R1844" s="10" t="s">
        <v>1575</v>
      </c>
      <c r="S1844" s="10" t="s">
        <v>1575</v>
      </c>
      <c r="T1844" s="10" t="s">
        <v>1575</v>
      </c>
      <c r="U1844" s="10" t="s">
        <v>1575</v>
      </c>
      <c r="V1844" s="10">
        <v>0.84052899999999997</v>
      </c>
      <c r="W1844" s="10" t="s">
        <v>1575</v>
      </c>
      <c r="X1844" s="10" t="str">
        <f t="shared" si="2340"/>
        <v>NA</v>
      </c>
      <c r="Y1844" s="10" t="str">
        <f t="shared" si="2341"/>
        <v>NA</v>
      </c>
      <c r="Z1844" s="10" t="str">
        <f t="shared" si="2342"/>
        <v>NA</v>
      </c>
      <c r="AA1844" s="10">
        <f t="shared" si="2343"/>
        <v>2.0364556130722438</v>
      </c>
      <c r="AB1844" s="10" t="str">
        <f t="shared" si="2344"/>
        <v>NA</v>
      </c>
      <c r="AC1844" s="10" t="str">
        <f t="shared" si="2345"/>
        <v>NA</v>
      </c>
      <c r="AD1844" s="10" t="str">
        <f t="shared" si="2346"/>
        <v>NA</v>
      </c>
      <c r="AE1844" s="10" t="str">
        <f t="shared" si="2347"/>
        <v>NA</v>
      </c>
      <c r="AF1844" s="1" t="s">
        <v>2043</v>
      </c>
    </row>
    <row r="1845" spans="1:32" x14ac:dyDescent="0.2">
      <c r="A1845" s="1" t="s">
        <v>6149</v>
      </c>
      <c r="B1845" s="1" t="s">
        <v>5</v>
      </c>
      <c r="C1845" s="1" t="s">
        <v>1575</v>
      </c>
      <c r="D1845" s="1" t="s">
        <v>1813</v>
      </c>
      <c r="E1845" s="1" t="s">
        <v>1698</v>
      </c>
      <c r="F1845" s="1" t="s">
        <v>255</v>
      </c>
      <c r="G1845" s="4">
        <v>0.5</v>
      </c>
      <c r="H1845" s="28">
        <v>43524</v>
      </c>
      <c r="I1845" s="29">
        <f t="shared" si="2339"/>
        <v>2019</v>
      </c>
      <c r="J1845" s="1" t="s">
        <v>6125</v>
      </c>
      <c r="K1845" s="1" t="s">
        <v>7</v>
      </c>
      <c r="L1845" s="11" t="str">
        <f t="shared" si="2348"/>
        <v>НЕТ</v>
      </c>
      <c r="M1845" s="10" t="s">
        <v>1575</v>
      </c>
      <c r="N1845" s="10" t="s">
        <v>1575</v>
      </c>
      <c r="O1845" s="10">
        <v>1.4999999999999999E-4</v>
      </c>
      <c r="P1845" s="10">
        <f t="shared" si="2337"/>
        <v>2.9999999999999997E-4</v>
      </c>
      <c r="Q1845" s="10" t="str">
        <f t="shared" si="2338"/>
        <v>NA</v>
      </c>
      <c r="R1845" s="10" t="s">
        <v>1575</v>
      </c>
      <c r="S1845" s="10" t="s">
        <v>1575</v>
      </c>
      <c r="T1845" s="10" t="s">
        <v>1575</v>
      </c>
      <c r="U1845" s="10">
        <v>-8.6149999999999994E-3</v>
      </c>
      <c r="V1845" s="10">
        <f>0.005199+0.299848-0-0.001581</f>
        <v>0.30346600000000001</v>
      </c>
      <c r="W1845" s="10" t="s">
        <v>1575</v>
      </c>
      <c r="X1845" s="10" t="str">
        <f t="shared" si="2340"/>
        <v>NA</v>
      </c>
      <c r="Y1845" s="10" t="str">
        <f t="shared" si="2341"/>
        <v>NA</v>
      </c>
      <c r="Z1845" s="10">
        <f t="shared" si="2342"/>
        <v>-3.4822983168891465E-2</v>
      </c>
      <c r="AA1845" s="10">
        <f t="shared" si="2343"/>
        <v>9.8857862165778031E-4</v>
      </c>
      <c r="AB1845" s="10" t="str">
        <f t="shared" si="2344"/>
        <v>NA</v>
      </c>
      <c r="AC1845" s="10" t="str">
        <f t="shared" si="2345"/>
        <v>NA</v>
      </c>
      <c r="AD1845" s="10" t="str">
        <f t="shared" si="2346"/>
        <v>NA</v>
      </c>
      <c r="AE1845" s="10" t="str">
        <f t="shared" si="2347"/>
        <v>NA</v>
      </c>
      <c r="AF1845" s="1" t="s">
        <v>2045</v>
      </c>
    </row>
    <row r="1846" spans="1:32" x14ac:dyDescent="0.2">
      <c r="A1846" s="1" t="s">
        <v>6150</v>
      </c>
      <c r="B1846" s="1" t="s">
        <v>5</v>
      </c>
      <c r="C1846" s="1" t="s">
        <v>1575</v>
      </c>
      <c r="D1846" s="1" t="s">
        <v>1580</v>
      </c>
      <c r="E1846" s="1" t="s">
        <v>1590</v>
      </c>
      <c r="F1846" s="1" t="s">
        <v>1953</v>
      </c>
      <c r="G1846" s="4">
        <v>0.44</v>
      </c>
      <c r="H1846" s="28">
        <v>43830</v>
      </c>
      <c r="I1846" s="29">
        <f t="shared" si="2339"/>
        <v>2019</v>
      </c>
      <c r="J1846" s="1" t="s">
        <v>6125</v>
      </c>
      <c r="K1846" s="1" t="s">
        <v>7</v>
      </c>
      <c r="L1846" s="11" t="str">
        <f t="shared" si="2348"/>
        <v>НЕТ</v>
      </c>
      <c r="M1846" s="10" t="s">
        <v>1575</v>
      </c>
      <c r="N1846" s="10" t="s">
        <v>1575</v>
      </c>
      <c r="O1846" s="10">
        <v>0.4</v>
      </c>
      <c r="P1846" s="10">
        <f t="shared" si="2337"/>
        <v>0.90909090909090917</v>
      </c>
      <c r="Q1846" s="10" t="str">
        <f t="shared" si="2338"/>
        <v>NA</v>
      </c>
      <c r="R1846" s="10" t="s">
        <v>1575</v>
      </c>
      <c r="S1846" s="10" t="s">
        <v>1575</v>
      </c>
      <c r="T1846" s="10" t="s">
        <v>1575</v>
      </c>
      <c r="U1846" s="10" t="s">
        <v>1575</v>
      </c>
      <c r="V1846" s="10">
        <f>0.023192+8.361461-7.57977-0.072015</f>
        <v>0.7328680000000003</v>
      </c>
      <c r="W1846" s="10" t="s">
        <v>1575</v>
      </c>
      <c r="X1846" s="10" t="str">
        <f t="shared" si="2340"/>
        <v>NA</v>
      </c>
      <c r="Y1846" s="10" t="str">
        <f t="shared" si="2341"/>
        <v>NA</v>
      </c>
      <c r="Z1846" s="10" t="str">
        <f t="shared" si="2342"/>
        <v>NA</v>
      </c>
      <c r="AA1846" s="10">
        <f t="shared" si="2343"/>
        <v>1.2404565475514129</v>
      </c>
      <c r="AB1846" s="10" t="str">
        <f t="shared" si="2344"/>
        <v>NA</v>
      </c>
      <c r="AC1846" s="10" t="str">
        <f t="shared" si="2345"/>
        <v>NA</v>
      </c>
      <c r="AD1846" s="10" t="str">
        <f t="shared" si="2346"/>
        <v>NA</v>
      </c>
      <c r="AE1846" s="10" t="str">
        <f t="shared" si="2347"/>
        <v>NA</v>
      </c>
      <c r="AF1846" s="1" t="s">
        <v>2044</v>
      </c>
    </row>
    <row r="1847" spans="1:32" x14ac:dyDescent="0.2">
      <c r="A1847" s="1" t="s">
        <v>1938</v>
      </c>
      <c r="B1847" s="1" t="s">
        <v>1575</v>
      </c>
      <c r="C1847" s="1" t="s">
        <v>1575</v>
      </c>
      <c r="D1847" s="1" t="s">
        <v>1575</v>
      </c>
      <c r="E1847" s="1" t="s">
        <v>1575</v>
      </c>
      <c r="F1847" s="1" t="s">
        <v>1575</v>
      </c>
      <c r="G1847" s="4">
        <f>26.08%-18.04%</f>
        <v>8.0399999999999971E-2</v>
      </c>
      <c r="H1847" s="28">
        <v>43235</v>
      </c>
      <c r="I1847" s="29">
        <f t="shared" si="2339"/>
        <v>2018</v>
      </c>
      <c r="J1847" s="1" t="s">
        <v>1937</v>
      </c>
      <c r="K1847" s="1" t="s">
        <v>7</v>
      </c>
      <c r="L1847" s="11" t="str">
        <f t="shared" si="2348"/>
        <v>НЕТ</v>
      </c>
      <c r="M1847" s="10" t="s">
        <v>1575</v>
      </c>
      <c r="N1847" s="10" t="s">
        <v>1575</v>
      </c>
      <c r="O1847" s="10">
        <v>9.5000000000000001E-2</v>
      </c>
      <c r="P1847" s="10">
        <f t="shared" si="2337"/>
        <v>1.1815920398009954</v>
      </c>
      <c r="Q1847" s="10" t="str">
        <f t="shared" si="2338"/>
        <v>NA</v>
      </c>
      <c r="R1847" s="10" t="s">
        <v>1575</v>
      </c>
      <c r="S1847" s="10" t="s">
        <v>1575</v>
      </c>
      <c r="T1847" s="10" t="s">
        <v>1575</v>
      </c>
      <c r="U1847" s="10" t="s">
        <v>1575</v>
      </c>
      <c r="V1847" s="10" t="s">
        <v>1575</v>
      </c>
      <c r="W1847" s="10" t="s">
        <v>1575</v>
      </c>
      <c r="X1847" s="10" t="str">
        <f t="shared" si="2340"/>
        <v>NA</v>
      </c>
      <c r="Y1847" s="10" t="str">
        <f t="shared" si="2341"/>
        <v>NA</v>
      </c>
      <c r="Z1847" s="10" t="str">
        <f t="shared" si="2342"/>
        <v>NA</v>
      </c>
      <c r="AA1847" s="10" t="str">
        <f t="shared" si="2343"/>
        <v>NA</v>
      </c>
      <c r="AB1847" s="10" t="str">
        <f t="shared" si="2344"/>
        <v>NA</v>
      </c>
      <c r="AC1847" s="10" t="str">
        <f t="shared" si="2345"/>
        <v>NA</v>
      </c>
      <c r="AD1847" s="10" t="str">
        <f t="shared" si="2346"/>
        <v>NA</v>
      </c>
      <c r="AE1847" s="10" t="str">
        <f t="shared" si="2347"/>
        <v>NA</v>
      </c>
      <c r="AF1847" s="1" t="s">
        <v>1940</v>
      </c>
    </row>
    <row r="1848" spans="1:32" x14ac:dyDescent="0.2">
      <c r="A1848" s="1" t="s">
        <v>6151</v>
      </c>
      <c r="B1848" s="1" t="s">
        <v>5</v>
      </c>
      <c r="C1848" s="1" t="s">
        <v>1575</v>
      </c>
      <c r="D1848" s="1" t="s">
        <v>1595</v>
      </c>
      <c r="E1848" s="1" t="s">
        <v>1596</v>
      </c>
      <c r="F1848" s="1" t="s">
        <v>1973</v>
      </c>
      <c r="G1848" s="4" t="s">
        <v>1575</v>
      </c>
      <c r="H1848" s="28">
        <v>43160</v>
      </c>
      <c r="I1848" s="29">
        <f t="shared" si="2339"/>
        <v>2018</v>
      </c>
      <c r="J1848" s="1" t="s">
        <v>1937</v>
      </c>
      <c r="K1848" s="1" t="s">
        <v>7</v>
      </c>
      <c r="L1848" s="11" t="str">
        <f t="shared" si="2348"/>
        <v>НЕТ</v>
      </c>
      <c r="M1848" s="10" t="s">
        <v>1575</v>
      </c>
      <c r="N1848" s="10" t="s">
        <v>1575</v>
      </c>
      <c r="O1848" s="10" t="s">
        <v>1575</v>
      </c>
      <c r="P1848" s="10" t="str">
        <f t="shared" si="2337"/>
        <v>NA</v>
      </c>
      <c r="Q1848" s="10" t="str">
        <f t="shared" si="2338"/>
        <v>NA</v>
      </c>
      <c r="R1848" s="10" t="s">
        <v>1575</v>
      </c>
      <c r="S1848" s="10" t="s">
        <v>1575</v>
      </c>
      <c r="T1848" s="10" t="s">
        <v>1575</v>
      </c>
      <c r="U1848" s="10" t="s">
        <v>1575</v>
      </c>
      <c r="V1848" s="10" t="s">
        <v>1575</v>
      </c>
      <c r="W1848" s="10" t="s">
        <v>1575</v>
      </c>
      <c r="X1848" s="10" t="str">
        <f t="shared" si="2340"/>
        <v>NA</v>
      </c>
      <c r="Y1848" s="10" t="str">
        <f t="shared" si="2341"/>
        <v>NA</v>
      </c>
      <c r="Z1848" s="10" t="str">
        <f t="shared" si="2342"/>
        <v>NA</v>
      </c>
      <c r="AA1848" s="10" t="str">
        <f t="shared" si="2343"/>
        <v>NA</v>
      </c>
      <c r="AB1848" s="10" t="str">
        <f t="shared" si="2344"/>
        <v>NA</v>
      </c>
      <c r="AC1848" s="10" t="str">
        <f t="shared" si="2345"/>
        <v>NA</v>
      </c>
      <c r="AD1848" s="10" t="str">
        <f t="shared" si="2346"/>
        <v>NA</v>
      </c>
      <c r="AE1848" s="10" t="str">
        <f t="shared" si="2347"/>
        <v>NA</v>
      </c>
      <c r="AF1848" s="1" t="s">
        <v>1939</v>
      </c>
    </row>
    <row r="1849" spans="1:32" x14ac:dyDescent="0.2">
      <c r="A1849" s="1" t="s">
        <v>6146</v>
      </c>
      <c r="B1849" s="1" t="s">
        <v>5</v>
      </c>
      <c r="C1849" s="1" t="s">
        <v>1575</v>
      </c>
      <c r="D1849" s="1" t="s">
        <v>1595</v>
      </c>
      <c r="E1849" s="1" t="s">
        <v>1587</v>
      </c>
      <c r="F1849" s="1" t="s">
        <v>244</v>
      </c>
      <c r="G1849" s="4">
        <v>1</v>
      </c>
      <c r="H1849" s="28">
        <v>43112</v>
      </c>
      <c r="I1849" s="29">
        <f t="shared" si="2339"/>
        <v>2018</v>
      </c>
      <c r="J1849" s="1" t="s">
        <v>6152</v>
      </c>
      <c r="K1849" s="1" t="s">
        <v>7</v>
      </c>
      <c r="L1849" s="11" t="str">
        <f t="shared" si="2348"/>
        <v>НЕТ</v>
      </c>
      <c r="M1849" s="10" t="s">
        <v>1575</v>
      </c>
      <c r="N1849" s="10" t="s">
        <v>1575</v>
      </c>
      <c r="O1849" s="10">
        <v>0.25</v>
      </c>
      <c r="P1849" s="10">
        <f t="shared" si="2337"/>
        <v>0.25</v>
      </c>
      <c r="Q1849" s="10" t="str">
        <f t="shared" si="2338"/>
        <v>NA</v>
      </c>
      <c r="R1849" s="10" t="s">
        <v>1575</v>
      </c>
      <c r="S1849" s="10" t="s">
        <v>1575</v>
      </c>
      <c r="T1849" s="10" t="s">
        <v>1575</v>
      </c>
      <c r="U1849" s="10" t="s">
        <v>1575</v>
      </c>
      <c r="V1849" s="10">
        <v>2E-3</v>
      </c>
      <c r="W1849" s="10" t="s">
        <v>1575</v>
      </c>
      <c r="X1849" s="10" t="str">
        <f t="shared" si="2340"/>
        <v>NA</v>
      </c>
      <c r="Y1849" s="10" t="str">
        <f t="shared" si="2341"/>
        <v>NA</v>
      </c>
      <c r="Z1849" s="10" t="str">
        <f t="shared" si="2342"/>
        <v>NA</v>
      </c>
      <c r="AA1849" s="10">
        <f t="shared" si="2343"/>
        <v>125</v>
      </c>
      <c r="AB1849" s="10" t="str">
        <f t="shared" si="2344"/>
        <v>NA</v>
      </c>
      <c r="AC1849" s="10" t="str">
        <f t="shared" si="2345"/>
        <v>NA</v>
      </c>
      <c r="AD1849" s="10" t="str">
        <f t="shared" si="2346"/>
        <v>NA</v>
      </c>
      <c r="AE1849" s="10" t="str">
        <f t="shared" si="2347"/>
        <v>NA</v>
      </c>
      <c r="AF1849" s="1" t="s">
        <v>1941</v>
      </c>
    </row>
    <row r="1850" spans="1:32" x14ac:dyDescent="0.2">
      <c r="A1850" s="1" t="s">
        <v>6153</v>
      </c>
      <c r="B1850" s="1" t="s">
        <v>5</v>
      </c>
      <c r="C1850" s="1" t="s">
        <v>1575</v>
      </c>
      <c r="D1850" s="1" t="s">
        <v>1813</v>
      </c>
      <c r="E1850" s="1" t="s">
        <v>2702</v>
      </c>
      <c r="F1850" s="1" t="s">
        <v>1943</v>
      </c>
      <c r="G1850" s="4">
        <v>1</v>
      </c>
      <c r="H1850" s="28">
        <v>43241</v>
      </c>
      <c r="I1850" s="29">
        <f t="shared" si="2339"/>
        <v>2018</v>
      </c>
      <c r="J1850" s="1" t="s">
        <v>6154</v>
      </c>
      <c r="K1850" s="1" t="s">
        <v>7</v>
      </c>
      <c r="L1850" s="11" t="str">
        <f t="shared" si="2348"/>
        <v>НЕТ</v>
      </c>
      <c r="M1850" s="10" t="s">
        <v>1575</v>
      </c>
      <c r="N1850" s="10" t="s">
        <v>1575</v>
      </c>
      <c r="O1850" s="10">
        <f>1.05+0.45</f>
        <v>1.5</v>
      </c>
      <c r="P1850" s="10">
        <f t="shared" si="2337"/>
        <v>1.5</v>
      </c>
      <c r="Q1850" s="10" t="str">
        <f t="shared" si="2338"/>
        <v>NA</v>
      </c>
      <c r="R1850" s="10" t="s">
        <v>1575</v>
      </c>
      <c r="S1850" s="10" t="s">
        <v>1575</v>
      </c>
      <c r="T1850" s="10" t="s">
        <v>1575</v>
      </c>
      <c r="U1850" s="10" t="s">
        <v>1575</v>
      </c>
      <c r="V1850" s="10">
        <v>0.39300000000000002</v>
      </c>
      <c r="W1850" s="10" t="s">
        <v>1575</v>
      </c>
      <c r="X1850" s="10" t="str">
        <f t="shared" si="2340"/>
        <v>NA</v>
      </c>
      <c r="Y1850" s="10" t="str">
        <f t="shared" si="2341"/>
        <v>NA</v>
      </c>
      <c r="Z1850" s="10" t="str">
        <f t="shared" si="2342"/>
        <v>NA</v>
      </c>
      <c r="AA1850" s="10">
        <f t="shared" si="2343"/>
        <v>3.8167938931297707</v>
      </c>
      <c r="AB1850" s="10" t="str">
        <f t="shared" si="2344"/>
        <v>NA</v>
      </c>
      <c r="AC1850" s="10" t="str">
        <f t="shared" si="2345"/>
        <v>NA</v>
      </c>
      <c r="AD1850" s="10" t="str">
        <f t="shared" si="2346"/>
        <v>NA</v>
      </c>
      <c r="AE1850" s="10" t="str">
        <f t="shared" si="2347"/>
        <v>NA</v>
      </c>
      <c r="AF1850" s="1" t="s">
        <v>1942</v>
      </c>
    </row>
    <row r="1851" spans="1:32" x14ac:dyDescent="0.2">
      <c r="A1851" s="1" t="s">
        <v>6155</v>
      </c>
      <c r="B1851" s="1" t="s">
        <v>5</v>
      </c>
      <c r="C1851" s="1" t="s">
        <v>1575</v>
      </c>
      <c r="D1851" s="1" t="s">
        <v>1813</v>
      </c>
      <c r="E1851" s="1" t="s">
        <v>1945</v>
      </c>
      <c r="F1851" s="1" t="s">
        <v>1946</v>
      </c>
      <c r="G1851" s="4">
        <v>0.499</v>
      </c>
      <c r="H1851" s="28">
        <v>43100</v>
      </c>
      <c r="I1851" s="29">
        <f t="shared" si="2339"/>
        <v>2017</v>
      </c>
      <c r="J1851" s="1" t="s">
        <v>1937</v>
      </c>
      <c r="K1851" s="1" t="s">
        <v>7</v>
      </c>
      <c r="L1851" s="11" t="str">
        <f t="shared" si="2348"/>
        <v>НЕТ</v>
      </c>
      <c r="M1851" s="10" t="s">
        <v>1575</v>
      </c>
      <c r="N1851" s="10" t="s">
        <v>1575</v>
      </c>
      <c r="O1851" s="10">
        <v>2.2549999999999999</v>
      </c>
      <c r="P1851" s="10">
        <f t="shared" si="2337"/>
        <v>4.5190380761523041</v>
      </c>
      <c r="Q1851" s="10" t="str">
        <f t="shared" si="2338"/>
        <v>NA</v>
      </c>
      <c r="R1851" s="10" t="s">
        <v>1575</v>
      </c>
      <c r="S1851" s="10" t="s">
        <v>1575</v>
      </c>
      <c r="T1851" s="10" t="s">
        <v>1575</v>
      </c>
      <c r="U1851" s="10" t="s">
        <v>1575</v>
      </c>
      <c r="V1851" s="10">
        <f>0.995/0.499</f>
        <v>1.9939879759519039</v>
      </c>
      <c r="W1851" s="10" t="s">
        <v>1575</v>
      </c>
      <c r="X1851" s="10" t="str">
        <f t="shared" si="2340"/>
        <v>NA</v>
      </c>
      <c r="Y1851" s="10" t="str">
        <f t="shared" si="2341"/>
        <v>NA</v>
      </c>
      <c r="Z1851" s="10" t="str">
        <f t="shared" si="2342"/>
        <v>NA</v>
      </c>
      <c r="AA1851" s="10">
        <f t="shared" si="2343"/>
        <v>2.266331658291457</v>
      </c>
      <c r="AB1851" s="10" t="str">
        <f t="shared" si="2344"/>
        <v>NA</v>
      </c>
      <c r="AC1851" s="10" t="str">
        <f t="shared" si="2345"/>
        <v>NA</v>
      </c>
      <c r="AD1851" s="10" t="str">
        <f t="shared" si="2346"/>
        <v>NA</v>
      </c>
      <c r="AE1851" s="10" t="str">
        <f t="shared" si="2347"/>
        <v>NA</v>
      </c>
      <c r="AF1851" s="1" t="s">
        <v>1944</v>
      </c>
    </row>
    <row r="1852" spans="1:32" x14ac:dyDescent="0.2">
      <c r="A1852" s="1" t="s">
        <v>6156</v>
      </c>
      <c r="B1852" s="1" t="s">
        <v>5</v>
      </c>
      <c r="C1852" s="1" t="s">
        <v>1575</v>
      </c>
      <c r="D1852" s="1" t="s">
        <v>1595</v>
      </c>
      <c r="E1852" s="16" t="s">
        <v>9208</v>
      </c>
      <c r="F1852" s="1" t="s">
        <v>1947</v>
      </c>
      <c r="G1852" s="4">
        <v>1</v>
      </c>
      <c r="H1852" s="28">
        <v>43089</v>
      </c>
      <c r="I1852" s="29">
        <f t="shared" si="2339"/>
        <v>2017</v>
      </c>
      <c r="J1852" s="1" t="s">
        <v>6152</v>
      </c>
      <c r="K1852" s="1" t="s">
        <v>7</v>
      </c>
      <c r="L1852" s="11" t="str">
        <f t="shared" si="2348"/>
        <v>НЕТ</v>
      </c>
      <c r="M1852" s="10" t="s">
        <v>1575</v>
      </c>
      <c r="N1852" s="10" t="s">
        <v>1575</v>
      </c>
      <c r="O1852" s="10">
        <v>0.39800000000000002</v>
      </c>
      <c r="P1852" s="10">
        <f t="shared" si="2337"/>
        <v>0.39800000000000002</v>
      </c>
      <c r="Q1852" s="10" t="str">
        <f t="shared" si="2338"/>
        <v>NA</v>
      </c>
      <c r="R1852" s="10" t="s">
        <v>1575</v>
      </c>
      <c r="S1852" s="10" t="s">
        <v>1575</v>
      </c>
      <c r="T1852" s="10" t="s">
        <v>1575</v>
      </c>
      <c r="U1852" s="10" t="s">
        <v>1575</v>
      </c>
      <c r="V1852" s="10">
        <v>0.14699999999999999</v>
      </c>
      <c r="W1852" s="10" t="s">
        <v>1575</v>
      </c>
      <c r="X1852" s="10" t="str">
        <f t="shared" si="2340"/>
        <v>NA</v>
      </c>
      <c r="Y1852" s="10" t="str">
        <f t="shared" si="2341"/>
        <v>NA</v>
      </c>
      <c r="Z1852" s="10" t="str">
        <f t="shared" si="2342"/>
        <v>NA</v>
      </c>
      <c r="AA1852" s="10">
        <f t="shared" si="2343"/>
        <v>2.7074829931972793</v>
      </c>
      <c r="AB1852" s="10" t="str">
        <f t="shared" si="2344"/>
        <v>NA</v>
      </c>
      <c r="AC1852" s="10" t="str">
        <f t="shared" si="2345"/>
        <v>NA</v>
      </c>
      <c r="AD1852" s="10" t="str">
        <f t="shared" si="2346"/>
        <v>NA</v>
      </c>
      <c r="AE1852" s="10" t="str">
        <f t="shared" si="2347"/>
        <v>NA</v>
      </c>
      <c r="AF1852" s="1" t="s">
        <v>1950</v>
      </c>
    </row>
    <row r="1853" spans="1:32" x14ac:dyDescent="0.2">
      <c r="A1853" s="1" t="s">
        <v>1949</v>
      </c>
      <c r="B1853" s="1" t="s">
        <v>5</v>
      </c>
      <c r="C1853" s="1" t="s">
        <v>1575</v>
      </c>
      <c r="D1853" s="1" t="s">
        <v>1595</v>
      </c>
      <c r="E1853" s="1" t="s">
        <v>1596</v>
      </c>
      <c r="F1853" s="1" t="s">
        <v>1973</v>
      </c>
      <c r="G1853" s="4" t="s">
        <v>1575</v>
      </c>
      <c r="H1853" s="28">
        <v>43100</v>
      </c>
      <c r="I1853" s="29">
        <f t="shared" si="2339"/>
        <v>2017</v>
      </c>
      <c r="J1853" s="1" t="s">
        <v>1937</v>
      </c>
      <c r="K1853" s="1" t="s">
        <v>7</v>
      </c>
      <c r="L1853" s="11" t="str">
        <f t="shared" si="2348"/>
        <v>НЕТ</v>
      </c>
      <c r="M1853" s="10" t="s">
        <v>1575</v>
      </c>
      <c r="N1853" s="10" t="s">
        <v>1575</v>
      </c>
      <c r="O1853" s="10">
        <v>0.13800000000000001</v>
      </c>
      <c r="P1853" s="10" t="str">
        <f t="shared" si="2337"/>
        <v>NA</v>
      </c>
      <c r="Q1853" s="10" t="str">
        <f t="shared" si="2338"/>
        <v>NA</v>
      </c>
      <c r="R1853" s="10" t="s">
        <v>1575</v>
      </c>
      <c r="S1853" s="10" t="s">
        <v>1575</v>
      </c>
      <c r="T1853" s="10" t="s">
        <v>1575</v>
      </c>
      <c r="U1853" s="10" t="s">
        <v>1575</v>
      </c>
      <c r="V1853" s="10" t="s">
        <v>1575</v>
      </c>
      <c r="W1853" s="10" t="s">
        <v>1575</v>
      </c>
      <c r="X1853" s="10" t="str">
        <f t="shared" si="2340"/>
        <v>NA</v>
      </c>
      <c r="Y1853" s="10" t="str">
        <f t="shared" si="2341"/>
        <v>NA</v>
      </c>
      <c r="Z1853" s="10" t="str">
        <f t="shared" si="2342"/>
        <v>NA</v>
      </c>
      <c r="AA1853" s="10" t="str">
        <f t="shared" si="2343"/>
        <v>NA</v>
      </c>
      <c r="AB1853" s="10" t="str">
        <f t="shared" si="2344"/>
        <v>NA</v>
      </c>
      <c r="AC1853" s="10" t="str">
        <f t="shared" si="2345"/>
        <v>NA</v>
      </c>
      <c r="AD1853" s="10" t="str">
        <f t="shared" si="2346"/>
        <v>NA</v>
      </c>
      <c r="AE1853" s="10" t="str">
        <f t="shared" si="2347"/>
        <v>NA</v>
      </c>
      <c r="AF1853" s="1" t="s">
        <v>1948</v>
      </c>
    </row>
    <row r="1854" spans="1:32" x14ac:dyDescent="0.2">
      <c r="A1854" s="1" t="s">
        <v>6157</v>
      </c>
      <c r="B1854" s="1" t="s">
        <v>5</v>
      </c>
      <c r="C1854" s="1" t="s">
        <v>1575</v>
      </c>
      <c r="D1854" s="1" t="s">
        <v>1595</v>
      </c>
      <c r="E1854" s="16" t="s">
        <v>9208</v>
      </c>
      <c r="F1854" s="1" t="s">
        <v>1947</v>
      </c>
      <c r="G1854" s="4">
        <v>1</v>
      </c>
      <c r="H1854" s="28">
        <v>42465</v>
      </c>
      <c r="I1854" s="29">
        <f t="shared" si="2339"/>
        <v>2016</v>
      </c>
      <c r="J1854" s="1" t="s">
        <v>6152</v>
      </c>
      <c r="K1854" s="1" t="s">
        <v>7</v>
      </c>
      <c r="L1854" s="11" t="str">
        <f t="shared" si="2348"/>
        <v>НЕТ</v>
      </c>
      <c r="M1854" s="10" t="s">
        <v>1575</v>
      </c>
      <c r="N1854" s="10" t="s">
        <v>1575</v>
      </c>
      <c r="O1854" s="10">
        <v>0.63300000000000001</v>
      </c>
      <c r="P1854" s="10">
        <f t="shared" si="2337"/>
        <v>0.63300000000000001</v>
      </c>
      <c r="Q1854" s="10" t="str">
        <f t="shared" si="2338"/>
        <v>NA</v>
      </c>
      <c r="R1854" s="10" t="s">
        <v>1575</v>
      </c>
      <c r="S1854" s="10" t="s">
        <v>1575</v>
      </c>
      <c r="T1854" s="10" t="s">
        <v>1575</v>
      </c>
      <c r="U1854" s="10" t="s">
        <v>1575</v>
      </c>
      <c r="V1854" s="10">
        <v>0.55400000000000005</v>
      </c>
      <c r="W1854" s="10" t="s">
        <v>1575</v>
      </c>
      <c r="X1854" s="10" t="str">
        <f t="shared" si="2340"/>
        <v>NA</v>
      </c>
      <c r="Y1854" s="10" t="str">
        <f t="shared" si="2341"/>
        <v>NA</v>
      </c>
      <c r="Z1854" s="10" t="str">
        <f t="shared" si="2342"/>
        <v>NA</v>
      </c>
      <c r="AA1854" s="10">
        <f t="shared" si="2343"/>
        <v>1.1425992779783392</v>
      </c>
      <c r="AB1854" s="10" t="str">
        <f t="shared" si="2344"/>
        <v>NA</v>
      </c>
      <c r="AC1854" s="10" t="str">
        <f t="shared" si="2345"/>
        <v>NA</v>
      </c>
      <c r="AD1854" s="10" t="str">
        <f t="shared" si="2346"/>
        <v>NA</v>
      </c>
      <c r="AE1854" s="10" t="str">
        <f t="shared" si="2347"/>
        <v>NA</v>
      </c>
      <c r="AF1854" s="1" t="s">
        <v>1951</v>
      </c>
    </row>
    <row r="1855" spans="1:32" x14ac:dyDescent="0.2">
      <c r="A1855" s="1" t="s">
        <v>6158</v>
      </c>
      <c r="B1855" s="1" t="s">
        <v>5</v>
      </c>
      <c r="C1855" s="1" t="s">
        <v>1575</v>
      </c>
      <c r="D1855" s="1" t="s">
        <v>1595</v>
      </c>
      <c r="E1855" s="16" t="s">
        <v>9208</v>
      </c>
      <c r="F1855" s="1" t="s">
        <v>1947</v>
      </c>
      <c r="G1855" s="4">
        <v>1</v>
      </c>
      <c r="H1855" s="28">
        <v>42531</v>
      </c>
      <c r="I1855" s="29">
        <f t="shared" si="2339"/>
        <v>2016</v>
      </c>
      <c r="J1855" s="1" t="s">
        <v>1937</v>
      </c>
      <c r="K1855" s="1" t="s">
        <v>7</v>
      </c>
      <c r="L1855" s="11" t="str">
        <f t="shared" si="2348"/>
        <v>НЕТ</v>
      </c>
      <c r="M1855" s="10" t="s">
        <v>1575</v>
      </c>
      <c r="N1855" s="10" t="s">
        <v>1575</v>
      </c>
      <c r="O1855" s="10">
        <v>1.42</v>
      </c>
      <c r="P1855" s="10">
        <f t="shared" si="2337"/>
        <v>1.42</v>
      </c>
      <c r="Q1855" s="10" t="str">
        <f t="shared" si="2338"/>
        <v>NA</v>
      </c>
      <c r="R1855" s="10" t="s">
        <v>1575</v>
      </c>
      <c r="S1855" s="10" t="s">
        <v>1575</v>
      </c>
      <c r="T1855" s="10" t="s">
        <v>1575</v>
      </c>
      <c r="U1855" s="10" t="s">
        <v>1575</v>
      </c>
      <c r="V1855" s="10">
        <v>0.69599999999999995</v>
      </c>
      <c r="W1855" s="10" t="s">
        <v>1575</v>
      </c>
      <c r="X1855" s="10" t="str">
        <f t="shared" si="2340"/>
        <v>NA</v>
      </c>
      <c r="Y1855" s="10" t="str">
        <f t="shared" si="2341"/>
        <v>NA</v>
      </c>
      <c r="Z1855" s="10" t="str">
        <f t="shared" si="2342"/>
        <v>NA</v>
      </c>
      <c r="AA1855" s="10">
        <f t="shared" si="2343"/>
        <v>2.0402298850574714</v>
      </c>
      <c r="AB1855" s="10" t="str">
        <f t="shared" si="2344"/>
        <v>NA</v>
      </c>
      <c r="AC1855" s="10" t="str">
        <f t="shared" si="2345"/>
        <v>NA</v>
      </c>
      <c r="AD1855" s="10" t="str">
        <f t="shared" si="2346"/>
        <v>NA</v>
      </c>
      <c r="AE1855" s="10" t="str">
        <f t="shared" si="2347"/>
        <v>NA</v>
      </c>
      <c r="AF1855" s="1" t="s">
        <v>1952</v>
      </c>
    </row>
    <row r="1856" spans="1:32" x14ac:dyDescent="0.2">
      <c r="A1856" s="1" t="s">
        <v>6150</v>
      </c>
      <c r="B1856" s="1" t="s">
        <v>5</v>
      </c>
      <c r="C1856" s="1" t="s">
        <v>1575</v>
      </c>
      <c r="D1856" s="1" t="s">
        <v>1580</v>
      </c>
      <c r="E1856" s="1" t="s">
        <v>1590</v>
      </c>
      <c r="F1856" s="1" t="s">
        <v>1953</v>
      </c>
      <c r="G1856" s="4">
        <v>0.51</v>
      </c>
      <c r="H1856" s="28">
        <v>42544</v>
      </c>
      <c r="I1856" s="29">
        <f t="shared" si="2339"/>
        <v>2016</v>
      </c>
      <c r="J1856" s="1" t="s">
        <v>1956</v>
      </c>
      <c r="K1856" s="1" t="s">
        <v>7</v>
      </c>
      <c r="L1856" s="11" t="str">
        <f t="shared" si="2348"/>
        <v>НЕТ</v>
      </c>
      <c r="M1856" s="10" t="s">
        <v>1575</v>
      </c>
      <c r="N1856" s="10" t="s">
        <v>1575</v>
      </c>
      <c r="O1856" s="10">
        <v>0.184</v>
      </c>
      <c r="P1856" s="10">
        <f t="shared" si="2337"/>
        <v>0.36078431372549019</v>
      </c>
      <c r="Q1856" s="10" t="str">
        <f t="shared" si="2338"/>
        <v>NA</v>
      </c>
      <c r="R1856" s="10" t="s">
        <v>1575</v>
      </c>
      <c r="S1856" s="10" t="s">
        <v>1575</v>
      </c>
      <c r="T1856" s="10" t="s">
        <v>1575</v>
      </c>
      <c r="U1856" s="10" t="s">
        <v>1575</v>
      </c>
      <c r="V1856" s="10">
        <v>0.308</v>
      </c>
      <c r="W1856" s="10" t="s">
        <v>1575</v>
      </c>
      <c r="X1856" s="10" t="str">
        <f t="shared" si="2340"/>
        <v>NA</v>
      </c>
      <c r="Y1856" s="10" t="str">
        <f t="shared" si="2341"/>
        <v>NA</v>
      </c>
      <c r="Z1856" s="10" t="str">
        <f t="shared" si="2342"/>
        <v>NA</v>
      </c>
      <c r="AA1856" s="10">
        <f t="shared" si="2343"/>
        <v>1.1713776419658772</v>
      </c>
      <c r="AB1856" s="10" t="str">
        <f t="shared" si="2344"/>
        <v>NA</v>
      </c>
      <c r="AC1856" s="10" t="str">
        <f t="shared" si="2345"/>
        <v>NA</v>
      </c>
      <c r="AD1856" s="10" t="str">
        <f t="shared" si="2346"/>
        <v>NA</v>
      </c>
      <c r="AE1856" s="10" t="str">
        <f t="shared" si="2347"/>
        <v>NA</v>
      </c>
      <c r="AF1856" s="1" t="s">
        <v>1954</v>
      </c>
    </row>
    <row r="1857" spans="1:32" x14ac:dyDescent="0.2">
      <c r="A1857" s="1" t="s">
        <v>6159</v>
      </c>
      <c r="B1857" s="1" t="s">
        <v>5</v>
      </c>
      <c r="C1857" s="1" t="s">
        <v>1575</v>
      </c>
      <c r="D1857" s="1" t="s">
        <v>1813</v>
      </c>
      <c r="E1857" s="1" t="s">
        <v>1945</v>
      </c>
      <c r="F1857" s="1" t="s">
        <v>1946</v>
      </c>
      <c r="G1857" s="4">
        <v>0.5</v>
      </c>
      <c r="H1857" s="28">
        <v>42537</v>
      </c>
      <c r="I1857" s="29">
        <f t="shared" si="2339"/>
        <v>2016</v>
      </c>
      <c r="J1857" s="1" t="s">
        <v>6160</v>
      </c>
      <c r="K1857" s="1" t="s">
        <v>7</v>
      </c>
      <c r="L1857" s="11" t="str">
        <f t="shared" si="2348"/>
        <v>НЕТ</v>
      </c>
      <c r="M1857" s="10" t="s">
        <v>1575</v>
      </c>
      <c r="N1857" s="10" t="s">
        <v>1575</v>
      </c>
      <c r="O1857" s="10">
        <v>5.0000000000000004E-6</v>
      </c>
      <c r="P1857" s="10">
        <f t="shared" si="2337"/>
        <v>1.0000000000000001E-5</v>
      </c>
      <c r="Q1857" s="10" t="str">
        <f t="shared" si="2338"/>
        <v>NA</v>
      </c>
      <c r="R1857" s="10" t="s">
        <v>1575</v>
      </c>
      <c r="S1857" s="10" t="s">
        <v>1575</v>
      </c>
      <c r="T1857" s="10" t="s">
        <v>1575</v>
      </c>
      <c r="U1857" s="10" t="s">
        <v>1575</v>
      </c>
      <c r="V1857" s="10">
        <v>2.5000000000000001E-2</v>
      </c>
      <c r="W1857" s="10" t="s">
        <v>1575</v>
      </c>
      <c r="X1857" s="10" t="str">
        <f t="shared" si="2340"/>
        <v>NA</v>
      </c>
      <c r="Y1857" s="10" t="str">
        <f t="shared" si="2341"/>
        <v>NA</v>
      </c>
      <c r="Z1857" s="10" t="str">
        <f t="shared" si="2342"/>
        <v>NA</v>
      </c>
      <c r="AA1857" s="10">
        <f t="shared" si="2343"/>
        <v>4.0000000000000002E-4</v>
      </c>
      <c r="AB1857" s="10" t="str">
        <f t="shared" si="2344"/>
        <v>NA</v>
      </c>
      <c r="AC1857" s="10" t="str">
        <f t="shared" si="2345"/>
        <v>NA</v>
      </c>
      <c r="AD1857" s="10" t="str">
        <f t="shared" si="2346"/>
        <v>NA</v>
      </c>
      <c r="AE1857" s="10" t="str">
        <f t="shared" si="2347"/>
        <v>NA</v>
      </c>
      <c r="AF1857" s="1" t="s">
        <v>1955</v>
      </c>
    </row>
    <row r="1858" spans="1:32" x14ac:dyDescent="0.2">
      <c r="A1858" s="1" t="s">
        <v>6161</v>
      </c>
      <c r="B1858" s="1" t="s">
        <v>5</v>
      </c>
      <c r="C1858" s="1" t="s">
        <v>1575</v>
      </c>
      <c r="D1858" s="1" t="s">
        <v>1595</v>
      </c>
      <c r="E1858" s="16" t="s">
        <v>9208</v>
      </c>
      <c r="F1858" s="1" t="s">
        <v>1947</v>
      </c>
      <c r="G1858" s="4">
        <v>1</v>
      </c>
      <c r="H1858" s="28">
        <v>42733</v>
      </c>
      <c r="I1858" s="29">
        <f t="shared" si="2339"/>
        <v>2016</v>
      </c>
      <c r="J1858" s="1" t="s">
        <v>6152</v>
      </c>
      <c r="K1858" s="1" t="s">
        <v>7</v>
      </c>
      <c r="L1858" s="11" t="str">
        <f t="shared" si="2348"/>
        <v>НЕТ</v>
      </c>
      <c r="M1858" s="10" t="s">
        <v>1575</v>
      </c>
      <c r="N1858" s="10" t="s">
        <v>1575</v>
      </c>
      <c r="O1858" s="10">
        <v>8.3000000000000004E-2</v>
      </c>
      <c r="P1858" s="10">
        <f t="shared" si="2337"/>
        <v>8.3000000000000004E-2</v>
      </c>
      <c r="Q1858" s="10" t="str">
        <f t="shared" si="2338"/>
        <v>NA</v>
      </c>
      <c r="R1858" s="10" t="s">
        <v>1575</v>
      </c>
      <c r="S1858" s="10" t="s">
        <v>1575</v>
      </c>
      <c r="T1858" s="10" t="s">
        <v>1575</v>
      </c>
      <c r="U1858" s="10" t="s">
        <v>1575</v>
      </c>
      <c r="V1858" s="10">
        <v>2.1999999999999999E-2</v>
      </c>
      <c r="W1858" s="10" t="s">
        <v>1575</v>
      </c>
      <c r="X1858" s="10" t="str">
        <f t="shared" si="2340"/>
        <v>NA</v>
      </c>
      <c r="Y1858" s="10" t="str">
        <f t="shared" si="2341"/>
        <v>NA</v>
      </c>
      <c r="Z1858" s="10" t="str">
        <f t="shared" si="2342"/>
        <v>NA</v>
      </c>
      <c r="AA1858" s="10">
        <f t="shared" si="2343"/>
        <v>3.7727272727272729</v>
      </c>
      <c r="AB1858" s="10" t="str">
        <f t="shared" si="2344"/>
        <v>NA</v>
      </c>
      <c r="AC1858" s="10" t="str">
        <f t="shared" si="2345"/>
        <v>NA</v>
      </c>
      <c r="AD1858" s="10" t="str">
        <f t="shared" si="2346"/>
        <v>NA</v>
      </c>
      <c r="AE1858" s="10" t="str">
        <f t="shared" si="2347"/>
        <v>NA</v>
      </c>
      <c r="AF1858" s="1" t="s">
        <v>1957</v>
      </c>
    </row>
    <row r="1859" spans="1:32" x14ac:dyDescent="0.2">
      <c r="A1859" s="1" t="s">
        <v>6162</v>
      </c>
      <c r="B1859" s="1" t="s">
        <v>5</v>
      </c>
      <c r="C1859" s="1" t="s">
        <v>1575</v>
      </c>
      <c r="D1859" s="1" t="s">
        <v>1582</v>
      </c>
      <c r="E1859" s="1" t="s">
        <v>2019</v>
      </c>
      <c r="F1859" s="1" t="s">
        <v>9201</v>
      </c>
      <c r="G1859" s="4">
        <f>41.29%-25.33%</f>
        <v>0.15960000000000002</v>
      </c>
      <c r="H1859" s="28">
        <v>42338</v>
      </c>
      <c r="I1859" s="29">
        <f t="shared" si="2339"/>
        <v>2015</v>
      </c>
      <c r="J1859" s="1" t="s">
        <v>1937</v>
      </c>
      <c r="K1859" s="1" t="s">
        <v>7</v>
      </c>
      <c r="L1859" s="11" t="str">
        <f t="shared" si="2348"/>
        <v>НЕТ</v>
      </c>
      <c r="M1859" s="10" t="s">
        <v>1575</v>
      </c>
      <c r="N1859" s="10" t="s">
        <v>1575</v>
      </c>
      <c r="O1859" s="10">
        <v>2</v>
      </c>
      <c r="P1859" s="10">
        <f t="shared" ref="P1859:P1922" si="2349">IFERROR(O1859/G1859,"NA")</f>
        <v>12.531328320802004</v>
      </c>
      <c r="Q1859" s="10" t="str">
        <f t="shared" ref="Q1859:Q1922" si="2350">IFERROR(P1859+W1859,"NA")</f>
        <v>NA</v>
      </c>
      <c r="R1859" s="10" t="s">
        <v>1575</v>
      </c>
      <c r="S1859" s="10" t="s">
        <v>1575</v>
      </c>
      <c r="T1859" s="10" t="s">
        <v>1575</v>
      </c>
      <c r="U1859" s="10" t="s">
        <v>1575</v>
      </c>
      <c r="V1859" s="10" t="s">
        <v>1575</v>
      </c>
      <c r="W1859" s="10" t="s">
        <v>1575</v>
      </c>
      <c r="X1859" s="10" t="str">
        <f t="shared" si="2340"/>
        <v>NA</v>
      </c>
      <c r="Y1859" s="10" t="str">
        <f t="shared" si="2341"/>
        <v>NA</v>
      </c>
      <c r="Z1859" s="10" t="str">
        <f t="shared" si="2342"/>
        <v>NA</v>
      </c>
      <c r="AA1859" s="10" t="str">
        <f t="shared" si="2343"/>
        <v>NA</v>
      </c>
      <c r="AB1859" s="10" t="str">
        <f t="shared" si="2344"/>
        <v>NA</v>
      </c>
      <c r="AC1859" s="10" t="str">
        <f t="shared" si="2345"/>
        <v>NA</v>
      </c>
      <c r="AD1859" s="10" t="str">
        <f t="shared" si="2346"/>
        <v>NA</v>
      </c>
      <c r="AE1859" s="10" t="str">
        <f t="shared" si="2347"/>
        <v>NA</v>
      </c>
      <c r="AF1859" s="1" t="s">
        <v>1958</v>
      </c>
    </row>
    <row r="1860" spans="1:32" x14ac:dyDescent="0.2">
      <c r="A1860" s="1" t="s">
        <v>6155</v>
      </c>
      <c r="B1860" s="1" t="s">
        <v>5</v>
      </c>
      <c r="C1860" s="1" t="s">
        <v>1575</v>
      </c>
      <c r="D1860" s="1" t="s">
        <v>1813</v>
      </c>
      <c r="E1860" s="1" t="s">
        <v>1945</v>
      </c>
      <c r="F1860" s="1" t="s">
        <v>1946</v>
      </c>
      <c r="G1860" s="4">
        <f>50.1%+5.4%</f>
        <v>0.55500000000000005</v>
      </c>
      <c r="H1860" s="28">
        <v>42052</v>
      </c>
      <c r="I1860" s="29">
        <f t="shared" si="2339"/>
        <v>2015</v>
      </c>
      <c r="J1860" s="1" t="s">
        <v>1937</v>
      </c>
      <c r="K1860" s="1" t="s">
        <v>7</v>
      </c>
      <c r="L1860" s="11" t="str">
        <f t="shared" si="2348"/>
        <v>НЕТ</v>
      </c>
      <c r="M1860" s="10" t="s">
        <v>1575</v>
      </c>
      <c r="N1860" s="10" t="s">
        <v>1575</v>
      </c>
      <c r="O1860" s="10">
        <v>0.52700000000000002</v>
      </c>
      <c r="P1860" s="10">
        <f t="shared" si="2349"/>
        <v>0.94954954954954951</v>
      </c>
      <c r="Q1860" s="10" t="str">
        <f t="shared" si="2350"/>
        <v>NA</v>
      </c>
      <c r="R1860" s="10" t="s">
        <v>1575</v>
      </c>
      <c r="S1860" s="10" t="s">
        <v>1575</v>
      </c>
      <c r="T1860" s="10" t="s">
        <v>1575</v>
      </c>
      <c r="U1860" s="10" t="s">
        <v>1575</v>
      </c>
      <c r="V1860" s="10">
        <v>1.1100000000000001</v>
      </c>
      <c r="W1860" s="10" t="s">
        <v>1575</v>
      </c>
      <c r="X1860" s="10" t="str">
        <f t="shared" si="2340"/>
        <v>NA</v>
      </c>
      <c r="Y1860" s="10" t="str">
        <f t="shared" si="2341"/>
        <v>NA</v>
      </c>
      <c r="Z1860" s="10" t="str">
        <f t="shared" si="2342"/>
        <v>NA</v>
      </c>
      <c r="AA1860" s="10">
        <f t="shared" si="2343"/>
        <v>0.85545004463923369</v>
      </c>
      <c r="AB1860" s="10" t="str">
        <f t="shared" si="2344"/>
        <v>NA</v>
      </c>
      <c r="AC1860" s="10" t="str">
        <f t="shared" si="2345"/>
        <v>NA</v>
      </c>
      <c r="AD1860" s="10" t="str">
        <f t="shared" si="2346"/>
        <v>NA</v>
      </c>
      <c r="AE1860" s="10" t="str">
        <f t="shared" si="2347"/>
        <v>NA</v>
      </c>
      <c r="AF1860" s="1" t="s">
        <v>1960</v>
      </c>
    </row>
    <row r="1861" spans="1:32" x14ac:dyDescent="0.2">
      <c r="A1861" s="1" t="s">
        <v>6163</v>
      </c>
      <c r="B1861" s="1" t="s">
        <v>5</v>
      </c>
      <c r="C1861" s="1" t="s">
        <v>1575</v>
      </c>
      <c r="D1861" s="1" t="s">
        <v>1595</v>
      </c>
      <c r="E1861" s="1" t="s">
        <v>1596</v>
      </c>
      <c r="F1861" s="1" t="s">
        <v>1973</v>
      </c>
      <c r="G1861" s="4">
        <v>0.75</v>
      </c>
      <c r="H1861" s="28">
        <v>42041</v>
      </c>
      <c r="I1861" s="29">
        <f t="shared" si="2339"/>
        <v>2015</v>
      </c>
      <c r="J1861" s="1" t="s">
        <v>6164</v>
      </c>
      <c r="K1861" s="1" t="s">
        <v>334</v>
      </c>
      <c r="L1861" s="11" t="str">
        <f t="shared" si="2348"/>
        <v>НЕТ</v>
      </c>
      <c r="M1861" s="10" t="s">
        <v>1575</v>
      </c>
      <c r="N1861" s="10" t="s">
        <v>1575</v>
      </c>
      <c r="O1861" s="10">
        <v>0.20300000000000001</v>
      </c>
      <c r="P1861" s="10">
        <f t="shared" si="2349"/>
        <v>0.27066666666666667</v>
      </c>
      <c r="Q1861" s="10" t="str">
        <f t="shared" si="2350"/>
        <v>NA</v>
      </c>
      <c r="R1861" s="10" t="s">
        <v>1575</v>
      </c>
      <c r="S1861" s="10" t="s">
        <v>1575</v>
      </c>
      <c r="T1861" s="10" t="s">
        <v>1575</v>
      </c>
      <c r="U1861" s="10" t="s">
        <v>1575</v>
      </c>
      <c r="V1861" s="10">
        <v>0.26400000000000001</v>
      </c>
      <c r="W1861" s="10" t="s">
        <v>1575</v>
      </c>
      <c r="X1861" s="10" t="str">
        <f t="shared" si="2340"/>
        <v>NA</v>
      </c>
      <c r="Y1861" s="10" t="str">
        <f t="shared" si="2341"/>
        <v>NA</v>
      </c>
      <c r="Z1861" s="10" t="str">
        <f t="shared" si="2342"/>
        <v>NA</v>
      </c>
      <c r="AA1861" s="10">
        <f t="shared" si="2343"/>
        <v>1.0252525252525253</v>
      </c>
      <c r="AB1861" s="10" t="str">
        <f t="shared" si="2344"/>
        <v>NA</v>
      </c>
      <c r="AC1861" s="10" t="str">
        <f t="shared" si="2345"/>
        <v>NA</v>
      </c>
      <c r="AD1861" s="10" t="str">
        <f t="shared" si="2346"/>
        <v>NA</v>
      </c>
      <c r="AE1861" s="10" t="str">
        <f t="shared" si="2347"/>
        <v>NA</v>
      </c>
      <c r="AF1861" s="1" t="s">
        <v>1961</v>
      </c>
    </row>
    <row r="1862" spans="1:32" x14ac:dyDescent="0.2">
      <c r="A1862" s="1" t="s">
        <v>6165</v>
      </c>
      <c r="B1862" s="1" t="s">
        <v>5</v>
      </c>
      <c r="C1862" s="1" t="s">
        <v>1575</v>
      </c>
      <c r="D1862" s="1" t="s">
        <v>1595</v>
      </c>
      <c r="E1862" s="1" t="s">
        <v>1812</v>
      </c>
      <c r="F1862" s="1" t="s">
        <v>244</v>
      </c>
      <c r="G1862" s="4" t="s">
        <v>1575</v>
      </c>
      <c r="H1862" s="28">
        <v>42051</v>
      </c>
      <c r="I1862" s="29">
        <f t="shared" si="2339"/>
        <v>2015</v>
      </c>
      <c r="J1862" s="1" t="s">
        <v>1937</v>
      </c>
      <c r="K1862" s="1" t="s">
        <v>1963</v>
      </c>
      <c r="L1862" s="11" t="str">
        <f t="shared" si="2348"/>
        <v>НЕТ</v>
      </c>
      <c r="M1862" s="10" t="s">
        <v>1575</v>
      </c>
      <c r="N1862" s="10" t="s">
        <v>1575</v>
      </c>
      <c r="O1862" s="10">
        <v>0.108</v>
      </c>
      <c r="P1862" s="10" t="str">
        <f t="shared" si="2349"/>
        <v>NA</v>
      </c>
      <c r="Q1862" s="10" t="str">
        <f t="shared" si="2350"/>
        <v>NA</v>
      </c>
      <c r="R1862" s="10" t="s">
        <v>1575</v>
      </c>
      <c r="S1862" s="10" t="s">
        <v>1575</v>
      </c>
      <c r="T1862" s="10" t="s">
        <v>1575</v>
      </c>
      <c r="U1862" s="10" t="s">
        <v>1575</v>
      </c>
      <c r="V1862" s="10">
        <v>-0.33400000000000002</v>
      </c>
      <c r="W1862" s="10" t="s">
        <v>1575</v>
      </c>
      <c r="X1862" s="10" t="str">
        <f t="shared" si="2340"/>
        <v>NA</v>
      </c>
      <c r="Y1862" s="10" t="str">
        <f t="shared" si="2341"/>
        <v>NA</v>
      </c>
      <c r="Z1862" s="10" t="str">
        <f t="shared" si="2342"/>
        <v>NA</v>
      </c>
      <c r="AA1862" s="10" t="str">
        <f t="shared" si="2343"/>
        <v>NA</v>
      </c>
      <c r="AB1862" s="10" t="str">
        <f t="shared" si="2344"/>
        <v>NA</v>
      </c>
      <c r="AC1862" s="10" t="str">
        <f t="shared" si="2345"/>
        <v>NA</v>
      </c>
      <c r="AD1862" s="10" t="str">
        <f t="shared" si="2346"/>
        <v>NA</v>
      </c>
      <c r="AE1862" s="10" t="str">
        <f t="shared" si="2347"/>
        <v>NA</v>
      </c>
      <c r="AF1862" s="1" t="s">
        <v>1962</v>
      </c>
    </row>
    <row r="1863" spans="1:32" x14ac:dyDescent="0.2">
      <c r="A1863" s="1" t="s">
        <v>335</v>
      </c>
      <c r="B1863" s="1" t="s">
        <v>5</v>
      </c>
      <c r="C1863" s="1" t="s">
        <v>1575</v>
      </c>
      <c r="D1863" s="1" t="s">
        <v>1595</v>
      </c>
      <c r="E1863" s="16" t="s">
        <v>9208</v>
      </c>
      <c r="F1863" s="1" t="s">
        <v>1947</v>
      </c>
      <c r="G1863" s="4">
        <v>1</v>
      </c>
      <c r="H1863" s="28">
        <v>42124</v>
      </c>
      <c r="I1863" s="29">
        <f t="shared" si="2339"/>
        <v>2015</v>
      </c>
      <c r="J1863" s="1" t="s">
        <v>1937</v>
      </c>
      <c r="K1863" s="1" t="s">
        <v>1964</v>
      </c>
      <c r="L1863" s="11" t="str">
        <f t="shared" si="2348"/>
        <v>НЕТ</v>
      </c>
      <c r="M1863" s="10" t="s">
        <v>1575</v>
      </c>
      <c r="N1863" s="10" t="s">
        <v>1575</v>
      </c>
      <c r="O1863" s="10">
        <v>0.21</v>
      </c>
      <c r="P1863" s="10">
        <f t="shared" si="2349"/>
        <v>0.21</v>
      </c>
      <c r="Q1863" s="10" t="str">
        <f t="shared" si="2350"/>
        <v>NA</v>
      </c>
      <c r="R1863" s="10" t="s">
        <v>1575</v>
      </c>
      <c r="S1863" s="10" t="s">
        <v>1575</v>
      </c>
      <c r="T1863" s="10" t="s">
        <v>1575</v>
      </c>
      <c r="U1863" s="10" t="s">
        <v>1575</v>
      </c>
      <c r="V1863" s="10">
        <v>-1.3959999999999999</v>
      </c>
      <c r="W1863" s="10" t="s">
        <v>1575</v>
      </c>
      <c r="X1863" s="10" t="str">
        <f t="shared" si="2340"/>
        <v>NA</v>
      </c>
      <c r="Y1863" s="10" t="str">
        <f t="shared" si="2341"/>
        <v>NA</v>
      </c>
      <c r="Z1863" s="10" t="str">
        <f t="shared" si="2342"/>
        <v>NA</v>
      </c>
      <c r="AA1863" s="10">
        <f t="shared" si="2343"/>
        <v>-0.1504297994269341</v>
      </c>
      <c r="AB1863" s="10" t="str">
        <f t="shared" si="2344"/>
        <v>NA</v>
      </c>
      <c r="AC1863" s="10" t="str">
        <f t="shared" si="2345"/>
        <v>NA</v>
      </c>
      <c r="AD1863" s="10" t="str">
        <f t="shared" si="2346"/>
        <v>NA</v>
      </c>
      <c r="AE1863" s="10" t="str">
        <f t="shared" si="2347"/>
        <v>NA</v>
      </c>
      <c r="AF1863" s="1" t="s">
        <v>336</v>
      </c>
    </row>
    <row r="1864" spans="1:32" x14ac:dyDescent="0.2">
      <c r="A1864" s="1" t="s">
        <v>6166</v>
      </c>
      <c r="B1864" s="1" t="s">
        <v>5</v>
      </c>
      <c r="C1864" s="1" t="s">
        <v>1575</v>
      </c>
      <c r="D1864" s="1" t="s">
        <v>1813</v>
      </c>
      <c r="E1864" s="1" t="s">
        <v>1945</v>
      </c>
      <c r="F1864" s="1" t="s">
        <v>1959</v>
      </c>
      <c r="G1864" s="4">
        <v>0.75</v>
      </c>
      <c r="H1864" s="28">
        <v>42339</v>
      </c>
      <c r="I1864" s="29">
        <f t="shared" si="2339"/>
        <v>2015</v>
      </c>
      <c r="J1864" s="1" t="s">
        <v>1937</v>
      </c>
      <c r="K1864" s="1" t="s">
        <v>7</v>
      </c>
      <c r="L1864" s="11" t="str">
        <f t="shared" si="2348"/>
        <v>НЕТ</v>
      </c>
      <c r="M1864" s="10" t="s">
        <v>1575</v>
      </c>
      <c r="N1864" s="10" t="s">
        <v>1575</v>
      </c>
      <c r="O1864" s="10">
        <v>0.52500000000000002</v>
      </c>
      <c r="P1864" s="10">
        <f t="shared" si="2349"/>
        <v>0.70000000000000007</v>
      </c>
      <c r="Q1864" s="10" t="str">
        <f t="shared" si="2350"/>
        <v>NA</v>
      </c>
      <c r="R1864" s="10" t="s">
        <v>1575</v>
      </c>
      <c r="S1864" s="10" t="s">
        <v>1575</v>
      </c>
      <c r="T1864" s="10" t="s">
        <v>1575</v>
      </c>
      <c r="U1864" s="10" t="s">
        <v>1575</v>
      </c>
      <c r="V1864" s="10">
        <v>0.27800000000000002</v>
      </c>
      <c r="W1864" s="10" t="s">
        <v>1575</v>
      </c>
      <c r="X1864" s="10" t="str">
        <f t="shared" si="2340"/>
        <v>NA</v>
      </c>
      <c r="Y1864" s="10" t="str">
        <f t="shared" si="2341"/>
        <v>NA</v>
      </c>
      <c r="Z1864" s="10" t="str">
        <f t="shared" si="2342"/>
        <v>NA</v>
      </c>
      <c r="AA1864" s="10">
        <f t="shared" si="2343"/>
        <v>2.5179856115107913</v>
      </c>
      <c r="AB1864" s="10" t="str">
        <f t="shared" si="2344"/>
        <v>NA</v>
      </c>
      <c r="AC1864" s="10" t="str">
        <f t="shared" si="2345"/>
        <v>NA</v>
      </c>
      <c r="AD1864" s="10" t="str">
        <f t="shared" si="2346"/>
        <v>NA</v>
      </c>
      <c r="AE1864" s="10" t="str">
        <f t="shared" si="2347"/>
        <v>NA</v>
      </c>
      <c r="AF1864" s="1" t="s">
        <v>1965</v>
      </c>
    </row>
    <row r="1865" spans="1:32" x14ac:dyDescent="0.2">
      <c r="A1865" s="1" t="s">
        <v>337</v>
      </c>
      <c r="B1865" s="1" t="s">
        <v>5</v>
      </c>
      <c r="C1865" s="1" t="s">
        <v>1575</v>
      </c>
      <c r="D1865" s="1" t="s">
        <v>1595</v>
      </c>
      <c r="E1865" s="1" t="s">
        <v>1596</v>
      </c>
      <c r="F1865" s="1" t="s">
        <v>1973</v>
      </c>
      <c r="G1865" s="4">
        <v>1</v>
      </c>
      <c r="H1865" s="28">
        <v>42234</v>
      </c>
      <c r="I1865" s="29">
        <f t="shared" si="2339"/>
        <v>2015</v>
      </c>
      <c r="J1865" s="1" t="s">
        <v>1937</v>
      </c>
      <c r="K1865" s="1" t="s">
        <v>7</v>
      </c>
      <c r="L1865" s="11" t="str">
        <f t="shared" si="2348"/>
        <v>НЕТ</v>
      </c>
      <c r="M1865" s="10" t="s">
        <v>1575</v>
      </c>
      <c r="N1865" s="10" t="s">
        <v>1575</v>
      </c>
      <c r="O1865" s="10">
        <v>0.217</v>
      </c>
      <c r="P1865" s="10">
        <f t="shared" si="2349"/>
        <v>0.217</v>
      </c>
      <c r="Q1865" s="10" t="str">
        <f t="shared" si="2350"/>
        <v>NA</v>
      </c>
      <c r="R1865" s="10" t="s">
        <v>1575</v>
      </c>
      <c r="S1865" s="10" t="s">
        <v>1575</v>
      </c>
      <c r="T1865" s="10" t="s">
        <v>1575</v>
      </c>
      <c r="U1865" s="10" t="s">
        <v>1575</v>
      </c>
      <c r="V1865" s="10">
        <v>0.217</v>
      </c>
      <c r="W1865" s="10" t="s">
        <v>1575</v>
      </c>
      <c r="X1865" s="10" t="str">
        <f t="shared" si="2340"/>
        <v>NA</v>
      </c>
      <c r="Y1865" s="10" t="str">
        <f t="shared" si="2341"/>
        <v>NA</v>
      </c>
      <c r="Z1865" s="10" t="str">
        <f t="shared" si="2342"/>
        <v>NA</v>
      </c>
      <c r="AA1865" s="10">
        <f t="shared" si="2343"/>
        <v>1</v>
      </c>
      <c r="AB1865" s="10" t="str">
        <f t="shared" si="2344"/>
        <v>NA</v>
      </c>
      <c r="AC1865" s="10" t="str">
        <f t="shared" si="2345"/>
        <v>NA</v>
      </c>
      <c r="AD1865" s="10" t="str">
        <f t="shared" si="2346"/>
        <v>NA</v>
      </c>
      <c r="AE1865" s="10" t="str">
        <f t="shared" si="2347"/>
        <v>NA</v>
      </c>
      <c r="AF1865" s="1" t="s">
        <v>1966</v>
      </c>
    </row>
    <row r="1866" spans="1:32" x14ac:dyDescent="0.2">
      <c r="A1866" s="1" t="s">
        <v>1967</v>
      </c>
      <c r="B1866" s="1" t="s">
        <v>5</v>
      </c>
      <c r="C1866" s="1" t="s">
        <v>1575</v>
      </c>
      <c r="D1866" s="1" t="s">
        <v>1595</v>
      </c>
      <c r="E1866" s="1" t="s">
        <v>1596</v>
      </c>
      <c r="F1866" s="1" t="s">
        <v>244</v>
      </c>
      <c r="G1866" s="4">
        <v>0.45</v>
      </c>
      <c r="H1866" s="28">
        <v>41857</v>
      </c>
      <c r="I1866" s="29">
        <f t="shared" si="2339"/>
        <v>2014</v>
      </c>
      <c r="J1866" s="1" t="s">
        <v>1937</v>
      </c>
      <c r="K1866" s="1" t="s">
        <v>7</v>
      </c>
      <c r="L1866" s="11" t="str">
        <f t="shared" si="2348"/>
        <v>НЕТ</v>
      </c>
      <c r="M1866" s="10" t="s">
        <v>1575</v>
      </c>
      <c r="N1866" s="10" t="s">
        <v>1575</v>
      </c>
      <c r="O1866" s="10">
        <v>73.338999999999999</v>
      </c>
      <c r="P1866" s="10">
        <f t="shared" si="2349"/>
        <v>162.97555555555556</v>
      </c>
      <c r="Q1866" s="10" t="str">
        <f t="shared" si="2350"/>
        <v>NA</v>
      </c>
      <c r="R1866" s="10">
        <v>71.528999999999996</v>
      </c>
      <c r="S1866" s="10" t="s">
        <v>1575</v>
      </c>
      <c r="T1866" s="10" t="s">
        <v>1575</v>
      </c>
      <c r="U1866" s="10">
        <v>-0.84799999999999998</v>
      </c>
      <c r="V1866" s="10">
        <f>197.834+20.269-69.141-53.578</f>
        <v>95.383999999999986</v>
      </c>
      <c r="W1866" s="10" t="s">
        <v>1575</v>
      </c>
      <c r="X1866" s="10" t="str">
        <f t="shared" si="2340"/>
        <v>NA</v>
      </c>
      <c r="Y1866" s="10">
        <f t="shared" si="2341"/>
        <v>2.2784542710726496</v>
      </c>
      <c r="Z1866" s="10">
        <f t="shared" si="2342"/>
        <v>-192.18815513626836</v>
      </c>
      <c r="AA1866" s="10">
        <f t="shared" si="2343"/>
        <v>1.7086257187322358</v>
      </c>
      <c r="AB1866" s="10" t="str">
        <f t="shared" si="2344"/>
        <v>NA</v>
      </c>
      <c r="AC1866" s="10" t="str">
        <f t="shared" si="2345"/>
        <v>NA</v>
      </c>
      <c r="AD1866" s="10" t="str">
        <f t="shared" si="2346"/>
        <v>NA</v>
      </c>
      <c r="AE1866" s="10" t="str">
        <f t="shared" si="2347"/>
        <v>NA</v>
      </c>
      <c r="AF1866" s="1" t="s">
        <v>1968</v>
      </c>
    </row>
    <row r="1867" spans="1:32" x14ac:dyDescent="0.2">
      <c r="A1867" s="1" t="s">
        <v>6162</v>
      </c>
      <c r="B1867" s="1" t="s">
        <v>5</v>
      </c>
      <c r="C1867" s="1" t="s">
        <v>1575</v>
      </c>
      <c r="D1867" s="1" t="s">
        <v>1582</v>
      </c>
      <c r="E1867" s="1" t="s">
        <v>2019</v>
      </c>
      <c r="F1867" s="1" t="s">
        <v>9201</v>
      </c>
      <c r="G1867" s="4">
        <v>0.25330000000000003</v>
      </c>
      <c r="H1867" s="28">
        <v>42004</v>
      </c>
      <c r="I1867" s="29">
        <f t="shared" si="2339"/>
        <v>2014</v>
      </c>
      <c r="J1867" s="1" t="s">
        <v>1937</v>
      </c>
      <c r="K1867" s="1" t="s">
        <v>7</v>
      </c>
      <c r="L1867" s="11" t="str">
        <f t="shared" si="2348"/>
        <v>НЕТ</v>
      </c>
      <c r="M1867" s="10" t="s">
        <v>1575</v>
      </c>
      <c r="N1867" s="10" t="s">
        <v>1575</v>
      </c>
      <c r="O1867" s="10">
        <v>1.319</v>
      </c>
      <c r="P1867" s="10">
        <f t="shared" si="2349"/>
        <v>5.2072641136991704</v>
      </c>
      <c r="Q1867" s="10" t="str">
        <f t="shared" si="2350"/>
        <v>NA</v>
      </c>
      <c r="R1867" s="10" t="s">
        <v>1575</v>
      </c>
      <c r="S1867" s="10" t="s">
        <v>1575</v>
      </c>
      <c r="T1867" s="10" t="s">
        <v>1575</v>
      </c>
      <c r="U1867" s="10" t="s">
        <v>1575</v>
      </c>
      <c r="V1867" s="10">
        <f>1.931+1.09-0.01-1.723</f>
        <v>1.288</v>
      </c>
      <c r="W1867" s="10" t="s">
        <v>1575</v>
      </c>
      <c r="X1867" s="10" t="str">
        <f t="shared" si="2340"/>
        <v>NA</v>
      </c>
      <c r="Y1867" s="10" t="str">
        <f t="shared" si="2341"/>
        <v>NA</v>
      </c>
      <c r="Z1867" s="10" t="str">
        <f t="shared" si="2342"/>
        <v>NA</v>
      </c>
      <c r="AA1867" s="10">
        <f t="shared" si="2343"/>
        <v>4.0429069205738903</v>
      </c>
      <c r="AB1867" s="10" t="str">
        <f t="shared" si="2344"/>
        <v>NA</v>
      </c>
      <c r="AC1867" s="10" t="str">
        <f t="shared" si="2345"/>
        <v>NA</v>
      </c>
      <c r="AD1867" s="10" t="str">
        <f t="shared" si="2346"/>
        <v>NA</v>
      </c>
      <c r="AE1867" s="10" t="str">
        <f t="shared" si="2347"/>
        <v>NA</v>
      </c>
      <c r="AF1867" s="1" t="s">
        <v>1969</v>
      </c>
    </row>
    <row r="1868" spans="1:32" x14ac:dyDescent="0.2">
      <c r="A1868" s="1" t="s">
        <v>338</v>
      </c>
      <c r="B1868" s="1" t="s">
        <v>8</v>
      </c>
      <c r="C1868" s="1" t="s">
        <v>1575</v>
      </c>
      <c r="D1868" s="1" t="s">
        <v>1595</v>
      </c>
      <c r="E1868" s="16" t="s">
        <v>9208</v>
      </c>
      <c r="F1868" s="1" t="s">
        <v>1947</v>
      </c>
      <c r="G1868" s="4">
        <v>0.74980000000000002</v>
      </c>
      <c r="H1868" s="28">
        <v>40967</v>
      </c>
      <c r="I1868" s="29">
        <f t="shared" si="2339"/>
        <v>2012</v>
      </c>
      <c r="J1868" s="1" t="s">
        <v>1937</v>
      </c>
      <c r="K1868" s="1" t="s">
        <v>339</v>
      </c>
      <c r="L1868" s="11" t="str">
        <f t="shared" si="2348"/>
        <v>НЕТ</v>
      </c>
      <c r="M1868" s="10">
        <f>22.5+4.3</f>
        <v>26.8</v>
      </c>
      <c r="N1868" s="10" t="s">
        <v>1575</v>
      </c>
      <c r="O1868" s="10">
        <f>M1868*29.1264/1000</f>
        <v>0.78058752000000009</v>
      </c>
      <c r="P1868" s="10">
        <f t="shared" si="2349"/>
        <v>1.0410609762603362</v>
      </c>
      <c r="Q1868" s="10" t="str">
        <f t="shared" si="2350"/>
        <v>NA</v>
      </c>
      <c r="R1868" s="10" t="s">
        <v>1575</v>
      </c>
      <c r="S1868" s="10" t="s">
        <v>1575</v>
      </c>
      <c r="T1868" s="10" t="s">
        <v>1575</v>
      </c>
      <c r="U1868" s="10" t="s">
        <v>1575</v>
      </c>
      <c r="V1868" s="10">
        <v>0.65400000000000003</v>
      </c>
      <c r="W1868" s="10" t="s">
        <v>1575</v>
      </c>
      <c r="X1868" s="10" t="str">
        <f t="shared" si="2340"/>
        <v>NA</v>
      </c>
      <c r="Y1868" s="10" t="str">
        <f t="shared" si="2341"/>
        <v>NA</v>
      </c>
      <c r="Z1868" s="10" t="str">
        <f t="shared" si="2342"/>
        <v>NA</v>
      </c>
      <c r="AA1868" s="10">
        <f t="shared" si="2343"/>
        <v>1.5918363551381287</v>
      </c>
      <c r="AB1868" s="10" t="str">
        <f t="shared" si="2344"/>
        <v>NA</v>
      </c>
      <c r="AC1868" s="10" t="str">
        <f t="shared" si="2345"/>
        <v>NA</v>
      </c>
      <c r="AD1868" s="10" t="str">
        <f t="shared" si="2346"/>
        <v>NA</v>
      </c>
      <c r="AE1868" s="10" t="str">
        <f t="shared" si="2347"/>
        <v>NA</v>
      </c>
    </row>
    <row r="1869" spans="1:32" x14ac:dyDescent="0.2">
      <c r="A1869" s="1" t="s">
        <v>340</v>
      </c>
      <c r="B1869" s="1" t="s">
        <v>5</v>
      </c>
      <c r="C1869" s="1" t="s">
        <v>1575</v>
      </c>
      <c r="D1869" s="1" t="s">
        <v>1595</v>
      </c>
      <c r="E1869" s="16" t="s">
        <v>9208</v>
      </c>
      <c r="F1869" s="1" t="s">
        <v>1947</v>
      </c>
      <c r="G1869" s="4">
        <v>1</v>
      </c>
      <c r="H1869" s="28">
        <v>40967</v>
      </c>
      <c r="I1869" s="29">
        <f t="shared" si="2339"/>
        <v>2012</v>
      </c>
      <c r="J1869" s="1" t="s">
        <v>1937</v>
      </c>
      <c r="K1869" s="1" t="s">
        <v>7</v>
      </c>
      <c r="L1869" s="11" t="str">
        <f t="shared" si="2348"/>
        <v>НЕТ</v>
      </c>
      <c r="M1869" s="10" t="s">
        <v>1575</v>
      </c>
      <c r="N1869" s="10" t="s">
        <v>1575</v>
      </c>
      <c r="O1869" s="10">
        <v>0.30499999999999999</v>
      </c>
      <c r="P1869" s="10">
        <f t="shared" si="2349"/>
        <v>0.30499999999999999</v>
      </c>
      <c r="Q1869" s="10" t="str">
        <f t="shared" si="2350"/>
        <v>NA</v>
      </c>
      <c r="R1869" s="10" t="s">
        <v>1575</v>
      </c>
      <c r="S1869" s="10" t="s">
        <v>1575</v>
      </c>
      <c r="T1869" s="10" t="s">
        <v>1575</v>
      </c>
      <c r="U1869" s="10" t="s">
        <v>1575</v>
      </c>
      <c r="V1869" s="10">
        <v>0.183</v>
      </c>
      <c r="W1869" s="10" t="s">
        <v>1575</v>
      </c>
      <c r="X1869" s="10" t="str">
        <f t="shared" si="2340"/>
        <v>NA</v>
      </c>
      <c r="Y1869" s="10" t="str">
        <f t="shared" si="2341"/>
        <v>NA</v>
      </c>
      <c r="Z1869" s="10" t="str">
        <f t="shared" si="2342"/>
        <v>NA</v>
      </c>
      <c r="AA1869" s="10">
        <f t="shared" si="2343"/>
        <v>1.6666666666666667</v>
      </c>
      <c r="AB1869" s="10" t="str">
        <f t="shared" si="2344"/>
        <v>NA</v>
      </c>
      <c r="AC1869" s="10" t="str">
        <f t="shared" si="2345"/>
        <v>NA</v>
      </c>
      <c r="AD1869" s="10" t="str">
        <f t="shared" si="2346"/>
        <v>NA</v>
      </c>
      <c r="AE1869" s="10" t="str">
        <f t="shared" si="2347"/>
        <v>NA</v>
      </c>
      <c r="AF1869" s="1" t="s">
        <v>341</v>
      </c>
    </row>
    <row r="1870" spans="1:32" x14ac:dyDescent="0.2">
      <c r="A1870" s="1" t="s">
        <v>342</v>
      </c>
      <c r="B1870" s="1" t="s">
        <v>5</v>
      </c>
      <c r="C1870" s="1" t="s">
        <v>1575</v>
      </c>
      <c r="D1870" s="1" t="s">
        <v>1813</v>
      </c>
      <c r="E1870" s="1" t="s">
        <v>1971</v>
      </c>
      <c r="F1870" s="1" t="s">
        <v>1970</v>
      </c>
      <c r="G1870" s="4">
        <v>0.74990000000000001</v>
      </c>
      <c r="H1870" s="28">
        <v>41090</v>
      </c>
      <c r="I1870" s="29">
        <f t="shared" si="2339"/>
        <v>2012</v>
      </c>
      <c r="J1870" s="1" t="s">
        <v>1937</v>
      </c>
      <c r="K1870" s="1" t="s">
        <v>7</v>
      </c>
      <c r="L1870" s="11" t="str">
        <f t="shared" si="2348"/>
        <v>НЕТ</v>
      </c>
      <c r="M1870" s="10">
        <v>5.75</v>
      </c>
      <c r="N1870" s="10" t="s">
        <v>1575</v>
      </c>
      <c r="O1870" s="10">
        <f>M1870*32.8169/1000</f>
        <v>0.18869717499999999</v>
      </c>
      <c r="P1870" s="10">
        <f t="shared" si="2349"/>
        <v>0.25162978397119617</v>
      </c>
      <c r="Q1870" s="10" t="str">
        <f t="shared" si="2350"/>
        <v>NA</v>
      </c>
      <c r="R1870" s="10" t="s">
        <v>1575</v>
      </c>
      <c r="S1870" s="10" t="s">
        <v>1575</v>
      </c>
      <c r="T1870" s="10" t="s">
        <v>1575</v>
      </c>
      <c r="U1870" s="10" t="s">
        <v>1575</v>
      </c>
      <c r="V1870" s="10">
        <v>0.19900000000000001</v>
      </c>
      <c r="W1870" s="10" t="s">
        <v>1575</v>
      </c>
      <c r="X1870" s="10" t="str">
        <f t="shared" si="2340"/>
        <v>NA</v>
      </c>
      <c r="Y1870" s="10" t="str">
        <f t="shared" si="2341"/>
        <v>NA</v>
      </c>
      <c r="Z1870" s="10" t="str">
        <f t="shared" si="2342"/>
        <v>NA</v>
      </c>
      <c r="AA1870" s="10">
        <f t="shared" si="2343"/>
        <v>1.2644712762371666</v>
      </c>
      <c r="AB1870" s="10" t="str">
        <f t="shared" si="2344"/>
        <v>NA</v>
      </c>
      <c r="AC1870" s="10" t="str">
        <f t="shared" si="2345"/>
        <v>NA</v>
      </c>
      <c r="AD1870" s="10" t="str">
        <f t="shared" si="2346"/>
        <v>NA</v>
      </c>
      <c r="AE1870" s="10" t="str">
        <f t="shared" si="2347"/>
        <v>NA</v>
      </c>
    </row>
    <row r="1871" spans="1:32" x14ac:dyDescent="0.2">
      <c r="A1871" s="1" t="s">
        <v>343</v>
      </c>
      <c r="B1871" s="1" t="s">
        <v>5</v>
      </c>
      <c r="C1871" s="1" t="s">
        <v>1575</v>
      </c>
      <c r="D1871" s="1" t="s">
        <v>1595</v>
      </c>
      <c r="E1871" s="16" t="s">
        <v>9208</v>
      </c>
      <c r="F1871" s="1" t="s">
        <v>1947</v>
      </c>
      <c r="G1871" s="4">
        <v>1</v>
      </c>
      <c r="H1871" s="28">
        <v>41152</v>
      </c>
      <c r="I1871" s="29">
        <f t="shared" si="2339"/>
        <v>2012</v>
      </c>
      <c r="J1871" s="1" t="s">
        <v>1937</v>
      </c>
      <c r="K1871" s="1" t="s">
        <v>7</v>
      </c>
      <c r="L1871" s="11" t="str">
        <f t="shared" si="2348"/>
        <v>НЕТ</v>
      </c>
      <c r="M1871" s="10" t="s">
        <v>1575</v>
      </c>
      <c r="N1871" s="10" t="s">
        <v>1575</v>
      </c>
      <c r="O1871" s="10">
        <f>0.119+0.021</f>
        <v>0.13999999999999999</v>
      </c>
      <c r="P1871" s="10">
        <f t="shared" si="2349"/>
        <v>0.13999999999999999</v>
      </c>
      <c r="Q1871" s="10" t="str">
        <f t="shared" si="2350"/>
        <v>NA</v>
      </c>
      <c r="R1871" s="10" t="s">
        <v>1575</v>
      </c>
      <c r="S1871" s="10" t="s">
        <v>1575</v>
      </c>
      <c r="T1871" s="10" t="s">
        <v>1575</v>
      </c>
      <c r="U1871" s="10" t="s">
        <v>1575</v>
      </c>
      <c r="V1871" s="10">
        <v>9.4E-2</v>
      </c>
      <c r="W1871" s="10" t="s">
        <v>1575</v>
      </c>
      <c r="X1871" s="10" t="str">
        <f t="shared" si="2340"/>
        <v>NA</v>
      </c>
      <c r="Y1871" s="10" t="str">
        <f t="shared" si="2341"/>
        <v>NA</v>
      </c>
      <c r="Z1871" s="10" t="str">
        <f t="shared" si="2342"/>
        <v>NA</v>
      </c>
      <c r="AA1871" s="10">
        <f t="shared" si="2343"/>
        <v>1.4893617021276595</v>
      </c>
      <c r="AB1871" s="10" t="str">
        <f t="shared" si="2344"/>
        <v>NA</v>
      </c>
      <c r="AC1871" s="10" t="str">
        <f t="shared" si="2345"/>
        <v>NA</v>
      </c>
      <c r="AD1871" s="10" t="str">
        <f t="shared" si="2346"/>
        <v>NA</v>
      </c>
      <c r="AE1871" s="10" t="str">
        <f t="shared" si="2347"/>
        <v>NA</v>
      </c>
      <c r="AF1871" s="1" t="s">
        <v>344</v>
      </c>
    </row>
    <row r="1872" spans="1:32" x14ac:dyDescent="0.2">
      <c r="A1872" s="1" t="s">
        <v>345</v>
      </c>
      <c r="B1872" s="1" t="s">
        <v>5</v>
      </c>
      <c r="C1872" s="1" t="s">
        <v>1575</v>
      </c>
      <c r="D1872" s="1" t="s">
        <v>1595</v>
      </c>
      <c r="E1872" s="1" t="s">
        <v>1587</v>
      </c>
      <c r="F1872" s="1" t="s">
        <v>244</v>
      </c>
      <c r="G1872" s="4">
        <v>1</v>
      </c>
      <c r="H1872" s="28">
        <v>41182</v>
      </c>
      <c r="I1872" s="29">
        <f t="shared" si="2339"/>
        <v>2012</v>
      </c>
      <c r="J1872" s="1" t="s">
        <v>1937</v>
      </c>
      <c r="K1872" s="1" t="s">
        <v>7</v>
      </c>
      <c r="L1872" s="11" t="str">
        <f t="shared" si="2348"/>
        <v>НЕТ</v>
      </c>
      <c r="M1872" s="10" t="s">
        <v>1575</v>
      </c>
      <c r="N1872" s="10" t="s">
        <v>1575</v>
      </c>
      <c r="O1872" s="10">
        <v>0.21</v>
      </c>
      <c r="P1872" s="10">
        <f t="shared" si="2349"/>
        <v>0.21</v>
      </c>
      <c r="Q1872" s="10" t="str">
        <f t="shared" si="2350"/>
        <v>NA</v>
      </c>
      <c r="R1872" s="10" t="s">
        <v>1575</v>
      </c>
      <c r="S1872" s="10" t="s">
        <v>1575</v>
      </c>
      <c r="T1872" s="10" t="s">
        <v>1575</v>
      </c>
      <c r="U1872" s="10" t="s">
        <v>1575</v>
      </c>
      <c r="V1872" s="10">
        <v>0.17499999999999999</v>
      </c>
      <c r="W1872" s="10" t="s">
        <v>1575</v>
      </c>
      <c r="X1872" s="10" t="str">
        <f t="shared" si="2340"/>
        <v>NA</v>
      </c>
      <c r="Y1872" s="10" t="str">
        <f t="shared" si="2341"/>
        <v>NA</v>
      </c>
      <c r="Z1872" s="10" t="str">
        <f t="shared" si="2342"/>
        <v>NA</v>
      </c>
      <c r="AA1872" s="10">
        <f t="shared" si="2343"/>
        <v>1.2</v>
      </c>
      <c r="AB1872" s="10" t="str">
        <f t="shared" si="2344"/>
        <v>NA</v>
      </c>
      <c r="AC1872" s="10" t="str">
        <f t="shared" si="2345"/>
        <v>NA</v>
      </c>
      <c r="AD1872" s="10" t="str">
        <f t="shared" si="2346"/>
        <v>NA</v>
      </c>
      <c r="AE1872" s="10" t="str">
        <f t="shared" si="2347"/>
        <v>NA</v>
      </c>
    </row>
    <row r="1873" spans="1:32" x14ac:dyDescent="0.2">
      <c r="A1873" s="1" t="s">
        <v>346</v>
      </c>
      <c r="B1873" s="1" t="s">
        <v>5</v>
      </c>
      <c r="C1873" s="1" t="s">
        <v>1575</v>
      </c>
      <c r="D1873" s="1" t="s">
        <v>1595</v>
      </c>
      <c r="E1873" s="16" t="s">
        <v>9208</v>
      </c>
      <c r="F1873" s="1" t="s">
        <v>1947</v>
      </c>
      <c r="G1873" s="4">
        <v>0.2833</v>
      </c>
      <c r="H1873" s="28">
        <v>40999</v>
      </c>
      <c r="I1873" s="29">
        <f t="shared" ref="I1873:I1936" si="2351">YEAR(H1873)</f>
        <v>2012</v>
      </c>
      <c r="J1873" s="1" t="s">
        <v>1937</v>
      </c>
      <c r="K1873" s="1" t="s">
        <v>347</v>
      </c>
      <c r="L1873" s="11" t="str">
        <f t="shared" si="2348"/>
        <v>НЕТ</v>
      </c>
      <c r="M1873" s="10" t="s">
        <v>1575</v>
      </c>
      <c r="N1873" s="10" t="s">
        <v>1575</v>
      </c>
      <c r="O1873" s="10">
        <v>13.826000000000001</v>
      </c>
      <c r="P1873" s="10">
        <f t="shared" si="2349"/>
        <v>48.803388633956942</v>
      </c>
      <c r="Q1873" s="10" t="str">
        <f t="shared" si="2350"/>
        <v>NA</v>
      </c>
      <c r="R1873" s="10" t="s">
        <v>1575</v>
      </c>
      <c r="S1873" s="10" t="s">
        <v>1575</v>
      </c>
      <c r="T1873" s="10" t="s">
        <v>1575</v>
      </c>
      <c r="U1873" s="10" t="s">
        <v>1575</v>
      </c>
      <c r="V1873" s="10" t="s">
        <v>1575</v>
      </c>
      <c r="W1873" s="10" t="s">
        <v>1575</v>
      </c>
      <c r="X1873" s="10" t="str">
        <f t="shared" si="2340"/>
        <v>NA</v>
      </c>
      <c r="Y1873" s="10" t="str">
        <f t="shared" si="2341"/>
        <v>NA</v>
      </c>
      <c r="Z1873" s="10" t="str">
        <f t="shared" si="2342"/>
        <v>NA</v>
      </c>
      <c r="AA1873" s="10" t="str">
        <f t="shared" si="2343"/>
        <v>NA</v>
      </c>
      <c r="AB1873" s="10" t="str">
        <f t="shared" si="2344"/>
        <v>NA</v>
      </c>
      <c r="AC1873" s="10" t="str">
        <f t="shared" si="2345"/>
        <v>NA</v>
      </c>
      <c r="AD1873" s="10" t="str">
        <f t="shared" si="2346"/>
        <v>NA</v>
      </c>
      <c r="AE1873" s="10" t="str">
        <f t="shared" si="2347"/>
        <v>NA</v>
      </c>
    </row>
    <row r="1874" spans="1:32" x14ac:dyDescent="0.2">
      <c r="A1874" s="1" t="s">
        <v>346</v>
      </c>
      <c r="B1874" s="1" t="s">
        <v>5</v>
      </c>
      <c r="C1874" s="1" t="s">
        <v>1575</v>
      </c>
      <c r="D1874" s="1" t="s">
        <v>1595</v>
      </c>
      <c r="E1874" s="16" t="s">
        <v>9208</v>
      </c>
      <c r="F1874" s="1" t="s">
        <v>1947</v>
      </c>
      <c r="G1874" s="4">
        <v>0.7167</v>
      </c>
      <c r="H1874" s="28">
        <v>40602</v>
      </c>
      <c r="I1874" s="29">
        <f t="shared" si="2351"/>
        <v>2011</v>
      </c>
      <c r="J1874" s="1" t="s">
        <v>1937</v>
      </c>
      <c r="K1874" s="1" t="s">
        <v>348</v>
      </c>
      <c r="L1874" s="11" t="str">
        <f t="shared" si="2348"/>
        <v>НЕТ</v>
      </c>
      <c r="M1874" s="10">
        <v>951</v>
      </c>
      <c r="N1874" s="10" t="s">
        <v>1575</v>
      </c>
      <c r="O1874" s="10">
        <f>M1874*28.9405/1000</f>
        <v>27.522415499999997</v>
      </c>
      <c r="P1874" s="10">
        <f t="shared" si="2349"/>
        <v>38.401584344914184</v>
      </c>
      <c r="Q1874" s="10" t="str">
        <f t="shared" si="2350"/>
        <v>NA</v>
      </c>
      <c r="R1874" s="10" t="s">
        <v>1575</v>
      </c>
      <c r="S1874" s="10" t="s">
        <v>1575</v>
      </c>
      <c r="T1874" s="10" t="s">
        <v>1575</v>
      </c>
      <c r="U1874" s="10" t="s">
        <v>1575</v>
      </c>
      <c r="V1874" s="10" t="s">
        <v>1575</v>
      </c>
      <c r="W1874" s="10" t="s">
        <v>1575</v>
      </c>
      <c r="X1874" s="10" t="str">
        <f t="shared" si="2340"/>
        <v>NA</v>
      </c>
      <c r="Y1874" s="10" t="str">
        <f t="shared" si="2341"/>
        <v>NA</v>
      </c>
      <c r="Z1874" s="10" t="str">
        <f t="shared" si="2342"/>
        <v>NA</v>
      </c>
      <c r="AA1874" s="10" t="str">
        <f t="shared" si="2343"/>
        <v>NA</v>
      </c>
      <c r="AB1874" s="10" t="str">
        <f t="shared" si="2344"/>
        <v>NA</v>
      </c>
      <c r="AC1874" s="10" t="str">
        <f t="shared" si="2345"/>
        <v>NA</v>
      </c>
      <c r="AD1874" s="10" t="str">
        <f t="shared" si="2346"/>
        <v>NA</v>
      </c>
      <c r="AE1874" s="10" t="str">
        <f t="shared" si="2347"/>
        <v>NA</v>
      </c>
    </row>
    <row r="1875" spans="1:32" x14ac:dyDescent="0.2">
      <c r="A1875" s="1" t="s">
        <v>349</v>
      </c>
      <c r="B1875" s="1" t="s">
        <v>5</v>
      </c>
      <c r="C1875" s="1" t="s">
        <v>1575</v>
      </c>
      <c r="D1875" s="1" t="s">
        <v>1595</v>
      </c>
      <c r="E1875" s="16" t="s">
        <v>9208</v>
      </c>
      <c r="F1875" s="1" t="s">
        <v>1947</v>
      </c>
      <c r="G1875" s="4">
        <v>0.26</v>
      </c>
      <c r="H1875" s="28">
        <v>41090</v>
      </c>
      <c r="I1875" s="29">
        <f t="shared" si="2351"/>
        <v>2012</v>
      </c>
      <c r="J1875" s="1" t="s">
        <v>1937</v>
      </c>
      <c r="K1875" s="1" t="s">
        <v>350</v>
      </c>
      <c r="L1875" s="11" t="str">
        <f t="shared" si="2348"/>
        <v>НЕТ</v>
      </c>
      <c r="M1875" s="10" t="s">
        <v>1575</v>
      </c>
      <c r="N1875" s="10" t="s">
        <v>1575</v>
      </c>
      <c r="O1875" s="10">
        <v>1.8</v>
      </c>
      <c r="P1875" s="10">
        <f t="shared" si="2349"/>
        <v>6.9230769230769234</v>
      </c>
      <c r="Q1875" s="10" t="str">
        <f t="shared" si="2350"/>
        <v>NA</v>
      </c>
      <c r="R1875" s="10" t="s">
        <v>1575</v>
      </c>
      <c r="S1875" s="10" t="s">
        <v>1575</v>
      </c>
      <c r="T1875" s="10" t="s">
        <v>1575</v>
      </c>
      <c r="U1875" s="10" t="s">
        <v>1575</v>
      </c>
      <c r="V1875" s="10" t="s">
        <v>1575</v>
      </c>
      <c r="W1875" s="10" t="s">
        <v>1575</v>
      </c>
      <c r="X1875" s="10" t="str">
        <f t="shared" si="2340"/>
        <v>NA</v>
      </c>
      <c r="Y1875" s="10" t="str">
        <f t="shared" si="2341"/>
        <v>NA</v>
      </c>
      <c r="Z1875" s="10" t="str">
        <f t="shared" si="2342"/>
        <v>NA</v>
      </c>
      <c r="AA1875" s="10" t="str">
        <f t="shared" si="2343"/>
        <v>NA</v>
      </c>
      <c r="AB1875" s="10" t="str">
        <f t="shared" si="2344"/>
        <v>NA</v>
      </c>
      <c r="AC1875" s="10" t="str">
        <f t="shared" si="2345"/>
        <v>NA</v>
      </c>
      <c r="AD1875" s="10" t="str">
        <f t="shared" si="2346"/>
        <v>NA</v>
      </c>
      <c r="AE1875" s="10" t="str">
        <f t="shared" si="2347"/>
        <v>NA</v>
      </c>
      <c r="AF1875" s="1" t="s">
        <v>351</v>
      </c>
    </row>
    <row r="1876" spans="1:32" x14ac:dyDescent="0.2">
      <c r="A1876" s="1" t="s">
        <v>6167</v>
      </c>
      <c r="B1876" s="1" t="s">
        <v>5</v>
      </c>
      <c r="C1876" s="1" t="s">
        <v>1575</v>
      </c>
      <c r="D1876" s="1" t="s">
        <v>1595</v>
      </c>
      <c r="E1876" s="1" t="s">
        <v>1596</v>
      </c>
      <c r="F1876" s="1" t="s">
        <v>1973</v>
      </c>
      <c r="G1876" s="4">
        <v>1</v>
      </c>
      <c r="H1876" s="28">
        <v>41121</v>
      </c>
      <c r="I1876" s="29">
        <f t="shared" si="2351"/>
        <v>2012</v>
      </c>
      <c r="J1876" s="1" t="s">
        <v>1937</v>
      </c>
      <c r="K1876" s="1" t="s">
        <v>6168</v>
      </c>
      <c r="L1876" s="11" t="str">
        <f t="shared" si="2348"/>
        <v>НЕТ</v>
      </c>
      <c r="M1876" s="10" t="s">
        <v>1575</v>
      </c>
      <c r="N1876" s="10" t="s">
        <v>1575</v>
      </c>
      <c r="O1876" s="10" t="s">
        <v>1575</v>
      </c>
      <c r="P1876" s="10" t="str">
        <f t="shared" si="2349"/>
        <v>NA</v>
      </c>
      <c r="Q1876" s="10" t="str">
        <f t="shared" si="2350"/>
        <v>NA</v>
      </c>
      <c r="R1876" s="10" t="s">
        <v>1575</v>
      </c>
      <c r="S1876" s="10" t="s">
        <v>1575</v>
      </c>
      <c r="T1876" s="10" t="s">
        <v>1575</v>
      </c>
      <c r="U1876" s="10" t="s">
        <v>1575</v>
      </c>
      <c r="V1876" s="10">
        <v>9.3000000000000007</v>
      </c>
      <c r="W1876" s="10" t="s">
        <v>1575</v>
      </c>
      <c r="X1876" s="10" t="str">
        <f t="shared" si="2340"/>
        <v>NA</v>
      </c>
      <c r="Y1876" s="10" t="str">
        <f t="shared" si="2341"/>
        <v>NA</v>
      </c>
      <c r="Z1876" s="10" t="str">
        <f t="shared" si="2342"/>
        <v>NA</v>
      </c>
      <c r="AA1876" s="10" t="str">
        <f t="shared" si="2343"/>
        <v>NA</v>
      </c>
      <c r="AB1876" s="10" t="str">
        <f t="shared" si="2344"/>
        <v>NA</v>
      </c>
      <c r="AC1876" s="10" t="str">
        <f t="shared" si="2345"/>
        <v>NA</v>
      </c>
      <c r="AD1876" s="10" t="str">
        <f t="shared" si="2346"/>
        <v>NA</v>
      </c>
      <c r="AE1876" s="10" t="str">
        <f t="shared" si="2347"/>
        <v>NA</v>
      </c>
      <c r="AF1876" s="1" t="s">
        <v>1972</v>
      </c>
    </row>
    <row r="1877" spans="1:32" x14ac:dyDescent="0.2">
      <c r="A1877" s="1" t="s">
        <v>1975</v>
      </c>
      <c r="B1877" s="1" t="s">
        <v>5</v>
      </c>
      <c r="C1877" s="1" t="s">
        <v>1575</v>
      </c>
      <c r="D1877" s="1" t="s">
        <v>1595</v>
      </c>
      <c r="E1877" s="1" t="s">
        <v>1698</v>
      </c>
      <c r="F1877" s="1" t="s">
        <v>1976</v>
      </c>
      <c r="G1877" s="4" t="s">
        <v>1575</v>
      </c>
      <c r="H1877" s="28">
        <v>41274</v>
      </c>
      <c r="I1877" s="29">
        <f t="shared" si="2351"/>
        <v>2012</v>
      </c>
      <c r="J1877" s="1" t="s">
        <v>1937</v>
      </c>
      <c r="K1877" s="1" t="s">
        <v>7</v>
      </c>
      <c r="L1877" s="11" t="str">
        <f t="shared" si="2348"/>
        <v>НЕТ</v>
      </c>
      <c r="M1877" s="10" t="s">
        <v>1575</v>
      </c>
      <c r="N1877" s="10" t="s">
        <v>1575</v>
      </c>
      <c r="O1877" s="10">
        <v>1.72</v>
      </c>
      <c r="P1877" s="10" t="str">
        <f t="shared" si="2349"/>
        <v>NA</v>
      </c>
      <c r="Q1877" s="10" t="str">
        <f t="shared" si="2350"/>
        <v>NA</v>
      </c>
      <c r="R1877" s="10" t="s">
        <v>1575</v>
      </c>
      <c r="S1877" s="10" t="s">
        <v>1575</v>
      </c>
      <c r="T1877" s="10" t="s">
        <v>1575</v>
      </c>
      <c r="U1877" s="10" t="s">
        <v>1575</v>
      </c>
      <c r="V1877" s="10" t="s">
        <v>1575</v>
      </c>
      <c r="W1877" s="10" t="s">
        <v>1575</v>
      </c>
      <c r="X1877" s="10" t="str">
        <f t="shared" si="2340"/>
        <v>NA</v>
      </c>
      <c r="Y1877" s="10" t="str">
        <f t="shared" si="2341"/>
        <v>NA</v>
      </c>
      <c r="Z1877" s="10" t="str">
        <f t="shared" si="2342"/>
        <v>NA</v>
      </c>
      <c r="AA1877" s="10" t="str">
        <f t="shared" si="2343"/>
        <v>NA</v>
      </c>
      <c r="AB1877" s="10" t="str">
        <f t="shared" si="2344"/>
        <v>NA</v>
      </c>
      <c r="AC1877" s="10" t="str">
        <f t="shared" si="2345"/>
        <v>NA</v>
      </c>
      <c r="AD1877" s="10" t="str">
        <f t="shared" si="2346"/>
        <v>NA</v>
      </c>
      <c r="AE1877" s="10" t="str">
        <f t="shared" si="2347"/>
        <v>NA</v>
      </c>
      <c r="AF1877" s="1" t="s">
        <v>1988</v>
      </c>
    </row>
    <row r="1878" spans="1:32" x14ac:dyDescent="0.2">
      <c r="A1878" s="1" t="s">
        <v>1975</v>
      </c>
      <c r="B1878" s="1" t="s">
        <v>5</v>
      </c>
      <c r="C1878" s="1" t="s">
        <v>1575</v>
      </c>
      <c r="D1878" s="1" t="s">
        <v>1595</v>
      </c>
      <c r="E1878" s="1" t="s">
        <v>1698</v>
      </c>
      <c r="F1878" s="1" t="s">
        <v>1976</v>
      </c>
      <c r="G1878" s="4" t="s">
        <v>673</v>
      </c>
      <c r="H1878" s="28">
        <v>40451</v>
      </c>
      <c r="I1878" s="29">
        <f t="shared" si="2351"/>
        <v>2010</v>
      </c>
      <c r="J1878" s="1" t="s">
        <v>1937</v>
      </c>
      <c r="K1878" s="1" t="s">
        <v>7</v>
      </c>
      <c r="L1878" s="11" t="str">
        <f t="shared" si="2348"/>
        <v>НЕТ</v>
      </c>
      <c r="M1878" s="10" t="s">
        <v>1575</v>
      </c>
      <c r="N1878" s="10" t="s">
        <v>1575</v>
      </c>
      <c r="O1878" s="10">
        <v>26</v>
      </c>
      <c r="P1878" s="10" t="str">
        <f t="shared" si="2349"/>
        <v>NA</v>
      </c>
      <c r="Q1878" s="10" t="str">
        <f t="shared" si="2350"/>
        <v>NA</v>
      </c>
      <c r="R1878" s="10" t="s">
        <v>1575</v>
      </c>
      <c r="S1878" s="10" t="s">
        <v>1575</v>
      </c>
      <c r="T1878" s="10" t="s">
        <v>1575</v>
      </c>
      <c r="U1878" s="10" t="s">
        <v>1575</v>
      </c>
      <c r="V1878" s="10" t="s">
        <v>1575</v>
      </c>
      <c r="W1878" s="10" t="s">
        <v>1575</v>
      </c>
      <c r="X1878" s="10" t="str">
        <f t="shared" si="2340"/>
        <v>NA</v>
      </c>
      <c r="Y1878" s="10" t="str">
        <f t="shared" si="2341"/>
        <v>NA</v>
      </c>
      <c r="Z1878" s="10" t="str">
        <f t="shared" si="2342"/>
        <v>NA</v>
      </c>
      <c r="AA1878" s="10" t="str">
        <f t="shared" si="2343"/>
        <v>NA</v>
      </c>
      <c r="AB1878" s="10" t="str">
        <f t="shared" si="2344"/>
        <v>NA</v>
      </c>
      <c r="AC1878" s="10" t="str">
        <f t="shared" si="2345"/>
        <v>NA</v>
      </c>
      <c r="AD1878" s="10" t="str">
        <f t="shared" si="2346"/>
        <v>NA</v>
      </c>
      <c r="AE1878" s="10" t="str">
        <f t="shared" si="2347"/>
        <v>NA</v>
      </c>
      <c r="AF1878" s="1" t="s">
        <v>1977</v>
      </c>
    </row>
    <row r="1879" spans="1:32" x14ac:dyDescent="0.2">
      <c r="A1879" s="1" t="s">
        <v>6125</v>
      </c>
      <c r="B1879" s="1" t="s">
        <v>5</v>
      </c>
      <c r="C1879" s="1" t="s">
        <v>2206</v>
      </c>
      <c r="D1879" s="1" t="s">
        <v>1595</v>
      </c>
      <c r="E1879" s="1" t="s">
        <v>1810</v>
      </c>
      <c r="F1879" s="1" t="s">
        <v>1974</v>
      </c>
      <c r="G1879" s="4">
        <v>0.40160000000000001</v>
      </c>
      <c r="H1879" s="28">
        <v>40724</v>
      </c>
      <c r="I1879" s="29">
        <f t="shared" si="2351"/>
        <v>2011</v>
      </c>
      <c r="J1879" s="1" t="s">
        <v>1937</v>
      </c>
      <c r="K1879" s="1" t="s">
        <v>6169</v>
      </c>
      <c r="L1879" s="11" t="str">
        <f t="shared" si="2348"/>
        <v>НЕТ</v>
      </c>
      <c r="M1879" s="10" t="s">
        <v>1575</v>
      </c>
      <c r="N1879" s="10" t="s">
        <v>1575</v>
      </c>
      <c r="O1879" s="10">
        <v>3.64</v>
      </c>
      <c r="P1879" s="10">
        <f t="shared" si="2349"/>
        <v>9.0637450199203187</v>
      </c>
      <c r="Q1879" s="10" t="str">
        <f t="shared" si="2350"/>
        <v>NA</v>
      </c>
      <c r="R1879" s="10" t="s">
        <v>1575</v>
      </c>
      <c r="S1879" s="10" t="s">
        <v>1575</v>
      </c>
      <c r="T1879" s="10" t="s">
        <v>1575</v>
      </c>
      <c r="U1879" s="10" t="s">
        <v>1575</v>
      </c>
      <c r="V1879" s="10" t="s">
        <v>1575</v>
      </c>
      <c r="W1879" s="10" t="s">
        <v>1575</v>
      </c>
      <c r="X1879" s="10" t="str">
        <f t="shared" si="2340"/>
        <v>NA</v>
      </c>
      <c r="Y1879" s="10" t="str">
        <f t="shared" si="2341"/>
        <v>NA</v>
      </c>
      <c r="Z1879" s="10" t="str">
        <f t="shared" si="2342"/>
        <v>NA</v>
      </c>
      <c r="AA1879" s="10" t="str">
        <f t="shared" si="2343"/>
        <v>NA</v>
      </c>
      <c r="AB1879" s="10" t="str">
        <f t="shared" si="2344"/>
        <v>NA</v>
      </c>
      <c r="AC1879" s="10" t="str">
        <f t="shared" si="2345"/>
        <v>NA</v>
      </c>
      <c r="AD1879" s="10" t="str">
        <f t="shared" si="2346"/>
        <v>NA</v>
      </c>
      <c r="AE1879" s="10" t="str">
        <f t="shared" si="2347"/>
        <v>NA</v>
      </c>
      <c r="AF1879" s="1" t="s">
        <v>1980</v>
      </c>
    </row>
    <row r="1880" spans="1:32" x14ac:dyDescent="0.2">
      <c r="A1880" s="1" t="s">
        <v>352</v>
      </c>
      <c r="B1880" s="1" t="s">
        <v>5</v>
      </c>
      <c r="C1880" s="1" t="s">
        <v>1575</v>
      </c>
      <c r="D1880" s="1" t="s">
        <v>1595</v>
      </c>
      <c r="E1880" s="1" t="s">
        <v>1596</v>
      </c>
      <c r="F1880" s="1" t="s">
        <v>1973</v>
      </c>
      <c r="G1880" s="4">
        <v>1</v>
      </c>
      <c r="H1880" s="28">
        <v>40786</v>
      </c>
      <c r="I1880" s="29">
        <f t="shared" si="2351"/>
        <v>2011</v>
      </c>
      <c r="J1880" s="1" t="s">
        <v>1937</v>
      </c>
      <c r="K1880" s="1" t="s">
        <v>353</v>
      </c>
      <c r="L1880" s="11" t="str">
        <f t="shared" si="2348"/>
        <v>НЕТ</v>
      </c>
      <c r="M1880" s="10" t="s">
        <v>1575</v>
      </c>
      <c r="N1880" s="10" t="s">
        <v>1575</v>
      </c>
      <c r="O1880" s="10">
        <v>2.3220000000000001</v>
      </c>
      <c r="P1880" s="10">
        <f t="shared" si="2349"/>
        <v>2.3220000000000001</v>
      </c>
      <c r="Q1880" s="10" t="str">
        <f t="shared" si="2350"/>
        <v>NA</v>
      </c>
      <c r="R1880" s="10" t="s">
        <v>1575</v>
      </c>
      <c r="S1880" s="10" t="s">
        <v>1575</v>
      </c>
      <c r="T1880" s="10" t="s">
        <v>1575</v>
      </c>
      <c r="U1880" s="10" t="s">
        <v>1575</v>
      </c>
      <c r="V1880" s="10" t="s">
        <v>1575</v>
      </c>
      <c r="W1880" s="10" t="s">
        <v>1575</v>
      </c>
      <c r="X1880" s="10" t="str">
        <f t="shared" si="2340"/>
        <v>NA</v>
      </c>
      <c r="Y1880" s="10" t="str">
        <f t="shared" si="2341"/>
        <v>NA</v>
      </c>
      <c r="Z1880" s="10" t="str">
        <f t="shared" si="2342"/>
        <v>NA</v>
      </c>
      <c r="AA1880" s="10" t="str">
        <f t="shared" si="2343"/>
        <v>NA</v>
      </c>
      <c r="AB1880" s="10" t="str">
        <f t="shared" si="2344"/>
        <v>NA</v>
      </c>
      <c r="AC1880" s="10" t="str">
        <f t="shared" si="2345"/>
        <v>NA</v>
      </c>
      <c r="AD1880" s="10" t="str">
        <f t="shared" si="2346"/>
        <v>NA</v>
      </c>
      <c r="AE1880" s="10" t="str">
        <f t="shared" si="2347"/>
        <v>NA</v>
      </c>
      <c r="AF1880" s="1" t="s">
        <v>1983</v>
      </c>
    </row>
    <row r="1881" spans="1:32" x14ac:dyDescent="0.2">
      <c r="A1881" s="1" t="s">
        <v>354</v>
      </c>
      <c r="B1881" s="1" t="s">
        <v>5</v>
      </c>
      <c r="C1881" s="1" t="s">
        <v>1575</v>
      </c>
      <c r="D1881" s="1" t="s">
        <v>1595</v>
      </c>
      <c r="E1881" s="1" t="s">
        <v>1596</v>
      </c>
      <c r="F1881" s="1" t="s">
        <v>1973</v>
      </c>
      <c r="G1881" s="4">
        <v>0.49</v>
      </c>
      <c r="H1881" s="28">
        <v>40816</v>
      </c>
      <c r="I1881" s="29">
        <f t="shared" si="2351"/>
        <v>2011</v>
      </c>
      <c r="J1881" s="1" t="s">
        <v>1937</v>
      </c>
      <c r="K1881" s="1" t="s">
        <v>353</v>
      </c>
      <c r="L1881" s="11" t="str">
        <f t="shared" si="2348"/>
        <v>НЕТ</v>
      </c>
      <c r="M1881" s="10">
        <v>4</v>
      </c>
      <c r="N1881" s="10" t="s">
        <v>1575</v>
      </c>
      <c r="O1881" s="10">
        <f>M1881*31.8751/1000</f>
        <v>0.12750039999999999</v>
      </c>
      <c r="P1881" s="10">
        <f t="shared" si="2349"/>
        <v>0.26020489795918367</v>
      </c>
      <c r="Q1881" s="10" t="str">
        <f t="shared" si="2350"/>
        <v>NA</v>
      </c>
      <c r="R1881" s="10" t="s">
        <v>1575</v>
      </c>
      <c r="S1881" s="10" t="s">
        <v>1575</v>
      </c>
      <c r="T1881" s="10" t="s">
        <v>1575</v>
      </c>
      <c r="U1881" s="10" t="s">
        <v>1575</v>
      </c>
      <c r="V1881" s="10" t="s">
        <v>1575</v>
      </c>
      <c r="W1881" s="10" t="s">
        <v>1575</v>
      </c>
      <c r="X1881" s="10" t="str">
        <f t="shared" si="2340"/>
        <v>NA</v>
      </c>
      <c r="Y1881" s="10" t="str">
        <f t="shared" si="2341"/>
        <v>NA</v>
      </c>
      <c r="Z1881" s="10" t="str">
        <f t="shared" si="2342"/>
        <v>NA</v>
      </c>
      <c r="AA1881" s="10" t="str">
        <f t="shared" si="2343"/>
        <v>NA</v>
      </c>
      <c r="AB1881" s="10" t="str">
        <f t="shared" si="2344"/>
        <v>NA</v>
      </c>
      <c r="AC1881" s="10" t="str">
        <f t="shared" si="2345"/>
        <v>NA</v>
      </c>
      <c r="AD1881" s="10" t="str">
        <f t="shared" si="2346"/>
        <v>NA</v>
      </c>
      <c r="AE1881" s="10" t="str">
        <f t="shared" si="2347"/>
        <v>NA</v>
      </c>
      <c r="AF1881" s="1" t="s">
        <v>1984</v>
      </c>
    </row>
    <row r="1882" spans="1:32" x14ac:dyDescent="0.2">
      <c r="A1882" s="1" t="s">
        <v>355</v>
      </c>
      <c r="B1882" s="1" t="s">
        <v>5</v>
      </c>
      <c r="C1882" s="1" t="s">
        <v>1575</v>
      </c>
      <c r="D1882" s="1" t="s">
        <v>1582</v>
      </c>
      <c r="E1882" s="1" t="s">
        <v>2019</v>
      </c>
      <c r="F1882" s="1" t="s">
        <v>9201</v>
      </c>
      <c r="G1882" s="4">
        <v>0.49</v>
      </c>
      <c r="H1882" s="28">
        <v>40663</v>
      </c>
      <c r="I1882" s="29">
        <f t="shared" si="2351"/>
        <v>2011</v>
      </c>
      <c r="J1882" s="1" t="s">
        <v>1937</v>
      </c>
      <c r="K1882" s="1" t="s">
        <v>356</v>
      </c>
      <c r="L1882" s="11" t="str">
        <f t="shared" si="2348"/>
        <v>НЕТ</v>
      </c>
      <c r="M1882" s="10" t="s">
        <v>1575</v>
      </c>
      <c r="N1882" s="10" t="s">
        <v>1575</v>
      </c>
      <c r="O1882" s="10">
        <v>0.25</v>
      </c>
      <c r="P1882" s="10">
        <f t="shared" si="2349"/>
        <v>0.51020408163265307</v>
      </c>
      <c r="Q1882" s="10" t="str">
        <f t="shared" si="2350"/>
        <v>NA</v>
      </c>
      <c r="R1882" s="10" t="s">
        <v>1575</v>
      </c>
      <c r="S1882" s="10" t="s">
        <v>1575</v>
      </c>
      <c r="T1882" s="10" t="s">
        <v>1575</v>
      </c>
      <c r="U1882" s="10" t="s">
        <v>1575</v>
      </c>
      <c r="V1882" s="10" t="s">
        <v>1575</v>
      </c>
      <c r="W1882" s="10" t="s">
        <v>1575</v>
      </c>
      <c r="X1882" s="10" t="str">
        <f t="shared" si="2340"/>
        <v>NA</v>
      </c>
      <c r="Y1882" s="10" t="str">
        <f t="shared" si="2341"/>
        <v>NA</v>
      </c>
      <c r="Z1882" s="10" t="str">
        <f t="shared" si="2342"/>
        <v>NA</v>
      </c>
      <c r="AA1882" s="10" t="str">
        <f t="shared" si="2343"/>
        <v>NA</v>
      </c>
      <c r="AB1882" s="10" t="str">
        <f t="shared" si="2344"/>
        <v>NA</v>
      </c>
      <c r="AC1882" s="10" t="str">
        <f t="shared" si="2345"/>
        <v>NA</v>
      </c>
      <c r="AD1882" s="10" t="str">
        <f t="shared" si="2346"/>
        <v>NA</v>
      </c>
      <c r="AE1882" s="10" t="str">
        <f t="shared" si="2347"/>
        <v>NA</v>
      </c>
      <c r="AF1882" s="1" t="s">
        <v>1985</v>
      </c>
    </row>
    <row r="1883" spans="1:32" x14ac:dyDescent="0.2">
      <c r="A1883" s="1" t="s">
        <v>357</v>
      </c>
      <c r="B1883" s="1" t="s">
        <v>5</v>
      </c>
      <c r="C1883" s="1" t="s">
        <v>1575</v>
      </c>
      <c r="D1883" s="1" t="s">
        <v>1595</v>
      </c>
      <c r="E1883" s="1" t="s">
        <v>1810</v>
      </c>
      <c r="F1883" s="1" t="s">
        <v>1974</v>
      </c>
      <c r="G1883" s="4">
        <v>0.9819</v>
      </c>
      <c r="H1883" s="28">
        <v>40359</v>
      </c>
      <c r="I1883" s="29">
        <f t="shared" si="2351"/>
        <v>2010</v>
      </c>
      <c r="J1883" s="1" t="s">
        <v>1937</v>
      </c>
      <c r="K1883" s="1" t="s">
        <v>7</v>
      </c>
      <c r="L1883" s="11" t="str">
        <f t="shared" si="2348"/>
        <v>НЕТ</v>
      </c>
      <c r="M1883" s="10" t="s">
        <v>1575</v>
      </c>
      <c r="N1883" s="10" t="s">
        <v>1575</v>
      </c>
      <c r="O1883" s="10">
        <v>4.2830000000000004</v>
      </c>
      <c r="P1883" s="10">
        <f t="shared" si="2349"/>
        <v>4.3619513188715757</v>
      </c>
      <c r="Q1883" s="10" t="str">
        <f t="shared" si="2350"/>
        <v>NA</v>
      </c>
      <c r="R1883" s="10" t="s">
        <v>1575</v>
      </c>
      <c r="S1883" s="10" t="s">
        <v>1575</v>
      </c>
      <c r="T1883" s="10" t="s">
        <v>1575</v>
      </c>
      <c r="U1883" s="10" t="s">
        <v>1575</v>
      </c>
      <c r="V1883" s="10" t="s">
        <v>1575</v>
      </c>
      <c r="W1883" s="10" t="s">
        <v>1575</v>
      </c>
      <c r="X1883" s="10" t="str">
        <f t="shared" si="2340"/>
        <v>NA</v>
      </c>
      <c r="Y1883" s="10" t="str">
        <f t="shared" si="2341"/>
        <v>NA</v>
      </c>
      <c r="Z1883" s="10" t="str">
        <f t="shared" si="2342"/>
        <v>NA</v>
      </c>
      <c r="AA1883" s="10" t="str">
        <f t="shared" si="2343"/>
        <v>NA</v>
      </c>
      <c r="AB1883" s="10" t="str">
        <f t="shared" si="2344"/>
        <v>NA</v>
      </c>
      <c r="AC1883" s="10" t="str">
        <f t="shared" si="2345"/>
        <v>NA</v>
      </c>
      <c r="AD1883" s="10" t="str">
        <f t="shared" si="2346"/>
        <v>NA</v>
      </c>
      <c r="AE1883" s="10" t="str">
        <f t="shared" si="2347"/>
        <v>NA</v>
      </c>
      <c r="AF1883" s="1" t="s">
        <v>1986</v>
      </c>
    </row>
    <row r="1884" spans="1:32" x14ac:dyDescent="0.2">
      <c r="A1884" s="1" t="s">
        <v>6170</v>
      </c>
      <c r="B1884" s="1" t="s">
        <v>5</v>
      </c>
      <c r="C1884" s="1" t="s">
        <v>1575</v>
      </c>
      <c r="D1884" s="1" t="s">
        <v>1595</v>
      </c>
      <c r="E1884" s="1" t="s">
        <v>5352</v>
      </c>
      <c r="F1884" s="1" t="s">
        <v>244</v>
      </c>
      <c r="G1884" s="4">
        <v>1</v>
      </c>
      <c r="H1884" s="28">
        <v>40543</v>
      </c>
      <c r="I1884" s="29">
        <f t="shared" si="2351"/>
        <v>2010</v>
      </c>
      <c r="J1884" s="1" t="s">
        <v>1937</v>
      </c>
      <c r="K1884" s="1" t="s">
        <v>7</v>
      </c>
      <c r="L1884" s="11" t="str">
        <f t="shared" si="2348"/>
        <v>НЕТ</v>
      </c>
      <c r="M1884" s="10" t="s">
        <v>1575</v>
      </c>
      <c r="N1884" s="10" t="s">
        <v>1575</v>
      </c>
      <c r="O1884" s="10">
        <v>0.86299999999999999</v>
      </c>
      <c r="P1884" s="10">
        <f t="shared" si="2349"/>
        <v>0.86299999999999999</v>
      </c>
      <c r="Q1884" s="10" t="str">
        <f t="shared" si="2350"/>
        <v>NA</v>
      </c>
      <c r="R1884" s="10" t="s">
        <v>1575</v>
      </c>
      <c r="S1884" s="10" t="s">
        <v>1575</v>
      </c>
      <c r="T1884" s="10" t="s">
        <v>1575</v>
      </c>
      <c r="U1884" s="10" t="s">
        <v>1575</v>
      </c>
      <c r="V1884" s="10" t="s">
        <v>1575</v>
      </c>
      <c r="W1884" s="10" t="s">
        <v>1575</v>
      </c>
      <c r="X1884" s="10" t="str">
        <f t="shared" si="2340"/>
        <v>NA</v>
      </c>
      <c r="Y1884" s="10" t="str">
        <f t="shared" si="2341"/>
        <v>NA</v>
      </c>
      <c r="Z1884" s="10" t="str">
        <f t="shared" si="2342"/>
        <v>NA</v>
      </c>
      <c r="AA1884" s="10" t="str">
        <f t="shared" si="2343"/>
        <v>NA</v>
      </c>
      <c r="AB1884" s="10" t="str">
        <f t="shared" si="2344"/>
        <v>NA</v>
      </c>
      <c r="AC1884" s="10" t="str">
        <f t="shared" si="2345"/>
        <v>NA</v>
      </c>
      <c r="AD1884" s="10" t="str">
        <f t="shared" si="2346"/>
        <v>NA</v>
      </c>
      <c r="AE1884" s="10" t="str">
        <f t="shared" si="2347"/>
        <v>NA</v>
      </c>
      <c r="AF1884" s="1" t="s">
        <v>1987</v>
      </c>
    </row>
    <row r="1885" spans="1:32" x14ac:dyDescent="0.2">
      <c r="A1885" s="1" t="s">
        <v>6171</v>
      </c>
      <c r="B1885" s="1" t="s">
        <v>5</v>
      </c>
      <c r="C1885" s="1" t="s">
        <v>1575</v>
      </c>
      <c r="D1885" s="1" t="s">
        <v>1595</v>
      </c>
      <c r="E1885" s="1" t="s">
        <v>1810</v>
      </c>
      <c r="F1885" s="1" t="s">
        <v>1974</v>
      </c>
      <c r="G1885" s="4">
        <v>1</v>
      </c>
      <c r="H1885" s="28">
        <v>40025</v>
      </c>
      <c r="I1885" s="29">
        <f t="shared" si="2351"/>
        <v>2009</v>
      </c>
      <c r="J1885" s="1" t="s">
        <v>1937</v>
      </c>
      <c r="K1885" s="1" t="s">
        <v>7</v>
      </c>
      <c r="L1885" s="11" t="str">
        <f t="shared" si="2348"/>
        <v>НЕТ</v>
      </c>
      <c r="M1885" s="10" t="s">
        <v>1575</v>
      </c>
      <c r="N1885" s="10" t="s">
        <v>1575</v>
      </c>
      <c r="O1885" s="10">
        <v>0.35</v>
      </c>
      <c r="P1885" s="10">
        <f t="shared" si="2349"/>
        <v>0.35</v>
      </c>
      <c r="Q1885" s="10" t="str">
        <f t="shared" si="2350"/>
        <v>NA</v>
      </c>
      <c r="R1885" s="10" t="s">
        <v>1575</v>
      </c>
      <c r="S1885" s="10" t="s">
        <v>1575</v>
      </c>
      <c r="T1885" s="10" t="s">
        <v>1575</v>
      </c>
      <c r="U1885" s="10" t="s">
        <v>1575</v>
      </c>
      <c r="V1885" s="10" t="s">
        <v>1575</v>
      </c>
      <c r="W1885" s="10" t="s">
        <v>1575</v>
      </c>
      <c r="X1885" s="10" t="str">
        <f t="shared" si="2340"/>
        <v>NA</v>
      </c>
      <c r="Y1885" s="10" t="str">
        <f t="shared" si="2341"/>
        <v>NA</v>
      </c>
      <c r="Z1885" s="10" t="str">
        <f t="shared" si="2342"/>
        <v>NA</v>
      </c>
      <c r="AA1885" s="10" t="str">
        <f t="shared" si="2343"/>
        <v>NA</v>
      </c>
      <c r="AB1885" s="10" t="str">
        <f t="shared" si="2344"/>
        <v>NA</v>
      </c>
      <c r="AC1885" s="10" t="str">
        <f t="shared" si="2345"/>
        <v>NA</v>
      </c>
      <c r="AD1885" s="10" t="str">
        <f t="shared" si="2346"/>
        <v>NA</v>
      </c>
      <c r="AE1885" s="10" t="str">
        <f t="shared" si="2347"/>
        <v>NA</v>
      </c>
      <c r="AF1885" s="1" t="s">
        <v>1978</v>
      </c>
    </row>
    <row r="1886" spans="1:32" x14ac:dyDescent="0.2">
      <c r="A1886" s="1" t="s">
        <v>6172</v>
      </c>
      <c r="B1886" s="1" t="s">
        <v>5</v>
      </c>
      <c r="C1886" s="1" t="s">
        <v>1575</v>
      </c>
      <c r="D1886" s="1" t="s">
        <v>1582</v>
      </c>
      <c r="E1886" s="1" t="s">
        <v>2019</v>
      </c>
      <c r="F1886" s="1" t="s">
        <v>9201</v>
      </c>
      <c r="G1886" s="4">
        <v>1</v>
      </c>
      <c r="H1886" s="28">
        <v>40025</v>
      </c>
      <c r="I1886" s="29">
        <f t="shared" si="2351"/>
        <v>2009</v>
      </c>
      <c r="J1886" s="1" t="s">
        <v>1937</v>
      </c>
      <c r="K1886" s="1" t="s">
        <v>7</v>
      </c>
      <c r="L1886" s="11" t="str">
        <f t="shared" si="2348"/>
        <v>НЕТ</v>
      </c>
      <c r="M1886" s="10" t="s">
        <v>1575</v>
      </c>
      <c r="N1886" s="10" t="s">
        <v>1575</v>
      </c>
      <c r="O1886" s="10">
        <v>1.0000000000000001E-5</v>
      </c>
      <c r="P1886" s="10">
        <f t="shared" si="2349"/>
        <v>1.0000000000000001E-5</v>
      </c>
      <c r="Q1886" s="10" t="str">
        <f t="shared" si="2350"/>
        <v>NA</v>
      </c>
      <c r="R1886" s="10" t="s">
        <v>1575</v>
      </c>
      <c r="S1886" s="10" t="s">
        <v>1575</v>
      </c>
      <c r="T1886" s="10" t="s">
        <v>1575</v>
      </c>
      <c r="U1886" s="10" t="s">
        <v>1575</v>
      </c>
      <c r="V1886" s="10" t="s">
        <v>1575</v>
      </c>
      <c r="W1886" s="10" t="s">
        <v>1575</v>
      </c>
      <c r="X1886" s="10" t="str">
        <f t="shared" si="2340"/>
        <v>NA</v>
      </c>
      <c r="Y1886" s="10" t="str">
        <f t="shared" si="2341"/>
        <v>NA</v>
      </c>
      <c r="Z1886" s="10" t="str">
        <f t="shared" si="2342"/>
        <v>NA</v>
      </c>
      <c r="AA1886" s="10" t="str">
        <f t="shared" si="2343"/>
        <v>NA</v>
      </c>
      <c r="AB1886" s="10" t="str">
        <f t="shared" si="2344"/>
        <v>NA</v>
      </c>
      <c r="AC1886" s="10" t="str">
        <f t="shared" si="2345"/>
        <v>NA</v>
      </c>
      <c r="AD1886" s="10" t="str">
        <f t="shared" si="2346"/>
        <v>NA</v>
      </c>
      <c r="AE1886" s="10" t="str">
        <f t="shared" si="2347"/>
        <v>NA</v>
      </c>
      <c r="AF1886" s="1" t="s">
        <v>1979</v>
      </c>
    </row>
    <row r="1887" spans="1:32" x14ac:dyDescent="0.2">
      <c r="A1887" s="1" t="s">
        <v>6173</v>
      </c>
      <c r="B1887" s="1" t="s">
        <v>5</v>
      </c>
      <c r="C1887" s="1" t="s">
        <v>1575</v>
      </c>
      <c r="D1887" s="1" t="s">
        <v>1595</v>
      </c>
      <c r="E1887" s="1" t="s">
        <v>1810</v>
      </c>
      <c r="F1887" s="1" t="s">
        <v>1974</v>
      </c>
      <c r="G1887" s="4">
        <v>1</v>
      </c>
      <c r="H1887" s="28">
        <v>40178</v>
      </c>
      <c r="I1887" s="29">
        <f t="shared" si="2351"/>
        <v>2009</v>
      </c>
      <c r="J1887" s="1" t="s">
        <v>1937</v>
      </c>
      <c r="K1887" s="1" t="s">
        <v>7</v>
      </c>
      <c r="L1887" s="11" t="str">
        <f t="shared" si="2348"/>
        <v>НЕТ</v>
      </c>
      <c r="M1887" s="10" t="s">
        <v>1575</v>
      </c>
      <c r="N1887" s="10" t="s">
        <v>1575</v>
      </c>
      <c r="O1887" s="10">
        <v>0.13200000000000001</v>
      </c>
      <c r="P1887" s="10">
        <f t="shared" si="2349"/>
        <v>0.13200000000000001</v>
      </c>
      <c r="Q1887" s="10" t="str">
        <f t="shared" si="2350"/>
        <v>NA</v>
      </c>
      <c r="R1887" s="10" t="s">
        <v>1575</v>
      </c>
      <c r="S1887" s="10" t="s">
        <v>1575</v>
      </c>
      <c r="T1887" s="10" t="s">
        <v>1575</v>
      </c>
      <c r="U1887" s="10" t="s">
        <v>1575</v>
      </c>
      <c r="V1887" s="10" t="s">
        <v>1575</v>
      </c>
      <c r="W1887" s="10" t="s">
        <v>1575</v>
      </c>
      <c r="X1887" s="10" t="str">
        <f t="shared" si="2340"/>
        <v>NA</v>
      </c>
      <c r="Y1887" s="10" t="str">
        <f t="shared" si="2341"/>
        <v>NA</v>
      </c>
      <c r="Z1887" s="10" t="str">
        <f t="shared" si="2342"/>
        <v>NA</v>
      </c>
      <c r="AA1887" s="10" t="str">
        <f t="shared" si="2343"/>
        <v>NA</v>
      </c>
      <c r="AB1887" s="10" t="str">
        <f t="shared" si="2344"/>
        <v>NA</v>
      </c>
      <c r="AC1887" s="10" t="str">
        <f t="shared" si="2345"/>
        <v>NA</v>
      </c>
      <c r="AD1887" s="10" t="str">
        <f t="shared" si="2346"/>
        <v>NA</v>
      </c>
      <c r="AE1887" s="10" t="str">
        <f t="shared" si="2347"/>
        <v>NA</v>
      </c>
      <c r="AF1887" s="1" t="s">
        <v>1981</v>
      </c>
    </row>
    <row r="1888" spans="1:32" x14ac:dyDescent="0.2">
      <c r="A1888" s="5" t="s">
        <v>6174</v>
      </c>
      <c r="B1888" s="1" t="s">
        <v>5</v>
      </c>
      <c r="C1888" s="1" t="s">
        <v>1575</v>
      </c>
      <c r="D1888" s="1" t="s">
        <v>1595</v>
      </c>
      <c r="E1888" s="1" t="s">
        <v>1810</v>
      </c>
      <c r="F1888" s="1" t="s">
        <v>1974</v>
      </c>
      <c r="G1888" s="4">
        <v>0.49</v>
      </c>
      <c r="H1888" s="28">
        <v>40117</v>
      </c>
      <c r="I1888" s="29">
        <f t="shared" si="2351"/>
        <v>2009</v>
      </c>
      <c r="J1888" s="1" t="s">
        <v>6175</v>
      </c>
      <c r="K1888" s="1" t="s">
        <v>7</v>
      </c>
      <c r="L1888" s="11" t="str">
        <f t="shared" si="2348"/>
        <v>НЕТ</v>
      </c>
      <c r="M1888" s="10" t="s">
        <v>1575</v>
      </c>
      <c r="N1888" s="10" t="s">
        <v>1575</v>
      </c>
      <c r="O1888" s="10">
        <v>1.3180000000000001</v>
      </c>
      <c r="P1888" s="10">
        <f t="shared" si="2349"/>
        <v>2.6897959183673472</v>
      </c>
      <c r="Q1888" s="10" t="str">
        <f t="shared" si="2350"/>
        <v>NA</v>
      </c>
      <c r="R1888" s="10" t="s">
        <v>1575</v>
      </c>
      <c r="S1888" s="10" t="s">
        <v>1575</v>
      </c>
      <c r="T1888" s="10" t="s">
        <v>1575</v>
      </c>
      <c r="U1888" s="10" t="s">
        <v>1575</v>
      </c>
      <c r="V1888" s="10" t="s">
        <v>1575</v>
      </c>
      <c r="W1888" s="10" t="s">
        <v>1575</v>
      </c>
      <c r="X1888" s="10" t="str">
        <f t="shared" si="2340"/>
        <v>NA</v>
      </c>
      <c r="Y1888" s="10" t="str">
        <f t="shared" si="2341"/>
        <v>NA</v>
      </c>
      <c r="Z1888" s="10" t="str">
        <f t="shared" si="2342"/>
        <v>NA</v>
      </c>
      <c r="AA1888" s="10" t="str">
        <f t="shared" si="2343"/>
        <v>NA</v>
      </c>
      <c r="AB1888" s="10" t="str">
        <f t="shared" si="2344"/>
        <v>NA</v>
      </c>
      <c r="AC1888" s="10" t="str">
        <f t="shared" si="2345"/>
        <v>NA</v>
      </c>
      <c r="AD1888" s="10" t="str">
        <f t="shared" si="2346"/>
        <v>NA</v>
      </c>
      <c r="AE1888" s="10" t="str">
        <f t="shared" si="2347"/>
        <v>NA</v>
      </c>
      <c r="AF1888" s="1" t="s">
        <v>1982</v>
      </c>
    </row>
    <row r="1889" spans="1:32" x14ac:dyDescent="0.2">
      <c r="A1889" s="1" t="s">
        <v>6176</v>
      </c>
      <c r="B1889" s="1" t="s">
        <v>5</v>
      </c>
      <c r="C1889" s="1" t="s">
        <v>1575</v>
      </c>
      <c r="D1889" s="1" t="s">
        <v>1595</v>
      </c>
      <c r="E1889" s="16" t="s">
        <v>9208</v>
      </c>
      <c r="F1889" s="1" t="s">
        <v>1947</v>
      </c>
      <c r="G1889" s="4">
        <v>0.68400000000000005</v>
      </c>
      <c r="H1889" s="28">
        <v>39538</v>
      </c>
      <c r="I1889" s="29">
        <f t="shared" si="2351"/>
        <v>2008</v>
      </c>
      <c r="J1889" s="1" t="s">
        <v>1937</v>
      </c>
      <c r="K1889" s="1" t="s">
        <v>6036</v>
      </c>
      <c r="L1889" s="11" t="str">
        <f t="shared" si="2348"/>
        <v>НЕТ</v>
      </c>
      <c r="M1889" s="10" t="s">
        <v>1575</v>
      </c>
      <c r="N1889" s="10" t="s">
        <v>1575</v>
      </c>
      <c r="O1889" s="10">
        <v>1.56</v>
      </c>
      <c r="P1889" s="10">
        <f t="shared" si="2349"/>
        <v>2.2807017543859649</v>
      </c>
      <c r="Q1889" s="10" t="str">
        <f t="shared" si="2350"/>
        <v>NA</v>
      </c>
      <c r="R1889" s="10" t="s">
        <v>1575</v>
      </c>
      <c r="S1889" s="10" t="s">
        <v>1575</v>
      </c>
      <c r="T1889" s="10" t="s">
        <v>1575</v>
      </c>
      <c r="U1889" s="10" t="s">
        <v>1575</v>
      </c>
      <c r="V1889" s="10" t="s">
        <v>1575</v>
      </c>
      <c r="W1889" s="10" t="s">
        <v>1575</v>
      </c>
      <c r="X1889" s="10" t="str">
        <f t="shared" ref="X1889:X1952" si="2352">IFERROR(V1889+W1889,"NA")</f>
        <v>NA</v>
      </c>
      <c r="Y1889" s="10" t="str">
        <f t="shared" ref="Y1889:Y1952" si="2353">IFERROR(P1889/R1889,"NA")</f>
        <v>NA</v>
      </c>
      <c r="Z1889" s="10" t="str">
        <f t="shared" ref="Z1889:Z1952" si="2354">IFERROR(P1889/U1889,"NA")</f>
        <v>NA</v>
      </c>
      <c r="AA1889" s="10" t="str">
        <f t="shared" ref="AA1889:AA1952" si="2355">IFERROR(P1889/V1889,"NA")</f>
        <v>NA</v>
      </c>
      <c r="AB1889" s="10" t="str">
        <f t="shared" ref="AB1889:AB1952" si="2356">IFERROR(Q1889/R1889,"NA")</f>
        <v>NA</v>
      </c>
      <c r="AC1889" s="10" t="str">
        <f t="shared" ref="AC1889:AC1952" si="2357">IFERROR(Q1889/S1889,"NA")</f>
        <v>NA</v>
      </c>
      <c r="AD1889" s="10" t="str">
        <f t="shared" ref="AD1889:AD1952" si="2358">IFERROR(Q1889/T1889,"NA")</f>
        <v>NA</v>
      </c>
      <c r="AE1889" s="10" t="str">
        <f t="shared" ref="AE1889:AE1952" si="2359">IFERROR(Q1889/X1889,"NA")</f>
        <v>NA</v>
      </c>
      <c r="AF1889" s="1" t="s">
        <v>358</v>
      </c>
    </row>
    <row r="1890" spans="1:32" x14ac:dyDescent="0.2">
      <c r="A1890" s="1" t="s">
        <v>6176</v>
      </c>
      <c r="B1890" s="1" t="s">
        <v>5</v>
      </c>
      <c r="C1890" s="1" t="s">
        <v>1575</v>
      </c>
      <c r="D1890" s="1" t="s">
        <v>1595</v>
      </c>
      <c r="E1890" s="16" t="s">
        <v>9208</v>
      </c>
      <c r="F1890" s="1" t="s">
        <v>1947</v>
      </c>
      <c r="G1890" s="4">
        <v>0.311</v>
      </c>
      <c r="H1890" s="28">
        <v>39538</v>
      </c>
      <c r="I1890" s="29">
        <f t="shared" si="2351"/>
        <v>2008</v>
      </c>
      <c r="J1890" s="1" t="s">
        <v>1937</v>
      </c>
      <c r="K1890" s="1" t="s">
        <v>7</v>
      </c>
      <c r="L1890" s="11" t="str">
        <f t="shared" si="2348"/>
        <v>НЕТ</v>
      </c>
      <c r="M1890" s="10" t="s">
        <v>1575</v>
      </c>
      <c r="N1890" s="10" t="s">
        <v>1575</v>
      </c>
      <c r="O1890" s="10">
        <v>0.49</v>
      </c>
      <c r="P1890" s="10">
        <f t="shared" si="2349"/>
        <v>1.5755627009646302</v>
      </c>
      <c r="Q1890" s="10" t="str">
        <f t="shared" si="2350"/>
        <v>NA</v>
      </c>
      <c r="R1890" s="10" t="s">
        <v>1575</v>
      </c>
      <c r="S1890" s="10" t="s">
        <v>1575</v>
      </c>
      <c r="T1890" s="10" t="s">
        <v>1575</v>
      </c>
      <c r="U1890" s="10" t="s">
        <v>1575</v>
      </c>
      <c r="V1890" s="10" t="s">
        <v>1575</v>
      </c>
      <c r="W1890" s="10" t="s">
        <v>1575</v>
      </c>
      <c r="X1890" s="10" t="str">
        <f t="shared" si="2352"/>
        <v>NA</v>
      </c>
      <c r="Y1890" s="10" t="str">
        <f t="shared" si="2353"/>
        <v>NA</v>
      </c>
      <c r="Z1890" s="10" t="str">
        <f t="shared" si="2354"/>
        <v>NA</v>
      </c>
      <c r="AA1890" s="10" t="str">
        <f t="shared" si="2355"/>
        <v>NA</v>
      </c>
      <c r="AB1890" s="10" t="str">
        <f t="shared" si="2356"/>
        <v>NA</v>
      </c>
      <c r="AC1890" s="10" t="str">
        <f t="shared" si="2357"/>
        <v>NA</v>
      </c>
      <c r="AD1890" s="10" t="str">
        <f t="shared" si="2358"/>
        <v>NA</v>
      </c>
      <c r="AE1890" s="10" t="str">
        <f t="shared" si="2359"/>
        <v>NA</v>
      </c>
    </row>
    <row r="1891" spans="1:32" x14ac:dyDescent="0.2">
      <c r="A1891" s="1" t="s">
        <v>6177</v>
      </c>
      <c r="B1891" s="1" t="s">
        <v>5</v>
      </c>
      <c r="C1891" s="1" t="s">
        <v>1575</v>
      </c>
      <c r="D1891" s="1" t="s">
        <v>1595</v>
      </c>
      <c r="E1891" s="1" t="s">
        <v>5352</v>
      </c>
      <c r="F1891" s="1" t="s">
        <v>244</v>
      </c>
      <c r="G1891" s="4">
        <v>1</v>
      </c>
      <c r="H1891" s="28">
        <v>41486</v>
      </c>
      <c r="I1891" s="29">
        <f t="shared" si="2351"/>
        <v>2013</v>
      </c>
      <c r="J1891" s="1" t="s">
        <v>2046</v>
      </c>
      <c r="K1891" s="1" t="s">
        <v>7</v>
      </c>
      <c r="L1891" s="11" t="str">
        <f t="shared" si="2348"/>
        <v>НЕТ</v>
      </c>
      <c r="M1891" s="10" t="s">
        <v>1575</v>
      </c>
      <c r="N1891" s="10" t="s">
        <v>1575</v>
      </c>
      <c r="O1891" s="10">
        <v>0.75</v>
      </c>
      <c r="P1891" s="10">
        <f t="shared" si="2349"/>
        <v>0.75</v>
      </c>
      <c r="Q1891" s="10" t="str">
        <f t="shared" si="2350"/>
        <v>NA</v>
      </c>
      <c r="R1891" s="10" t="s">
        <v>1575</v>
      </c>
      <c r="S1891" s="10" t="s">
        <v>1575</v>
      </c>
      <c r="T1891" s="10" t="s">
        <v>1575</v>
      </c>
      <c r="U1891" s="10" t="s">
        <v>1575</v>
      </c>
      <c r="V1891" s="10" t="s">
        <v>1575</v>
      </c>
      <c r="W1891" s="10" t="s">
        <v>1575</v>
      </c>
      <c r="X1891" s="10" t="str">
        <f t="shared" si="2352"/>
        <v>NA</v>
      </c>
      <c r="Y1891" s="10" t="str">
        <f t="shared" si="2353"/>
        <v>NA</v>
      </c>
      <c r="Z1891" s="10" t="str">
        <f t="shared" si="2354"/>
        <v>NA</v>
      </c>
      <c r="AA1891" s="10" t="str">
        <f t="shared" si="2355"/>
        <v>NA</v>
      </c>
      <c r="AB1891" s="10" t="str">
        <f t="shared" si="2356"/>
        <v>NA</v>
      </c>
      <c r="AC1891" s="10" t="str">
        <f t="shared" si="2357"/>
        <v>NA</v>
      </c>
      <c r="AD1891" s="10" t="str">
        <f t="shared" si="2358"/>
        <v>NA</v>
      </c>
      <c r="AE1891" s="10" t="str">
        <f t="shared" si="2359"/>
        <v>NA</v>
      </c>
    </row>
    <row r="1892" spans="1:32" x14ac:dyDescent="0.2">
      <c r="A1892" s="1" t="s">
        <v>6178</v>
      </c>
      <c r="B1892" s="1" t="s">
        <v>5</v>
      </c>
      <c r="C1892" s="1" t="s">
        <v>1575</v>
      </c>
      <c r="D1892" s="1" t="s">
        <v>1595</v>
      </c>
      <c r="E1892" s="1" t="s">
        <v>5352</v>
      </c>
      <c r="F1892" s="1" t="s">
        <v>244</v>
      </c>
      <c r="G1892" s="4">
        <v>1</v>
      </c>
      <c r="H1892" s="28">
        <v>40633</v>
      </c>
      <c r="I1892" s="29">
        <f t="shared" si="2351"/>
        <v>2011</v>
      </c>
      <c r="J1892" s="1" t="s">
        <v>2046</v>
      </c>
      <c r="K1892" s="1" t="s">
        <v>7</v>
      </c>
      <c r="L1892" s="11" t="str">
        <f t="shared" si="2348"/>
        <v>НЕТ</v>
      </c>
      <c r="M1892" s="10" t="s">
        <v>1575</v>
      </c>
      <c r="N1892" s="10" t="s">
        <v>1575</v>
      </c>
      <c r="O1892" s="10">
        <v>6.3737000000000002E-2</v>
      </c>
      <c r="P1892" s="10">
        <f t="shared" si="2349"/>
        <v>6.3737000000000002E-2</v>
      </c>
      <c r="Q1892" s="10" t="str">
        <f t="shared" si="2350"/>
        <v>NA</v>
      </c>
      <c r="R1892" s="10" t="s">
        <v>1575</v>
      </c>
      <c r="S1892" s="10" t="s">
        <v>1575</v>
      </c>
      <c r="T1892" s="10" t="s">
        <v>1575</v>
      </c>
      <c r="U1892" s="10" t="s">
        <v>1575</v>
      </c>
      <c r="V1892" s="10" t="s">
        <v>1575</v>
      </c>
      <c r="W1892" s="10" t="s">
        <v>1575</v>
      </c>
      <c r="X1892" s="10" t="str">
        <f t="shared" si="2352"/>
        <v>NA</v>
      </c>
      <c r="Y1892" s="10" t="str">
        <f t="shared" si="2353"/>
        <v>NA</v>
      </c>
      <c r="Z1892" s="10" t="str">
        <f t="shared" si="2354"/>
        <v>NA</v>
      </c>
      <c r="AA1892" s="10" t="str">
        <f t="shared" si="2355"/>
        <v>NA</v>
      </c>
      <c r="AB1892" s="10" t="str">
        <f t="shared" si="2356"/>
        <v>NA</v>
      </c>
      <c r="AC1892" s="10" t="str">
        <f t="shared" si="2357"/>
        <v>NA</v>
      </c>
      <c r="AD1892" s="10" t="str">
        <f t="shared" si="2358"/>
        <v>NA</v>
      </c>
      <c r="AE1892" s="10" t="str">
        <f t="shared" si="2359"/>
        <v>NA</v>
      </c>
    </row>
    <row r="1893" spans="1:32" x14ac:dyDescent="0.2">
      <c r="A1893" s="1" t="s">
        <v>6179</v>
      </c>
      <c r="B1893" s="1" t="s">
        <v>5</v>
      </c>
      <c r="C1893" s="1" t="s">
        <v>1575</v>
      </c>
      <c r="D1893" s="1" t="s">
        <v>1595</v>
      </c>
      <c r="E1893" s="1" t="s">
        <v>5352</v>
      </c>
      <c r="F1893" s="1" t="s">
        <v>244</v>
      </c>
      <c r="G1893" s="4">
        <v>0.95</v>
      </c>
      <c r="H1893" s="28">
        <v>40633</v>
      </c>
      <c r="I1893" s="29">
        <f t="shared" si="2351"/>
        <v>2011</v>
      </c>
      <c r="J1893" s="1" t="s">
        <v>2046</v>
      </c>
      <c r="K1893" s="1" t="s">
        <v>7</v>
      </c>
      <c r="L1893" s="11" t="str">
        <f t="shared" si="2348"/>
        <v>НЕТ</v>
      </c>
      <c r="M1893" s="10" t="s">
        <v>1575</v>
      </c>
      <c r="N1893" s="10" t="s">
        <v>1575</v>
      </c>
      <c r="O1893" s="10">
        <v>3.0428E-2</v>
      </c>
      <c r="P1893" s="10">
        <f t="shared" si="2349"/>
        <v>3.2029473684210531E-2</v>
      </c>
      <c r="Q1893" s="10" t="str">
        <f t="shared" si="2350"/>
        <v>NA</v>
      </c>
      <c r="R1893" s="10" t="s">
        <v>1575</v>
      </c>
      <c r="S1893" s="10" t="s">
        <v>1575</v>
      </c>
      <c r="T1893" s="10" t="s">
        <v>1575</v>
      </c>
      <c r="U1893" s="10" t="s">
        <v>1575</v>
      </c>
      <c r="V1893" s="10" t="s">
        <v>1575</v>
      </c>
      <c r="W1893" s="10" t="s">
        <v>1575</v>
      </c>
      <c r="X1893" s="10" t="str">
        <f t="shared" si="2352"/>
        <v>NA</v>
      </c>
      <c r="Y1893" s="10" t="str">
        <f t="shared" si="2353"/>
        <v>NA</v>
      </c>
      <c r="Z1893" s="10" t="str">
        <f t="shared" si="2354"/>
        <v>NA</v>
      </c>
      <c r="AA1893" s="10" t="str">
        <f t="shared" si="2355"/>
        <v>NA</v>
      </c>
      <c r="AB1893" s="10" t="str">
        <f t="shared" si="2356"/>
        <v>NA</v>
      </c>
      <c r="AC1893" s="10" t="str">
        <f t="shared" si="2357"/>
        <v>NA</v>
      </c>
      <c r="AD1893" s="10" t="str">
        <f t="shared" si="2358"/>
        <v>NA</v>
      </c>
      <c r="AE1893" s="10" t="str">
        <f t="shared" si="2359"/>
        <v>NA</v>
      </c>
    </row>
    <row r="1894" spans="1:32" x14ac:dyDescent="0.2">
      <c r="A1894" s="1" t="s">
        <v>6180</v>
      </c>
      <c r="B1894" s="1" t="s">
        <v>5</v>
      </c>
      <c r="C1894" s="1" t="s">
        <v>1575</v>
      </c>
      <c r="D1894" s="1" t="s">
        <v>1595</v>
      </c>
      <c r="E1894" s="1" t="s">
        <v>5352</v>
      </c>
      <c r="F1894" s="1" t="s">
        <v>244</v>
      </c>
      <c r="G1894" s="4">
        <v>1</v>
      </c>
      <c r="H1894" s="28">
        <v>40574</v>
      </c>
      <c r="I1894" s="29">
        <f t="shared" si="2351"/>
        <v>2011</v>
      </c>
      <c r="J1894" s="1" t="s">
        <v>2046</v>
      </c>
      <c r="K1894" s="1" t="s">
        <v>7</v>
      </c>
      <c r="L1894" s="11" t="str">
        <f t="shared" si="2348"/>
        <v>НЕТ</v>
      </c>
      <c r="M1894" s="10" t="s">
        <v>1575</v>
      </c>
      <c r="N1894" s="10" t="s">
        <v>1575</v>
      </c>
      <c r="O1894" s="10">
        <v>4.0959999999999998E-3</v>
      </c>
      <c r="P1894" s="10">
        <f t="shared" si="2349"/>
        <v>4.0959999999999998E-3</v>
      </c>
      <c r="Q1894" s="10" t="str">
        <f t="shared" si="2350"/>
        <v>NA</v>
      </c>
      <c r="R1894" s="10" t="s">
        <v>1575</v>
      </c>
      <c r="S1894" s="10" t="s">
        <v>1575</v>
      </c>
      <c r="T1894" s="10" t="s">
        <v>1575</v>
      </c>
      <c r="U1894" s="10" t="s">
        <v>1575</v>
      </c>
      <c r="V1894" s="10" t="s">
        <v>1575</v>
      </c>
      <c r="W1894" s="10" t="s">
        <v>1575</v>
      </c>
      <c r="X1894" s="10" t="str">
        <f t="shared" si="2352"/>
        <v>NA</v>
      </c>
      <c r="Y1894" s="10" t="str">
        <f t="shared" si="2353"/>
        <v>NA</v>
      </c>
      <c r="Z1894" s="10" t="str">
        <f t="shared" si="2354"/>
        <v>NA</v>
      </c>
      <c r="AA1894" s="10" t="str">
        <f t="shared" si="2355"/>
        <v>NA</v>
      </c>
      <c r="AB1894" s="10" t="str">
        <f t="shared" si="2356"/>
        <v>NA</v>
      </c>
      <c r="AC1894" s="10" t="str">
        <f t="shared" si="2357"/>
        <v>NA</v>
      </c>
      <c r="AD1894" s="10" t="str">
        <f t="shared" si="2358"/>
        <v>NA</v>
      </c>
      <c r="AE1894" s="10" t="str">
        <f t="shared" si="2359"/>
        <v>NA</v>
      </c>
    </row>
    <row r="1895" spans="1:32" x14ac:dyDescent="0.2">
      <c r="A1895" s="1" t="s">
        <v>2193</v>
      </c>
      <c r="B1895" s="1" t="s">
        <v>1575</v>
      </c>
      <c r="C1895" s="1" t="s">
        <v>1575</v>
      </c>
      <c r="D1895" s="1" t="s">
        <v>1595</v>
      </c>
      <c r="E1895" s="1" t="s">
        <v>1698</v>
      </c>
      <c r="F1895" s="1" t="s">
        <v>2195</v>
      </c>
      <c r="G1895" s="4">
        <v>1</v>
      </c>
      <c r="H1895" s="28">
        <v>44135</v>
      </c>
      <c r="I1895" s="29">
        <f t="shared" si="2351"/>
        <v>2020</v>
      </c>
      <c r="J1895" s="1" t="s">
        <v>6181</v>
      </c>
      <c r="K1895" s="1" t="s">
        <v>2197</v>
      </c>
      <c r="L1895" s="11" t="str">
        <f t="shared" si="2348"/>
        <v>НЕТ</v>
      </c>
      <c r="M1895" s="10" t="s">
        <v>1575</v>
      </c>
      <c r="N1895" s="10" t="s">
        <v>1575</v>
      </c>
      <c r="O1895" s="10">
        <v>0.34499999999999997</v>
      </c>
      <c r="P1895" s="10">
        <f t="shared" si="2349"/>
        <v>0.34499999999999997</v>
      </c>
      <c r="Q1895" s="10" t="str">
        <f t="shared" si="2350"/>
        <v>NA</v>
      </c>
      <c r="R1895" s="10" t="s">
        <v>1575</v>
      </c>
      <c r="S1895" s="10" t="s">
        <v>1575</v>
      </c>
      <c r="T1895" s="10" t="s">
        <v>1575</v>
      </c>
      <c r="U1895" s="10" t="s">
        <v>1575</v>
      </c>
      <c r="V1895" s="10">
        <v>0.79359299999999999</v>
      </c>
      <c r="W1895" s="10" t="s">
        <v>1575</v>
      </c>
      <c r="X1895" s="10" t="str">
        <f t="shared" si="2352"/>
        <v>NA</v>
      </c>
      <c r="Y1895" s="10" t="str">
        <f t="shared" si="2353"/>
        <v>NA</v>
      </c>
      <c r="Z1895" s="10" t="str">
        <f t="shared" si="2354"/>
        <v>NA</v>
      </c>
      <c r="AA1895" s="10">
        <f t="shared" si="2355"/>
        <v>0.43473165715927431</v>
      </c>
      <c r="AB1895" s="10" t="str">
        <f t="shared" si="2356"/>
        <v>NA</v>
      </c>
      <c r="AC1895" s="10" t="str">
        <f t="shared" si="2357"/>
        <v>NA</v>
      </c>
      <c r="AD1895" s="10" t="str">
        <f t="shared" si="2358"/>
        <v>NA</v>
      </c>
      <c r="AE1895" s="10" t="str">
        <f t="shared" si="2359"/>
        <v>NA</v>
      </c>
      <c r="AF1895" s="1" t="s">
        <v>2196</v>
      </c>
    </row>
    <row r="1896" spans="1:32" x14ac:dyDescent="0.2">
      <c r="A1896" s="1" t="s">
        <v>2193</v>
      </c>
      <c r="B1896" s="1" t="s">
        <v>1575</v>
      </c>
      <c r="C1896" s="1" t="s">
        <v>1575</v>
      </c>
      <c r="D1896" s="1" t="s">
        <v>1595</v>
      </c>
      <c r="E1896" s="1" t="s">
        <v>1698</v>
      </c>
      <c r="F1896" s="1" t="s">
        <v>2195</v>
      </c>
      <c r="G1896" s="4">
        <v>1</v>
      </c>
      <c r="H1896" s="28">
        <v>43769</v>
      </c>
      <c r="I1896" s="29">
        <f t="shared" si="2351"/>
        <v>2019</v>
      </c>
      <c r="J1896" s="1" t="s">
        <v>2194</v>
      </c>
      <c r="K1896" s="1" t="s">
        <v>6181</v>
      </c>
      <c r="L1896" s="11" t="str">
        <f t="shared" si="2348"/>
        <v>НЕТ</v>
      </c>
      <c r="M1896" s="10" t="s">
        <v>1575</v>
      </c>
      <c r="N1896" s="10" t="s">
        <v>1575</v>
      </c>
      <c r="O1896" s="10">
        <v>0.34499999999999997</v>
      </c>
      <c r="P1896" s="10">
        <f t="shared" si="2349"/>
        <v>0.34499999999999997</v>
      </c>
      <c r="Q1896" s="10" t="str">
        <f t="shared" si="2350"/>
        <v>NA</v>
      </c>
      <c r="R1896" s="10" t="s">
        <v>1575</v>
      </c>
      <c r="S1896" s="10" t="s">
        <v>1575</v>
      </c>
      <c r="T1896" s="10" t="s">
        <v>1575</v>
      </c>
      <c r="U1896" s="10" t="s">
        <v>1575</v>
      </c>
      <c r="V1896" s="10">
        <v>0.56715899999999997</v>
      </c>
      <c r="W1896" s="10" t="s">
        <v>1575</v>
      </c>
      <c r="X1896" s="10" t="str">
        <f t="shared" si="2352"/>
        <v>NA</v>
      </c>
      <c r="Y1896" s="10" t="str">
        <f t="shared" si="2353"/>
        <v>NA</v>
      </c>
      <c r="Z1896" s="10" t="str">
        <f t="shared" si="2354"/>
        <v>NA</v>
      </c>
      <c r="AA1896" s="10">
        <f t="shared" si="2355"/>
        <v>0.60829502837828542</v>
      </c>
      <c r="AB1896" s="10" t="str">
        <f t="shared" si="2356"/>
        <v>NA</v>
      </c>
      <c r="AC1896" s="10" t="str">
        <f t="shared" si="2357"/>
        <v>NA</v>
      </c>
      <c r="AD1896" s="10" t="str">
        <f t="shared" si="2358"/>
        <v>NA</v>
      </c>
      <c r="AE1896" s="10" t="str">
        <f t="shared" si="2359"/>
        <v>NA</v>
      </c>
      <c r="AF1896" s="1" t="s">
        <v>2192</v>
      </c>
    </row>
    <row r="1897" spans="1:32" x14ac:dyDescent="0.2">
      <c r="A1897" s="1" t="s">
        <v>2210</v>
      </c>
      <c r="B1897" s="1" t="s">
        <v>1575</v>
      </c>
      <c r="C1897" s="1" t="s">
        <v>1575</v>
      </c>
      <c r="D1897" s="1" t="s">
        <v>1595</v>
      </c>
      <c r="E1897" s="16" t="s">
        <v>9208</v>
      </c>
      <c r="F1897" s="1" t="s">
        <v>1947</v>
      </c>
      <c r="G1897" s="4">
        <v>1</v>
      </c>
      <c r="H1897" s="28">
        <v>43039</v>
      </c>
      <c r="I1897" s="29">
        <f t="shared" si="2351"/>
        <v>2017</v>
      </c>
      <c r="J1897" s="1" t="s">
        <v>7</v>
      </c>
      <c r="K1897" s="1" t="s">
        <v>6181</v>
      </c>
      <c r="L1897" s="11" t="str">
        <f t="shared" si="2348"/>
        <v>НЕТ</v>
      </c>
      <c r="M1897" s="10" t="s">
        <v>1575</v>
      </c>
      <c r="N1897" s="10" t="s">
        <v>1575</v>
      </c>
      <c r="O1897" s="10">
        <v>0.96959300000000004</v>
      </c>
      <c r="P1897" s="10">
        <f t="shared" si="2349"/>
        <v>0.96959300000000004</v>
      </c>
      <c r="Q1897" s="10" t="str">
        <f t="shared" si="2350"/>
        <v>NA</v>
      </c>
      <c r="R1897" s="10" t="s">
        <v>1575</v>
      </c>
      <c r="S1897" s="10" t="s">
        <v>1575</v>
      </c>
      <c r="T1897" s="10" t="s">
        <v>1575</v>
      </c>
      <c r="U1897" s="10" t="s">
        <v>1575</v>
      </c>
      <c r="V1897" s="10">
        <v>0.47889399999999999</v>
      </c>
      <c r="W1897" s="10" t="s">
        <v>1575</v>
      </c>
      <c r="X1897" s="10" t="str">
        <f t="shared" si="2352"/>
        <v>NA</v>
      </c>
      <c r="Y1897" s="10" t="str">
        <f t="shared" si="2353"/>
        <v>NA</v>
      </c>
      <c r="Z1897" s="10" t="str">
        <f t="shared" si="2354"/>
        <v>NA</v>
      </c>
      <c r="AA1897" s="10">
        <f t="shared" si="2355"/>
        <v>2.0246505489732591</v>
      </c>
      <c r="AB1897" s="10" t="str">
        <f t="shared" si="2356"/>
        <v>NA</v>
      </c>
      <c r="AC1897" s="10" t="str">
        <f t="shared" si="2357"/>
        <v>NA</v>
      </c>
      <c r="AD1897" s="10" t="str">
        <f t="shared" si="2358"/>
        <v>NA</v>
      </c>
      <c r="AE1897" s="10" t="str">
        <f t="shared" si="2359"/>
        <v>NA</v>
      </c>
      <c r="AF1897" s="1" t="s">
        <v>2209</v>
      </c>
    </row>
    <row r="1898" spans="1:32" x14ac:dyDescent="0.2">
      <c r="A1898" s="1" t="s">
        <v>2212</v>
      </c>
      <c r="B1898" s="1" t="s">
        <v>1575</v>
      </c>
      <c r="C1898" s="1" t="s">
        <v>1575</v>
      </c>
      <c r="D1898" s="1" t="s">
        <v>1575</v>
      </c>
      <c r="E1898" s="1" t="s">
        <v>1575</v>
      </c>
      <c r="F1898" s="1" t="s">
        <v>1575</v>
      </c>
      <c r="G1898" s="4">
        <v>1</v>
      </c>
      <c r="H1898" s="28">
        <v>43039</v>
      </c>
      <c r="I1898" s="29">
        <f t="shared" si="2351"/>
        <v>2017</v>
      </c>
      <c r="J1898" s="1" t="s">
        <v>7</v>
      </c>
      <c r="K1898" s="1" t="s">
        <v>6181</v>
      </c>
      <c r="L1898" s="11" t="str">
        <f t="shared" si="2348"/>
        <v>НЕТ</v>
      </c>
      <c r="M1898" s="10" t="s">
        <v>1575</v>
      </c>
      <c r="N1898" s="10" t="s">
        <v>1575</v>
      </c>
      <c r="O1898" s="10">
        <v>0.35040700000000002</v>
      </c>
      <c r="P1898" s="10">
        <f t="shared" si="2349"/>
        <v>0.35040700000000002</v>
      </c>
      <c r="Q1898" s="10" t="str">
        <f t="shared" si="2350"/>
        <v>NA</v>
      </c>
      <c r="R1898" s="10" t="s">
        <v>1575</v>
      </c>
      <c r="S1898" s="10" t="s">
        <v>1575</v>
      </c>
      <c r="T1898" s="10" t="s">
        <v>1575</v>
      </c>
      <c r="U1898" s="10" t="s">
        <v>1575</v>
      </c>
      <c r="V1898" s="10">
        <v>0.17044999999999999</v>
      </c>
      <c r="W1898" s="10" t="s">
        <v>1575</v>
      </c>
      <c r="X1898" s="10" t="str">
        <f t="shared" si="2352"/>
        <v>NA</v>
      </c>
      <c r="Y1898" s="10" t="str">
        <f t="shared" si="2353"/>
        <v>NA</v>
      </c>
      <c r="Z1898" s="10" t="str">
        <f t="shared" si="2354"/>
        <v>NA</v>
      </c>
      <c r="AA1898" s="10">
        <f t="shared" si="2355"/>
        <v>2.0557758873569965</v>
      </c>
      <c r="AB1898" s="10" t="str">
        <f t="shared" si="2356"/>
        <v>NA</v>
      </c>
      <c r="AC1898" s="10" t="str">
        <f t="shared" si="2357"/>
        <v>NA</v>
      </c>
      <c r="AD1898" s="10" t="str">
        <f t="shared" si="2358"/>
        <v>NA</v>
      </c>
      <c r="AE1898" s="10" t="str">
        <f t="shared" si="2359"/>
        <v>NA</v>
      </c>
      <c r="AF1898" s="1" t="s">
        <v>2211</v>
      </c>
    </row>
    <row r="1899" spans="1:32" x14ac:dyDescent="0.2">
      <c r="A1899" s="1" t="s">
        <v>6182</v>
      </c>
      <c r="B1899" s="1" t="s">
        <v>1575</v>
      </c>
      <c r="C1899" s="1" t="s">
        <v>1575</v>
      </c>
      <c r="D1899" s="1" t="s">
        <v>1575</v>
      </c>
      <c r="E1899" s="1" t="s">
        <v>1575</v>
      </c>
      <c r="F1899" s="1" t="s">
        <v>1575</v>
      </c>
      <c r="G1899" s="4" t="s">
        <v>11</v>
      </c>
      <c r="H1899" s="28">
        <v>39741</v>
      </c>
      <c r="I1899" s="29">
        <f t="shared" si="2351"/>
        <v>2008</v>
      </c>
      <c r="J1899" s="1" t="s">
        <v>6183</v>
      </c>
      <c r="K1899" s="1" t="s">
        <v>7</v>
      </c>
      <c r="L1899" s="11" t="str">
        <f t="shared" si="2348"/>
        <v>НЕТ</v>
      </c>
      <c r="M1899" s="10" t="s">
        <v>1575</v>
      </c>
      <c r="N1899" s="10" t="s">
        <v>1575</v>
      </c>
      <c r="O1899" s="10">
        <v>0</v>
      </c>
      <c r="P1899" s="10" t="str">
        <f t="shared" si="2349"/>
        <v>NA</v>
      </c>
      <c r="Q1899" s="10" t="str">
        <f t="shared" si="2350"/>
        <v>NA</v>
      </c>
      <c r="R1899" s="10" t="s">
        <v>1575</v>
      </c>
      <c r="S1899" s="10" t="s">
        <v>1575</v>
      </c>
      <c r="T1899" s="10" t="s">
        <v>1575</v>
      </c>
      <c r="U1899" s="10" t="s">
        <v>1575</v>
      </c>
      <c r="V1899" s="10" t="s">
        <v>1575</v>
      </c>
      <c r="W1899" s="10" t="s">
        <v>1575</v>
      </c>
      <c r="X1899" s="10" t="str">
        <f t="shared" si="2352"/>
        <v>NA</v>
      </c>
      <c r="Y1899" s="10" t="str">
        <f t="shared" si="2353"/>
        <v>NA</v>
      </c>
      <c r="Z1899" s="10" t="str">
        <f t="shared" si="2354"/>
        <v>NA</v>
      </c>
      <c r="AA1899" s="10" t="str">
        <f t="shared" si="2355"/>
        <v>NA</v>
      </c>
      <c r="AB1899" s="10" t="str">
        <f t="shared" si="2356"/>
        <v>NA</v>
      </c>
      <c r="AC1899" s="10" t="str">
        <f t="shared" si="2357"/>
        <v>NA</v>
      </c>
      <c r="AD1899" s="10" t="str">
        <f t="shared" si="2358"/>
        <v>NA</v>
      </c>
      <c r="AE1899" s="10" t="str">
        <f t="shared" si="2359"/>
        <v>NA</v>
      </c>
      <c r="AF1899" s="1" t="s">
        <v>2218</v>
      </c>
    </row>
    <row r="1900" spans="1:32" x14ac:dyDescent="0.2">
      <c r="A1900" s="1" t="s">
        <v>6185</v>
      </c>
      <c r="B1900" s="1" t="s">
        <v>5</v>
      </c>
      <c r="C1900" s="1" t="s">
        <v>1575</v>
      </c>
      <c r="D1900" s="1" t="s">
        <v>1575</v>
      </c>
      <c r="E1900" s="1" t="s">
        <v>1575</v>
      </c>
      <c r="F1900" s="1" t="s">
        <v>1575</v>
      </c>
      <c r="G1900" s="4">
        <v>1</v>
      </c>
      <c r="H1900" s="28">
        <v>44255</v>
      </c>
      <c r="I1900" s="29">
        <f t="shared" si="2351"/>
        <v>2021</v>
      </c>
      <c r="J1900" s="1" t="s">
        <v>7</v>
      </c>
      <c r="K1900" s="1" t="s">
        <v>7182</v>
      </c>
      <c r="L1900" s="11" t="str">
        <f t="shared" si="2348"/>
        <v>НЕТ</v>
      </c>
      <c r="M1900" s="10" t="s">
        <v>1575</v>
      </c>
      <c r="N1900" s="10" t="s">
        <v>1575</v>
      </c>
      <c r="O1900" s="10" t="s">
        <v>1575</v>
      </c>
      <c r="P1900" s="10" t="str">
        <f t="shared" si="2349"/>
        <v>NA</v>
      </c>
      <c r="Q1900" s="10" t="str">
        <f t="shared" si="2350"/>
        <v>NA</v>
      </c>
      <c r="R1900" s="10" t="s">
        <v>1575</v>
      </c>
      <c r="S1900" s="10" t="s">
        <v>1575</v>
      </c>
      <c r="T1900" s="10" t="s">
        <v>1575</v>
      </c>
      <c r="U1900" s="10" t="s">
        <v>1575</v>
      </c>
      <c r="V1900" s="10" t="s">
        <v>1575</v>
      </c>
      <c r="W1900" s="10" t="s">
        <v>1575</v>
      </c>
      <c r="X1900" s="10" t="str">
        <f t="shared" si="2352"/>
        <v>NA</v>
      </c>
      <c r="Y1900" s="10" t="str">
        <f t="shared" si="2353"/>
        <v>NA</v>
      </c>
      <c r="Z1900" s="10" t="str">
        <f t="shared" si="2354"/>
        <v>NA</v>
      </c>
      <c r="AA1900" s="10" t="str">
        <f t="shared" si="2355"/>
        <v>NA</v>
      </c>
      <c r="AB1900" s="10" t="str">
        <f t="shared" si="2356"/>
        <v>NA</v>
      </c>
      <c r="AC1900" s="10" t="str">
        <f t="shared" si="2357"/>
        <v>NA</v>
      </c>
      <c r="AD1900" s="10" t="str">
        <f t="shared" si="2358"/>
        <v>NA</v>
      </c>
      <c r="AE1900" s="10" t="str">
        <f t="shared" si="2359"/>
        <v>NA</v>
      </c>
      <c r="AF1900" s="1" t="s">
        <v>1641</v>
      </c>
    </row>
    <row r="1901" spans="1:32" x14ac:dyDescent="0.2">
      <c r="A1901" s="1" t="s">
        <v>6186</v>
      </c>
      <c r="B1901" s="1" t="s">
        <v>5</v>
      </c>
      <c r="C1901" s="1" t="s">
        <v>1575</v>
      </c>
      <c r="D1901" s="1" t="s">
        <v>1601</v>
      </c>
      <c r="E1901" s="1" t="s">
        <v>1608</v>
      </c>
      <c r="F1901" s="1" t="s">
        <v>1562</v>
      </c>
      <c r="G1901" s="4">
        <v>0.99997999999999998</v>
      </c>
      <c r="H1901" s="28">
        <v>44084</v>
      </c>
      <c r="I1901" s="29">
        <f t="shared" si="2351"/>
        <v>2020</v>
      </c>
      <c r="J1901" s="1" t="s">
        <v>4689</v>
      </c>
      <c r="K1901" s="1" t="s">
        <v>7182</v>
      </c>
      <c r="L1901" s="11" t="str">
        <f t="shared" si="2348"/>
        <v>НЕТ</v>
      </c>
      <c r="M1901" s="10" t="s">
        <v>1575</v>
      </c>
      <c r="N1901" s="10" t="s">
        <v>1575</v>
      </c>
      <c r="O1901" s="10">
        <v>40.5</v>
      </c>
      <c r="P1901" s="10">
        <f t="shared" si="2349"/>
        <v>40.500810016200326</v>
      </c>
      <c r="Q1901" s="10">
        <f t="shared" si="2350"/>
        <v>80.301810016200335</v>
      </c>
      <c r="R1901" s="10">
        <v>29.138000000000002</v>
      </c>
      <c r="S1901" s="10" t="s">
        <v>1575</v>
      </c>
      <c r="T1901" s="10">
        <v>-45.734000000000002</v>
      </c>
      <c r="U1901" s="10">
        <v>-49.679000000000002</v>
      </c>
      <c r="V1901" s="10">
        <v>-46.829000000000001</v>
      </c>
      <c r="W1901" s="10">
        <f>28.601+17.597-0.757-5.64</f>
        <v>39.801000000000002</v>
      </c>
      <c r="X1901" s="10">
        <f t="shared" si="2352"/>
        <v>-7.0279999999999987</v>
      </c>
      <c r="Y1901" s="10">
        <f t="shared" si="2353"/>
        <v>1.3899653379161343</v>
      </c>
      <c r="Z1901" s="10">
        <f t="shared" si="2354"/>
        <v>-0.81525010600455572</v>
      </c>
      <c r="AA1901" s="10">
        <f t="shared" si="2355"/>
        <v>-0.86486600218241527</v>
      </c>
      <c r="AB1901" s="10">
        <f t="shared" si="2356"/>
        <v>2.7559135841924749</v>
      </c>
      <c r="AC1901" s="10" t="str">
        <f t="shared" si="2357"/>
        <v>NA</v>
      </c>
      <c r="AD1901" s="10">
        <f t="shared" si="2358"/>
        <v>-1.7558448859972959</v>
      </c>
      <c r="AE1901" s="10">
        <f t="shared" si="2359"/>
        <v>-11.42598321232219</v>
      </c>
      <c r="AF1901" s="1" t="s">
        <v>1642</v>
      </c>
    </row>
    <row r="1902" spans="1:32" x14ac:dyDescent="0.2">
      <c r="A1902" s="1" t="s">
        <v>6184</v>
      </c>
      <c r="B1902" s="1" t="s">
        <v>5</v>
      </c>
      <c r="C1902" s="1" t="s">
        <v>1575</v>
      </c>
      <c r="D1902" s="1" t="s">
        <v>1582</v>
      </c>
      <c r="E1902" s="1" t="s">
        <v>1587</v>
      </c>
      <c r="F1902" s="1" t="s">
        <v>360</v>
      </c>
      <c r="G1902" s="4">
        <v>0.91</v>
      </c>
      <c r="H1902" s="28">
        <v>42087</v>
      </c>
      <c r="I1902" s="29">
        <f t="shared" ref="I1902" si="2360">YEAR(H1902)</f>
        <v>2015</v>
      </c>
      <c r="J1902" s="1" t="s">
        <v>7</v>
      </c>
      <c r="K1902" s="1" t="s">
        <v>7182</v>
      </c>
      <c r="L1902" s="11" t="str">
        <f t="shared" ref="L1902" si="2361">IF(OR(A1902=J1902,A1902=K1902),"ДА","НЕТ")</f>
        <v>НЕТ</v>
      </c>
      <c r="M1902" s="10" t="s">
        <v>1575</v>
      </c>
      <c r="N1902" s="10" t="s">
        <v>1575</v>
      </c>
      <c r="O1902" s="10">
        <v>2.5000000000000001E-2</v>
      </c>
      <c r="P1902" s="10">
        <f t="shared" si="2349"/>
        <v>2.7472527472527472E-2</v>
      </c>
      <c r="Q1902" s="10" t="str">
        <f t="shared" si="2350"/>
        <v>NA</v>
      </c>
      <c r="R1902" s="10" t="s">
        <v>1575</v>
      </c>
      <c r="S1902" s="10" t="s">
        <v>1575</v>
      </c>
      <c r="T1902" s="10" t="s">
        <v>1575</v>
      </c>
      <c r="U1902" s="10" t="s">
        <v>1575</v>
      </c>
      <c r="V1902" s="10">
        <v>-1E-3</v>
      </c>
      <c r="W1902" s="10" t="s">
        <v>1575</v>
      </c>
      <c r="X1902" s="10" t="str">
        <f t="shared" ref="X1902" si="2362">IFERROR(V1902+W1902,"NA")</f>
        <v>NA</v>
      </c>
      <c r="Y1902" s="10" t="str">
        <f t="shared" ref="Y1902" si="2363">IFERROR(P1902/R1902,"NA")</f>
        <v>NA</v>
      </c>
      <c r="Z1902" s="10" t="str">
        <f t="shared" ref="Z1902" si="2364">IFERROR(P1902/U1902,"NA")</f>
        <v>NA</v>
      </c>
      <c r="AA1902" s="10">
        <f t="shared" ref="AA1902" si="2365">IFERROR(P1902/V1902,"NA")</f>
        <v>-27.472527472527471</v>
      </c>
      <c r="AB1902" s="10" t="str">
        <f t="shared" ref="AB1902" si="2366">IFERROR(Q1902/R1902,"NA")</f>
        <v>NA</v>
      </c>
      <c r="AC1902" s="10" t="str">
        <f t="shared" ref="AC1902" si="2367">IFERROR(Q1902/S1902,"NA")</f>
        <v>NA</v>
      </c>
      <c r="AD1902" s="10" t="str">
        <f t="shared" ref="AD1902" si="2368">IFERROR(Q1902/T1902,"NA")</f>
        <v>NA</v>
      </c>
      <c r="AE1902" s="10" t="str">
        <f t="shared" ref="AE1902" si="2369">IFERROR(Q1902/X1902,"NA")</f>
        <v>NA</v>
      </c>
      <c r="AF1902" s="1" t="s">
        <v>7183</v>
      </c>
    </row>
    <row r="1903" spans="1:32" x14ac:dyDescent="0.2">
      <c r="A1903" s="1" t="s">
        <v>7184</v>
      </c>
      <c r="B1903" s="1" t="s">
        <v>5</v>
      </c>
      <c r="C1903" s="1" t="s">
        <v>1575</v>
      </c>
      <c r="D1903" s="1" t="s">
        <v>1601</v>
      </c>
      <c r="E1903" s="1" t="s">
        <v>1602</v>
      </c>
      <c r="F1903" s="1" t="s">
        <v>1563</v>
      </c>
      <c r="G1903" s="4">
        <v>1</v>
      </c>
      <c r="H1903" s="28">
        <v>41851</v>
      </c>
      <c r="I1903" s="29">
        <f t="shared" si="2351"/>
        <v>2014</v>
      </c>
      <c r="J1903" s="1" t="s">
        <v>7182</v>
      </c>
      <c r="K1903" s="1" t="s">
        <v>7</v>
      </c>
      <c r="L1903" s="11" t="str">
        <f t="shared" si="2348"/>
        <v>НЕТ</v>
      </c>
      <c r="M1903" s="10" t="s">
        <v>1575</v>
      </c>
      <c r="N1903" s="10" t="s">
        <v>1575</v>
      </c>
      <c r="O1903" s="10">
        <v>1.0000000000000001E-5</v>
      </c>
      <c r="P1903" s="10">
        <f t="shared" si="2349"/>
        <v>1.0000000000000001E-5</v>
      </c>
      <c r="Q1903" s="10" t="str">
        <f t="shared" si="2350"/>
        <v>NA</v>
      </c>
      <c r="R1903" s="10" t="s">
        <v>1575</v>
      </c>
      <c r="S1903" s="10" t="s">
        <v>1575</v>
      </c>
      <c r="T1903" s="10" t="s">
        <v>1575</v>
      </c>
      <c r="U1903" s="10" t="s">
        <v>1575</v>
      </c>
      <c r="V1903" s="10" t="s">
        <v>1575</v>
      </c>
      <c r="W1903" s="10" t="s">
        <v>1575</v>
      </c>
      <c r="X1903" s="10" t="str">
        <f t="shared" si="2352"/>
        <v>NA</v>
      </c>
      <c r="Y1903" s="10" t="str">
        <f t="shared" si="2353"/>
        <v>NA</v>
      </c>
      <c r="Z1903" s="10" t="str">
        <f t="shared" si="2354"/>
        <v>NA</v>
      </c>
      <c r="AA1903" s="10" t="str">
        <f t="shared" si="2355"/>
        <v>NA</v>
      </c>
      <c r="AB1903" s="10" t="str">
        <f t="shared" si="2356"/>
        <v>NA</v>
      </c>
      <c r="AC1903" s="10" t="str">
        <f t="shared" si="2357"/>
        <v>NA</v>
      </c>
      <c r="AD1903" s="10" t="str">
        <f t="shared" si="2358"/>
        <v>NA</v>
      </c>
      <c r="AE1903" s="10" t="str">
        <f t="shared" si="2359"/>
        <v>NA</v>
      </c>
      <c r="AF1903" s="1" t="s">
        <v>7185</v>
      </c>
    </row>
    <row r="1904" spans="1:32" x14ac:dyDescent="0.2">
      <c r="A1904" s="1" t="s">
        <v>1432</v>
      </c>
      <c r="B1904" s="1" t="s">
        <v>5</v>
      </c>
      <c r="C1904" s="1" t="s">
        <v>1575</v>
      </c>
      <c r="D1904" s="1" t="s">
        <v>1582</v>
      </c>
      <c r="E1904" s="1" t="s">
        <v>2162</v>
      </c>
      <c r="F1904" s="1" t="s">
        <v>389</v>
      </c>
      <c r="G1904" s="4">
        <v>1</v>
      </c>
      <c r="H1904" s="28">
        <v>44469</v>
      </c>
      <c r="I1904" s="29">
        <f t="shared" si="2351"/>
        <v>2021</v>
      </c>
      <c r="J1904" s="1" t="s">
        <v>6187</v>
      </c>
      <c r="K1904" s="1" t="s">
        <v>7</v>
      </c>
      <c r="L1904" s="11" t="str">
        <f t="shared" si="2348"/>
        <v>НЕТ</v>
      </c>
      <c r="M1904" s="10" t="s">
        <v>1575</v>
      </c>
      <c r="N1904" s="10" t="s">
        <v>1575</v>
      </c>
      <c r="O1904" s="10">
        <v>0.17383199999999999</v>
      </c>
      <c r="P1904" s="10">
        <f t="shared" si="2349"/>
        <v>0.17383199999999999</v>
      </c>
      <c r="Q1904" s="10" t="str">
        <f t="shared" si="2350"/>
        <v>NA</v>
      </c>
      <c r="R1904" s="10" t="s">
        <v>1575</v>
      </c>
      <c r="S1904" s="10" t="s">
        <v>1575</v>
      </c>
      <c r="T1904" s="10" t="s">
        <v>1575</v>
      </c>
      <c r="U1904" s="10" t="s">
        <v>1575</v>
      </c>
      <c r="V1904" s="10" t="s">
        <v>1575</v>
      </c>
      <c r="W1904" s="10" t="s">
        <v>1575</v>
      </c>
      <c r="X1904" s="10" t="str">
        <f t="shared" si="2352"/>
        <v>NA</v>
      </c>
      <c r="Y1904" s="10" t="str">
        <f t="shared" si="2353"/>
        <v>NA</v>
      </c>
      <c r="Z1904" s="10" t="str">
        <f t="shared" si="2354"/>
        <v>NA</v>
      </c>
      <c r="AA1904" s="10" t="str">
        <f t="shared" si="2355"/>
        <v>NA</v>
      </c>
      <c r="AB1904" s="10" t="str">
        <f t="shared" si="2356"/>
        <v>NA</v>
      </c>
      <c r="AC1904" s="10" t="str">
        <f t="shared" si="2357"/>
        <v>NA</v>
      </c>
      <c r="AD1904" s="10" t="str">
        <f t="shared" si="2358"/>
        <v>NA</v>
      </c>
      <c r="AE1904" s="10" t="str">
        <f t="shared" si="2359"/>
        <v>NA</v>
      </c>
      <c r="AF1904" s="1" t="s">
        <v>1433</v>
      </c>
    </row>
    <row r="1905" spans="1:32" x14ac:dyDescent="0.2">
      <c r="A1905" s="1" t="s">
        <v>6188</v>
      </c>
      <c r="B1905" s="1" t="s">
        <v>5</v>
      </c>
      <c r="C1905" s="1" t="s">
        <v>1575</v>
      </c>
      <c r="D1905" s="1" t="s">
        <v>1601</v>
      </c>
      <c r="E1905" s="1" t="s">
        <v>1587</v>
      </c>
      <c r="F1905" s="1" t="s">
        <v>485</v>
      </c>
      <c r="G1905" s="4">
        <v>0.51</v>
      </c>
      <c r="H1905" s="28">
        <v>43025</v>
      </c>
      <c r="I1905" s="29">
        <f t="shared" si="2351"/>
        <v>2017</v>
      </c>
      <c r="J1905" s="1" t="s">
        <v>6189</v>
      </c>
      <c r="K1905" s="1" t="s">
        <v>6187</v>
      </c>
      <c r="L1905" s="11" t="str">
        <f t="shared" si="2348"/>
        <v>НЕТ</v>
      </c>
      <c r="M1905" s="10" t="s">
        <v>1575</v>
      </c>
      <c r="N1905" s="10" t="s">
        <v>1575</v>
      </c>
      <c r="O1905" s="10">
        <v>1.6E-2</v>
      </c>
      <c r="P1905" s="10">
        <f t="shared" si="2349"/>
        <v>3.1372549019607843E-2</v>
      </c>
      <c r="Q1905" s="10">
        <f t="shared" si="2350"/>
        <v>2.9600549019607843E-2</v>
      </c>
      <c r="R1905" s="10" t="s">
        <v>1575</v>
      </c>
      <c r="S1905" s="10" t="s">
        <v>1575</v>
      </c>
      <c r="T1905" s="10" t="s">
        <v>1575</v>
      </c>
      <c r="U1905" s="10" t="s">
        <v>1575</v>
      </c>
      <c r="V1905" s="10">
        <v>-3.3860000000000001E-3</v>
      </c>
      <c r="W1905" s="10">
        <f>0.001426-0.003198</f>
        <v>-1.7719999999999999E-3</v>
      </c>
      <c r="X1905" s="10">
        <f t="shared" si="2352"/>
        <v>-5.1580000000000003E-3</v>
      </c>
      <c r="Y1905" s="10" t="str">
        <f t="shared" si="2353"/>
        <v>NA</v>
      </c>
      <c r="Z1905" s="10" t="str">
        <f t="shared" si="2354"/>
        <v>NA</v>
      </c>
      <c r="AA1905" s="10">
        <f t="shared" si="2355"/>
        <v>-9.2653718309532902</v>
      </c>
      <c r="AB1905" s="10" t="str">
        <f t="shared" si="2356"/>
        <v>NA</v>
      </c>
      <c r="AC1905" s="10" t="str">
        <f t="shared" si="2357"/>
        <v>NA</v>
      </c>
      <c r="AD1905" s="10" t="str">
        <f t="shared" si="2358"/>
        <v>NA</v>
      </c>
      <c r="AE1905" s="10">
        <f t="shared" si="2359"/>
        <v>-5.7387648351314153</v>
      </c>
      <c r="AF1905" s="1" t="s">
        <v>1434</v>
      </c>
    </row>
    <row r="1906" spans="1:32" x14ac:dyDescent="0.2">
      <c r="A1906" s="1" t="s">
        <v>6190</v>
      </c>
      <c r="B1906" s="1" t="s">
        <v>5</v>
      </c>
      <c r="C1906" s="1" t="s">
        <v>1575</v>
      </c>
      <c r="D1906" s="1" t="s">
        <v>1601</v>
      </c>
      <c r="E1906" s="1" t="s">
        <v>1608</v>
      </c>
      <c r="F1906" s="1" t="s">
        <v>1562</v>
      </c>
      <c r="G1906" s="4">
        <v>0.5</v>
      </c>
      <c r="H1906" s="28">
        <v>42565</v>
      </c>
      <c r="I1906" s="29">
        <f t="shared" si="2351"/>
        <v>2016</v>
      </c>
      <c r="J1906" s="1" t="s">
        <v>6191</v>
      </c>
      <c r="K1906" s="1" t="s">
        <v>7</v>
      </c>
      <c r="L1906" s="11" t="str">
        <f t="shared" si="2348"/>
        <v>НЕТ</v>
      </c>
      <c r="M1906" s="10" t="s">
        <v>1575</v>
      </c>
      <c r="N1906" s="10" t="s">
        <v>1575</v>
      </c>
      <c r="O1906" s="10">
        <f>0.383+0.1+0.05+0.1</f>
        <v>0.63300000000000001</v>
      </c>
      <c r="P1906" s="10">
        <f t="shared" si="2349"/>
        <v>1.266</v>
      </c>
      <c r="Q1906" s="10" t="str">
        <f t="shared" si="2350"/>
        <v>NA</v>
      </c>
      <c r="R1906" s="10" t="s">
        <v>1575</v>
      </c>
      <c r="S1906" s="10" t="s">
        <v>1575</v>
      </c>
      <c r="T1906" s="10" t="s">
        <v>1575</v>
      </c>
      <c r="U1906" s="10" t="s">
        <v>1575</v>
      </c>
      <c r="V1906" s="10" t="s">
        <v>1575</v>
      </c>
      <c r="W1906" s="10" t="s">
        <v>1575</v>
      </c>
      <c r="X1906" s="10" t="str">
        <f t="shared" si="2352"/>
        <v>NA</v>
      </c>
      <c r="Y1906" s="10" t="str">
        <f t="shared" si="2353"/>
        <v>NA</v>
      </c>
      <c r="Z1906" s="10" t="str">
        <f t="shared" si="2354"/>
        <v>NA</v>
      </c>
      <c r="AA1906" s="10" t="str">
        <f t="shared" si="2355"/>
        <v>NA</v>
      </c>
      <c r="AB1906" s="10" t="str">
        <f t="shared" si="2356"/>
        <v>NA</v>
      </c>
      <c r="AC1906" s="10" t="str">
        <f t="shared" si="2357"/>
        <v>NA</v>
      </c>
      <c r="AD1906" s="10" t="str">
        <f t="shared" si="2358"/>
        <v>NA</v>
      </c>
      <c r="AE1906" s="10" t="str">
        <f t="shared" si="2359"/>
        <v>NA</v>
      </c>
      <c r="AF1906" s="1" t="s">
        <v>1435</v>
      </c>
    </row>
    <row r="1907" spans="1:32" x14ac:dyDescent="0.2">
      <c r="A1907" s="1" t="s">
        <v>6192</v>
      </c>
      <c r="B1907" s="1" t="s">
        <v>5</v>
      </c>
      <c r="C1907" s="1" t="s">
        <v>1575</v>
      </c>
      <c r="D1907" s="1" t="s">
        <v>1601</v>
      </c>
      <c r="E1907" s="1" t="s">
        <v>1587</v>
      </c>
      <c r="F1907" s="1" t="s">
        <v>1438</v>
      </c>
      <c r="G1907" s="4">
        <v>0.5</v>
      </c>
      <c r="H1907" s="28">
        <v>42216</v>
      </c>
      <c r="I1907" s="29">
        <f t="shared" si="2351"/>
        <v>2015</v>
      </c>
      <c r="J1907" s="1" t="s">
        <v>1436</v>
      </c>
      <c r="K1907" s="1" t="s">
        <v>6187</v>
      </c>
      <c r="L1907" s="11" t="str">
        <f t="shared" ref="L1907:L1970" si="2370">IF(OR(A1907=J1907,A1907=K1907),"ДА","НЕТ")</f>
        <v>НЕТ</v>
      </c>
      <c r="M1907" s="10" t="s">
        <v>1575</v>
      </c>
      <c r="N1907" s="10" t="s">
        <v>1575</v>
      </c>
      <c r="O1907" s="10">
        <v>1E-3</v>
      </c>
      <c r="P1907" s="10">
        <f t="shared" si="2349"/>
        <v>2E-3</v>
      </c>
      <c r="Q1907" s="10">
        <f t="shared" si="2350"/>
        <v>0.30998799999999999</v>
      </c>
      <c r="R1907" s="10" t="s">
        <v>1575</v>
      </c>
      <c r="S1907" s="10" t="s">
        <v>1575</v>
      </c>
      <c r="T1907" s="10" t="s">
        <v>1575</v>
      </c>
      <c r="U1907" s="10" t="s">
        <v>1575</v>
      </c>
      <c r="V1907" s="10">
        <v>0.33564500000000003</v>
      </c>
      <c r="W1907" s="10">
        <f>0.216526+0.271875-0.180413</f>
        <v>0.30798799999999998</v>
      </c>
      <c r="X1907" s="10">
        <f t="shared" si="2352"/>
        <v>0.64363300000000001</v>
      </c>
      <c r="Y1907" s="10" t="str">
        <f t="shared" si="2353"/>
        <v>NA</v>
      </c>
      <c r="Z1907" s="10" t="str">
        <f t="shared" si="2354"/>
        <v>NA</v>
      </c>
      <c r="AA1907" s="10">
        <f t="shared" si="2355"/>
        <v>5.9586765779320412E-3</v>
      </c>
      <c r="AB1907" s="10" t="str">
        <f t="shared" si="2356"/>
        <v>NA</v>
      </c>
      <c r="AC1907" s="10" t="str">
        <f t="shared" si="2357"/>
        <v>NA</v>
      </c>
      <c r="AD1907" s="10" t="str">
        <f t="shared" si="2358"/>
        <v>NA</v>
      </c>
      <c r="AE1907" s="10">
        <f t="shared" si="2359"/>
        <v>0.48162229096394993</v>
      </c>
      <c r="AF1907" s="1" t="s">
        <v>1437</v>
      </c>
    </row>
    <row r="1908" spans="1:32" x14ac:dyDescent="0.2">
      <c r="A1908" s="1" t="s">
        <v>6193</v>
      </c>
      <c r="B1908" s="1" t="s">
        <v>5</v>
      </c>
      <c r="C1908" s="1" t="s">
        <v>1575</v>
      </c>
      <c r="D1908" s="1" t="s">
        <v>1601</v>
      </c>
      <c r="E1908" s="1" t="s">
        <v>1608</v>
      </c>
      <c r="F1908" s="1" t="s">
        <v>1562</v>
      </c>
      <c r="G1908" s="4">
        <v>0.67</v>
      </c>
      <c r="H1908" s="28">
        <v>41668</v>
      </c>
      <c r="I1908" s="29">
        <f t="shared" si="2351"/>
        <v>2014</v>
      </c>
      <c r="J1908" s="1" t="s">
        <v>6191</v>
      </c>
      <c r="K1908" s="1" t="s">
        <v>361</v>
      </c>
      <c r="L1908" s="11" t="str">
        <f t="shared" si="2370"/>
        <v>НЕТ</v>
      </c>
      <c r="M1908" s="10" t="s">
        <v>1575</v>
      </c>
      <c r="N1908" s="10" t="s">
        <v>1575</v>
      </c>
      <c r="O1908" s="10">
        <f>1.099519+0.278486</f>
        <v>1.3780049999999999</v>
      </c>
      <c r="P1908" s="10">
        <f t="shared" si="2349"/>
        <v>2.0567238805970147</v>
      </c>
      <c r="Q1908" s="10">
        <f t="shared" si="2350"/>
        <v>2.3097928805970147</v>
      </c>
      <c r="R1908" s="10" t="s">
        <v>1575</v>
      </c>
      <c r="S1908" s="10" t="s">
        <v>1575</v>
      </c>
      <c r="T1908" s="10" t="s">
        <v>1575</v>
      </c>
      <c r="U1908" s="10" t="s">
        <v>1575</v>
      </c>
      <c r="V1908" s="10">
        <v>1.3118259999999999</v>
      </c>
      <c r="W1908" s="10">
        <f>0.300759-0.04769</f>
        <v>0.25306899999999999</v>
      </c>
      <c r="X1908" s="10">
        <f t="shared" si="2352"/>
        <v>1.5648949999999999</v>
      </c>
      <c r="Y1908" s="10" t="str">
        <f t="shared" si="2353"/>
        <v>NA</v>
      </c>
      <c r="Z1908" s="10" t="str">
        <f t="shared" si="2354"/>
        <v>NA</v>
      </c>
      <c r="AA1908" s="10">
        <f t="shared" si="2355"/>
        <v>1.5678328380417943</v>
      </c>
      <c r="AB1908" s="10" t="str">
        <f t="shared" si="2356"/>
        <v>NA</v>
      </c>
      <c r="AC1908" s="10" t="str">
        <f t="shared" si="2357"/>
        <v>NA</v>
      </c>
      <c r="AD1908" s="10" t="str">
        <f t="shared" si="2358"/>
        <v>NA</v>
      </c>
      <c r="AE1908" s="10">
        <f t="shared" si="2359"/>
        <v>1.4760050230827082</v>
      </c>
      <c r="AF1908" s="1" t="s">
        <v>1439</v>
      </c>
    </row>
    <row r="1909" spans="1:32" x14ac:dyDescent="0.2">
      <c r="A1909" s="1" t="s">
        <v>2432</v>
      </c>
      <c r="B1909" s="1" t="s">
        <v>75</v>
      </c>
      <c r="C1909" s="1" t="s">
        <v>1575</v>
      </c>
      <c r="D1909" s="1" t="s">
        <v>1578</v>
      </c>
      <c r="E1909" s="1" t="s">
        <v>2422</v>
      </c>
      <c r="F1909" s="1" t="s">
        <v>363</v>
      </c>
      <c r="G1909" s="4">
        <f>2.06%-2.04%</f>
        <v>1.9999999999999879E-4</v>
      </c>
      <c r="H1909" s="28">
        <v>42762</v>
      </c>
      <c r="I1909" s="29">
        <f t="shared" si="2351"/>
        <v>2017</v>
      </c>
      <c r="J1909" s="1" t="s">
        <v>2431</v>
      </c>
      <c r="K1909" s="1" t="s">
        <v>7</v>
      </c>
      <c r="L1909" s="11" t="str">
        <f t="shared" si="2370"/>
        <v>НЕТ</v>
      </c>
      <c r="M1909" s="10">
        <v>1</v>
      </c>
      <c r="N1909" s="10" t="s">
        <v>1575</v>
      </c>
      <c r="O1909" s="10">
        <f>0.060161</f>
        <v>6.0160999999999999E-2</v>
      </c>
      <c r="P1909" s="10">
        <f t="shared" si="2349"/>
        <v>300.80500000000183</v>
      </c>
      <c r="Q1909" s="10" t="str">
        <f t="shared" si="2350"/>
        <v>NA</v>
      </c>
      <c r="R1909" s="10" t="s">
        <v>1575</v>
      </c>
      <c r="S1909" s="10" t="s">
        <v>1575</v>
      </c>
      <c r="T1909" s="10" t="s">
        <v>1575</v>
      </c>
      <c r="U1909" s="10" t="s">
        <v>1575</v>
      </c>
      <c r="V1909" s="10" t="s">
        <v>1575</v>
      </c>
      <c r="W1909" s="10" t="s">
        <v>1575</v>
      </c>
      <c r="X1909" s="10" t="str">
        <f t="shared" si="2352"/>
        <v>NA</v>
      </c>
      <c r="Y1909" s="10" t="str">
        <f t="shared" si="2353"/>
        <v>NA</v>
      </c>
      <c r="Z1909" s="10" t="str">
        <f t="shared" si="2354"/>
        <v>NA</v>
      </c>
      <c r="AA1909" s="10" t="str">
        <f t="shared" si="2355"/>
        <v>NA</v>
      </c>
      <c r="AB1909" s="10" t="str">
        <f t="shared" si="2356"/>
        <v>NA</v>
      </c>
      <c r="AC1909" s="10" t="str">
        <f t="shared" si="2357"/>
        <v>NA</v>
      </c>
      <c r="AD1909" s="10" t="str">
        <f t="shared" si="2358"/>
        <v>NA</v>
      </c>
      <c r="AE1909" s="10" t="str">
        <f t="shared" si="2359"/>
        <v>NA</v>
      </c>
      <c r="AF1909" s="1" t="s">
        <v>2430</v>
      </c>
    </row>
    <row r="1910" spans="1:32" x14ac:dyDescent="0.2">
      <c r="A1910" s="1" t="s">
        <v>2434</v>
      </c>
      <c r="B1910" s="1" t="s">
        <v>94</v>
      </c>
      <c r="C1910" s="1" t="s">
        <v>1575</v>
      </c>
      <c r="D1910" s="1" t="s">
        <v>1578</v>
      </c>
      <c r="E1910" s="1" t="s">
        <v>2422</v>
      </c>
      <c r="F1910" s="1" t="s">
        <v>363</v>
      </c>
      <c r="G1910" s="4">
        <f>6%-4.18%</f>
        <v>1.8200000000000001E-2</v>
      </c>
      <c r="H1910" s="28">
        <v>42795</v>
      </c>
      <c r="I1910" s="29">
        <f t="shared" si="2351"/>
        <v>2017</v>
      </c>
      <c r="J1910" s="1" t="s">
        <v>2431</v>
      </c>
      <c r="K1910" s="1" t="s">
        <v>7</v>
      </c>
      <c r="L1910" s="11" t="str">
        <f t="shared" si="2370"/>
        <v>НЕТ</v>
      </c>
      <c r="M1910" s="10" t="s">
        <v>1575</v>
      </c>
      <c r="N1910" s="10" t="s">
        <v>1575</v>
      </c>
      <c r="O1910" s="10">
        <f>0.048646+0.000848</f>
        <v>4.9494000000000003E-2</v>
      </c>
      <c r="P1910" s="10">
        <f t="shared" si="2349"/>
        <v>2.7194505494505496</v>
      </c>
      <c r="Q1910" s="10" t="str">
        <f t="shared" si="2350"/>
        <v>NA</v>
      </c>
      <c r="R1910" s="10" t="s">
        <v>1575</v>
      </c>
      <c r="S1910" s="10" t="s">
        <v>1575</v>
      </c>
      <c r="T1910" s="10" t="s">
        <v>1575</v>
      </c>
      <c r="U1910" s="10" t="s">
        <v>1575</v>
      </c>
      <c r="V1910" s="10" t="s">
        <v>1575</v>
      </c>
      <c r="W1910" s="10" t="s">
        <v>1575</v>
      </c>
      <c r="X1910" s="10" t="str">
        <f t="shared" si="2352"/>
        <v>NA</v>
      </c>
      <c r="Y1910" s="10" t="str">
        <f t="shared" si="2353"/>
        <v>NA</v>
      </c>
      <c r="Z1910" s="10" t="str">
        <f t="shared" si="2354"/>
        <v>NA</v>
      </c>
      <c r="AA1910" s="10" t="str">
        <f t="shared" si="2355"/>
        <v>NA</v>
      </c>
      <c r="AB1910" s="10" t="str">
        <f t="shared" si="2356"/>
        <v>NA</v>
      </c>
      <c r="AC1910" s="10" t="str">
        <f t="shared" si="2357"/>
        <v>NA</v>
      </c>
      <c r="AD1910" s="10" t="str">
        <f t="shared" si="2358"/>
        <v>NA</v>
      </c>
      <c r="AE1910" s="10" t="str">
        <f t="shared" si="2359"/>
        <v>NA</v>
      </c>
      <c r="AF1910" s="1" t="s">
        <v>2433</v>
      </c>
    </row>
    <row r="1911" spans="1:32" x14ac:dyDescent="0.2">
      <c r="A1911" s="1" t="s">
        <v>2436</v>
      </c>
      <c r="B1911" s="1" t="s">
        <v>75</v>
      </c>
      <c r="C1911" s="1" t="s">
        <v>1575</v>
      </c>
      <c r="D1911" s="1" t="s">
        <v>1578</v>
      </c>
      <c r="E1911" s="1" t="s">
        <v>2422</v>
      </c>
      <c r="F1911" s="1" t="s">
        <v>363</v>
      </c>
      <c r="G1911" s="4" t="s">
        <v>1575</v>
      </c>
      <c r="H1911" s="28">
        <v>42824</v>
      </c>
      <c r="I1911" s="29">
        <f t="shared" si="2351"/>
        <v>2017</v>
      </c>
      <c r="J1911" s="1" t="s">
        <v>2431</v>
      </c>
      <c r="K1911" s="1" t="s">
        <v>7</v>
      </c>
      <c r="L1911" s="11" t="str">
        <f t="shared" si="2370"/>
        <v>НЕТ</v>
      </c>
      <c r="M1911" s="10">
        <v>2.5</v>
      </c>
      <c r="N1911" s="10" t="s">
        <v>1575</v>
      </c>
      <c r="O1911" s="10">
        <v>0.14255999999999999</v>
      </c>
      <c r="P1911" s="10" t="str">
        <f t="shared" si="2349"/>
        <v>NA</v>
      </c>
      <c r="Q1911" s="10" t="str">
        <f t="shared" si="2350"/>
        <v>NA</v>
      </c>
      <c r="R1911" s="10" t="s">
        <v>1575</v>
      </c>
      <c r="S1911" s="10" t="s">
        <v>1575</v>
      </c>
      <c r="T1911" s="10" t="s">
        <v>1575</v>
      </c>
      <c r="U1911" s="10" t="s">
        <v>1575</v>
      </c>
      <c r="V1911" s="10" t="s">
        <v>1575</v>
      </c>
      <c r="W1911" s="10" t="s">
        <v>1575</v>
      </c>
      <c r="X1911" s="10" t="str">
        <f t="shared" si="2352"/>
        <v>NA</v>
      </c>
      <c r="Y1911" s="10" t="str">
        <f t="shared" si="2353"/>
        <v>NA</v>
      </c>
      <c r="Z1911" s="10" t="str">
        <f t="shared" si="2354"/>
        <v>NA</v>
      </c>
      <c r="AA1911" s="10" t="str">
        <f t="shared" si="2355"/>
        <v>NA</v>
      </c>
      <c r="AB1911" s="10" t="str">
        <f t="shared" si="2356"/>
        <v>NA</v>
      </c>
      <c r="AC1911" s="10" t="str">
        <f t="shared" si="2357"/>
        <v>NA</v>
      </c>
      <c r="AD1911" s="10" t="str">
        <f t="shared" si="2358"/>
        <v>NA</v>
      </c>
      <c r="AE1911" s="10" t="str">
        <f t="shared" si="2359"/>
        <v>NA</v>
      </c>
      <c r="AF1911" s="1" t="s">
        <v>2435</v>
      </c>
    </row>
    <row r="1912" spans="1:32" x14ac:dyDescent="0.2">
      <c r="A1912" s="1" t="s">
        <v>2446</v>
      </c>
      <c r="B1912" s="1" t="s">
        <v>5</v>
      </c>
      <c r="C1912" s="1" t="s">
        <v>1575</v>
      </c>
      <c r="D1912" s="1" t="s">
        <v>1578</v>
      </c>
      <c r="E1912" s="1" t="s">
        <v>2422</v>
      </c>
      <c r="F1912" s="1" t="s">
        <v>363</v>
      </c>
      <c r="G1912" s="4">
        <v>0.5</v>
      </c>
      <c r="H1912" s="28">
        <v>42846</v>
      </c>
      <c r="I1912" s="29">
        <f t="shared" si="2351"/>
        <v>2017</v>
      </c>
      <c r="J1912" s="1" t="s">
        <v>7</v>
      </c>
      <c r="K1912" s="1" t="s">
        <v>2428</v>
      </c>
      <c r="L1912" s="11" t="str">
        <f t="shared" si="2370"/>
        <v>НЕТ</v>
      </c>
      <c r="M1912" s="10">
        <v>1.8</v>
      </c>
      <c r="N1912" s="10" t="s">
        <v>1575</v>
      </c>
      <c r="O1912" s="10">
        <f>M1912*56.38/1000</f>
        <v>0.101484</v>
      </c>
      <c r="P1912" s="10">
        <f t="shared" si="2349"/>
        <v>0.20296800000000001</v>
      </c>
      <c r="Q1912" s="10" t="str">
        <f t="shared" si="2350"/>
        <v>NA</v>
      </c>
      <c r="R1912" s="10" t="s">
        <v>1575</v>
      </c>
      <c r="S1912" s="10" t="s">
        <v>1575</v>
      </c>
      <c r="T1912" s="10" t="s">
        <v>1575</v>
      </c>
      <c r="U1912" s="10" t="s">
        <v>1575</v>
      </c>
      <c r="V1912" s="10" t="s">
        <v>1575</v>
      </c>
      <c r="W1912" s="10" t="s">
        <v>1575</v>
      </c>
      <c r="X1912" s="10" t="str">
        <f t="shared" si="2352"/>
        <v>NA</v>
      </c>
      <c r="Y1912" s="10" t="str">
        <f t="shared" si="2353"/>
        <v>NA</v>
      </c>
      <c r="Z1912" s="10" t="str">
        <f t="shared" si="2354"/>
        <v>NA</v>
      </c>
      <c r="AA1912" s="10" t="str">
        <f t="shared" si="2355"/>
        <v>NA</v>
      </c>
      <c r="AB1912" s="10" t="str">
        <f t="shared" si="2356"/>
        <v>NA</v>
      </c>
      <c r="AC1912" s="10" t="str">
        <f t="shared" si="2357"/>
        <v>NA</v>
      </c>
      <c r="AD1912" s="10" t="str">
        <f t="shared" si="2358"/>
        <v>NA</v>
      </c>
      <c r="AE1912" s="10" t="str">
        <f t="shared" si="2359"/>
        <v>NA</v>
      </c>
      <c r="AF1912" s="1" t="s">
        <v>2437</v>
      </c>
    </row>
    <row r="1913" spans="1:32" x14ac:dyDescent="0.2">
      <c r="A1913" s="1" t="s">
        <v>2438</v>
      </c>
      <c r="B1913" s="1" t="s">
        <v>5</v>
      </c>
      <c r="C1913" s="1" t="s">
        <v>1575</v>
      </c>
      <c r="D1913" s="1" t="s">
        <v>1584</v>
      </c>
      <c r="E1913" s="1" t="s">
        <v>1589</v>
      </c>
      <c r="F1913" s="1" t="s">
        <v>495</v>
      </c>
      <c r="G1913" s="4">
        <v>0.49</v>
      </c>
      <c r="H1913" s="28">
        <v>42405</v>
      </c>
      <c r="I1913" s="29">
        <f t="shared" si="2351"/>
        <v>2016</v>
      </c>
      <c r="J1913" s="1" t="s">
        <v>2428</v>
      </c>
      <c r="K1913" s="1" t="s">
        <v>7</v>
      </c>
      <c r="L1913" s="11" t="str">
        <f t="shared" si="2370"/>
        <v>НЕТ</v>
      </c>
      <c r="M1913" s="10" t="s">
        <v>1575</v>
      </c>
      <c r="N1913" s="10" t="s">
        <v>1575</v>
      </c>
      <c r="O1913" s="10" t="s">
        <v>1575</v>
      </c>
      <c r="P1913" s="10" t="str">
        <f t="shared" si="2349"/>
        <v>NA</v>
      </c>
      <c r="Q1913" s="10" t="str">
        <f t="shared" si="2350"/>
        <v>NA</v>
      </c>
      <c r="R1913" s="10" t="s">
        <v>1575</v>
      </c>
      <c r="S1913" s="10" t="s">
        <v>1575</v>
      </c>
      <c r="T1913" s="10" t="s">
        <v>1575</v>
      </c>
      <c r="U1913" s="10" t="s">
        <v>1575</v>
      </c>
      <c r="V1913" s="10" t="s">
        <v>1575</v>
      </c>
      <c r="W1913" s="10" t="s">
        <v>1575</v>
      </c>
      <c r="X1913" s="10" t="str">
        <f t="shared" si="2352"/>
        <v>NA</v>
      </c>
      <c r="Y1913" s="10" t="str">
        <f t="shared" si="2353"/>
        <v>NA</v>
      </c>
      <c r="Z1913" s="10" t="str">
        <f t="shared" si="2354"/>
        <v>NA</v>
      </c>
      <c r="AA1913" s="10" t="str">
        <f t="shared" si="2355"/>
        <v>NA</v>
      </c>
      <c r="AB1913" s="10" t="str">
        <f t="shared" si="2356"/>
        <v>NA</v>
      </c>
      <c r="AC1913" s="10" t="str">
        <f t="shared" si="2357"/>
        <v>NA</v>
      </c>
      <c r="AD1913" s="10" t="str">
        <f t="shared" si="2358"/>
        <v>NA</v>
      </c>
      <c r="AE1913" s="10" t="str">
        <f t="shared" si="2359"/>
        <v>NA</v>
      </c>
      <c r="AF1913" s="1" t="s">
        <v>2439</v>
      </c>
    </row>
    <row r="1914" spans="1:32" x14ac:dyDescent="0.2">
      <c r="A1914" s="1" t="s">
        <v>2442</v>
      </c>
      <c r="B1914" s="1" t="s">
        <v>75</v>
      </c>
      <c r="C1914" s="1" t="s">
        <v>1575</v>
      </c>
      <c r="D1914" s="1" t="s">
        <v>1578</v>
      </c>
      <c r="E1914" s="1" t="s">
        <v>2422</v>
      </c>
      <c r="F1914" s="1" t="s">
        <v>363</v>
      </c>
      <c r="G1914" s="4">
        <v>7.22E-2</v>
      </c>
      <c r="H1914" s="28">
        <v>42453</v>
      </c>
      <c r="I1914" s="29">
        <f t="shared" si="2351"/>
        <v>2016</v>
      </c>
      <c r="J1914" s="1" t="s">
        <v>2431</v>
      </c>
      <c r="K1914" s="1" t="s">
        <v>7</v>
      </c>
      <c r="L1914" s="11" t="str">
        <f t="shared" si="2370"/>
        <v>НЕТ</v>
      </c>
      <c r="M1914" s="10">
        <v>0.84299999999999997</v>
      </c>
      <c r="N1914" s="10" t="s">
        <v>1575</v>
      </c>
      <c r="O1914" s="10">
        <v>5.7070999999999997E-2</v>
      </c>
      <c r="P1914" s="10">
        <f t="shared" si="2349"/>
        <v>0.79045706371191127</v>
      </c>
      <c r="Q1914" s="10" t="str">
        <f t="shared" si="2350"/>
        <v>NA</v>
      </c>
      <c r="R1914" s="10" t="s">
        <v>1575</v>
      </c>
      <c r="S1914" s="10" t="s">
        <v>1575</v>
      </c>
      <c r="T1914" s="10" t="s">
        <v>1575</v>
      </c>
      <c r="U1914" s="10" t="s">
        <v>1575</v>
      </c>
      <c r="V1914" s="10" t="s">
        <v>1575</v>
      </c>
      <c r="W1914" s="10" t="s">
        <v>1575</v>
      </c>
      <c r="X1914" s="10" t="str">
        <f t="shared" si="2352"/>
        <v>NA</v>
      </c>
      <c r="Y1914" s="10" t="str">
        <f t="shared" si="2353"/>
        <v>NA</v>
      </c>
      <c r="Z1914" s="10" t="str">
        <f t="shared" si="2354"/>
        <v>NA</v>
      </c>
      <c r="AA1914" s="10" t="str">
        <f t="shared" si="2355"/>
        <v>NA</v>
      </c>
      <c r="AB1914" s="10" t="str">
        <f t="shared" si="2356"/>
        <v>NA</v>
      </c>
      <c r="AC1914" s="10" t="str">
        <f t="shared" si="2357"/>
        <v>NA</v>
      </c>
      <c r="AD1914" s="10" t="str">
        <f t="shared" si="2358"/>
        <v>NA</v>
      </c>
      <c r="AE1914" s="10" t="str">
        <f t="shared" si="2359"/>
        <v>NA</v>
      </c>
      <c r="AF1914" s="1" t="s">
        <v>2443</v>
      </c>
    </row>
    <row r="1915" spans="1:32" x14ac:dyDescent="0.2">
      <c r="A1915" s="1" t="s">
        <v>362</v>
      </c>
      <c r="B1915" s="1" t="s">
        <v>75</v>
      </c>
      <c r="C1915" s="1" t="s">
        <v>1575</v>
      </c>
      <c r="D1915" s="1" t="s">
        <v>1578</v>
      </c>
      <c r="E1915" s="1" t="s">
        <v>2422</v>
      </c>
      <c r="F1915" s="1" t="s">
        <v>363</v>
      </c>
      <c r="G1915" s="4">
        <f>32.1%-27.65%</f>
        <v>4.450000000000004E-2</v>
      </c>
      <c r="H1915" s="28">
        <v>42735</v>
      </c>
      <c r="I1915" s="29">
        <f t="shared" si="2351"/>
        <v>2016</v>
      </c>
      <c r="J1915" s="1" t="s">
        <v>2428</v>
      </c>
      <c r="K1915" s="1" t="s">
        <v>7</v>
      </c>
      <c r="L1915" s="11" t="str">
        <f t="shared" si="2370"/>
        <v>НЕТ</v>
      </c>
      <c r="M1915" s="10">
        <v>38.881</v>
      </c>
      <c r="N1915" s="10" t="s">
        <v>1575</v>
      </c>
      <c r="O1915" s="10">
        <v>2.588184</v>
      </c>
      <c r="P1915" s="10">
        <f t="shared" si="2349"/>
        <v>58.16143820224714</v>
      </c>
      <c r="Q1915" s="10" t="str">
        <f t="shared" si="2350"/>
        <v>NA</v>
      </c>
      <c r="R1915" s="10">
        <v>6.3379000000000005E-2</v>
      </c>
      <c r="S1915" s="10" t="s">
        <v>1575</v>
      </c>
      <c r="T1915" s="10" t="s">
        <v>1575</v>
      </c>
      <c r="U1915" s="10">
        <v>-3.554735</v>
      </c>
      <c r="V1915" s="10">
        <v>0.37423400000000001</v>
      </c>
      <c r="W1915" s="10" t="s">
        <v>1575</v>
      </c>
      <c r="X1915" s="10" t="str">
        <f t="shared" si="2352"/>
        <v>NA</v>
      </c>
      <c r="Y1915" s="10">
        <f t="shared" si="2353"/>
        <v>917.67680465528224</v>
      </c>
      <c r="Z1915" s="10">
        <f t="shared" si="2354"/>
        <v>-16.361680463451464</v>
      </c>
      <c r="AA1915" s="10">
        <f t="shared" si="2355"/>
        <v>155.414628821131</v>
      </c>
      <c r="AB1915" s="10" t="str">
        <f t="shared" si="2356"/>
        <v>NA</v>
      </c>
      <c r="AC1915" s="10" t="str">
        <f t="shared" si="2357"/>
        <v>NA</v>
      </c>
      <c r="AD1915" s="10" t="str">
        <f t="shared" si="2358"/>
        <v>NA</v>
      </c>
      <c r="AE1915" s="10" t="str">
        <f t="shared" si="2359"/>
        <v>NA</v>
      </c>
      <c r="AF1915" s="1" t="s">
        <v>2429</v>
      </c>
    </row>
    <row r="1916" spans="1:32" x14ac:dyDescent="0.2">
      <c r="A1916" s="1" t="s">
        <v>362</v>
      </c>
      <c r="B1916" s="1" t="s">
        <v>75</v>
      </c>
      <c r="C1916" s="1" t="s">
        <v>1575</v>
      </c>
      <c r="D1916" s="1" t="s">
        <v>1578</v>
      </c>
      <c r="E1916" s="1" t="s">
        <v>2422</v>
      </c>
      <c r="F1916" s="1" t="s">
        <v>363</v>
      </c>
      <c r="G1916" s="4">
        <v>0.35</v>
      </c>
      <c r="H1916" s="28">
        <v>41639</v>
      </c>
      <c r="I1916" s="29">
        <f t="shared" si="2351"/>
        <v>2013</v>
      </c>
      <c r="J1916" s="1" t="s">
        <v>2428</v>
      </c>
      <c r="K1916" s="1" t="s">
        <v>7</v>
      </c>
      <c r="L1916" s="11" t="str">
        <f t="shared" si="2370"/>
        <v>НЕТ</v>
      </c>
      <c r="M1916" s="10">
        <v>36.799999999999997</v>
      </c>
      <c r="N1916" s="10" t="s">
        <v>1575</v>
      </c>
      <c r="O1916" s="10">
        <v>1.2064569999999999</v>
      </c>
      <c r="P1916" s="10">
        <f t="shared" si="2349"/>
        <v>3.4470199999999998</v>
      </c>
      <c r="Q1916" s="10" t="str">
        <f t="shared" si="2350"/>
        <v>NA</v>
      </c>
      <c r="R1916" s="10" t="s">
        <v>1575</v>
      </c>
      <c r="S1916" s="10" t="s">
        <v>1575</v>
      </c>
      <c r="T1916" s="10" t="s">
        <v>1575</v>
      </c>
      <c r="U1916" s="10" t="s">
        <v>1575</v>
      </c>
      <c r="V1916" s="10" t="s">
        <v>1575</v>
      </c>
      <c r="W1916" s="10" t="s">
        <v>1575</v>
      </c>
      <c r="X1916" s="10" t="str">
        <f t="shared" si="2352"/>
        <v>NA</v>
      </c>
      <c r="Y1916" s="10" t="str">
        <f t="shared" si="2353"/>
        <v>NA</v>
      </c>
      <c r="Z1916" s="10" t="str">
        <f t="shared" si="2354"/>
        <v>NA</v>
      </c>
      <c r="AA1916" s="10" t="str">
        <f t="shared" si="2355"/>
        <v>NA</v>
      </c>
      <c r="AB1916" s="10" t="str">
        <f t="shared" si="2356"/>
        <v>NA</v>
      </c>
      <c r="AC1916" s="10" t="str">
        <f t="shared" si="2357"/>
        <v>NA</v>
      </c>
      <c r="AD1916" s="10" t="str">
        <f t="shared" si="2358"/>
        <v>NA</v>
      </c>
      <c r="AE1916" s="10" t="str">
        <f t="shared" si="2359"/>
        <v>NA</v>
      </c>
      <c r="AF1916" s="1" t="s">
        <v>2440</v>
      </c>
    </row>
    <row r="1917" spans="1:32" x14ac:dyDescent="0.2">
      <c r="A1917" s="1" t="s">
        <v>364</v>
      </c>
      <c r="B1917" s="1" t="s">
        <v>179</v>
      </c>
      <c r="C1917" s="1" t="s">
        <v>1575</v>
      </c>
      <c r="D1917" s="1" t="s">
        <v>1578</v>
      </c>
      <c r="E1917" s="1" t="s">
        <v>2422</v>
      </c>
      <c r="F1917" s="1" t="s">
        <v>363</v>
      </c>
      <c r="G1917" s="4">
        <v>0.2</v>
      </c>
      <c r="H1917" s="28">
        <v>41847</v>
      </c>
      <c r="I1917" s="29">
        <f t="shared" si="2351"/>
        <v>2014</v>
      </c>
      <c r="J1917" s="1" t="s">
        <v>2428</v>
      </c>
      <c r="K1917" s="1" t="s">
        <v>364</v>
      </c>
      <c r="L1917" s="11" t="str">
        <f t="shared" si="2370"/>
        <v>ДА</v>
      </c>
      <c r="M1917" s="10">
        <v>100</v>
      </c>
      <c r="N1917" s="10" t="s">
        <v>1575</v>
      </c>
      <c r="O1917" s="10">
        <v>3.50387</v>
      </c>
      <c r="P1917" s="10">
        <f t="shared" si="2349"/>
        <v>17.519349999999999</v>
      </c>
      <c r="Q1917" s="10">
        <f t="shared" si="2350"/>
        <v>11.435468999999999</v>
      </c>
      <c r="R1917" s="10" t="s">
        <v>1575</v>
      </c>
      <c r="S1917" s="10" t="s">
        <v>1575</v>
      </c>
      <c r="T1917" s="10" t="s">
        <v>1575</v>
      </c>
      <c r="U1917" s="10" t="s">
        <v>1575</v>
      </c>
      <c r="V1917" s="10">
        <v>10.177937</v>
      </c>
      <c r="W1917" s="10">
        <f>0.722149-6.80603</f>
        <v>-6.0838809999999999</v>
      </c>
      <c r="X1917" s="10">
        <f t="shared" si="2352"/>
        <v>4.0940560000000001</v>
      </c>
      <c r="Y1917" s="10" t="str">
        <f t="shared" si="2353"/>
        <v>NA</v>
      </c>
      <c r="Z1917" s="10" t="str">
        <f t="shared" si="2354"/>
        <v>NA</v>
      </c>
      <c r="AA1917" s="10">
        <f t="shared" si="2355"/>
        <v>1.7213065869831969</v>
      </c>
      <c r="AB1917" s="10" t="str">
        <f t="shared" si="2356"/>
        <v>NA</v>
      </c>
      <c r="AC1917" s="10" t="str">
        <f t="shared" si="2357"/>
        <v>NA</v>
      </c>
      <c r="AD1917" s="10" t="str">
        <f t="shared" si="2358"/>
        <v>NA</v>
      </c>
      <c r="AE1917" s="10">
        <f t="shared" si="2359"/>
        <v>2.7931882221444941</v>
      </c>
      <c r="AF1917" s="1" t="s">
        <v>2441</v>
      </c>
    </row>
    <row r="1918" spans="1:32" x14ac:dyDescent="0.2">
      <c r="A1918" s="1" t="s">
        <v>365</v>
      </c>
      <c r="B1918" s="1" t="s">
        <v>179</v>
      </c>
      <c r="C1918" s="1" t="s">
        <v>1575</v>
      </c>
      <c r="D1918" s="1" t="s">
        <v>1578</v>
      </c>
      <c r="E1918" s="1" t="s">
        <v>2422</v>
      </c>
      <c r="F1918" s="1" t="s">
        <v>363</v>
      </c>
      <c r="G1918" s="4">
        <v>1</v>
      </c>
      <c r="H1918" s="28">
        <v>41517</v>
      </c>
      <c r="I1918" s="29">
        <f t="shared" si="2351"/>
        <v>2013</v>
      </c>
      <c r="J1918" s="1" t="s">
        <v>2428</v>
      </c>
      <c r="K1918" s="1" t="s">
        <v>366</v>
      </c>
      <c r="L1918" s="11" t="str">
        <f t="shared" si="2370"/>
        <v>НЕТ</v>
      </c>
      <c r="M1918" s="10" t="s">
        <v>1575</v>
      </c>
      <c r="N1918" s="10" t="s">
        <v>1575</v>
      </c>
      <c r="O1918" s="10">
        <v>13.936025000000001</v>
      </c>
      <c r="P1918" s="10">
        <f t="shared" si="2349"/>
        <v>13.936025000000001</v>
      </c>
      <c r="Q1918" s="10" t="str">
        <f t="shared" si="2350"/>
        <v>NA</v>
      </c>
      <c r="R1918" s="10" t="s">
        <v>1575</v>
      </c>
      <c r="S1918" s="10" t="s">
        <v>1575</v>
      </c>
      <c r="T1918" s="10" t="s">
        <v>1575</v>
      </c>
      <c r="U1918" s="10" t="s">
        <v>1575</v>
      </c>
      <c r="V1918" s="10" t="s">
        <v>1575</v>
      </c>
      <c r="W1918" s="10" t="s">
        <v>1575</v>
      </c>
      <c r="X1918" s="10" t="str">
        <f t="shared" si="2352"/>
        <v>NA</v>
      </c>
      <c r="Y1918" s="10" t="str">
        <f t="shared" si="2353"/>
        <v>NA</v>
      </c>
      <c r="Z1918" s="10" t="str">
        <f t="shared" si="2354"/>
        <v>NA</v>
      </c>
      <c r="AA1918" s="10" t="str">
        <f t="shared" si="2355"/>
        <v>NA</v>
      </c>
      <c r="AB1918" s="10" t="str">
        <f t="shared" si="2356"/>
        <v>NA</v>
      </c>
      <c r="AC1918" s="10" t="str">
        <f t="shared" si="2357"/>
        <v>NA</v>
      </c>
      <c r="AD1918" s="10" t="str">
        <f t="shared" si="2358"/>
        <v>NA</v>
      </c>
      <c r="AE1918" s="10" t="str">
        <f t="shared" si="2359"/>
        <v>NA</v>
      </c>
      <c r="AF1918" s="1" t="s">
        <v>2444</v>
      </c>
    </row>
    <row r="1919" spans="1:32" x14ac:dyDescent="0.2">
      <c r="A1919" s="1" t="s">
        <v>367</v>
      </c>
      <c r="B1919" s="1" t="s">
        <v>1575</v>
      </c>
      <c r="C1919" s="1" t="s">
        <v>1575</v>
      </c>
      <c r="D1919" s="1" t="s">
        <v>1578</v>
      </c>
      <c r="E1919" s="1" t="s">
        <v>2422</v>
      </c>
      <c r="F1919" s="1" t="s">
        <v>363</v>
      </c>
      <c r="G1919" s="4">
        <v>0.11</v>
      </c>
      <c r="H1919" s="28">
        <v>41517</v>
      </c>
      <c r="I1919" s="29">
        <f t="shared" si="2351"/>
        <v>2013</v>
      </c>
      <c r="J1919" s="1" t="s">
        <v>2428</v>
      </c>
      <c r="K1919" s="1" t="s">
        <v>7</v>
      </c>
      <c r="L1919" s="11" t="str">
        <f t="shared" si="2370"/>
        <v>НЕТ</v>
      </c>
      <c r="M1919" s="10" t="s">
        <v>1575</v>
      </c>
      <c r="N1919" s="10" t="s">
        <v>1575</v>
      </c>
      <c r="O1919" s="10">
        <v>0.23511199999999999</v>
      </c>
      <c r="P1919" s="10">
        <f t="shared" si="2349"/>
        <v>2.1373818181818183</v>
      </c>
      <c r="Q1919" s="10" t="str">
        <f t="shared" si="2350"/>
        <v>NA</v>
      </c>
      <c r="R1919" s="10" t="s">
        <v>1575</v>
      </c>
      <c r="S1919" s="10" t="s">
        <v>1575</v>
      </c>
      <c r="T1919" s="10" t="s">
        <v>1575</v>
      </c>
      <c r="U1919" s="10" t="s">
        <v>1575</v>
      </c>
      <c r="V1919" s="10" t="s">
        <v>1575</v>
      </c>
      <c r="W1919" s="10" t="s">
        <v>1575</v>
      </c>
      <c r="X1919" s="10" t="str">
        <f t="shared" si="2352"/>
        <v>NA</v>
      </c>
      <c r="Y1919" s="10" t="str">
        <f t="shared" si="2353"/>
        <v>NA</v>
      </c>
      <c r="Z1919" s="10" t="str">
        <f t="shared" si="2354"/>
        <v>NA</v>
      </c>
      <c r="AA1919" s="10" t="str">
        <f t="shared" si="2355"/>
        <v>NA</v>
      </c>
      <c r="AB1919" s="10" t="str">
        <f t="shared" si="2356"/>
        <v>NA</v>
      </c>
      <c r="AC1919" s="10" t="str">
        <f t="shared" si="2357"/>
        <v>NA</v>
      </c>
      <c r="AD1919" s="10" t="str">
        <f t="shared" si="2358"/>
        <v>NA</v>
      </c>
      <c r="AE1919" s="10" t="str">
        <f t="shared" si="2359"/>
        <v>NA</v>
      </c>
      <c r="AF1919" s="1" t="s">
        <v>2458</v>
      </c>
    </row>
    <row r="1920" spans="1:32" x14ac:dyDescent="0.2">
      <c r="A1920" s="1" t="s">
        <v>2446</v>
      </c>
      <c r="B1920" s="1" t="s">
        <v>5</v>
      </c>
      <c r="C1920" s="1" t="s">
        <v>1575</v>
      </c>
      <c r="D1920" s="1" t="s">
        <v>1578</v>
      </c>
      <c r="E1920" s="1" t="s">
        <v>2422</v>
      </c>
      <c r="F1920" s="1" t="s">
        <v>363</v>
      </c>
      <c r="G1920" s="4">
        <v>0.41930000000000001</v>
      </c>
      <c r="H1920" s="28">
        <v>41425</v>
      </c>
      <c r="I1920" s="29">
        <f t="shared" si="2351"/>
        <v>2013</v>
      </c>
      <c r="J1920" s="1" t="s">
        <v>2428</v>
      </c>
      <c r="K1920" s="1" t="s">
        <v>7</v>
      </c>
      <c r="L1920" s="11" t="str">
        <f t="shared" si="2370"/>
        <v>НЕТ</v>
      </c>
      <c r="M1920" s="10" t="s">
        <v>1575</v>
      </c>
      <c r="N1920" s="10" t="s">
        <v>1575</v>
      </c>
      <c r="O1920" s="10">
        <v>0.125253</v>
      </c>
      <c r="P1920" s="10">
        <f t="shared" si="2349"/>
        <v>0.29871929406153114</v>
      </c>
      <c r="Q1920" s="10" t="str">
        <f t="shared" si="2350"/>
        <v>NA</v>
      </c>
      <c r="R1920" s="10" t="s">
        <v>1575</v>
      </c>
      <c r="S1920" s="10" t="s">
        <v>1575</v>
      </c>
      <c r="T1920" s="10" t="s">
        <v>1575</v>
      </c>
      <c r="U1920" s="10" t="s">
        <v>1575</v>
      </c>
      <c r="V1920" s="10" t="s">
        <v>1575</v>
      </c>
      <c r="W1920" s="10" t="s">
        <v>1575</v>
      </c>
      <c r="X1920" s="10" t="str">
        <f t="shared" si="2352"/>
        <v>NA</v>
      </c>
      <c r="Y1920" s="10" t="str">
        <f t="shared" si="2353"/>
        <v>NA</v>
      </c>
      <c r="Z1920" s="10" t="str">
        <f t="shared" si="2354"/>
        <v>NA</v>
      </c>
      <c r="AA1920" s="10" t="str">
        <f t="shared" si="2355"/>
        <v>NA</v>
      </c>
      <c r="AB1920" s="10" t="str">
        <f t="shared" si="2356"/>
        <v>NA</v>
      </c>
      <c r="AC1920" s="10" t="str">
        <f t="shared" si="2357"/>
        <v>NA</v>
      </c>
      <c r="AD1920" s="10" t="str">
        <f t="shared" si="2358"/>
        <v>NA</v>
      </c>
      <c r="AE1920" s="10" t="str">
        <f t="shared" si="2359"/>
        <v>NA</v>
      </c>
      <c r="AF1920" s="1" t="s">
        <v>2445</v>
      </c>
    </row>
    <row r="1921" spans="1:32" x14ac:dyDescent="0.2">
      <c r="A1921" s="1" t="s">
        <v>2455</v>
      </c>
      <c r="B1921" s="1" t="s">
        <v>183</v>
      </c>
      <c r="C1921" s="1" t="s">
        <v>1575</v>
      </c>
      <c r="D1921" s="1" t="s">
        <v>1580</v>
      </c>
      <c r="E1921" s="1" t="s">
        <v>1593</v>
      </c>
      <c r="F1921" s="1" t="s">
        <v>2448</v>
      </c>
      <c r="G1921" s="4" t="s">
        <v>11</v>
      </c>
      <c r="H1921" s="28">
        <v>41394</v>
      </c>
      <c r="I1921" s="29">
        <f t="shared" si="2351"/>
        <v>2013</v>
      </c>
      <c r="J1921" s="1" t="s">
        <v>2428</v>
      </c>
      <c r="K1921" s="1" t="s">
        <v>7</v>
      </c>
      <c r="L1921" s="11" t="str">
        <f t="shared" si="2370"/>
        <v>НЕТ</v>
      </c>
      <c r="M1921" s="10" t="s">
        <v>1575</v>
      </c>
      <c r="N1921" s="10" t="s">
        <v>1575</v>
      </c>
      <c r="O1921" s="10">
        <v>1.24E-3</v>
      </c>
      <c r="P1921" s="10" t="str">
        <f t="shared" si="2349"/>
        <v>NA</v>
      </c>
      <c r="Q1921" s="10" t="str">
        <f t="shared" si="2350"/>
        <v>NA</v>
      </c>
      <c r="R1921" s="10" t="s">
        <v>1575</v>
      </c>
      <c r="S1921" s="10" t="s">
        <v>1575</v>
      </c>
      <c r="T1921" s="10" t="s">
        <v>1575</v>
      </c>
      <c r="U1921" s="10" t="s">
        <v>1575</v>
      </c>
      <c r="V1921" s="10" t="s">
        <v>1575</v>
      </c>
      <c r="W1921" s="10" t="s">
        <v>1575</v>
      </c>
      <c r="X1921" s="10" t="str">
        <f t="shared" si="2352"/>
        <v>NA</v>
      </c>
      <c r="Y1921" s="10" t="str">
        <f t="shared" si="2353"/>
        <v>NA</v>
      </c>
      <c r="Z1921" s="10" t="str">
        <f t="shared" si="2354"/>
        <v>NA</v>
      </c>
      <c r="AA1921" s="10" t="str">
        <f t="shared" si="2355"/>
        <v>NA</v>
      </c>
      <c r="AB1921" s="10" t="str">
        <f t="shared" si="2356"/>
        <v>NA</v>
      </c>
      <c r="AC1921" s="10" t="str">
        <f t="shared" si="2357"/>
        <v>NA</v>
      </c>
      <c r="AD1921" s="10" t="str">
        <f t="shared" si="2358"/>
        <v>NA</v>
      </c>
      <c r="AE1921" s="10" t="str">
        <f t="shared" si="2359"/>
        <v>NA</v>
      </c>
      <c r="AF1921" s="1" t="s">
        <v>2447</v>
      </c>
    </row>
    <row r="1922" spans="1:32" x14ac:dyDescent="0.2">
      <c r="A1922" s="1" t="s">
        <v>368</v>
      </c>
      <c r="B1922" s="1" t="s">
        <v>5</v>
      </c>
      <c r="C1922" s="1" t="s">
        <v>1575</v>
      </c>
      <c r="D1922" s="1" t="s">
        <v>1578</v>
      </c>
      <c r="E1922" s="1" t="s">
        <v>2422</v>
      </c>
      <c r="F1922" s="1" t="s">
        <v>363</v>
      </c>
      <c r="G1922" s="4">
        <v>0.50004999999999999</v>
      </c>
      <c r="H1922" s="28">
        <v>41085</v>
      </c>
      <c r="I1922" s="29">
        <f t="shared" si="2351"/>
        <v>2012</v>
      </c>
      <c r="J1922" s="1" t="s">
        <v>2428</v>
      </c>
      <c r="K1922" s="1" t="s">
        <v>7</v>
      </c>
      <c r="L1922" s="11" t="str">
        <f t="shared" si="2370"/>
        <v>НЕТ</v>
      </c>
      <c r="M1922" s="10">
        <v>57</v>
      </c>
      <c r="N1922" s="10" t="s">
        <v>1575</v>
      </c>
      <c r="O1922" s="10">
        <v>1.935719</v>
      </c>
      <c r="P1922" s="10">
        <f t="shared" si="2349"/>
        <v>3.8710508949105091</v>
      </c>
      <c r="Q1922" s="10">
        <f t="shared" si="2350"/>
        <v>4.2290698949105092</v>
      </c>
      <c r="R1922" s="10" t="s">
        <v>1575</v>
      </c>
      <c r="S1922" s="10" t="s">
        <v>1575</v>
      </c>
      <c r="T1922" s="10" t="s">
        <v>1575</v>
      </c>
      <c r="U1922" s="10" t="s">
        <v>1575</v>
      </c>
      <c r="V1922" s="10">
        <v>1.9075839999999999</v>
      </c>
      <c r="W1922" s="10">
        <f>0.093189+0.045077+0.303572-0.083819</f>
        <v>0.35801899999999998</v>
      </c>
      <c r="X1922" s="10">
        <f t="shared" si="2352"/>
        <v>2.265603</v>
      </c>
      <c r="Y1922" s="10" t="str">
        <f t="shared" si="2353"/>
        <v>NA</v>
      </c>
      <c r="Z1922" s="10" t="str">
        <f t="shared" si="2354"/>
        <v>NA</v>
      </c>
      <c r="AA1922" s="10">
        <f t="shared" si="2355"/>
        <v>2.0292951161838793</v>
      </c>
      <c r="AB1922" s="10" t="str">
        <f t="shared" si="2356"/>
        <v>NA</v>
      </c>
      <c r="AC1922" s="10" t="str">
        <f t="shared" si="2357"/>
        <v>NA</v>
      </c>
      <c r="AD1922" s="10" t="str">
        <f t="shared" si="2358"/>
        <v>NA</v>
      </c>
      <c r="AE1922" s="10">
        <f t="shared" si="2359"/>
        <v>1.8666420793539331</v>
      </c>
      <c r="AF1922" s="1" t="s">
        <v>2457</v>
      </c>
    </row>
    <row r="1923" spans="1:32" x14ac:dyDescent="0.2">
      <c r="A1923" s="1" t="s">
        <v>2428</v>
      </c>
      <c r="B1923" s="1" t="s">
        <v>5</v>
      </c>
      <c r="C1923" s="1" t="s">
        <v>2450</v>
      </c>
      <c r="D1923" s="1" t="s">
        <v>1578</v>
      </c>
      <c r="E1923" s="1" t="s">
        <v>2422</v>
      </c>
      <c r="F1923" s="1" t="s">
        <v>363</v>
      </c>
      <c r="G1923" s="4">
        <f>1436920/37792603</f>
        <v>3.802119689929799E-2</v>
      </c>
      <c r="H1923" s="28">
        <v>41608</v>
      </c>
      <c r="I1923" s="29">
        <f t="shared" si="2351"/>
        <v>2013</v>
      </c>
      <c r="J1923" s="1" t="s">
        <v>2449</v>
      </c>
      <c r="K1923" s="1" t="s">
        <v>7</v>
      </c>
      <c r="L1923" s="11" t="str">
        <f t="shared" si="2370"/>
        <v>НЕТ</v>
      </c>
      <c r="M1923" s="10" t="s">
        <v>1575</v>
      </c>
      <c r="N1923" s="10" t="s">
        <v>1575</v>
      </c>
      <c r="O1923" s="10">
        <v>3.1324860000000001</v>
      </c>
      <c r="P1923" s="10">
        <f t="shared" ref="P1923:P1986" si="2371">IFERROR(O1923/G1923,"NA")</f>
        <v>82.387885060447346</v>
      </c>
      <c r="Q1923" s="10">
        <f t="shared" ref="Q1923:Q1986" si="2372">IFERROR(P1923+W1923,"NA")</f>
        <v>69.890885060447346</v>
      </c>
      <c r="R1923" s="10">
        <v>50.783999999999999</v>
      </c>
      <c r="S1923" s="10">
        <v>13.505999999999998</v>
      </c>
      <c r="T1923" s="10">
        <v>12.526999999999999</v>
      </c>
      <c r="U1923" s="10">
        <v>9.9640000000000004</v>
      </c>
      <c r="V1923" s="10">
        <v>39.216999999999999</v>
      </c>
      <c r="W1923" s="10">
        <v>-12.496999999999998</v>
      </c>
      <c r="X1923" s="10">
        <f t="shared" si="2352"/>
        <v>26.72</v>
      </c>
      <c r="Y1923" s="10">
        <f t="shared" si="2353"/>
        <v>1.6223197278758537</v>
      </c>
      <c r="Z1923" s="10">
        <f t="shared" si="2354"/>
        <v>8.2685553051432503</v>
      </c>
      <c r="AA1923" s="10">
        <f t="shared" si="2355"/>
        <v>2.1008206915482406</v>
      </c>
      <c r="AB1923" s="10">
        <f t="shared" si="2356"/>
        <v>1.3762382849016885</v>
      </c>
      <c r="AC1923" s="10">
        <f t="shared" si="2357"/>
        <v>5.1748026847658339</v>
      </c>
      <c r="AD1923" s="10">
        <f t="shared" si="2358"/>
        <v>5.57921969030473</v>
      </c>
      <c r="AE1923" s="10">
        <f t="shared" si="2359"/>
        <v>2.6156768360945866</v>
      </c>
      <c r="AF1923" s="1" t="s">
        <v>2453</v>
      </c>
    </row>
    <row r="1924" spans="1:32" x14ac:dyDescent="0.2">
      <c r="A1924" s="1" t="s">
        <v>2428</v>
      </c>
      <c r="B1924" s="1" t="s">
        <v>5</v>
      </c>
      <c r="C1924" s="1" t="s">
        <v>2450</v>
      </c>
      <c r="D1924" s="1" t="s">
        <v>1578</v>
      </c>
      <c r="E1924" s="1" t="s">
        <v>2422</v>
      </c>
      <c r="F1924" s="1" t="s">
        <v>363</v>
      </c>
      <c r="G1924" s="4">
        <v>0.10299999999999999</v>
      </c>
      <c r="H1924" s="28">
        <v>41486</v>
      </c>
      <c r="I1924" s="29">
        <f t="shared" si="2351"/>
        <v>2013</v>
      </c>
      <c r="J1924" s="1" t="s">
        <v>2449</v>
      </c>
      <c r="K1924" s="1" t="s">
        <v>7</v>
      </c>
      <c r="L1924" s="11" t="str">
        <f t="shared" si="2370"/>
        <v>НЕТ</v>
      </c>
      <c r="M1924" s="10" t="s">
        <v>1575</v>
      </c>
      <c r="N1924" s="10" t="s">
        <v>1575</v>
      </c>
      <c r="O1924" s="10">
        <v>7.9440340000000003</v>
      </c>
      <c r="P1924" s="10">
        <f t="shared" si="2371"/>
        <v>77.1265436893204</v>
      </c>
      <c r="Q1924" s="10">
        <f t="shared" si="2372"/>
        <v>64.6295436893204</v>
      </c>
      <c r="R1924" s="10">
        <v>50.783999999999999</v>
      </c>
      <c r="S1924" s="10">
        <v>13.505999999999998</v>
      </c>
      <c r="T1924" s="10">
        <v>12.526999999999999</v>
      </c>
      <c r="U1924" s="10">
        <v>9.9640000000000004</v>
      </c>
      <c r="V1924" s="10">
        <v>39.216999999999999</v>
      </c>
      <c r="W1924" s="10">
        <v>-12.496999999999998</v>
      </c>
      <c r="X1924" s="10">
        <f t="shared" si="2352"/>
        <v>26.72</v>
      </c>
      <c r="Y1924" s="10">
        <f t="shared" si="2353"/>
        <v>1.5187173851866809</v>
      </c>
      <c r="Z1924" s="10">
        <f t="shared" si="2354"/>
        <v>7.7405202418025292</v>
      </c>
      <c r="AA1924" s="10">
        <f t="shared" si="2355"/>
        <v>1.966660980934809</v>
      </c>
      <c r="AB1924" s="10">
        <f t="shared" si="2356"/>
        <v>1.2726359422125157</v>
      </c>
      <c r="AC1924" s="10">
        <f t="shared" si="2357"/>
        <v>4.7852468302473277</v>
      </c>
      <c r="AD1924" s="10">
        <f t="shared" si="2358"/>
        <v>5.1592195808509942</v>
      </c>
      <c r="AE1924" s="10">
        <f t="shared" si="2359"/>
        <v>2.4187703476542066</v>
      </c>
      <c r="AF1924" s="1" t="s">
        <v>2454</v>
      </c>
    </row>
    <row r="1925" spans="1:32" x14ac:dyDescent="0.2">
      <c r="A1925" s="1" t="s">
        <v>2428</v>
      </c>
      <c r="B1925" s="1" t="s">
        <v>5</v>
      </c>
      <c r="C1925" s="1" t="s">
        <v>2450</v>
      </c>
      <c r="D1925" s="1" t="s">
        <v>1578</v>
      </c>
      <c r="E1925" s="1" t="s">
        <v>2422</v>
      </c>
      <c r="F1925" s="1" t="s">
        <v>363</v>
      </c>
      <c r="G1925" s="4">
        <v>3.61E-2</v>
      </c>
      <c r="H1925" s="28">
        <v>41274</v>
      </c>
      <c r="I1925" s="29">
        <f t="shared" si="2351"/>
        <v>2012</v>
      </c>
      <c r="J1925" s="1" t="s">
        <v>2449</v>
      </c>
      <c r="K1925" s="1" t="s">
        <v>7</v>
      </c>
      <c r="L1925" s="11" t="str">
        <f t="shared" si="2370"/>
        <v>НЕТ</v>
      </c>
      <c r="M1925" s="10" t="s">
        <v>1575</v>
      </c>
      <c r="N1925" s="10" t="s">
        <v>1575</v>
      </c>
      <c r="O1925" s="10">
        <v>1.976415</v>
      </c>
      <c r="P1925" s="10">
        <f t="shared" si="2371"/>
        <v>54.748337950138506</v>
      </c>
      <c r="Q1925" s="10">
        <f t="shared" si="2372"/>
        <v>42.251337950138506</v>
      </c>
      <c r="R1925" s="10">
        <v>50.783999999999999</v>
      </c>
      <c r="S1925" s="10">
        <v>13.505999999999998</v>
      </c>
      <c r="T1925" s="10">
        <v>12.526999999999999</v>
      </c>
      <c r="U1925" s="10">
        <v>9.9640000000000004</v>
      </c>
      <c r="V1925" s="10">
        <v>39.216999999999999</v>
      </c>
      <c r="W1925" s="10">
        <v>-12.496999999999998</v>
      </c>
      <c r="X1925" s="10">
        <f t="shared" si="2352"/>
        <v>26.72</v>
      </c>
      <c r="Y1925" s="10">
        <f t="shared" si="2353"/>
        <v>1.0780627353130614</v>
      </c>
      <c r="Z1925" s="10">
        <f t="shared" si="2354"/>
        <v>5.4946144068786138</v>
      </c>
      <c r="AA1925" s="10">
        <f t="shared" si="2355"/>
        <v>1.3960358505275392</v>
      </c>
      <c r="AB1925" s="10">
        <f t="shared" si="2356"/>
        <v>0.83198129233889628</v>
      </c>
      <c r="AC1925" s="10">
        <f t="shared" si="2357"/>
        <v>3.1283383644408791</v>
      </c>
      <c r="AD1925" s="10">
        <f t="shared" si="2358"/>
        <v>3.3728217410504118</v>
      </c>
      <c r="AE1925" s="10">
        <f t="shared" si="2359"/>
        <v>1.5812626478345251</v>
      </c>
      <c r="AF1925" s="1" t="s">
        <v>2451</v>
      </c>
    </row>
    <row r="1926" spans="1:32" x14ac:dyDescent="0.2">
      <c r="A1926" s="1" t="s">
        <v>2428</v>
      </c>
      <c r="B1926" s="1" t="s">
        <v>5</v>
      </c>
      <c r="C1926" s="1" t="s">
        <v>2450</v>
      </c>
      <c r="D1926" s="1" t="s">
        <v>1578</v>
      </c>
      <c r="E1926" s="1" t="s">
        <v>2422</v>
      </c>
      <c r="F1926" s="1" t="s">
        <v>363</v>
      </c>
      <c r="G1926" s="4">
        <v>4.8300000000000003E-2</v>
      </c>
      <c r="H1926" s="28">
        <v>40908</v>
      </c>
      <c r="I1926" s="29">
        <f t="shared" si="2351"/>
        <v>2011</v>
      </c>
      <c r="J1926" s="1" t="s">
        <v>2449</v>
      </c>
      <c r="K1926" s="1" t="s">
        <v>7</v>
      </c>
      <c r="L1926" s="11" t="str">
        <f t="shared" si="2370"/>
        <v>НЕТ</v>
      </c>
      <c r="M1926" s="10" t="s">
        <v>1575</v>
      </c>
      <c r="N1926" s="10" t="s">
        <v>1575</v>
      </c>
      <c r="O1926" s="10">
        <v>5.4742499999999996</v>
      </c>
      <c r="P1926" s="10">
        <f t="shared" si="2371"/>
        <v>113.33850931677017</v>
      </c>
      <c r="Q1926" s="10">
        <f t="shared" si="2372"/>
        <v>105.47050931677018</v>
      </c>
      <c r="R1926" s="10">
        <v>42.654000000000003</v>
      </c>
      <c r="S1926" s="10">
        <v>11.976999999999999</v>
      </c>
      <c r="T1926" s="10">
        <v>11.087999999999999</v>
      </c>
      <c r="U1926" s="10">
        <v>8.8330000000000002</v>
      </c>
      <c r="V1926" s="10">
        <v>30.295000000000005</v>
      </c>
      <c r="W1926" s="10">
        <v>-7.8680000000000012</v>
      </c>
      <c r="X1926" s="10">
        <f t="shared" si="2352"/>
        <v>22.427000000000003</v>
      </c>
      <c r="Y1926" s="10">
        <f t="shared" si="2353"/>
        <v>2.6571601565332714</v>
      </c>
      <c r="Z1926" s="10">
        <f t="shared" si="2354"/>
        <v>12.831258838081078</v>
      </c>
      <c r="AA1926" s="10">
        <f t="shared" si="2355"/>
        <v>3.7411622154405069</v>
      </c>
      <c r="AB1926" s="10">
        <f t="shared" si="2356"/>
        <v>2.4726991446703748</v>
      </c>
      <c r="AC1926" s="10">
        <f t="shared" si="2357"/>
        <v>8.8060874439985124</v>
      </c>
      <c r="AD1926" s="10">
        <f t="shared" si="2358"/>
        <v>9.5121310711372828</v>
      </c>
      <c r="AE1926" s="10">
        <f t="shared" si="2359"/>
        <v>4.7028362829076631</v>
      </c>
      <c r="AF1926" s="1" t="s">
        <v>2452</v>
      </c>
    </row>
    <row r="1927" spans="1:32" x14ac:dyDescent="0.2">
      <c r="A1927" s="1" t="s">
        <v>369</v>
      </c>
      <c r="B1927" s="1" t="s">
        <v>5</v>
      </c>
      <c r="C1927" s="1" t="s">
        <v>1575</v>
      </c>
      <c r="D1927" s="1" t="s">
        <v>1578</v>
      </c>
      <c r="E1927" s="1" t="s">
        <v>2422</v>
      </c>
      <c r="F1927" s="1" t="s">
        <v>363</v>
      </c>
      <c r="G1927" s="4">
        <v>1</v>
      </c>
      <c r="H1927" s="28">
        <v>41234</v>
      </c>
      <c r="I1927" s="29">
        <f t="shared" si="2351"/>
        <v>2012</v>
      </c>
      <c r="J1927" s="1" t="s">
        <v>2428</v>
      </c>
      <c r="K1927" s="1" t="s">
        <v>7</v>
      </c>
      <c r="L1927" s="11" t="str">
        <f t="shared" si="2370"/>
        <v>НЕТ</v>
      </c>
      <c r="M1927" s="10">
        <v>21.8</v>
      </c>
      <c r="N1927" s="10" t="s">
        <v>1575</v>
      </c>
      <c r="O1927" s="10">
        <f>0.691206</f>
        <v>0.69120599999999999</v>
      </c>
      <c r="P1927" s="10">
        <f t="shared" si="2371"/>
        <v>0.69120599999999999</v>
      </c>
      <c r="Q1927" s="10">
        <f t="shared" si="2372"/>
        <v>0.699291</v>
      </c>
      <c r="R1927" s="10" t="s">
        <v>1575</v>
      </c>
      <c r="S1927" s="10" t="s">
        <v>1575</v>
      </c>
      <c r="T1927" s="10" t="s">
        <v>1575</v>
      </c>
      <c r="U1927" s="10" t="s">
        <v>1575</v>
      </c>
      <c r="V1927" s="10">
        <v>0.61064300000000005</v>
      </c>
      <c r="W1927" s="10">
        <f>0.041542-0.033457</f>
        <v>8.0850000000000019E-3</v>
      </c>
      <c r="X1927" s="10">
        <f t="shared" si="2352"/>
        <v>0.61872800000000006</v>
      </c>
      <c r="Y1927" s="10" t="str">
        <f t="shared" si="2353"/>
        <v>NA</v>
      </c>
      <c r="Z1927" s="10" t="str">
        <f t="shared" si="2354"/>
        <v>NA</v>
      </c>
      <c r="AA1927" s="10">
        <f t="shared" si="2355"/>
        <v>1.131931423106463</v>
      </c>
      <c r="AB1927" s="10" t="str">
        <f t="shared" si="2356"/>
        <v>NA</v>
      </c>
      <c r="AC1927" s="10" t="str">
        <f t="shared" si="2357"/>
        <v>NA</v>
      </c>
      <c r="AD1927" s="10" t="str">
        <f t="shared" si="2358"/>
        <v>NA</v>
      </c>
      <c r="AE1927" s="10">
        <f t="shared" si="2359"/>
        <v>1.1302074578813306</v>
      </c>
      <c r="AF1927" s="1" t="s">
        <v>2456</v>
      </c>
    </row>
    <row r="1928" spans="1:32" x14ac:dyDescent="0.2">
      <c r="A1928" s="1" t="s">
        <v>6194</v>
      </c>
      <c r="B1928" s="1" t="s">
        <v>91</v>
      </c>
      <c r="C1928" s="1" t="s">
        <v>1575</v>
      </c>
      <c r="D1928" s="1" t="s">
        <v>1578</v>
      </c>
      <c r="E1928" s="1" t="s">
        <v>2422</v>
      </c>
      <c r="F1928" s="1" t="s">
        <v>363</v>
      </c>
      <c r="G1928" s="4">
        <v>0.41930000000000001</v>
      </c>
      <c r="H1928" s="28">
        <v>41425</v>
      </c>
      <c r="I1928" s="29">
        <f t="shared" si="2351"/>
        <v>2013</v>
      </c>
      <c r="J1928" s="1" t="s">
        <v>2428</v>
      </c>
      <c r="K1928" s="1" t="s">
        <v>7</v>
      </c>
      <c r="L1928" s="11" t="str">
        <f t="shared" si="2370"/>
        <v>НЕТ</v>
      </c>
      <c r="M1928" s="10" t="s">
        <v>1575</v>
      </c>
      <c r="N1928" s="10" t="s">
        <v>1575</v>
      </c>
      <c r="O1928" s="10">
        <v>0.125253</v>
      </c>
      <c r="P1928" s="10">
        <f t="shared" si="2371"/>
        <v>0.29871929406153114</v>
      </c>
      <c r="Q1928" s="10" t="str">
        <f t="shared" si="2372"/>
        <v>NA</v>
      </c>
      <c r="R1928" s="10" t="s">
        <v>1575</v>
      </c>
      <c r="S1928" s="10" t="s">
        <v>1575</v>
      </c>
      <c r="T1928" s="10" t="s">
        <v>1575</v>
      </c>
      <c r="U1928" s="10" t="s">
        <v>1575</v>
      </c>
      <c r="V1928" s="10" t="s">
        <v>1575</v>
      </c>
      <c r="W1928" s="10" t="s">
        <v>1575</v>
      </c>
      <c r="X1928" s="10" t="str">
        <f t="shared" si="2352"/>
        <v>NA</v>
      </c>
      <c r="Y1928" s="10" t="str">
        <f t="shared" si="2353"/>
        <v>NA</v>
      </c>
      <c r="Z1928" s="10" t="str">
        <f t="shared" si="2354"/>
        <v>NA</v>
      </c>
      <c r="AA1928" s="10" t="str">
        <f t="shared" si="2355"/>
        <v>NA</v>
      </c>
      <c r="AB1928" s="10" t="str">
        <f t="shared" si="2356"/>
        <v>NA</v>
      </c>
      <c r="AC1928" s="10" t="str">
        <f t="shared" si="2357"/>
        <v>NA</v>
      </c>
      <c r="AD1928" s="10" t="str">
        <f t="shared" si="2358"/>
        <v>NA</v>
      </c>
      <c r="AE1928" s="10" t="str">
        <f t="shared" si="2359"/>
        <v>NA</v>
      </c>
      <c r="AF1928" s="1" t="s">
        <v>2459</v>
      </c>
    </row>
    <row r="1929" spans="1:32" x14ac:dyDescent="0.2">
      <c r="A1929" s="1" t="s">
        <v>2460</v>
      </c>
      <c r="B1929" s="1" t="s">
        <v>91</v>
      </c>
      <c r="C1929" s="1" t="s">
        <v>1575</v>
      </c>
      <c r="D1929" s="1" t="s">
        <v>1578</v>
      </c>
      <c r="E1929" s="1" t="s">
        <v>2422</v>
      </c>
      <c r="F1929" s="1" t="s">
        <v>363</v>
      </c>
      <c r="G1929" s="4">
        <v>0.55000000000000004</v>
      </c>
      <c r="H1929" s="28">
        <v>40543</v>
      </c>
      <c r="I1929" s="29">
        <f t="shared" si="2351"/>
        <v>2010</v>
      </c>
      <c r="J1929" s="1" t="s">
        <v>2428</v>
      </c>
      <c r="K1929" s="1" t="s">
        <v>7</v>
      </c>
      <c r="L1929" s="11" t="str">
        <f t="shared" si="2370"/>
        <v>НЕТ</v>
      </c>
      <c r="M1929" s="10">
        <v>13.086</v>
      </c>
      <c r="N1929" s="10" t="s">
        <v>1575</v>
      </c>
      <c r="O1929" s="10">
        <v>0.39701700000000001</v>
      </c>
      <c r="P1929" s="10">
        <f t="shared" si="2371"/>
        <v>0.72184909090909088</v>
      </c>
      <c r="Q1929" s="10">
        <f t="shared" si="2372"/>
        <v>0.76984009090909089</v>
      </c>
      <c r="R1929" s="10" t="s">
        <v>1575</v>
      </c>
      <c r="S1929" s="10" t="s">
        <v>1575</v>
      </c>
      <c r="T1929" s="10" t="s">
        <v>1575</v>
      </c>
      <c r="U1929" s="10" t="s">
        <v>1575</v>
      </c>
      <c r="V1929" s="10">
        <v>6.8154999999999993E-2</v>
      </c>
      <c r="W1929" s="10">
        <f>0.025461+0.019449+0.008783-0.005702</f>
        <v>4.7991000000000006E-2</v>
      </c>
      <c r="X1929" s="10">
        <f t="shared" si="2352"/>
        <v>0.116146</v>
      </c>
      <c r="Y1929" s="10" t="str">
        <f t="shared" si="2353"/>
        <v>NA</v>
      </c>
      <c r="Z1929" s="10" t="str">
        <f t="shared" si="2354"/>
        <v>NA</v>
      </c>
      <c r="AA1929" s="10">
        <f t="shared" si="2355"/>
        <v>10.591285905789611</v>
      </c>
      <c r="AB1929" s="10" t="str">
        <f t="shared" si="2356"/>
        <v>NA</v>
      </c>
      <c r="AC1929" s="10" t="str">
        <f t="shared" si="2357"/>
        <v>NA</v>
      </c>
      <c r="AD1929" s="10" t="str">
        <f t="shared" si="2358"/>
        <v>NA</v>
      </c>
      <c r="AE1929" s="10">
        <f t="shared" si="2359"/>
        <v>6.6282101054628733</v>
      </c>
      <c r="AF1929" s="1" t="s">
        <v>2461</v>
      </c>
    </row>
    <row r="1930" spans="1:32" x14ac:dyDescent="0.2">
      <c r="A1930" s="1" t="s">
        <v>370</v>
      </c>
      <c r="B1930" s="1" t="s">
        <v>82</v>
      </c>
      <c r="C1930" s="1" t="s">
        <v>1575</v>
      </c>
      <c r="D1930" s="1" t="s">
        <v>1578</v>
      </c>
      <c r="E1930" s="1" t="s">
        <v>2422</v>
      </c>
      <c r="F1930" s="1" t="s">
        <v>363</v>
      </c>
      <c r="G1930" s="4">
        <v>0.1138</v>
      </c>
      <c r="H1930" s="28">
        <v>40482</v>
      </c>
      <c r="I1930" s="29">
        <f t="shared" si="2351"/>
        <v>2010</v>
      </c>
      <c r="J1930" s="1" t="s">
        <v>7</v>
      </c>
      <c r="K1930" s="1" t="s">
        <v>2428</v>
      </c>
      <c r="L1930" s="11" t="str">
        <f t="shared" si="2370"/>
        <v>НЕТ</v>
      </c>
      <c r="M1930" s="10" t="s">
        <v>1575</v>
      </c>
      <c r="N1930" s="10">
        <v>12.446999999999999</v>
      </c>
      <c r="O1930" s="10">
        <v>0.52855200000000002</v>
      </c>
      <c r="P1930" s="10">
        <f t="shared" si="2371"/>
        <v>4.6445694200351495</v>
      </c>
      <c r="Q1930" s="10" t="str">
        <f t="shared" si="2372"/>
        <v>NA</v>
      </c>
      <c r="R1930" s="10" t="s">
        <v>1575</v>
      </c>
      <c r="S1930" s="10" t="s">
        <v>1575</v>
      </c>
      <c r="T1930" s="10" t="s">
        <v>1575</v>
      </c>
      <c r="U1930" s="10" t="s">
        <v>1575</v>
      </c>
      <c r="V1930" s="10" t="s">
        <v>1575</v>
      </c>
      <c r="W1930" s="10" t="s">
        <v>1575</v>
      </c>
      <c r="X1930" s="10" t="str">
        <f t="shared" si="2352"/>
        <v>NA</v>
      </c>
      <c r="Y1930" s="10" t="str">
        <f t="shared" si="2353"/>
        <v>NA</v>
      </c>
      <c r="Z1930" s="10" t="str">
        <f t="shared" si="2354"/>
        <v>NA</v>
      </c>
      <c r="AA1930" s="10" t="str">
        <f t="shared" si="2355"/>
        <v>NA</v>
      </c>
      <c r="AB1930" s="10" t="str">
        <f t="shared" si="2356"/>
        <v>NA</v>
      </c>
      <c r="AC1930" s="10" t="str">
        <f t="shared" si="2357"/>
        <v>NA</v>
      </c>
      <c r="AD1930" s="10" t="str">
        <f t="shared" si="2358"/>
        <v>NA</v>
      </c>
      <c r="AE1930" s="10" t="str">
        <f t="shared" si="2359"/>
        <v>NA</v>
      </c>
      <c r="AF1930" s="1" t="s">
        <v>2462</v>
      </c>
    </row>
    <row r="1931" spans="1:32" x14ac:dyDescent="0.2">
      <c r="A1931" s="1" t="s">
        <v>370</v>
      </c>
      <c r="B1931" s="1" t="s">
        <v>82</v>
      </c>
      <c r="C1931" s="1" t="s">
        <v>1575</v>
      </c>
      <c r="D1931" s="1" t="s">
        <v>1578</v>
      </c>
      <c r="E1931" s="1" t="s">
        <v>2422</v>
      </c>
      <c r="F1931" s="1" t="s">
        <v>363</v>
      </c>
      <c r="G1931" s="4">
        <v>0.1138</v>
      </c>
      <c r="H1931" s="28">
        <v>40298</v>
      </c>
      <c r="I1931" s="29">
        <f t="shared" si="2351"/>
        <v>2010</v>
      </c>
      <c r="J1931" s="1" t="s">
        <v>2428</v>
      </c>
      <c r="K1931" s="1" t="s">
        <v>7</v>
      </c>
      <c r="L1931" s="11" t="str">
        <f t="shared" si="2370"/>
        <v>НЕТ</v>
      </c>
      <c r="M1931" s="10" t="s">
        <v>1575</v>
      </c>
      <c r="N1931" s="10">
        <v>12.21</v>
      </c>
      <c r="O1931" s="10">
        <v>0.48106500000000002</v>
      </c>
      <c r="P1931" s="10">
        <f t="shared" si="2371"/>
        <v>4.2272847100175746</v>
      </c>
      <c r="Q1931" s="10" t="str">
        <f t="shared" si="2372"/>
        <v>NA</v>
      </c>
      <c r="R1931" s="10" t="s">
        <v>1575</v>
      </c>
      <c r="S1931" s="10" t="s">
        <v>1575</v>
      </c>
      <c r="T1931" s="10" t="s">
        <v>1575</v>
      </c>
      <c r="U1931" s="10" t="s">
        <v>1575</v>
      </c>
      <c r="V1931" s="10" t="s">
        <v>1575</v>
      </c>
      <c r="W1931" s="10" t="s">
        <v>1575</v>
      </c>
      <c r="X1931" s="10" t="str">
        <f t="shared" si="2352"/>
        <v>NA</v>
      </c>
      <c r="Y1931" s="10" t="str">
        <f t="shared" si="2353"/>
        <v>NA</v>
      </c>
      <c r="Z1931" s="10" t="str">
        <f t="shared" si="2354"/>
        <v>NA</v>
      </c>
      <c r="AA1931" s="10" t="str">
        <f t="shared" si="2355"/>
        <v>NA</v>
      </c>
      <c r="AB1931" s="10" t="str">
        <f t="shared" si="2356"/>
        <v>NA</v>
      </c>
      <c r="AC1931" s="10" t="str">
        <f t="shared" si="2357"/>
        <v>NA</v>
      </c>
      <c r="AD1931" s="10" t="str">
        <f t="shared" si="2358"/>
        <v>NA</v>
      </c>
      <c r="AE1931" s="10" t="str">
        <f t="shared" si="2359"/>
        <v>NA</v>
      </c>
      <c r="AF1931" s="1" t="s">
        <v>2463</v>
      </c>
    </row>
    <row r="1932" spans="1:32" x14ac:dyDescent="0.2">
      <c r="A1932" s="1" t="s">
        <v>2464</v>
      </c>
      <c r="B1932" s="1" t="s">
        <v>5</v>
      </c>
      <c r="C1932" s="1" t="s">
        <v>2469</v>
      </c>
      <c r="D1932" s="1" t="s">
        <v>1578</v>
      </c>
      <c r="E1932" s="1" t="s">
        <v>2422</v>
      </c>
      <c r="F1932" s="1" t="s">
        <v>363</v>
      </c>
      <c r="G1932" s="4">
        <f>13521032/527142857</f>
        <v>2.5649654207493131E-2</v>
      </c>
      <c r="H1932" s="28">
        <v>43830</v>
      </c>
      <c r="I1932" s="29">
        <f t="shared" si="2351"/>
        <v>2019</v>
      </c>
      <c r="J1932" s="1" t="s">
        <v>2464</v>
      </c>
      <c r="K1932" s="1" t="s">
        <v>7</v>
      </c>
      <c r="L1932" s="11" t="str">
        <f t="shared" si="2370"/>
        <v>ДА</v>
      </c>
      <c r="M1932" s="10" t="s">
        <v>1575</v>
      </c>
      <c r="N1932" s="10" t="s">
        <v>1575</v>
      </c>
      <c r="O1932" s="10">
        <v>1.370625</v>
      </c>
      <c r="P1932" s="10">
        <f t="shared" si="2371"/>
        <v>53.436392900750846</v>
      </c>
      <c r="Q1932" s="10">
        <f t="shared" si="2372"/>
        <v>65.367410900750855</v>
      </c>
      <c r="R1932" s="10">
        <v>265.64733799999999</v>
      </c>
      <c r="S1932" s="10">
        <v>12.740358000000001</v>
      </c>
      <c r="T1932" s="10">
        <v>7.6321380000000003</v>
      </c>
      <c r="U1932" s="10">
        <v>3.6800950000000001</v>
      </c>
      <c r="V1932" s="10">
        <v>42.118169999999999</v>
      </c>
      <c r="W1932" s="10">
        <v>11.931018000000002</v>
      </c>
      <c r="X1932" s="10">
        <f t="shared" si="2352"/>
        <v>54.049188000000001</v>
      </c>
      <c r="Y1932" s="10">
        <f t="shared" si="2353"/>
        <v>0.20115538632181154</v>
      </c>
      <c r="Z1932" s="10">
        <f t="shared" si="2354"/>
        <v>14.520384093549445</v>
      </c>
      <c r="AA1932" s="10">
        <f t="shared" si="2355"/>
        <v>1.2687254194745605</v>
      </c>
      <c r="AB1932" s="10">
        <f t="shared" si="2356"/>
        <v>0.24606838296550465</v>
      </c>
      <c r="AC1932" s="10">
        <f t="shared" si="2357"/>
        <v>5.1307358004187051</v>
      </c>
      <c r="AD1932" s="10">
        <f t="shared" si="2358"/>
        <v>8.5647574638654138</v>
      </c>
      <c r="AE1932" s="10">
        <f t="shared" si="2359"/>
        <v>1.2094059748085551</v>
      </c>
      <c r="AF1932" s="1" t="s">
        <v>2470</v>
      </c>
    </row>
    <row r="1933" spans="1:32" x14ac:dyDescent="0.2">
      <c r="A1933" s="1" t="s">
        <v>6195</v>
      </c>
      <c r="B1933" s="1" t="s">
        <v>5</v>
      </c>
      <c r="C1933" s="1" t="s">
        <v>1575</v>
      </c>
      <c r="D1933" s="1" t="s">
        <v>1578</v>
      </c>
      <c r="E1933" s="1" t="s">
        <v>2112</v>
      </c>
      <c r="F1933" s="1" t="s">
        <v>2468</v>
      </c>
      <c r="G1933" s="4">
        <v>1</v>
      </c>
      <c r="H1933" s="28">
        <v>43524</v>
      </c>
      <c r="I1933" s="29">
        <f t="shared" si="2351"/>
        <v>2019</v>
      </c>
      <c r="J1933" s="1" t="s">
        <v>2464</v>
      </c>
      <c r="K1933" s="1" t="s">
        <v>7</v>
      </c>
      <c r="L1933" s="11" t="str">
        <f t="shared" si="2370"/>
        <v>НЕТ</v>
      </c>
      <c r="M1933" s="10" t="s">
        <v>1575</v>
      </c>
      <c r="N1933" s="10" t="s">
        <v>1575</v>
      </c>
      <c r="O1933" s="10">
        <v>0.33426</v>
      </c>
      <c r="P1933" s="10">
        <f t="shared" si="2371"/>
        <v>0.33426</v>
      </c>
      <c r="Q1933" s="10" t="str">
        <f t="shared" si="2372"/>
        <v>NA</v>
      </c>
      <c r="R1933" s="10" t="s">
        <v>1575</v>
      </c>
      <c r="S1933" s="10" t="s">
        <v>1575</v>
      </c>
      <c r="T1933" s="10" t="s">
        <v>1575</v>
      </c>
      <c r="U1933" s="10" t="s">
        <v>1575</v>
      </c>
      <c r="V1933" s="10">
        <v>0.14968600000000001</v>
      </c>
      <c r="W1933" s="10" t="s">
        <v>1575</v>
      </c>
      <c r="X1933" s="10" t="str">
        <f t="shared" si="2352"/>
        <v>NA</v>
      </c>
      <c r="Y1933" s="10" t="str">
        <f t="shared" si="2353"/>
        <v>NA</v>
      </c>
      <c r="Z1933" s="10" t="str">
        <f t="shared" si="2354"/>
        <v>NA</v>
      </c>
      <c r="AA1933" s="10">
        <f t="shared" si="2355"/>
        <v>2.2330745694320107</v>
      </c>
      <c r="AB1933" s="10" t="str">
        <f t="shared" si="2356"/>
        <v>NA</v>
      </c>
      <c r="AC1933" s="10" t="str">
        <f t="shared" si="2357"/>
        <v>NA</v>
      </c>
      <c r="AD1933" s="10" t="str">
        <f t="shared" si="2358"/>
        <v>NA</v>
      </c>
      <c r="AE1933" s="10" t="str">
        <f t="shared" si="2359"/>
        <v>NA</v>
      </c>
      <c r="AF1933" s="1" t="s">
        <v>2467</v>
      </c>
    </row>
    <row r="1934" spans="1:32" x14ac:dyDescent="0.2">
      <c r="A1934" s="1" t="s">
        <v>6196</v>
      </c>
      <c r="B1934" s="1" t="s">
        <v>5</v>
      </c>
      <c r="C1934" s="1" t="s">
        <v>1575</v>
      </c>
      <c r="D1934" s="1" t="s">
        <v>1578</v>
      </c>
      <c r="E1934" s="1" t="s">
        <v>2112</v>
      </c>
      <c r="F1934" s="1" t="s">
        <v>2468</v>
      </c>
      <c r="G1934" s="4">
        <v>1</v>
      </c>
      <c r="H1934" s="28">
        <v>43220</v>
      </c>
      <c r="I1934" s="29">
        <f t="shared" si="2351"/>
        <v>2018</v>
      </c>
      <c r="J1934" s="1" t="s">
        <v>2464</v>
      </c>
      <c r="K1934" s="1" t="s">
        <v>7</v>
      </c>
      <c r="L1934" s="11" t="str">
        <f t="shared" si="2370"/>
        <v>НЕТ</v>
      </c>
      <c r="M1934" s="10" t="s">
        <v>1575</v>
      </c>
      <c r="N1934" s="10" t="s">
        <v>1575</v>
      </c>
      <c r="O1934" s="10">
        <v>0.14497599999999999</v>
      </c>
      <c r="P1934" s="10">
        <f t="shared" si="2371"/>
        <v>0.14497599999999999</v>
      </c>
      <c r="Q1934" s="10" t="str">
        <f t="shared" si="2372"/>
        <v>NA</v>
      </c>
      <c r="R1934" s="10" t="s">
        <v>1575</v>
      </c>
      <c r="S1934" s="10" t="s">
        <v>1575</v>
      </c>
      <c r="T1934" s="10" t="s">
        <v>1575</v>
      </c>
      <c r="U1934" s="10" t="s">
        <v>1575</v>
      </c>
      <c r="V1934" s="10">
        <v>0.112508</v>
      </c>
      <c r="W1934" s="10" t="s">
        <v>1575</v>
      </c>
      <c r="X1934" s="10" t="str">
        <f t="shared" si="2352"/>
        <v>NA</v>
      </c>
      <c r="Y1934" s="10" t="str">
        <f t="shared" si="2353"/>
        <v>NA</v>
      </c>
      <c r="Z1934" s="10" t="str">
        <f t="shared" si="2354"/>
        <v>NA</v>
      </c>
      <c r="AA1934" s="10">
        <f t="shared" si="2355"/>
        <v>1.2885839229210367</v>
      </c>
      <c r="AB1934" s="10" t="str">
        <f t="shared" si="2356"/>
        <v>NA</v>
      </c>
      <c r="AC1934" s="10" t="str">
        <f t="shared" si="2357"/>
        <v>NA</v>
      </c>
      <c r="AD1934" s="10" t="str">
        <f t="shared" si="2358"/>
        <v>NA</v>
      </c>
      <c r="AE1934" s="10" t="str">
        <f t="shared" si="2359"/>
        <v>NA</v>
      </c>
      <c r="AF1934" s="1" t="s">
        <v>2466</v>
      </c>
    </row>
    <row r="1935" spans="1:32" x14ac:dyDescent="0.2">
      <c r="A1935" s="1" t="s">
        <v>6197</v>
      </c>
      <c r="B1935" s="1" t="s">
        <v>5</v>
      </c>
      <c r="C1935" s="1" t="s">
        <v>1575</v>
      </c>
      <c r="D1935" s="1" t="s">
        <v>1578</v>
      </c>
      <c r="E1935" s="1" t="s">
        <v>2112</v>
      </c>
      <c r="F1935" s="1" t="s">
        <v>2468</v>
      </c>
      <c r="G1935" s="4">
        <v>1</v>
      </c>
      <c r="H1935" s="28">
        <v>43251</v>
      </c>
      <c r="I1935" s="29">
        <f t="shared" si="2351"/>
        <v>2018</v>
      </c>
      <c r="J1935" s="1" t="s">
        <v>6198</v>
      </c>
      <c r="K1935" s="1" t="s">
        <v>7</v>
      </c>
      <c r="L1935" s="11" t="str">
        <f t="shared" si="2370"/>
        <v>НЕТ</v>
      </c>
      <c r="M1935" s="10" t="s">
        <v>1575</v>
      </c>
      <c r="N1935" s="10" t="s">
        <v>1575</v>
      </c>
      <c r="O1935" s="10">
        <v>0.14741399999999999</v>
      </c>
      <c r="P1935" s="10">
        <f t="shared" si="2371"/>
        <v>0.14741399999999999</v>
      </c>
      <c r="Q1935" s="10" t="str">
        <f t="shared" si="2372"/>
        <v>NA</v>
      </c>
      <c r="R1935" s="10" t="s">
        <v>1575</v>
      </c>
      <c r="S1935" s="10" t="s">
        <v>1575</v>
      </c>
      <c r="T1935" s="10" t="s">
        <v>1575</v>
      </c>
      <c r="U1935" s="10" t="s">
        <v>1575</v>
      </c>
      <c r="V1935" s="10">
        <f>0.077459+0.034278</f>
        <v>0.111737</v>
      </c>
      <c r="W1935" s="10" t="s">
        <v>1575</v>
      </c>
      <c r="X1935" s="10" t="str">
        <f t="shared" si="2352"/>
        <v>NA</v>
      </c>
      <c r="Y1935" s="10" t="str">
        <f t="shared" si="2353"/>
        <v>NA</v>
      </c>
      <c r="Z1935" s="10" t="str">
        <f t="shared" si="2354"/>
        <v>NA</v>
      </c>
      <c r="AA1935" s="10">
        <f t="shared" si="2355"/>
        <v>1.3192944145627679</v>
      </c>
      <c r="AB1935" s="10" t="str">
        <f t="shared" si="2356"/>
        <v>NA</v>
      </c>
      <c r="AC1935" s="10" t="str">
        <f t="shared" si="2357"/>
        <v>NA</v>
      </c>
      <c r="AD1935" s="10" t="str">
        <f t="shared" si="2358"/>
        <v>NA</v>
      </c>
      <c r="AE1935" s="10" t="str">
        <f t="shared" si="2359"/>
        <v>NA</v>
      </c>
      <c r="AF1935" s="1" t="s">
        <v>2465</v>
      </c>
    </row>
    <row r="1936" spans="1:32" x14ac:dyDescent="0.2">
      <c r="A1936" s="1" t="s">
        <v>6199</v>
      </c>
      <c r="B1936" s="1" t="s">
        <v>5</v>
      </c>
      <c r="C1936" s="1" t="s">
        <v>1575</v>
      </c>
      <c r="D1936" s="1" t="s">
        <v>1578</v>
      </c>
      <c r="E1936" s="1" t="s">
        <v>2422</v>
      </c>
      <c r="F1936" s="1" t="s">
        <v>363</v>
      </c>
      <c r="G1936" s="4">
        <v>1</v>
      </c>
      <c r="H1936" s="28">
        <v>42842</v>
      </c>
      <c r="I1936" s="29">
        <f t="shared" si="2351"/>
        <v>2017</v>
      </c>
      <c r="J1936" s="1" t="s">
        <v>2464</v>
      </c>
      <c r="K1936" s="1" t="s">
        <v>7</v>
      </c>
      <c r="L1936" s="11" t="str">
        <f t="shared" si="2370"/>
        <v>НЕТ</v>
      </c>
      <c r="M1936" s="10" t="s">
        <v>1575</v>
      </c>
      <c r="N1936" s="10" t="s">
        <v>1575</v>
      </c>
      <c r="O1936" s="10">
        <v>0.65247100000000002</v>
      </c>
      <c r="P1936" s="10">
        <f t="shared" si="2371"/>
        <v>0.65247100000000002</v>
      </c>
      <c r="Q1936" s="10">
        <f t="shared" si="2372"/>
        <v>6.3546940000000003</v>
      </c>
      <c r="R1936" s="10" t="s">
        <v>1575</v>
      </c>
      <c r="S1936" s="10" t="s">
        <v>1575</v>
      </c>
      <c r="T1936" s="10" t="s">
        <v>1575</v>
      </c>
      <c r="U1936" s="10" t="s">
        <v>1575</v>
      </c>
      <c r="V1936" s="10">
        <v>-2.2184629999999999</v>
      </c>
      <c r="W1936" s="10">
        <f>5.70355-0.001327</f>
        <v>5.702223</v>
      </c>
      <c r="X1936" s="10">
        <f t="shared" si="2352"/>
        <v>3.4837600000000002</v>
      </c>
      <c r="Y1936" s="10" t="str">
        <f t="shared" si="2353"/>
        <v>NA</v>
      </c>
      <c r="Z1936" s="10" t="str">
        <f t="shared" si="2354"/>
        <v>NA</v>
      </c>
      <c r="AA1936" s="10">
        <f t="shared" si="2355"/>
        <v>-0.29410948030235351</v>
      </c>
      <c r="AB1936" s="10" t="str">
        <f t="shared" si="2356"/>
        <v>NA</v>
      </c>
      <c r="AC1936" s="10" t="str">
        <f t="shared" si="2357"/>
        <v>NA</v>
      </c>
      <c r="AD1936" s="10" t="str">
        <f t="shared" si="2358"/>
        <v>NA</v>
      </c>
      <c r="AE1936" s="10">
        <f t="shared" si="2359"/>
        <v>1.8240906377017934</v>
      </c>
      <c r="AF1936" s="1" t="s">
        <v>2471</v>
      </c>
    </row>
    <row r="1937" spans="1:32" x14ac:dyDescent="0.2">
      <c r="A1937" s="1" t="s">
        <v>6200</v>
      </c>
      <c r="B1937" s="1" t="s">
        <v>5</v>
      </c>
      <c r="C1937" s="1" t="s">
        <v>1575</v>
      </c>
      <c r="D1937" s="1" t="s">
        <v>1578</v>
      </c>
      <c r="E1937" s="1" t="s">
        <v>2112</v>
      </c>
      <c r="F1937" s="1" t="s">
        <v>2468</v>
      </c>
      <c r="G1937" s="4" t="s">
        <v>11</v>
      </c>
      <c r="H1937" s="28">
        <v>42947</v>
      </c>
      <c r="I1937" s="29">
        <f t="shared" ref="I1937:I2000" si="2373">YEAR(H1937)</f>
        <v>2017</v>
      </c>
      <c r="J1937" s="1" t="s">
        <v>2464</v>
      </c>
      <c r="K1937" s="1" t="s">
        <v>7</v>
      </c>
      <c r="L1937" s="11" t="str">
        <f t="shared" si="2370"/>
        <v>НЕТ</v>
      </c>
      <c r="M1937" s="10" t="s">
        <v>1575</v>
      </c>
      <c r="N1937" s="10" t="s">
        <v>1575</v>
      </c>
      <c r="O1937" s="10">
        <v>0.24260599999999999</v>
      </c>
      <c r="P1937" s="10" t="str">
        <f t="shared" si="2371"/>
        <v>NA</v>
      </c>
      <c r="Q1937" s="10" t="str">
        <f t="shared" si="2372"/>
        <v>NA</v>
      </c>
      <c r="R1937" s="10" t="s">
        <v>1575</v>
      </c>
      <c r="S1937" s="10" t="s">
        <v>1575</v>
      </c>
      <c r="T1937" s="10" t="s">
        <v>1575</v>
      </c>
      <c r="U1937" s="10" t="s">
        <v>1575</v>
      </c>
      <c r="V1937" s="10">
        <v>3.8739999999999997E-2</v>
      </c>
      <c r="W1937" s="10">
        <v>-7.7739999999999997E-3</v>
      </c>
      <c r="X1937" s="10">
        <f t="shared" si="2352"/>
        <v>3.0965999999999997E-2</v>
      </c>
      <c r="Y1937" s="10" t="str">
        <f t="shared" si="2353"/>
        <v>NA</v>
      </c>
      <c r="Z1937" s="10" t="str">
        <f t="shared" si="2354"/>
        <v>NA</v>
      </c>
      <c r="AA1937" s="10" t="str">
        <f t="shared" si="2355"/>
        <v>NA</v>
      </c>
      <c r="AB1937" s="10" t="str">
        <f t="shared" si="2356"/>
        <v>NA</v>
      </c>
      <c r="AC1937" s="10" t="str">
        <f t="shared" si="2357"/>
        <v>NA</v>
      </c>
      <c r="AD1937" s="10" t="str">
        <f t="shared" si="2358"/>
        <v>NA</v>
      </c>
      <c r="AE1937" s="10" t="str">
        <f t="shared" si="2359"/>
        <v>NA</v>
      </c>
      <c r="AF1937" s="1" t="s">
        <v>2472</v>
      </c>
    </row>
    <row r="1938" spans="1:32" x14ac:dyDescent="0.2">
      <c r="A1938" s="1" t="s">
        <v>2464</v>
      </c>
      <c r="B1938" s="1" t="s">
        <v>5</v>
      </c>
      <c r="C1938" s="1" t="s">
        <v>2469</v>
      </c>
      <c r="D1938" s="1" t="s">
        <v>1578</v>
      </c>
      <c r="E1938" s="1" t="s">
        <v>2422</v>
      </c>
      <c r="F1938" s="1" t="s">
        <v>363</v>
      </c>
      <c r="G1938" s="4">
        <f>46341164/527142857</f>
        <v>8.7910067232495948E-2</v>
      </c>
      <c r="H1938" s="28">
        <v>42369</v>
      </c>
      <c r="I1938" s="29">
        <f t="shared" si="2373"/>
        <v>2015</v>
      </c>
      <c r="J1938" s="1" t="s">
        <v>2464</v>
      </c>
      <c r="K1938" s="1" t="s">
        <v>7</v>
      </c>
      <c r="L1938" s="11" t="str">
        <f t="shared" si="2370"/>
        <v>ДА</v>
      </c>
      <c r="M1938" s="10" t="s">
        <v>1575</v>
      </c>
      <c r="N1938" s="10" t="s">
        <v>1575</v>
      </c>
      <c r="O1938" s="10">
        <v>3.1048580000000001</v>
      </c>
      <c r="P1938" s="10">
        <f t="shared" si="2371"/>
        <v>35.318571555503141</v>
      </c>
      <c r="Q1938" s="10">
        <f t="shared" si="2372"/>
        <v>17.813571555503138</v>
      </c>
      <c r="R1938" s="10">
        <v>195.309</v>
      </c>
      <c r="S1938" s="10">
        <v>11.47611</v>
      </c>
      <c r="T1938" s="10">
        <v>10.55911</v>
      </c>
      <c r="U1938" s="10">
        <v>10.97</v>
      </c>
      <c r="V1938" s="10">
        <v>34.528999999999982</v>
      </c>
      <c r="W1938" s="10">
        <v>-17.505000000000003</v>
      </c>
      <c r="X1938" s="10">
        <f t="shared" si="2352"/>
        <v>17.02399999999998</v>
      </c>
      <c r="Y1938" s="10">
        <f t="shared" si="2353"/>
        <v>0.1808343269153144</v>
      </c>
      <c r="Z1938" s="10">
        <f t="shared" si="2354"/>
        <v>3.2195598500914437</v>
      </c>
      <c r="AA1938" s="10">
        <f t="shared" si="2355"/>
        <v>1.0228669105825006</v>
      </c>
      <c r="AB1938" s="10">
        <f t="shared" si="2356"/>
        <v>9.1207120795780736E-2</v>
      </c>
      <c r="AC1938" s="10">
        <f t="shared" si="2357"/>
        <v>1.5522308130109539</v>
      </c>
      <c r="AD1938" s="10">
        <f t="shared" si="2358"/>
        <v>1.6870334294749403</v>
      </c>
      <c r="AE1938" s="10">
        <f t="shared" si="2359"/>
        <v>1.0463799081005145</v>
      </c>
      <c r="AF1938" s="1" t="s">
        <v>2473</v>
      </c>
    </row>
    <row r="1939" spans="1:32" x14ac:dyDescent="0.2">
      <c r="A1939" s="1" t="s">
        <v>2464</v>
      </c>
      <c r="B1939" s="1" t="s">
        <v>5</v>
      </c>
      <c r="C1939" s="1" t="s">
        <v>2469</v>
      </c>
      <c r="D1939" s="1" t="s">
        <v>1578</v>
      </c>
      <c r="E1939" s="1" t="s">
        <v>2422</v>
      </c>
      <c r="F1939" s="1" t="s">
        <v>363</v>
      </c>
      <c r="G1939" s="4">
        <f>(18052485-2415000)/527142857</f>
        <v>2.9664605699096101E-2</v>
      </c>
      <c r="H1939" s="28">
        <v>42004</v>
      </c>
      <c r="I1939" s="29">
        <f t="shared" si="2373"/>
        <v>2014</v>
      </c>
      <c r="J1939" s="1" t="s">
        <v>2464</v>
      </c>
      <c r="K1939" s="1" t="s">
        <v>7</v>
      </c>
      <c r="L1939" s="11" t="str">
        <f t="shared" si="2370"/>
        <v>ДА</v>
      </c>
      <c r="M1939" s="10" t="s">
        <v>1575</v>
      </c>
      <c r="N1939" s="10" t="s">
        <v>1575</v>
      </c>
      <c r="O1939" s="10">
        <v>0.66858799999999996</v>
      </c>
      <c r="P1939" s="10">
        <f t="shared" si="2371"/>
        <v>22.538239907243138</v>
      </c>
      <c r="Q1939" s="10">
        <f t="shared" si="2372"/>
        <v>17.971239907243138</v>
      </c>
      <c r="R1939" s="10">
        <v>156.94800000000001</v>
      </c>
      <c r="S1939" s="10">
        <v>5.3114740000000014</v>
      </c>
      <c r="T1939" s="10">
        <v>4.4834740000000011</v>
      </c>
      <c r="U1939" s="10">
        <v>4.7930000000000001</v>
      </c>
      <c r="V1939" s="10">
        <v>24.904999999999998</v>
      </c>
      <c r="W1939" s="10">
        <v>-4.5670000000000002</v>
      </c>
      <c r="X1939" s="10">
        <f t="shared" si="2352"/>
        <v>20.337999999999997</v>
      </c>
      <c r="Y1939" s="10">
        <f t="shared" si="2353"/>
        <v>0.14360323105259792</v>
      </c>
      <c r="Z1939" s="10">
        <f t="shared" si="2354"/>
        <v>4.7023242034723847</v>
      </c>
      <c r="AA1939" s="10">
        <f t="shared" si="2355"/>
        <v>0.90496847650042722</v>
      </c>
      <c r="AB1939" s="10">
        <f t="shared" si="2356"/>
        <v>0.11450442125572252</v>
      </c>
      <c r="AC1939" s="10">
        <f t="shared" si="2357"/>
        <v>3.3834750781502714</v>
      </c>
      <c r="AD1939" s="10">
        <f t="shared" si="2358"/>
        <v>4.0083292347057515</v>
      </c>
      <c r="AE1939" s="10">
        <f t="shared" si="2359"/>
        <v>0.8836286708252109</v>
      </c>
      <c r="AF1939" s="1" t="s">
        <v>2474</v>
      </c>
    </row>
    <row r="1940" spans="1:32" x14ac:dyDescent="0.2">
      <c r="A1940" s="1" t="s">
        <v>2464</v>
      </c>
      <c r="B1940" s="1" t="s">
        <v>5</v>
      </c>
      <c r="C1940" s="1" t="s">
        <v>2469</v>
      </c>
      <c r="D1940" s="1" t="s">
        <v>1578</v>
      </c>
      <c r="E1940" s="1" t="s">
        <v>2422</v>
      </c>
      <c r="F1940" s="1" t="s">
        <v>363</v>
      </c>
      <c r="G1940" s="4">
        <f>(2415000-1415000)/527142857</f>
        <v>1.8970189707037991E-3</v>
      </c>
      <c r="H1940" s="28">
        <v>41639</v>
      </c>
      <c r="I1940" s="29">
        <f t="shared" si="2373"/>
        <v>2013</v>
      </c>
      <c r="J1940" s="1" t="s">
        <v>2464</v>
      </c>
      <c r="K1940" s="1" t="s">
        <v>7</v>
      </c>
      <c r="L1940" s="11" t="str">
        <f t="shared" si="2370"/>
        <v>ДА</v>
      </c>
      <c r="M1940" s="10" t="s">
        <v>1575</v>
      </c>
      <c r="N1940" s="10" t="s">
        <v>1575</v>
      </c>
      <c r="O1940" s="10">
        <v>4.1062000000000001E-2</v>
      </c>
      <c r="P1940" s="10">
        <f t="shared" si="2371"/>
        <v>21.645539994134001</v>
      </c>
      <c r="Q1940" s="10">
        <f t="shared" si="2372"/>
        <v>18.723539994134001</v>
      </c>
      <c r="R1940" s="10">
        <v>139.31100000000001</v>
      </c>
      <c r="S1940" s="10">
        <v>3.2401720000000003</v>
      </c>
      <c r="T1940" s="10">
        <v>2.3781720000000002</v>
      </c>
      <c r="U1940" s="10">
        <v>2.0179999999999998</v>
      </c>
      <c r="V1940" s="10">
        <v>21.809999999999985</v>
      </c>
      <c r="W1940" s="10">
        <v>-2.9220000000000002</v>
      </c>
      <c r="X1940" s="10">
        <f t="shared" si="2352"/>
        <v>18.887999999999984</v>
      </c>
      <c r="Y1940" s="10">
        <f t="shared" si="2353"/>
        <v>0.15537567022082965</v>
      </c>
      <c r="Z1940" s="10">
        <f t="shared" si="2354"/>
        <v>10.726233892038653</v>
      </c>
      <c r="AA1940" s="10">
        <f t="shared" si="2355"/>
        <v>0.99245942201439785</v>
      </c>
      <c r="AB1940" s="10">
        <f t="shared" si="2356"/>
        <v>0.13440101638875609</v>
      </c>
      <c r="AC1940" s="10">
        <f t="shared" si="2357"/>
        <v>5.7785636053067551</v>
      </c>
      <c r="AD1940" s="10">
        <f t="shared" si="2358"/>
        <v>7.873080666215059</v>
      </c>
      <c r="AE1940" s="10">
        <f t="shared" si="2359"/>
        <v>0.99129288406046256</v>
      </c>
      <c r="AF1940" s="1" t="s">
        <v>2474</v>
      </c>
    </row>
    <row r="1941" spans="1:32" x14ac:dyDescent="0.2">
      <c r="A1941" s="1" t="s">
        <v>6201</v>
      </c>
      <c r="B1941" s="1" t="s">
        <v>5</v>
      </c>
      <c r="C1941" s="1" t="s">
        <v>1575</v>
      </c>
      <c r="D1941" s="1" t="s">
        <v>1578</v>
      </c>
      <c r="E1941" s="1" t="s">
        <v>2112</v>
      </c>
      <c r="F1941" s="1" t="s">
        <v>2468</v>
      </c>
      <c r="G1941" s="4">
        <v>1</v>
      </c>
      <c r="H1941" s="28">
        <v>41274</v>
      </c>
      <c r="I1941" s="29">
        <f t="shared" si="2373"/>
        <v>2012</v>
      </c>
      <c r="J1941" s="1" t="s">
        <v>6198</v>
      </c>
      <c r="K1941" s="1" t="s">
        <v>7</v>
      </c>
      <c r="L1941" s="11" t="str">
        <f t="shared" si="2370"/>
        <v>НЕТ</v>
      </c>
      <c r="M1941" s="10" t="s">
        <v>1575</v>
      </c>
      <c r="N1941" s="10" t="s">
        <v>1575</v>
      </c>
      <c r="O1941" s="10">
        <v>2.4800000000000001E-4</v>
      </c>
      <c r="P1941" s="10">
        <f t="shared" si="2371"/>
        <v>2.4800000000000001E-4</v>
      </c>
      <c r="Q1941" s="10" t="str">
        <f t="shared" si="2372"/>
        <v>NA</v>
      </c>
      <c r="R1941" s="10" t="s">
        <v>1575</v>
      </c>
      <c r="S1941" s="10" t="s">
        <v>1575</v>
      </c>
      <c r="T1941" s="10" t="s">
        <v>1575</v>
      </c>
      <c r="U1941" s="10" t="s">
        <v>1575</v>
      </c>
      <c r="V1941" s="10">
        <f>1.933-2.334</f>
        <v>-0.40100000000000002</v>
      </c>
      <c r="W1941" s="10" t="s">
        <v>1575</v>
      </c>
      <c r="X1941" s="10" t="str">
        <f t="shared" si="2352"/>
        <v>NA</v>
      </c>
      <c r="Y1941" s="10" t="str">
        <f t="shared" si="2353"/>
        <v>NA</v>
      </c>
      <c r="Z1941" s="10" t="str">
        <f t="shared" si="2354"/>
        <v>NA</v>
      </c>
      <c r="AA1941" s="10">
        <f t="shared" si="2355"/>
        <v>-6.1845386533665838E-4</v>
      </c>
      <c r="AB1941" s="10" t="str">
        <f t="shared" si="2356"/>
        <v>NA</v>
      </c>
      <c r="AC1941" s="10" t="str">
        <f t="shared" si="2357"/>
        <v>NA</v>
      </c>
      <c r="AD1941" s="10" t="str">
        <f t="shared" si="2358"/>
        <v>NA</v>
      </c>
      <c r="AE1941" s="10" t="str">
        <f t="shared" si="2359"/>
        <v>NA</v>
      </c>
      <c r="AF1941" s="1" t="s">
        <v>2475</v>
      </c>
    </row>
    <row r="1942" spans="1:32" x14ac:dyDescent="0.2">
      <c r="A1942" s="1" t="s">
        <v>6202</v>
      </c>
      <c r="B1942" s="1" t="s">
        <v>5</v>
      </c>
      <c r="C1942" s="1" t="s">
        <v>1575</v>
      </c>
      <c r="D1942" s="1" t="s">
        <v>1578</v>
      </c>
      <c r="E1942" s="1" t="s">
        <v>2112</v>
      </c>
      <c r="F1942" s="1" t="s">
        <v>2468</v>
      </c>
      <c r="G1942" s="4">
        <v>1</v>
      </c>
      <c r="H1942" s="28">
        <v>40755</v>
      </c>
      <c r="I1942" s="29">
        <f t="shared" si="2373"/>
        <v>2011</v>
      </c>
      <c r="J1942" s="1" t="s">
        <v>2464</v>
      </c>
      <c r="K1942" s="1" t="s">
        <v>7</v>
      </c>
      <c r="L1942" s="11" t="str">
        <f t="shared" si="2370"/>
        <v>НЕТ</v>
      </c>
      <c r="M1942" s="10" t="s">
        <v>1575</v>
      </c>
      <c r="N1942" s="10" t="s">
        <v>1575</v>
      </c>
      <c r="O1942" s="10">
        <v>1.6560459999999999</v>
      </c>
      <c r="P1942" s="10">
        <f t="shared" si="2371"/>
        <v>1.6560459999999999</v>
      </c>
      <c r="Q1942" s="10">
        <f t="shared" si="2372"/>
        <v>1.9750729999999999</v>
      </c>
      <c r="R1942" s="10" t="s">
        <v>1575</v>
      </c>
      <c r="S1942" s="10" t="s">
        <v>1575</v>
      </c>
      <c r="T1942" s="10" t="s">
        <v>1575</v>
      </c>
      <c r="U1942" s="10" t="s">
        <v>1575</v>
      </c>
      <c r="V1942" s="10">
        <f>1.7063-0.381139</f>
        <v>1.325161</v>
      </c>
      <c r="W1942" s="10">
        <f>0.332027-0.013</f>
        <v>0.31902700000000001</v>
      </c>
      <c r="X1942" s="10">
        <f t="shared" si="2352"/>
        <v>1.644188</v>
      </c>
      <c r="Y1942" s="10" t="str">
        <f t="shared" si="2353"/>
        <v>NA</v>
      </c>
      <c r="Z1942" s="10" t="str">
        <f t="shared" si="2354"/>
        <v>NA</v>
      </c>
      <c r="AA1942" s="10">
        <f t="shared" si="2355"/>
        <v>1.2496941881024266</v>
      </c>
      <c r="AB1942" s="10" t="str">
        <f t="shared" si="2356"/>
        <v>NA</v>
      </c>
      <c r="AC1942" s="10" t="str">
        <f t="shared" si="2357"/>
        <v>NA</v>
      </c>
      <c r="AD1942" s="10" t="str">
        <f t="shared" si="2358"/>
        <v>NA</v>
      </c>
      <c r="AE1942" s="10">
        <f t="shared" si="2359"/>
        <v>1.2012452347298483</v>
      </c>
      <c r="AF1942" s="1" t="s">
        <v>2476</v>
      </c>
    </row>
    <row r="1943" spans="1:32" x14ac:dyDescent="0.2">
      <c r="A1943" s="1" t="s">
        <v>371</v>
      </c>
      <c r="B1943" s="1" t="s">
        <v>5</v>
      </c>
      <c r="C1943" s="1" t="s">
        <v>1575</v>
      </c>
      <c r="D1943" s="1" t="s">
        <v>1578</v>
      </c>
      <c r="E1943" s="1" t="s">
        <v>2112</v>
      </c>
      <c r="F1943" s="1" t="s">
        <v>2468</v>
      </c>
      <c r="G1943" s="4">
        <v>1</v>
      </c>
      <c r="H1943" s="28">
        <v>40543</v>
      </c>
      <c r="I1943" s="29">
        <f t="shared" si="2373"/>
        <v>2010</v>
      </c>
      <c r="J1943" s="1" t="s">
        <v>2464</v>
      </c>
      <c r="K1943" s="1" t="s">
        <v>7</v>
      </c>
      <c r="L1943" s="11" t="str">
        <f t="shared" si="2370"/>
        <v>НЕТ</v>
      </c>
      <c r="M1943" s="10" t="s">
        <v>1575</v>
      </c>
      <c r="N1943" s="10" t="s">
        <v>1575</v>
      </c>
      <c r="O1943" s="10">
        <v>6.8000000000000005E-2</v>
      </c>
      <c r="P1943" s="10">
        <f t="shared" si="2371"/>
        <v>6.8000000000000005E-2</v>
      </c>
      <c r="Q1943" s="10" t="str">
        <f t="shared" si="2372"/>
        <v>NA</v>
      </c>
      <c r="R1943" s="10" t="s">
        <v>1575</v>
      </c>
      <c r="S1943" s="10" t="s">
        <v>1575</v>
      </c>
      <c r="T1943" s="10" t="s">
        <v>1575</v>
      </c>
      <c r="U1943" s="10" t="s">
        <v>1575</v>
      </c>
      <c r="V1943" s="10">
        <f>0.014718-0.014083</f>
        <v>6.3500000000000015E-4</v>
      </c>
      <c r="W1943" s="10" t="s">
        <v>1575</v>
      </c>
      <c r="X1943" s="10" t="str">
        <f t="shared" si="2352"/>
        <v>NA</v>
      </c>
      <c r="Y1943" s="10" t="str">
        <f t="shared" si="2353"/>
        <v>NA</v>
      </c>
      <c r="Z1943" s="10" t="str">
        <f t="shared" si="2354"/>
        <v>NA</v>
      </c>
      <c r="AA1943" s="10">
        <f t="shared" si="2355"/>
        <v>107.08661417322833</v>
      </c>
      <c r="AB1943" s="10" t="str">
        <f t="shared" si="2356"/>
        <v>NA</v>
      </c>
      <c r="AC1943" s="10" t="str">
        <f t="shared" si="2357"/>
        <v>NA</v>
      </c>
      <c r="AD1943" s="10" t="str">
        <f t="shared" si="2358"/>
        <v>NA</v>
      </c>
      <c r="AE1943" s="10" t="str">
        <f t="shared" si="2359"/>
        <v>NA</v>
      </c>
      <c r="AF1943" s="1" t="s">
        <v>2478</v>
      </c>
    </row>
    <row r="1944" spans="1:32" x14ac:dyDescent="0.2">
      <c r="A1944" s="1" t="s">
        <v>6203</v>
      </c>
      <c r="B1944" s="1" t="s">
        <v>5</v>
      </c>
      <c r="C1944" s="1" t="s">
        <v>1575</v>
      </c>
      <c r="D1944" s="1" t="s">
        <v>1578</v>
      </c>
      <c r="E1944" s="1" t="s">
        <v>2112</v>
      </c>
      <c r="F1944" s="1" t="s">
        <v>2468</v>
      </c>
      <c r="G1944" s="4">
        <v>1</v>
      </c>
      <c r="H1944" s="28">
        <v>40543</v>
      </c>
      <c r="I1944" s="29">
        <f t="shared" si="2373"/>
        <v>2010</v>
      </c>
      <c r="J1944" s="1" t="s">
        <v>2464</v>
      </c>
      <c r="K1944" s="1" t="s">
        <v>7</v>
      </c>
      <c r="L1944" s="11" t="str">
        <f t="shared" si="2370"/>
        <v>НЕТ</v>
      </c>
      <c r="M1944" s="10" t="s">
        <v>1575</v>
      </c>
      <c r="N1944" s="10" t="s">
        <v>1575</v>
      </c>
      <c r="O1944" s="10">
        <v>0.112</v>
      </c>
      <c r="P1944" s="10">
        <f t="shared" si="2371"/>
        <v>0.112</v>
      </c>
      <c r="Q1944" s="10">
        <f t="shared" si="2372"/>
        <v>0.118225</v>
      </c>
      <c r="R1944" s="10" t="s">
        <v>1575</v>
      </c>
      <c r="S1944" s="10" t="s">
        <v>1575</v>
      </c>
      <c r="T1944" s="10" t="s">
        <v>1575</v>
      </c>
      <c r="U1944" s="10" t="s">
        <v>1575</v>
      </c>
      <c r="V1944" s="10">
        <f>0.080611-0.025314</f>
        <v>5.5296999999999999E-2</v>
      </c>
      <c r="W1944" s="10">
        <f>0.009877-0.003652</f>
        <v>6.2250000000000005E-3</v>
      </c>
      <c r="X1944" s="10">
        <f t="shared" si="2352"/>
        <v>6.1522E-2</v>
      </c>
      <c r="Y1944" s="10" t="str">
        <f t="shared" si="2353"/>
        <v>NA</v>
      </c>
      <c r="Z1944" s="10" t="str">
        <f t="shared" si="2354"/>
        <v>NA</v>
      </c>
      <c r="AA1944" s="10">
        <f t="shared" si="2355"/>
        <v>2.0254263341591767</v>
      </c>
      <c r="AB1944" s="10" t="str">
        <f t="shared" si="2356"/>
        <v>NA</v>
      </c>
      <c r="AC1944" s="10" t="str">
        <f t="shared" si="2357"/>
        <v>NA</v>
      </c>
      <c r="AD1944" s="10" t="str">
        <f t="shared" si="2358"/>
        <v>NA</v>
      </c>
      <c r="AE1944" s="10">
        <f t="shared" si="2359"/>
        <v>1.9216702968043951</v>
      </c>
      <c r="AF1944" s="1" t="s">
        <v>2478</v>
      </c>
    </row>
    <row r="1945" spans="1:32" x14ac:dyDescent="0.2">
      <c r="A1945" s="1" t="s">
        <v>372</v>
      </c>
      <c r="B1945" s="1" t="s">
        <v>5</v>
      </c>
      <c r="C1945" s="1" t="s">
        <v>1575</v>
      </c>
      <c r="D1945" s="1" t="s">
        <v>1578</v>
      </c>
      <c r="E1945" s="1" t="s">
        <v>2112</v>
      </c>
      <c r="F1945" s="1" t="s">
        <v>2468</v>
      </c>
      <c r="G1945" s="4">
        <v>1</v>
      </c>
      <c r="H1945" s="28">
        <v>40543</v>
      </c>
      <c r="I1945" s="29">
        <f t="shared" si="2373"/>
        <v>2010</v>
      </c>
      <c r="J1945" s="1" t="s">
        <v>2464</v>
      </c>
      <c r="K1945" s="1" t="s">
        <v>7</v>
      </c>
      <c r="L1945" s="11" t="str">
        <f t="shared" si="2370"/>
        <v>НЕТ</v>
      </c>
      <c r="M1945" s="10" t="s">
        <v>1575</v>
      </c>
      <c r="N1945" s="10" t="s">
        <v>1575</v>
      </c>
      <c r="O1945" s="10">
        <v>0.117523</v>
      </c>
      <c r="P1945" s="10">
        <f t="shared" si="2371"/>
        <v>0.117523</v>
      </c>
      <c r="Q1945" s="10" t="str">
        <f t="shared" si="2372"/>
        <v>NA</v>
      </c>
      <c r="R1945" s="10" t="s">
        <v>1575</v>
      </c>
      <c r="S1945" s="10" t="s">
        <v>1575</v>
      </c>
      <c r="T1945" s="10" t="s">
        <v>1575</v>
      </c>
      <c r="U1945" s="10" t="s">
        <v>1575</v>
      </c>
      <c r="V1945" s="10">
        <f>0.023357-0.029427</f>
        <v>-6.069999999999999E-3</v>
      </c>
      <c r="W1945" s="10" t="s">
        <v>1575</v>
      </c>
      <c r="X1945" s="10" t="str">
        <f t="shared" si="2352"/>
        <v>NA</v>
      </c>
      <c r="Y1945" s="10" t="str">
        <f t="shared" si="2353"/>
        <v>NA</v>
      </c>
      <c r="Z1945" s="10" t="str">
        <f t="shared" si="2354"/>
        <v>NA</v>
      </c>
      <c r="AA1945" s="10">
        <f t="shared" si="2355"/>
        <v>-19.361285008237235</v>
      </c>
      <c r="AB1945" s="10" t="str">
        <f t="shared" si="2356"/>
        <v>NA</v>
      </c>
      <c r="AC1945" s="10" t="str">
        <f t="shared" si="2357"/>
        <v>NA</v>
      </c>
      <c r="AD1945" s="10" t="str">
        <f t="shared" si="2358"/>
        <v>NA</v>
      </c>
      <c r="AE1945" s="10" t="str">
        <f t="shared" si="2359"/>
        <v>NA</v>
      </c>
      <c r="AF1945" s="1" t="s">
        <v>2478</v>
      </c>
    </row>
    <row r="1946" spans="1:32" x14ac:dyDescent="0.2">
      <c r="A1946" s="1" t="s">
        <v>6204</v>
      </c>
      <c r="B1946" s="1" t="s">
        <v>5</v>
      </c>
      <c r="C1946" s="1" t="s">
        <v>1575</v>
      </c>
      <c r="D1946" s="1" t="s">
        <v>1578</v>
      </c>
      <c r="E1946" s="1" t="s">
        <v>2112</v>
      </c>
      <c r="F1946" s="1" t="s">
        <v>2468</v>
      </c>
      <c r="G1946" s="4">
        <v>1</v>
      </c>
      <c r="H1946" s="28">
        <v>40543</v>
      </c>
      <c r="I1946" s="29">
        <f t="shared" si="2373"/>
        <v>2010</v>
      </c>
      <c r="J1946" s="1" t="s">
        <v>2464</v>
      </c>
      <c r="K1946" s="1" t="s">
        <v>7</v>
      </c>
      <c r="L1946" s="11" t="str">
        <f t="shared" si="2370"/>
        <v>НЕТ</v>
      </c>
      <c r="M1946" s="10" t="s">
        <v>1575</v>
      </c>
      <c r="N1946" s="10" t="s">
        <v>1575</v>
      </c>
      <c r="O1946" s="10">
        <v>0.13</v>
      </c>
      <c r="P1946" s="10">
        <f t="shared" si="2371"/>
        <v>0.13</v>
      </c>
      <c r="Q1946" s="10">
        <f t="shared" si="2372"/>
        <v>0.13623399999999999</v>
      </c>
      <c r="R1946" s="10" t="s">
        <v>1575</v>
      </c>
      <c r="S1946" s="10" t="s">
        <v>1575</v>
      </c>
      <c r="T1946" s="10" t="s">
        <v>1575</v>
      </c>
      <c r="U1946" s="10" t="s">
        <v>1575</v>
      </c>
      <c r="V1946" s="10">
        <f>0.104228-0.025974</f>
        <v>7.8254000000000004E-2</v>
      </c>
      <c r="W1946" s="10">
        <f>0.012107+0.000397-0.00627</f>
        <v>6.2339999999999991E-3</v>
      </c>
      <c r="X1946" s="10">
        <f t="shared" si="2352"/>
        <v>8.4488000000000008E-2</v>
      </c>
      <c r="Y1946" s="10" t="str">
        <f t="shared" si="2353"/>
        <v>NA</v>
      </c>
      <c r="Z1946" s="10" t="str">
        <f t="shared" si="2354"/>
        <v>NA</v>
      </c>
      <c r="AA1946" s="10">
        <f t="shared" si="2355"/>
        <v>1.6612569325529685</v>
      </c>
      <c r="AB1946" s="10" t="str">
        <f t="shared" si="2356"/>
        <v>NA</v>
      </c>
      <c r="AC1946" s="10" t="str">
        <f t="shared" si="2357"/>
        <v>NA</v>
      </c>
      <c r="AD1946" s="10" t="str">
        <f t="shared" si="2358"/>
        <v>NA</v>
      </c>
      <c r="AE1946" s="10">
        <f t="shared" si="2359"/>
        <v>1.6124656755989013</v>
      </c>
      <c r="AF1946" s="1" t="s">
        <v>2478</v>
      </c>
    </row>
    <row r="1947" spans="1:32" x14ac:dyDescent="0.2">
      <c r="A1947" s="1" t="s">
        <v>6205</v>
      </c>
      <c r="B1947" s="1" t="s">
        <v>5</v>
      </c>
      <c r="C1947" s="1" t="s">
        <v>1575</v>
      </c>
      <c r="D1947" s="1" t="s">
        <v>1578</v>
      </c>
      <c r="E1947" s="1" t="s">
        <v>2112</v>
      </c>
      <c r="F1947" s="1" t="s">
        <v>2468</v>
      </c>
      <c r="G1947" s="4">
        <v>0.51</v>
      </c>
      <c r="H1947" s="28">
        <v>40543</v>
      </c>
      <c r="I1947" s="29">
        <f t="shared" si="2373"/>
        <v>2010</v>
      </c>
      <c r="J1947" s="1" t="s">
        <v>2464</v>
      </c>
      <c r="K1947" s="1" t="s">
        <v>7</v>
      </c>
      <c r="L1947" s="11" t="str">
        <f t="shared" si="2370"/>
        <v>НЕТ</v>
      </c>
      <c r="M1947" s="10" t="s">
        <v>1575</v>
      </c>
      <c r="N1947" s="10" t="s">
        <v>1575</v>
      </c>
      <c r="O1947" s="10">
        <v>0.29471399999999998</v>
      </c>
      <c r="P1947" s="10">
        <f t="shared" si="2371"/>
        <v>0.57787058823529402</v>
      </c>
      <c r="Q1947" s="10">
        <f t="shared" si="2372"/>
        <v>0.55019558823529402</v>
      </c>
      <c r="R1947" s="10" t="s">
        <v>1575</v>
      </c>
      <c r="S1947" s="10" t="s">
        <v>1575</v>
      </c>
      <c r="T1947" s="10" t="s">
        <v>1575</v>
      </c>
      <c r="U1947" s="10" t="s">
        <v>1575</v>
      </c>
      <c r="V1947" s="10">
        <f>0.342491-0.215562</f>
        <v>0.12692899999999999</v>
      </c>
      <c r="W1947" s="10">
        <f>0.00542+0.019185+0.000516-0.015896-0.0369</f>
        <v>-2.7675000000000002E-2</v>
      </c>
      <c r="X1947" s="10">
        <f t="shared" si="2352"/>
        <v>9.9253999999999981E-2</v>
      </c>
      <c r="Y1947" s="10" t="str">
        <f t="shared" si="2353"/>
        <v>NA</v>
      </c>
      <c r="Z1947" s="10" t="str">
        <f t="shared" si="2354"/>
        <v>NA</v>
      </c>
      <c r="AA1947" s="10">
        <f t="shared" si="2355"/>
        <v>4.5527073264210234</v>
      </c>
      <c r="AB1947" s="10" t="str">
        <f t="shared" si="2356"/>
        <v>NA</v>
      </c>
      <c r="AC1947" s="10" t="str">
        <f t="shared" si="2357"/>
        <v>NA</v>
      </c>
      <c r="AD1947" s="10" t="str">
        <f t="shared" si="2358"/>
        <v>NA</v>
      </c>
      <c r="AE1947" s="10">
        <f t="shared" si="2359"/>
        <v>5.543308967248616</v>
      </c>
      <c r="AF1947" s="1" t="s">
        <v>2477</v>
      </c>
    </row>
    <row r="1948" spans="1:32" x14ac:dyDescent="0.2">
      <c r="A1948" s="1" t="s">
        <v>6206</v>
      </c>
      <c r="B1948" s="1" t="s">
        <v>5</v>
      </c>
      <c r="C1948" s="1" t="s">
        <v>1575</v>
      </c>
      <c r="D1948" s="1" t="s">
        <v>1578</v>
      </c>
      <c r="E1948" s="1" t="s">
        <v>2112</v>
      </c>
      <c r="F1948" s="1" t="s">
        <v>2468</v>
      </c>
      <c r="G1948" s="4">
        <v>0.49</v>
      </c>
      <c r="H1948" s="28">
        <v>40543</v>
      </c>
      <c r="I1948" s="29">
        <f t="shared" si="2373"/>
        <v>2010</v>
      </c>
      <c r="J1948" s="1" t="s">
        <v>7</v>
      </c>
      <c r="K1948" s="1" t="s">
        <v>2464</v>
      </c>
      <c r="L1948" s="11" t="str">
        <f t="shared" si="2370"/>
        <v>НЕТ</v>
      </c>
      <c r="M1948" s="10" t="s">
        <v>1575</v>
      </c>
      <c r="N1948" s="10" t="s">
        <v>1575</v>
      </c>
      <c r="O1948" s="10">
        <v>2.4501999999999999E-2</v>
      </c>
      <c r="P1948" s="10">
        <f t="shared" si="2371"/>
        <v>5.0004081632653061E-2</v>
      </c>
      <c r="Q1948" s="10" t="str">
        <f t="shared" si="2372"/>
        <v>NA</v>
      </c>
      <c r="R1948" s="10" t="s">
        <v>1575</v>
      </c>
      <c r="S1948" s="10" t="s">
        <v>1575</v>
      </c>
      <c r="T1948" s="10" t="s">
        <v>1575</v>
      </c>
      <c r="U1948" s="10" t="s">
        <v>1575</v>
      </c>
      <c r="V1948" s="10" t="s">
        <v>1575</v>
      </c>
      <c r="W1948" s="10" t="s">
        <v>1575</v>
      </c>
      <c r="X1948" s="10" t="str">
        <f t="shared" si="2352"/>
        <v>NA</v>
      </c>
      <c r="Y1948" s="10" t="str">
        <f t="shared" si="2353"/>
        <v>NA</v>
      </c>
      <c r="Z1948" s="10" t="str">
        <f t="shared" si="2354"/>
        <v>NA</v>
      </c>
      <c r="AA1948" s="10" t="str">
        <f t="shared" si="2355"/>
        <v>NA</v>
      </c>
      <c r="AB1948" s="10" t="str">
        <f t="shared" si="2356"/>
        <v>NA</v>
      </c>
      <c r="AC1948" s="10" t="str">
        <f t="shared" si="2357"/>
        <v>NA</v>
      </c>
      <c r="AD1948" s="10" t="str">
        <f t="shared" si="2358"/>
        <v>NA</v>
      </c>
      <c r="AE1948" s="10" t="str">
        <f t="shared" si="2359"/>
        <v>NA</v>
      </c>
      <c r="AF1948" s="1" t="s">
        <v>2479</v>
      </c>
    </row>
    <row r="1949" spans="1:32" x14ac:dyDescent="0.2">
      <c r="A1949" s="1" t="s">
        <v>2464</v>
      </c>
      <c r="B1949" s="1" t="s">
        <v>5</v>
      </c>
      <c r="C1949" s="1" t="s">
        <v>2469</v>
      </c>
      <c r="D1949" s="1" t="s">
        <v>1578</v>
      </c>
      <c r="E1949" s="1" t="s">
        <v>2422</v>
      </c>
      <c r="F1949" s="1" t="s">
        <v>363</v>
      </c>
      <c r="G1949" s="4">
        <f>1415000/527142857</f>
        <v>2.6842818435458757E-3</v>
      </c>
      <c r="H1949" s="28">
        <v>40482</v>
      </c>
      <c r="I1949" s="29">
        <f t="shared" si="2373"/>
        <v>2010</v>
      </c>
      <c r="J1949" s="1" t="s">
        <v>2464</v>
      </c>
      <c r="K1949" s="1" t="s">
        <v>7</v>
      </c>
      <c r="L1949" s="11" t="str">
        <f t="shared" si="2370"/>
        <v>ДА</v>
      </c>
      <c r="M1949" s="10" t="s">
        <v>1575</v>
      </c>
      <c r="N1949" s="10" t="s">
        <v>1575</v>
      </c>
      <c r="O1949" s="10">
        <v>8.5006999999999999E-2</v>
      </c>
      <c r="P1949" s="10">
        <f t="shared" si="2371"/>
        <v>31.668433106006361</v>
      </c>
      <c r="Q1949" s="10" t="str">
        <f t="shared" si="2372"/>
        <v>NA</v>
      </c>
      <c r="R1949" s="10" t="s">
        <v>1575</v>
      </c>
      <c r="S1949" s="10" t="s">
        <v>1575</v>
      </c>
      <c r="T1949" s="10" t="s">
        <v>1575</v>
      </c>
      <c r="U1949" s="10" t="s">
        <v>1575</v>
      </c>
      <c r="V1949" s="10" t="s">
        <v>1575</v>
      </c>
      <c r="W1949" s="10" t="s">
        <v>1575</v>
      </c>
      <c r="X1949" s="10" t="str">
        <f t="shared" si="2352"/>
        <v>NA</v>
      </c>
      <c r="Y1949" s="10" t="str">
        <f t="shared" si="2353"/>
        <v>NA</v>
      </c>
      <c r="Z1949" s="10" t="str">
        <f t="shared" si="2354"/>
        <v>NA</v>
      </c>
      <c r="AA1949" s="10" t="str">
        <f t="shared" si="2355"/>
        <v>NA</v>
      </c>
      <c r="AB1949" s="10" t="str">
        <f t="shared" si="2356"/>
        <v>NA</v>
      </c>
      <c r="AC1949" s="10" t="str">
        <f t="shared" si="2357"/>
        <v>NA</v>
      </c>
      <c r="AD1949" s="10" t="str">
        <f t="shared" si="2358"/>
        <v>NA</v>
      </c>
      <c r="AE1949" s="10" t="str">
        <f t="shared" si="2359"/>
        <v>NA</v>
      </c>
      <c r="AF1949" s="1" t="s">
        <v>2480</v>
      </c>
    </row>
    <row r="1950" spans="1:32" x14ac:dyDescent="0.2">
      <c r="A1950" s="1" t="s">
        <v>2464</v>
      </c>
      <c r="B1950" s="1" t="s">
        <v>5</v>
      </c>
      <c r="C1950" s="1" t="s">
        <v>2469</v>
      </c>
      <c r="D1950" s="1" t="s">
        <v>1578</v>
      </c>
      <c r="E1950" s="1" t="s">
        <v>2422</v>
      </c>
      <c r="F1950" s="1" t="s">
        <v>363</v>
      </c>
      <c r="G1950" s="4">
        <f xml:space="preserve"> 114285714 /527142857</f>
        <v>0.21680216753842876</v>
      </c>
      <c r="H1950" s="28">
        <v>40298</v>
      </c>
      <c r="I1950" s="29">
        <f t="shared" si="2373"/>
        <v>2010</v>
      </c>
      <c r="J1950" s="1" t="s">
        <v>7</v>
      </c>
      <c r="K1950" s="1" t="s">
        <v>2484</v>
      </c>
      <c r="L1950" s="11" t="str">
        <f t="shared" si="2370"/>
        <v>НЕТ</v>
      </c>
      <c r="M1950" s="10">
        <f>114285714*3.5/1000000</f>
        <v>399.999999</v>
      </c>
      <c r="N1950" s="10" t="s">
        <v>1575</v>
      </c>
      <c r="O1950" s="10">
        <f>M1950*29.2886/1000</f>
        <v>11.715439970711399</v>
      </c>
      <c r="P1950" s="10">
        <f t="shared" si="2371"/>
        <v>54.037466985355699</v>
      </c>
      <c r="Q1950" s="10" t="str">
        <f t="shared" si="2372"/>
        <v>NA</v>
      </c>
      <c r="R1950" s="10" t="s">
        <v>1575</v>
      </c>
      <c r="S1950" s="10" t="s">
        <v>1575</v>
      </c>
      <c r="T1950" s="10" t="s">
        <v>1575</v>
      </c>
      <c r="U1950" s="10" t="s">
        <v>1575</v>
      </c>
      <c r="V1950" s="10" t="s">
        <v>1575</v>
      </c>
      <c r="W1950" s="10" t="s">
        <v>1575</v>
      </c>
      <c r="X1950" s="10" t="str">
        <f t="shared" si="2352"/>
        <v>NA</v>
      </c>
      <c r="Y1950" s="10" t="str">
        <f t="shared" si="2353"/>
        <v>NA</v>
      </c>
      <c r="Z1950" s="10" t="str">
        <f t="shared" si="2354"/>
        <v>NA</v>
      </c>
      <c r="AA1950" s="10" t="str">
        <f t="shared" si="2355"/>
        <v>NA</v>
      </c>
      <c r="AB1950" s="10" t="str">
        <f t="shared" si="2356"/>
        <v>NA</v>
      </c>
      <c r="AC1950" s="10" t="str">
        <f t="shared" si="2357"/>
        <v>NA</v>
      </c>
      <c r="AD1950" s="10" t="str">
        <f t="shared" si="2358"/>
        <v>NA</v>
      </c>
      <c r="AE1950" s="10" t="str">
        <f t="shared" si="2359"/>
        <v>NA</v>
      </c>
      <c r="AF1950" s="1" t="s">
        <v>2483</v>
      </c>
    </row>
    <row r="1951" spans="1:32" x14ac:dyDescent="0.2">
      <c r="A1951" s="1" t="s">
        <v>2464</v>
      </c>
      <c r="B1951" s="1" t="s">
        <v>5</v>
      </c>
      <c r="C1951" s="1" t="s">
        <v>2469</v>
      </c>
      <c r="D1951" s="1" t="s">
        <v>1578</v>
      </c>
      <c r="E1951" s="1" t="s">
        <v>2422</v>
      </c>
      <c r="F1951" s="1" t="s">
        <v>363</v>
      </c>
      <c r="G1951" s="4">
        <f xml:space="preserve"> 57142857 /527142857</f>
        <v>0.10840108376921438</v>
      </c>
      <c r="H1951" s="28">
        <v>40329</v>
      </c>
      <c r="I1951" s="29">
        <f t="shared" si="2373"/>
        <v>2010</v>
      </c>
      <c r="J1951" s="1" t="s">
        <v>2482</v>
      </c>
      <c r="K1951" s="1" t="s">
        <v>7</v>
      </c>
      <c r="L1951" s="11" t="str">
        <f t="shared" si="2370"/>
        <v>НЕТ</v>
      </c>
      <c r="M1951" s="10" t="s">
        <v>1575</v>
      </c>
      <c r="N1951" s="10" t="s">
        <v>1575</v>
      </c>
      <c r="O1951" s="10">
        <v>5.8040039999999999</v>
      </c>
      <c r="P1951" s="10">
        <f t="shared" si="2371"/>
        <v>53.541937019344836</v>
      </c>
      <c r="Q1951" s="10" t="str">
        <f t="shared" si="2372"/>
        <v>NA</v>
      </c>
      <c r="R1951" s="10" t="s">
        <v>1575</v>
      </c>
      <c r="S1951" s="10" t="s">
        <v>1575</v>
      </c>
      <c r="T1951" s="10" t="s">
        <v>1575</v>
      </c>
      <c r="U1951" s="10" t="s">
        <v>1575</v>
      </c>
      <c r="V1951" s="10" t="s">
        <v>1575</v>
      </c>
      <c r="W1951" s="10" t="s">
        <v>1575</v>
      </c>
      <c r="X1951" s="10" t="str">
        <f t="shared" si="2352"/>
        <v>NA</v>
      </c>
      <c r="Y1951" s="10" t="str">
        <f t="shared" si="2353"/>
        <v>NA</v>
      </c>
      <c r="Z1951" s="10" t="str">
        <f t="shared" si="2354"/>
        <v>NA</v>
      </c>
      <c r="AA1951" s="10" t="str">
        <f t="shared" si="2355"/>
        <v>NA</v>
      </c>
      <c r="AB1951" s="10" t="str">
        <f t="shared" si="2356"/>
        <v>NA</v>
      </c>
      <c r="AC1951" s="10" t="str">
        <f t="shared" si="2357"/>
        <v>NA</v>
      </c>
      <c r="AD1951" s="10" t="str">
        <f t="shared" si="2358"/>
        <v>NA</v>
      </c>
      <c r="AE1951" s="10" t="str">
        <f t="shared" si="2359"/>
        <v>NA</v>
      </c>
      <c r="AF1951" s="1" t="s">
        <v>2481</v>
      </c>
    </row>
    <row r="1952" spans="1:32" x14ac:dyDescent="0.2">
      <c r="A1952" s="1" t="s">
        <v>6207</v>
      </c>
      <c r="B1952" s="1" t="s">
        <v>5</v>
      </c>
      <c r="C1952" s="1" t="s">
        <v>1575</v>
      </c>
      <c r="D1952" s="1" t="s">
        <v>1584</v>
      </c>
      <c r="E1952" s="1" t="s">
        <v>1586</v>
      </c>
      <c r="F1952" s="1" t="s">
        <v>363</v>
      </c>
      <c r="G1952" s="4">
        <v>1</v>
      </c>
      <c r="H1952" s="28">
        <v>40178</v>
      </c>
      <c r="I1952" s="29">
        <f t="shared" si="2373"/>
        <v>2009</v>
      </c>
      <c r="J1952" s="1" t="s">
        <v>2464</v>
      </c>
      <c r="K1952" s="1" t="s">
        <v>7</v>
      </c>
      <c r="L1952" s="11" t="str">
        <f t="shared" si="2370"/>
        <v>НЕТ</v>
      </c>
      <c r="M1952" s="10" t="s">
        <v>1575</v>
      </c>
      <c r="N1952" s="10" t="s">
        <v>1575</v>
      </c>
      <c r="O1952" s="10">
        <v>0.18254799999999999</v>
      </c>
      <c r="P1952" s="10">
        <f t="shared" si="2371"/>
        <v>0.18254799999999999</v>
      </c>
      <c r="Q1952" s="10" t="str">
        <f t="shared" si="2372"/>
        <v>NA</v>
      </c>
      <c r="R1952" s="10" t="s">
        <v>1575</v>
      </c>
      <c r="S1952" s="10" t="s">
        <v>1575</v>
      </c>
      <c r="T1952" s="10" t="s">
        <v>1575</v>
      </c>
      <c r="U1952" s="10" t="s">
        <v>1575</v>
      </c>
      <c r="V1952" s="10" t="s">
        <v>1575</v>
      </c>
      <c r="W1952" s="10" t="s">
        <v>1575</v>
      </c>
      <c r="X1952" s="10" t="str">
        <f t="shared" si="2352"/>
        <v>NA</v>
      </c>
      <c r="Y1952" s="10" t="str">
        <f t="shared" si="2353"/>
        <v>NA</v>
      </c>
      <c r="Z1952" s="10" t="str">
        <f t="shared" si="2354"/>
        <v>NA</v>
      </c>
      <c r="AA1952" s="10" t="str">
        <f t="shared" si="2355"/>
        <v>NA</v>
      </c>
      <c r="AB1952" s="10" t="str">
        <f t="shared" si="2356"/>
        <v>NA</v>
      </c>
      <c r="AC1952" s="10" t="str">
        <f t="shared" si="2357"/>
        <v>NA</v>
      </c>
      <c r="AD1952" s="10" t="str">
        <f t="shared" si="2358"/>
        <v>NA</v>
      </c>
      <c r="AE1952" s="10" t="str">
        <f t="shared" si="2359"/>
        <v>NA</v>
      </c>
      <c r="AF1952" s="1" t="s">
        <v>2485</v>
      </c>
    </row>
    <row r="1953" spans="1:32" x14ac:dyDescent="0.2">
      <c r="A1953" s="1" t="s">
        <v>6208</v>
      </c>
      <c r="B1953" s="1" t="s">
        <v>5</v>
      </c>
      <c r="C1953" s="1" t="s">
        <v>1575</v>
      </c>
      <c r="D1953" s="1" t="s">
        <v>1601</v>
      </c>
      <c r="E1953" s="1" t="s">
        <v>1612</v>
      </c>
      <c r="F1953" s="1" t="s">
        <v>1485</v>
      </c>
      <c r="G1953" s="4">
        <f>90.5%-87.2%</f>
        <v>3.3000000000000029E-2</v>
      </c>
      <c r="H1953" s="28">
        <v>43830</v>
      </c>
      <c r="I1953" s="29">
        <f t="shared" si="2373"/>
        <v>2019</v>
      </c>
      <c r="J1953" s="1" t="s">
        <v>6209</v>
      </c>
      <c r="K1953" s="1" t="s">
        <v>7</v>
      </c>
      <c r="L1953" s="11" t="str">
        <f t="shared" si="2370"/>
        <v>НЕТ</v>
      </c>
      <c r="M1953" s="10" t="s">
        <v>1575</v>
      </c>
      <c r="N1953" s="10" t="s">
        <v>1575</v>
      </c>
      <c r="O1953" s="10">
        <v>7.3999999999999996E-2</v>
      </c>
      <c r="P1953" s="10">
        <f t="shared" si="2371"/>
        <v>2.2424242424242404</v>
      </c>
      <c r="Q1953" s="10" t="str">
        <f t="shared" si="2372"/>
        <v>NA</v>
      </c>
      <c r="R1953" s="10" t="s">
        <v>1575</v>
      </c>
      <c r="S1953" s="10" t="s">
        <v>1575</v>
      </c>
      <c r="T1953" s="10" t="s">
        <v>1575</v>
      </c>
      <c r="U1953" s="10" t="s">
        <v>1575</v>
      </c>
      <c r="V1953" s="10" t="s">
        <v>1575</v>
      </c>
      <c r="W1953" s="10" t="s">
        <v>1575</v>
      </c>
      <c r="X1953" s="10" t="str">
        <f t="shared" ref="X1953:X2016" si="2374">IFERROR(V1953+W1953,"NA")</f>
        <v>NA</v>
      </c>
      <c r="Y1953" s="10" t="str">
        <f t="shared" ref="Y1953:Y2016" si="2375">IFERROR(P1953/R1953,"NA")</f>
        <v>NA</v>
      </c>
      <c r="Z1953" s="10" t="str">
        <f t="shared" ref="Z1953:Z2016" si="2376">IFERROR(P1953/U1953,"NA")</f>
        <v>NA</v>
      </c>
      <c r="AA1953" s="10" t="str">
        <f t="shared" ref="AA1953:AA2016" si="2377">IFERROR(P1953/V1953,"NA")</f>
        <v>NA</v>
      </c>
      <c r="AB1953" s="10" t="str">
        <f t="shared" ref="AB1953:AB2016" si="2378">IFERROR(Q1953/R1953,"NA")</f>
        <v>NA</v>
      </c>
      <c r="AC1953" s="10" t="str">
        <f t="shared" ref="AC1953:AC2016" si="2379">IFERROR(Q1953/S1953,"NA")</f>
        <v>NA</v>
      </c>
      <c r="AD1953" s="10" t="str">
        <f t="shared" ref="AD1953:AD2016" si="2380">IFERROR(Q1953/T1953,"NA")</f>
        <v>NA</v>
      </c>
      <c r="AE1953" s="10" t="str">
        <f t="shared" ref="AE1953:AE2016" si="2381">IFERROR(Q1953/X1953,"NA")</f>
        <v>NA</v>
      </c>
      <c r="AF1953" s="1" t="s">
        <v>1482</v>
      </c>
    </row>
    <row r="1954" spans="1:32" x14ac:dyDescent="0.2">
      <c r="A1954" s="1" t="s">
        <v>6210</v>
      </c>
      <c r="B1954" s="1" t="s">
        <v>5</v>
      </c>
      <c r="C1954" s="1" t="s">
        <v>1575</v>
      </c>
      <c r="D1954" s="1" t="s">
        <v>1601</v>
      </c>
      <c r="E1954" s="1" t="s">
        <v>1612</v>
      </c>
      <c r="F1954" s="1" t="s">
        <v>1485</v>
      </c>
      <c r="G1954" s="4" t="s">
        <v>1575</v>
      </c>
      <c r="H1954" s="28">
        <v>43465</v>
      </c>
      <c r="I1954" s="29">
        <f t="shared" si="2373"/>
        <v>2018</v>
      </c>
      <c r="J1954" s="1" t="s">
        <v>6209</v>
      </c>
      <c r="K1954" s="1" t="s">
        <v>7</v>
      </c>
      <c r="L1954" s="11" t="str">
        <f t="shared" si="2370"/>
        <v>НЕТ</v>
      </c>
      <c r="M1954" s="10" t="s">
        <v>1575</v>
      </c>
      <c r="N1954" s="10" t="s">
        <v>1575</v>
      </c>
      <c r="O1954" s="10">
        <v>0.504</v>
      </c>
      <c r="P1954" s="10" t="str">
        <f t="shared" si="2371"/>
        <v>NA</v>
      </c>
      <c r="Q1954" s="10" t="str">
        <f t="shared" si="2372"/>
        <v>NA</v>
      </c>
      <c r="R1954" s="10" t="s">
        <v>1575</v>
      </c>
      <c r="S1954" s="10" t="s">
        <v>1575</v>
      </c>
      <c r="T1954" s="10" t="s">
        <v>1575</v>
      </c>
      <c r="U1954" s="10" t="s">
        <v>1575</v>
      </c>
      <c r="V1954" s="10" t="s">
        <v>1575</v>
      </c>
      <c r="W1954" s="10" t="s">
        <v>1575</v>
      </c>
      <c r="X1954" s="10" t="str">
        <f t="shared" si="2374"/>
        <v>NA</v>
      </c>
      <c r="Y1954" s="10" t="str">
        <f t="shared" si="2375"/>
        <v>NA</v>
      </c>
      <c r="Z1954" s="10" t="str">
        <f t="shared" si="2376"/>
        <v>NA</v>
      </c>
      <c r="AA1954" s="10" t="str">
        <f t="shared" si="2377"/>
        <v>NA</v>
      </c>
      <c r="AB1954" s="10" t="str">
        <f t="shared" si="2378"/>
        <v>NA</v>
      </c>
      <c r="AC1954" s="10" t="str">
        <f t="shared" si="2379"/>
        <v>NA</v>
      </c>
      <c r="AD1954" s="10" t="str">
        <f t="shared" si="2380"/>
        <v>NA</v>
      </c>
      <c r="AE1954" s="10" t="str">
        <f t="shared" si="2381"/>
        <v>NA</v>
      </c>
      <c r="AF1954" s="1" t="s">
        <v>1481</v>
      </c>
    </row>
    <row r="1955" spans="1:32" x14ac:dyDescent="0.2">
      <c r="A1955" s="1" t="s">
        <v>6210</v>
      </c>
      <c r="B1955" s="1" t="s">
        <v>5</v>
      </c>
      <c r="C1955" s="1" t="s">
        <v>1575</v>
      </c>
      <c r="D1955" s="1" t="s">
        <v>1601</v>
      </c>
      <c r="E1955" s="1" t="s">
        <v>1612</v>
      </c>
      <c r="F1955" s="1" t="s">
        <v>1485</v>
      </c>
      <c r="G1955" s="4" t="s">
        <v>1575</v>
      </c>
      <c r="H1955" s="28">
        <v>43100</v>
      </c>
      <c r="I1955" s="29">
        <f t="shared" si="2373"/>
        <v>2017</v>
      </c>
      <c r="J1955" s="1" t="s">
        <v>6209</v>
      </c>
      <c r="K1955" s="1" t="s">
        <v>7</v>
      </c>
      <c r="L1955" s="11" t="str">
        <f t="shared" si="2370"/>
        <v>НЕТ</v>
      </c>
      <c r="M1955" s="10" t="s">
        <v>1575</v>
      </c>
      <c r="N1955" s="10" t="s">
        <v>1575</v>
      </c>
      <c r="O1955" s="10">
        <v>0.81699999999999995</v>
      </c>
      <c r="P1955" s="10" t="str">
        <f t="shared" si="2371"/>
        <v>NA</v>
      </c>
      <c r="Q1955" s="10" t="str">
        <f t="shared" si="2372"/>
        <v>NA</v>
      </c>
      <c r="R1955" s="10" t="s">
        <v>1575</v>
      </c>
      <c r="S1955" s="10" t="s">
        <v>1575</v>
      </c>
      <c r="T1955" s="10" t="s">
        <v>1575</v>
      </c>
      <c r="U1955" s="10" t="s">
        <v>1575</v>
      </c>
      <c r="V1955" s="10" t="s">
        <v>1575</v>
      </c>
      <c r="W1955" s="10" t="s">
        <v>1575</v>
      </c>
      <c r="X1955" s="10" t="str">
        <f t="shared" si="2374"/>
        <v>NA</v>
      </c>
      <c r="Y1955" s="10" t="str">
        <f t="shared" si="2375"/>
        <v>NA</v>
      </c>
      <c r="Z1955" s="10" t="str">
        <f t="shared" si="2376"/>
        <v>NA</v>
      </c>
      <c r="AA1955" s="10" t="str">
        <f t="shared" si="2377"/>
        <v>NA</v>
      </c>
      <c r="AB1955" s="10" t="str">
        <f t="shared" si="2378"/>
        <v>NA</v>
      </c>
      <c r="AC1955" s="10" t="str">
        <f t="shared" si="2379"/>
        <v>NA</v>
      </c>
      <c r="AD1955" s="10" t="str">
        <f t="shared" si="2380"/>
        <v>NA</v>
      </c>
      <c r="AE1955" s="10" t="str">
        <f t="shared" si="2381"/>
        <v>NA</v>
      </c>
      <c r="AF1955" s="1" t="s">
        <v>1484</v>
      </c>
    </row>
    <row r="1956" spans="1:32" x14ac:dyDescent="0.2">
      <c r="A1956" s="1" t="s">
        <v>4671</v>
      </c>
      <c r="B1956" s="1" t="s">
        <v>5</v>
      </c>
      <c r="C1956" s="1" t="s">
        <v>1603</v>
      </c>
      <c r="D1956" s="1" t="s">
        <v>1601</v>
      </c>
      <c r="E1956" s="1" t="s">
        <v>1608</v>
      </c>
      <c r="F1956" s="1" t="s">
        <v>1562</v>
      </c>
      <c r="G1956" s="4">
        <v>0.1</v>
      </c>
      <c r="H1956" s="28">
        <v>43280</v>
      </c>
      <c r="I1956" s="29">
        <f t="shared" si="2373"/>
        <v>2018</v>
      </c>
      <c r="J1956" s="1" t="s">
        <v>6211</v>
      </c>
      <c r="K1956" s="1" t="s">
        <v>6209</v>
      </c>
      <c r="L1956" s="11" t="str">
        <f t="shared" si="2370"/>
        <v>НЕТ</v>
      </c>
      <c r="M1956" s="10" t="s">
        <v>1575</v>
      </c>
      <c r="N1956" s="10" t="s">
        <v>1575</v>
      </c>
      <c r="O1956" s="10">
        <f>10440000000*3.3463/10^9</f>
        <v>34.935372000000001</v>
      </c>
      <c r="P1956" s="10">
        <f t="shared" si="2371"/>
        <v>349.35372000000001</v>
      </c>
      <c r="Q1956" s="10">
        <f t="shared" si="2372"/>
        <v>221.78371999999999</v>
      </c>
      <c r="R1956" s="10">
        <v>869.20399999999995</v>
      </c>
      <c r="S1956" s="10">
        <v>78.373999999999995</v>
      </c>
      <c r="T1956" s="10">
        <v>56.241999999999997</v>
      </c>
      <c r="U1956" s="10">
        <v>54.661999999999999</v>
      </c>
      <c r="V1956" s="10">
        <v>461.50299999999993</v>
      </c>
      <c r="W1956" s="10">
        <v>-127.57000000000002</v>
      </c>
      <c r="X1956" s="10">
        <f t="shared" si="2374"/>
        <v>333.93299999999988</v>
      </c>
      <c r="Y1956" s="10">
        <f t="shared" si="2375"/>
        <v>0.40192373712039986</v>
      </c>
      <c r="Z1956" s="10">
        <f t="shared" si="2376"/>
        <v>6.391162416303831</v>
      </c>
      <c r="AA1956" s="10">
        <f t="shared" si="2377"/>
        <v>0.75699122215890269</v>
      </c>
      <c r="AB1956" s="10">
        <f t="shared" si="2378"/>
        <v>0.25515727033009511</v>
      </c>
      <c r="AC1956" s="10">
        <f t="shared" si="2379"/>
        <v>2.8298124377982496</v>
      </c>
      <c r="AD1956" s="10">
        <f t="shared" si="2380"/>
        <v>3.9433825255147399</v>
      </c>
      <c r="AE1956" s="10">
        <f t="shared" si="2381"/>
        <v>0.66415634273941204</v>
      </c>
      <c r="AF1956" s="1" t="s">
        <v>1483</v>
      </c>
    </row>
    <row r="1957" spans="1:32" x14ac:dyDescent="0.2">
      <c r="A1957" s="1" t="s">
        <v>4671</v>
      </c>
      <c r="B1957" s="1" t="s">
        <v>5</v>
      </c>
      <c r="C1957" s="1" t="s">
        <v>1603</v>
      </c>
      <c r="D1957" s="1" t="s">
        <v>1601</v>
      </c>
      <c r="E1957" s="1" t="s">
        <v>1608</v>
      </c>
      <c r="F1957" s="1" t="s">
        <v>1562</v>
      </c>
      <c r="G1957" s="4">
        <f>1883043160666/9716000000000</f>
        <v>0.19380847680794566</v>
      </c>
      <c r="H1957" s="28">
        <v>40299</v>
      </c>
      <c r="I1957" s="29">
        <f t="shared" si="2373"/>
        <v>2010</v>
      </c>
      <c r="J1957" s="1" t="s">
        <v>6209</v>
      </c>
      <c r="K1957" s="1" t="s">
        <v>7</v>
      </c>
      <c r="L1957" s="11" t="str">
        <f t="shared" si="2370"/>
        <v>НЕТ</v>
      </c>
      <c r="M1957" s="10" t="s">
        <v>1575</v>
      </c>
      <c r="N1957" s="10" t="s">
        <v>1575</v>
      </c>
      <c r="O1957" s="10">
        <v>79.387</v>
      </c>
      <c r="P1957" s="10">
        <f t="shared" si="2371"/>
        <v>409.61572634755538</v>
      </c>
      <c r="Q1957" s="10" t="str">
        <f t="shared" si="2372"/>
        <v>NA</v>
      </c>
      <c r="R1957" s="10" t="s">
        <v>1575</v>
      </c>
      <c r="S1957" s="10" t="s">
        <v>1575</v>
      </c>
      <c r="T1957" s="10" t="s">
        <v>1575</v>
      </c>
      <c r="U1957" s="10" t="s">
        <v>1575</v>
      </c>
      <c r="V1957" s="10" t="s">
        <v>1575</v>
      </c>
      <c r="W1957" s="10" t="s">
        <v>1575</v>
      </c>
      <c r="X1957" s="10" t="str">
        <f t="shared" si="2374"/>
        <v>NA</v>
      </c>
      <c r="Y1957" s="10" t="str">
        <f t="shared" si="2375"/>
        <v>NA</v>
      </c>
      <c r="Z1957" s="10" t="str">
        <f t="shared" si="2376"/>
        <v>NA</v>
      </c>
      <c r="AA1957" s="10" t="str">
        <f t="shared" si="2377"/>
        <v>NA</v>
      </c>
      <c r="AB1957" s="10" t="str">
        <f t="shared" si="2378"/>
        <v>NA</v>
      </c>
      <c r="AC1957" s="10" t="str">
        <f t="shared" si="2379"/>
        <v>NA</v>
      </c>
      <c r="AD1957" s="10" t="str">
        <f t="shared" si="2380"/>
        <v>NA</v>
      </c>
      <c r="AE1957" s="10" t="str">
        <f t="shared" si="2381"/>
        <v>NA</v>
      </c>
      <c r="AF1957" s="1" t="s">
        <v>373</v>
      </c>
    </row>
    <row r="1958" spans="1:32" x14ac:dyDescent="0.2">
      <c r="A1958" s="1" t="s">
        <v>6212</v>
      </c>
      <c r="B1958" s="1" t="s">
        <v>5</v>
      </c>
      <c r="C1958" s="1" t="s">
        <v>1575</v>
      </c>
      <c r="D1958" s="1" t="s">
        <v>1601</v>
      </c>
      <c r="E1958" s="1" t="s">
        <v>1602</v>
      </c>
      <c r="F1958" s="1" t="s">
        <v>1563</v>
      </c>
      <c r="G1958" s="4">
        <v>1</v>
      </c>
      <c r="H1958" s="28">
        <v>44469</v>
      </c>
      <c r="I1958" s="29">
        <f t="shared" si="2373"/>
        <v>2021</v>
      </c>
      <c r="J1958" s="1" t="s">
        <v>6213</v>
      </c>
      <c r="K1958" s="1" t="s">
        <v>4689</v>
      </c>
      <c r="L1958" s="11" t="str">
        <f t="shared" si="2370"/>
        <v>НЕТ</v>
      </c>
      <c r="M1958" s="10" t="s">
        <v>1575</v>
      </c>
      <c r="N1958" s="10" t="s">
        <v>1575</v>
      </c>
      <c r="O1958" s="10">
        <v>0.3</v>
      </c>
      <c r="P1958" s="10">
        <f t="shared" si="2371"/>
        <v>0.3</v>
      </c>
      <c r="Q1958" s="10" t="str">
        <f t="shared" si="2372"/>
        <v>NA</v>
      </c>
      <c r="R1958" s="10" t="s">
        <v>1575</v>
      </c>
      <c r="S1958" s="10" t="s">
        <v>1575</v>
      </c>
      <c r="T1958" s="10" t="s">
        <v>1575</v>
      </c>
      <c r="U1958" s="10" t="s">
        <v>1575</v>
      </c>
      <c r="V1958" s="10" t="s">
        <v>1575</v>
      </c>
      <c r="W1958" s="10" t="s">
        <v>1575</v>
      </c>
      <c r="X1958" s="10" t="str">
        <f t="shared" si="2374"/>
        <v>NA</v>
      </c>
      <c r="Y1958" s="10" t="str">
        <f t="shared" si="2375"/>
        <v>NA</v>
      </c>
      <c r="Z1958" s="10" t="str">
        <f t="shared" si="2376"/>
        <v>NA</v>
      </c>
      <c r="AA1958" s="10" t="str">
        <f t="shared" si="2377"/>
        <v>NA</v>
      </c>
      <c r="AB1958" s="10" t="str">
        <f t="shared" si="2378"/>
        <v>NA</v>
      </c>
      <c r="AC1958" s="10" t="str">
        <f t="shared" si="2379"/>
        <v>NA</v>
      </c>
      <c r="AD1958" s="10" t="str">
        <f t="shared" si="2380"/>
        <v>NA</v>
      </c>
      <c r="AE1958" s="10" t="str">
        <f t="shared" si="2381"/>
        <v>NA</v>
      </c>
      <c r="AF1958" s="1" t="s">
        <v>1411</v>
      </c>
    </row>
    <row r="1959" spans="1:32" x14ac:dyDescent="0.2">
      <c r="A1959" s="1" t="s">
        <v>6214</v>
      </c>
      <c r="B1959" s="1" t="s">
        <v>5</v>
      </c>
      <c r="C1959" s="1" t="s">
        <v>1575</v>
      </c>
      <c r="D1959" s="1" t="s">
        <v>1601</v>
      </c>
      <c r="E1959" s="1" t="s">
        <v>1608</v>
      </c>
      <c r="F1959" s="1" t="s">
        <v>1562</v>
      </c>
      <c r="G1959" s="4">
        <v>1</v>
      </c>
      <c r="H1959" s="28">
        <v>44196</v>
      </c>
      <c r="I1959" s="29">
        <f t="shared" si="2373"/>
        <v>2020</v>
      </c>
      <c r="J1959" s="1" t="s">
        <v>4689</v>
      </c>
      <c r="K1959" s="1" t="s">
        <v>6215</v>
      </c>
      <c r="L1959" s="11" t="str">
        <f t="shared" si="2370"/>
        <v>НЕТ</v>
      </c>
      <c r="M1959" s="10" t="s">
        <v>1575</v>
      </c>
      <c r="N1959" s="10" t="s">
        <v>1575</v>
      </c>
      <c r="O1959" s="10">
        <v>5.64</v>
      </c>
      <c r="P1959" s="10">
        <f t="shared" si="2371"/>
        <v>5.64</v>
      </c>
      <c r="Q1959" s="10" t="str">
        <f t="shared" si="2372"/>
        <v>NA</v>
      </c>
      <c r="R1959" s="10" t="s">
        <v>1575</v>
      </c>
      <c r="S1959" s="10" t="s">
        <v>1575</v>
      </c>
      <c r="T1959" s="10" t="s">
        <v>1575</v>
      </c>
      <c r="U1959" s="10" t="s">
        <v>1575</v>
      </c>
      <c r="V1959" s="10" t="s">
        <v>1575</v>
      </c>
      <c r="W1959" s="10" t="s">
        <v>1575</v>
      </c>
      <c r="X1959" s="10" t="str">
        <f t="shared" si="2374"/>
        <v>NA</v>
      </c>
      <c r="Y1959" s="10" t="str">
        <f t="shared" si="2375"/>
        <v>NA</v>
      </c>
      <c r="Z1959" s="10" t="str">
        <f t="shared" si="2376"/>
        <v>NA</v>
      </c>
      <c r="AA1959" s="10" t="str">
        <f t="shared" si="2377"/>
        <v>NA</v>
      </c>
      <c r="AB1959" s="10" t="str">
        <f t="shared" si="2378"/>
        <v>NA</v>
      </c>
      <c r="AC1959" s="10" t="str">
        <f t="shared" si="2379"/>
        <v>NA</v>
      </c>
      <c r="AD1959" s="10" t="str">
        <f t="shared" si="2380"/>
        <v>NA</v>
      </c>
      <c r="AE1959" s="10" t="str">
        <f t="shared" si="2381"/>
        <v>NA</v>
      </c>
      <c r="AF1959" s="1" t="s">
        <v>1412</v>
      </c>
    </row>
    <row r="1960" spans="1:32" x14ac:dyDescent="0.2">
      <c r="A1960" s="1" t="s">
        <v>359</v>
      </c>
      <c r="B1960" s="1" t="s">
        <v>5</v>
      </c>
      <c r="C1960" s="1" t="s">
        <v>1604</v>
      </c>
      <c r="D1960" s="1" t="s">
        <v>1601</v>
      </c>
      <c r="E1960" s="1" t="s">
        <v>1602</v>
      </c>
      <c r="F1960" s="1" t="s">
        <v>110</v>
      </c>
      <c r="G1960" s="4">
        <v>0.41980000000000001</v>
      </c>
      <c r="H1960" s="28">
        <v>44196</v>
      </c>
      <c r="I1960" s="29">
        <f t="shared" si="2373"/>
        <v>2020</v>
      </c>
      <c r="J1960" s="1" t="s">
        <v>6215</v>
      </c>
      <c r="K1960" s="1" t="s">
        <v>4689</v>
      </c>
      <c r="L1960" s="11" t="str">
        <f t="shared" si="2370"/>
        <v>НЕТ</v>
      </c>
      <c r="M1960" s="10" t="s">
        <v>1575</v>
      </c>
      <c r="N1960" s="10" t="s">
        <v>1575</v>
      </c>
      <c r="O1960" s="10">
        <v>5.64</v>
      </c>
      <c r="P1960" s="10">
        <f t="shared" si="2371"/>
        <v>13.434969032872795</v>
      </c>
      <c r="Q1960" s="10">
        <f t="shared" si="2372"/>
        <v>31.650969032872794</v>
      </c>
      <c r="R1960" s="10">
        <v>107.723</v>
      </c>
      <c r="S1960" s="10">
        <v>34.283999999999999</v>
      </c>
      <c r="T1960" s="10">
        <v>31.516999999999999</v>
      </c>
      <c r="U1960" s="10">
        <v>1.0940000000000001</v>
      </c>
      <c r="V1960" s="10">
        <v>18.195</v>
      </c>
      <c r="W1960" s="10">
        <v>18.216000000000001</v>
      </c>
      <c r="X1960" s="10">
        <f t="shared" si="2374"/>
        <v>36.411000000000001</v>
      </c>
      <c r="Y1960" s="10">
        <f t="shared" si="2375"/>
        <v>0.12471773932096948</v>
      </c>
      <c r="Z1960" s="10">
        <f t="shared" si="2376"/>
        <v>12.280593265880068</v>
      </c>
      <c r="AA1960" s="10">
        <f t="shared" si="2377"/>
        <v>0.73838796553299224</v>
      </c>
      <c r="AB1960" s="10">
        <f t="shared" si="2378"/>
        <v>0.29381811714186196</v>
      </c>
      <c r="AC1960" s="10">
        <f t="shared" si="2379"/>
        <v>0.92319942342996131</v>
      </c>
      <c r="AD1960" s="10">
        <f t="shared" si="2380"/>
        <v>1.0042506911467715</v>
      </c>
      <c r="AE1960" s="10">
        <f t="shared" si="2381"/>
        <v>0.869269424977968</v>
      </c>
      <c r="AF1960" s="1" t="s">
        <v>1412</v>
      </c>
    </row>
    <row r="1961" spans="1:32" x14ac:dyDescent="0.2">
      <c r="A1961" s="1" t="s">
        <v>6216</v>
      </c>
      <c r="B1961" s="1" t="s">
        <v>5</v>
      </c>
      <c r="C1961" s="1" t="s">
        <v>1575</v>
      </c>
      <c r="D1961" s="1" t="s">
        <v>1601</v>
      </c>
      <c r="E1961" s="1" t="s">
        <v>5352</v>
      </c>
      <c r="F1961" s="1" t="s">
        <v>110</v>
      </c>
      <c r="G1961" s="4">
        <v>7.6799999999999993E-2</v>
      </c>
      <c r="H1961" s="28">
        <v>44074</v>
      </c>
      <c r="I1961" s="29">
        <f t="shared" si="2373"/>
        <v>2020</v>
      </c>
      <c r="J1961" s="1" t="s">
        <v>4689</v>
      </c>
      <c r="K1961" s="1" t="s">
        <v>6217</v>
      </c>
      <c r="L1961" s="11" t="str">
        <f t="shared" si="2370"/>
        <v>НЕТ</v>
      </c>
      <c r="M1961" s="10" t="s">
        <v>1575</v>
      </c>
      <c r="N1961" s="10" t="s">
        <v>1575</v>
      </c>
      <c r="O1961" s="10">
        <v>1</v>
      </c>
      <c r="P1961" s="10">
        <f t="shared" si="2371"/>
        <v>13.020833333333334</v>
      </c>
      <c r="Q1961" s="10" t="str">
        <f t="shared" si="2372"/>
        <v>NA</v>
      </c>
      <c r="R1961" s="10" t="s">
        <v>1575</v>
      </c>
      <c r="S1961" s="10" t="s">
        <v>1575</v>
      </c>
      <c r="T1961" s="10" t="s">
        <v>1575</v>
      </c>
      <c r="U1961" s="10" t="s">
        <v>1575</v>
      </c>
      <c r="V1961" s="10" t="s">
        <v>1575</v>
      </c>
      <c r="W1961" s="10" t="s">
        <v>1575</v>
      </c>
      <c r="X1961" s="10" t="str">
        <f t="shared" si="2374"/>
        <v>NA</v>
      </c>
      <c r="Y1961" s="10" t="str">
        <f t="shared" si="2375"/>
        <v>NA</v>
      </c>
      <c r="Z1961" s="10" t="str">
        <f t="shared" si="2376"/>
        <v>NA</v>
      </c>
      <c r="AA1961" s="10" t="str">
        <f t="shared" si="2377"/>
        <v>NA</v>
      </c>
      <c r="AB1961" s="10" t="str">
        <f t="shared" si="2378"/>
        <v>NA</v>
      </c>
      <c r="AC1961" s="10" t="str">
        <f t="shared" si="2379"/>
        <v>NA</v>
      </c>
      <c r="AD1961" s="10" t="str">
        <f t="shared" si="2380"/>
        <v>NA</v>
      </c>
      <c r="AE1961" s="10" t="str">
        <f t="shared" si="2381"/>
        <v>NA</v>
      </c>
      <c r="AF1961" s="1" t="s">
        <v>1605</v>
      </c>
    </row>
    <row r="1962" spans="1:32" x14ac:dyDescent="0.2">
      <c r="A1962" s="1" t="s">
        <v>6218</v>
      </c>
      <c r="B1962" s="1" t="s">
        <v>5</v>
      </c>
      <c r="C1962" s="1" t="s">
        <v>1575</v>
      </c>
      <c r="D1962" s="1" t="s">
        <v>1601</v>
      </c>
      <c r="E1962" s="1" t="s">
        <v>5352</v>
      </c>
      <c r="F1962" s="1" t="s">
        <v>110</v>
      </c>
      <c r="G1962" s="4">
        <v>0.9</v>
      </c>
      <c r="H1962" s="28">
        <v>43921</v>
      </c>
      <c r="I1962" s="29">
        <f t="shared" si="2373"/>
        <v>2020</v>
      </c>
      <c r="J1962" s="1" t="s">
        <v>6219</v>
      </c>
      <c r="K1962" s="1" t="s">
        <v>4689</v>
      </c>
      <c r="L1962" s="11" t="str">
        <f t="shared" si="2370"/>
        <v>НЕТ</v>
      </c>
      <c r="M1962" s="10" t="s">
        <v>1575</v>
      </c>
      <c r="N1962" s="10" t="s">
        <v>1575</v>
      </c>
      <c r="O1962" s="10">
        <v>0.17299999999999999</v>
      </c>
      <c r="P1962" s="10">
        <f t="shared" si="2371"/>
        <v>0.19222222222222221</v>
      </c>
      <c r="Q1962" s="10" t="str">
        <f t="shared" si="2372"/>
        <v>NA</v>
      </c>
      <c r="R1962" s="10" t="s">
        <v>1575</v>
      </c>
      <c r="S1962" s="10" t="s">
        <v>1575</v>
      </c>
      <c r="T1962" s="10" t="s">
        <v>1575</v>
      </c>
      <c r="U1962" s="10" t="s">
        <v>1575</v>
      </c>
      <c r="V1962" s="10" t="s">
        <v>1575</v>
      </c>
      <c r="W1962" s="10" t="s">
        <v>1575</v>
      </c>
      <c r="X1962" s="10" t="str">
        <f t="shared" si="2374"/>
        <v>NA</v>
      </c>
      <c r="Y1962" s="10" t="str">
        <f t="shared" si="2375"/>
        <v>NA</v>
      </c>
      <c r="Z1962" s="10" t="str">
        <f t="shared" si="2376"/>
        <v>NA</v>
      </c>
      <c r="AA1962" s="10" t="str">
        <f t="shared" si="2377"/>
        <v>NA</v>
      </c>
      <c r="AB1962" s="10" t="str">
        <f t="shared" si="2378"/>
        <v>NA</v>
      </c>
      <c r="AC1962" s="10" t="str">
        <f t="shared" si="2379"/>
        <v>NA</v>
      </c>
      <c r="AD1962" s="10" t="str">
        <f t="shared" si="2380"/>
        <v>NA</v>
      </c>
      <c r="AE1962" s="10" t="str">
        <f t="shared" si="2381"/>
        <v>NA</v>
      </c>
      <c r="AF1962" s="1" t="s">
        <v>1413</v>
      </c>
    </row>
    <row r="1963" spans="1:32" x14ac:dyDescent="0.2">
      <c r="A1963" s="1" t="s">
        <v>6220</v>
      </c>
      <c r="B1963" s="1" t="s">
        <v>5</v>
      </c>
      <c r="C1963" s="1" t="s">
        <v>1575</v>
      </c>
      <c r="D1963" s="1" t="s">
        <v>1601</v>
      </c>
      <c r="E1963" s="1" t="s">
        <v>1602</v>
      </c>
      <c r="F1963" s="1" t="s">
        <v>1563</v>
      </c>
      <c r="G1963" s="4">
        <v>1</v>
      </c>
      <c r="H1963" s="28">
        <v>42735</v>
      </c>
      <c r="I1963" s="29">
        <f t="shared" si="2373"/>
        <v>2016</v>
      </c>
      <c r="J1963" s="1" t="s">
        <v>377</v>
      </c>
      <c r="K1963" s="1" t="s">
        <v>4689</v>
      </c>
      <c r="L1963" s="11" t="str">
        <f t="shared" si="2370"/>
        <v>НЕТ</v>
      </c>
      <c r="M1963" s="10" t="s">
        <v>1575</v>
      </c>
      <c r="N1963" s="10" t="s">
        <v>1575</v>
      </c>
      <c r="O1963" s="10">
        <v>3.5590000000000002</v>
      </c>
      <c r="P1963" s="10">
        <f t="shared" si="2371"/>
        <v>3.5590000000000002</v>
      </c>
      <c r="Q1963" s="10" t="str">
        <f t="shared" si="2372"/>
        <v>NA</v>
      </c>
      <c r="R1963" s="10" t="s">
        <v>1575</v>
      </c>
      <c r="S1963" s="10" t="s">
        <v>1575</v>
      </c>
      <c r="T1963" s="10" t="s">
        <v>1575</v>
      </c>
      <c r="U1963" s="10" t="s">
        <v>1575</v>
      </c>
      <c r="V1963" s="10" t="s">
        <v>1575</v>
      </c>
      <c r="W1963" s="10" t="s">
        <v>1575</v>
      </c>
      <c r="X1963" s="10" t="str">
        <f t="shared" si="2374"/>
        <v>NA</v>
      </c>
      <c r="Y1963" s="10" t="str">
        <f t="shared" si="2375"/>
        <v>NA</v>
      </c>
      <c r="Z1963" s="10" t="str">
        <f t="shared" si="2376"/>
        <v>NA</v>
      </c>
      <c r="AA1963" s="10" t="str">
        <f t="shared" si="2377"/>
        <v>NA</v>
      </c>
      <c r="AB1963" s="10" t="str">
        <f t="shared" si="2378"/>
        <v>NA</v>
      </c>
      <c r="AC1963" s="10" t="str">
        <f t="shared" si="2379"/>
        <v>NA</v>
      </c>
      <c r="AD1963" s="10" t="str">
        <f t="shared" si="2380"/>
        <v>NA</v>
      </c>
      <c r="AE1963" s="10" t="str">
        <f t="shared" si="2381"/>
        <v>NA</v>
      </c>
      <c r="AF1963" s="1" t="s">
        <v>1414</v>
      </c>
    </row>
    <row r="1964" spans="1:32" x14ac:dyDescent="0.2">
      <c r="A1964" s="1" t="s">
        <v>374</v>
      </c>
      <c r="B1964" s="1" t="s">
        <v>5</v>
      </c>
      <c r="C1964" s="1" t="s">
        <v>1575</v>
      </c>
      <c r="D1964" s="1" t="s">
        <v>1601</v>
      </c>
      <c r="E1964" s="1" t="s">
        <v>5352</v>
      </c>
      <c r="F1964" s="1" t="s">
        <v>1624</v>
      </c>
      <c r="G1964" s="4">
        <v>1</v>
      </c>
      <c r="H1964" s="28">
        <v>40472</v>
      </c>
      <c r="I1964" s="29">
        <f t="shared" si="2373"/>
        <v>2010</v>
      </c>
      <c r="J1964" s="1" t="s">
        <v>4689</v>
      </c>
      <c r="K1964" s="1" t="s">
        <v>7</v>
      </c>
      <c r="L1964" s="11" t="str">
        <f t="shared" si="2370"/>
        <v>НЕТ</v>
      </c>
      <c r="M1964" s="10" t="s">
        <v>1575</v>
      </c>
      <c r="N1964" s="10" t="s">
        <v>1575</v>
      </c>
      <c r="O1964" s="10">
        <v>1.468</v>
      </c>
      <c r="P1964" s="10">
        <f t="shared" si="2371"/>
        <v>1.468</v>
      </c>
      <c r="Q1964" s="10" t="str">
        <f t="shared" si="2372"/>
        <v>NA</v>
      </c>
      <c r="R1964" s="10" t="s">
        <v>1575</v>
      </c>
      <c r="S1964" s="10" t="s">
        <v>1575</v>
      </c>
      <c r="T1964" s="10" t="s">
        <v>1575</v>
      </c>
      <c r="U1964" s="10" t="s">
        <v>1575</v>
      </c>
      <c r="V1964" s="10" t="s">
        <v>1575</v>
      </c>
      <c r="W1964" s="10" t="s">
        <v>1575</v>
      </c>
      <c r="X1964" s="10" t="str">
        <f t="shared" si="2374"/>
        <v>NA</v>
      </c>
      <c r="Y1964" s="10" t="str">
        <f t="shared" si="2375"/>
        <v>NA</v>
      </c>
      <c r="Z1964" s="10" t="str">
        <f t="shared" si="2376"/>
        <v>NA</v>
      </c>
      <c r="AA1964" s="10" t="str">
        <f t="shared" si="2377"/>
        <v>NA</v>
      </c>
      <c r="AB1964" s="10" t="str">
        <f t="shared" si="2378"/>
        <v>NA</v>
      </c>
      <c r="AC1964" s="10" t="str">
        <f t="shared" si="2379"/>
        <v>NA</v>
      </c>
      <c r="AD1964" s="10" t="str">
        <f t="shared" si="2380"/>
        <v>NA</v>
      </c>
      <c r="AE1964" s="10" t="str">
        <f t="shared" si="2381"/>
        <v>NA</v>
      </c>
    </row>
    <row r="1965" spans="1:32" x14ac:dyDescent="0.2">
      <c r="A1965" s="1" t="s">
        <v>376</v>
      </c>
      <c r="B1965" s="1" t="s">
        <v>5</v>
      </c>
      <c r="C1965" s="1" t="s">
        <v>1575</v>
      </c>
      <c r="D1965" s="1" t="s">
        <v>1601</v>
      </c>
      <c r="E1965" s="1" t="s">
        <v>1608</v>
      </c>
      <c r="F1965" s="1" t="s">
        <v>1562</v>
      </c>
      <c r="G1965" s="4">
        <v>1</v>
      </c>
      <c r="H1965" s="28">
        <v>39814</v>
      </c>
      <c r="I1965" s="29">
        <f t="shared" si="2373"/>
        <v>2009</v>
      </c>
      <c r="J1965" s="1" t="s">
        <v>4689</v>
      </c>
      <c r="K1965" s="1" t="s">
        <v>7</v>
      </c>
      <c r="L1965" s="11" t="str">
        <f t="shared" si="2370"/>
        <v>НЕТ</v>
      </c>
      <c r="M1965" s="10" t="s">
        <v>1575</v>
      </c>
      <c r="N1965" s="10" t="s">
        <v>1575</v>
      </c>
      <c r="O1965" s="10">
        <v>6.8000000000000005E-2</v>
      </c>
      <c r="P1965" s="10">
        <f t="shared" si="2371"/>
        <v>6.8000000000000005E-2</v>
      </c>
      <c r="Q1965" s="10" t="str">
        <f t="shared" si="2372"/>
        <v>NA</v>
      </c>
      <c r="R1965" s="10" t="s">
        <v>1575</v>
      </c>
      <c r="S1965" s="10" t="s">
        <v>1575</v>
      </c>
      <c r="T1965" s="10" t="s">
        <v>1575</v>
      </c>
      <c r="U1965" s="10" t="s">
        <v>1575</v>
      </c>
      <c r="V1965" s="10" t="s">
        <v>1575</v>
      </c>
      <c r="W1965" s="10" t="s">
        <v>1575</v>
      </c>
      <c r="X1965" s="10" t="str">
        <f t="shared" si="2374"/>
        <v>NA</v>
      </c>
      <c r="Y1965" s="10" t="str">
        <f t="shared" si="2375"/>
        <v>NA</v>
      </c>
      <c r="Z1965" s="10" t="str">
        <f t="shared" si="2376"/>
        <v>NA</v>
      </c>
      <c r="AA1965" s="10" t="str">
        <f t="shared" si="2377"/>
        <v>NA</v>
      </c>
      <c r="AB1965" s="10" t="str">
        <f t="shared" si="2378"/>
        <v>NA</v>
      </c>
      <c r="AC1965" s="10" t="str">
        <f t="shared" si="2379"/>
        <v>NA</v>
      </c>
      <c r="AD1965" s="10" t="str">
        <f t="shared" si="2380"/>
        <v>NA</v>
      </c>
      <c r="AE1965" s="10" t="str">
        <f t="shared" si="2381"/>
        <v>NA</v>
      </c>
    </row>
    <row r="1966" spans="1:32" x14ac:dyDescent="0.2">
      <c r="A1966" s="1" t="s">
        <v>6221</v>
      </c>
      <c r="B1966" s="1" t="s">
        <v>5</v>
      </c>
      <c r="C1966" s="1" t="s">
        <v>1575</v>
      </c>
      <c r="D1966" s="1" t="s">
        <v>1813</v>
      </c>
      <c r="E1966" s="1" t="s">
        <v>1587</v>
      </c>
      <c r="F1966" s="1" t="s">
        <v>255</v>
      </c>
      <c r="G1966" s="4">
        <v>1</v>
      </c>
      <c r="H1966" s="28">
        <v>44347</v>
      </c>
      <c r="I1966" s="29">
        <f t="shared" si="2373"/>
        <v>2021</v>
      </c>
      <c r="J1966" s="1" t="s">
        <v>4671</v>
      </c>
      <c r="K1966" s="1" t="s">
        <v>7</v>
      </c>
      <c r="L1966" s="11" t="str">
        <f t="shared" si="2370"/>
        <v>НЕТ</v>
      </c>
      <c r="M1966" s="10" t="s">
        <v>1575</v>
      </c>
      <c r="N1966" s="10" t="s">
        <v>1575</v>
      </c>
      <c r="O1966" s="10">
        <v>9.6999999999999993</v>
      </c>
      <c r="P1966" s="10">
        <f t="shared" si="2371"/>
        <v>9.6999999999999993</v>
      </c>
      <c r="Q1966" s="10" t="str">
        <f t="shared" si="2372"/>
        <v>NA</v>
      </c>
      <c r="R1966" s="10" t="s">
        <v>1575</v>
      </c>
      <c r="S1966" s="10" t="s">
        <v>1575</v>
      </c>
      <c r="T1966" s="10" t="s">
        <v>1575</v>
      </c>
      <c r="U1966" s="10" t="s">
        <v>1575</v>
      </c>
      <c r="V1966" s="10" t="s">
        <v>1575</v>
      </c>
      <c r="W1966" s="10" t="s">
        <v>1575</v>
      </c>
      <c r="X1966" s="10" t="str">
        <f t="shared" si="2374"/>
        <v>NA</v>
      </c>
      <c r="Y1966" s="10" t="str">
        <f t="shared" si="2375"/>
        <v>NA</v>
      </c>
      <c r="Z1966" s="10" t="str">
        <f t="shared" si="2376"/>
        <v>NA</v>
      </c>
      <c r="AA1966" s="10" t="str">
        <f t="shared" si="2377"/>
        <v>NA</v>
      </c>
      <c r="AB1966" s="10" t="str">
        <f t="shared" si="2378"/>
        <v>NA</v>
      </c>
      <c r="AC1966" s="10" t="str">
        <f t="shared" si="2379"/>
        <v>NA</v>
      </c>
      <c r="AD1966" s="10" t="str">
        <f t="shared" si="2380"/>
        <v>NA</v>
      </c>
      <c r="AE1966" s="10" t="str">
        <f t="shared" si="2381"/>
        <v>NA</v>
      </c>
      <c r="AF1966" s="1" t="s">
        <v>1419</v>
      </c>
    </row>
    <row r="1967" spans="1:32" x14ac:dyDescent="0.2">
      <c r="A1967" s="1" t="s">
        <v>6222</v>
      </c>
      <c r="B1967" s="1" t="s">
        <v>5</v>
      </c>
      <c r="C1967" s="1" t="s">
        <v>1575</v>
      </c>
      <c r="D1967" s="1" t="s">
        <v>1601</v>
      </c>
      <c r="E1967" s="1" t="s">
        <v>5352</v>
      </c>
      <c r="F1967" s="1" t="s">
        <v>1420</v>
      </c>
      <c r="G1967" s="4">
        <v>1</v>
      </c>
      <c r="H1967" s="28">
        <v>44347</v>
      </c>
      <c r="I1967" s="29">
        <f t="shared" si="2373"/>
        <v>2021</v>
      </c>
      <c r="J1967" s="1" t="s">
        <v>4671</v>
      </c>
      <c r="K1967" s="1" t="s">
        <v>7</v>
      </c>
      <c r="L1967" s="11" t="str">
        <f t="shared" si="2370"/>
        <v>НЕТ</v>
      </c>
      <c r="M1967" s="10" t="s">
        <v>1575</v>
      </c>
      <c r="N1967" s="10" t="s">
        <v>1575</v>
      </c>
      <c r="O1967" s="10">
        <v>37.197000000000003</v>
      </c>
      <c r="P1967" s="10">
        <f t="shared" si="2371"/>
        <v>37.197000000000003</v>
      </c>
      <c r="Q1967" s="10" t="str">
        <f t="shared" si="2372"/>
        <v>NA</v>
      </c>
      <c r="R1967" s="10" t="s">
        <v>1575</v>
      </c>
      <c r="S1967" s="10" t="s">
        <v>1575</v>
      </c>
      <c r="T1967" s="10" t="s">
        <v>1575</v>
      </c>
      <c r="U1967" s="10" t="s">
        <v>1575</v>
      </c>
      <c r="V1967" s="10" t="s">
        <v>1575</v>
      </c>
      <c r="W1967" s="10" t="s">
        <v>1575</v>
      </c>
      <c r="X1967" s="10" t="str">
        <f t="shared" si="2374"/>
        <v>NA</v>
      </c>
      <c r="Y1967" s="10" t="str">
        <f t="shared" si="2375"/>
        <v>NA</v>
      </c>
      <c r="Z1967" s="10" t="str">
        <f t="shared" si="2376"/>
        <v>NA</v>
      </c>
      <c r="AA1967" s="10" t="str">
        <f t="shared" si="2377"/>
        <v>NA</v>
      </c>
      <c r="AB1967" s="10" t="str">
        <f t="shared" si="2378"/>
        <v>NA</v>
      </c>
      <c r="AC1967" s="10" t="str">
        <f t="shared" si="2379"/>
        <v>NA</v>
      </c>
      <c r="AD1967" s="10" t="str">
        <f t="shared" si="2380"/>
        <v>NA</v>
      </c>
      <c r="AE1967" s="10" t="str">
        <f t="shared" si="2381"/>
        <v>NA</v>
      </c>
      <c r="AF1967" s="1" t="s">
        <v>1421</v>
      </c>
    </row>
    <row r="1968" spans="1:32" x14ac:dyDescent="0.2">
      <c r="A1968" s="1" t="s">
        <v>6223</v>
      </c>
      <c r="B1968" s="1" t="s">
        <v>5</v>
      </c>
      <c r="C1968" s="1" t="s">
        <v>1606</v>
      </c>
      <c r="D1968" s="1" t="s">
        <v>1601</v>
      </c>
      <c r="E1968" s="1" t="s">
        <v>1602</v>
      </c>
      <c r="F1968" s="1" t="s">
        <v>1563</v>
      </c>
      <c r="G1968" s="4">
        <v>6.0200000000000002E-3</v>
      </c>
      <c r="H1968" s="28">
        <v>43982</v>
      </c>
      <c r="I1968" s="29">
        <f t="shared" si="2373"/>
        <v>2020</v>
      </c>
      <c r="J1968" s="1" t="s">
        <v>4671</v>
      </c>
      <c r="K1968" s="1" t="s">
        <v>7</v>
      </c>
      <c r="L1968" s="11" t="str">
        <f t="shared" si="2370"/>
        <v>НЕТ</v>
      </c>
      <c r="M1968" s="10" t="s">
        <v>1575</v>
      </c>
      <c r="N1968" s="10" t="s">
        <v>1575</v>
      </c>
      <c r="O1968" s="10">
        <v>2E-3</v>
      </c>
      <c r="P1968" s="10">
        <f t="shared" si="2371"/>
        <v>0.33222591362126247</v>
      </c>
      <c r="Q1968" s="10">
        <f t="shared" si="2372"/>
        <v>0.17122591362126247</v>
      </c>
      <c r="R1968" s="10" t="s">
        <v>1575</v>
      </c>
      <c r="S1968" s="10" t="s">
        <v>1575</v>
      </c>
      <c r="T1968" s="10" t="s">
        <v>1575</v>
      </c>
      <c r="U1968" s="10" t="s">
        <v>1575</v>
      </c>
      <c r="V1968" s="10">
        <v>0.189</v>
      </c>
      <c r="W1968" s="10">
        <v>-0.161</v>
      </c>
      <c r="X1968" s="10">
        <f t="shared" si="2374"/>
        <v>2.7999999999999997E-2</v>
      </c>
      <c r="Y1968" s="10" t="str">
        <f t="shared" si="2375"/>
        <v>NA</v>
      </c>
      <c r="Z1968" s="10" t="str">
        <f t="shared" si="2376"/>
        <v>NA</v>
      </c>
      <c r="AA1968" s="10">
        <f t="shared" si="2377"/>
        <v>1.7578090667791666</v>
      </c>
      <c r="AB1968" s="10" t="str">
        <f t="shared" si="2378"/>
        <v>NA</v>
      </c>
      <c r="AC1968" s="10" t="str">
        <f t="shared" si="2379"/>
        <v>NA</v>
      </c>
      <c r="AD1968" s="10" t="str">
        <f t="shared" si="2380"/>
        <v>NA</v>
      </c>
      <c r="AE1968" s="10">
        <f t="shared" si="2381"/>
        <v>6.115211200759374</v>
      </c>
      <c r="AF1968" s="1" t="s">
        <v>1415</v>
      </c>
    </row>
    <row r="1969" spans="1:32" x14ac:dyDescent="0.2">
      <c r="A1969" s="1" t="s">
        <v>1416</v>
      </c>
      <c r="B1969" s="1" t="s">
        <v>1575</v>
      </c>
      <c r="C1969" s="1" t="s">
        <v>1575</v>
      </c>
      <c r="D1969" s="1" t="s">
        <v>2160</v>
      </c>
      <c r="E1969" s="1" t="s">
        <v>2161</v>
      </c>
      <c r="F1969" s="1" t="s">
        <v>1418</v>
      </c>
      <c r="G1969" s="4">
        <f>50.999%-50%</f>
        <v>9.9900000000000544E-3</v>
      </c>
      <c r="H1969" s="28">
        <v>44104</v>
      </c>
      <c r="I1969" s="29">
        <f t="shared" si="2373"/>
        <v>2020</v>
      </c>
      <c r="J1969" s="1" t="s">
        <v>4671</v>
      </c>
      <c r="K1969" s="1" t="s">
        <v>7</v>
      </c>
      <c r="L1969" s="11" t="str">
        <f t="shared" si="2370"/>
        <v>НЕТ</v>
      </c>
      <c r="M1969" s="10" t="s">
        <v>1575</v>
      </c>
      <c r="N1969" s="10" t="s">
        <v>1575</v>
      </c>
      <c r="O1969" s="10" t="s">
        <v>1575</v>
      </c>
      <c r="P1969" s="10" t="str">
        <f t="shared" si="2371"/>
        <v>NA</v>
      </c>
      <c r="Q1969" s="10" t="str">
        <f t="shared" si="2372"/>
        <v>NA</v>
      </c>
      <c r="R1969" s="10" t="s">
        <v>1575</v>
      </c>
      <c r="S1969" s="10" t="s">
        <v>1575</v>
      </c>
      <c r="T1969" s="10" t="s">
        <v>1575</v>
      </c>
      <c r="U1969" s="10" t="s">
        <v>1575</v>
      </c>
      <c r="V1969" s="10" t="s">
        <v>1575</v>
      </c>
      <c r="W1969" s="10" t="s">
        <v>1575</v>
      </c>
      <c r="X1969" s="10" t="str">
        <f t="shared" si="2374"/>
        <v>NA</v>
      </c>
      <c r="Y1969" s="10" t="str">
        <f t="shared" si="2375"/>
        <v>NA</v>
      </c>
      <c r="Z1969" s="10" t="str">
        <f t="shared" si="2376"/>
        <v>NA</v>
      </c>
      <c r="AA1969" s="10" t="str">
        <f t="shared" si="2377"/>
        <v>NA</v>
      </c>
      <c r="AB1969" s="10" t="str">
        <f t="shared" si="2378"/>
        <v>NA</v>
      </c>
      <c r="AC1969" s="10" t="str">
        <f t="shared" si="2379"/>
        <v>NA</v>
      </c>
      <c r="AD1969" s="10" t="str">
        <f t="shared" si="2380"/>
        <v>NA</v>
      </c>
      <c r="AE1969" s="10" t="str">
        <f t="shared" si="2381"/>
        <v>NA</v>
      </c>
      <c r="AF1969" s="1" t="s">
        <v>1417</v>
      </c>
    </row>
    <row r="1970" spans="1:32" x14ac:dyDescent="0.2">
      <c r="A1970" s="1" t="s">
        <v>6223</v>
      </c>
      <c r="B1970" s="1" t="s">
        <v>5</v>
      </c>
      <c r="C1970" s="1" t="s">
        <v>1606</v>
      </c>
      <c r="D1970" s="1" t="s">
        <v>1601</v>
      </c>
      <c r="E1970" s="1" t="s">
        <v>1602</v>
      </c>
      <c r="F1970" s="1" t="s">
        <v>1563</v>
      </c>
      <c r="G1970" s="4">
        <v>5.9999999999999995E-4</v>
      </c>
      <c r="H1970" s="28">
        <v>43830</v>
      </c>
      <c r="I1970" s="29">
        <f t="shared" si="2373"/>
        <v>2019</v>
      </c>
      <c r="J1970" s="1" t="s">
        <v>4671</v>
      </c>
      <c r="K1970" s="1" t="s">
        <v>7</v>
      </c>
      <c r="L1970" s="11" t="str">
        <f t="shared" si="2370"/>
        <v>НЕТ</v>
      </c>
      <c r="M1970" s="10" t="s">
        <v>1575</v>
      </c>
      <c r="N1970" s="10" t="s">
        <v>1575</v>
      </c>
      <c r="O1970" s="10">
        <v>2.9999999999999997E-4</v>
      </c>
      <c r="P1970" s="10">
        <f t="shared" si="2371"/>
        <v>0.5</v>
      </c>
      <c r="Q1970" s="10">
        <f t="shared" si="2372"/>
        <v>0.33899999999999997</v>
      </c>
      <c r="R1970" s="10" t="s">
        <v>1575</v>
      </c>
      <c r="S1970" s="10" t="s">
        <v>1575</v>
      </c>
      <c r="T1970" s="10" t="s">
        <v>1575</v>
      </c>
      <c r="U1970" s="10" t="s">
        <v>1575</v>
      </c>
      <c r="V1970" s="10">
        <v>0.189</v>
      </c>
      <c r="W1970" s="10">
        <v>-0.161</v>
      </c>
      <c r="X1970" s="10">
        <f t="shared" si="2374"/>
        <v>2.7999999999999997E-2</v>
      </c>
      <c r="Y1970" s="10" t="str">
        <f t="shared" si="2375"/>
        <v>NA</v>
      </c>
      <c r="Z1970" s="10" t="str">
        <f t="shared" si="2376"/>
        <v>NA</v>
      </c>
      <c r="AA1970" s="10">
        <f t="shared" si="2377"/>
        <v>2.6455026455026456</v>
      </c>
      <c r="AB1970" s="10" t="str">
        <f t="shared" si="2378"/>
        <v>NA</v>
      </c>
      <c r="AC1970" s="10" t="str">
        <f t="shared" si="2379"/>
        <v>NA</v>
      </c>
      <c r="AD1970" s="10" t="str">
        <f t="shared" si="2380"/>
        <v>NA</v>
      </c>
      <c r="AE1970" s="10">
        <f t="shared" si="2381"/>
        <v>12.107142857142858</v>
      </c>
      <c r="AF1970" s="1" t="s">
        <v>1424</v>
      </c>
    </row>
    <row r="1971" spans="1:32" x14ac:dyDescent="0.2">
      <c r="A1971" s="1" t="s">
        <v>6223</v>
      </c>
      <c r="B1971" s="1" t="s">
        <v>5</v>
      </c>
      <c r="C1971" s="1" t="s">
        <v>1606</v>
      </c>
      <c r="D1971" s="1" t="s">
        <v>1601</v>
      </c>
      <c r="E1971" s="1" t="s">
        <v>1602</v>
      </c>
      <c r="F1971" s="1" t="s">
        <v>1563</v>
      </c>
      <c r="G1971" s="4">
        <v>0.1774</v>
      </c>
      <c r="H1971" s="28">
        <v>43708</v>
      </c>
      <c r="I1971" s="29">
        <f t="shared" si="2373"/>
        <v>2019</v>
      </c>
      <c r="J1971" s="1" t="s">
        <v>4671</v>
      </c>
      <c r="K1971" s="1" t="s">
        <v>7</v>
      </c>
      <c r="L1971" s="11" t="str">
        <f t="shared" ref="L1971:L2034" si="2382">IF(OR(A1971=J1971,A1971=K1971),"ДА","НЕТ")</f>
        <v>НЕТ</v>
      </c>
      <c r="M1971" s="10" t="s">
        <v>1575</v>
      </c>
      <c r="N1971" s="10" t="s">
        <v>1575</v>
      </c>
      <c r="O1971" s="10">
        <v>7.6999999999999999E-2</v>
      </c>
      <c r="P1971" s="10">
        <f t="shared" si="2371"/>
        <v>0.43404735062006761</v>
      </c>
      <c r="Q1971" s="10" t="str">
        <f t="shared" si="2372"/>
        <v>NA</v>
      </c>
      <c r="R1971" s="10" t="s">
        <v>1575</v>
      </c>
      <c r="S1971" s="10" t="s">
        <v>1575</v>
      </c>
      <c r="T1971" s="10" t="s">
        <v>1575</v>
      </c>
      <c r="U1971" s="10" t="s">
        <v>1575</v>
      </c>
      <c r="V1971" s="10" t="s">
        <v>1575</v>
      </c>
      <c r="W1971" s="10" t="s">
        <v>1575</v>
      </c>
      <c r="X1971" s="10" t="str">
        <f t="shared" si="2374"/>
        <v>NA</v>
      </c>
      <c r="Y1971" s="10" t="str">
        <f t="shared" si="2375"/>
        <v>NA</v>
      </c>
      <c r="Z1971" s="10" t="str">
        <f t="shared" si="2376"/>
        <v>NA</v>
      </c>
      <c r="AA1971" s="10" t="str">
        <f t="shared" si="2377"/>
        <v>NA</v>
      </c>
      <c r="AB1971" s="10" t="str">
        <f t="shared" si="2378"/>
        <v>NA</v>
      </c>
      <c r="AC1971" s="10" t="str">
        <f t="shared" si="2379"/>
        <v>NA</v>
      </c>
      <c r="AD1971" s="10" t="str">
        <f t="shared" si="2380"/>
        <v>NA</v>
      </c>
      <c r="AE1971" s="10" t="str">
        <f t="shared" si="2381"/>
        <v>NA</v>
      </c>
      <c r="AF1971" s="1" t="s">
        <v>1425</v>
      </c>
    </row>
    <row r="1972" spans="1:32" x14ac:dyDescent="0.2">
      <c r="A1972" s="1" t="s">
        <v>6224</v>
      </c>
      <c r="B1972" s="1" t="s">
        <v>5</v>
      </c>
      <c r="C1972" s="1" t="s">
        <v>1575</v>
      </c>
      <c r="D1972" s="1" t="s">
        <v>1601</v>
      </c>
      <c r="E1972" s="1" t="s">
        <v>1602</v>
      </c>
      <c r="F1972" s="1" t="s">
        <v>1563</v>
      </c>
      <c r="G1972" s="4">
        <f>100%-95.84%</f>
        <v>4.159999999999997E-2</v>
      </c>
      <c r="H1972" s="28">
        <v>43609</v>
      </c>
      <c r="I1972" s="29">
        <f t="shared" si="2373"/>
        <v>2019</v>
      </c>
      <c r="J1972" s="1" t="s">
        <v>4671</v>
      </c>
      <c r="K1972" s="1" t="s">
        <v>7</v>
      </c>
      <c r="L1972" s="11" t="str">
        <f t="shared" si="2382"/>
        <v>НЕТ</v>
      </c>
      <c r="M1972" s="10" t="s">
        <v>1575</v>
      </c>
      <c r="N1972" s="10" t="s">
        <v>1575</v>
      </c>
      <c r="O1972" s="10">
        <v>0.104</v>
      </c>
      <c r="P1972" s="10">
        <f t="shared" si="2371"/>
        <v>2.5000000000000018</v>
      </c>
      <c r="Q1972" s="10" t="str">
        <f t="shared" si="2372"/>
        <v>NA</v>
      </c>
      <c r="R1972" s="10" t="s">
        <v>1575</v>
      </c>
      <c r="S1972" s="10" t="s">
        <v>1575</v>
      </c>
      <c r="T1972" s="10" t="s">
        <v>1575</v>
      </c>
      <c r="U1972" s="10" t="s">
        <v>1575</v>
      </c>
      <c r="V1972" s="10" t="s">
        <v>1575</v>
      </c>
      <c r="W1972" s="10" t="s">
        <v>1575</v>
      </c>
      <c r="X1972" s="10" t="str">
        <f t="shared" si="2374"/>
        <v>NA</v>
      </c>
      <c r="Y1972" s="10" t="str">
        <f t="shared" si="2375"/>
        <v>NA</v>
      </c>
      <c r="Z1972" s="10" t="str">
        <f t="shared" si="2376"/>
        <v>NA</v>
      </c>
      <c r="AA1972" s="10" t="str">
        <f t="shared" si="2377"/>
        <v>NA</v>
      </c>
      <c r="AB1972" s="10" t="str">
        <f t="shared" si="2378"/>
        <v>NA</v>
      </c>
      <c r="AC1972" s="10" t="str">
        <f t="shared" si="2379"/>
        <v>NA</v>
      </c>
      <c r="AD1972" s="10" t="str">
        <f t="shared" si="2380"/>
        <v>NA</v>
      </c>
      <c r="AE1972" s="10" t="str">
        <f t="shared" si="2381"/>
        <v>NA</v>
      </c>
      <c r="AF1972" s="1" t="s">
        <v>1423</v>
      </c>
    </row>
    <row r="1973" spans="1:32" x14ac:dyDescent="0.2">
      <c r="A1973" s="1" t="s">
        <v>6224</v>
      </c>
      <c r="B1973" s="1" t="s">
        <v>5</v>
      </c>
      <c r="C1973" s="1" t="s">
        <v>1575</v>
      </c>
      <c r="D1973" s="1" t="s">
        <v>1601</v>
      </c>
      <c r="E1973" s="1" t="s">
        <v>1602</v>
      </c>
      <c r="F1973" s="1" t="s">
        <v>1563</v>
      </c>
      <c r="G1973" s="4">
        <v>0.10829999999999999</v>
      </c>
      <c r="H1973" s="28">
        <v>43524</v>
      </c>
      <c r="I1973" s="29">
        <f t="shared" si="2373"/>
        <v>2019</v>
      </c>
      <c r="J1973" s="1" t="s">
        <v>4671</v>
      </c>
      <c r="K1973" s="1" t="s">
        <v>7</v>
      </c>
      <c r="L1973" s="11" t="str">
        <f t="shared" si="2382"/>
        <v>НЕТ</v>
      </c>
      <c r="M1973" s="10" t="s">
        <v>1575</v>
      </c>
      <c r="N1973" s="10" t="s">
        <v>1575</v>
      </c>
      <c r="O1973" s="10">
        <v>0.27</v>
      </c>
      <c r="P1973" s="10">
        <f t="shared" si="2371"/>
        <v>2.4930747922437675</v>
      </c>
      <c r="Q1973" s="10" t="str">
        <f t="shared" si="2372"/>
        <v>NA</v>
      </c>
      <c r="R1973" s="10" t="s">
        <v>1575</v>
      </c>
      <c r="S1973" s="10" t="s">
        <v>1575</v>
      </c>
      <c r="T1973" s="10" t="s">
        <v>1575</v>
      </c>
      <c r="U1973" s="10" t="s">
        <v>1575</v>
      </c>
      <c r="V1973" s="10" t="s">
        <v>1575</v>
      </c>
      <c r="W1973" s="10" t="s">
        <v>1575</v>
      </c>
      <c r="X1973" s="10" t="str">
        <f t="shared" si="2374"/>
        <v>NA</v>
      </c>
      <c r="Y1973" s="10" t="str">
        <f t="shared" si="2375"/>
        <v>NA</v>
      </c>
      <c r="Z1973" s="10" t="str">
        <f t="shared" si="2376"/>
        <v>NA</v>
      </c>
      <c r="AA1973" s="10" t="str">
        <f t="shared" si="2377"/>
        <v>NA</v>
      </c>
      <c r="AB1973" s="10" t="str">
        <f t="shared" si="2378"/>
        <v>NA</v>
      </c>
      <c r="AC1973" s="10" t="str">
        <f t="shared" si="2379"/>
        <v>NA</v>
      </c>
      <c r="AD1973" s="10" t="str">
        <f t="shared" si="2380"/>
        <v>NA</v>
      </c>
      <c r="AE1973" s="10" t="str">
        <f t="shared" si="2381"/>
        <v>NA</v>
      </c>
      <c r="AF1973" s="1" t="s">
        <v>1422</v>
      </c>
    </row>
    <row r="1974" spans="1:32" x14ac:dyDescent="0.2">
      <c r="A1974" s="1" t="s">
        <v>6224</v>
      </c>
      <c r="B1974" s="1" t="s">
        <v>5</v>
      </c>
      <c r="C1974" s="1" t="s">
        <v>1575</v>
      </c>
      <c r="D1974" s="1" t="s">
        <v>1601</v>
      </c>
      <c r="E1974" s="1" t="s">
        <v>1602</v>
      </c>
      <c r="F1974" s="1" t="s">
        <v>1563</v>
      </c>
      <c r="G1974" s="4">
        <v>0.1</v>
      </c>
      <c r="H1974" s="28">
        <v>43404</v>
      </c>
      <c r="I1974" s="29">
        <f t="shared" si="2373"/>
        <v>2018</v>
      </c>
      <c r="J1974" s="1" t="s">
        <v>7</v>
      </c>
      <c r="K1974" s="1" t="s">
        <v>4671</v>
      </c>
      <c r="L1974" s="11" t="str">
        <f t="shared" si="2382"/>
        <v>НЕТ</v>
      </c>
      <c r="M1974" s="10" t="s">
        <v>1575</v>
      </c>
      <c r="N1974" s="10" t="s">
        <v>1575</v>
      </c>
      <c r="O1974" s="10">
        <v>0.24399999999999999</v>
      </c>
      <c r="P1974" s="10">
        <f t="shared" si="2371"/>
        <v>2.44</v>
      </c>
      <c r="Q1974" s="10" t="str">
        <f t="shared" si="2372"/>
        <v>NA</v>
      </c>
      <c r="R1974" s="10" t="s">
        <v>1575</v>
      </c>
      <c r="S1974" s="10" t="s">
        <v>1575</v>
      </c>
      <c r="T1974" s="10" t="s">
        <v>1575</v>
      </c>
      <c r="U1974" s="10" t="s">
        <v>1575</v>
      </c>
      <c r="V1974" s="10" t="s">
        <v>1575</v>
      </c>
      <c r="W1974" s="10" t="s">
        <v>1575</v>
      </c>
      <c r="X1974" s="10" t="str">
        <f t="shared" si="2374"/>
        <v>NA</v>
      </c>
      <c r="Y1974" s="10" t="str">
        <f t="shared" si="2375"/>
        <v>NA</v>
      </c>
      <c r="Z1974" s="10" t="str">
        <f t="shared" si="2376"/>
        <v>NA</v>
      </c>
      <c r="AA1974" s="10" t="str">
        <f t="shared" si="2377"/>
        <v>NA</v>
      </c>
      <c r="AB1974" s="10" t="str">
        <f t="shared" si="2378"/>
        <v>NA</v>
      </c>
      <c r="AC1974" s="10" t="str">
        <f t="shared" si="2379"/>
        <v>NA</v>
      </c>
      <c r="AD1974" s="10" t="str">
        <f t="shared" si="2380"/>
        <v>NA</v>
      </c>
      <c r="AE1974" s="10" t="str">
        <f t="shared" si="2381"/>
        <v>NA</v>
      </c>
      <c r="AF1974" s="1" t="s">
        <v>1426</v>
      </c>
    </row>
    <row r="1975" spans="1:32" x14ac:dyDescent="0.2">
      <c r="A1975" s="1" t="s">
        <v>6223</v>
      </c>
      <c r="B1975" s="1" t="s">
        <v>5</v>
      </c>
      <c r="C1975" s="1" t="s">
        <v>1606</v>
      </c>
      <c r="D1975" s="1" t="s">
        <v>1601</v>
      </c>
      <c r="E1975" s="1" t="s">
        <v>1602</v>
      </c>
      <c r="F1975" s="1" t="s">
        <v>1563</v>
      </c>
      <c r="G1975" s="4">
        <v>6.0499999999999998E-2</v>
      </c>
      <c r="H1975" s="28">
        <v>43069</v>
      </c>
      <c r="I1975" s="29">
        <f t="shared" si="2373"/>
        <v>2017</v>
      </c>
      <c r="J1975" s="1" t="s">
        <v>4671</v>
      </c>
      <c r="K1975" s="1" t="s">
        <v>7</v>
      </c>
      <c r="L1975" s="11" t="str">
        <f t="shared" si="2382"/>
        <v>НЕТ</v>
      </c>
      <c r="M1975" s="10" t="s">
        <v>1575</v>
      </c>
      <c r="N1975" s="10" t="s">
        <v>1575</v>
      </c>
      <c r="O1975" s="10">
        <v>1.4E-2</v>
      </c>
      <c r="P1975" s="10">
        <f t="shared" si="2371"/>
        <v>0.23140495867768596</v>
      </c>
      <c r="Q1975" s="10" t="str">
        <f t="shared" si="2372"/>
        <v>NA</v>
      </c>
      <c r="R1975" s="10" t="s">
        <v>1575</v>
      </c>
      <c r="S1975" s="10" t="s">
        <v>1575</v>
      </c>
      <c r="T1975" s="10" t="s">
        <v>1575</v>
      </c>
      <c r="U1975" s="10" t="s">
        <v>1575</v>
      </c>
      <c r="V1975" s="10" t="s">
        <v>1575</v>
      </c>
      <c r="W1975" s="10" t="s">
        <v>1575</v>
      </c>
      <c r="X1975" s="10" t="str">
        <f t="shared" si="2374"/>
        <v>NA</v>
      </c>
      <c r="Y1975" s="10" t="str">
        <f t="shared" si="2375"/>
        <v>NA</v>
      </c>
      <c r="Z1975" s="10" t="str">
        <f t="shared" si="2376"/>
        <v>NA</v>
      </c>
      <c r="AA1975" s="10" t="str">
        <f t="shared" si="2377"/>
        <v>NA</v>
      </c>
      <c r="AB1975" s="10" t="str">
        <f t="shared" si="2378"/>
        <v>NA</v>
      </c>
      <c r="AC1975" s="10" t="str">
        <f t="shared" si="2379"/>
        <v>NA</v>
      </c>
      <c r="AD1975" s="10" t="str">
        <f t="shared" si="2380"/>
        <v>NA</v>
      </c>
      <c r="AE1975" s="10" t="str">
        <f t="shared" si="2381"/>
        <v>NA</v>
      </c>
      <c r="AF1975" s="1" t="s">
        <v>1427</v>
      </c>
    </row>
    <row r="1976" spans="1:32" x14ac:dyDescent="0.2">
      <c r="A1976" s="1" t="s">
        <v>6225</v>
      </c>
      <c r="B1976" s="1" t="s">
        <v>5</v>
      </c>
      <c r="C1976" s="1" t="s">
        <v>1611</v>
      </c>
      <c r="D1976" s="1" t="s">
        <v>1601</v>
      </c>
      <c r="E1976" s="1" t="s">
        <v>1602</v>
      </c>
      <c r="F1976" s="1" t="s">
        <v>1563</v>
      </c>
      <c r="G1976" s="4">
        <v>2.87E-2</v>
      </c>
      <c r="H1976" s="28">
        <v>43069</v>
      </c>
      <c r="I1976" s="29">
        <f t="shared" si="2373"/>
        <v>2017</v>
      </c>
      <c r="J1976" s="1" t="s">
        <v>4671</v>
      </c>
      <c r="K1976" s="1" t="s">
        <v>7</v>
      </c>
      <c r="L1976" s="11" t="str">
        <f t="shared" si="2382"/>
        <v>НЕТ</v>
      </c>
      <c r="M1976" s="10" t="s">
        <v>1575</v>
      </c>
      <c r="N1976" s="10" t="s">
        <v>1575</v>
      </c>
      <c r="O1976" s="10">
        <v>1.2E-2</v>
      </c>
      <c r="P1976" s="10">
        <f t="shared" si="2371"/>
        <v>0.41811846689895471</v>
      </c>
      <c r="Q1976" s="10" t="str">
        <f t="shared" si="2372"/>
        <v>NA</v>
      </c>
      <c r="R1976" s="10" t="s">
        <v>1575</v>
      </c>
      <c r="S1976" s="10" t="s">
        <v>1575</v>
      </c>
      <c r="T1976" s="10" t="s">
        <v>1575</v>
      </c>
      <c r="U1976" s="10" t="s">
        <v>1575</v>
      </c>
      <c r="V1976" s="10" t="s">
        <v>1575</v>
      </c>
      <c r="W1976" s="10" t="s">
        <v>1575</v>
      </c>
      <c r="X1976" s="10" t="str">
        <f t="shared" si="2374"/>
        <v>NA</v>
      </c>
      <c r="Y1976" s="10" t="str">
        <f t="shared" si="2375"/>
        <v>NA</v>
      </c>
      <c r="Z1976" s="10" t="str">
        <f t="shared" si="2376"/>
        <v>NA</v>
      </c>
      <c r="AA1976" s="10" t="str">
        <f t="shared" si="2377"/>
        <v>NA</v>
      </c>
      <c r="AB1976" s="10" t="str">
        <f t="shared" si="2378"/>
        <v>NA</v>
      </c>
      <c r="AC1976" s="10" t="str">
        <f t="shared" si="2379"/>
        <v>NA</v>
      </c>
      <c r="AD1976" s="10" t="str">
        <f t="shared" si="2380"/>
        <v>NA</v>
      </c>
      <c r="AE1976" s="10" t="str">
        <f t="shared" si="2381"/>
        <v>NA</v>
      </c>
      <c r="AF1976" s="1" t="s">
        <v>1428</v>
      </c>
    </row>
    <row r="1977" spans="1:32" x14ac:dyDescent="0.2">
      <c r="A1977" s="1" t="s">
        <v>400</v>
      </c>
      <c r="B1977" s="1" t="s">
        <v>5</v>
      </c>
      <c r="C1977" s="1" t="s">
        <v>1607</v>
      </c>
      <c r="D1977" s="1" t="s">
        <v>1601</v>
      </c>
      <c r="E1977" s="1" t="s">
        <v>1602</v>
      </c>
      <c r="F1977" s="1" t="s">
        <v>1563</v>
      </c>
      <c r="G1977" s="4"/>
      <c r="H1977" s="28">
        <v>42735</v>
      </c>
      <c r="I1977" s="29">
        <f t="shared" si="2373"/>
        <v>2016</v>
      </c>
      <c r="J1977" s="1" t="s">
        <v>4671</v>
      </c>
      <c r="K1977" s="1" t="s">
        <v>7</v>
      </c>
      <c r="L1977" s="11" t="str">
        <f t="shared" si="2382"/>
        <v>НЕТ</v>
      </c>
      <c r="M1977" s="10" t="s">
        <v>1575</v>
      </c>
      <c r="N1977" s="10" t="s">
        <v>1575</v>
      </c>
      <c r="O1977" s="10">
        <v>3.9350000000000001</v>
      </c>
      <c r="P1977" s="10" t="str">
        <f t="shared" si="2371"/>
        <v>NA</v>
      </c>
      <c r="Q1977" s="10" t="str">
        <f t="shared" si="2372"/>
        <v>NA</v>
      </c>
      <c r="R1977" s="10">
        <v>293.90800000000002</v>
      </c>
      <c r="S1977" s="10">
        <v>1.1089999999999998</v>
      </c>
      <c r="T1977" s="10">
        <v>0.38799999999999979</v>
      </c>
      <c r="U1977" s="10">
        <v>0.10199999999999999</v>
      </c>
      <c r="V1977" s="10">
        <v>8.2189999999999994</v>
      </c>
      <c r="W1977" s="10">
        <v>-16.301000000000002</v>
      </c>
      <c r="X1977" s="10">
        <f t="shared" si="2374"/>
        <v>-8.0820000000000025</v>
      </c>
      <c r="Y1977" s="10" t="str">
        <f t="shared" si="2375"/>
        <v>NA</v>
      </c>
      <c r="Z1977" s="10" t="str">
        <f t="shared" si="2376"/>
        <v>NA</v>
      </c>
      <c r="AA1977" s="10" t="str">
        <f t="shared" si="2377"/>
        <v>NA</v>
      </c>
      <c r="AB1977" s="10" t="str">
        <f t="shared" si="2378"/>
        <v>NA</v>
      </c>
      <c r="AC1977" s="10" t="str">
        <f t="shared" si="2379"/>
        <v>NA</v>
      </c>
      <c r="AD1977" s="10" t="str">
        <f t="shared" si="2380"/>
        <v>NA</v>
      </c>
      <c r="AE1977" s="10" t="str">
        <f t="shared" si="2381"/>
        <v>NA</v>
      </c>
      <c r="AF1977" s="1" t="s">
        <v>1429</v>
      </c>
    </row>
    <row r="1978" spans="1:32" x14ac:dyDescent="0.2">
      <c r="A1978" s="1" t="s">
        <v>6224</v>
      </c>
      <c r="B1978" s="1" t="s">
        <v>5</v>
      </c>
      <c r="C1978" s="1" t="s">
        <v>1575</v>
      </c>
      <c r="D1978" s="1" t="s">
        <v>1601</v>
      </c>
      <c r="E1978" s="1" t="s">
        <v>1602</v>
      </c>
      <c r="F1978" s="1" t="s">
        <v>1563</v>
      </c>
      <c r="G1978" s="4">
        <f>93.58%-89.42%</f>
        <v>4.159999999999997E-2</v>
      </c>
      <c r="H1978" s="28">
        <v>42485</v>
      </c>
      <c r="I1978" s="29">
        <f t="shared" si="2373"/>
        <v>2016</v>
      </c>
      <c r="J1978" s="1" t="s">
        <v>4671</v>
      </c>
      <c r="K1978" s="1" t="s">
        <v>7</v>
      </c>
      <c r="L1978" s="11" t="str">
        <f t="shared" si="2382"/>
        <v>НЕТ</v>
      </c>
      <c r="M1978" s="10" t="s">
        <v>1575</v>
      </c>
      <c r="N1978" s="10" t="s">
        <v>1575</v>
      </c>
      <c r="O1978" s="10">
        <v>7.5999999999999998E-2</v>
      </c>
      <c r="P1978" s="10">
        <f t="shared" si="2371"/>
        <v>1.8269230769230782</v>
      </c>
      <c r="Q1978" s="10" t="str">
        <f t="shared" si="2372"/>
        <v>NA</v>
      </c>
      <c r="R1978" s="10" t="s">
        <v>1575</v>
      </c>
      <c r="S1978" s="10" t="s">
        <v>1575</v>
      </c>
      <c r="T1978" s="10" t="s">
        <v>1575</v>
      </c>
      <c r="U1978" s="10" t="s">
        <v>1575</v>
      </c>
      <c r="V1978" s="10" t="s">
        <v>1575</v>
      </c>
      <c r="W1978" s="10" t="s">
        <v>1575</v>
      </c>
      <c r="X1978" s="10" t="str">
        <f t="shared" si="2374"/>
        <v>NA</v>
      </c>
      <c r="Y1978" s="10" t="str">
        <f t="shared" si="2375"/>
        <v>NA</v>
      </c>
      <c r="Z1978" s="10" t="str">
        <f t="shared" si="2376"/>
        <v>NA</v>
      </c>
      <c r="AA1978" s="10" t="str">
        <f t="shared" si="2377"/>
        <v>NA</v>
      </c>
      <c r="AB1978" s="10" t="str">
        <f t="shared" si="2378"/>
        <v>NA</v>
      </c>
      <c r="AC1978" s="10" t="str">
        <f t="shared" si="2379"/>
        <v>NA</v>
      </c>
      <c r="AD1978" s="10" t="str">
        <f t="shared" si="2380"/>
        <v>NA</v>
      </c>
      <c r="AE1978" s="10" t="str">
        <f t="shared" si="2381"/>
        <v>NA</v>
      </c>
      <c r="AF1978" s="1" t="s">
        <v>378</v>
      </c>
    </row>
    <row r="1979" spans="1:32" x14ac:dyDescent="0.2">
      <c r="A1979" s="1" t="s">
        <v>6226</v>
      </c>
      <c r="B1979" s="1" t="s">
        <v>379</v>
      </c>
      <c r="C1979" s="1" t="s">
        <v>1575</v>
      </c>
      <c r="D1979" s="1" t="s">
        <v>1601</v>
      </c>
      <c r="E1979" s="1" t="s">
        <v>5352</v>
      </c>
      <c r="F1979" s="1" t="s">
        <v>110</v>
      </c>
      <c r="G1979" s="4">
        <v>1</v>
      </c>
      <c r="H1979" s="28">
        <v>42522</v>
      </c>
      <c r="I1979" s="29">
        <f t="shared" si="2373"/>
        <v>2016</v>
      </c>
      <c r="J1979" s="1" t="s">
        <v>7</v>
      </c>
      <c r="K1979" s="1" t="s">
        <v>4671</v>
      </c>
      <c r="L1979" s="11" t="str">
        <f t="shared" si="2382"/>
        <v>НЕТ</v>
      </c>
      <c r="M1979" s="10">
        <v>13.6</v>
      </c>
      <c r="N1979" s="10" t="s">
        <v>1575</v>
      </c>
      <c r="O1979" s="10">
        <v>0.89900000000000002</v>
      </c>
      <c r="P1979" s="10">
        <f t="shared" si="2371"/>
        <v>0.89900000000000002</v>
      </c>
      <c r="Q1979" s="10" t="str">
        <f t="shared" si="2372"/>
        <v>NA</v>
      </c>
      <c r="R1979" s="10" t="s">
        <v>1575</v>
      </c>
      <c r="S1979" s="10" t="s">
        <v>1575</v>
      </c>
      <c r="T1979" s="10" t="s">
        <v>1575</v>
      </c>
      <c r="U1979" s="10" t="s">
        <v>1575</v>
      </c>
      <c r="V1979" s="10" t="s">
        <v>1575</v>
      </c>
      <c r="W1979" s="10" t="s">
        <v>1575</v>
      </c>
      <c r="X1979" s="10" t="str">
        <f t="shared" si="2374"/>
        <v>NA</v>
      </c>
      <c r="Y1979" s="10" t="str">
        <f t="shared" si="2375"/>
        <v>NA</v>
      </c>
      <c r="Z1979" s="10" t="str">
        <f t="shared" si="2376"/>
        <v>NA</v>
      </c>
      <c r="AA1979" s="10" t="str">
        <f t="shared" si="2377"/>
        <v>NA</v>
      </c>
      <c r="AB1979" s="10" t="str">
        <f t="shared" si="2378"/>
        <v>NA</v>
      </c>
      <c r="AC1979" s="10" t="str">
        <f t="shared" si="2379"/>
        <v>NA</v>
      </c>
      <c r="AD1979" s="10" t="str">
        <f t="shared" si="2380"/>
        <v>NA</v>
      </c>
      <c r="AE1979" s="10" t="str">
        <f t="shared" si="2381"/>
        <v>NA</v>
      </c>
    </row>
    <row r="1980" spans="1:32" x14ac:dyDescent="0.2">
      <c r="A1980" s="1" t="s">
        <v>400</v>
      </c>
      <c r="B1980" s="1" t="s">
        <v>5</v>
      </c>
      <c r="C1980" s="1" t="s">
        <v>1607</v>
      </c>
      <c r="D1980" s="1" t="s">
        <v>1601</v>
      </c>
      <c r="E1980" s="1" t="s">
        <v>1602</v>
      </c>
      <c r="F1980" s="1" t="s">
        <v>1563</v>
      </c>
      <c r="G1980" s="4">
        <v>0.23980000000000001</v>
      </c>
      <c r="H1980" s="28">
        <v>42095</v>
      </c>
      <c r="I1980" s="29">
        <f t="shared" si="2373"/>
        <v>2015</v>
      </c>
      <c r="J1980" s="1" t="s">
        <v>4671</v>
      </c>
      <c r="K1980" s="1" t="s">
        <v>7</v>
      </c>
      <c r="L1980" s="11" t="str">
        <f t="shared" si="2382"/>
        <v>НЕТ</v>
      </c>
      <c r="M1980" s="10" t="s">
        <v>1575</v>
      </c>
      <c r="N1980" s="10" t="s">
        <v>1575</v>
      </c>
      <c r="O1980" s="10">
        <v>2.71</v>
      </c>
      <c r="P1980" s="10">
        <f t="shared" si="2371"/>
        <v>11.301084236864053</v>
      </c>
      <c r="Q1980" s="10">
        <f t="shared" si="2372"/>
        <v>-3.5379157631359472</v>
      </c>
      <c r="R1980" s="10">
        <v>256.53399999999999</v>
      </c>
      <c r="S1980" s="10">
        <v>1.804</v>
      </c>
      <c r="T1980" s="10">
        <v>1.129</v>
      </c>
      <c r="U1980" s="10">
        <v>1.3240000000000001</v>
      </c>
      <c r="V1980" s="10">
        <v>7.0170000000000003</v>
      </c>
      <c r="W1980" s="10">
        <v>-14.839</v>
      </c>
      <c r="X1980" s="10">
        <f t="shared" si="2374"/>
        <v>-7.8220000000000001</v>
      </c>
      <c r="Y1980" s="10">
        <f t="shared" si="2375"/>
        <v>4.40529685611422E-2</v>
      </c>
      <c r="Z1980" s="10">
        <f t="shared" si="2376"/>
        <v>8.5355621124350858</v>
      </c>
      <c r="AA1980" s="10">
        <f t="shared" si="2377"/>
        <v>1.61052931977541</v>
      </c>
      <c r="AB1980" s="10">
        <f t="shared" si="2378"/>
        <v>-1.3791215835467998E-2</v>
      </c>
      <c r="AC1980" s="10">
        <f t="shared" si="2379"/>
        <v>-1.9611506447538509</v>
      </c>
      <c r="AD1980" s="10">
        <f t="shared" si="2380"/>
        <v>-3.1336720665508833</v>
      </c>
      <c r="AE1980" s="10">
        <f t="shared" si="2381"/>
        <v>0.45230321696956627</v>
      </c>
      <c r="AF1980" s="1" t="s">
        <v>380</v>
      </c>
    </row>
    <row r="1981" spans="1:32" x14ac:dyDescent="0.2">
      <c r="A1981" s="1" t="s">
        <v>400</v>
      </c>
      <c r="B1981" s="1" t="s">
        <v>5</v>
      </c>
      <c r="C1981" s="1" t="s">
        <v>1607</v>
      </c>
      <c r="D1981" s="1" t="s">
        <v>1601</v>
      </c>
      <c r="E1981" s="1" t="s">
        <v>1602</v>
      </c>
      <c r="F1981" s="1" t="s">
        <v>1563</v>
      </c>
      <c r="G1981" s="4">
        <v>0.19089999999999999</v>
      </c>
      <c r="H1981" s="28">
        <v>42248</v>
      </c>
      <c r="I1981" s="29">
        <f t="shared" si="2373"/>
        <v>2015</v>
      </c>
      <c r="J1981" s="1" t="s">
        <v>4671</v>
      </c>
      <c r="K1981" s="1" t="s">
        <v>7</v>
      </c>
      <c r="L1981" s="11" t="str">
        <f t="shared" si="2382"/>
        <v>НЕТ</v>
      </c>
      <c r="M1981" s="10" t="s">
        <v>1575</v>
      </c>
      <c r="N1981" s="10" t="s">
        <v>1575</v>
      </c>
      <c r="O1981" s="10">
        <v>2.157</v>
      </c>
      <c r="P1981" s="10">
        <f t="shared" si="2371"/>
        <v>11.299109481403878</v>
      </c>
      <c r="Q1981" s="10">
        <f t="shared" si="2372"/>
        <v>-3.5398905185961222</v>
      </c>
      <c r="R1981" s="10">
        <v>256.53399999999999</v>
      </c>
      <c r="S1981" s="10">
        <v>1.804</v>
      </c>
      <c r="T1981" s="10">
        <v>1.129</v>
      </c>
      <c r="U1981" s="10">
        <v>1.3240000000000001</v>
      </c>
      <c r="V1981" s="10">
        <v>7.0170000000000003</v>
      </c>
      <c r="W1981" s="10">
        <v>-14.839</v>
      </c>
      <c r="X1981" s="10">
        <f t="shared" si="2374"/>
        <v>-7.8220000000000001</v>
      </c>
      <c r="Y1981" s="10">
        <f t="shared" si="2375"/>
        <v>4.4045270729820916E-2</v>
      </c>
      <c r="Z1981" s="10">
        <f t="shared" si="2376"/>
        <v>8.5340706052899371</v>
      </c>
      <c r="AA1981" s="10">
        <f t="shared" si="2377"/>
        <v>1.6102478953119392</v>
      </c>
      <c r="AB1981" s="10">
        <f t="shared" si="2378"/>
        <v>-1.3798913666789285E-2</v>
      </c>
      <c r="AC1981" s="10">
        <f t="shared" si="2379"/>
        <v>-1.9622452985566088</v>
      </c>
      <c r="AD1981" s="10">
        <f t="shared" si="2380"/>
        <v>-3.135421185647584</v>
      </c>
      <c r="AE1981" s="10">
        <f t="shared" si="2381"/>
        <v>0.45255567867503482</v>
      </c>
      <c r="AF1981" s="1" t="s">
        <v>381</v>
      </c>
    </row>
    <row r="1982" spans="1:32" x14ac:dyDescent="0.2">
      <c r="A1982" s="1" t="s">
        <v>6227</v>
      </c>
      <c r="B1982" s="1" t="s">
        <v>5</v>
      </c>
      <c r="C1982" s="1" t="s">
        <v>1575</v>
      </c>
      <c r="D1982" s="1" t="s">
        <v>1601</v>
      </c>
      <c r="E1982" s="1" t="s">
        <v>5352</v>
      </c>
      <c r="F1982" s="1" t="s">
        <v>110</v>
      </c>
      <c r="G1982" s="4">
        <v>0.02</v>
      </c>
      <c r="H1982" s="28">
        <v>42185</v>
      </c>
      <c r="I1982" s="29">
        <f t="shared" si="2373"/>
        <v>2015</v>
      </c>
      <c r="J1982" s="1" t="s">
        <v>4671</v>
      </c>
      <c r="K1982" s="1" t="s">
        <v>7</v>
      </c>
      <c r="L1982" s="11" t="str">
        <f t="shared" si="2382"/>
        <v>НЕТ</v>
      </c>
      <c r="M1982" s="10" t="s">
        <v>1575</v>
      </c>
      <c r="N1982" s="10" t="s">
        <v>1575</v>
      </c>
      <c r="O1982" s="10">
        <v>2E-3</v>
      </c>
      <c r="P1982" s="10">
        <f t="shared" si="2371"/>
        <v>0.1</v>
      </c>
      <c r="Q1982" s="10" t="str">
        <f t="shared" si="2372"/>
        <v>NA</v>
      </c>
      <c r="R1982" s="10" t="s">
        <v>1575</v>
      </c>
      <c r="S1982" s="10" t="s">
        <v>1575</v>
      </c>
      <c r="T1982" s="10" t="s">
        <v>1575</v>
      </c>
      <c r="U1982" s="10" t="s">
        <v>1575</v>
      </c>
      <c r="V1982" s="10" t="s">
        <v>1575</v>
      </c>
      <c r="W1982" s="10" t="s">
        <v>1575</v>
      </c>
      <c r="X1982" s="10" t="str">
        <f t="shared" si="2374"/>
        <v>NA</v>
      </c>
      <c r="Y1982" s="10" t="str">
        <f t="shared" si="2375"/>
        <v>NA</v>
      </c>
      <c r="Z1982" s="10" t="str">
        <f t="shared" si="2376"/>
        <v>NA</v>
      </c>
      <c r="AA1982" s="10" t="str">
        <f t="shared" si="2377"/>
        <v>NA</v>
      </c>
      <c r="AB1982" s="10" t="str">
        <f t="shared" si="2378"/>
        <v>NA</v>
      </c>
      <c r="AC1982" s="10" t="str">
        <f t="shared" si="2379"/>
        <v>NA</v>
      </c>
      <c r="AD1982" s="10" t="str">
        <f t="shared" si="2380"/>
        <v>NA</v>
      </c>
      <c r="AE1982" s="10" t="str">
        <f t="shared" si="2381"/>
        <v>NA</v>
      </c>
      <c r="AF1982" s="1" t="s">
        <v>382</v>
      </c>
    </row>
    <row r="1983" spans="1:32" x14ac:dyDescent="0.2">
      <c r="A1983" s="1" t="s">
        <v>6224</v>
      </c>
      <c r="B1983" s="1" t="s">
        <v>5</v>
      </c>
      <c r="C1983" s="1" t="s">
        <v>1575</v>
      </c>
      <c r="D1983" s="1" t="s">
        <v>1601</v>
      </c>
      <c r="E1983" s="1" t="s">
        <v>1602</v>
      </c>
      <c r="F1983" s="1" t="s">
        <v>1563</v>
      </c>
      <c r="G1983" s="4">
        <v>0.3024</v>
      </c>
      <c r="H1983" s="28">
        <v>42369</v>
      </c>
      <c r="I1983" s="29">
        <f t="shared" si="2373"/>
        <v>2015</v>
      </c>
      <c r="J1983" s="1" t="s">
        <v>4671</v>
      </c>
      <c r="K1983" s="1" t="s">
        <v>7</v>
      </c>
      <c r="L1983" s="11" t="str">
        <f t="shared" si="2382"/>
        <v>НЕТ</v>
      </c>
      <c r="M1983" s="10" t="s">
        <v>1575</v>
      </c>
      <c r="N1983" s="10" t="s">
        <v>1575</v>
      </c>
      <c r="O1983" s="10">
        <v>0.54400000000000004</v>
      </c>
      <c r="P1983" s="10">
        <f t="shared" si="2371"/>
        <v>1.7989417989417991</v>
      </c>
      <c r="Q1983" s="10" t="str">
        <f t="shared" si="2372"/>
        <v>NA</v>
      </c>
      <c r="R1983" s="10" t="s">
        <v>1575</v>
      </c>
      <c r="S1983" s="10" t="s">
        <v>1575</v>
      </c>
      <c r="T1983" s="10" t="s">
        <v>1575</v>
      </c>
      <c r="U1983" s="10" t="s">
        <v>1575</v>
      </c>
      <c r="V1983" s="10" t="s">
        <v>1575</v>
      </c>
      <c r="W1983" s="10" t="s">
        <v>1575</v>
      </c>
      <c r="X1983" s="10" t="str">
        <f t="shared" si="2374"/>
        <v>NA</v>
      </c>
      <c r="Y1983" s="10" t="str">
        <f t="shared" si="2375"/>
        <v>NA</v>
      </c>
      <c r="Z1983" s="10" t="str">
        <f t="shared" si="2376"/>
        <v>NA</v>
      </c>
      <c r="AA1983" s="10" t="str">
        <f t="shared" si="2377"/>
        <v>NA</v>
      </c>
      <c r="AB1983" s="10" t="str">
        <f t="shared" si="2378"/>
        <v>NA</v>
      </c>
      <c r="AC1983" s="10" t="str">
        <f t="shared" si="2379"/>
        <v>NA</v>
      </c>
      <c r="AD1983" s="10" t="str">
        <f t="shared" si="2380"/>
        <v>NA</v>
      </c>
      <c r="AE1983" s="10" t="str">
        <f t="shared" si="2381"/>
        <v>NA</v>
      </c>
      <c r="AF1983" s="1" t="s">
        <v>383</v>
      </c>
    </row>
    <row r="1984" spans="1:32" x14ac:dyDescent="0.2">
      <c r="A1984" s="1" t="s">
        <v>6228</v>
      </c>
      <c r="B1984" s="1" t="s">
        <v>8</v>
      </c>
      <c r="C1984" s="1" t="s">
        <v>1575</v>
      </c>
      <c r="D1984" s="1" t="s">
        <v>1601</v>
      </c>
      <c r="E1984" s="1" t="s">
        <v>1612</v>
      </c>
      <c r="F1984" s="1" t="s">
        <v>1485</v>
      </c>
      <c r="G1984" s="4">
        <v>0.5</v>
      </c>
      <c r="H1984" s="28">
        <v>42369</v>
      </c>
      <c r="I1984" s="29">
        <f t="shared" si="2373"/>
        <v>2015</v>
      </c>
      <c r="J1984" s="1" t="s">
        <v>6229</v>
      </c>
      <c r="K1984" s="1" t="s">
        <v>4671</v>
      </c>
      <c r="L1984" s="11" t="str">
        <f t="shared" si="2382"/>
        <v>НЕТ</v>
      </c>
      <c r="M1984" s="10">
        <v>16.5</v>
      </c>
      <c r="N1984" s="10" t="s">
        <v>1575</v>
      </c>
      <c r="O1984" s="10">
        <v>1.1020000000000001</v>
      </c>
      <c r="P1984" s="10">
        <f t="shared" si="2371"/>
        <v>2.2040000000000002</v>
      </c>
      <c r="Q1984" s="10" t="str">
        <f t="shared" si="2372"/>
        <v>NA</v>
      </c>
      <c r="R1984" s="10" t="s">
        <v>1575</v>
      </c>
      <c r="S1984" s="10" t="s">
        <v>1575</v>
      </c>
      <c r="T1984" s="10" t="s">
        <v>1575</v>
      </c>
      <c r="U1984" s="10" t="s">
        <v>1575</v>
      </c>
      <c r="V1984" s="10" t="s">
        <v>1575</v>
      </c>
      <c r="W1984" s="10" t="s">
        <v>1575</v>
      </c>
      <c r="X1984" s="10" t="str">
        <f t="shared" si="2374"/>
        <v>NA</v>
      </c>
      <c r="Y1984" s="10" t="str">
        <f t="shared" si="2375"/>
        <v>NA</v>
      </c>
      <c r="Z1984" s="10" t="str">
        <f t="shared" si="2376"/>
        <v>NA</v>
      </c>
      <c r="AA1984" s="10" t="str">
        <f t="shared" si="2377"/>
        <v>NA</v>
      </c>
      <c r="AB1984" s="10" t="str">
        <f t="shared" si="2378"/>
        <v>NA</v>
      </c>
      <c r="AC1984" s="10" t="str">
        <f t="shared" si="2379"/>
        <v>NA</v>
      </c>
      <c r="AD1984" s="10" t="str">
        <f t="shared" si="2380"/>
        <v>NA</v>
      </c>
      <c r="AE1984" s="10" t="str">
        <f t="shared" si="2381"/>
        <v>NA</v>
      </c>
      <c r="AF1984" s="1" t="s">
        <v>384</v>
      </c>
    </row>
    <row r="1985" spans="1:32" x14ac:dyDescent="0.2">
      <c r="A1985" s="1" t="s">
        <v>6230</v>
      </c>
      <c r="B1985" s="1" t="s">
        <v>5</v>
      </c>
      <c r="C1985" s="1" t="s">
        <v>1575</v>
      </c>
      <c r="D1985" s="1" t="s">
        <v>1601</v>
      </c>
      <c r="E1985" s="1" t="s">
        <v>1587</v>
      </c>
      <c r="F1985" s="1" t="s">
        <v>360</v>
      </c>
      <c r="G1985" s="4">
        <v>0.499</v>
      </c>
      <c r="H1985" s="28">
        <v>41491</v>
      </c>
      <c r="I1985" s="29">
        <f t="shared" si="2373"/>
        <v>2013</v>
      </c>
      <c r="J1985" s="1" t="s">
        <v>4671</v>
      </c>
      <c r="K1985" s="1" t="s">
        <v>7</v>
      </c>
      <c r="L1985" s="11" t="str">
        <f t="shared" si="2382"/>
        <v>НЕТ</v>
      </c>
      <c r="M1985" s="10" t="s">
        <v>1575</v>
      </c>
      <c r="N1985" s="10" t="s">
        <v>1575</v>
      </c>
      <c r="O1985" s="10">
        <v>0.28000000000000003</v>
      </c>
      <c r="P1985" s="10">
        <f t="shared" si="2371"/>
        <v>0.56112224448897796</v>
      </c>
      <c r="Q1985" s="10" t="str">
        <f t="shared" si="2372"/>
        <v>NA</v>
      </c>
      <c r="R1985" s="10" t="s">
        <v>1575</v>
      </c>
      <c r="S1985" s="10" t="s">
        <v>1575</v>
      </c>
      <c r="T1985" s="10" t="s">
        <v>1575</v>
      </c>
      <c r="U1985" s="10" t="s">
        <v>1575</v>
      </c>
      <c r="V1985" s="10" t="s">
        <v>1575</v>
      </c>
      <c r="W1985" s="10" t="s">
        <v>1575</v>
      </c>
      <c r="X1985" s="10" t="str">
        <f t="shared" si="2374"/>
        <v>NA</v>
      </c>
      <c r="Y1985" s="10" t="str">
        <f t="shared" si="2375"/>
        <v>NA</v>
      </c>
      <c r="Z1985" s="10" t="str">
        <f t="shared" si="2376"/>
        <v>NA</v>
      </c>
      <c r="AA1985" s="10" t="str">
        <f t="shared" si="2377"/>
        <v>NA</v>
      </c>
      <c r="AB1985" s="10" t="str">
        <f t="shared" si="2378"/>
        <v>NA</v>
      </c>
      <c r="AC1985" s="10" t="str">
        <f t="shared" si="2379"/>
        <v>NA</v>
      </c>
      <c r="AD1985" s="10" t="str">
        <f t="shared" si="2380"/>
        <v>NA</v>
      </c>
      <c r="AE1985" s="10" t="str">
        <f t="shared" si="2381"/>
        <v>NA</v>
      </c>
      <c r="AF1985" s="1" t="s">
        <v>385</v>
      </c>
    </row>
    <row r="1986" spans="1:32" x14ac:dyDescent="0.2">
      <c r="A1986" s="1" t="s">
        <v>6224</v>
      </c>
      <c r="B1986" s="1" t="s">
        <v>5</v>
      </c>
      <c r="C1986" s="1" t="s">
        <v>1575</v>
      </c>
      <c r="D1986" s="1" t="s">
        <v>1601</v>
      </c>
      <c r="E1986" s="1" t="s">
        <v>1602</v>
      </c>
      <c r="F1986" s="1" t="s">
        <v>1563</v>
      </c>
      <c r="G1986" s="4">
        <v>0.27910000000000001</v>
      </c>
      <c r="H1986" s="28">
        <v>41547</v>
      </c>
      <c r="I1986" s="29">
        <f t="shared" si="2373"/>
        <v>2013</v>
      </c>
      <c r="J1986" s="1" t="s">
        <v>4671</v>
      </c>
      <c r="K1986" s="1" t="s">
        <v>7</v>
      </c>
      <c r="L1986" s="11" t="str">
        <f t="shared" si="2382"/>
        <v>НЕТ</v>
      </c>
      <c r="M1986" s="10" t="s">
        <v>1575</v>
      </c>
      <c r="N1986" s="10" t="s">
        <v>1575</v>
      </c>
      <c r="O1986" s="10">
        <v>0.2</v>
      </c>
      <c r="P1986" s="10">
        <f t="shared" si="2371"/>
        <v>0.71658903618774628</v>
      </c>
      <c r="Q1986" s="10" t="str">
        <f t="shared" si="2372"/>
        <v>NA</v>
      </c>
      <c r="R1986" s="10" t="s">
        <v>1575</v>
      </c>
      <c r="S1986" s="10" t="s">
        <v>1575</v>
      </c>
      <c r="T1986" s="10" t="s">
        <v>1575</v>
      </c>
      <c r="U1986" s="10" t="s">
        <v>1575</v>
      </c>
      <c r="V1986" s="10" t="s">
        <v>1575</v>
      </c>
      <c r="W1986" s="10" t="s">
        <v>1575</v>
      </c>
      <c r="X1986" s="10" t="str">
        <f t="shared" si="2374"/>
        <v>NA</v>
      </c>
      <c r="Y1986" s="10" t="str">
        <f t="shared" si="2375"/>
        <v>NA</v>
      </c>
      <c r="Z1986" s="10" t="str">
        <f t="shared" si="2376"/>
        <v>NA</v>
      </c>
      <c r="AA1986" s="10" t="str">
        <f t="shared" si="2377"/>
        <v>NA</v>
      </c>
      <c r="AB1986" s="10" t="str">
        <f t="shared" si="2378"/>
        <v>NA</v>
      </c>
      <c r="AC1986" s="10" t="str">
        <f t="shared" si="2379"/>
        <v>NA</v>
      </c>
      <c r="AD1986" s="10" t="str">
        <f t="shared" si="2380"/>
        <v>NA</v>
      </c>
      <c r="AE1986" s="10" t="str">
        <f t="shared" si="2381"/>
        <v>NA</v>
      </c>
      <c r="AF1986" s="1" t="s">
        <v>386</v>
      </c>
    </row>
    <row r="1987" spans="1:32" x14ac:dyDescent="0.2">
      <c r="A1987" s="1" t="s">
        <v>387</v>
      </c>
      <c r="B1987" s="1" t="s">
        <v>133</v>
      </c>
      <c r="C1987" s="1" t="s">
        <v>1575</v>
      </c>
      <c r="D1987" s="1" t="s">
        <v>1601</v>
      </c>
      <c r="E1987" s="1" t="s">
        <v>5352</v>
      </c>
      <c r="F1987" s="1" t="s">
        <v>110</v>
      </c>
      <c r="G1987" s="4">
        <v>0.1</v>
      </c>
      <c r="H1987" s="28">
        <v>41395</v>
      </c>
      <c r="I1987" s="29">
        <f t="shared" si="2373"/>
        <v>2013</v>
      </c>
      <c r="J1987" s="1" t="s">
        <v>4671</v>
      </c>
      <c r="K1987" s="1" t="s">
        <v>7</v>
      </c>
      <c r="L1987" s="11" t="str">
        <f t="shared" si="2382"/>
        <v>НЕТ</v>
      </c>
      <c r="M1987" s="10">
        <v>3.75</v>
      </c>
      <c r="N1987" s="10" t="s">
        <v>1575</v>
      </c>
      <c r="O1987" s="10">
        <v>0.11799999999999999</v>
      </c>
      <c r="P1987" s="10">
        <f t="shared" ref="P1987:P2050" si="2383">IFERROR(O1987/G1987,"NA")</f>
        <v>1.18</v>
      </c>
      <c r="Q1987" s="10" t="str">
        <f t="shared" ref="Q1987:Q2050" si="2384">IFERROR(P1987+W1987,"NA")</f>
        <v>NA</v>
      </c>
      <c r="R1987" s="10" t="s">
        <v>1575</v>
      </c>
      <c r="S1987" s="10" t="s">
        <v>1575</v>
      </c>
      <c r="T1987" s="10" t="s">
        <v>1575</v>
      </c>
      <c r="U1987" s="10" t="s">
        <v>1575</v>
      </c>
      <c r="V1987" s="10" t="s">
        <v>1575</v>
      </c>
      <c r="W1987" s="10" t="s">
        <v>1575</v>
      </c>
      <c r="X1987" s="10" t="str">
        <f t="shared" si="2374"/>
        <v>NA</v>
      </c>
      <c r="Y1987" s="10" t="str">
        <f t="shared" si="2375"/>
        <v>NA</v>
      </c>
      <c r="Z1987" s="10" t="str">
        <f t="shared" si="2376"/>
        <v>NA</v>
      </c>
      <c r="AA1987" s="10" t="str">
        <f t="shared" si="2377"/>
        <v>NA</v>
      </c>
      <c r="AB1987" s="10" t="str">
        <f t="shared" si="2378"/>
        <v>NA</v>
      </c>
      <c r="AC1987" s="10" t="str">
        <f t="shared" si="2379"/>
        <v>NA</v>
      </c>
      <c r="AD1987" s="10" t="str">
        <f t="shared" si="2380"/>
        <v>NA</v>
      </c>
      <c r="AE1987" s="10" t="str">
        <f t="shared" si="2381"/>
        <v>NA</v>
      </c>
      <c r="AF1987" s="1" t="s">
        <v>388</v>
      </c>
    </row>
    <row r="1988" spans="1:32" x14ac:dyDescent="0.2">
      <c r="A1988" s="1" t="s">
        <v>6231</v>
      </c>
      <c r="B1988" s="1" t="s">
        <v>5</v>
      </c>
      <c r="C1988" s="1" t="s">
        <v>1575</v>
      </c>
      <c r="D1988" s="1" t="s">
        <v>1582</v>
      </c>
      <c r="E1988" s="1" t="s">
        <v>2162</v>
      </c>
      <c r="F1988" s="1" t="s">
        <v>389</v>
      </c>
      <c r="G1988" s="4">
        <v>1</v>
      </c>
      <c r="H1988" s="28">
        <v>41001</v>
      </c>
      <c r="I1988" s="29">
        <f t="shared" si="2373"/>
        <v>2012</v>
      </c>
      <c r="J1988" s="1" t="s">
        <v>4671</v>
      </c>
      <c r="K1988" s="1" t="s">
        <v>7</v>
      </c>
      <c r="L1988" s="11" t="str">
        <f t="shared" si="2382"/>
        <v>НЕТ</v>
      </c>
      <c r="M1988" s="10" t="s">
        <v>1575</v>
      </c>
      <c r="N1988" s="10" t="s">
        <v>1575</v>
      </c>
      <c r="O1988" s="10">
        <v>4.3999999999999997E-2</v>
      </c>
      <c r="P1988" s="10">
        <f t="shared" si="2383"/>
        <v>4.3999999999999997E-2</v>
      </c>
      <c r="Q1988" s="10" t="str">
        <f t="shared" si="2384"/>
        <v>NA</v>
      </c>
      <c r="R1988" s="10" t="s">
        <v>1575</v>
      </c>
      <c r="S1988" s="10" t="s">
        <v>1575</v>
      </c>
      <c r="T1988" s="10" t="s">
        <v>1575</v>
      </c>
      <c r="U1988" s="10" t="s">
        <v>1575</v>
      </c>
      <c r="V1988" s="10" t="s">
        <v>1575</v>
      </c>
      <c r="W1988" s="10" t="s">
        <v>1575</v>
      </c>
      <c r="X1988" s="10" t="str">
        <f t="shared" si="2374"/>
        <v>NA</v>
      </c>
      <c r="Y1988" s="10" t="str">
        <f t="shared" si="2375"/>
        <v>NA</v>
      </c>
      <c r="Z1988" s="10" t="str">
        <f t="shared" si="2376"/>
        <v>NA</v>
      </c>
      <c r="AA1988" s="10" t="str">
        <f t="shared" si="2377"/>
        <v>NA</v>
      </c>
      <c r="AB1988" s="10" t="str">
        <f t="shared" si="2378"/>
        <v>NA</v>
      </c>
      <c r="AC1988" s="10" t="str">
        <f t="shared" si="2379"/>
        <v>NA</v>
      </c>
      <c r="AD1988" s="10" t="str">
        <f t="shared" si="2380"/>
        <v>NA</v>
      </c>
      <c r="AE1988" s="10" t="str">
        <f t="shared" si="2381"/>
        <v>NA</v>
      </c>
      <c r="AF1988" s="1" t="s">
        <v>390</v>
      </c>
    </row>
    <row r="1989" spans="1:32" x14ac:dyDescent="0.2">
      <c r="A1989" s="1" t="s">
        <v>6232</v>
      </c>
      <c r="B1989" s="1" t="s">
        <v>5</v>
      </c>
      <c r="C1989" s="1" t="s">
        <v>1575</v>
      </c>
      <c r="D1989" s="1" t="s">
        <v>1601</v>
      </c>
      <c r="E1989" s="1" t="s">
        <v>5352</v>
      </c>
      <c r="F1989" s="1" t="s">
        <v>110</v>
      </c>
      <c r="G1989" s="4">
        <v>1</v>
      </c>
      <c r="H1989" s="28">
        <v>41219</v>
      </c>
      <c r="I1989" s="29">
        <f t="shared" si="2373"/>
        <v>2012</v>
      </c>
      <c r="J1989" s="1" t="s">
        <v>4671</v>
      </c>
      <c r="K1989" s="1" t="s">
        <v>7</v>
      </c>
      <c r="L1989" s="11" t="str">
        <f t="shared" si="2382"/>
        <v>НЕТ</v>
      </c>
      <c r="M1989" s="10" t="s">
        <v>1575</v>
      </c>
      <c r="N1989" s="10" t="s">
        <v>1575</v>
      </c>
      <c r="O1989" s="10">
        <v>41.719000000000001</v>
      </c>
      <c r="P1989" s="10">
        <f t="shared" si="2383"/>
        <v>41.719000000000001</v>
      </c>
      <c r="Q1989" s="10" t="str">
        <f t="shared" si="2384"/>
        <v>NA</v>
      </c>
      <c r="R1989" s="10" t="s">
        <v>1575</v>
      </c>
      <c r="S1989" s="10" t="s">
        <v>1575</v>
      </c>
      <c r="T1989" s="10" t="s">
        <v>1575</v>
      </c>
      <c r="U1989" s="10" t="s">
        <v>1575</v>
      </c>
      <c r="V1989" s="10" t="s">
        <v>1575</v>
      </c>
      <c r="W1989" s="10" t="s">
        <v>1575</v>
      </c>
      <c r="X1989" s="10" t="str">
        <f t="shared" si="2374"/>
        <v>NA</v>
      </c>
      <c r="Y1989" s="10" t="str">
        <f t="shared" si="2375"/>
        <v>NA</v>
      </c>
      <c r="Z1989" s="10" t="str">
        <f t="shared" si="2376"/>
        <v>NA</v>
      </c>
      <c r="AA1989" s="10" t="str">
        <f t="shared" si="2377"/>
        <v>NA</v>
      </c>
      <c r="AB1989" s="10" t="str">
        <f t="shared" si="2378"/>
        <v>NA</v>
      </c>
      <c r="AC1989" s="10" t="str">
        <f t="shared" si="2379"/>
        <v>NA</v>
      </c>
      <c r="AD1989" s="10" t="str">
        <f t="shared" si="2380"/>
        <v>NA</v>
      </c>
      <c r="AE1989" s="10" t="str">
        <f t="shared" si="2381"/>
        <v>NA</v>
      </c>
      <c r="AF1989" s="1" t="s">
        <v>391</v>
      </c>
    </row>
    <row r="1990" spans="1:32" x14ac:dyDescent="0.2">
      <c r="A1990" s="1" t="s">
        <v>387</v>
      </c>
      <c r="B1990" s="1" t="s">
        <v>133</v>
      </c>
      <c r="C1990" s="1" t="s">
        <v>1575</v>
      </c>
      <c r="D1990" s="1" t="s">
        <v>1601</v>
      </c>
      <c r="E1990" s="1" t="s">
        <v>5352</v>
      </c>
      <c r="F1990" s="1" t="s">
        <v>110</v>
      </c>
      <c r="G1990" s="4">
        <v>0.9</v>
      </c>
      <c r="H1990" s="28">
        <v>41255</v>
      </c>
      <c r="I1990" s="29">
        <f t="shared" si="2373"/>
        <v>2012</v>
      </c>
      <c r="J1990" s="1" t="s">
        <v>4671</v>
      </c>
      <c r="K1990" s="1" t="s">
        <v>7</v>
      </c>
      <c r="L1990" s="11" t="str">
        <f t="shared" si="2382"/>
        <v>НЕТ</v>
      </c>
      <c r="M1990" s="10">
        <v>85</v>
      </c>
      <c r="N1990" s="10" t="s">
        <v>1575</v>
      </c>
      <c r="O1990" s="10">
        <v>2.7010000000000001</v>
      </c>
      <c r="P1990" s="10">
        <f t="shared" si="2383"/>
        <v>3.0011111111111113</v>
      </c>
      <c r="Q1990" s="10" t="str">
        <f t="shared" si="2384"/>
        <v>NA</v>
      </c>
      <c r="R1990" s="10" t="s">
        <v>1575</v>
      </c>
      <c r="S1990" s="10" t="s">
        <v>1575</v>
      </c>
      <c r="T1990" s="10" t="s">
        <v>1575</v>
      </c>
      <c r="U1990" s="10" t="s">
        <v>1575</v>
      </c>
      <c r="V1990" s="10" t="s">
        <v>1575</v>
      </c>
      <c r="W1990" s="10" t="s">
        <v>1575</v>
      </c>
      <c r="X1990" s="10" t="str">
        <f t="shared" si="2374"/>
        <v>NA</v>
      </c>
      <c r="Y1990" s="10" t="str">
        <f t="shared" si="2375"/>
        <v>NA</v>
      </c>
      <c r="Z1990" s="10" t="str">
        <f t="shared" si="2376"/>
        <v>NA</v>
      </c>
      <c r="AA1990" s="10" t="str">
        <f t="shared" si="2377"/>
        <v>NA</v>
      </c>
      <c r="AB1990" s="10" t="str">
        <f t="shared" si="2378"/>
        <v>NA</v>
      </c>
      <c r="AC1990" s="10" t="str">
        <f t="shared" si="2379"/>
        <v>NA</v>
      </c>
      <c r="AD1990" s="10" t="str">
        <f t="shared" si="2380"/>
        <v>NA</v>
      </c>
      <c r="AE1990" s="10" t="str">
        <f t="shared" si="2381"/>
        <v>NA</v>
      </c>
    </row>
    <row r="1991" spans="1:32" x14ac:dyDescent="0.2">
      <c r="A1991" s="1" t="s">
        <v>1768</v>
      </c>
      <c r="B1991" s="1" t="s">
        <v>5</v>
      </c>
      <c r="C1991" s="1" t="s">
        <v>1609</v>
      </c>
      <c r="D1991" s="1" t="s">
        <v>1601</v>
      </c>
      <c r="E1991" s="1" t="s">
        <v>1608</v>
      </c>
      <c r="F1991" s="1" t="s">
        <v>1562</v>
      </c>
      <c r="G1991" s="4">
        <f>85.47%-81.43%</f>
        <v>4.0399999999999991E-2</v>
      </c>
      <c r="H1991" s="28">
        <v>40940</v>
      </c>
      <c r="I1991" s="29">
        <f t="shared" si="2373"/>
        <v>2012</v>
      </c>
      <c r="J1991" s="1" t="s">
        <v>7</v>
      </c>
      <c r="K1991" s="1" t="s">
        <v>4671</v>
      </c>
      <c r="L1991" s="11" t="str">
        <f t="shared" si="2382"/>
        <v>НЕТ</v>
      </c>
      <c r="M1991" s="10" t="s">
        <v>1575</v>
      </c>
      <c r="N1991" s="10" t="s">
        <v>1575</v>
      </c>
      <c r="O1991" s="10">
        <v>1.877</v>
      </c>
      <c r="P1991" s="10">
        <f t="shared" si="2383"/>
        <v>46.460396039603971</v>
      </c>
      <c r="Q1991" s="10">
        <f t="shared" si="2384"/>
        <v>16.835396039603971</v>
      </c>
      <c r="R1991" s="10">
        <v>43.554000000000002</v>
      </c>
      <c r="S1991" s="10">
        <v>1.3709999999999998</v>
      </c>
      <c r="T1991" s="10">
        <v>-0.7350000000000001</v>
      </c>
      <c r="U1991" s="10">
        <v>0.76500000000000001</v>
      </c>
      <c r="V1991" s="10">
        <v>90.653999999999996</v>
      </c>
      <c r="W1991" s="10">
        <v>-29.625</v>
      </c>
      <c r="X1991" s="10">
        <f t="shared" si="2374"/>
        <v>61.028999999999996</v>
      </c>
      <c r="Y1991" s="10">
        <f t="shared" si="2375"/>
        <v>1.0667308637462454</v>
      </c>
      <c r="Z1991" s="10">
        <f t="shared" si="2376"/>
        <v>60.73254384261957</v>
      </c>
      <c r="AA1991" s="10">
        <f t="shared" si="2377"/>
        <v>0.51250243827745023</v>
      </c>
      <c r="AB1991" s="10">
        <f t="shared" si="2378"/>
        <v>0.38654075491582796</v>
      </c>
      <c r="AC1991" s="10">
        <f t="shared" si="2379"/>
        <v>12.279647001899324</v>
      </c>
      <c r="AD1991" s="10">
        <f t="shared" si="2380"/>
        <v>-22.905300734155059</v>
      </c>
      <c r="AE1991" s="10">
        <f t="shared" si="2381"/>
        <v>0.27585895295030188</v>
      </c>
    </row>
    <row r="1992" spans="1:32" x14ac:dyDescent="0.2">
      <c r="A1992" s="1" t="s">
        <v>1768</v>
      </c>
      <c r="B1992" s="1" t="s">
        <v>5</v>
      </c>
      <c r="C1992" s="1" t="s">
        <v>1609</v>
      </c>
      <c r="D1992" s="1" t="s">
        <v>1601</v>
      </c>
      <c r="E1992" s="1" t="s">
        <v>1608</v>
      </c>
      <c r="F1992" s="1" t="s">
        <v>1562</v>
      </c>
      <c r="G1992" s="4">
        <v>8.6499999999999994E-2</v>
      </c>
      <c r="H1992" s="28">
        <v>41000</v>
      </c>
      <c r="I1992" s="29">
        <f t="shared" si="2373"/>
        <v>2012</v>
      </c>
      <c r="J1992" s="1" t="s">
        <v>4671</v>
      </c>
      <c r="K1992" s="1" t="s">
        <v>7</v>
      </c>
      <c r="L1992" s="11" t="str">
        <f t="shared" si="2382"/>
        <v>НЕТ</v>
      </c>
      <c r="M1992" s="10" t="s">
        <v>1575</v>
      </c>
      <c r="N1992" s="10" t="s">
        <v>1575</v>
      </c>
      <c r="O1992" s="10">
        <v>4.8109999999999999</v>
      </c>
      <c r="P1992" s="10">
        <f t="shared" si="2383"/>
        <v>55.618497109826592</v>
      </c>
      <c r="Q1992" s="10">
        <f t="shared" si="2384"/>
        <v>25.993497109826592</v>
      </c>
      <c r="R1992" s="10">
        <v>43.554000000000002</v>
      </c>
      <c r="S1992" s="10">
        <v>1.3709999999999998</v>
      </c>
      <c r="T1992" s="10">
        <v>-0.7350000000000001</v>
      </c>
      <c r="U1992" s="10">
        <v>0.76500000000000001</v>
      </c>
      <c r="V1992" s="10">
        <v>90.653999999999996</v>
      </c>
      <c r="W1992" s="10">
        <v>-29.625</v>
      </c>
      <c r="X1992" s="10">
        <f t="shared" si="2374"/>
        <v>61.028999999999996</v>
      </c>
      <c r="Y1992" s="10">
        <f t="shared" si="2375"/>
        <v>1.2770008979617622</v>
      </c>
      <c r="Z1992" s="10">
        <f t="shared" si="2376"/>
        <v>72.703917790622995</v>
      </c>
      <c r="AA1992" s="10">
        <f t="shared" si="2377"/>
        <v>0.61352501941256421</v>
      </c>
      <c r="AB1992" s="10">
        <f t="shared" si="2378"/>
        <v>0.59681078913134478</v>
      </c>
      <c r="AC1992" s="10">
        <f t="shared" si="2379"/>
        <v>18.959516491485481</v>
      </c>
      <c r="AD1992" s="10">
        <f t="shared" si="2380"/>
        <v>-35.365302190240257</v>
      </c>
      <c r="AE1992" s="10">
        <f t="shared" si="2381"/>
        <v>0.42592041668430736</v>
      </c>
    </row>
    <row r="1993" spans="1:32" x14ac:dyDescent="0.2">
      <c r="A1993" s="1" t="s">
        <v>6233</v>
      </c>
      <c r="B1993" s="1" t="s">
        <v>5</v>
      </c>
      <c r="C1993" s="1" t="s">
        <v>1618</v>
      </c>
      <c r="D1993" s="1" t="s">
        <v>1601</v>
      </c>
      <c r="E1993" s="1" t="s">
        <v>1608</v>
      </c>
      <c r="F1993" s="1" t="s">
        <v>1562</v>
      </c>
      <c r="G1993" s="4">
        <v>2.86E-2</v>
      </c>
      <c r="H1993" s="28">
        <v>41000</v>
      </c>
      <c r="I1993" s="29">
        <f t="shared" si="2373"/>
        <v>2012</v>
      </c>
      <c r="J1993" s="1" t="s">
        <v>4671</v>
      </c>
      <c r="K1993" s="1" t="s">
        <v>7</v>
      </c>
      <c r="L1993" s="11" t="str">
        <f t="shared" si="2382"/>
        <v>НЕТ</v>
      </c>
      <c r="M1993" s="10" t="s">
        <v>1575</v>
      </c>
      <c r="N1993" s="10" t="s">
        <v>1575</v>
      </c>
      <c r="O1993" s="10">
        <v>1.3160000000000001</v>
      </c>
      <c r="P1993" s="10">
        <f t="shared" si="2383"/>
        <v>46.013986013986013</v>
      </c>
      <c r="Q1993" s="10" t="str">
        <f t="shared" si="2384"/>
        <v>NA</v>
      </c>
      <c r="R1993" s="10" t="s">
        <v>1575</v>
      </c>
      <c r="S1993" s="10" t="s">
        <v>1575</v>
      </c>
      <c r="T1993" s="10" t="s">
        <v>1575</v>
      </c>
      <c r="U1993" s="10" t="s">
        <v>1575</v>
      </c>
      <c r="V1993" s="10" t="s">
        <v>1575</v>
      </c>
      <c r="W1993" s="10" t="s">
        <v>1575</v>
      </c>
      <c r="X1993" s="10" t="str">
        <f t="shared" si="2374"/>
        <v>NA</v>
      </c>
      <c r="Y1993" s="10" t="str">
        <f t="shared" si="2375"/>
        <v>NA</v>
      </c>
      <c r="Z1993" s="10" t="str">
        <f t="shared" si="2376"/>
        <v>NA</v>
      </c>
      <c r="AA1993" s="10" t="str">
        <f t="shared" si="2377"/>
        <v>NA</v>
      </c>
      <c r="AB1993" s="10" t="str">
        <f t="shared" si="2378"/>
        <v>NA</v>
      </c>
      <c r="AC1993" s="10" t="str">
        <f t="shared" si="2379"/>
        <v>NA</v>
      </c>
      <c r="AD1993" s="10" t="str">
        <f t="shared" si="2380"/>
        <v>NA</v>
      </c>
      <c r="AE1993" s="10" t="str">
        <f t="shared" si="2381"/>
        <v>NA</v>
      </c>
    </row>
    <row r="1994" spans="1:32" x14ac:dyDescent="0.2">
      <c r="A1994" s="1" t="s">
        <v>6233</v>
      </c>
      <c r="B1994" s="1" t="s">
        <v>5</v>
      </c>
      <c r="C1994" s="1" t="s">
        <v>1618</v>
      </c>
      <c r="D1994" s="1" t="s">
        <v>1601</v>
      </c>
      <c r="E1994" s="1" t="s">
        <v>1608</v>
      </c>
      <c r="F1994" s="1" t="s">
        <v>1562</v>
      </c>
      <c r="G1994" s="4">
        <v>0.1338</v>
      </c>
      <c r="H1994" s="28">
        <v>41183</v>
      </c>
      <c r="I1994" s="29">
        <f t="shared" si="2373"/>
        <v>2012</v>
      </c>
      <c r="J1994" s="1" t="s">
        <v>7</v>
      </c>
      <c r="K1994" s="1" t="s">
        <v>4671</v>
      </c>
      <c r="L1994" s="11" t="str">
        <f t="shared" si="2382"/>
        <v>НЕТ</v>
      </c>
      <c r="M1994" s="10" t="s">
        <v>1575</v>
      </c>
      <c r="N1994" s="10" t="s">
        <v>1575</v>
      </c>
      <c r="O1994" s="10">
        <v>5.7359999999999998</v>
      </c>
      <c r="P1994" s="10">
        <f t="shared" si="2383"/>
        <v>42.869955156950667</v>
      </c>
      <c r="Q1994" s="10" t="str">
        <f t="shared" si="2384"/>
        <v>NA</v>
      </c>
      <c r="R1994" s="10" t="s">
        <v>1575</v>
      </c>
      <c r="S1994" s="10" t="s">
        <v>1575</v>
      </c>
      <c r="T1994" s="10" t="s">
        <v>1575</v>
      </c>
      <c r="U1994" s="10" t="s">
        <v>1575</v>
      </c>
      <c r="V1994" s="10" t="s">
        <v>1575</v>
      </c>
      <c r="W1994" s="10" t="s">
        <v>1575</v>
      </c>
      <c r="X1994" s="10" t="str">
        <f t="shared" si="2374"/>
        <v>NA</v>
      </c>
      <c r="Y1994" s="10" t="str">
        <f t="shared" si="2375"/>
        <v>NA</v>
      </c>
      <c r="Z1994" s="10" t="str">
        <f t="shared" si="2376"/>
        <v>NA</v>
      </c>
      <c r="AA1994" s="10" t="str">
        <f t="shared" si="2377"/>
        <v>NA</v>
      </c>
      <c r="AB1994" s="10" t="str">
        <f t="shared" si="2378"/>
        <v>NA</v>
      </c>
      <c r="AC1994" s="10" t="str">
        <f t="shared" si="2379"/>
        <v>NA</v>
      </c>
      <c r="AD1994" s="10" t="str">
        <f t="shared" si="2380"/>
        <v>NA</v>
      </c>
      <c r="AE1994" s="10" t="str">
        <f t="shared" si="2381"/>
        <v>NA</v>
      </c>
      <c r="AF1994" s="1" t="s">
        <v>392</v>
      </c>
    </row>
    <row r="1995" spans="1:32" x14ac:dyDescent="0.2">
      <c r="A1995" s="1" t="s">
        <v>6234</v>
      </c>
      <c r="B1995" s="1" t="s">
        <v>5</v>
      </c>
      <c r="C1995" s="1" t="s">
        <v>1619</v>
      </c>
      <c r="D1995" s="1" t="s">
        <v>1601</v>
      </c>
      <c r="E1995" s="1" t="s">
        <v>1608</v>
      </c>
      <c r="F1995" s="1" t="s">
        <v>1562</v>
      </c>
      <c r="G1995" s="4">
        <v>0.16850000000000001</v>
      </c>
      <c r="H1995" s="28">
        <v>41000</v>
      </c>
      <c r="I1995" s="29">
        <f t="shared" si="2373"/>
        <v>2012</v>
      </c>
      <c r="J1995" s="1" t="s">
        <v>4671</v>
      </c>
      <c r="K1995" s="1" t="s">
        <v>7</v>
      </c>
      <c r="L1995" s="11" t="str">
        <f t="shared" si="2382"/>
        <v>НЕТ</v>
      </c>
      <c r="M1995" s="10" t="s">
        <v>1575</v>
      </c>
      <c r="N1995" s="10" t="s">
        <v>1575</v>
      </c>
      <c r="O1995" s="10">
        <v>1.2430000000000001</v>
      </c>
      <c r="P1995" s="10">
        <f t="shared" si="2383"/>
        <v>7.3768545994065287</v>
      </c>
      <c r="Q1995" s="10">
        <f t="shared" si="2384"/>
        <v>14.586854599406529</v>
      </c>
      <c r="R1995" s="10">
        <v>21.024000000000001</v>
      </c>
      <c r="S1995" s="10">
        <v>1.681</v>
      </c>
      <c r="T1995" s="10">
        <v>0.50600000000000001</v>
      </c>
      <c r="U1995" s="10">
        <v>0.215</v>
      </c>
      <c r="V1995" s="10">
        <v>12.728999999999999</v>
      </c>
      <c r="W1995" s="10">
        <v>7.21</v>
      </c>
      <c r="X1995" s="10">
        <f t="shared" si="2374"/>
        <v>19.939</v>
      </c>
      <c r="Y1995" s="10">
        <f t="shared" si="2375"/>
        <v>0.35087778726248708</v>
      </c>
      <c r="Z1995" s="10">
        <f t="shared" si="2376"/>
        <v>34.310951625146643</v>
      </c>
      <c r="AA1995" s="10">
        <f t="shared" si="2377"/>
        <v>0.57953135355538765</v>
      </c>
      <c r="AB1995" s="10">
        <f t="shared" si="2378"/>
        <v>0.69381918756690109</v>
      </c>
      <c r="AC1995" s="10">
        <f t="shared" si="2379"/>
        <v>8.6774863768034081</v>
      </c>
      <c r="AD1995" s="10">
        <f t="shared" si="2380"/>
        <v>28.827775888155195</v>
      </c>
      <c r="AE1995" s="10">
        <f t="shared" si="2381"/>
        <v>0.73157403076415706</v>
      </c>
      <c r="AF1995" s="1" t="s">
        <v>393</v>
      </c>
    </row>
    <row r="1996" spans="1:32" x14ac:dyDescent="0.2">
      <c r="A1996" s="1" t="s">
        <v>6234</v>
      </c>
      <c r="B1996" s="1" t="s">
        <v>5</v>
      </c>
      <c r="C1996" s="1" t="s">
        <v>1619</v>
      </c>
      <c r="D1996" s="1" t="s">
        <v>1601</v>
      </c>
      <c r="E1996" s="1" t="s">
        <v>1608</v>
      </c>
      <c r="F1996" s="1" t="s">
        <v>1562</v>
      </c>
      <c r="G1996" s="4">
        <v>0.15440000000000001</v>
      </c>
      <c r="H1996" s="28">
        <v>41274</v>
      </c>
      <c r="I1996" s="29">
        <f t="shared" si="2373"/>
        <v>2012</v>
      </c>
      <c r="J1996" s="1" t="s">
        <v>4671</v>
      </c>
      <c r="K1996" s="1" t="s">
        <v>7</v>
      </c>
      <c r="L1996" s="11" t="str">
        <f t="shared" si="2382"/>
        <v>НЕТ</v>
      </c>
      <c r="M1996" s="10" t="s">
        <v>1575</v>
      </c>
      <c r="N1996" s="10" t="s">
        <v>1575</v>
      </c>
      <c r="O1996" s="10">
        <v>1.1930000000000001</v>
      </c>
      <c r="P1996" s="10">
        <f t="shared" si="2383"/>
        <v>7.7266839378238341</v>
      </c>
      <c r="Q1996" s="10">
        <f t="shared" si="2384"/>
        <v>18.428683937823834</v>
      </c>
      <c r="R1996" s="10">
        <v>24.009</v>
      </c>
      <c r="S1996" s="10">
        <v>1.0090000000000001</v>
      </c>
      <c r="T1996" s="10">
        <v>-0.20800000000000002</v>
      </c>
      <c r="U1996" s="10">
        <v>-0.35299999999999998</v>
      </c>
      <c r="V1996" s="10">
        <v>12.385999999999999</v>
      </c>
      <c r="W1996" s="10">
        <v>10.702</v>
      </c>
      <c r="X1996" s="10">
        <f t="shared" si="2374"/>
        <v>23.088000000000001</v>
      </c>
      <c r="Y1996" s="10">
        <f t="shared" si="2375"/>
        <v>0.32182447989603208</v>
      </c>
      <c r="Z1996" s="10">
        <f t="shared" si="2376"/>
        <v>-21.888623053325311</v>
      </c>
      <c r="AA1996" s="10">
        <f t="shared" si="2377"/>
        <v>0.62382398981300136</v>
      </c>
      <c r="AB1996" s="10">
        <f t="shared" si="2378"/>
        <v>0.76757399049622366</v>
      </c>
      <c r="AC1996" s="10">
        <f t="shared" si="2379"/>
        <v>18.264305191103897</v>
      </c>
      <c r="AD1996" s="10">
        <f t="shared" si="2380"/>
        <v>-88.59944200876842</v>
      </c>
      <c r="AE1996" s="10">
        <f t="shared" si="2381"/>
        <v>0.79819317125016598</v>
      </c>
      <c r="AF1996" s="1" t="s">
        <v>385</v>
      </c>
    </row>
    <row r="1997" spans="1:32" x14ac:dyDescent="0.2">
      <c r="A1997" s="1" t="s">
        <v>6235</v>
      </c>
      <c r="B1997" s="1" t="s">
        <v>5</v>
      </c>
      <c r="C1997" s="1" t="s">
        <v>1620</v>
      </c>
      <c r="D1997" s="1" t="s">
        <v>1601</v>
      </c>
      <c r="E1997" s="1" t="s">
        <v>1602</v>
      </c>
      <c r="F1997" s="1" t="s">
        <v>1563</v>
      </c>
      <c r="G1997" s="4">
        <v>9.6600000000000005E-2</v>
      </c>
      <c r="H1997" s="28">
        <v>41061</v>
      </c>
      <c r="I1997" s="29">
        <f t="shared" si="2373"/>
        <v>2012</v>
      </c>
      <c r="J1997" s="1" t="s">
        <v>7</v>
      </c>
      <c r="K1997" s="1" t="s">
        <v>4671</v>
      </c>
      <c r="L1997" s="11" t="str">
        <f t="shared" si="2382"/>
        <v>НЕТ</v>
      </c>
      <c r="M1997" s="10" t="s">
        <v>1575</v>
      </c>
      <c r="N1997" s="10" t="s">
        <v>1575</v>
      </c>
      <c r="O1997" s="10">
        <v>0.745</v>
      </c>
      <c r="P1997" s="10">
        <f t="shared" si="2383"/>
        <v>7.7122153209109729</v>
      </c>
      <c r="Q1997" s="10">
        <f t="shared" si="2384"/>
        <v>1.4722153209109736</v>
      </c>
      <c r="R1997" s="10" t="s">
        <v>1575</v>
      </c>
      <c r="S1997" s="10" t="s">
        <v>1575</v>
      </c>
      <c r="T1997" s="10" t="s">
        <v>1575</v>
      </c>
      <c r="U1997" s="10" t="s">
        <v>1575</v>
      </c>
      <c r="V1997" s="10">
        <v>3.6749999999999998</v>
      </c>
      <c r="W1997" s="10">
        <v>-6.2399999999999993</v>
      </c>
      <c r="X1997" s="10">
        <f t="shared" si="2374"/>
        <v>-2.5649999999999995</v>
      </c>
      <c r="Y1997" s="10" t="str">
        <f t="shared" si="2375"/>
        <v>NA</v>
      </c>
      <c r="Z1997" s="10" t="str">
        <f t="shared" si="2376"/>
        <v>NA</v>
      </c>
      <c r="AA1997" s="10">
        <f t="shared" si="2377"/>
        <v>2.0985619920846186</v>
      </c>
      <c r="AB1997" s="10" t="str">
        <f t="shared" si="2378"/>
        <v>NA</v>
      </c>
      <c r="AC1997" s="10" t="str">
        <f t="shared" si="2379"/>
        <v>NA</v>
      </c>
      <c r="AD1997" s="10" t="str">
        <f t="shared" si="2380"/>
        <v>NA</v>
      </c>
      <c r="AE1997" s="10">
        <f t="shared" si="2381"/>
        <v>-0.57396308807445373</v>
      </c>
    </row>
    <row r="1998" spans="1:32" x14ac:dyDescent="0.2">
      <c r="A1998" s="1" t="s">
        <v>6235</v>
      </c>
      <c r="B1998" s="1" t="s">
        <v>5</v>
      </c>
      <c r="C1998" s="1" t="s">
        <v>1620</v>
      </c>
      <c r="D1998" s="1" t="s">
        <v>1601</v>
      </c>
      <c r="E1998" s="1" t="s">
        <v>1602</v>
      </c>
      <c r="F1998" s="1" t="s">
        <v>1563</v>
      </c>
      <c r="G1998" s="4">
        <f>96.49%+9.66%-92.52%</f>
        <v>0.13629999999999998</v>
      </c>
      <c r="H1998" s="28">
        <v>41061</v>
      </c>
      <c r="I1998" s="29">
        <f t="shared" si="2373"/>
        <v>2012</v>
      </c>
      <c r="J1998" s="1" t="s">
        <v>4671</v>
      </c>
      <c r="K1998" s="1" t="s">
        <v>7</v>
      </c>
      <c r="L1998" s="11" t="str">
        <f t="shared" si="2382"/>
        <v>НЕТ</v>
      </c>
      <c r="M1998" s="10" t="s">
        <v>1575</v>
      </c>
      <c r="N1998" s="10" t="s">
        <v>1575</v>
      </c>
      <c r="O1998" s="10">
        <v>1.125</v>
      </c>
      <c r="P1998" s="10">
        <f t="shared" si="2383"/>
        <v>8.2538517975055044</v>
      </c>
      <c r="Q1998" s="10">
        <f t="shared" si="2384"/>
        <v>2.013851797505505</v>
      </c>
      <c r="R1998" s="10" t="s">
        <v>1575</v>
      </c>
      <c r="S1998" s="10" t="s">
        <v>1575</v>
      </c>
      <c r="T1998" s="10" t="s">
        <v>1575</v>
      </c>
      <c r="U1998" s="10" t="s">
        <v>1575</v>
      </c>
      <c r="V1998" s="10">
        <v>3.6749999999999998</v>
      </c>
      <c r="W1998" s="10">
        <v>-6.2399999999999993</v>
      </c>
      <c r="X1998" s="10">
        <f t="shared" si="2374"/>
        <v>-2.5649999999999995</v>
      </c>
      <c r="Y1998" s="10" t="str">
        <f t="shared" si="2375"/>
        <v>NA</v>
      </c>
      <c r="Z1998" s="10" t="str">
        <f t="shared" si="2376"/>
        <v>NA</v>
      </c>
      <c r="AA1998" s="10">
        <f t="shared" si="2377"/>
        <v>2.2459460673484366</v>
      </c>
      <c r="AB1998" s="10" t="str">
        <f t="shared" si="2378"/>
        <v>NA</v>
      </c>
      <c r="AC1998" s="10" t="str">
        <f t="shared" si="2379"/>
        <v>NA</v>
      </c>
      <c r="AD1998" s="10" t="str">
        <f t="shared" si="2380"/>
        <v>NA</v>
      </c>
      <c r="AE1998" s="10">
        <f t="shared" si="2381"/>
        <v>-0.78512740643489487</v>
      </c>
      <c r="AF1998" s="1" t="s">
        <v>394</v>
      </c>
    </row>
    <row r="1999" spans="1:32" x14ac:dyDescent="0.2">
      <c r="A1999" s="1" t="s">
        <v>6235</v>
      </c>
      <c r="B1999" s="1" t="s">
        <v>5</v>
      </c>
      <c r="C1999" s="1" t="s">
        <v>1620</v>
      </c>
      <c r="D1999" s="1" t="s">
        <v>1601</v>
      </c>
      <c r="E1999" s="1" t="s">
        <v>1602</v>
      </c>
      <c r="F1999" s="1" t="s">
        <v>1563</v>
      </c>
      <c r="G1999" s="4">
        <v>3.5099999999999999E-2</v>
      </c>
      <c r="H1999" s="28">
        <v>41183</v>
      </c>
      <c r="I1999" s="29">
        <f t="shared" si="2373"/>
        <v>2012</v>
      </c>
      <c r="J1999" s="1" t="s">
        <v>4671</v>
      </c>
      <c r="K1999" s="1" t="s">
        <v>7</v>
      </c>
      <c r="L1999" s="11" t="str">
        <f t="shared" si="2382"/>
        <v>НЕТ</v>
      </c>
      <c r="M1999" s="10" t="s">
        <v>1575</v>
      </c>
      <c r="N1999" s="10" t="s">
        <v>1575</v>
      </c>
      <c r="O1999" s="10">
        <v>0.33800000000000002</v>
      </c>
      <c r="P1999" s="10">
        <f t="shared" si="2383"/>
        <v>9.6296296296296298</v>
      </c>
      <c r="Q1999" s="10">
        <f t="shared" si="2384"/>
        <v>3.3896296296296304</v>
      </c>
      <c r="R1999" s="10" t="s">
        <v>1575</v>
      </c>
      <c r="S1999" s="10" t="s">
        <v>1575</v>
      </c>
      <c r="T1999" s="10" t="s">
        <v>1575</v>
      </c>
      <c r="U1999" s="10" t="s">
        <v>1575</v>
      </c>
      <c r="V1999" s="10">
        <v>3.6749999999999998</v>
      </c>
      <c r="W1999" s="10">
        <v>-6.2399999999999993</v>
      </c>
      <c r="X1999" s="10">
        <f t="shared" si="2374"/>
        <v>-2.5649999999999995</v>
      </c>
      <c r="Y1999" s="10" t="str">
        <f t="shared" si="2375"/>
        <v>NA</v>
      </c>
      <c r="Z1999" s="10" t="str">
        <f t="shared" si="2376"/>
        <v>NA</v>
      </c>
      <c r="AA1999" s="10">
        <f t="shared" si="2377"/>
        <v>2.6203073822121441</v>
      </c>
      <c r="AB1999" s="10" t="str">
        <f t="shared" si="2378"/>
        <v>NA</v>
      </c>
      <c r="AC1999" s="10" t="str">
        <f t="shared" si="2379"/>
        <v>NA</v>
      </c>
      <c r="AD1999" s="10" t="str">
        <f t="shared" si="2380"/>
        <v>NA</v>
      </c>
      <c r="AE1999" s="10">
        <f t="shared" si="2381"/>
        <v>-1.3214930329940082</v>
      </c>
      <c r="AF1999" s="1" t="s">
        <v>395</v>
      </c>
    </row>
    <row r="2000" spans="1:32" x14ac:dyDescent="0.2">
      <c r="A2000" s="1" t="s">
        <v>6236</v>
      </c>
      <c r="B2000" s="1" t="s">
        <v>5</v>
      </c>
      <c r="C2000" s="1" t="s">
        <v>1575</v>
      </c>
      <c r="D2000" s="1" t="s">
        <v>1584</v>
      </c>
      <c r="E2000" s="1" t="s">
        <v>1586</v>
      </c>
      <c r="F2000" s="1" t="s">
        <v>66</v>
      </c>
      <c r="G2000" s="4">
        <v>1.9699999999999999E-2</v>
      </c>
      <c r="H2000" s="28">
        <v>40973</v>
      </c>
      <c r="I2000" s="29">
        <f t="shared" si="2373"/>
        <v>2012</v>
      </c>
      <c r="J2000" s="1" t="s">
        <v>4671</v>
      </c>
      <c r="K2000" s="1" t="s">
        <v>7</v>
      </c>
      <c r="L2000" s="11" t="str">
        <f t="shared" si="2382"/>
        <v>НЕТ</v>
      </c>
      <c r="M2000" s="10" t="s">
        <v>1575</v>
      </c>
      <c r="N2000" s="10" t="s">
        <v>1575</v>
      </c>
      <c r="O2000" s="10">
        <v>4.4999999999999998E-2</v>
      </c>
      <c r="P2000" s="10">
        <f t="shared" si="2383"/>
        <v>2.2842639593908629</v>
      </c>
      <c r="Q2000" s="10" t="str">
        <f t="shared" si="2384"/>
        <v>NA</v>
      </c>
      <c r="R2000" s="10" t="s">
        <v>1575</v>
      </c>
      <c r="S2000" s="10" t="s">
        <v>1575</v>
      </c>
      <c r="T2000" s="10" t="s">
        <v>1575</v>
      </c>
      <c r="U2000" s="10" t="s">
        <v>1575</v>
      </c>
      <c r="V2000" s="10" t="s">
        <v>1575</v>
      </c>
      <c r="W2000" s="10" t="s">
        <v>1575</v>
      </c>
      <c r="X2000" s="10" t="str">
        <f t="shared" si="2374"/>
        <v>NA</v>
      </c>
      <c r="Y2000" s="10" t="str">
        <f t="shared" si="2375"/>
        <v>NA</v>
      </c>
      <c r="Z2000" s="10" t="str">
        <f t="shared" si="2376"/>
        <v>NA</v>
      </c>
      <c r="AA2000" s="10" t="str">
        <f t="shared" si="2377"/>
        <v>NA</v>
      </c>
      <c r="AB2000" s="10" t="str">
        <f t="shared" si="2378"/>
        <v>NA</v>
      </c>
      <c r="AC2000" s="10" t="str">
        <f t="shared" si="2379"/>
        <v>NA</v>
      </c>
      <c r="AD2000" s="10" t="str">
        <f t="shared" si="2380"/>
        <v>NA</v>
      </c>
      <c r="AE2000" s="10" t="str">
        <f t="shared" si="2381"/>
        <v>NA</v>
      </c>
      <c r="AF2000" s="1" t="s">
        <v>385</v>
      </c>
    </row>
    <row r="2001" spans="1:32" x14ac:dyDescent="0.2">
      <c r="A2001" s="1" t="s">
        <v>1768</v>
      </c>
      <c r="B2001" s="1" t="s">
        <v>5</v>
      </c>
      <c r="C2001" s="1" t="s">
        <v>1609</v>
      </c>
      <c r="D2001" s="1" t="s">
        <v>1601</v>
      </c>
      <c r="E2001" s="1" t="s">
        <v>1608</v>
      </c>
      <c r="F2001" s="1" t="s">
        <v>1562</v>
      </c>
      <c r="G2001" s="4">
        <v>0.85470000000000002</v>
      </c>
      <c r="H2001" s="28">
        <v>40633</v>
      </c>
      <c r="I2001" s="29">
        <f t="shared" ref="I2001:I2064" si="2385">YEAR(H2001)</f>
        <v>2011</v>
      </c>
      <c r="J2001" s="1" t="s">
        <v>4671</v>
      </c>
      <c r="K2001" s="1" t="s">
        <v>7</v>
      </c>
      <c r="L2001" s="11" t="str">
        <f t="shared" si="2382"/>
        <v>НЕТ</v>
      </c>
      <c r="M2001" s="10" t="s">
        <v>1575</v>
      </c>
      <c r="N2001" s="10" t="s">
        <v>1575</v>
      </c>
      <c r="O2001" s="10">
        <v>52.107999999999997</v>
      </c>
      <c r="P2001" s="10">
        <f t="shared" si="2383"/>
        <v>60.966420966420962</v>
      </c>
      <c r="Q2001" s="10">
        <f t="shared" si="2384"/>
        <v>20.870420966420959</v>
      </c>
      <c r="R2001" s="10" t="s">
        <v>1575</v>
      </c>
      <c r="S2001" s="10" t="s">
        <v>1575</v>
      </c>
      <c r="T2001" s="10" t="s">
        <v>1575</v>
      </c>
      <c r="U2001" s="10" t="s">
        <v>1575</v>
      </c>
      <c r="V2001" s="10">
        <v>90.225999999999999</v>
      </c>
      <c r="W2001" s="10">
        <v>-40.096000000000004</v>
      </c>
      <c r="X2001" s="10">
        <f t="shared" si="2374"/>
        <v>50.129999999999995</v>
      </c>
      <c r="Y2001" s="10" t="str">
        <f t="shared" si="2375"/>
        <v>NA</v>
      </c>
      <c r="Z2001" s="10" t="str">
        <f t="shared" si="2376"/>
        <v>NA</v>
      </c>
      <c r="AA2001" s="10">
        <f t="shared" si="2377"/>
        <v>0.67570789978965007</v>
      </c>
      <c r="AB2001" s="10" t="str">
        <f t="shared" si="2378"/>
        <v>NA</v>
      </c>
      <c r="AC2001" s="10" t="str">
        <f t="shared" si="2379"/>
        <v>NA</v>
      </c>
      <c r="AD2001" s="10" t="str">
        <f t="shared" si="2380"/>
        <v>NA</v>
      </c>
      <c r="AE2001" s="10">
        <f t="shared" si="2381"/>
        <v>0.4163259718017347</v>
      </c>
    </row>
    <row r="2002" spans="1:32" x14ac:dyDescent="0.2">
      <c r="A2002" s="1" t="s">
        <v>396</v>
      </c>
      <c r="B2002" s="1" t="s">
        <v>379</v>
      </c>
      <c r="C2002" s="1" t="s">
        <v>1575</v>
      </c>
      <c r="D2002" s="1" t="s">
        <v>1601</v>
      </c>
      <c r="E2002" s="1" t="s">
        <v>5352</v>
      </c>
      <c r="F2002" s="1" t="s">
        <v>110</v>
      </c>
      <c r="G2002" s="4">
        <v>1</v>
      </c>
      <c r="H2002" s="28">
        <v>40645</v>
      </c>
      <c r="I2002" s="29">
        <f t="shared" si="2385"/>
        <v>2011</v>
      </c>
      <c r="J2002" s="1" t="s">
        <v>4671</v>
      </c>
      <c r="K2002" s="1" t="s">
        <v>7</v>
      </c>
      <c r="L2002" s="11" t="str">
        <f t="shared" si="2382"/>
        <v>НЕТ</v>
      </c>
      <c r="M2002" s="10">
        <v>104</v>
      </c>
      <c r="N2002" s="10" t="s">
        <v>1575</v>
      </c>
      <c r="O2002" s="10">
        <v>2.9089999999999998</v>
      </c>
      <c r="P2002" s="10">
        <f t="shared" si="2383"/>
        <v>2.9089999999999998</v>
      </c>
      <c r="Q2002" s="10" t="str">
        <f t="shared" si="2384"/>
        <v>NA</v>
      </c>
      <c r="R2002" s="10" t="s">
        <v>1575</v>
      </c>
      <c r="S2002" s="10" t="s">
        <v>1575</v>
      </c>
      <c r="T2002" s="10" t="s">
        <v>1575</v>
      </c>
      <c r="U2002" s="10" t="s">
        <v>1575</v>
      </c>
      <c r="V2002" s="10" t="s">
        <v>1575</v>
      </c>
      <c r="W2002" s="10" t="s">
        <v>1575</v>
      </c>
      <c r="X2002" s="10" t="str">
        <f t="shared" si="2374"/>
        <v>NA</v>
      </c>
      <c r="Y2002" s="10" t="str">
        <f t="shared" si="2375"/>
        <v>NA</v>
      </c>
      <c r="Z2002" s="10" t="str">
        <f t="shared" si="2376"/>
        <v>NA</v>
      </c>
      <c r="AA2002" s="10" t="str">
        <f t="shared" si="2377"/>
        <v>NA</v>
      </c>
      <c r="AB2002" s="10" t="str">
        <f t="shared" si="2378"/>
        <v>NA</v>
      </c>
      <c r="AC2002" s="10" t="str">
        <f t="shared" si="2379"/>
        <v>NA</v>
      </c>
      <c r="AD2002" s="10" t="str">
        <f t="shared" si="2380"/>
        <v>NA</v>
      </c>
      <c r="AE2002" s="10" t="str">
        <f t="shared" si="2381"/>
        <v>NA</v>
      </c>
    </row>
    <row r="2003" spans="1:32" x14ac:dyDescent="0.2">
      <c r="A2003" s="1" t="s">
        <v>397</v>
      </c>
      <c r="B2003" s="1" t="s">
        <v>398</v>
      </c>
      <c r="C2003" s="1" t="s">
        <v>1575</v>
      </c>
      <c r="D2003" s="1" t="s">
        <v>1601</v>
      </c>
      <c r="E2003" s="1" t="s">
        <v>1608</v>
      </c>
      <c r="F2003" s="1" t="s">
        <v>1562</v>
      </c>
      <c r="G2003" s="4">
        <v>0.51</v>
      </c>
      <c r="H2003" s="28">
        <v>40739</v>
      </c>
      <c r="I2003" s="29">
        <f t="shared" si="2385"/>
        <v>2011</v>
      </c>
      <c r="J2003" s="1" t="s">
        <v>4671</v>
      </c>
      <c r="K2003" s="1" t="s">
        <v>7</v>
      </c>
      <c r="L2003" s="11" t="str">
        <f t="shared" si="2382"/>
        <v>НЕТ</v>
      </c>
      <c r="M2003" s="10" t="s">
        <v>1575</v>
      </c>
      <c r="N2003" s="10">
        <v>22</v>
      </c>
      <c r="O2003" s="10">
        <v>0.89200000000000002</v>
      </c>
      <c r="P2003" s="10">
        <f t="shared" si="2383"/>
        <v>1.7490196078431373</v>
      </c>
      <c r="Q2003" s="10" t="str">
        <f t="shared" si="2384"/>
        <v>NA</v>
      </c>
      <c r="R2003" s="10" t="s">
        <v>1575</v>
      </c>
      <c r="S2003" s="10" t="s">
        <v>1575</v>
      </c>
      <c r="T2003" s="10" t="s">
        <v>1575</v>
      </c>
      <c r="U2003" s="10" t="s">
        <v>1575</v>
      </c>
      <c r="V2003" s="10" t="s">
        <v>1575</v>
      </c>
      <c r="W2003" s="10" t="s">
        <v>1575</v>
      </c>
      <c r="X2003" s="10" t="str">
        <f t="shared" si="2374"/>
        <v>NA</v>
      </c>
      <c r="Y2003" s="10" t="str">
        <f t="shared" si="2375"/>
        <v>NA</v>
      </c>
      <c r="Z2003" s="10" t="str">
        <f t="shared" si="2376"/>
        <v>NA</v>
      </c>
      <c r="AA2003" s="10" t="str">
        <f t="shared" si="2377"/>
        <v>NA</v>
      </c>
      <c r="AB2003" s="10" t="str">
        <f t="shared" si="2378"/>
        <v>NA</v>
      </c>
      <c r="AC2003" s="10" t="str">
        <f t="shared" si="2379"/>
        <v>NA</v>
      </c>
      <c r="AD2003" s="10" t="str">
        <f t="shared" si="2380"/>
        <v>NA</v>
      </c>
      <c r="AE2003" s="10" t="str">
        <f t="shared" si="2381"/>
        <v>NA</v>
      </c>
    </row>
    <row r="2004" spans="1:32" x14ac:dyDescent="0.2">
      <c r="A2004" s="1" t="s">
        <v>6233</v>
      </c>
      <c r="B2004" s="1" t="s">
        <v>5</v>
      </c>
      <c r="C2004" s="1" t="s">
        <v>1618</v>
      </c>
      <c r="D2004" s="1" t="s">
        <v>1601</v>
      </c>
      <c r="E2004" s="1" t="s">
        <v>1608</v>
      </c>
      <c r="F2004" s="1" t="s">
        <v>1562</v>
      </c>
      <c r="G2004" s="4">
        <v>0.2903</v>
      </c>
      <c r="H2004" s="28">
        <v>40533</v>
      </c>
      <c r="I2004" s="29">
        <f t="shared" si="2385"/>
        <v>2010</v>
      </c>
      <c r="J2004" s="1" t="s">
        <v>4671</v>
      </c>
      <c r="K2004" s="1" t="s">
        <v>7</v>
      </c>
      <c r="L2004" s="11" t="str">
        <f t="shared" si="2382"/>
        <v>НЕТ</v>
      </c>
      <c r="M2004" s="10" t="s">
        <v>1575</v>
      </c>
      <c r="N2004" s="10">
        <v>525.30999999999995</v>
      </c>
      <c r="O2004" s="10">
        <v>21.277999999999999</v>
      </c>
      <c r="P2004" s="10">
        <f t="shared" si="2383"/>
        <v>73.296589734757148</v>
      </c>
      <c r="Q2004" s="10" t="str">
        <f t="shared" si="2384"/>
        <v>NA</v>
      </c>
      <c r="R2004" s="10" t="s">
        <v>1575</v>
      </c>
      <c r="S2004" s="10" t="s">
        <v>1575</v>
      </c>
      <c r="T2004" s="10" t="s">
        <v>1575</v>
      </c>
      <c r="U2004" s="10" t="s">
        <v>1575</v>
      </c>
      <c r="V2004" s="10" t="s">
        <v>1575</v>
      </c>
      <c r="W2004" s="10" t="s">
        <v>1575</v>
      </c>
      <c r="X2004" s="10" t="str">
        <f t="shared" si="2374"/>
        <v>NA</v>
      </c>
      <c r="Y2004" s="10" t="str">
        <f t="shared" si="2375"/>
        <v>NA</v>
      </c>
      <c r="Z2004" s="10" t="str">
        <f t="shared" si="2376"/>
        <v>NA</v>
      </c>
      <c r="AA2004" s="10" t="str">
        <f t="shared" si="2377"/>
        <v>NA</v>
      </c>
      <c r="AB2004" s="10" t="str">
        <f t="shared" si="2378"/>
        <v>NA</v>
      </c>
      <c r="AC2004" s="10" t="str">
        <f t="shared" si="2379"/>
        <v>NA</v>
      </c>
      <c r="AD2004" s="10" t="str">
        <f t="shared" si="2380"/>
        <v>NA</v>
      </c>
      <c r="AE2004" s="10" t="str">
        <f t="shared" si="2381"/>
        <v>NA</v>
      </c>
    </row>
    <row r="2005" spans="1:32" x14ac:dyDescent="0.2">
      <c r="A2005" s="1" t="s">
        <v>6234</v>
      </c>
      <c r="B2005" s="1" t="s">
        <v>5</v>
      </c>
      <c r="C2005" s="1" t="s">
        <v>1619</v>
      </c>
      <c r="D2005" s="1" t="s">
        <v>1601</v>
      </c>
      <c r="E2005" s="1" t="s">
        <v>1608</v>
      </c>
      <c r="F2005" s="1" t="s">
        <v>1562</v>
      </c>
      <c r="G2005" s="4">
        <v>4.0000000000000001E-3</v>
      </c>
      <c r="H2005" s="28">
        <v>40359</v>
      </c>
      <c r="I2005" s="29">
        <f t="shared" si="2385"/>
        <v>2010</v>
      </c>
      <c r="J2005" s="1" t="s">
        <v>4671</v>
      </c>
      <c r="K2005" s="1" t="s">
        <v>7</v>
      </c>
      <c r="L2005" s="11" t="str">
        <f t="shared" si="2382"/>
        <v>НЕТ</v>
      </c>
      <c r="M2005" s="10" t="s">
        <v>1575</v>
      </c>
      <c r="N2005" s="10" t="s">
        <v>1575</v>
      </c>
      <c r="O2005" s="10">
        <v>3.3000000000000002E-2</v>
      </c>
      <c r="P2005" s="10">
        <f t="shared" si="2383"/>
        <v>8.25</v>
      </c>
      <c r="Q2005" s="10" t="str">
        <f t="shared" si="2384"/>
        <v>NA</v>
      </c>
      <c r="R2005" s="10" t="s">
        <v>1575</v>
      </c>
      <c r="S2005" s="10" t="s">
        <v>1575</v>
      </c>
      <c r="T2005" s="10" t="s">
        <v>1575</v>
      </c>
      <c r="U2005" s="10" t="s">
        <v>1575</v>
      </c>
      <c r="V2005" s="10" t="s">
        <v>1575</v>
      </c>
      <c r="W2005" s="10" t="s">
        <v>1575</v>
      </c>
      <c r="X2005" s="10" t="str">
        <f t="shared" si="2374"/>
        <v>NA</v>
      </c>
      <c r="Y2005" s="10" t="str">
        <f t="shared" si="2375"/>
        <v>NA</v>
      </c>
      <c r="Z2005" s="10" t="str">
        <f t="shared" si="2376"/>
        <v>NA</v>
      </c>
      <c r="AA2005" s="10" t="str">
        <f t="shared" si="2377"/>
        <v>NA</v>
      </c>
      <c r="AB2005" s="10" t="str">
        <f t="shared" si="2378"/>
        <v>NA</v>
      </c>
      <c r="AC2005" s="10" t="str">
        <f t="shared" si="2379"/>
        <v>NA</v>
      </c>
      <c r="AD2005" s="10" t="str">
        <f t="shared" si="2380"/>
        <v>NA</v>
      </c>
      <c r="AE2005" s="10" t="str">
        <f t="shared" si="2381"/>
        <v>NA</v>
      </c>
      <c r="AF2005" s="1" t="s">
        <v>399</v>
      </c>
    </row>
    <row r="2006" spans="1:32" x14ac:dyDescent="0.2">
      <c r="A2006" s="1" t="s">
        <v>6235</v>
      </c>
      <c r="B2006" s="1" t="s">
        <v>5</v>
      </c>
      <c r="C2006" s="1" t="s">
        <v>1620</v>
      </c>
      <c r="D2006" s="1" t="s">
        <v>1601</v>
      </c>
      <c r="E2006" s="1" t="s">
        <v>1602</v>
      </c>
      <c r="F2006" s="1" t="s">
        <v>1563</v>
      </c>
      <c r="G2006" s="4">
        <v>0.26750000000000002</v>
      </c>
      <c r="H2006" s="28">
        <v>40450</v>
      </c>
      <c r="I2006" s="29">
        <f t="shared" si="2385"/>
        <v>2010</v>
      </c>
      <c r="J2006" s="1" t="s">
        <v>4671</v>
      </c>
      <c r="K2006" s="1" t="s">
        <v>7</v>
      </c>
      <c r="L2006" s="11" t="str">
        <f t="shared" si="2382"/>
        <v>НЕТ</v>
      </c>
      <c r="M2006" s="10" t="s">
        <v>1575</v>
      </c>
      <c r="N2006" s="10">
        <v>35.816000000000003</v>
      </c>
      <c r="O2006" s="10">
        <v>1.472</v>
      </c>
      <c r="P2006" s="10">
        <f t="shared" si="2383"/>
        <v>5.5028037383177564</v>
      </c>
      <c r="Q2006" s="10" t="str">
        <f t="shared" si="2384"/>
        <v>NA</v>
      </c>
      <c r="R2006" s="10" t="s">
        <v>1575</v>
      </c>
      <c r="S2006" s="10" t="s">
        <v>1575</v>
      </c>
      <c r="T2006" s="10" t="s">
        <v>1575</v>
      </c>
      <c r="U2006" s="10" t="s">
        <v>1575</v>
      </c>
      <c r="V2006" s="10" t="s">
        <v>1575</v>
      </c>
      <c r="W2006" s="10" t="s">
        <v>1575</v>
      </c>
      <c r="X2006" s="10" t="str">
        <f t="shared" si="2374"/>
        <v>NA</v>
      </c>
      <c r="Y2006" s="10" t="str">
        <f t="shared" si="2375"/>
        <v>NA</v>
      </c>
      <c r="Z2006" s="10" t="str">
        <f t="shared" si="2376"/>
        <v>NA</v>
      </c>
      <c r="AA2006" s="10" t="str">
        <f t="shared" si="2377"/>
        <v>NA</v>
      </c>
      <c r="AB2006" s="10" t="str">
        <f t="shared" si="2378"/>
        <v>NA</v>
      </c>
      <c r="AC2006" s="10" t="str">
        <f t="shared" si="2379"/>
        <v>NA</v>
      </c>
      <c r="AD2006" s="10" t="str">
        <f t="shared" si="2380"/>
        <v>NA</v>
      </c>
      <c r="AE2006" s="10" t="str">
        <f t="shared" si="2381"/>
        <v>NA</v>
      </c>
      <c r="AF2006" s="1" t="s">
        <v>414</v>
      </c>
    </row>
    <row r="2007" spans="1:32" x14ac:dyDescent="0.2">
      <c r="A2007" s="1" t="s">
        <v>6235</v>
      </c>
      <c r="B2007" s="1" t="s">
        <v>5</v>
      </c>
      <c r="C2007" s="1" t="s">
        <v>1620</v>
      </c>
      <c r="D2007" s="1" t="s">
        <v>1601</v>
      </c>
      <c r="E2007" s="1" t="s">
        <v>1602</v>
      </c>
      <c r="F2007" s="1" t="s">
        <v>1563</v>
      </c>
      <c r="G2007" s="4">
        <v>4.2500000000000003E-2</v>
      </c>
      <c r="H2007" s="28">
        <v>40664</v>
      </c>
      <c r="I2007" s="29">
        <f t="shared" si="2385"/>
        <v>2011</v>
      </c>
      <c r="J2007" s="1" t="s">
        <v>4671</v>
      </c>
      <c r="K2007" s="1" t="s">
        <v>7</v>
      </c>
      <c r="L2007" s="11" t="str">
        <f t="shared" si="2382"/>
        <v>НЕТ</v>
      </c>
      <c r="M2007" s="10" t="s">
        <v>1575</v>
      </c>
      <c r="N2007" s="10" t="s">
        <v>1575</v>
      </c>
      <c r="O2007" s="10">
        <v>0.20100000000000001</v>
      </c>
      <c r="P2007" s="10">
        <f t="shared" si="2383"/>
        <v>4.7294117647058824</v>
      </c>
      <c r="Q2007" s="10">
        <f t="shared" si="2384"/>
        <v>2.6294117647058823</v>
      </c>
      <c r="R2007" s="10" t="s">
        <v>1575</v>
      </c>
      <c r="S2007" s="10" t="s">
        <v>1575</v>
      </c>
      <c r="T2007" s="10" t="s">
        <v>1575</v>
      </c>
      <c r="U2007" s="10" t="s">
        <v>1575</v>
      </c>
      <c r="V2007" s="10">
        <v>1.575</v>
      </c>
      <c r="W2007" s="10">
        <v>-2.1</v>
      </c>
      <c r="X2007" s="10">
        <f t="shared" si="2374"/>
        <v>-0.52500000000000013</v>
      </c>
      <c r="Y2007" s="10" t="str">
        <f t="shared" si="2375"/>
        <v>NA</v>
      </c>
      <c r="Z2007" s="10" t="str">
        <f t="shared" si="2376"/>
        <v>NA</v>
      </c>
      <c r="AA2007" s="10">
        <f t="shared" si="2377"/>
        <v>3.0028011204481793</v>
      </c>
      <c r="AB2007" s="10" t="str">
        <f t="shared" si="2378"/>
        <v>NA</v>
      </c>
      <c r="AC2007" s="10" t="str">
        <f t="shared" si="2379"/>
        <v>NA</v>
      </c>
      <c r="AD2007" s="10" t="str">
        <f t="shared" si="2380"/>
        <v>NA</v>
      </c>
      <c r="AE2007" s="10">
        <f t="shared" si="2381"/>
        <v>-5.0084033613445369</v>
      </c>
    </row>
    <row r="2008" spans="1:32" x14ac:dyDescent="0.2">
      <c r="A2008" s="1" t="s">
        <v>6237</v>
      </c>
      <c r="B2008" s="1" t="s">
        <v>5</v>
      </c>
      <c r="C2008" s="1" t="s">
        <v>1575</v>
      </c>
      <c r="D2008" s="1" t="s">
        <v>1601</v>
      </c>
      <c r="E2008" s="1" t="s">
        <v>5352</v>
      </c>
      <c r="F2008" s="1" t="s">
        <v>110</v>
      </c>
      <c r="G2008" s="4">
        <v>2.87E-2</v>
      </c>
      <c r="H2008" s="28">
        <v>40724</v>
      </c>
      <c r="I2008" s="29">
        <f t="shared" si="2385"/>
        <v>2011</v>
      </c>
      <c r="J2008" s="1" t="s">
        <v>400</v>
      </c>
      <c r="K2008" s="1" t="s">
        <v>7</v>
      </c>
      <c r="L2008" s="11" t="str">
        <f t="shared" si="2382"/>
        <v>НЕТ</v>
      </c>
      <c r="M2008" s="10" t="s">
        <v>1575</v>
      </c>
      <c r="N2008" s="10" t="s">
        <v>1575</v>
      </c>
      <c r="O2008" s="10">
        <v>0.01</v>
      </c>
      <c r="P2008" s="10">
        <f t="shared" si="2383"/>
        <v>0.34843205574912894</v>
      </c>
      <c r="Q2008" s="10" t="str">
        <f t="shared" si="2384"/>
        <v>NA</v>
      </c>
      <c r="R2008" s="10" t="s">
        <v>1575</v>
      </c>
      <c r="S2008" s="10" t="s">
        <v>1575</v>
      </c>
      <c r="T2008" s="10" t="s">
        <v>1575</v>
      </c>
      <c r="U2008" s="10" t="s">
        <v>1575</v>
      </c>
      <c r="V2008" s="10" t="s">
        <v>1575</v>
      </c>
      <c r="W2008" s="10" t="s">
        <v>1575</v>
      </c>
      <c r="X2008" s="10" t="str">
        <f t="shared" si="2374"/>
        <v>NA</v>
      </c>
      <c r="Y2008" s="10" t="str">
        <f t="shared" si="2375"/>
        <v>NA</v>
      </c>
      <c r="Z2008" s="10" t="str">
        <f t="shared" si="2376"/>
        <v>NA</v>
      </c>
      <c r="AA2008" s="10" t="str">
        <f t="shared" si="2377"/>
        <v>NA</v>
      </c>
      <c r="AB2008" s="10" t="str">
        <f t="shared" si="2378"/>
        <v>NA</v>
      </c>
      <c r="AC2008" s="10" t="str">
        <f t="shared" si="2379"/>
        <v>NA</v>
      </c>
      <c r="AD2008" s="10" t="str">
        <f t="shared" si="2380"/>
        <v>NA</v>
      </c>
      <c r="AE2008" s="10" t="str">
        <f t="shared" si="2381"/>
        <v>NA</v>
      </c>
    </row>
    <row r="2009" spans="1:32" x14ac:dyDescent="0.2">
      <c r="A2009" s="1" t="s">
        <v>401</v>
      </c>
      <c r="B2009" s="1" t="s">
        <v>5</v>
      </c>
      <c r="C2009" s="1" t="s">
        <v>1575</v>
      </c>
      <c r="D2009" s="1" t="s">
        <v>1601</v>
      </c>
      <c r="E2009" s="1" t="s">
        <v>5352</v>
      </c>
      <c r="F2009" s="1" t="s">
        <v>402</v>
      </c>
      <c r="G2009" s="4">
        <v>0.35170000000000001</v>
      </c>
      <c r="H2009" s="28">
        <v>40652</v>
      </c>
      <c r="I2009" s="29">
        <f t="shared" si="2385"/>
        <v>2011</v>
      </c>
      <c r="J2009" s="1" t="s">
        <v>4671</v>
      </c>
      <c r="K2009" s="1" t="s">
        <v>7</v>
      </c>
      <c r="L2009" s="11" t="str">
        <f t="shared" si="2382"/>
        <v>НЕТ</v>
      </c>
      <c r="M2009" s="10" t="s">
        <v>1575</v>
      </c>
      <c r="N2009" s="10" t="s">
        <v>1575</v>
      </c>
      <c r="O2009" s="10">
        <v>0.6</v>
      </c>
      <c r="P2009" s="10">
        <f t="shared" si="2383"/>
        <v>1.7059994313335227</v>
      </c>
      <c r="Q2009" s="10" t="str">
        <f t="shared" si="2384"/>
        <v>NA</v>
      </c>
      <c r="R2009" s="10" t="s">
        <v>1575</v>
      </c>
      <c r="S2009" s="10" t="s">
        <v>1575</v>
      </c>
      <c r="T2009" s="10" t="s">
        <v>1575</v>
      </c>
      <c r="U2009" s="10" t="s">
        <v>1575</v>
      </c>
      <c r="V2009" s="10" t="s">
        <v>1575</v>
      </c>
      <c r="W2009" s="10" t="s">
        <v>1575</v>
      </c>
      <c r="X2009" s="10" t="str">
        <f t="shared" si="2374"/>
        <v>NA</v>
      </c>
      <c r="Y2009" s="10" t="str">
        <f t="shared" si="2375"/>
        <v>NA</v>
      </c>
      <c r="Z2009" s="10" t="str">
        <f t="shared" si="2376"/>
        <v>NA</v>
      </c>
      <c r="AA2009" s="10" t="str">
        <f t="shared" si="2377"/>
        <v>NA</v>
      </c>
      <c r="AB2009" s="10" t="str">
        <f t="shared" si="2378"/>
        <v>NA</v>
      </c>
      <c r="AC2009" s="10" t="str">
        <f t="shared" si="2379"/>
        <v>NA</v>
      </c>
      <c r="AD2009" s="10" t="str">
        <f t="shared" si="2380"/>
        <v>NA</v>
      </c>
      <c r="AE2009" s="10" t="str">
        <f t="shared" si="2381"/>
        <v>NA</v>
      </c>
      <c r="AF2009" s="1" t="s">
        <v>403</v>
      </c>
    </row>
    <row r="2010" spans="1:32" x14ac:dyDescent="0.2">
      <c r="A2010" s="1" t="s">
        <v>404</v>
      </c>
      <c r="B2010" s="1" t="s">
        <v>5</v>
      </c>
      <c r="C2010" s="1" t="s">
        <v>1575</v>
      </c>
      <c r="D2010" s="1" t="s">
        <v>1601</v>
      </c>
      <c r="E2010" s="1" t="s">
        <v>5352</v>
      </c>
      <c r="F2010" s="1" t="s">
        <v>402</v>
      </c>
      <c r="G2010" s="4">
        <v>0.9</v>
      </c>
      <c r="H2010" s="28">
        <v>40581</v>
      </c>
      <c r="I2010" s="29">
        <f t="shared" si="2385"/>
        <v>2011</v>
      </c>
      <c r="J2010" s="1" t="s">
        <v>7</v>
      </c>
      <c r="K2010" s="1" t="s">
        <v>4671</v>
      </c>
      <c r="L2010" s="11" t="str">
        <f t="shared" si="2382"/>
        <v>НЕТ</v>
      </c>
      <c r="M2010" s="10" t="s">
        <v>1575</v>
      </c>
      <c r="N2010" s="10" t="s">
        <v>1575</v>
      </c>
      <c r="O2010" s="10">
        <v>0.126</v>
      </c>
      <c r="P2010" s="10">
        <f t="shared" si="2383"/>
        <v>0.13999999999999999</v>
      </c>
      <c r="Q2010" s="10" t="str">
        <f t="shared" si="2384"/>
        <v>NA</v>
      </c>
      <c r="R2010" s="10" t="s">
        <v>1575</v>
      </c>
      <c r="S2010" s="10" t="s">
        <v>1575</v>
      </c>
      <c r="T2010" s="10" t="s">
        <v>1575</v>
      </c>
      <c r="U2010" s="10" t="s">
        <v>1575</v>
      </c>
      <c r="V2010" s="10" t="s">
        <v>1575</v>
      </c>
      <c r="W2010" s="10" t="s">
        <v>1575</v>
      </c>
      <c r="X2010" s="10" t="str">
        <f t="shared" si="2374"/>
        <v>NA</v>
      </c>
      <c r="Y2010" s="10" t="str">
        <f t="shared" si="2375"/>
        <v>NA</v>
      </c>
      <c r="Z2010" s="10" t="str">
        <f t="shared" si="2376"/>
        <v>NA</v>
      </c>
      <c r="AA2010" s="10" t="str">
        <f t="shared" si="2377"/>
        <v>NA</v>
      </c>
      <c r="AB2010" s="10" t="str">
        <f t="shared" si="2378"/>
        <v>NA</v>
      </c>
      <c r="AC2010" s="10" t="str">
        <f t="shared" si="2379"/>
        <v>NA</v>
      </c>
      <c r="AD2010" s="10" t="str">
        <f t="shared" si="2380"/>
        <v>NA</v>
      </c>
      <c r="AE2010" s="10" t="str">
        <f t="shared" si="2381"/>
        <v>NA</v>
      </c>
    </row>
    <row r="2011" spans="1:32" x14ac:dyDescent="0.2">
      <c r="A2011" s="1" t="s">
        <v>405</v>
      </c>
      <c r="B2011" s="1" t="s">
        <v>5</v>
      </c>
      <c r="C2011" s="1" t="s">
        <v>1575</v>
      </c>
      <c r="D2011" s="1" t="s">
        <v>1601</v>
      </c>
      <c r="E2011" s="1" t="s">
        <v>5352</v>
      </c>
      <c r="F2011" s="1" t="s">
        <v>110</v>
      </c>
      <c r="G2011" s="4">
        <v>1</v>
      </c>
      <c r="H2011" s="28">
        <v>40767</v>
      </c>
      <c r="I2011" s="29">
        <f t="shared" si="2385"/>
        <v>2011</v>
      </c>
      <c r="J2011" s="1" t="s">
        <v>7</v>
      </c>
      <c r="K2011" s="1" t="s">
        <v>4671</v>
      </c>
      <c r="L2011" s="11" t="str">
        <f t="shared" si="2382"/>
        <v>НЕТ</v>
      </c>
      <c r="M2011" s="10" t="s">
        <v>1575</v>
      </c>
      <c r="N2011" s="10" t="s">
        <v>1575</v>
      </c>
      <c r="O2011" s="10">
        <v>1.0000000000000001E-5</v>
      </c>
      <c r="P2011" s="10">
        <f t="shared" si="2383"/>
        <v>1.0000000000000001E-5</v>
      </c>
      <c r="Q2011" s="10" t="str">
        <f t="shared" si="2384"/>
        <v>NA</v>
      </c>
      <c r="R2011" s="10" t="s">
        <v>1575</v>
      </c>
      <c r="S2011" s="10" t="s">
        <v>1575</v>
      </c>
      <c r="T2011" s="10" t="s">
        <v>1575</v>
      </c>
      <c r="U2011" s="10" t="s">
        <v>1575</v>
      </c>
      <c r="V2011" s="10" t="s">
        <v>1575</v>
      </c>
      <c r="W2011" s="10" t="s">
        <v>1575</v>
      </c>
      <c r="X2011" s="10" t="str">
        <f t="shared" si="2374"/>
        <v>NA</v>
      </c>
      <c r="Y2011" s="10" t="str">
        <f t="shared" si="2375"/>
        <v>NA</v>
      </c>
      <c r="Z2011" s="10" t="str">
        <f t="shared" si="2376"/>
        <v>NA</v>
      </c>
      <c r="AA2011" s="10" t="str">
        <f t="shared" si="2377"/>
        <v>NA</v>
      </c>
      <c r="AB2011" s="10" t="str">
        <f t="shared" si="2378"/>
        <v>NA</v>
      </c>
      <c r="AC2011" s="10" t="str">
        <f t="shared" si="2379"/>
        <v>NA</v>
      </c>
      <c r="AD2011" s="10" t="str">
        <f t="shared" si="2380"/>
        <v>NA</v>
      </c>
      <c r="AE2011" s="10" t="str">
        <f t="shared" si="2381"/>
        <v>NA</v>
      </c>
    </row>
    <row r="2012" spans="1:32" x14ac:dyDescent="0.2">
      <c r="A2012" s="1" t="s">
        <v>408</v>
      </c>
      <c r="B2012" s="1" t="s">
        <v>5</v>
      </c>
      <c r="C2012" s="1" t="s">
        <v>1575</v>
      </c>
      <c r="D2012" s="1" t="s">
        <v>1601</v>
      </c>
      <c r="E2012" s="1" t="s">
        <v>1602</v>
      </c>
      <c r="F2012" s="1" t="s">
        <v>1563</v>
      </c>
      <c r="G2012" s="4">
        <v>0.75</v>
      </c>
      <c r="H2012" s="28">
        <v>40480</v>
      </c>
      <c r="I2012" s="29">
        <f t="shared" si="2385"/>
        <v>2010</v>
      </c>
      <c r="J2012" s="1" t="s">
        <v>4671</v>
      </c>
      <c r="K2012" s="1" t="s">
        <v>7</v>
      </c>
      <c r="L2012" s="11" t="str">
        <f t="shared" si="2382"/>
        <v>НЕТ</v>
      </c>
      <c r="M2012" s="10" t="s">
        <v>1575</v>
      </c>
      <c r="N2012" s="10" t="s">
        <v>1575</v>
      </c>
      <c r="O2012" s="10">
        <v>5.11E-2</v>
      </c>
      <c r="P2012" s="10">
        <f t="shared" si="2383"/>
        <v>6.8133333333333337E-2</v>
      </c>
      <c r="Q2012" s="10" t="str">
        <f t="shared" si="2384"/>
        <v>NA</v>
      </c>
      <c r="R2012" s="10" t="s">
        <v>1575</v>
      </c>
      <c r="S2012" s="10" t="s">
        <v>1575</v>
      </c>
      <c r="T2012" s="10" t="s">
        <v>1575</v>
      </c>
      <c r="U2012" s="10" t="s">
        <v>1575</v>
      </c>
      <c r="V2012" s="10" t="s">
        <v>1575</v>
      </c>
      <c r="W2012" s="10" t="s">
        <v>1575</v>
      </c>
      <c r="X2012" s="10" t="str">
        <f t="shared" si="2374"/>
        <v>NA</v>
      </c>
      <c r="Y2012" s="10" t="str">
        <f t="shared" si="2375"/>
        <v>NA</v>
      </c>
      <c r="Z2012" s="10" t="str">
        <f t="shared" si="2376"/>
        <v>NA</v>
      </c>
      <c r="AA2012" s="10" t="str">
        <f t="shared" si="2377"/>
        <v>NA</v>
      </c>
      <c r="AB2012" s="10" t="str">
        <f t="shared" si="2378"/>
        <v>NA</v>
      </c>
      <c r="AC2012" s="10" t="str">
        <f t="shared" si="2379"/>
        <v>NA</v>
      </c>
      <c r="AD2012" s="10" t="str">
        <f t="shared" si="2380"/>
        <v>NA</v>
      </c>
      <c r="AE2012" s="10" t="str">
        <f t="shared" si="2381"/>
        <v>NA</v>
      </c>
      <c r="AF2012" s="1" t="s">
        <v>409</v>
      </c>
    </row>
    <row r="2013" spans="1:32" x14ac:dyDescent="0.2">
      <c r="A2013" s="1" t="s">
        <v>408</v>
      </c>
      <c r="B2013" s="1" t="s">
        <v>5</v>
      </c>
      <c r="C2013" s="1" t="s">
        <v>1575</v>
      </c>
      <c r="D2013" s="1" t="s">
        <v>1601</v>
      </c>
      <c r="E2013" s="1" t="s">
        <v>1602</v>
      </c>
      <c r="F2013" s="1" t="s">
        <v>1563</v>
      </c>
      <c r="G2013" s="4">
        <v>0.24</v>
      </c>
      <c r="H2013" s="28">
        <v>40480</v>
      </c>
      <c r="I2013" s="29">
        <f t="shared" si="2385"/>
        <v>2010</v>
      </c>
      <c r="J2013" s="1" t="s">
        <v>7</v>
      </c>
      <c r="K2013" s="1" t="s">
        <v>4671</v>
      </c>
      <c r="L2013" s="11" t="str">
        <f t="shared" si="2382"/>
        <v>НЕТ</v>
      </c>
      <c r="M2013" s="10" t="s">
        <v>1575</v>
      </c>
      <c r="N2013" s="10" t="s">
        <v>1575</v>
      </c>
      <c r="O2013" s="10">
        <v>2.8000000000000001E-2</v>
      </c>
      <c r="P2013" s="10">
        <f t="shared" si="2383"/>
        <v>0.11666666666666667</v>
      </c>
      <c r="Q2013" s="10" t="str">
        <f t="shared" si="2384"/>
        <v>NA</v>
      </c>
      <c r="R2013" s="10" t="s">
        <v>1575</v>
      </c>
      <c r="S2013" s="10" t="s">
        <v>1575</v>
      </c>
      <c r="T2013" s="10" t="s">
        <v>1575</v>
      </c>
      <c r="U2013" s="10" t="s">
        <v>1575</v>
      </c>
      <c r="V2013" s="10" t="s">
        <v>1575</v>
      </c>
      <c r="W2013" s="10" t="s">
        <v>1575</v>
      </c>
      <c r="X2013" s="10" t="str">
        <f t="shared" si="2374"/>
        <v>NA</v>
      </c>
      <c r="Y2013" s="10" t="str">
        <f t="shared" si="2375"/>
        <v>NA</v>
      </c>
      <c r="Z2013" s="10" t="str">
        <f t="shared" si="2376"/>
        <v>NA</v>
      </c>
      <c r="AA2013" s="10" t="str">
        <f t="shared" si="2377"/>
        <v>NA</v>
      </c>
      <c r="AB2013" s="10" t="str">
        <f t="shared" si="2378"/>
        <v>NA</v>
      </c>
      <c r="AC2013" s="10" t="str">
        <f t="shared" si="2379"/>
        <v>NA</v>
      </c>
      <c r="AD2013" s="10" t="str">
        <f t="shared" si="2380"/>
        <v>NA</v>
      </c>
      <c r="AE2013" s="10" t="str">
        <f t="shared" si="2381"/>
        <v>NA</v>
      </c>
      <c r="AF2013" s="1" t="s">
        <v>410</v>
      </c>
    </row>
    <row r="2014" spans="1:32" x14ac:dyDescent="0.2">
      <c r="A2014" s="1" t="s">
        <v>6230</v>
      </c>
      <c r="B2014" s="1" t="s">
        <v>5</v>
      </c>
      <c r="C2014" s="1" t="s">
        <v>1575</v>
      </c>
      <c r="D2014" s="1" t="s">
        <v>1601</v>
      </c>
      <c r="E2014" s="1" t="s">
        <v>1587</v>
      </c>
      <c r="F2014" s="1" t="s">
        <v>360</v>
      </c>
      <c r="G2014" s="4">
        <v>0.51</v>
      </c>
      <c r="H2014" s="28">
        <v>40363</v>
      </c>
      <c r="I2014" s="29">
        <f t="shared" si="2385"/>
        <v>2010</v>
      </c>
      <c r="J2014" s="1" t="s">
        <v>4671</v>
      </c>
      <c r="K2014" s="1" t="s">
        <v>7</v>
      </c>
      <c r="L2014" s="11" t="str">
        <f t="shared" si="2382"/>
        <v>НЕТ</v>
      </c>
      <c r="M2014" s="10" t="s">
        <v>1575</v>
      </c>
      <c r="N2014" s="10">
        <v>8</v>
      </c>
      <c r="O2014" s="10">
        <v>0.312</v>
      </c>
      <c r="P2014" s="10">
        <f t="shared" si="2383"/>
        <v>0.61176470588235288</v>
      </c>
      <c r="Q2014" s="10" t="str">
        <f t="shared" si="2384"/>
        <v>NA</v>
      </c>
      <c r="R2014" s="10" t="s">
        <v>1575</v>
      </c>
      <c r="S2014" s="10" t="s">
        <v>1575</v>
      </c>
      <c r="T2014" s="10" t="s">
        <v>1575</v>
      </c>
      <c r="U2014" s="10" t="s">
        <v>1575</v>
      </c>
      <c r="V2014" s="10" t="s">
        <v>1575</v>
      </c>
      <c r="W2014" s="10" t="s">
        <v>1575</v>
      </c>
      <c r="X2014" s="10" t="str">
        <f t="shared" si="2374"/>
        <v>NA</v>
      </c>
      <c r="Y2014" s="10" t="str">
        <f t="shared" si="2375"/>
        <v>NA</v>
      </c>
      <c r="Z2014" s="10" t="str">
        <f t="shared" si="2376"/>
        <v>NA</v>
      </c>
      <c r="AA2014" s="10" t="str">
        <f t="shared" si="2377"/>
        <v>NA</v>
      </c>
      <c r="AB2014" s="10" t="str">
        <f t="shared" si="2378"/>
        <v>NA</v>
      </c>
      <c r="AC2014" s="10" t="str">
        <f t="shared" si="2379"/>
        <v>NA</v>
      </c>
      <c r="AD2014" s="10" t="str">
        <f t="shared" si="2380"/>
        <v>NA</v>
      </c>
      <c r="AE2014" s="10" t="str">
        <f t="shared" si="2381"/>
        <v>NA</v>
      </c>
    </row>
    <row r="2015" spans="1:32" x14ac:dyDescent="0.2">
      <c r="A2015" s="1" t="s">
        <v>6236</v>
      </c>
      <c r="B2015" s="1" t="s">
        <v>5</v>
      </c>
      <c r="C2015" s="1" t="s">
        <v>1575</v>
      </c>
      <c r="D2015" s="1" t="s">
        <v>1584</v>
      </c>
      <c r="E2015" s="1" t="s">
        <v>1586</v>
      </c>
      <c r="F2015" s="1" t="s">
        <v>66</v>
      </c>
      <c r="G2015" s="4">
        <v>0.9778</v>
      </c>
      <c r="H2015" s="28">
        <v>39997</v>
      </c>
      <c r="I2015" s="29">
        <f t="shared" si="2385"/>
        <v>2009</v>
      </c>
      <c r="J2015" s="1" t="s">
        <v>4671</v>
      </c>
      <c r="K2015" s="1" t="s">
        <v>7</v>
      </c>
      <c r="L2015" s="11" t="str">
        <f t="shared" si="2382"/>
        <v>НЕТ</v>
      </c>
      <c r="M2015" s="10" t="s">
        <v>1575</v>
      </c>
      <c r="N2015" s="10">
        <v>73.599999999999994</v>
      </c>
      <c r="O2015" s="10">
        <v>3.2315</v>
      </c>
      <c r="P2015" s="10">
        <f t="shared" si="2383"/>
        <v>3.3048680711802003</v>
      </c>
      <c r="Q2015" s="10" t="str">
        <f t="shared" si="2384"/>
        <v>NA</v>
      </c>
      <c r="R2015" s="10" t="s">
        <v>1575</v>
      </c>
      <c r="S2015" s="10" t="s">
        <v>1575</v>
      </c>
      <c r="T2015" s="10" t="s">
        <v>1575</v>
      </c>
      <c r="U2015" s="10" t="s">
        <v>1575</v>
      </c>
      <c r="V2015" s="10" t="s">
        <v>1575</v>
      </c>
      <c r="W2015" s="10" t="s">
        <v>1575</v>
      </c>
      <c r="X2015" s="10" t="str">
        <f t="shared" si="2374"/>
        <v>NA</v>
      </c>
      <c r="Y2015" s="10" t="str">
        <f t="shared" si="2375"/>
        <v>NA</v>
      </c>
      <c r="Z2015" s="10" t="str">
        <f t="shared" si="2376"/>
        <v>NA</v>
      </c>
      <c r="AA2015" s="10" t="str">
        <f t="shared" si="2377"/>
        <v>NA</v>
      </c>
      <c r="AB2015" s="10" t="str">
        <f t="shared" si="2378"/>
        <v>NA</v>
      </c>
      <c r="AC2015" s="10" t="str">
        <f t="shared" si="2379"/>
        <v>NA</v>
      </c>
      <c r="AD2015" s="10" t="str">
        <f t="shared" si="2380"/>
        <v>NA</v>
      </c>
      <c r="AE2015" s="10" t="str">
        <f t="shared" si="2381"/>
        <v>NA</v>
      </c>
      <c r="AF2015" s="1" t="s">
        <v>411</v>
      </c>
    </row>
    <row r="2016" spans="1:32" x14ac:dyDescent="0.2">
      <c r="A2016" s="1" t="s">
        <v>412</v>
      </c>
      <c r="B2016" s="1" t="s">
        <v>21</v>
      </c>
      <c r="C2016" s="1" t="s">
        <v>1575</v>
      </c>
      <c r="D2016" s="1" t="s">
        <v>1601</v>
      </c>
      <c r="E2016" s="1" t="s">
        <v>1587</v>
      </c>
      <c r="F2016" s="1" t="s">
        <v>110</v>
      </c>
      <c r="G2016" s="4">
        <v>0.76</v>
      </c>
      <c r="H2016" s="28">
        <v>40044</v>
      </c>
      <c r="I2016" s="29">
        <f t="shared" si="2385"/>
        <v>2009</v>
      </c>
      <c r="J2016" s="1" t="s">
        <v>4671</v>
      </c>
      <c r="K2016" s="1" t="s">
        <v>7</v>
      </c>
      <c r="L2016" s="11" t="str">
        <f t="shared" si="2382"/>
        <v>НЕТ</v>
      </c>
      <c r="M2016" s="10">
        <v>3.5</v>
      </c>
      <c r="N2016" s="10">
        <v>2.4780000000000002</v>
      </c>
      <c r="O2016" s="10">
        <v>0</v>
      </c>
      <c r="P2016" s="10">
        <f t="shared" si="2383"/>
        <v>0</v>
      </c>
      <c r="Q2016" s="10" t="str">
        <f t="shared" si="2384"/>
        <v>NA</v>
      </c>
      <c r="R2016" s="10" t="s">
        <v>1575</v>
      </c>
      <c r="S2016" s="10" t="s">
        <v>1575</v>
      </c>
      <c r="T2016" s="10" t="s">
        <v>1575</v>
      </c>
      <c r="U2016" s="10" t="s">
        <v>1575</v>
      </c>
      <c r="V2016" s="10" t="s">
        <v>1575</v>
      </c>
      <c r="W2016" s="10" t="s">
        <v>1575</v>
      </c>
      <c r="X2016" s="10" t="str">
        <f t="shared" si="2374"/>
        <v>NA</v>
      </c>
      <c r="Y2016" s="10" t="str">
        <f t="shared" si="2375"/>
        <v>NA</v>
      </c>
      <c r="Z2016" s="10" t="str">
        <f t="shared" si="2376"/>
        <v>NA</v>
      </c>
      <c r="AA2016" s="10" t="str">
        <f t="shared" si="2377"/>
        <v>NA</v>
      </c>
      <c r="AB2016" s="10" t="str">
        <f t="shared" si="2378"/>
        <v>NA</v>
      </c>
      <c r="AC2016" s="10" t="str">
        <f t="shared" si="2379"/>
        <v>NA</v>
      </c>
      <c r="AD2016" s="10" t="str">
        <f t="shared" si="2380"/>
        <v>NA</v>
      </c>
      <c r="AE2016" s="10" t="str">
        <f t="shared" si="2381"/>
        <v>NA</v>
      </c>
      <c r="AF2016" s="1" t="s">
        <v>413</v>
      </c>
    </row>
    <row r="2017" spans="1:32" x14ac:dyDescent="0.2">
      <c r="A2017" s="1" t="s">
        <v>6234</v>
      </c>
      <c r="B2017" s="1" t="s">
        <v>5</v>
      </c>
      <c r="C2017" s="1" t="s">
        <v>1619</v>
      </c>
      <c r="D2017" s="1" t="s">
        <v>1601</v>
      </c>
      <c r="E2017" s="1" t="s">
        <v>1608</v>
      </c>
      <c r="F2017" s="1" t="s">
        <v>1562</v>
      </c>
      <c r="G2017" s="4">
        <v>0.29899999999999999</v>
      </c>
      <c r="H2017" s="28">
        <v>40128</v>
      </c>
      <c r="I2017" s="29">
        <f t="shared" si="2385"/>
        <v>2009</v>
      </c>
      <c r="J2017" s="1" t="s">
        <v>4671</v>
      </c>
      <c r="K2017" s="1" t="s">
        <v>7</v>
      </c>
      <c r="L2017" s="11" t="str">
        <f t="shared" si="2382"/>
        <v>НЕТ</v>
      </c>
      <c r="M2017" s="10" t="s">
        <v>1575</v>
      </c>
      <c r="N2017" s="10">
        <v>39.131</v>
      </c>
      <c r="O2017" s="10">
        <v>0</v>
      </c>
      <c r="P2017" s="10">
        <f t="shared" si="2383"/>
        <v>0</v>
      </c>
      <c r="Q2017" s="10" t="str">
        <f t="shared" si="2384"/>
        <v>NA</v>
      </c>
      <c r="R2017" s="10" t="s">
        <v>1575</v>
      </c>
      <c r="S2017" s="10" t="s">
        <v>1575</v>
      </c>
      <c r="T2017" s="10" t="s">
        <v>1575</v>
      </c>
      <c r="U2017" s="10" t="s">
        <v>1575</v>
      </c>
      <c r="V2017" s="10" t="s">
        <v>1575</v>
      </c>
      <c r="W2017" s="10" t="s">
        <v>1575</v>
      </c>
      <c r="X2017" s="10" t="str">
        <f t="shared" ref="X2017:X2080" si="2386">IFERROR(V2017+W2017,"NA")</f>
        <v>NA</v>
      </c>
      <c r="Y2017" s="10" t="str">
        <f t="shared" ref="Y2017:Y2080" si="2387">IFERROR(P2017/R2017,"NA")</f>
        <v>NA</v>
      </c>
      <c r="Z2017" s="10" t="str">
        <f t="shared" ref="Z2017:Z2080" si="2388">IFERROR(P2017/U2017,"NA")</f>
        <v>NA</v>
      </c>
      <c r="AA2017" s="10" t="str">
        <f t="shared" ref="AA2017:AA2080" si="2389">IFERROR(P2017/V2017,"NA")</f>
        <v>NA</v>
      </c>
      <c r="AB2017" s="10" t="str">
        <f t="shared" ref="AB2017:AB2080" si="2390">IFERROR(Q2017/R2017,"NA")</f>
        <v>NA</v>
      </c>
      <c r="AC2017" s="10" t="str">
        <f t="shared" ref="AC2017:AC2080" si="2391">IFERROR(Q2017/S2017,"NA")</f>
        <v>NA</v>
      </c>
      <c r="AD2017" s="10" t="str">
        <f t="shared" ref="AD2017:AD2080" si="2392">IFERROR(Q2017/T2017,"NA")</f>
        <v>NA</v>
      </c>
      <c r="AE2017" s="10" t="str">
        <f t="shared" ref="AE2017:AE2080" si="2393">IFERROR(Q2017/X2017,"NA")</f>
        <v>NA</v>
      </c>
    </row>
    <row r="2018" spans="1:32" x14ac:dyDescent="0.2">
      <c r="A2018" s="1" t="s">
        <v>6234</v>
      </c>
      <c r="B2018" s="1" t="s">
        <v>5</v>
      </c>
      <c r="C2018" s="1" t="s">
        <v>1619</v>
      </c>
      <c r="D2018" s="1" t="s">
        <v>1601</v>
      </c>
      <c r="E2018" s="1" t="s">
        <v>1608</v>
      </c>
      <c r="F2018" s="1" t="s">
        <v>1562</v>
      </c>
      <c r="G2018" s="4">
        <v>2.7900000000000001E-2</v>
      </c>
      <c r="H2018" s="28">
        <v>40210</v>
      </c>
      <c r="I2018" s="29">
        <f t="shared" si="2385"/>
        <v>2010</v>
      </c>
      <c r="J2018" s="1" t="s">
        <v>4671</v>
      </c>
      <c r="K2018" s="1" t="s">
        <v>7</v>
      </c>
      <c r="L2018" s="11" t="str">
        <f t="shared" si="2382"/>
        <v>НЕТ</v>
      </c>
      <c r="M2018" s="10" t="s">
        <v>1575</v>
      </c>
      <c r="N2018" s="10">
        <v>3.2280000000000002</v>
      </c>
      <c r="O2018" s="10">
        <v>0.129</v>
      </c>
      <c r="P2018" s="10">
        <f t="shared" si="2383"/>
        <v>4.623655913978495</v>
      </c>
      <c r="Q2018" s="10" t="str">
        <f t="shared" si="2384"/>
        <v>NA</v>
      </c>
      <c r="R2018" s="10" t="s">
        <v>1575</v>
      </c>
      <c r="S2018" s="10" t="s">
        <v>1575</v>
      </c>
      <c r="T2018" s="10" t="s">
        <v>1575</v>
      </c>
      <c r="U2018" s="10" t="s">
        <v>1575</v>
      </c>
      <c r="V2018" s="10" t="s">
        <v>1575</v>
      </c>
      <c r="W2018" s="10" t="s">
        <v>1575</v>
      </c>
      <c r="X2018" s="10" t="str">
        <f t="shared" si="2386"/>
        <v>NA</v>
      </c>
      <c r="Y2018" s="10" t="str">
        <f t="shared" si="2387"/>
        <v>NA</v>
      </c>
      <c r="Z2018" s="10" t="str">
        <f t="shared" si="2388"/>
        <v>NA</v>
      </c>
      <c r="AA2018" s="10" t="str">
        <f t="shared" si="2389"/>
        <v>NA</v>
      </c>
      <c r="AB2018" s="10" t="str">
        <f t="shared" si="2390"/>
        <v>NA</v>
      </c>
      <c r="AC2018" s="10" t="str">
        <f t="shared" si="2391"/>
        <v>NA</v>
      </c>
      <c r="AD2018" s="10" t="str">
        <f t="shared" si="2392"/>
        <v>NA</v>
      </c>
      <c r="AE2018" s="10" t="str">
        <f t="shared" si="2393"/>
        <v>NA</v>
      </c>
    </row>
    <row r="2019" spans="1:32" x14ac:dyDescent="0.2">
      <c r="A2019" s="1" t="s">
        <v>6234</v>
      </c>
      <c r="B2019" s="1" t="s">
        <v>5</v>
      </c>
      <c r="C2019" s="1" t="s">
        <v>1619</v>
      </c>
      <c r="D2019" s="1" t="s">
        <v>1601</v>
      </c>
      <c r="E2019" s="1" t="s">
        <v>1608</v>
      </c>
      <c r="F2019" s="1" t="s">
        <v>1562</v>
      </c>
      <c r="G2019" s="4">
        <v>2.7000000000000001E-3</v>
      </c>
      <c r="H2019" s="28">
        <v>40238</v>
      </c>
      <c r="I2019" s="29">
        <f t="shared" si="2385"/>
        <v>2010</v>
      </c>
      <c r="J2019" s="1" t="s">
        <v>4671</v>
      </c>
      <c r="K2019" s="1" t="s">
        <v>7</v>
      </c>
      <c r="L2019" s="11" t="str">
        <f t="shared" si="2382"/>
        <v>НЕТ</v>
      </c>
      <c r="M2019" s="10" t="s">
        <v>1575</v>
      </c>
      <c r="N2019" s="10">
        <v>0.61899999999999999</v>
      </c>
      <c r="O2019" s="10">
        <v>2.4299999999999999E-2</v>
      </c>
      <c r="P2019" s="10">
        <f t="shared" si="2383"/>
        <v>8.9999999999999982</v>
      </c>
      <c r="Q2019" s="10" t="str">
        <f t="shared" si="2384"/>
        <v>NA</v>
      </c>
      <c r="R2019" s="10" t="s">
        <v>1575</v>
      </c>
      <c r="S2019" s="10" t="s">
        <v>1575</v>
      </c>
      <c r="T2019" s="10" t="s">
        <v>1575</v>
      </c>
      <c r="U2019" s="10" t="s">
        <v>1575</v>
      </c>
      <c r="V2019" s="10" t="s">
        <v>1575</v>
      </c>
      <c r="W2019" s="10" t="s">
        <v>1575</v>
      </c>
      <c r="X2019" s="10" t="str">
        <f t="shared" si="2386"/>
        <v>NA</v>
      </c>
      <c r="Y2019" s="10" t="str">
        <f t="shared" si="2387"/>
        <v>NA</v>
      </c>
      <c r="Z2019" s="10" t="str">
        <f t="shared" si="2388"/>
        <v>NA</v>
      </c>
      <c r="AA2019" s="10" t="str">
        <f t="shared" si="2389"/>
        <v>NA</v>
      </c>
      <c r="AB2019" s="10" t="str">
        <f t="shared" si="2390"/>
        <v>NA</v>
      </c>
      <c r="AC2019" s="10" t="str">
        <f t="shared" si="2391"/>
        <v>NA</v>
      </c>
      <c r="AD2019" s="10" t="str">
        <f t="shared" si="2392"/>
        <v>NA</v>
      </c>
      <c r="AE2019" s="10" t="str">
        <f t="shared" si="2393"/>
        <v>NA</v>
      </c>
    </row>
    <row r="2020" spans="1:32" x14ac:dyDescent="0.2">
      <c r="A2020" s="1" t="s">
        <v>6234</v>
      </c>
      <c r="B2020" s="1" t="s">
        <v>5</v>
      </c>
      <c r="C2020" s="1" t="s">
        <v>1619</v>
      </c>
      <c r="D2020" s="1" t="s">
        <v>1601</v>
      </c>
      <c r="E2020" s="1" t="s">
        <v>1608</v>
      </c>
      <c r="F2020" s="1" t="s">
        <v>1562</v>
      </c>
      <c r="G2020" s="4">
        <v>0.15890000000000001</v>
      </c>
      <c r="H2020" s="28">
        <v>40391</v>
      </c>
      <c r="I2020" s="29">
        <f t="shared" si="2385"/>
        <v>2010</v>
      </c>
      <c r="J2020" s="1" t="s">
        <v>4671</v>
      </c>
      <c r="K2020" s="1" t="s">
        <v>7</v>
      </c>
      <c r="L2020" s="11" t="str">
        <f t="shared" si="2382"/>
        <v>НЕТ</v>
      </c>
      <c r="M2020" s="10" t="s">
        <v>1575</v>
      </c>
      <c r="N2020" s="10">
        <v>8.5530000000000008</v>
      </c>
      <c r="O2020" s="10">
        <v>0.33600000000000002</v>
      </c>
      <c r="P2020" s="10">
        <f t="shared" si="2383"/>
        <v>2.1145374449339207</v>
      </c>
      <c r="Q2020" s="10" t="str">
        <f t="shared" si="2384"/>
        <v>NA</v>
      </c>
      <c r="R2020" s="10" t="s">
        <v>1575</v>
      </c>
      <c r="S2020" s="10" t="s">
        <v>1575</v>
      </c>
      <c r="T2020" s="10" t="s">
        <v>1575</v>
      </c>
      <c r="U2020" s="10" t="s">
        <v>1575</v>
      </c>
      <c r="V2020" s="10" t="s">
        <v>1575</v>
      </c>
      <c r="W2020" s="10" t="s">
        <v>1575</v>
      </c>
      <c r="X2020" s="10" t="str">
        <f t="shared" si="2386"/>
        <v>NA</v>
      </c>
      <c r="Y2020" s="10" t="str">
        <f t="shared" si="2387"/>
        <v>NA</v>
      </c>
      <c r="Z2020" s="10" t="str">
        <f t="shared" si="2388"/>
        <v>NA</v>
      </c>
      <c r="AA2020" s="10" t="str">
        <f t="shared" si="2389"/>
        <v>NA</v>
      </c>
      <c r="AB2020" s="10" t="str">
        <f t="shared" si="2390"/>
        <v>NA</v>
      </c>
      <c r="AC2020" s="10" t="str">
        <f t="shared" si="2391"/>
        <v>NA</v>
      </c>
      <c r="AD2020" s="10" t="str">
        <f t="shared" si="2392"/>
        <v>NA</v>
      </c>
      <c r="AE2020" s="10" t="str">
        <f t="shared" si="2393"/>
        <v>NA</v>
      </c>
    </row>
    <row r="2021" spans="1:32" x14ac:dyDescent="0.2">
      <c r="A2021" s="1" t="s">
        <v>415</v>
      </c>
      <c r="B2021" s="1" t="s">
        <v>8</v>
      </c>
      <c r="C2021" s="1" t="s">
        <v>1575</v>
      </c>
      <c r="D2021" s="1" t="s">
        <v>1601</v>
      </c>
      <c r="E2021" s="1" t="s">
        <v>1612</v>
      </c>
      <c r="F2021" s="1" t="s">
        <v>110</v>
      </c>
      <c r="G2021" s="4">
        <v>0.33300000000000002</v>
      </c>
      <c r="H2021" s="28">
        <v>39873</v>
      </c>
      <c r="I2021" s="29">
        <f t="shared" si="2385"/>
        <v>2009</v>
      </c>
      <c r="J2021" s="1" t="s">
        <v>4671</v>
      </c>
      <c r="K2021" s="1" t="s">
        <v>7</v>
      </c>
      <c r="L2021" s="11" t="str">
        <f t="shared" si="2382"/>
        <v>НЕТ</v>
      </c>
      <c r="M2021" s="10">
        <v>1.29</v>
      </c>
      <c r="N2021" s="10">
        <v>1.02</v>
      </c>
      <c r="O2021" s="10">
        <v>0</v>
      </c>
      <c r="P2021" s="10">
        <f t="shared" si="2383"/>
        <v>0</v>
      </c>
      <c r="Q2021" s="10" t="str">
        <f t="shared" si="2384"/>
        <v>NA</v>
      </c>
      <c r="R2021" s="10" t="s">
        <v>1575</v>
      </c>
      <c r="S2021" s="10" t="s">
        <v>1575</v>
      </c>
      <c r="T2021" s="10" t="s">
        <v>1575</v>
      </c>
      <c r="U2021" s="10" t="s">
        <v>1575</v>
      </c>
      <c r="V2021" s="10" t="s">
        <v>1575</v>
      </c>
      <c r="W2021" s="10" t="s">
        <v>1575</v>
      </c>
      <c r="X2021" s="10" t="str">
        <f t="shared" si="2386"/>
        <v>NA</v>
      </c>
      <c r="Y2021" s="10" t="str">
        <f t="shared" si="2387"/>
        <v>NA</v>
      </c>
      <c r="Z2021" s="10" t="str">
        <f t="shared" si="2388"/>
        <v>NA</v>
      </c>
      <c r="AA2021" s="10" t="str">
        <f t="shared" si="2389"/>
        <v>NA</v>
      </c>
      <c r="AB2021" s="10" t="str">
        <f t="shared" si="2390"/>
        <v>NA</v>
      </c>
      <c r="AC2021" s="10" t="str">
        <f t="shared" si="2391"/>
        <v>NA</v>
      </c>
      <c r="AD2021" s="10" t="str">
        <f t="shared" si="2392"/>
        <v>NA</v>
      </c>
      <c r="AE2021" s="10" t="str">
        <f t="shared" si="2393"/>
        <v>NA</v>
      </c>
      <c r="AF2021" s="1" t="s">
        <v>385</v>
      </c>
    </row>
    <row r="2022" spans="1:32" x14ac:dyDescent="0.2">
      <c r="A2022" s="1" t="s">
        <v>416</v>
      </c>
      <c r="B2022" s="1" t="s">
        <v>91</v>
      </c>
      <c r="C2022" s="1" t="s">
        <v>1575</v>
      </c>
      <c r="D2022" s="1" t="s">
        <v>1601</v>
      </c>
      <c r="E2022" s="1" t="s">
        <v>1608</v>
      </c>
      <c r="F2022" s="1" t="s">
        <v>110</v>
      </c>
      <c r="G2022" s="4">
        <v>0.9</v>
      </c>
      <c r="H2022" s="28">
        <v>40168</v>
      </c>
      <c r="I2022" s="29">
        <f t="shared" si="2385"/>
        <v>2009</v>
      </c>
      <c r="J2022" s="1" t="s">
        <v>7</v>
      </c>
      <c r="K2022" s="1" t="s">
        <v>4671</v>
      </c>
      <c r="L2022" s="11" t="str">
        <f t="shared" si="2382"/>
        <v>НЕТ</v>
      </c>
      <c r="M2022" s="10" t="s">
        <v>1575</v>
      </c>
      <c r="N2022" s="10">
        <v>1.2E-2</v>
      </c>
      <c r="O2022" s="10">
        <v>0</v>
      </c>
      <c r="P2022" s="10">
        <f t="shared" si="2383"/>
        <v>0</v>
      </c>
      <c r="Q2022" s="10" t="str">
        <f t="shared" si="2384"/>
        <v>NA</v>
      </c>
      <c r="R2022" s="10" t="s">
        <v>1575</v>
      </c>
      <c r="S2022" s="10" t="s">
        <v>1575</v>
      </c>
      <c r="T2022" s="10" t="s">
        <v>1575</v>
      </c>
      <c r="U2022" s="10" t="s">
        <v>1575</v>
      </c>
      <c r="V2022" s="10" t="s">
        <v>1575</v>
      </c>
      <c r="W2022" s="10" t="s">
        <v>1575</v>
      </c>
      <c r="X2022" s="10" t="str">
        <f t="shared" si="2386"/>
        <v>NA</v>
      </c>
      <c r="Y2022" s="10" t="str">
        <f t="shared" si="2387"/>
        <v>NA</v>
      </c>
      <c r="Z2022" s="10" t="str">
        <f t="shared" si="2388"/>
        <v>NA</v>
      </c>
      <c r="AA2022" s="10" t="str">
        <f t="shared" si="2389"/>
        <v>NA</v>
      </c>
      <c r="AB2022" s="10" t="str">
        <f t="shared" si="2390"/>
        <v>NA</v>
      </c>
      <c r="AC2022" s="10" t="str">
        <f t="shared" si="2391"/>
        <v>NA</v>
      </c>
      <c r="AD2022" s="10" t="str">
        <f t="shared" si="2392"/>
        <v>NA</v>
      </c>
      <c r="AE2022" s="10" t="str">
        <f t="shared" si="2393"/>
        <v>NA</v>
      </c>
    </row>
    <row r="2023" spans="1:32" x14ac:dyDescent="0.2">
      <c r="A2023" s="1" t="s">
        <v>6238</v>
      </c>
      <c r="B2023" s="1" t="s">
        <v>5</v>
      </c>
      <c r="C2023" s="1" t="s">
        <v>1575</v>
      </c>
      <c r="D2023" s="1" t="s">
        <v>1601</v>
      </c>
      <c r="E2023" s="1" t="s">
        <v>1602</v>
      </c>
      <c r="F2023" s="1" t="s">
        <v>1563</v>
      </c>
      <c r="G2023" s="4">
        <v>1</v>
      </c>
      <c r="H2023" s="28">
        <v>40098</v>
      </c>
      <c r="I2023" s="29">
        <f t="shared" si="2385"/>
        <v>2009</v>
      </c>
      <c r="J2023" s="1" t="s">
        <v>6235</v>
      </c>
      <c r="K2023" s="1" t="s">
        <v>7</v>
      </c>
      <c r="L2023" s="11" t="str">
        <f t="shared" si="2382"/>
        <v>НЕТ</v>
      </c>
      <c r="M2023" s="10" t="s">
        <v>1575</v>
      </c>
      <c r="N2023" s="10" t="s">
        <v>1575</v>
      </c>
      <c r="O2023" s="10">
        <v>1.244</v>
      </c>
      <c r="P2023" s="10">
        <f t="shared" si="2383"/>
        <v>1.244</v>
      </c>
      <c r="Q2023" s="10" t="str">
        <f t="shared" si="2384"/>
        <v>NA</v>
      </c>
      <c r="R2023" s="10" t="s">
        <v>1575</v>
      </c>
      <c r="S2023" s="10" t="s">
        <v>1575</v>
      </c>
      <c r="T2023" s="10" t="s">
        <v>1575</v>
      </c>
      <c r="U2023" s="10" t="s">
        <v>1575</v>
      </c>
      <c r="V2023" s="10">
        <v>0.9</v>
      </c>
      <c r="W2023" s="10" t="s">
        <v>1575</v>
      </c>
      <c r="X2023" s="10" t="str">
        <f t="shared" si="2386"/>
        <v>NA</v>
      </c>
      <c r="Y2023" s="10" t="str">
        <f t="shared" si="2387"/>
        <v>NA</v>
      </c>
      <c r="Z2023" s="10" t="str">
        <f t="shared" si="2388"/>
        <v>NA</v>
      </c>
      <c r="AA2023" s="10">
        <f t="shared" si="2389"/>
        <v>1.3822222222222222</v>
      </c>
      <c r="AB2023" s="10" t="str">
        <f t="shared" si="2390"/>
        <v>NA</v>
      </c>
      <c r="AC2023" s="10" t="str">
        <f t="shared" si="2391"/>
        <v>NA</v>
      </c>
      <c r="AD2023" s="10" t="str">
        <f t="shared" si="2392"/>
        <v>NA</v>
      </c>
      <c r="AE2023" s="10" t="str">
        <f t="shared" si="2393"/>
        <v>NA</v>
      </c>
      <c r="AF2023" s="1" t="s">
        <v>1771</v>
      </c>
    </row>
    <row r="2024" spans="1:32" x14ac:dyDescent="0.2">
      <c r="A2024" s="1" t="s">
        <v>6239</v>
      </c>
      <c r="B2024" s="1" t="s">
        <v>5</v>
      </c>
      <c r="C2024" s="1" t="s">
        <v>1575</v>
      </c>
      <c r="D2024" s="1" t="s">
        <v>1600</v>
      </c>
      <c r="E2024" s="1" t="s">
        <v>1659</v>
      </c>
      <c r="F2024" s="1" t="s">
        <v>118</v>
      </c>
      <c r="G2024" s="4">
        <v>1</v>
      </c>
      <c r="H2024" s="28">
        <v>40539</v>
      </c>
      <c r="I2024" s="29">
        <f t="shared" si="2385"/>
        <v>2010</v>
      </c>
      <c r="J2024" s="1" t="s">
        <v>1768</v>
      </c>
      <c r="K2024" s="1" t="s">
        <v>7</v>
      </c>
      <c r="L2024" s="11" t="str">
        <f t="shared" si="2382"/>
        <v>НЕТ</v>
      </c>
      <c r="M2024" s="10" t="s">
        <v>1575</v>
      </c>
      <c r="N2024" s="10" t="s">
        <v>1575</v>
      </c>
      <c r="O2024" s="10">
        <v>0.14000000000000001</v>
      </c>
      <c r="P2024" s="10">
        <f t="shared" si="2383"/>
        <v>0.14000000000000001</v>
      </c>
      <c r="Q2024" s="10" t="str">
        <f t="shared" si="2384"/>
        <v>NA</v>
      </c>
      <c r="R2024" s="10" t="s">
        <v>1575</v>
      </c>
      <c r="S2024" s="10" t="s">
        <v>1575</v>
      </c>
      <c r="T2024" s="10" t="s">
        <v>1575</v>
      </c>
      <c r="U2024" s="10" t="s">
        <v>1575</v>
      </c>
      <c r="V2024" s="10">
        <f>0.138919</f>
        <v>0.13891899999999999</v>
      </c>
      <c r="W2024" s="10" t="s">
        <v>1575</v>
      </c>
      <c r="X2024" s="10" t="str">
        <f t="shared" si="2386"/>
        <v>NA</v>
      </c>
      <c r="Y2024" s="10" t="str">
        <f t="shared" si="2387"/>
        <v>NA</v>
      </c>
      <c r="Z2024" s="10" t="str">
        <f t="shared" si="2388"/>
        <v>NA</v>
      </c>
      <c r="AA2024" s="10">
        <f t="shared" si="2389"/>
        <v>1.0077815129679888</v>
      </c>
      <c r="AB2024" s="10" t="str">
        <f t="shared" si="2390"/>
        <v>NA</v>
      </c>
      <c r="AC2024" s="10" t="str">
        <f t="shared" si="2391"/>
        <v>NA</v>
      </c>
      <c r="AD2024" s="10" t="str">
        <f t="shared" si="2392"/>
        <v>NA</v>
      </c>
      <c r="AE2024" s="10" t="str">
        <f t="shared" si="2393"/>
        <v>NA</v>
      </c>
      <c r="AF2024" s="1" t="s">
        <v>1767</v>
      </c>
    </row>
    <row r="2025" spans="1:32" x14ac:dyDescent="0.2">
      <c r="A2025" s="1" t="s">
        <v>407</v>
      </c>
      <c r="B2025" s="1" t="s">
        <v>5</v>
      </c>
      <c r="C2025" s="1" t="s">
        <v>1575</v>
      </c>
      <c r="D2025" s="1" t="s">
        <v>1582</v>
      </c>
      <c r="E2025" s="1" t="s">
        <v>1583</v>
      </c>
      <c r="F2025" s="1" t="s">
        <v>406</v>
      </c>
      <c r="G2025" s="4">
        <v>0.85470000000000002</v>
      </c>
      <c r="H2025" s="28">
        <v>40844</v>
      </c>
      <c r="I2025" s="29">
        <f t="shared" si="2385"/>
        <v>2011</v>
      </c>
      <c r="J2025" s="1" t="s">
        <v>7</v>
      </c>
      <c r="K2025" s="1" t="s">
        <v>4672</v>
      </c>
      <c r="L2025" s="11" t="str">
        <f t="shared" si="2382"/>
        <v>НЕТ</v>
      </c>
      <c r="M2025" s="10" t="s">
        <v>1575</v>
      </c>
      <c r="N2025" s="10" t="s">
        <v>1575</v>
      </c>
      <c r="O2025" s="10">
        <v>1.0000000000000001E-5</v>
      </c>
      <c r="P2025" s="10">
        <f t="shared" si="2383"/>
        <v>1.17000117000117E-5</v>
      </c>
      <c r="Q2025" s="10" t="str">
        <f t="shared" si="2384"/>
        <v>NA</v>
      </c>
      <c r="R2025" s="10" t="s">
        <v>1575</v>
      </c>
      <c r="S2025" s="10" t="s">
        <v>1575</v>
      </c>
      <c r="T2025" s="10" t="s">
        <v>1575</v>
      </c>
      <c r="U2025" s="10" t="s">
        <v>1575</v>
      </c>
      <c r="V2025" s="10" t="s">
        <v>1575</v>
      </c>
      <c r="W2025" s="10" t="s">
        <v>1575</v>
      </c>
      <c r="X2025" s="10" t="str">
        <f t="shared" si="2386"/>
        <v>NA</v>
      </c>
      <c r="Y2025" s="10" t="str">
        <f t="shared" si="2387"/>
        <v>NA</v>
      </c>
      <c r="Z2025" s="10" t="str">
        <f t="shared" si="2388"/>
        <v>NA</v>
      </c>
      <c r="AA2025" s="10" t="str">
        <f t="shared" si="2389"/>
        <v>NA</v>
      </c>
      <c r="AB2025" s="10" t="str">
        <f t="shared" si="2390"/>
        <v>NA</v>
      </c>
      <c r="AC2025" s="10" t="str">
        <f t="shared" si="2391"/>
        <v>NA</v>
      </c>
      <c r="AD2025" s="10" t="str">
        <f t="shared" si="2392"/>
        <v>NA</v>
      </c>
      <c r="AE2025" s="10" t="str">
        <f t="shared" si="2393"/>
        <v>NA</v>
      </c>
      <c r="AF2025" s="1" t="s">
        <v>1770</v>
      </c>
    </row>
    <row r="2026" spans="1:32" x14ac:dyDescent="0.2">
      <c r="A2026" s="1" t="s">
        <v>407</v>
      </c>
      <c r="B2026" s="1" t="s">
        <v>5</v>
      </c>
      <c r="C2026" s="1" t="s">
        <v>1575</v>
      </c>
      <c r="D2026" s="1" t="s">
        <v>1582</v>
      </c>
      <c r="E2026" s="1" t="s">
        <v>1583</v>
      </c>
      <c r="F2026" s="1" t="s">
        <v>406</v>
      </c>
      <c r="G2026" s="4">
        <v>0.85470000000000002</v>
      </c>
      <c r="H2026" s="28">
        <v>40574</v>
      </c>
      <c r="I2026" s="29">
        <f t="shared" si="2385"/>
        <v>2011</v>
      </c>
      <c r="J2026" s="1" t="s">
        <v>1768</v>
      </c>
      <c r="K2026" s="1" t="s">
        <v>6240</v>
      </c>
      <c r="L2026" s="11" t="str">
        <f t="shared" si="2382"/>
        <v>НЕТ</v>
      </c>
      <c r="M2026" s="10" t="s">
        <v>1575</v>
      </c>
      <c r="N2026" s="10" t="s">
        <v>1575</v>
      </c>
      <c r="O2026" s="10">
        <v>0.3</v>
      </c>
      <c r="P2026" s="10">
        <f t="shared" si="2383"/>
        <v>0.35100035100035099</v>
      </c>
      <c r="Q2026" s="10" t="str">
        <f t="shared" si="2384"/>
        <v>NA</v>
      </c>
      <c r="R2026" s="10" t="s">
        <v>1575</v>
      </c>
      <c r="S2026" s="10" t="s">
        <v>1575</v>
      </c>
      <c r="T2026" s="10" t="s">
        <v>1575</v>
      </c>
      <c r="U2026" s="10" t="s">
        <v>1575</v>
      </c>
      <c r="V2026" s="10" t="s">
        <v>1575</v>
      </c>
      <c r="W2026" s="10" t="s">
        <v>1575</v>
      </c>
      <c r="X2026" s="10" t="str">
        <f t="shared" si="2386"/>
        <v>NA</v>
      </c>
      <c r="Y2026" s="10" t="str">
        <f t="shared" si="2387"/>
        <v>NA</v>
      </c>
      <c r="Z2026" s="10" t="str">
        <f t="shared" si="2388"/>
        <v>NA</v>
      </c>
      <c r="AA2026" s="10" t="str">
        <f t="shared" si="2389"/>
        <v>NA</v>
      </c>
      <c r="AB2026" s="10" t="str">
        <f t="shared" si="2390"/>
        <v>NA</v>
      </c>
      <c r="AC2026" s="10" t="str">
        <f t="shared" si="2391"/>
        <v>NA</v>
      </c>
      <c r="AD2026" s="10" t="str">
        <f t="shared" si="2392"/>
        <v>NA</v>
      </c>
      <c r="AE2026" s="10" t="str">
        <f t="shared" si="2393"/>
        <v>NA</v>
      </c>
      <c r="AF2026" s="1" t="s">
        <v>1769</v>
      </c>
    </row>
    <row r="2027" spans="1:32" x14ac:dyDescent="0.2">
      <c r="A2027" s="1" t="s">
        <v>6241</v>
      </c>
      <c r="B2027" s="1" t="s">
        <v>5</v>
      </c>
      <c r="C2027" s="1" t="s">
        <v>1575</v>
      </c>
      <c r="D2027" s="1" t="s">
        <v>1601</v>
      </c>
      <c r="E2027" s="1" t="s">
        <v>5352</v>
      </c>
      <c r="F2027" s="1" t="s">
        <v>1532</v>
      </c>
      <c r="G2027" s="4">
        <v>1</v>
      </c>
      <c r="H2027" s="28">
        <v>41757</v>
      </c>
      <c r="I2027" s="29">
        <f t="shared" si="2385"/>
        <v>2014</v>
      </c>
      <c r="J2027" s="1" t="s">
        <v>1772</v>
      </c>
      <c r="K2027" s="1" t="s">
        <v>7</v>
      </c>
      <c r="L2027" s="11" t="str">
        <f t="shared" si="2382"/>
        <v>НЕТ</v>
      </c>
      <c r="M2027" s="10" t="s">
        <v>1575</v>
      </c>
      <c r="N2027" s="10" t="s">
        <v>1575</v>
      </c>
      <c r="O2027" s="10">
        <v>2.1020000000000001E-3</v>
      </c>
      <c r="P2027" s="10">
        <f t="shared" si="2383"/>
        <v>2.1020000000000001E-3</v>
      </c>
      <c r="Q2027" s="10" t="str">
        <f t="shared" si="2384"/>
        <v>NA</v>
      </c>
      <c r="R2027" s="10" t="s">
        <v>1575</v>
      </c>
      <c r="S2027" s="10" t="s">
        <v>1575</v>
      </c>
      <c r="T2027" s="10" t="s">
        <v>1575</v>
      </c>
      <c r="U2027" s="10" t="s">
        <v>1575</v>
      </c>
      <c r="V2027" s="10">
        <v>1.7459999999999999E-3</v>
      </c>
      <c r="W2027" s="10" t="s">
        <v>1575</v>
      </c>
      <c r="X2027" s="10" t="str">
        <f t="shared" si="2386"/>
        <v>NA</v>
      </c>
      <c r="Y2027" s="10" t="str">
        <f t="shared" si="2387"/>
        <v>NA</v>
      </c>
      <c r="Z2027" s="10" t="str">
        <f t="shared" si="2388"/>
        <v>NA</v>
      </c>
      <c r="AA2027" s="10">
        <f t="shared" si="2389"/>
        <v>1.2038946162657505</v>
      </c>
      <c r="AB2027" s="10" t="str">
        <f t="shared" si="2390"/>
        <v>NA</v>
      </c>
      <c r="AC2027" s="10" t="str">
        <f t="shared" si="2391"/>
        <v>NA</v>
      </c>
      <c r="AD2027" s="10" t="str">
        <f t="shared" si="2392"/>
        <v>NA</v>
      </c>
      <c r="AE2027" s="10" t="str">
        <f t="shared" si="2393"/>
        <v>NA</v>
      </c>
      <c r="AF2027" s="1" t="s">
        <v>1773</v>
      </c>
    </row>
    <row r="2028" spans="1:32" x14ac:dyDescent="0.2">
      <c r="A2028" s="1" t="s">
        <v>1772</v>
      </c>
      <c r="B2028" s="1" t="s">
        <v>5</v>
      </c>
      <c r="C2028" s="1" t="s">
        <v>1638</v>
      </c>
      <c r="D2028" s="1" t="s">
        <v>1601</v>
      </c>
      <c r="E2028" s="1" t="s">
        <v>1608</v>
      </c>
      <c r="F2028" s="1" t="s">
        <v>1562</v>
      </c>
      <c r="G2028" s="4">
        <f>10654492/1230254011959</f>
        <v>8.6604001258522833E-6</v>
      </c>
      <c r="H2028" s="28">
        <v>42004</v>
      </c>
      <c r="I2028" s="29">
        <f t="shared" si="2385"/>
        <v>2014</v>
      </c>
      <c r="J2028" s="1" t="s">
        <v>1784</v>
      </c>
      <c r="K2028" s="1" t="s">
        <v>1772</v>
      </c>
      <c r="L2028" s="11" t="str">
        <f t="shared" si="2382"/>
        <v>ДА</v>
      </c>
      <c r="M2028" s="10" t="s">
        <v>1575</v>
      </c>
      <c r="N2028" s="10" t="s">
        <v>1575</v>
      </c>
      <c r="O2028" s="10">
        <v>3.7290999999999999E-3</v>
      </c>
      <c r="P2028" s="10">
        <f t="shared" si="2383"/>
        <v>430.59211419899765</v>
      </c>
      <c r="Q2028" s="10" t="str">
        <f t="shared" si="2384"/>
        <v>NA</v>
      </c>
      <c r="R2028" s="10" t="s">
        <v>1575</v>
      </c>
      <c r="S2028" s="10" t="s">
        <v>1575</v>
      </c>
      <c r="T2028" s="10" t="s">
        <v>1575</v>
      </c>
      <c r="U2028" s="10" t="s">
        <v>1575</v>
      </c>
      <c r="V2028" s="10" t="s">
        <v>1575</v>
      </c>
      <c r="W2028" s="10" t="s">
        <v>1575</v>
      </c>
      <c r="X2028" s="10" t="str">
        <f t="shared" si="2386"/>
        <v>NA</v>
      </c>
      <c r="Y2028" s="10" t="str">
        <f t="shared" si="2387"/>
        <v>NA</v>
      </c>
      <c r="Z2028" s="10" t="str">
        <f t="shared" si="2388"/>
        <v>NA</v>
      </c>
      <c r="AA2028" s="10" t="str">
        <f t="shared" si="2389"/>
        <v>NA</v>
      </c>
      <c r="AB2028" s="10" t="str">
        <f t="shared" si="2390"/>
        <v>NA</v>
      </c>
      <c r="AC2028" s="10" t="str">
        <f t="shared" si="2391"/>
        <v>NA</v>
      </c>
      <c r="AD2028" s="10" t="str">
        <f t="shared" si="2392"/>
        <v>NA</v>
      </c>
      <c r="AE2028" s="10" t="str">
        <f t="shared" si="2393"/>
        <v>NA</v>
      </c>
      <c r="AF2028" s="1" t="s">
        <v>1774</v>
      </c>
    </row>
    <row r="2029" spans="1:32" x14ac:dyDescent="0.2">
      <c r="A2029" s="1" t="s">
        <v>6242</v>
      </c>
      <c r="B2029" s="1" t="s">
        <v>5</v>
      </c>
      <c r="C2029" s="1" t="s">
        <v>1575</v>
      </c>
      <c r="D2029" s="1" t="s">
        <v>1601</v>
      </c>
      <c r="E2029" s="1" t="s">
        <v>5352</v>
      </c>
      <c r="F2029" s="1" t="s">
        <v>1532</v>
      </c>
      <c r="G2029" s="4">
        <v>0.85819999999999996</v>
      </c>
      <c r="H2029" s="28">
        <v>41514</v>
      </c>
      <c r="I2029" s="29">
        <f t="shared" si="2385"/>
        <v>2013</v>
      </c>
      <c r="J2029" s="1" t="s">
        <v>7</v>
      </c>
      <c r="K2029" s="1" t="s">
        <v>1772</v>
      </c>
      <c r="L2029" s="11" t="str">
        <f t="shared" si="2382"/>
        <v>НЕТ</v>
      </c>
      <c r="M2029" s="10" t="s">
        <v>1575</v>
      </c>
      <c r="N2029" s="10" t="s">
        <v>1575</v>
      </c>
      <c r="O2029" s="10">
        <v>7.7476000000000003E-2</v>
      </c>
      <c r="P2029" s="10">
        <f t="shared" si="2383"/>
        <v>9.0277324632952696E-2</v>
      </c>
      <c r="Q2029" s="10" t="str">
        <f t="shared" si="2384"/>
        <v>NA</v>
      </c>
      <c r="R2029" s="10" t="s">
        <v>1575</v>
      </c>
      <c r="S2029" s="10" t="s">
        <v>1575</v>
      </c>
      <c r="T2029" s="10" t="s">
        <v>1575</v>
      </c>
      <c r="U2029" s="10" t="s">
        <v>1575</v>
      </c>
      <c r="V2029" s="10">
        <f>0.228568</f>
        <v>0.22856799999999999</v>
      </c>
      <c r="W2029" s="10" t="s">
        <v>1575</v>
      </c>
      <c r="X2029" s="10" t="str">
        <f t="shared" si="2386"/>
        <v>NA</v>
      </c>
      <c r="Y2029" s="10" t="str">
        <f t="shared" si="2387"/>
        <v>NA</v>
      </c>
      <c r="Z2029" s="10" t="str">
        <f t="shared" si="2388"/>
        <v>NA</v>
      </c>
      <c r="AA2029" s="10">
        <f t="shared" si="2389"/>
        <v>0.39496921980746519</v>
      </c>
      <c r="AB2029" s="10" t="str">
        <f t="shared" si="2390"/>
        <v>NA</v>
      </c>
      <c r="AC2029" s="10" t="str">
        <f t="shared" si="2391"/>
        <v>NA</v>
      </c>
      <c r="AD2029" s="10" t="str">
        <f t="shared" si="2392"/>
        <v>NA</v>
      </c>
      <c r="AE2029" s="10" t="str">
        <f t="shared" si="2393"/>
        <v>NA</v>
      </c>
      <c r="AF2029" s="1" t="s">
        <v>1775</v>
      </c>
    </row>
    <row r="2030" spans="1:32" x14ac:dyDescent="0.2">
      <c r="A2030" s="1" t="s">
        <v>6243</v>
      </c>
      <c r="B2030" s="1" t="s">
        <v>5</v>
      </c>
      <c r="C2030" s="1" t="s">
        <v>1575</v>
      </c>
      <c r="D2030" s="1" t="s">
        <v>1601</v>
      </c>
      <c r="E2030" s="1" t="s">
        <v>5352</v>
      </c>
      <c r="F2030" s="1" t="s">
        <v>1532</v>
      </c>
      <c r="G2030" s="4">
        <v>1.12E-2</v>
      </c>
      <c r="H2030" s="28">
        <v>40974</v>
      </c>
      <c r="I2030" s="29">
        <f t="shared" si="2385"/>
        <v>2012</v>
      </c>
      <c r="J2030" s="1" t="s">
        <v>1772</v>
      </c>
      <c r="K2030" s="1" t="s">
        <v>7</v>
      </c>
      <c r="L2030" s="11" t="str">
        <f t="shared" si="2382"/>
        <v>НЕТ</v>
      </c>
      <c r="M2030" s="10" t="s">
        <v>1575</v>
      </c>
      <c r="N2030" s="10" t="s">
        <v>1575</v>
      </c>
      <c r="O2030" s="10">
        <v>9.1600000000000004E-4</v>
      </c>
      <c r="P2030" s="10">
        <f t="shared" si="2383"/>
        <v>8.1785714285714295E-2</v>
      </c>
      <c r="Q2030" s="10" t="str">
        <f t="shared" si="2384"/>
        <v>NA</v>
      </c>
      <c r="R2030" s="10" t="s">
        <v>1575</v>
      </c>
      <c r="S2030" s="10" t="s">
        <v>1575</v>
      </c>
      <c r="T2030" s="10" t="s">
        <v>1575</v>
      </c>
      <c r="U2030" s="10" t="s">
        <v>1575</v>
      </c>
      <c r="V2030" s="10" t="s">
        <v>1575</v>
      </c>
      <c r="W2030" s="10" t="s">
        <v>1575</v>
      </c>
      <c r="X2030" s="10" t="str">
        <f t="shared" si="2386"/>
        <v>NA</v>
      </c>
      <c r="Y2030" s="10" t="str">
        <f t="shared" si="2387"/>
        <v>NA</v>
      </c>
      <c r="Z2030" s="10" t="str">
        <f t="shared" si="2388"/>
        <v>NA</v>
      </c>
      <c r="AA2030" s="10" t="str">
        <f t="shared" si="2389"/>
        <v>NA</v>
      </c>
      <c r="AB2030" s="10" t="str">
        <f t="shared" si="2390"/>
        <v>NA</v>
      </c>
      <c r="AC2030" s="10" t="str">
        <f t="shared" si="2391"/>
        <v>NA</v>
      </c>
      <c r="AD2030" s="10" t="str">
        <f t="shared" si="2392"/>
        <v>NA</v>
      </c>
      <c r="AE2030" s="10" t="str">
        <f t="shared" si="2393"/>
        <v>NA</v>
      </c>
      <c r="AF2030" s="1" t="s">
        <v>1776</v>
      </c>
    </row>
    <row r="2031" spans="1:32" x14ac:dyDescent="0.2">
      <c r="A2031" s="1" t="s">
        <v>6244</v>
      </c>
      <c r="B2031" s="1" t="s">
        <v>5</v>
      </c>
      <c r="C2031" s="1" t="s">
        <v>1575</v>
      </c>
      <c r="D2031" s="1" t="s">
        <v>1601</v>
      </c>
      <c r="E2031" s="1" t="s">
        <v>5352</v>
      </c>
      <c r="F2031" s="1" t="s">
        <v>1532</v>
      </c>
      <c r="G2031" s="4">
        <v>5.2200000000000003E-2</v>
      </c>
      <c r="H2031" s="28">
        <v>40974</v>
      </c>
      <c r="I2031" s="29">
        <f t="shared" si="2385"/>
        <v>2012</v>
      </c>
      <c r="J2031" s="1" t="s">
        <v>1772</v>
      </c>
      <c r="K2031" s="1" t="s">
        <v>7</v>
      </c>
      <c r="L2031" s="11" t="str">
        <f t="shared" si="2382"/>
        <v>НЕТ</v>
      </c>
      <c r="M2031" s="10" t="s">
        <v>1575</v>
      </c>
      <c r="N2031" s="10" t="s">
        <v>1575</v>
      </c>
      <c r="O2031" s="10">
        <v>2.6332999999999999E-2</v>
      </c>
      <c r="P2031" s="10">
        <f t="shared" si="2383"/>
        <v>0.50446360153256697</v>
      </c>
      <c r="Q2031" s="10" t="str">
        <f t="shared" si="2384"/>
        <v>NA</v>
      </c>
      <c r="R2031" s="10" t="s">
        <v>1575</v>
      </c>
      <c r="S2031" s="10" t="s">
        <v>1575</v>
      </c>
      <c r="T2031" s="10" t="s">
        <v>1575</v>
      </c>
      <c r="U2031" s="10" t="s">
        <v>1575</v>
      </c>
      <c r="V2031" s="10" t="s">
        <v>1575</v>
      </c>
      <c r="W2031" s="10" t="s">
        <v>1575</v>
      </c>
      <c r="X2031" s="10" t="str">
        <f t="shared" si="2386"/>
        <v>NA</v>
      </c>
      <c r="Y2031" s="10" t="str">
        <f t="shared" si="2387"/>
        <v>NA</v>
      </c>
      <c r="Z2031" s="10" t="str">
        <f t="shared" si="2388"/>
        <v>NA</v>
      </c>
      <c r="AA2031" s="10" t="str">
        <f t="shared" si="2389"/>
        <v>NA</v>
      </c>
      <c r="AB2031" s="10" t="str">
        <f t="shared" si="2390"/>
        <v>NA</v>
      </c>
      <c r="AC2031" s="10" t="str">
        <f t="shared" si="2391"/>
        <v>NA</v>
      </c>
      <c r="AD2031" s="10" t="str">
        <f t="shared" si="2392"/>
        <v>NA</v>
      </c>
      <c r="AE2031" s="10" t="str">
        <f t="shared" si="2393"/>
        <v>NA</v>
      </c>
      <c r="AF2031" s="1" t="s">
        <v>1777</v>
      </c>
    </row>
    <row r="2032" spans="1:32" x14ac:dyDescent="0.2">
      <c r="A2032" s="1" t="s">
        <v>6245</v>
      </c>
      <c r="B2032" s="1" t="s">
        <v>5</v>
      </c>
      <c r="C2032" s="1" t="s">
        <v>1575</v>
      </c>
      <c r="D2032" s="1" t="s">
        <v>1601</v>
      </c>
      <c r="E2032" s="1" t="s">
        <v>5352</v>
      </c>
      <c r="F2032" s="1" t="s">
        <v>1532</v>
      </c>
      <c r="G2032" s="4">
        <v>0.85360000000000003</v>
      </c>
      <c r="H2032" s="28">
        <v>40591</v>
      </c>
      <c r="I2032" s="29">
        <f t="shared" si="2385"/>
        <v>2011</v>
      </c>
      <c r="J2032" s="1" t="s">
        <v>1772</v>
      </c>
      <c r="K2032" s="1" t="s">
        <v>7</v>
      </c>
      <c r="L2032" s="11" t="str">
        <f t="shared" si="2382"/>
        <v>НЕТ</v>
      </c>
      <c r="M2032" s="10" t="s">
        <v>1575</v>
      </c>
      <c r="N2032" s="10" t="s">
        <v>1575</v>
      </c>
      <c r="O2032" s="10">
        <v>0.33505400000000002</v>
      </c>
      <c r="P2032" s="10">
        <f t="shared" si="2383"/>
        <v>0.39251874414245547</v>
      </c>
      <c r="Q2032" s="10" t="str">
        <f t="shared" si="2384"/>
        <v>NA</v>
      </c>
      <c r="R2032" s="10" t="s">
        <v>1575</v>
      </c>
      <c r="S2032" s="10" t="s">
        <v>1575</v>
      </c>
      <c r="T2032" s="10" t="s">
        <v>1575</v>
      </c>
      <c r="U2032" s="10" t="s">
        <v>1575</v>
      </c>
      <c r="V2032" s="10">
        <f>0.133293</f>
        <v>0.13329299999999999</v>
      </c>
      <c r="W2032" s="10" t="s">
        <v>1575</v>
      </c>
      <c r="X2032" s="10" t="str">
        <f t="shared" si="2386"/>
        <v>NA</v>
      </c>
      <c r="Y2032" s="10" t="str">
        <f t="shared" si="2387"/>
        <v>NA</v>
      </c>
      <c r="Z2032" s="10" t="str">
        <f t="shared" si="2388"/>
        <v>NA</v>
      </c>
      <c r="AA2032" s="10">
        <f t="shared" si="2389"/>
        <v>2.9447813774350902</v>
      </c>
      <c r="AB2032" s="10" t="str">
        <f t="shared" si="2390"/>
        <v>NA</v>
      </c>
      <c r="AC2032" s="10" t="str">
        <f t="shared" si="2391"/>
        <v>NA</v>
      </c>
      <c r="AD2032" s="10" t="str">
        <f t="shared" si="2392"/>
        <v>NA</v>
      </c>
      <c r="AE2032" s="10" t="str">
        <f t="shared" si="2393"/>
        <v>NA</v>
      </c>
      <c r="AF2032" s="1" t="s">
        <v>1778</v>
      </c>
    </row>
    <row r="2033" spans="1:32" x14ac:dyDescent="0.2">
      <c r="A2033" s="1" t="s">
        <v>6246</v>
      </c>
      <c r="B2033" s="1" t="s">
        <v>5</v>
      </c>
      <c r="C2033" s="1" t="s">
        <v>1575</v>
      </c>
      <c r="D2033" s="1" t="s">
        <v>1601</v>
      </c>
      <c r="E2033" s="1" t="s">
        <v>5352</v>
      </c>
      <c r="F2033" s="1" t="s">
        <v>1532</v>
      </c>
      <c r="G2033" s="4">
        <v>1</v>
      </c>
      <c r="H2033" s="28">
        <v>40591</v>
      </c>
      <c r="I2033" s="29">
        <f t="shared" si="2385"/>
        <v>2011</v>
      </c>
      <c r="J2033" s="1" t="s">
        <v>1772</v>
      </c>
      <c r="K2033" s="1" t="s">
        <v>7</v>
      </c>
      <c r="L2033" s="11" t="str">
        <f t="shared" si="2382"/>
        <v>НЕТ</v>
      </c>
      <c r="M2033" s="10" t="s">
        <v>1575</v>
      </c>
      <c r="N2033" s="10" t="s">
        <v>1575</v>
      </c>
      <c r="O2033" s="10">
        <v>9.4232999999999997E-2</v>
      </c>
      <c r="P2033" s="10">
        <f t="shared" si="2383"/>
        <v>9.4232999999999997E-2</v>
      </c>
      <c r="Q2033" s="10" t="str">
        <f t="shared" si="2384"/>
        <v>NA</v>
      </c>
      <c r="R2033" s="10" t="s">
        <v>1575</v>
      </c>
      <c r="S2033" s="10" t="s">
        <v>1575</v>
      </c>
      <c r="T2033" s="10" t="s">
        <v>1575</v>
      </c>
      <c r="U2033" s="10" t="s">
        <v>1575</v>
      </c>
      <c r="V2033" s="10">
        <f>0.075162</f>
        <v>7.5162000000000007E-2</v>
      </c>
      <c r="W2033" s="10" t="s">
        <v>1575</v>
      </c>
      <c r="X2033" s="10" t="str">
        <f t="shared" si="2386"/>
        <v>NA</v>
      </c>
      <c r="Y2033" s="10" t="str">
        <f t="shared" si="2387"/>
        <v>NA</v>
      </c>
      <c r="Z2033" s="10" t="str">
        <f t="shared" si="2388"/>
        <v>NA</v>
      </c>
      <c r="AA2033" s="10">
        <f t="shared" si="2389"/>
        <v>1.2537319390117345</v>
      </c>
      <c r="AB2033" s="10" t="str">
        <f t="shared" si="2390"/>
        <v>NA</v>
      </c>
      <c r="AC2033" s="10" t="str">
        <f t="shared" si="2391"/>
        <v>NA</v>
      </c>
      <c r="AD2033" s="10" t="str">
        <f t="shared" si="2392"/>
        <v>NA</v>
      </c>
      <c r="AE2033" s="10" t="str">
        <f t="shared" si="2393"/>
        <v>NA</v>
      </c>
      <c r="AF2033" s="1" t="s">
        <v>1778</v>
      </c>
    </row>
    <row r="2034" spans="1:32" x14ac:dyDescent="0.2">
      <c r="A2034" s="1" t="s">
        <v>6247</v>
      </c>
      <c r="B2034" s="1" t="s">
        <v>5</v>
      </c>
      <c r="C2034" s="1" t="s">
        <v>1575</v>
      </c>
      <c r="D2034" s="1" t="s">
        <v>1601</v>
      </c>
      <c r="E2034" s="1" t="s">
        <v>5352</v>
      </c>
      <c r="F2034" s="1" t="s">
        <v>1532</v>
      </c>
      <c r="G2034" s="4">
        <v>1</v>
      </c>
      <c r="H2034" s="28">
        <v>40591</v>
      </c>
      <c r="I2034" s="29">
        <f t="shared" si="2385"/>
        <v>2011</v>
      </c>
      <c r="J2034" s="1" t="s">
        <v>1772</v>
      </c>
      <c r="K2034" s="1" t="s">
        <v>7</v>
      </c>
      <c r="L2034" s="11" t="str">
        <f t="shared" si="2382"/>
        <v>НЕТ</v>
      </c>
      <c r="M2034" s="10" t="s">
        <v>1575</v>
      </c>
      <c r="N2034" s="10" t="s">
        <v>1575</v>
      </c>
      <c r="O2034" s="10">
        <v>0.14577100000000001</v>
      </c>
      <c r="P2034" s="10">
        <f t="shared" si="2383"/>
        <v>0.14577100000000001</v>
      </c>
      <c r="Q2034" s="10" t="str">
        <f t="shared" si="2384"/>
        <v>NA</v>
      </c>
      <c r="R2034" s="10" t="s">
        <v>1575</v>
      </c>
      <c r="S2034" s="10" t="s">
        <v>1575</v>
      </c>
      <c r="T2034" s="10" t="s">
        <v>1575</v>
      </c>
      <c r="U2034" s="10" t="s">
        <v>1575</v>
      </c>
      <c r="V2034" s="10">
        <v>3.2039999999999999E-2</v>
      </c>
      <c r="W2034" s="10" t="s">
        <v>1575</v>
      </c>
      <c r="X2034" s="10" t="str">
        <f t="shared" si="2386"/>
        <v>NA</v>
      </c>
      <c r="Y2034" s="10" t="str">
        <f t="shared" si="2387"/>
        <v>NA</v>
      </c>
      <c r="Z2034" s="10" t="str">
        <f t="shared" si="2388"/>
        <v>NA</v>
      </c>
      <c r="AA2034" s="10">
        <f t="shared" si="2389"/>
        <v>4.5496566791510613</v>
      </c>
      <c r="AB2034" s="10" t="str">
        <f t="shared" si="2390"/>
        <v>NA</v>
      </c>
      <c r="AC2034" s="10" t="str">
        <f t="shared" si="2391"/>
        <v>NA</v>
      </c>
      <c r="AD2034" s="10" t="str">
        <f t="shared" si="2392"/>
        <v>NA</v>
      </c>
      <c r="AE2034" s="10" t="str">
        <f t="shared" si="2393"/>
        <v>NA</v>
      </c>
      <c r="AF2034" s="1" t="s">
        <v>1778</v>
      </c>
    </row>
    <row r="2035" spans="1:32" x14ac:dyDescent="0.2">
      <c r="A2035" s="1" t="s">
        <v>6248</v>
      </c>
      <c r="B2035" s="1" t="s">
        <v>5</v>
      </c>
      <c r="C2035" s="1" t="s">
        <v>1575</v>
      </c>
      <c r="D2035" s="1" t="s">
        <v>1601</v>
      </c>
      <c r="E2035" s="1" t="s">
        <v>5352</v>
      </c>
      <c r="F2035" s="1" t="s">
        <v>1532</v>
      </c>
      <c r="G2035" s="4">
        <v>1</v>
      </c>
      <c r="H2035" s="28">
        <v>40591</v>
      </c>
      <c r="I2035" s="29">
        <f t="shared" si="2385"/>
        <v>2011</v>
      </c>
      <c r="J2035" s="1" t="s">
        <v>1772</v>
      </c>
      <c r="K2035" s="1" t="s">
        <v>7</v>
      </c>
      <c r="L2035" s="11" t="str">
        <f t="shared" ref="L2035:L2098" si="2394">IF(OR(A2035=J2035,A2035=K2035),"ДА","НЕТ")</f>
        <v>НЕТ</v>
      </c>
      <c r="M2035" s="10" t="s">
        <v>1575</v>
      </c>
      <c r="N2035" s="10" t="s">
        <v>1575</v>
      </c>
      <c r="O2035" s="10">
        <v>0.457706</v>
      </c>
      <c r="P2035" s="10">
        <f t="shared" si="2383"/>
        <v>0.457706</v>
      </c>
      <c r="Q2035" s="10" t="str">
        <f t="shared" si="2384"/>
        <v>NA</v>
      </c>
      <c r="R2035" s="10" t="s">
        <v>1575</v>
      </c>
      <c r="S2035" s="10" t="s">
        <v>1575</v>
      </c>
      <c r="T2035" s="10" t="s">
        <v>1575</v>
      </c>
      <c r="U2035" s="10" t="s">
        <v>1575</v>
      </c>
      <c r="V2035" s="10">
        <v>0.54001699999999997</v>
      </c>
      <c r="W2035" s="10" t="s">
        <v>1575</v>
      </c>
      <c r="X2035" s="10" t="str">
        <f t="shared" si="2386"/>
        <v>NA</v>
      </c>
      <c r="Y2035" s="10" t="str">
        <f t="shared" si="2387"/>
        <v>NA</v>
      </c>
      <c r="Z2035" s="10" t="str">
        <f t="shared" si="2388"/>
        <v>NA</v>
      </c>
      <c r="AA2035" s="10">
        <f t="shared" si="2389"/>
        <v>0.84757702072342167</v>
      </c>
      <c r="AB2035" s="10" t="str">
        <f t="shared" si="2390"/>
        <v>NA</v>
      </c>
      <c r="AC2035" s="10" t="str">
        <f t="shared" si="2391"/>
        <v>NA</v>
      </c>
      <c r="AD2035" s="10" t="str">
        <f t="shared" si="2392"/>
        <v>NA</v>
      </c>
      <c r="AE2035" s="10" t="str">
        <f t="shared" si="2393"/>
        <v>NA</v>
      </c>
      <c r="AF2035" s="1" t="s">
        <v>1778</v>
      </c>
    </row>
    <row r="2036" spans="1:32" x14ac:dyDescent="0.2">
      <c r="A2036" s="1" t="s">
        <v>6249</v>
      </c>
      <c r="B2036" s="1" t="s">
        <v>5</v>
      </c>
      <c r="C2036" s="1" t="s">
        <v>1575</v>
      </c>
      <c r="D2036" s="1" t="s">
        <v>1601</v>
      </c>
      <c r="E2036" s="1" t="s">
        <v>5352</v>
      </c>
      <c r="F2036" s="1" t="s">
        <v>1532</v>
      </c>
      <c r="G2036" s="4">
        <v>1</v>
      </c>
      <c r="H2036" s="28">
        <v>40591</v>
      </c>
      <c r="I2036" s="29">
        <f t="shared" si="2385"/>
        <v>2011</v>
      </c>
      <c r="J2036" s="1" t="s">
        <v>1772</v>
      </c>
      <c r="K2036" s="1" t="s">
        <v>7</v>
      </c>
      <c r="L2036" s="11" t="str">
        <f t="shared" si="2394"/>
        <v>НЕТ</v>
      </c>
      <c r="M2036" s="10" t="s">
        <v>1575</v>
      </c>
      <c r="N2036" s="10" t="s">
        <v>1575</v>
      </c>
      <c r="O2036" s="10">
        <v>6.9853999999999999E-2</v>
      </c>
      <c r="P2036" s="10">
        <f t="shared" si="2383"/>
        <v>6.9853999999999999E-2</v>
      </c>
      <c r="Q2036" s="10" t="str">
        <f t="shared" si="2384"/>
        <v>NA</v>
      </c>
      <c r="R2036" s="10" t="s">
        <v>1575</v>
      </c>
      <c r="S2036" s="10" t="s">
        <v>1575</v>
      </c>
      <c r="T2036" s="10" t="s">
        <v>1575</v>
      </c>
      <c r="U2036" s="10" t="s">
        <v>1575</v>
      </c>
      <c r="V2036" s="10">
        <v>-1.3157E-2</v>
      </c>
      <c r="W2036" s="10" t="s">
        <v>1575</v>
      </c>
      <c r="X2036" s="10" t="str">
        <f t="shared" si="2386"/>
        <v>NA</v>
      </c>
      <c r="Y2036" s="10" t="str">
        <f t="shared" si="2387"/>
        <v>NA</v>
      </c>
      <c r="Z2036" s="10" t="str">
        <f t="shared" si="2388"/>
        <v>NA</v>
      </c>
      <c r="AA2036" s="10">
        <f t="shared" si="2389"/>
        <v>-5.3092650300220416</v>
      </c>
      <c r="AB2036" s="10" t="str">
        <f t="shared" si="2390"/>
        <v>NA</v>
      </c>
      <c r="AC2036" s="10" t="str">
        <f t="shared" si="2391"/>
        <v>NA</v>
      </c>
      <c r="AD2036" s="10" t="str">
        <f t="shared" si="2392"/>
        <v>NA</v>
      </c>
      <c r="AE2036" s="10" t="str">
        <f t="shared" si="2393"/>
        <v>NA</v>
      </c>
      <c r="AF2036" s="1" t="s">
        <v>1778</v>
      </c>
    </row>
    <row r="2037" spans="1:32" x14ac:dyDescent="0.2">
      <c r="A2037" s="1" t="s">
        <v>6250</v>
      </c>
      <c r="B2037" s="1" t="s">
        <v>5</v>
      </c>
      <c r="C2037" s="1" t="s">
        <v>1575</v>
      </c>
      <c r="D2037" s="1" t="s">
        <v>1601</v>
      </c>
      <c r="E2037" s="1" t="s">
        <v>1617</v>
      </c>
      <c r="F2037" s="1" t="s">
        <v>1780</v>
      </c>
      <c r="G2037" s="4">
        <v>0.25</v>
      </c>
      <c r="H2037" s="28">
        <v>40603</v>
      </c>
      <c r="I2037" s="29">
        <f t="shared" si="2385"/>
        <v>2011</v>
      </c>
      <c r="J2037" s="1" t="s">
        <v>1772</v>
      </c>
      <c r="K2037" s="1" t="s">
        <v>7</v>
      </c>
      <c r="L2037" s="11" t="str">
        <f t="shared" si="2394"/>
        <v>НЕТ</v>
      </c>
      <c r="M2037" s="10" t="s">
        <v>1575</v>
      </c>
      <c r="N2037" s="10" t="s">
        <v>1575</v>
      </c>
      <c r="O2037" s="10">
        <v>2.5000000000000001E-4</v>
      </c>
      <c r="P2037" s="10">
        <f t="shared" si="2383"/>
        <v>1E-3</v>
      </c>
      <c r="Q2037" s="10" t="str">
        <f t="shared" si="2384"/>
        <v>NA</v>
      </c>
      <c r="R2037" s="10" t="s">
        <v>1575</v>
      </c>
      <c r="S2037" s="10" t="s">
        <v>1575</v>
      </c>
      <c r="T2037" s="10" t="s">
        <v>1575</v>
      </c>
      <c r="U2037" s="10" t="s">
        <v>1575</v>
      </c>
      <c r="V2037" s="10" t="s">
        <v>1575</v>
      </c>
      <c r="W2037" s="10" t="s">
        <v>1575</v>
      </c>
      <c r="X2037" s="10" t="str">
        <f t="shared" si="2386"/>
        <v>NA</v>
      </c>
      <c r="Y2037" s="10" t="str">
        <f t="shared" si="2387"/>
        <v>NA</v>
      </c>
      <c r="Z2037" s="10" t="str">
        <f t="shared" si="2388"/>
        <v>NA</v>
      </c>
      <c r="AA2037" s="10" t="str">
        <f t="shared" si="2389"/>
        <v>NA</v>
      </c>
      <c r="AB2037" s="10" t="str">
        <f t="shared" si="2390"/>
        <v>NA</v>
      </c>
      <c r="AC2037" s="10" t="str">
        <f t="shared" si="2391"/>
        <v>NA</v>
      </c>
      <c r="AD2037" s="10" t="str">
        <f t="shared" si="2392"/>
        <v>NA</v>
      </c>
      <c r="AE2037" s="10" t="str">
        <f t="shared" si="2393"/>
        <v>NA</v>
      </c>
      <c r="AF2037" s="1" t="s">
        <v>1779</v>
      </c>
    </row>
    <row r="2038" spans="1:32" x14ac:dyDescent="0.2">
      <c r="A2038" s="1" t="s">
        <v>6251</v>
      </c>
      <c r="B2038" s="1" t="s">
        <v>5</v>
      </c>
      <c r="C2038" s="1" t="s">
        <v>1575</v>
      </c>
      <c r="D2038" s="1" t="s">
        <v>1601</v>
      </c>
      <c r="E2038" s="1" t="s">
        <v>5352</v>
      </c>
      <c r="F2038" s="1" t="s">
        <v>1575</v>
      </c>
      <c r="G2038" s="4">
        <v>0.249</v>
      </c>
      <c r="H2038" s="28">
        <v>41872</v>
      </c>
      <c r="I2038" s="29">
        <f t="shared" si="2385"/>
        <v>2014</v>
      </c>
      <c r="J2038" s="1" t="s">
        <v>1781</v>
      </c>
      <c r="K2038" s="1" t="s">
        <v>7</v>
      </c>
      <c r="L2038" s="11" t="str">
        <f t="shared" si="2394"/>
        <v>НЕТ</v>
      </c>
      <c r="M2038" s="10" t="s">
        <v>1575</v>
      </c>
      <c r="N2038" s="10" t="s">
        <v>1575</v>
      </c>
      <c r="O2038" s="10">
        <v>5.3179999999999996</v>
      </c>
      <c r="P2038" s="10">
        <f t="shared" si="2383"/>
        <v>21.357429718875501</v>
      </c>
      <c r="Q2038" s="10" t="str">
        <f t="shared" si="2384"/>
        <v>NA</v>
      </c>
      <c r="R2038" s="10" t="s">
        <v>1575</v>
      </c>
      <c r="S2038" s="10" t="s">
        <v>1575</v>
      </c>
      <c r="T2038" s="10" t="s">
        <v>1575</v>
      </c>
      <c r="U2038" s="10" t="s">
        <v>1575</v>
      </c>
      <c r="V2038" s="10" t="s">
        <v>1575</v>
      </c>
      <c r="W2038" s="10" t="s">
        <v>1575</v>
      </c>
      <c r="X2038" s="10" t="str">
        <f t="shared" si="2386"/>
        <v>NA</v>
      </c>
      <c r="Y2038" s="10" t="str">
        <f t="shared" si="2387"/>
        <v>NA</v>
      </c>
      <c r="Z2038" s="10" t="str">
        <f t="shared" si="2388"/>
        <v>NA</v>
      </c>
      <c r="AA2038" s="10" t="str">
        <f t="shared" si="2389"/>
        <v>NA</v>
      </c>
      <c r="AB2038" s="10" t="str">
        <f t="shared" si="2390"/>
        <v>NA</v>
      </c>
      <c r="AC2038" s="10" t="str">
        <f t="shared" si="2391"/>
        <v>NA</v>
      </c>
      <c r="AD2038" s="10" t="str">
        <f t="shared" si="2392"/>
        <v>NA</v>
      </c>
      <c r="AE2038" s="10" t="str">
        <f t="shared" si="2393"/>
        <v>NA</v>
      </c>
      <c r="AF2038" s="1" t="s">
        <v>1782</v>
      </c>
    </row>
    <row r="2039" spans="1:32" x14ac:dyDescent="0.2">
      <c r="A2039" s="1" t="s">
        <v>6252</v>
      </c>
      <c r="B2039" s="1" t="s">
        <v>5</v>
      </c>
      <c r="C2039" s="1" t="s">
        <v>1640</v>
      </c>
      <c r="D2039" s="1" t="s">
        <v>1601</v>
      </c>
      <c r="E2039" s="1" t="s">
        <v>1608</v>
      </c>
      <c r="F2039" s="1" t="s">
        <v>1562</v>
      </c>
      <c r="G2039" s="4">
        <f>1361323000/7837294563235</f>
        <v>1.7369807769967072E-4</v>
      </c>
      <c r="H2039" s="28">
        <v>42004</v>
      </c>
      <c r="I2039" s="29">
        <f t="shared" si="2385"/>
        <v>2014</v>
      </c>
      <c r="J2039" s="1" t="s">
        <v>1784</v>
      </c>
      <c r="K2039" s="1" t="s">
        <v>6252</v>
      </c>
      <c r="L2039" s="11" t="str">
        <f t="shared" si="2394"/>
        <v>ДА</v>
      </c>
      <c r="M2039" s="10" t="s">
        <v>1575</v>
      </c>
      <c r="N2039" s="10" t="s">
        <v>1575</v>
      </c>
      <c r="O2039" s="10">
        <v>2.8579999999999999E-3</v>
      </c>
      <c r="P2039" s="10">
        <f t="shared" si="2383"/>
        <v>16.453837819331365</v>
      </c>
      <c r="Q2039" s="10" t="str">
        <f t="shared" si="2384"/>
        <v>NA</v>
      </c>
      <c r="R2039" s="10" t="s">
        <v>1575</v>
      </c>
      <c r="S2039" s="10" t="s">
        <v>1575</v>
      </c>
      <c r="T2039" s="10" t="s">
        <v>1575</v>
      </c>
      <c r="U2039" s="10" t="s">
        <v>1575</v>
      </c>
      <c r="V2039" s="10" t="s">
        <v>1575</v>
      </c>
      <c r="W2039" s="10" t="s">
        <v>1575</v>
      </c>
      <c r="X2039" s="10" t="str">
        <f t="shared" si="2386"/>
        <v>NA</v>
      </c>
      <c r="Y2039" s="10" t="str">
        <f t="shared" si="2387"/>
        <v>NA</v>
      </c>
      <c r="Z2039" s="10" t="str">
        <f t="shared" si="2388"/>
        <v>NA</v>
      </c>
      <c r="AA2039" s="10" t="str">
        <f t="shared" si="2389"/>
        <v>NA</v>
      </c>
      <c r="AB2039" s="10" t="str">
        <f t="shared" si="2390"/>
        <v>NA</v>
      </c>
      <c r="AC2039" s="10" t="str">
        <f t="shared" si="2391"/>
        <v>NA</v>
      </c>
      <c r="AD2039" s="10" t="str">
        <f t="shared" si="2392"/>
        <v>NA</v>
      </c>
      <c r="AE2039" s="10" t="str">
        <f t="shared" si="2393"/>
        <v>NA</v>
      </c>
      <c r="AF2039" s="1" t="s">
        <v>1783</v>
      </c>
    </row>
    <row r="2040" spans="1:32" x14ac:dyDescent="0.2">
      <c r="A2040" s="1" t="s">
        <v>6253</v>
      </c>
      <c r="B2040" s="1" t="s">
        <v>5</v>
      </c>
      <c r="C2040" s="1" t="s">
        <v>1575</v>
      </c>
      <c r="D2040" s="1" t="s">
        <v>1601</v>
      </c>
      <c r="E2040" s="1" t="s">
        <v>5352</v>
      </c>
      <c r="F2040" s="1" t="s">
        <v>110</v>
      </c>
      <c r="G2040" s="4">
        <v>0.99</v>
      </c>
      <c r="H2040" s="28">
        <v>41872</v>
      </c>
      <c r="I2040" s="29">
        <f t="shared" si="2385"/>
        <v>2014</v>
      </c>
      <c r="J2040" s="1" t="s">
        <v>7</v>
      </c>
      <c r="K2040" s="1" t="s">
        <v>6252</v>
      </c>
      <c r="L2040" s="11" t="str">
        <f t="shared" si="2394"/>
        <v>НЕТ</v>
      </c>
      <c r="M2040" s="10" t="s">
        <v>1575</v>
      </c>
      <c r="N2040" s="10" t="s">
        <v>1575</v>
      </c>
      <c r="O2040" s="10">
        <v>1.0200000000000001E-3</v>
      </c>
      <c r="P2040" s="10">
        <f t="shared" si="2383"/>
        <v>1.0303030303030305E-3</v>
      </c>
      <c r="Q2040" s="10" t="str">
        <f t="shared" si="2384"/>
        <v>NA</v>
      </c>
      <c r="R2040" s="10" t="s">
        <v>1575</v>
      </c>
      <c r="S2040" s="10" t="s">
        <v>1575</v>
      </c>
      <c r="T2040" s="10" t="s">
        <v>1575</v>
      </c>
      <c r="U2040" s="10" t="s">
        <v>1575</v>
      </c>
      <c r="V2040" s="10">
        <v>4.8700000000000002E-3</v>
      </c>
      <c r="W2040" s="10" t="s">
        <v>1575</v>
      </c>
      <c r="X2040" s="10" t="str">
        <f t="shared" si="2386"/>
        <v>NA</v>
      </c>
      <c r="Y2040" s="10" t="str">
        <f t="shared" si="2387"/>
        <v>NA</v>
      </c>
      <c r="Z2040" s="10" t="str">
        <f t="shared" si="2388"/>
        <v>NA</v>
      </c>
      <c r="AA2040" s="10">
        <f t="shared" si="2389"/>
        <v>0.21156119718748059</v>
      </c>
      <c r="AB2040" s="10" t="str">
        <f t="shared" si="2390"/>
        <v>NA</v>
      </c>
      <c r="AC2040" s="10" t="str">
        <f t="shared" si="2391"/>
        <v>NA</v>
      </c>
      <c r="AD2040" s="10" t="str">
        <f t="shared" si="2392"/>
        <v>NA</v>
      </c>
      <c r="AE2040" s="10" t="str">
        <f t="shared" si="2393"/>
        <v>NA</v>
      </c>
      <c r="AF2040" s="1" t="s">
        <v>1785</v>
      </c>
    </row>
    <row r="2041" spans="1:32" x14ac:dyDescent="0.2">
      <c r="A2041" s="1" t="s">
        <v>1786</v>
      </c>
      <c r="B2041" s="1" t="s">
        <v>1575</v>
      </c>
      <c r="C2041" s="1" t="s">
        <v>1575</v>
      </c>
      <c r="D2041" s="1" t="s">
        <v>1601</v>
      </c>
      <c r="E2041" s="1" t="s">
        <v>1602</v>
      </c>
      <c r="F2041" s="1" t="s">
        <v>1563</v>
      </c>
      <c r="G2041" s="4">
        <v>0.51</v>
      </c>
      <c r="H2041" s="28">
        <v>41254</v>
      </c>
      <c r="I2041" s="29">
        <f t="shared" si="2385"/>
        <v>2012</v>
      </c>
      <c r="J2041" s="1" t="s">
        <v>7</v>
      </c>
      <c r="K2041" s="1" t="s">
        <v>6252</v>
      </c>
      <c r="L2041" s="11" t="str">
        <f t="shared" si="2394"/>
        <v>НЕТ</v>
      </c>
      <c r="M2041" s="10" t="s">
        <v>1575</v>
      </c>
      <c r="N2041" s="10" t="s">
        <v>1575</v>
      </c>
      <c r="O2041" s="10">
        <v>0.2</v>
      </c>
      <c r="P2041" s="10">
        <f t="shared" si="2383"/>
        <v>0.39215686274509803</v>
      </c>
      <c r="Q2041" s="10" t="str">
        <f t="shared" si="2384"/>
        <v>NA</v>
      </c>
      <c r="R2041" s="10" t="s">
        <v>1575</v>
      </c>
      <c r="S2041" s="10" t="s">
        <v>1575</v>
      </c>
      <c r="T2041" s="10" t="s">
        <v>1575</v>
      </c>
      <c r="U2041" s="10" t="s">
        <v>1575</v>
      </c>
      <c r="V2041" s="10">
        <v>0.70436799999999999</v>
      </c>
      <c r="W2041" s="10" t="s">
        <v>1575</v>
      </c>
      <c r="X2041" s="10" t="str">
        <f t="shared" si="2386"/>
        <v>NA</v>
      </c>
      <c r="Y2041" s="10" t="str">
        <f t="shared" si="2387"/>
        <v>NA</v>
      </c>
      <c r="Z2041" s="10" t="str">
        <f t="shared" si="2388"/>
        <v>NA</v>
      </c>
      <c r="AA2041" s="10">
        <f t="shared" si="2389"/>
        <v>0.55674996982415159</v>
      </c>
      <c r="AB2041" s="10" t="str">
        <f t="shared" si="2390"/>
        <v>NA</v>
      </c>
      <c r="AC2041" s="10" t="str">
        <f t="shared" si="2391"/>
        <v>NA</v>
      </c>
      <c r="AD2041" s="10" t="str">
        <f t="shared" si="2392"/>
        <v>NA</v>
      </c>
      <c r="AE2041" s="10" t="str">
        <f t="shared" si="2393"/>
        <v>NA</v>
      </c>
      <c r="AF2041" s="1" t="s">
        <v>1787</v>
      </c>
    </row>
    <row r="2042" spans="1:32" x14ac:dyDescent="0.2">
      <c r="A2042" s="1" t="s">
        <v>6254</v>
      </c>
      <c r="B2042" s="1" t="s">
        <v>5</v>
      </c>
      <c r="C2042" s="1" t="s">
        <v>1788</v>
      </c>
      <c r="D2042" s="1" t="s">
        <v>1601</v>
      </c>
      <c r="E2042" s="1" t="s">
        <v>1602</v>
      </c>
      <c r="F2042" s="1" t="s">
        <v>1563</v>
      </c>
      <c r="G2042" s="4">
        <v>0.39660000000000001</v>
      </c>
      <c r="H2042" s="28">
        <v>41254</v>
      </c>
      <c r="I2042" s="29">
        <f t="shared" si="2385"/>
        <v>2012</v>
      </c>
      <c r="J2042" s="1" t="s">
        <v>6255</v>
      </c>
      <c r="K2042" s="1" t="s">
        <v>1786</v>
      </c>
      <c r="L2042" s="11" t="str">
        <f t="shared" si="2394"/>
        <v>НЕТ</v>
      </c>
      <c r="M2042" s="10" t="s">
        <v>1575</v>
      </c>
      <c r="N2042" s="10" t="s">
        <v>1575</v>
      </c>
      <c r="O2042" s="10">
        <v>0.2</v>
      </c>
      <c r="P2042" s="10">
        <f t="shared" si="2383"/>
        <v>0.50428643469490675</v>
      </c>
      <c r="Q2042" s="10" t="str">
        <f t="shared" si="2384"/>
        <v>NA</v>
      </c>
      <c r="R2042" s="10">
        <v>11.460228000000001</v>
      </c>
      <c r="S2042" s="10" t="s">
        <v>1575</v>
      </c>
      <c r="T2042" s="10" t="s">
        <v>1575</v>
      </c>
      <c r="U2042" s="10">
        <v>-0.29296100000000003</v>
      </c>
      <c r="V2042" s="10" t="s">
        <v>1575</v>
      </c>
      <c r="W2042" s="10" t="s">
        <v>1575</v>
      </c>
      <c r="X2042" s="10" t="str">
        <f t="shared" si="2386"/>
        <v>NA</v>
      </c>
      <c r="Y2042" s="10">
        <f t="shared" si="2387"/>
        <v>4.4003176437232026E-2</v>
      </c>
      <c r="Z2042" s="10">
        <f t="shared" si="2388"/>
        <v>-1.7213432323582549</v>
      </c>
      <c r="AA2042" s="10" t="str">
        <f t="shared" si="2389"/>
        <v>NA</v>
      </c>
      <c r="AB2042" s="10" t="str">
        <f t="shared" si="2390"/>
        <v>NA</v>
      </c>
      <c r="AC2042" s="10" t="str">
        <f t="shared" si="2391"/>
        <v>NA</v>
      </c>
      <c r="AD2042" s="10" t="str">
        <f t="shared" si="2392"/>
        <v>NA</v>
      </c>
      <c r="AE2042" s="10" t="str">
        <f t="shared" si="2393"/>
        <v>NA</v>
      </c>
      <c r="AF2042" s="1" t="s">
        <v>1787</v>
      </c>
    </row>
    <row r="2043" spans="1:32" x14ac:dyDescent="0.2">
      <c r="A2043" s="1" t="s">
        <v>6255</v>
      </c>
      <c r="B2043" s="1" t="s">
        <v>5</v>
      </c>
      <c r="C2043" s="1" t="s">
        <v>1575</v>
      </c>
      <c r="D2043" s="1" t="s">
        <v>1601</v>
      </c>
      <c r="E2043" s="1" t="s">
        <v>1602</v>
      </c>
      <c r="F2043" s="1" t="s">
        <v>1563</v>
      </c>
      <c r="G2043" s="4">
        <v>1</v>
      </c>
      <c r="H2043" s="28">
        <v>40722</v>
      </c>
      <c r="I2043" s="29">
        <f t="shared" si="2385"/>
        <v>2011</v>
      </c>
      <c r="J2043" s="1" t="s">
        <v>6252</v>
      </c>
      <c r="K2043" s="1" t="s">
        <v>7</v>
      </c>
      <c r="L2043" s="11" t="str">
        <f t="shared" si="2394"/>
        <v>НЕТ</v>
      </c>
      <c r="M2043" s="10" t="s">
        <v>1575</v>
      </c>
      <c r="N2043" s="10" t="s">
        <v>1575</v>
      </c>
      <c r="O2043" s="10">
        <v>11.38</v>
      </c>
      <c r="P2043" s="10">
        <f t="shared" si="2383"/>
        <v>11.38</v>
      </c>
      <c r="Q2043" s="10" t="str">
        <f t="shared" si="2384"/>
        <v>NA</v>
      </c>
      <c r="R2043" s="10" t="s">
        <v>1575</v>
      </c>
      <c r="S2043" s="10" t="s">
        <v>1575</v>
      </c>
      <c r="T2043" s="10" t="s">
        <v>1575</v>
      </c>
      <c r="U2043" s="10" t="s">
        <v>1575</v>
      </c>
      <c r="V2043" s="10" t="s">
        <v>1575</v>
      </c>
      <c r="W2043" s="10" t="s">
        <v>1575</v>
      </c>
      <c r="X2043" s="10" t="str">
        <f t="shared" si="2386"/>
        <v>NA</v>
      </c>
      <c r="Y2043" s="10" t="str">
        <f t="shared" si="2387"/>
        <v>NA</v>
      </c>
      <c r="Z2043" s="10" t="str">
        <f t="shared" si="2388"/>
        <v>NA</v>
      </c>
      <c r="AA2043" s="10" t="str">
        <f t="shared" si="2389"/>
        <v>NA</v>
      </c>
      <c r="AB2043" s="10" t="str">
        <f t="shared" si="2390"/>
        <v>NA</v>
      </c>
      <c r="AC2043" s="10" t="str">
        <f t="shared" si="2391"/>
        <v>NA</v>
      </c>
      <c r="AD2043" s="10" t="str">
        <f t="shared" si="2392"/>
        <v>NA</v>
      </c>
      <c r="AE2043" s="10" t="str">
        <f t="shared" si="2393"/>
        <v>NA</v>
      </c>
      <c r="AF2043" s="1" t="s">
        <v>1789</v>
      </c>
    </row>
    <row r="2044" spans="1:32" x14ac:dyDescent="0.2">
      <c r="A2044" s="1" t="s">
        <v>1786</v>
      </c>
      <c r="B2044" s="1" t="s">
        <v>1575</v>
      </c>
      <c r="C2044" s="1" t="s">
        <v>1575</v>
      </c>
      <c r="D2044" s="1" t="s">
        <v>1601</v>
      </c>
      <c r="E2044" s="1" t="s">
        <v>1602</v>
      </c>
      <c r="F2044" s="1" t="s">
        <v>1563</v>
      </c>
      <c r="G2044" s="4">
        <v>0.51</v>
      </c>
      <c r="H2044" s="28">
        <v>40667</v>
      </c>
      <c r="I2044" s="29">
        <f t="shared" si="2385"/>
        <v>2011</v>
      </c>
      <c r="J2044" s="1" t="s">
        <v>6256</v>
      </c>
      <c r="K2044" s="1" t="s">
        <v>1790</v>
      </c>
      <c r="L2044" s="11" t="str">
        <f t="shared" si="2394"/>
        <v>НЕТ</v>
      </c>
      <c r="M2044" s="10" t="s">
        <v>1575</v>
      </c>
      <c r="N2044" s="10" t="s">
        <v>1575</v>
      </c>
      <c r="O2044" s="10">
        <v>1.0750500000000001</v>
      </c>
      <c r="P2044" s="10">
        <f t="shared" si="2383"/>
        <v>2.1079411764705882</v>
      </c>
      <c r="Q2044" s="10" t="str">
        <f t="shared" si="2384"/>
        <v>NA</v>
      </c>
      <c r="R2044" s="10" t="s">
        <v>1575</v>
      </c>
      <c r="S2044" s="10" t="s">
        <v>1575</v>
      </c>
      <c r="T2044" s="10" t="s">
        <v>1575</v>
      </c>
      <c r="U2044" s="10" t="s">
        <v>1575</v>
      </c>
      <c r="V2044" s="10" t="s">
        <v>1575</v>
      </c>
      <c r="W2044" s="10" t="s">
        <v>1575</v>
      </c>
      <c r="X2044" s="10" t="str">
        <f t="shared" si="2386"/>
        <v>NA</v>
      </c>
      <c r="Y2044" s="10" t="str">
        <f t="shared" si="2387"/>
        <v>NA</v>
      </c>
      <c r="Z2044" s="10" t="str">
        <f t="shared" si="2388"/>
        <v>NA</v>
      </c>
      <c r="AA2044" s="10" t="str">
        <f t="shared" si="2389"/>
        <v>NA</v>
      </c>
      <c r="AB2044" s="10" t="str">
        <f t="shared" si="2390"/>
        <v>NA</v>
      </c>
      <c r="AC2044" s="10" t="str">
        <f t="shared" si="2391"/>
        <v>NA</v>
      </c>
      <c r="AD2044" s="10" t="str">
        <f t="shared" si="2392"/>
        <v>NA</v>
      </c>
      <c r="AE2044" s="10" t="str">
        <f t="shared" si="2393"/>
        <v>NA</v>
      </c>
      <c r="AF2044" s="1" t="s">
        <v>1791</v>
      </c>
    </row>
    <row r="2045" spans="1:32" x14ac:dyDescent="0.2">
      <c r="A2045" s="1" t="s">
        <v>6253</v>
      </c>
      <c r="B2045" s="1" t="s">
        <v>5</v>
      </c>
      <c r="C2045" s="1" t="s">
        <v>1575</v>
      </c>
      <c r="D2045" s="1" t="s">
        <v>1601</v>
      </c>
      <c r="E2045" s="1" t="s">
        <v>5352</v>
      </c>
      <c r="F2045" s="1" t="s">
        <v>110</v>
      </c>
      <c r="G2045" s="4">
        <v>1</v>
      </c>
      <c r="H2045" s="28">
        <v>40836</v>
      </c>
      <c r="I2045" s="29">
        <f t="shared" si="2385"/>
        <v>2011</v>
      </c>
      <c r="J2045" s="1" t="s">
        <v>6252</v>
      </c>
      <c r="K2045" s="1" t="s">
        <v>1792</v>
      </c>
      <c r="L2045" s="11" t="str">
        <f t="shared" si="2394"/>
        <v>НЕТ</v>
      </c>
      <c r="M2045" s="10" t="s">
        <v>1575</v>
      </c>
      <c r="N2045" s="10" t="s">
        <v>1575</v>
      </c>
      <c r="O2045" s="10">
        <v>4.914E-3</v>
      </c>
      <c r="P2045" s="10">
        <f t="shared" si="2383"/>
        <v>4.914E-3</v>
      </c>
      <c r="Q2045" s="10" t="str">
        <f t="shared" si="2384"/>
        <v>NA</v>
      </c>
      <c r="R2045" s="10" t="s">
        <v>1575</v>
      </c>
      <c r="S2045" s="10" t="s">
        <v>1575</v>
      </c>
      <c r="T2045" s="10" t="s">
        <v>1575</v>
      </c>
      <c r="U2045" s="10" t="s">
        <v>1575</v>
      </c>
      <c r="V2045" s="10" t="s">
        <v>1575</v>
      </c>
      <c r="W2045" s="10" t="s">
        <v>1575</v>
      </c>
      <c r="X2045" s="10" t="str">
        <f t="shared" si="2386"/>
        <v>NA</v>
      </c>
      <c r="Y2045" s="10" t="str">
        <f t="shared" si="2387"/>
        <v>NA</v>
      </c>
      <c r="Z2045" s="10" t="str">
        <f t="shared" si="2388"/>
        <v>NA</v>
      </c>
      <c r="AA2045" s="10" t="str">
        <f t="shared" si="2389"/>
        <v>NA</v>
      </c>
      <c r="AB2045" s="10" t="str">
        <f t="shared" si="2390"/>
        <v>NA</v>
      </c>
      <c r="AC2045" s="10" t="str">
        <f t="shared" si="2391"/>
        <v>NA</v>
      </c>
      <c r="AD2045" s="10" t="str">
        <f t="shared" si="2392"/>
        <v>NA</v>
      </c>
      <c r="AE2045" s="10" t="str">
        <f t="shared" si="2393"/>
        <v>NA</v>
      </c>
      <c r="AF2045" s="1" t="s">
        <v>1793</v>
      </c>
    </row>
    <row r="2046" spans="1:32" x14ac:dyDescent="0.2">
      <c r="A2046" s="1" t="s">
        <v>6257</v>
      </c>
      <c r="B2046" s="1" t="s">
        <v>5</v>
      </c>
      <c r="C2046" s="1" t="s">
        <v>1575</v>
      </c>
      <c r="D2046" s="1" t="s">
        <v>1580</v>
      </c>
      <c r="E2046" s="1" t="s">
        <v>1587</v>
      </c>
      <c r="F2046" s="1" t="s">
        <v>2163</v>
      </c>
      <c r="G2046" s="4">
        <v>1</v>
      </c>
      <c r="H2046" s="28">
        <v>40837</v>
      </c>
      <c r="I2046" s="29">
        <f t="shared" si="2385"/>
        <v>2011</v>
      </c>
      <c r="J2046" s="1" t="s">
        <v>6252</v>
      </c>
      <c r="K2046" s="1" t="s">
        <v>1795</v>
      </c>
      <c r="L2046" s="11" t="str">
        <f t="shared" si="2394"/>
        <v>НЕТ</v>
      </c>
      <c r="M2046" s="10" t="s">
        <v>1575</v>
      </c>
      <c r="N2046" s="10" t="s">
        <v>1575</v>
      </c>
      <c r="O2046" s="10">
        <v>7.6935000000000003E-2</v>
      </c>
      <c r="P2046" s="10">
        <f t="shared" si="2383"/>
        <v>7.6935000000000003E-2</v>
      </c>
      <c r="Q2046" s="10" t="str">
        <f t="shared" si="2384"/>
        <v>NA</v>
      </c>
      <c r="R2046" s="10" t="s">
        <v>1575</v>
      </c>
      <c r="S2046" s="10" t="s">
        <v>1575</v>
      </c>
      <c r="T2046" s="10" t="s">
        <v>1575</v>
      </c>
      <c r="U2046" s="10" t="s">
        <v>1575</v>
      </c>
      <c r="V2046" s="10" t="s">
        <v>1575</v>
      </c>
      <c r="W2046" s="10" t="s">
        <v>1575</v>
      </c>
      <c r="X2046" s="10" t="str">
        <f t="shared" si="2386"/>
        <v>NA</v>
      </c>
      <c r="Y2046" s="10" t="str">
        <f t="shared" si="2387"/>
        <v>NA</v>
      </c>
      <c r="Z2046" s="10" t="str">
        <f t="shared" si="2388"/>
        <v>NA</v>
      </c>
      <c r="AA2046" s="10" t="str">
        <f t="shared" si="2389"/>
        <v>NA</v>
      </c>
      <c r="AB2046" s="10" t="str">
        <f t="shared" si="2390"/>
        <v>NA</v>
      </c>
      <c r="AC2046" s="10" t="str">
        <f t="shared" si="2391"/>
        <v>NA</v>
      </c>
      <c r="AD2046" s="10" t="str">
        <f t="shared" si="2392"/>
        <v>NA</v>
      </c>
      <c r="AE2046" s="10" t="str">
        <f t="shared" si="2393"/>
        <v>NA</v>
      </c>
      <c r="AF2046" s="1" t="s">
        <v>1794</v>
      </c>
    </row>
    <row r="2047" spans="1:32" x14ac:dyDescent="0.2">
      <c r="A2047" s="1" t="s">
        <v>6258</v>
      </c>
      <c r="B2047" s="1" t="s">
        <v>5</v>
      </c>
      <c r="C2047" s="1" t="s">
        <v>1575</v>
      </c>
      <c r="D2047" s="1" t="s">
        <v>1575</v>
      </c>
      <c r="E2047" s="1" t="s">
        <v>1575</v>
      </c>
      <c r="F2047" s="1" t="s">
        <v>1575</v>
      </c>
      <c r="G2047" s="4">
        <v>1</v>
      </c>
      <c r="H2047" s="28">
        <v>40837</v>
      </c>
      <c r="I2047" s="29">
        <f t="shared" si="2385"/>
        <v>2011</v>
      </c>
      <c r="J2047" s="1" t="s">
        <v>6252</v>
      </c>
      <c r="K2047" s="1" t="s">
        <v>1795</v>
      </c>
      <c r="L2047" s="11" t="str">
        <f t="shared" si="2394"/>
        <v>НЕТ</v>
      </c>
      <c r="M2047" s="10" t="s">
        <v>1575</v>
      </c>
      <c r="N2047" s="10" t="s">
        <v>1575</v>
      </c>
      <c r="O2047" s="10">
        <v>1.0000000000000001E-5</v>
      </c>
      <c r="P2047" s="10">
        <f t="shared" si="2383"/>
        <v>1.0000000000000001E-5</v>
      </c>
      <c r="Q2047" s="10" t="str">
        <f t="shared" si="2384"/>
        <v>NA</v>
      </c>
      <c r="R2047" s="10" t="s">
        <v>1575</v>
      </c>
      <c r="S2047" s="10" t="s">
        <v>1575</v>
      </c>
      <c r="T2047" s="10" t="s">
        <v>1575</v>
      </c>
      <c r="U2047" s="10" t="s">
        <v>1575</v>
      </c>
      <c r="V2047" s="10" t="s">
        <v>1575</v>
      </c>
      <c r="W2047" s="10" t="s">
        <v>1575</v>
      </c>
      <c r="X2047" s="10" t="str">
        <f t="shared" si="2386"/>
        <v>NA</v>
      </c>
      <c r="Y2047" s="10" t="str">
        <f t="shared" si="2387"/>
        <v>NA</v>
      </c>
      <c r="Z2047" s="10" t="str">
        <f t="shared" si="2388"/>
        <v>NA</v>
      </c>
      <c r="AA2047" s="10" t="str">
        <f t="shared" si="2389"/>
        <v>NA</v>
      </c>
      <c r="AB2047" s="10" t="str">
        <f t="shared" si="2390"/>
        <v>NA</v>
      </c>
      <c r="AC2047" s="10" t="str">
        <f t="shared" si="2391"/>
        <v>NA</v>
      </c>
      <c r="AD2047" s="10" t="str">
        <f t="shared" si="2392"/>
        <v>NA</v>
      </c>
      <c r="AE2047" s="10" t="str">
        <f t="shared" si="2393"/>
        <v>NA</v>
      </c>
      <c r="AF2047" s="1" t="s">
        <v>1796</v>
      </c>
    </row>
    <row r="2048" spans="1:32" x14ac:dyDescent="0.2">
      <c r="A2048" s="1" t="s">
        <v>6259</v>
      </c>
      <c r="B2048" s="1" t="s">
        <v>5</v>
      </c>
      <c r="C2048" s="1" t="s">
        <v>1575</v>
      </c>
      <c r="D2048" s="1" t="s">
        <v>1601</v>
      </c>
      <c r="E2048" s="1" t="s">
        <v>5352</v>
      </c>
      <c r="F2048" s="1" t="s">
        <v>110</v>
      </c>
      <c r="G2048" s="4">
        <v>1</v>
      </c>
      <c r="H2048" s="28">
        <v>40836</v>
      </c>
      <c r="I2048" s="29">
        <f t="shared" si="2385"/>
        <v>2011</v>
      </c>
      <c r="J2048" s="1" t="s">
        <v>6252</v>
      </c>
      <c r="K2048" s="1" t="s">
        <v>1797</v>
      </c>
      <c r="L2048" s="11" t="str">
        <f t="shared" si="2394"/>
        <v>НЕТ</v>
      </c>
      <c r="M2048" s="10" t="s">
        <v>1575</v>
      </c>
      <c r="N2048" s="10" t="s">
        <v>1575</v>
      </c>
      <c r="O2048" s="10">
        <v>1.0000000000000001E-9</v>
      </c>
      <c r="P2048" s="10">
        <f t="shared" si="2383"/>
        <v>1.0000000000000001E-9</v>
      </c>
      <c r="Q2048" s="10" t="str">
        <f t="shared" si="2384"/>
        <v>NA</v>
      </c>
      <c r="R2048" s="10" t="s">
        <v>1575</v>
      </c>
      <c r="S2048" s="10" t="s">
        <v>1575</v>
      </c>
      <c r="T2048" s="10" t="s">
        <v>1575</v>
      </c>
      <c r="U2048" s="10" t="s">
        <v>1575</v>
      </c>
      <c r="V2048" s="10" t="s">
        <v>1575</v>
      </c>
      <c r="W2048" s="10" t="s">
        <v>1575</v>
      </c>
      <c r="X2048" s="10" t="str">
        <f t="shared" si="2386"/>
        <v>NA</v>
      </c>
      <c r="Y2048" s="10" t="str">
        <f t="shared" si="2387"/>
        <v>NA</v>
      </c>
      <c r="Z2048" s="10" t="str">
        <f t="shared" si="2388"/>
        <v>NA</v>
      </c>
      <c r="AA2048" s="10" t="str">
        <f t="shared" si="2389"/>
        <v>NA</v>
      </c>
      <c r="AB2048" s="10" t="str">
        <f t="shared" si="2390"/>
        <v>NA</v>
      </c>
      <c r="AC2048" s="10" t="str">
        <f t="shared" si="2391"/>
        <v>NA</v>
      </c>
      <c r="AD2048" s="10" t="str">
        <f t="shared" si="2392"/>
        <v>NA</v>
      </c>
      <c r="AE2048" s="10" t="str">
        <f t="shared" si="2393"/>
        <v>NA</v>
      </c>
      <c r="AF2048" s="1" t="s">
        <v>1798</v>
      </c>
    </row>
    <row r="2049" spans="1:32" x14ac:dyDescent="0.2">
      <c r="A2049" s="1" t="s">
        <v>6260</v>
      </c>
      <c r="B2049" s="1" t="s">
        <v>5</v>
      </c>
      <c r="C2049" s="1" t="s">
        <v>1802</v>
      </c>
      <c r="D2049" s="1" t="s">
        <v>1601</v>
      </c>
      <c r="E2049" s="1" t="s">
        <v>1602</v>
      </c>
      <c r="F2049" s="1" t="s">
        <v>1563</v>
      </c>
      <c r="G2049" s="4">
        <v>0.20760000000000001</v>
      </c>
      <c r="H2049" s="28">
        <v>40724</v>
      </c>
      <c r="I2049" s="29">
        <f t="shared" si="2385"/>
        <v>2011</v>
      </c>
      <c r="J2049" s="1" t="s">
        <v>6252</v>
      </c>
      <c r="K2049" s="1" t="s">
        <v>1800</v>
      </c>
      <c r="L2049" s="11" t="str">
        <f t="shared" si="2394"/>
        <v>НЕТ</v>
      </c>
      <c r="M2049" s="10" t="s">
        <v>1575</v>
      </c>
      <c r="N2049" s="10" t="s">
        <v>1575</v>
      </c>
      <c r="O2049" s="10">
        <v>0.13348699999999999</v>
      </c>
      <c r="P2049" s="10">
        <f t="shared" si="2383"/>
        <v>0.64300096339113677</v>
      </c>
      <c r="Q2049" s="10" t="str">
        <f t="shared" si="2384"/>
        <v>NA</v>
      </c>
      <c r="R2049" s="10" t="s">
        <v>1575</v>
      </c>
      <c r="S2049" s="10" t="s">
        <v>1575</v>
      </c>
      <c r="T2049" s="10" t="s">
        <v>1575</v>
      </c>
      <c r="U2049" s="10" t="s">
        <v>1575</v>
      </c>
      <c r="V2049" s="10" t="s">
        <v>1575</v>
      </c>
      <c r="W2049" s="10" t="s">
        <v>1575</v>
      </c>
      <c r="X2049" s="10" t="str">
        <f t="shared" si="2386"/>
        <v>NA</v>
      </c>
      <c r="Y2049" s="10" t="str">
        <f t="shared" si="2387"/>
        <v>NA</v>
      </c>
      <c r="Z2049" s="10" t="str">
        <f t="shared" si="2388"/>
        <v>NA</v>
      </c>
      <c r="AA2049" s="10" t="str">
        <f t="shared" si="2389"/>
        <v>NA</v>
      </c>
      <c r="AB2049" s="10" t="str">
        <f t="shared" si="2390"/>
        <v>NA</v>
      </c>
      <c r="AC2049" s="10" t="str">
        <f t="shared" si="2391"/>
        <v>NA</v>
      </c>
      <c r="AD2049" s="10" t="str">
        <f t="shared" si="2392"/>
        <v>NA</v>
      </c>
      <c r="AE2049" s="10" t="str">
        <f t="shared" si="2393"/>
        <v>NA</v>
      </c>
      <c r="AF2049" s="1" t="s">
        <v>1801</v>
      </c>
    </row>
    <row r="2050" spans="1:32" x14ac:dyDescent="0.2">
      <c r="A2050" s="1" t="s">
        <v>6254</v>
      </c>
      <c r="B2050" s="1" t="s">
        <v>5</v>
      </c>
      <c r="C2050" s="1" t="s">
        <v>1788</v>
      </c>
      <c r="D2050" s="1" t="s">
        <v>1601</v>
      </c>
      <c r="E2050" s="1" t="s">
        <v>1602</v>
      </c>
      <c r="F2050" s="1" t="s">
        <v>1563</v>
      </c>
      <c r="G2050" s="4">
        <f>39.66%-39.64%</f>
        <v>1.9999999999992246E-4</v>
      </c>
      <c r="H2050" s="28">
        <v>40908</v>
      </c>
      <c r="I2050" s="29">
        <f t="shared" si="2385"/>
        <v>2011</v>
      </c>
      <c r="J2050" s="1" t="s">
        <v>6252</v>
      </c>
      <c r="K2050" s="1" t="s">
        <v>7</v>
      </c>
      <c r="L2050" s="11" t="str">
        <f t="shared" si="2394"/>
        <v>НЕТ</v>
      </c>
      <c r="M2050" s="10" t="s">
        <v>1575</v>
      </c>
      <c r="N2050" s="10" t="s">
        <v>1575</v>
      </c>
      <c r="O2050" s="10">
        <v>4.6999999999999997E-5</v>
      </c>
      <c r="P2050" s="10">
        <f t="shared" si="2383"/>
        <v>0.23500000000009108</v>
      </c>
      <c r="Q2050" s="10" t="str">
        <f t="shared" si="2384"/>
        <v>NA</v>
      </c>
      <c r="R2050" s="10" t="s">
        <v>1575</v>
      </c>
      <c r="S2050" s="10" t="s">
        <v>1575</v>
      </c>
      <c r="T2050" s="10" t="s">
        <v>1575</v>
      </c>
      <c r="U2050" s="10" t="s">
        <v>1575</v>
      </c>
      <c r="V2050" s="10" t="s">
        <v>1575</v>
      </c>
      <c r="W2050" s="10" t="s">
        <v>1575</v>
      </c>
      <c r="X2050" s="10" t="str">
        <f t="shared" si="2386"/>
        <v>NA</v>
      </c>
      <c r="Y2050" s="10" t="str">
        <f t="shared" si="2387"/>
        <v>NA</v>
      </c>
      <c r="Z2050" s="10" t="str">
        <f t="shared" si="2388"/>
        <v>NA</v>
      </c>
      <c r="AA2050" s="10" t="str">
        <f t="shared" si="2389"/>
        <v>NA</v>
      </c>
      <c r="AB2050" s="10" t="str">
        <f t="shared" si="2390"/>
        <v>NA</v>
      </c>
      <c r="AC2050" s="10" t="str">
        <f t="shared" si="2391"/>
        <v>NA</v>
      </c>
      <c r="AD2050" s="10" t="str">
        <f t="shared" si="2392"/>
        <v>NA</v>
      </c>
      <c r="AE2050" s="10" t="str">
        <f t="shared" si="2393"/>
        <v>NA</v>
      </c>
    </row>
    <row r="2051" spans="1:32" x14ac:dyDescent="0.2">
      <c r="A2051" s="1" t="s">
        <v>6261</v>
      </c>
      <c r="B2051" s="1" t="s">
        <v>5</v>
      </c>
      <c r="C2051" s="1" t="s">
        <v>1575</v>
      </c>
      <c r="D2051" s="1" t="s">
        <v>1601</v>
      </c>
      <c r="E2051" s="1" t="s">
        <v>1612</v>
      </c>
      <c r="F2051" s="1" t="s">
        <v>1485</v>
      </c>
      <c r="G2051" s="4">
        <f>100%-75%</f>
        <v>0.25</v>
      </c>
      <c r="H2051" s="28">
        <v>40833</v>
      </c>
      <c r="I2051" s="29">
        <f t="shared" si="2385"/>
        <v>2011</v>
      </c>
      <c r="J2051" s="1" t="s">
        <v>6252</v>
      </c>
      <c r="K2051" s="1" t="s">
        <v>7</v>
      </c>
      <c r="L2051" s="11" t="str">
        <f t="shared" si="2394"/>
        <v>НЕТ</v>
      </c>
      <c r="M2051" s="10" t="s">
        <v>1575</v>
      </c>
      <c r="N2051" s="10" t="s">
        <v>1575</v>
      </c>
      <c r="O2051" s="10">
        <v>0</v>
      </c>
      <c r="P2051" s="10">
        <f t="shared" ref="P2051:P2114" si="2395">IFERROR(O2051/G2051,"NA")</f>
        <v>0</v>
      </c>
      <c r="Q2051" s="10" t="str">
        <f t="shared" ref="Q2051:Q2114" si="2396">IFERROR(P2051+W2051,"NA")</f>
        <v>NA</v>
      </c>
      <c r="R2051" s="10" t="s">
        <v>1575</v>
      </c>
      <c r="S2051" s="10" t="s">
        <v>1575</v>
      </c>
      <c r="T2051" s="10" t="s">
        <v>1575</v>
      </c>
      <c r="U2051" s="10" t="s">
        <v>1575</v>
      </c>
      <c r="V2051" s="10" t="s">
        <v>1575</v>
      </c>
      <c r="W2051" s="10" t="s">
        <v>1575</v>
      </c>
      <c r="X2051" s="10" t="str">
        <f t="shared" si="2386"/>
        <v>NA</v>
      </c>
      <c r="Y2051" s="10" t="str">
        <f t="shared" si="2387"/>
        <v>NA</v>
      </c>
      <c r="Z2051" s="10" t="str">
        <f t="shared" si="2388"/>
        <v>NA</v>
      </c>
      <c r="AA2051" s="10" t="str">
        <f t="shared" si="2389"/>
        <v>NA</v>
      </c>
      <c r="AB2051" s="10" t="str">
        <f t="shared" si="2390"/>
        <v>NA</v>
      </c>
      <c r="AC2051" s="10" t="str">
        <f t="shared" si="2391"/>
        <v>NA</v>
      </c>
      <c r="AD2051" s="10" t="str">
        <f t="shared" si="2392"/>
        <v>NA</v>
      </c>
      <c r="AE2051" s="10" t="str">
        <f t="shared" si="2393"/>
        <v>NA</v>
      </c>
      <c r="AF2051" s="1" t="s">
        <v>1807</v>
      </c>
    </row>
    <row r="2052" spans="1:32" x14ac:dyDescent="0.2">
      <c r="A2052" s="1" t="s">
        <v>6262</v>
      </c>
      <c r="B2052" s="1" t="s">
        <v>5</v>
      </c>
      <c r="C2052" s="1" t="s">
        <v>1575</v>
      </c>
      <c r="D2052" s="1" t="s">
        <v>1575</v>
      </c>
      <c r="E2052" s="1" t="s">
        <v>1575</v>
      </c>
      <c r="F2052" s="1" t="s">
        <v>1575</v>
      </c>
      <c r="G2052" s="4">
        <f>100%-75%</f>
        <v>0.25</v>
      </c>
      <c r="H2052" s="28">
        <v>40833</v>
      </c>
      <c r="I2052" s="29">
        <f t="shared" si="2385"/>
        <v>2011</v>
      </c>
      <c r="J2052" s="1" t="s">
        <v>6252</v>
      </c>
      <c r="K2052" s="1" t="s">
        <v>7</v>
      </c>
      <c r="L2052" s="11" t="str">
        <f t="shared" si="2394"/>
        <v>НЕТ</v>
      </c>
      <c r="M2052" s="10" t="s">
        <v>1575</v>
      </c>
      <c r="N2052" s="10" t="s">
        <v>1575</v>
      </c>
      <c r="O2052" s="10">
        <v>0</v>
      </c>
      <c r="P2052" s="10">
        <f t="shared" si="2395"/>
        <v>0</v>
      </c>
      <c r="Q2052" s="10" t="str">
        <f t="shared" si="2396"/>
        <v>NA</v>
      </c>
      <c r="R2052" s="10" t="s">
        <v>1575</v>
      </c>
      <c r="S2052" s="10" t="s">
        <v>1575</v>
      </c>
      <c r="T2052" s="10" t="s">
        <v>1575</v>
      </c>
      <c r="U2052" s="10" t="s">
        <v>1575</v>
      </c>
      <c r="V2052" s="10" t="s">
        <v>1575</v>
      </c>
      <c r="W2052" s="10" t="s">
        <v>1575</v>
      </c>
      <c r="X2052" s="10" t="str">
        <f t="shared" si="2386"/>
        <v>NA</v>
      </c>
      <c r="Y2052" s="10" t="str">
        <f t="shared" si="2387"/>
        <v>NA</v>
      </c>
      <c r="Z2052" s="10" t="str">
        <f t="shared" si="2388"/>
        <v>NA</v>
      </c>
      <c r="AA2052" s="10" t="str">
        <f t="shared" si="2389"/>
        <v>NA</v>
      </c>
      <c r="AB2052" s="10" t="str">
        <f t="shared" si="2390"/>
        <v>NA</v>
      </c>
      <c r="AC2052" s="10" t="str">
        <f t="shared" si="2391"/>
        <v>NA</v>
      </c>
      <c r="AD2052" s="10" t="str">
        <f t="shared" si="2392"/>
        <v>NA</v>
      </c>
      <c r="AE2052" s="10" t="str">
        <f t="shared" si="2393"/>
        <v>NA</v>
      </c>
      <c r="AF2052" s="1" t="s">
        <v>1807</v>
      </c>
    </row>
    <row r="2053" spans="1:32" x14ac:dyDescent="0.2">
      <c r="A2053" s="1" t="s">
        <v>6263</v>
      </c>
      <c r="B2053" s="1" t="s">
        <v>5</v>
      </c>
      <c r="C2053" s="1" t="s">
        <v>1575</v>
      </c>
      <c r="D2053" s="1" t="s">
        <v>1601</v>
      </c>
      <c r="E2053" s="1" t="s">
        <v>5352</v>
      </c>
      <c r="F2053" s="1" t="s">
        <v>110</v>
      </c>
      <c r="G2053" s="4">
        <f>51%-38.25%</f>
        <v>0.1275</v>
      </c>
      <c r="H2053" s="28">
        <v>40833</v>
      </c>
      <c r="I2053" s="29">
        <f t="shared" si="2385"/>
        <v>2011</v>
      </c>
      <c r="J2053" s="1" t="s">
        <v>6252</v>
      </c>
      <c r="K2053" s="1" t="s">
        <v>7</v>
      </c>
      <c r="L2053" s="11" t="str">
        <f t="shared" si="2394"/>
        <v>НЕТ</v>
      </c>
      <c r="M2053" s="10" t="s">
        <v>1575</v>
      </c>
      <c r="N2053" s="10" t="s">
        <v>1575</v>
      </c>
      <c r="O2053" s="10">
        <v>0</v>
      </c>
      <c r="P2053" s="10">
        <f t="shared" si="2395"/>
        <v>0</v>
      </c>
      <c r="Q2053" s="10" t="str">
        <f t="shared" si="2396"/>
        <v>NA</v>
      </c>
      <c r="R2053" s="10" t="s">
        <v>1575</v>
      </c>
      <c r="S2053" s="10" t="s">
        <v>1575</v>
      </c>
      <c r="T2053" s="10" t="s">
        <v>1575</v>
      </c>
      <c r="U2053" s="10" t="s">
        <v>1575</v>
      </c>
      <c r="V2053" s="10" t="s">
        <v>1575</v>
      </c>
      <c r="W2053" s="10" t="s">
        <v>1575</v>
      </c>
      <c r="X2053" s="10" t="str">
        <f t="shared" si="2386"/>
        <v>NA</v>
      </c>
      <c r="Y2053" s="10" t="str">
        <f t="shared" si="2387"/>
        <v>NA</v>
      </c>
      <c r="Z2053" s="10" t="str">
        <f t="shared" si="2388"/>
        <v>NA</v>
      </c>
      <c r="AA2053" s="10" t="str">
        <f t="shared" si="2389"/>
        <v>NA</v>
      </c>
      <c r="AB2053" s="10" t="str">
        <f t="shared" si="2390"/>
        <v>NA</v>
      </c>
      <c r="AC2053" s="10" t="str">
        <f t="shared" si="2391"/>
        <v>NA</v>
      </c>
      <c r="AD2053" s="10" t="str">
        <f t="shared" si="2392"/>
        <v>NA</v>
      </c>
      <c r="AE2053" s="10" t="str">
        <f t="shared" si="2393"/>
        <v>NA</v>
      </c>
      <c r="AF2053" s="1" t="s">
        <v>1807</v>
      </c>
    </row>
    <row r="2054" spans="1:32" x14ac:dyDescent="0.2">
      <c r="A2054" s="1" t="s">
        <v>6264</v>
      </c>
      <c r="B2054" s="1" t="s">
        <v>5</v>
      </c>
      <c r="C2054" s="1" t="s">
        <v>1803</v>
      </c>
      <c r="D2054" s="1" t="s">
        <v>1601</v>
      </c>
      <c r="E2054" s="1" t="s">
        <v>1602</v>
      </c>
      <c r="F2054" s="1" t="s">
        <v>1563</v>
      </c>
      <c r="G2054" s="4">
        <f>79.16%-58.17%</f>
        <v>0.20989999999999998</v>
      </c>
      <c r="H2054" s="28">
        <v>40908</v>
      </c>
      <c r="I2054" s="29">
        <f t="shared" si="2385"/>
        <v>2011</v>
      </c>
      <c r="J2054" s="1" t="s">
        <v>6252</v>
      </c>
      <c r="K2054" s="1" t="s">
        <v>7</v>
      </c>
      <c r="L2054" s="11" t="str">
        <f t="shared" si="2394"/>
        <v>НЕТ</v>
      </c>
      <c r="M2054" s="10" t="s">
        <v>1575</v>
      </c>
      <c r="N2054" s="10" t="s">
        <v>1575</v>
      </c>
      <c r="O2054" s="10">
        <v>0.49908799999999998</v>
      </c>
      <c r="P2054" s="10">
        <f t="shared" si="2395"/>
        <v>2.3777417818008577</v>
      </c>
      <c r="Q2054" s="10" t="str">
        <f t="shared" si="2396"/>
        <v>NA</v>
      </c>
      <c r="R2054" s="10" t="s">
        <v>1575</v>
      </c>
      <c r="S2054" s="10" t="s">
        <v>1575</v>
      </c>
      <c r="T2054" s="10" t="s">
        <v>1575</v>
      </c>
      <c r="U2054" s="10" t="s">
        <v>1575</v>
      </c>
      <c r="V2054" s="10" t="s">
        <v>1575</v>
      </c>
      <c r="W2054" s="10" t="s">
        <v>1575</v>
      </c>
      <c r="X2054" s="10" t="str">
        <f t="shared" si="2386"/>
        <v>NA</v>
      </c>
      <c r="Y2054" s="10" t="str">
        <f t="shared" si="2387"/>
        <v>NA</v>
      </c>
      <c r="Z2054" s="10" t="str">
        <f t="shared" si="2388"/>
        <v>NA</v>
      </c>
      <c r="AA2054" s="10" t="str">
        <f t="shared" si="2389"/>
        <v>NA</v>
      </c>
      <c r="AB2054" s="10" t="str">
        <f t="shared" si="2390"/>
        <v>NA</v>
      </c>
      <c r="AC2054" s="10" t="str">
        <f t="shared" si="2391"/>
        <v>NA</v>
      </c>
      <c r="AD2054" s="10" t="str">
        <f t="shared" si="2392"/>
        <v>NA</v>
      </c>
      <c r="AE2054" s="10" t="str">
        <f t="shared" si="2393"/>
        <v>NA</v>
      </c>
    </row>
    <row r="2055" spans="1:32" x14ac:dyDescent="0.2">
      <c r="A2055" s="1" t="s">
        <v>6265</v>
      </c>
      <c r="B2055" s="1" t="s">
        <v>5</v>
      </c>
      <c r="C2055" s="1" t="s">
        <v>1805</v>
      </c>
      <c r="D2055" s="1" t="s">
        <v>1601</v>
      </c>
      <c r="E2055" s="1" t="s">
        <v>1602</v>
      </c>
      <c r="F2055" s="1" t="s">
        <v>1563</v>
      </c>
      <c r="G2055" s="4">
        <f>84.1%-84.1%</f>
        <v>0</v>
      </c>
      <c r="H2055" s="28">
        <v>40908</v>
      </c>
      <c r="I2055" s="29">
        <f t="shared" si="2385"/>
        <v>2011</v>
      </c>
      <c r="J2055" s="1" t="s">
        <v>7</v>
      </c>
      <c r="K2055" s="1" t="s">
        <v>6252</v>
      </c>
      <c r="L2055" s="11" t="str">
        <f t="shared" si="2394"/>
        <v>НЕТ</v>
      </c>
      <c r="M2055" s="10" t="s">
        <v>1575</v>
      </c>
      <c r="N2055" s="10" t="s">
        <v>1575</v>
      </c>
      <c r="O2055" s="10">
        <v>3.4759999999999999E-3</v>
      </c>
      <c r="P2055" s="10" t="str">
        <f t="shared" si="2395"/>
        <v>NA</v>
      </c>
      <c r="Q2055" s="10" t="str">
        <f t="shared" si="2396"/>
        <v>NA</v>
      </c>
      <c r="R2055" s="10" t="s">
        <v>1575</v>
      </c>
      <c r="S2055" s="10" t="s">
        <v>1575</v>
      </c>
      <c r="T2055" s="10" t="s">
        <v>1575</v>
      </c>
      <c r="U2055" s="10" t="s">
        <v>1575</v>
      </c>
      <c r="V2055" s="10" t="s">
        <v>1575</v>
      </c>
      <c r="W2055" s="10" t="s">
        <v>1575</v>
      </c>
      <c r="X2055" s="10" t="str">
        <f t="shared" si="2386"/>
        <v>NA</v>
      </c>
      <c r="Y2055" s="10" t="str">
        <f t="shared" si="2387"/>
        <v>NA</v>
      </c>
      <c r="Z2055" s="10" t="str">
        <f t="shared" si="2388"/>
        <v>NA</v>
      </c>
      <c r="AA2055" s="10" t="str">
        <f t="shared" si="2389"/>
        <v>NA</v>
      </c>
      <c r="AB2055" s="10" t="str">
        <f t="shared" si="2390"/>
        <v>NA</v>
      </c>
      <c r="AC2055" s="10" t="str">
        <f t="shared" si="2391"/>
        <v>NA</v>
      </c>
      <c r="AD2055" s="10" t="str">
        <f t="shared" si="2392"/>
        <v>NA</v>
      </c>
      <c r="AE2055" s="10" t="str">
        <f t="shared" si="2393"/>
        <v>NA</v>
      </c>
    </row>
    <row r="2056" spans="1:32" x14ac:dyDescent="0.2">
      <c r="A2056" s="1" t="s">
        <v>6266</v>
      </c>
      <c r="B2056" s="1" t="s">
        <v>5</v>
      </c>
      <c r="C2056" s="1" t="s">
        <v>1804</v>
      </c>
      <c r="D2056" s="1" t="s">
        <v>1601</v>
      </c>
      <c r="E2056" s="1" t="s">
        <v>1602</v>
      </c>
      <c r="F2056" s="1" t="s">
        <v>1563</v>
      </c>
      <c r="G2056" s="4">
        <f>80.77%-80.77%</f>
        <v>0</v>
      </c>
      <c r="H2056" s="28">
        <v>40908</v>
      </c>
      <c r="I2056" s="29">
        <f t="shared" si="2385"/>
        <v>2011</v>
      </c>
      <c r="J2056" s="1" t="s">
        <v>7</v>
      </c>
      <c r="K2056" s="1" t="s">
        <v>6252</v>
      </c>
      <c r="L2056" s="11" t="str">
        <f t="shared" si="2394"/>
        <v>НЕТ</v>
      </c>
      <c r="M2056" s="10" t="s">
        <v>1575</v>
      </c>
      <c r="N2056" s="10" t="s">
        <v>1575</v>
      </c>
      <c r="O2056" s="10">
        <v>2.0339999999999998E-3</v>
      </c>
      <c r="P2056" s="10" t="str">
        <f t="shared" si="2395"/>
        <v>NA</v>
      </c>
      <c r="Q2056" s="10" t="str">
        <f t="shared" si="2396"/>
        <v>NA</v>
      </c>
      <c r="R2056" s="10" t="s">
        <v>1575</v>
      </c>
      <c r="S2056" s="10" t="s">
        <v>1575</v>
      </c>
      <c r="T2056" s="10" t="s">
        <v>1575</v>
      </c>
      <c r="U2056" s="10" t="s">
        <v>1575</v>
      </c>
      <c r="V2056" s="10" t="s">
        <v>1575</v>
      </c>
      <c r="W2056" s="10" t="s">
        <v>1575</v>
      </c>
      <c r="X2056" s="10" t="str">
        <f t="shared" si="2386"/>
        <v>NA</v>
      </c>
      <c r="Y2056" s="10" t="str">
        <f t="shared" si="2387"/>
        <v>NA</v>
      </c>
      <c r="Z2056" s="10" t="str">
        <f t="shared" si="2388"/>
        <v>NA</v>
      </c>
      <c r="AA2056" s="10" t="str">
        <f t="shared" si="2389"/>
        <v>NA</v>
      </c>
      <c r="AB2056" s="10" t="str">
        <f t="shared" si="2390"/>
        <v>NA</v>
      </c>
      <c r="AC2056" s="10" t="str">
        <f t="shared" si="2391"/>
        <v>NA</v>
      </c>
      <c r="AD2056" s="10" t="str">
        <f t="shared" si="2392"/>
        <v>NA</v>
      </c>
      <c r="AE2056" s="10" t="str">
        <f t="shared" si="2393"/>
        <v>NA</v>
      </c>
    </row>
    <row r="2057" spans="1:32" x14ac:dyDescent="0.2">
      <c r="A2057" s="1" t="s">
        <v>6267</v>
      </c>
      <c r="B2057" s="1" t="s">
        <v>5</v>
      </c>
      <c r="C2057" s="1" t="s">
        <v>1575</v>
      </c>
      <c r="D2057" s="1" t="s">
        <v>1601</v>
      </c>
      <c r="E2057" s="1" t="s">
        <v>1602</v>
      </c>
      <c r="F2057" s="1" t="s">
        <v>1563</v>
      </c>
      <c r="G2057" s="4" t="s">
        <v>1575</v>
      </c>
      <c r="H2057" s="28">
        <v>40833</v>
      </c>
      <c r="I2057" s="29">
        <f t="shared" si="2385"/>
        <v>2011</v>
      </c>
      <c r="J2057" s="1" t="s">
        <v>6252</v>
      </c>
      <c r="K2057" s="1" t="s">
        <v>7</v>
      </c>
      <c r="L2057" s="11" t="str">
        <f t="shared" si="2394"/>
        <v>НЕТ</v>
      </c>
      <c r="M2057" s="10" t="s">
        <v>1575</v>
      </c>
      <c r="N2057" s="10" t="s">
        <v>1575</v>
      </c>
      <c r="O2057" s="10">
        <v>5.1540999999999997E-2</v>
      </c>
      <c r="P2057" s="10" t="str">
        <f t="shared" si="2395"/>
        <v>NA</v>
      </c>
      <c r="Q2057" s="10" t="str">
        <f t="shared" si="2396"/>
        <v>NA</v>
      </c>
      <c r="R2057" s="10" t="s">
        <v>1575</v>
      </c>
      <c r="S2057" s="10" t="s">
        <v>1575</v>
      </c>
      <c r="T2057" s="10" t="s">
        <v>1575</v>
      </c>
      <c r="U2057" s="10" t="s">
        <v>1575</v>
      </c>
      <c r="V2057" s="10" t="s">
        <v>1575</v>
      </c>
      <c r="W2057" s="10" t="s">
        <v>1575</v>
      </c>
      <c r="X2057" s="10" t="str">
        <f t="shared" si="2386"/>
        <v>NA</v>
      </c>
      <c r="Y2057" s="10" t="str">
        <f t="shared" si="2387"/>
        <v>NA</v>
      </c>
      <c r="Z2057" s="10" t="str">
        <f t="shared" si="2388"/>
        <v>NA</v>
      </c>
      <c r="AA2057" s="10" t="str">
        <f t="shared" si="2389"/>
        <v>NA</v>
      </c>
      <c r="AB2057" s="10" t="str">
        <f t="shared" si="2390"/>
        <v>NA</v>
      </c>
      <c r="AC2057" s="10" t="str">
        <f t="shared" si="2391"/>
        <v>NA</v>
      </c>
      <c r="AD2057" s="10" t="str">
        <f t="shared" si="2392"/>
        <v>NA</v>
      </c>
      <c r="AE2057" s="10" t="str">
        <f t="shared" si="2393"/>
        <v>NA</v>
      </c>
      <c r="AF2057" s="1" t="s">
        <v>1806</v>
      </c>
    </row>
    <row r="2058" spans="1:32" x14ac:dyDescent="0.2">
      <c r="A2058" s="1" t="s">
        <v>6265</v>
      </c>
      <c r="B2058" s="1" t="s">
        <v>5</v>
      </c>
      <c r="C2058" s="1" t="s">
        <v>1805</v>
      </c>
      <c r="D2058" s="1" t="s">
        <v>1601</v>
      </c>
      <c r="E2058" s="1" t="s">
        <v>1602</v>
      </c>
      <c r="F2058" s="1" t="s">
        <v>1563</v>
      </c>
      <c r="G2058" s="4">
        <v>4.2200000000000001E-2</v>
      </c>
      <c r="H2058" s="28">
        <v>40624</v>
      </c>
      <c r="I2058" s="29">
        <f t="shared" si="2385"/>
        <v>2011</v>
      </c>
      <c r="J2058" s="1" t="s">
        <v>7</v>
      </c>
      <c r="K2058" s="1" t="s">
        <v>6252</v>
      </c>
      <c r="L2058" s="11" t="str">
        <f t="shared" si="2394"/>
        <v>НЕТ</v>
      </c>
      <c r="M2058" s="10" t="s">
        <v>1575</v>
      </c>
      <c r="N2058" s="10" t="s">
        <v>1575</v>
      </c>
      <c r="O2058" s="10">
        <v>2.2005E-2</v>
      </c>
      <c r="P2058" s="10">
        <f t="shared" si="2395"/>
        <v>0.52144549763033177</v>
      </c>
      <c r="Q2058" s="10" t="str">
        <f t="shared" si="2396"/>
        <v>NA</v>
      </c>
      <c r="R2058" s="10" t="s">
        <v>1575</v>
      </c>
      <c r="S2058" s="10" t="s">
        <v>1575</v>
      </c>
      <c r="T2058" s="10" t="s">
        <v>1575</v>
      </c>
      <c r="U2058" s="10" t="s">
        <v>1575</v>
      </c>
      <c r="V2058" s="10" t="s">
        <v>1575</v>
      </c>
      <c r="W2058" s="10" t="s">
        <v>1575</v>
      </c>
      <c r="X2058" s="10" t="str">
        <f t="shared" si="2386"/>
        <v>NA</v>
      </c>
      <c r="Y2058" s="10" t="str">
        <f t="shared" si="2387"/>
        <v>NA</v>
      </c>
      <c r="Z2058" s="10" t="str">
        <f t="shared" si="2388"/>
        <v>NA</v>
      </c>
      <c r="AA2058" s="10" t="str">
        <f t="shared" si="2389"/>
        <v>NA</v>
      </c>
      <c r="AB2058" s="10" t="str">
        <f t="shared" si="2390"/>
        <v>NA</v>
      </c>
      <c r="AC2058" s="10" t="str">
        <f t="shared" si="2391"/>
        <v>NA</v>
      </c>
      <c r="AD2058" s="10" t="str">
        <f t="shared" si="2392"/>
        <v>NA</v>
      </c>
      <c r="AE2058" s="10" t="str">
        <f t="shared" si="2393"/>
        <v>NA</v>
      </c>
      <c r="AF2058" s="1" t="s">
        <v>1806</v>
      </c>
    </row>
    <row r="2059" spans="1:32" x14ac:dyDescent="0.2">
      <c r="A2059" s="1" t="s">
        <v>6266</v>
      </c>
      <c r="B2059" s="1" t="s">
        <v>5</v>
      </c>
      <c r="C2059" s="1" t="s">
        <v>1804</v>
      </c>
      <c r="D2059" s="1" t="s">
        <v>1601</v>
      </c>
      <c r="E2059" s="1" t="s">
        <v>1602</v>
      </c>
      <c r="F2059" s="1" t="s">
        <v>1563</v>
      </c>
      <c r="G2059" s="4">
        <v>7.8799999999999995E-2</v>
      </c>
      <c r="H2059" s="28">
        <v>40624</v>
      </c>
      <c r="I2059" s="29">
        <f t="shared" si="2385"/>
        <v>2011</v>
      </c>
      <c r="J2059" s="1" t="s">
        <v>7</v>
      </c>
      <c r="K2059" s="1" t="s">
        <v>6252</v>
      </c>
      <c r="L2059" s="11" t="str">
        <f t="shared" si="2394"/>
        <v>НЕТ</v>
      </c>
      <c r="M2059" s="10" t="s">
        <v>1575</v>
      </c>
      <c r="N2059" s="10" t="s">
        <v>1575</v>
      </c>
      <c r="O2059" s="10">
        <v>3.5048000000000003E-2</v>
      </c>
      <c r="P2059" s="10">
        <f t="shared" si="2395"/>
        <v>0.444771573604061</v>
      </c>
      <c r="Q2059" s="10" t="str">
        <f t="shared" si="2396"/>
        <v>NA</v>
      </c>
      <c r="R2059" s="10" t="s">
        <v>1575</v>
      </c>
      <c r="S2059" s="10" t="s">
        <v>1575</v>
      </c>
      <c r="T2059" s="10" t="s">
        <v>1575</v>
      </c>
      <c r="U2059" s="10" t="s">
        <v>1575</v>
      </c>
      <c r="V2059" s="10" t="s">
        <v>1575</v>
      </c>
      <c r="W2059" s="10" t="s">
        <v>1575</v>
      </c>
      <c r="X2059" s="10" t="str">
        <f t="shared" si="2386"/>
        <v>NA</v>
      </c>
      <c r="Y2059" s="10" t="str">
        <f t="shared" si="2387"/>
        <v>NA</v>
      </c>
      <c r="Z2059" s="10" t="str">
        <f t="shared" si="2388"/>
        <v>NA</v>
      </c>
      <c r="AA2059" s="10" t="str">
        <f t="shared" si="2389"/>
        <v>NA</v>
      </c>
      <c r="AB2059" s="10" t="str">
        <f t="shared" si="2390"/>
        <v>NA</v>
      </c>
      <c r="AC2059" s="10" t="str">
        <f t="shared" si="2391"/>
        <v>NA</v>
      </c>
      <c r="AD2059" s="10" t="str">
        <f t="shared" si="2392"/>
        <v>NA</v>
      </c>
      <c r="AE2059" s="10" t="str">
        <f t="shared" si="2393"/>
        <v>NA</v>
      </c>
      <c r="AF2059" s="1" t="s">
        <v>1806</v>
      </c>
    </row>
    <row r="2060" spans="1:32" x14ac:dyDescent="0.2">
      <c r="A2060" s="1" t="s">
        <v>6268</v>
      </c>
      <c r="B2060" s="1" t="s">
        <v>5</v>
      </c>
      <c r="C2060" s="1" t="s">
        <v>1575</v>
      </c>
      <c r="D2060" s="1" t="s">
        <v>1601</v>
      </c>
      <c r="E2060" s="1" t="s">
        <v>1602</v>
      </c>
      <c r="F2060" s="1" t="s">
        <v>1563</v>
      </c>
      <c r="G2060" s="4">
        <v>1</v>
      </c>
      <c r="H2060" s="28">
        <v>40837</v>
      </c>
      <c r="I2060" s="29">
        <f t="shared" si="2385"/>
        <v>2011</v>
      </c>
      <c r="J2060" s="1" t="s">
        <v>6252</v>
      </c>
      <c r="K2060" s="1" t="s">
        <v>7</v>
      </c>
      <c r="L2060" s="11" t="str">
        <f t="shared" si="2394"/>
        <v>НЕТ</v>
      </c>
      <c r="M2060" s="10" t="s">
        <v>1575</v>
      </c>
      <c r="N2060" s="10" t="s">
        <v>1575</v>
      </c>
      <c r="O2060" s="10">
        <v>6.1000000000000004E-3</v>
      </c>
      <c r="P2060" s="10">
        <f t="shared" si="2395"/>
        <v>6.1000000000000004E-3</v>
      </c>
      <c r="Q2060" s="10" t="str">
        <f t="shared" si="2396"/>
        <v>NA</v>
      </c>
      <c r="R2060" s="10" t="s">
        <v>1575</v>
      </c>
      <c r="S2060" s="10" t="s">
        <v>1575</v>
      </c>
      <c r="T2060" s="10" t="s">
        <v>1575</v>
      </c>
      <c r="U2060" s="10" t="s">
        <v>1575</v>
      </c>
      <c r="V2060" s="10">
        <v>1E-3</v>
      </c>
      <c r="W2060" s="10" t="s">
        <v>1575</v>
      </c>
      <c r="X2060" s="10" t="str">
        <f t="shared" si="2386"/>
        <v>NA</v>
      </c>
      <c r="Y2060" s="10" t="str">
        <f t="shared" si="2387"/>
        <v>NA</v>
      </c>
      <c r="Z2060" s="10" t="str">
        <f t="shared" si="2388"/>
        <v>NA</v>
      </c>
      <c r="AA2060" s="10">
        <f t="shared" si="2389"/>
        <v>6.1000000000000005</v>
      </c>
      <c r="AB2060" s="10" t="str">
        <f t="shared" si="2390"/>
        <v>NA</v>
      </c>
      <c r="AC2060" s="10" t="str">
        <f t="shared" si="2391"/>
        <v>NA</v>
      </c>
      <c r="AD2060" s="10" t="str">
        <f t="shared" si="2392"/>
        <v>NA</v>
      </c>
      <c r="AE2060" s="10" t="str">
        <f t="shared" si="2393"/>
        <v>NA</v>
      </c>
      <c r="AF2060" s="1" t="s">
        <v>1808</v>
      </c>
    </row>
    <row r="2061" spans="1:32" x14ac:dyDescent="0.2">
      <c r="A2061" s="1" t="s">
        <v>6254</v>
      </c>
      <c r="B2061" s="1" t="s">
        <v>5</v>
      </c>
      <c r="C2061" s="1" t="s">
        <v>1788</v>
      </c>
      <c r="D2061" s="1" t="s">
        <v>1601</v>
      </c>
      <c r="E2061" s="1" t="s">
        <v>1602</v>
      </c>
      <c r="F2061" s="1" t="s">
        <v>1563</v>
      </c>
      <c r="G2061" s="4">
        <v>0.51</v>
      </c>
      <c r="H2061" s="28">
        <v>40543</v>
      </c>
      <c r="I2061" s="29">
        <f t="shared" si="2385"/>
        <v>2010</v>
      </c>
      <c r="J2061" s="1" t="s">
        <v>1786</v>
      </c>
      <c r="K2061" s="1" t="s">
        <v>1786</v>
      </c>
      <c r="L2061" s="11" t="str">
        <f t="shared" si="2394"/>
        <v>НЕТ</v>
      </c>
      <c r="M2061" s="10" t="s">
        <v>1575</v>
      </c>
      <c r="N2061" s="10" t="s">
        <v>1575</v>
      </c>
      <c r="O2061" s="10">
        <v>0.13903399999999999</v>
      </c>
      <c r="P2061" s="10">
        <f t="shared" si="2395"/>
        <v>0.27261568627450977</v>
      </c>
      <c r="Q2061" s="10" t="str">
        <f t="shared" si="2396"/>
        <v>NA</v>
      </c>
      <c r="R2061" s="10" t="s">
        <v>1575</v>
      </c>
      <c r="S2061" s="10" t="s">
        <v>1575</v>
      </c>
      <c r="T2061" s="10" t="s">
        <v>1575</v>
      </c>
      <c r="U2061" s="10" t="s">
        <v>1575</v>
      </c>
      <c r="V2061" s="10" t="s">
        <v>1575</v>
      </c>
      <c r="W2061" s="10" t="s">
        <v>1575</v>
      </c>
      <c r="X2061" s="10" t="str">
        <f t="shared" si="2386"/>
        <v>NA</v>
      </c>
      <c r="Y2061" s="10" t="str">
        <f t="shared" si="2387"/>
        <v>NA</v>
      </c>
      <c r="Z2061" s="10" t="str">
        <f t="shared" si="2388"/>
        <v>NA</v>
      </c>
      <c r="AA2061" s="10" t="str">
        <f t="shared" si="2389"/>
        <v>NA</v>
      </c>
      <c r="AB2061" s="10" t="str">
        <f t="shared" si="2390"/>
        <v>NA</v>
      </c>
      <c r="AC2061" s="10" t="str">
        <f t="shared" si="2391"/>
        <v>NA</v>
      </c>
      <c r="AD2061" s="10" t="str">
        <f t="shared" si="2392"/>
        <v>NA</v>
      </c>
      <c r="AE2061" s="10" t="str">
        <f t="shared" si="2393"/>
        <v>NA</v>
      </c>
      <c r="AF2061" s="1" t="s">
        <v>1799</v>
      </c>
    </row>
    <row r="2062" spans="1:32" x14ac:dyDescent="0.2">
      <c r="A2062" s="1" t="s">
        <v>6234</v>
      </c>
      <c r="B2062" s="1" t="s">
        <v>5</v>
      </c>
      <c r="C2062" s="1" t="s">
        <v>1619</v>
      </c>
      <c r="D2062" s="1" t="s">
        <v>1601</v>
      </c>
      <c r="E2062" s="1" t="s">
        <v>1608</v>
      </c>
      <c r="F2062" s="1" t="s">
        <v>1562</v>
      </c>
      <c r="G2062" s="4">
        <f>725282150/512827729472</f>
        <v>1.4142802900824806E-3</v>
      </c>
      <c r="H2062" s="28">
        <v>40543</v>
      </c>
      <c r="I2062" s="29">
        <f t="shared" si="2385"/>
        <v>2010</v>
      </c>
      <c r="J2062" s="1" t="s">
        <v>7</v>
      </c>
      <c r="K2062" s="1" t="s">
        <v>6234</v>
      </c>
      <c r="L2062" s="11" t="str">
        <f t="shared" si="2394"/>
        <v>ДА</v>
      </c>
      <c r="M2062" s="10" t="s">
        <v>1575</v>
      </c>
      <c r="N2062" s="10" t="s">
        <v>1575</v>
      </c>
      <c r="O2062" s="10">
        <v>1.0926999999999999E-2</v>
      </c>
      <c r="P2062" s="10">
        <f t="shared" si="2395"/>
        <v>7.7261912483859465</v>
      </c>
      <c r="Q2062" s="10">
        <f t="shared" si="2396"/>
        <v>11.932191248385948</v>
      </c>
      <c r="R2062" s="10" t="s">
        <v>1575</v>
      </c>
      <c r="S2062" s="10" t="s">
        <v>1575</v>
      </c>
      <c r="T2062" s="10" t="s">
        <v>1575</v>
      </c>
      <c r="U2062" s="10" t="s">
        <v>1575</v>
      </c>
      <c r="V2062" s="10">
        <v>12.513999999999999</v>
      </c>
      <c r="W2062" s="10">
        <v>4.2060000000000004</v>
      </c>
      <c r="X2062" s="10">
        <f t="shared" si="2386"/>
        <v>16.72</v>
      </c>
      <c r="Y2062" s="10" t="str">
        <f t="shared" si="2387"/>
        <v>NA</v>
      </c>
      <c r="Z2062" s="10" t="str">
        <f t="shared" si="2388"/>
        <v>NA</v>
      </c>
      <c r="AA2062" s="10">
        <f t="shared" si="2389"/>
        <v>0.6174038076063566</v>
      </c>
      <c r="AB2062" s="10" t="str">
        <f t="shared" si="2390"/>
        <v>NA</v>
      </c>
      <c r="AC2062" s="10" t="str">
        <f t="shared" si="2391"/>
        <v>NA</v>
      </c>
      <c r="AD2062" s="10" t="str">
        <f t="shared" si="2392"/>
        <v>NA</v>
      </c>
      <c r="AE2062" s="10">
        <f t="shared" si="2393"/>
        <v>0.71364780193695865</v>
      </c>
      <c r="AF2062" s="1" t="s">
        <v>1809</v>
      </c>
    </row>
    <row r="2063" spans="1:32" x14ac:dyDescent="0.2">
      <c r="A2063" s="1" t="s">
        <v>6269</v>
      </c>
      <c r="B2063" s="1" t="s">
        <v>5</v>
      </c>
      <c r="C2063" s="1" t="s">
        <v>1575</v>
      </c>
      <c r="D2063" s="1" t="s">
        <v>1582</v>
      </c>
      <c r="E2063" s="1" t="s">
        <v>5352</v>
      </c>
      <c r="F2063" s="1" t="s">
        <v>1575</v>
      </c>
      <c r="G2063" s="4">
        <v>0.5</v>
      </c>
      <c r="H2063" s="28">
        <v>41290</v>
      </c>
      <c r="I2063" s="29">
        <f t="shared" si="2385"/>
        <v>2013</v>
      </c>
      <c r="J2063" s="1" t="s">
        <v>1647</v>
      </c>
      <c r="K2063" s="1" t="s">
        <v>7</v>
      </c>
      <c r="L2063" s="11" t="str">
        <f t="shared" si="2394"/>
        <v>НЕТ</v>
      </c>
      <c r="M2063" s="10">
        <v>0</v>
      </c>
      <c r="N2063" s="10">
        <v>0</v>
      </c>
      <c r="O2063" s="10" t="s">
        <v>1575</v>
      </c>
      <c r="P2063" s="10" t="str">
        <f t="shared" si="2395"/>
        <v>NA</v>
      </c>
      <c r="Q2063" s="10" t="str">
        <f t="shared" si="2396"/>
        <v>NA</v>
      </c>
      <c r="R2063" s="10" t="s">
        <v>1575</v>
      </c>
      <c r="S2063" s="10" t="s">
        <v>1575</v>
      </c>
      <c r="T2063" s="10" t="s">
        <v>1575</v>
      </c>
      <c r="U2063" s="10" t="s">
        <v>1575</v>
      </c>
      <c r="V2063" s="10">
        <f>0.000927</f>
        <v>9.2699999999999998E-4</v>
      </c>
      <c r="W2063" s="10" t="s">
        <v>1575</v>
      </c>
      <c r="X2063" s="10" t="str">
        <f t="shared" si="2386"/>
        <v>NA</v>
      </c>
      <c r="Y2063" s="10" t="str">
        <f t="shared" si="2387"/>
        <v>NA</v>
      </c>
      <c r="Z2063" s="10" t="str">
        <f t="shared" si="2388"/>
        <v>NA</v>
      </c>
      <c r="AA2063" s="10" t="str">
        <f t="shared" si="2389"/>
        <v>NA</v>
      </c>
      <c r="AB2063" s="10" t="str">
        <f t="shared" si="2390"/>
        <v>NA</v>
      </c>
      <c r="AC2063" s="10" t="str">
        <f t="shared" si="2391"/>
        <v>NA</v>
      </c>
      <c r="AD2063" s="10" t="str">
        <f t="shared" si="2392"/>
        <v>NA</v>
      </c>
      <c r="AE2063" s="10" t="str">
        <f t="shared" si="2393"/>
        <v>NA</v>
      </c>
      <c r="AF2063" s="1" t="s">
        <v>1645</v>
      </c>
    </row>
    <row r="2064" spans="1:32" x14ac:dyDescent="0.2">
      <c r="A2064" s="1" t="s">
        <v>6270</v>
      </c>
      <c r="B2064" s="1" t="s">
        <v>5</v>
      </c>
      <c r="C2064" s="1" t="s">
        <v>1575</v>
      </c>
      <c r="D2064" s="1" t="s">
        <v>1600</v>
      </c>
      <c r="E2064" s="1" t="s">
        <v>3025</v>
      </c>
      <c r="F2064" s="1" t="s">
        <v>1646</v>
      </c>
      <c r="G2064" s="4">
        <f>100%-21.88%</f>
        <v>0.78120000000000001</v>
      </c>
      <c r="H2064" s="28">
        <v>41494</v>
      </c>
      <c r="I2064" s="29">
        <f t="shared" si="2385"/>
        <v>2013</v>
      </c>
      <c r="J2064" s="1" t="s">
        <v>1647</v>
      </c>
      <c r="K2064" s="1" t="s">
        <v>7</v>
      </c>
      <c r="L2064" s="11" t="str">
        <f t="shared" si="2394"/>
        <v>НЕТ</v>
      </c>
      <c r="M2064" s="10">
        <v>0</v>
      </c>
      <c r="N2064" s="10">
        <v>0</v>
      </c>
      <c r="O2064" s="10" t="s">
        <v>1575</v>
      </c>
      <c r="P2064" s="10" t="str">
        <f t="shared" si="2395"/>
        <v>NA</v>
      </c>
      <c r="Q2064" s="10" t="str">
        <f t="shared" si="2396"/>
        <v>NA</v>
      </c>
      <c r="R2064" s="10" t="s">
        <v>1575</v>
      </c>
      <c r="S2064" s="10" t="s">
        <v>1575</v>
      </c>
      <c r="T2064" s="10" t="s">
        <v>1575</v>
      </c>
      <c r="U2064" s="10" t="s">
        <v>1575</v>
      </c>
      <c r="V2064" s="10">
        <v>0.31609399999999999</v>
      </c>
      <c r="W2064" s="10" t="s">
        <v>1575</v>
      </c>
      <c r="X2064" s="10" t="str">
        <f t="shared" si="2386"/>
        <v>NA</v>
      </c>
      <c r="Y2064" s="10" t="str">
        <f t="shared" si="2387"/>
        <v>NA</v>
      </c>
      <c r="Z2064" s="10" t="str">
        <f t="shared" si="2388"/>
        <v>NA</v>
      </c>
      <c r="AA2064" s="10" t="str">
        <f t="shared" si="2389"/>
        <v>NA</v>
      </c>
      <c r="AB2064" s="10" t="str">
        <f t="shared" si="2390"/>
        <v>NA</v>
      </c>
      <c r="AC2064" s="10" t="str">
        <f t="shared" si="2391"/>
        <v>NA</v>
      </c>
      <c r="AD2064" s="10" t="str">
        <f t="shared" si="2392"/>
        <v>NA</v>
      </c>
      <c r="AE2064" s="10" t="str">
        <f t="shared" si="2393"/>
        <v>NA</v>
      </c>
      <c r="AF2064" s="1" t="s">
        <v>1644</v>
      </c>
    </row>
    <row r="2065" spans="1:32" x14ac:dyDescent="0.2">
      <c r="A2065" s="1" t="s">
        <v>6270</v>
      </c>
      <c r="B2065" s="1" t="s">
        <v>5</v>
      </c>
      <c r="C2065" s="1" t="s">
        <v>1575</v>
      </c>
      <c r="D2065" s="1" t="s">
        <v>1600</v>
      </c>
      <c r="E2065" s="1" t="s">
        <v>3025</v>
      </c>
      <c r="F2065" s="1" t="s">
        <v>1646</v>
      </c>
      <c r="G2065" s="33">
        <v>0.21879999999999999</v>
      </c>
      <c r="H2065" s="28">
        <v>41264</v>
      </c>
      <c r="I2065" s="29">
        <f t="shared" ref="I2065:I2128" si="2397">YEAR(H2065)</f>
        <v>2012</v>
      </c>
      <c r="J2065" s="1" t="s">
        <v>1647</v>
      </c>
      <c r="K2065" s="1" t="s">
        <v>7</v>
      </c>
      <c r="L2065" s="11" t="str">
        <f t="shared" si="2394"/>
        <v>НЕТ</v>
      </c>
      <c r="M2065" s="10">
        <v>0</v>
      </c>
      <c r="N2065" s="10">
        <v>0</v>
      </c>
      <c r="O2065" s="10">
        <v>5.4050000000000001E-2</v>
      </c>
      <c r="P2065" s="10">
        <f t="shared" si="2395"/>
        <v>0.24702925045703841</v>
      </c>
      <c r="Q2065" s="10" t="str">
        <f t="shared" si="2396"/>
        <v>NA</v>
      </c>
      <c r="R2065" s="10" t="s">
        <v>1575</v>
      </c>
      <c r="S2065" s="10" t="s">
        <v>1575</v>
      </c>
      <c r="T2065" s="10" t="s">
        <v>1575</v>
      </c>
      <c r="U2065" s="10" t="s">
        <v>1575</v>
      </c>
      <c r="V2065" s="10">
        <f>0.063315</f>
        <v>6.3314999999999996E-2</v>
      </c>
      <c r="W2065" s="10" t="s">
        <v>1575</v>
      </c>
      <c r="X2065" s="10" t="str">
        <f t="shared" si="2386"/>
        <v>NA</v>
      </c>
      <c r="Y2065" s="10" t="str">
        <f t="shared" si="2387"/>
        <v>NA</v>
      </c>
      <c r="Z2065" s="10" t="str">
        <f t="shared" si="2388"/>
        <v>NA</v>
      </c>
      <c r="AA2065" s="10">
        <f t="shared" si="2389"/>
        <v>3.9015912573171985</v>
      </c>
      <c r="AB2065" s="10" t="str">
        <f t="shared" si="2390"/>
        <v>NA</v>
      </c>
      <c r="AC2065" s="10" t="str">
        <f t="shared" si="2391"/>
        <v>NA</v>
      </c>
      <c r="AD2065" s="10" t="str">
        <f t="shared" si="2392"/>
        <v>NA</v>
      </c>
      <c r="AE2065" s="10" t="str">
        <f t="shared" si="2393"/>
        <v>NA</v>
      </c>
      <c r="AF2065" s="1" t="s">
        <v>1649</v>
      </c>
    </row>
    <row r="2066" spans="1:32" x14ac:dyDescent="0.2">
      <c r="A2066" s="1" t="s">
        <v>6271</v>
      </c>
      <c r="B2066" s="1" t="s">
        <v>5</v>
      </c>
      <c r="C2066" s="1" t="s">
        <v>1575</v>
      </c>
      <c r="D2066" s="1" t="s">
        <v>1600</v>
      </c>
      <c r="E2066" s="1" t="s">
        <v>3025</v>
      </c>
      <c r="F2066" s="1" t="s">
        <v>1646</v>
      </c>
      <c r="G2066" s="4">
        <v>0.86750000000000005</v>
      </c>
      <c r="H2066" s="28">
        <v>41264</v>
      </c>
      <c r="I2066" s="29">
        <f t="shared" si="2397"/>
        <v>2012</v>
      </c>
      <c r="J2066" s="1" t="s">
        <v>1647</v>
      </c>
      <c r="K2066" s="1" t="s">
        <v>7</v>
      </c>
      <c r="L2066" s="11" t="str">
        <f t="shared" si="2394"/>
        <v>НЕТ</v>
      </c>
      <c r="M2066" s="10">
        <v>0</v>
      </c>
      <c r="N2066" s="10">
        <v>0</v>
      </c>
      <c r="O2066" s="10">
        <v>0.41136899999999998</v>
      </c>
      <c r="P2066" s="10">
        <f t="shared" si="2395"/>
        <v>0.47420057636887603</v>
      </c>
      <c r="Q2066" s="10" t="str">
        <f t="shared" si="2396"/>
        <v>NA</v>
      </c>
      <c r="R2066" s="10" t="s">
        <v>1575</v>
      </c>
      <c r="S2066" s="10" t="s">
        <v>1575</v>
      </c>
      <c r="T2066" s="10" t="s">
        <v>1575</v>
      </c>
      <c r="U2066" s="10" t="s">
        <v>1575</v>
      </c>
      <c r="V2066" s="10">
        <v>6.5556000000000003E-2</v>
      </c>
      <c r="W2066" s="10" t="s">
        <v>1575</v>
      </c>
      <c r="X2066" s="10" t="str">
        <f t="shared" si="2386"/>
        <v>NA</v>
      </c>
      <c r="Y2066" s="10" t="str">
        <f t="shared" si="2387"/>
        <v>NA</v>
      </c>
      <c r="Z2066" s="10" t="str">
        <f t="shared" si="2388"/>
        <v>NA</v>
      </c>
      <c r="AA2066" s="10">
        <f t="shared" si="2389"/>
        <v>7.2335190732942216</v>
      </c>
      <c r="AB2066" s="10" t="str">
        <f t="shared" si="2390"/>
        <v>NA</v>
      </c>
      <c r="AC2066" s="10" t="str">
        <f t="shared" si="2391"/>
        <v>NA</v>
      </c>
      <c r="AD2066" s="10" t="str">
        <f t="shared" si="2392"/>
        <v>NA</v>
      </c>
      <c r="AE2066" s="10" t="str">
        <f t="shared" si="2393"/>
        <v>NA</v>
      </c>
      <c r="AF2066" s="1" t="s">
        <v>1648</v>
      </c>
    </row>
    <row r="2067" spans="1:32" x14ac:dyDescent="0.2">
      <c r="A2067" s="1" t="s">
        <v>1652</v>
      </c>
      <c r="B2067" s="1" t="s">
        <v>5</v>
      </c>
      <c r="C2067" s="1" t="s">
        <v>1650</v>
      </c>
      <c r="D2067" s="1" t="s">
        <v>1601</v>
      </c>
      <c r="E2067" s="1" t="s">
        <v>1602</v>
      </c>
      <c r="F2067" s="1" t="s">
        <v>1563</v>
      </c>
      <c r="G2067" s="4">
        <f>58298236/3538928532*0.25+157074636/521993080*0.01</f>
        <v>7.1274861179330077E-3</v>
      </c>
      <c r="H2067" s="28">
        <v>44904</v>
      </c>
      <c r="I2067" s="29">
        <f t="shared" si="2397"/>
        <v>2022</v>
      </c>
      <c r="J2067" s="1" t="s">
        <v>1652</v>
      </c>
      <c r="K2067" s="1" t="s">
        <v>7</v>
      </c>
      <c r="L2067" s="11" t="str">
        <f t="shared" si="2394"/>
        <v>ДА</v>
      </c>
      <c r="M2067" s="10">
        <v>0</v>
      </c>
      <c r="N2067" s="10">
        <v>0</v>
      </c>
      <c r="O2067" s="10">
        <v>0.26113399999999998</v>
      </c>
      <c r="P2067" s="10">
        <f t="shared" si="2395"/>
        <v>36.637602049196218</v>
      </c>
      <c r="Q2067" s="10">
        <f t="shared" si="2396"/>
        <v>33.588602049196219</v>
      </c>
      <c r="R2067" s="10">
        <v>39.802999999999997</v>
      </c>
      <c r="S2067" s="10">
        <v>1.4849999999999999</v>
      </c>
      <c r="T2067" s="10">
        <v>1.081</v>
      </c>
      <c r="U2067" s="10">
        <v>0.81499999999999995</v>
      </c>
      <c r="V2067" s="10">
        <v>5.52</v>
      </c>
      <c r="W2067" s="10">
        <v>-3.0489999999999999</v>
      </c>
      <c r="X2067" s="10">
        <f t="shared" si="2386"/>
        <v>2.4709999999999996</v>
      </c>
      <c r="Y2067" s="10">
        <f t="shared" si="2387"/>
        <v>0.92047338263940459</v>
      </c>
      <c r="Z2067" s="10">
        <f t="shared" si="2388"/>
        <v>44.954112943799046</v>
      </c>
      <c r="AA2067" s="10">
        <f t="shared" si="2389"/>
        <v>6.6372467480427932</v>
      </c>
      <c r="AB2067" s="10">
        <f t="shared" si="2390"/>
        <v>0.84387111647856239</v>
      </c>
      <c r="AC2067" s="10">
        <f t="shared" si="2391"/>
        <v>22.618587238515975</v>
      </c>
      <c r="AD2067" s="10">
        <f t="shared" si="2392"/>
        <v>31.071787279552471</v>
      </c>
      <c r="AE2067" s="10">
        <f t="shared" si="2393"/>
        <v>13.593121023551689</v>
      </c>
      <c r="AF2067" s="1" t="s">
        <v>1651</v>
      </c>
    </row>
    <row r="2068" spans="1:32" x14ac:dyDescent="0.2">
      <c r="A2068" s="1" t="s">
        <v>6272</v>
      </c>
      <c r="B2068" s="1" t="s">
        <v>5</v>
      </c>
      <c r="C2068" s="1" t="s">
        <v>1575</v>
      </c>
      <c r="D2068" s="1" t="s">
        <v>1601</v>
      </c>
      <c r="E2068" s="1" t="s">
        <v>1608</v>
      </c>
      <c r="F2068" s="1" t="s">
        <v>1562</v>
      </c>
      <c r="G2068" s="4">
        <v>1</v>
      </c>
      <c r="H2068" s="28">
        <v>42978</v>
      </c>
      <c r="I2068" s="29">
        <f t="shared" si="2397"/>
        <v>2017</v>
      </c>
      <c r="J2068" s="1" t="s">
        <v>1430</v>
      </c>
      <c r="K2068" s="1" t="s">
        <v>7</v>
      </c>
      <c r="L2068" s="11" t="str">
        <f t="shared" si="2394"/>
        <v>НЕТ</v>
      </c>
      <c r="M2068" s="10">
        <v>0</v>
      </c>
      <c r="N2068" s="10">
        <v>0</v>
      </c>
      <c r="O2068" s="10"/>
      <c r="P2068" s="10">
        <f t="shared" si="2395"/>
        <v>0</v>
      </c>
      <c r="Q2068" s="10" t="str">
        <f t="shared" si="2396"/>
        <v>NA</v>
      </c>
      <c r="R2068" s="10" t="s">
        <v>1575</v>
      </c>
      <c r="S2068" s="10" t="s">
        <v>1575</v>
      </c>
      <c r="T2068" s="10" t="s">
        <v>1575</v>
      </c>
      <c r="U2068" s="10" t="s">
        <v>1575</v>
      </c>
      <c r="V2068" s="10" t="s">
        <v>1575</v>
      </c>
      <c r="W2068" s="10" t="s">
        <v>1575</v>
      </c>
      <c r="X2068" s="10" t="str">
        <f t="shared" si="2386"/>
        <v>NA</v>
      </c>
      <c r="Y2068" s="10" t="str">
        <f t="shared" si="2387"/>
        <v>NA</v>
      </c>
      <c r="Z2068" s="10" t="str">
        <f t="shared" si="2388"/>
        <v>NA</v>
      </c>
      <c r="AA2068" s="10" t="str">
        <f t="shared" si="2389"/>
        <v>NA</v>
      </c>
      <c r="AB2068" s="10" t="str">
        <f t="shared" si="2390"/>
        <v>NA</v>
      </c>
      <c r="AC2068" s="10" t="str">
        <f t="shared" si="2391"/>
        <v>NA</v>
      </c>
      <c r="AD2068" s="10" t="str">
        <f t="shared" si="2392"/>
        <v>NA</v>
      </c>
      <c r="AE2068" s="10" t="str">
        <f t="shared" si="2393"/>
        <v>NA</v>
      </c>
      <c r="AF2068" s="1" t="s">
        <v>1431</v>
      </c>
    </row>
    <row r="2069" spans="1:32" x14ac:dyDescent="0.2">
      <c r="A2069" s="1" t="s">
        <v>1463</v>
      </c>
      <c r="B2069" s="1" t="s">
        <v>5</v>
      </c>
      <c r="C2069" s="1" t="s">
        <v>1613</v>
      </c>
      <c r="D2069" s="1" t="s">
        <v>1601</v>
      </c>
      <c r="E2069" s="1" t="s">
        <v>1608</v>
      </c>
      <c r="F2069" s="1" t="s">
        <v>1562</v>
      </c>
      <c r="G2069" s="4">
        <f>98.03%-93.2%</f>
        <v>4.830000000000001E-2</v>
      </c>
      <c r="H2069" s="28">
        <v>44561</v>
      </c>
      <c r="I2069" s="29">
        <f t="shared" si="2397"/>
        <v>2021</v>
      </c>
      <c r="J2069" s="1" t="s">
        <v>1464</v>
      </c>
      <c r="K2069" s="1" t="s">
        <v>7</v>
      </c>
      <c r="L2069" s="11" t="str">
        <f t="shared" si="2394"/>
        <v>НЕТ</v>
      </c>
      <c r="M2069" s="10">
        <v>44</v>
      </c>
      <c r="N2069" s="10">
        <v>0</v>
      </c>
      <c r="O2069" s="10">
        <v>0</v>
      </c>
      <c r="P2069" s="10">
        <f t="shared" si="2395"/>
        <v>0</v>
      </c>
      <c r="Q2069" s="10">
        <f t="shared" si="2396"/>
        <v>-34.463999999999999</v>
      </c>
      <c r="R2069" s="10">
        <v>131.82900000000001</v>
      </c>
      <c r="S2069" s="10">
        <v>19.876000000000001</v>
      </c>
      <c r="T2069" s="10">
        <v>13.442</v>
      </c>
      <c r="U2069" s="10">
        <v>1.1180000000000001</v>
      </c>
      <c r="V2069" s="10">
        <v>115.883</v>
      </c>
      <c r="W2069" s="10">
        <v>-34.463999999999999</v>
      </c>
      <c r="X2069" s="10">
        <f t="shared" si="2386"/>
        <v>81.418999999999997</v>
      </c>
      <c r="Y2069" s="10">
        <f t="shared" si="2387"/>
        <v>0</v>
      </c>
      <c r="Z2069" s="10">
        <f t="shared" si="2388"/>
        <v>0</v>
      </c>
      <c r="AA2069" s="10">
        <f t="shared" si="2389"/>
        <v>0</v>
      </c>
      <c r="AB2069" s="10">
        <f t="shared" si="2390"/>
        <v>-0.26142957922763577</v>
      </c>
      <c r="AC2069" s="10">
        <f t="shared" si="2391"/>
        <v>-1.7339504930569529</v>
      </c>
      <c r="AD2069" s="10">
        <f t="shared" si="2392"/>
        <v>-2.5639041809254572</v>
      </c>
      <c r="AE2069" s="10">
        <f t="shared" si="2393"/>
        <v>-0.42329186062221347</v>
      </c>
      <c r="AF2069" s="1" t="s">
        <v>1449</v>
      </c>
    </row>
    <row r="2070" spans="1:32" x14ac:dyDescent="0.2">
      <c r="A2070" s="1" t="s">
        <v>6273</v>
      </c>
      <c r="B2070" s="1" t="s">
        <v>5</v>
      </c>
      <c r="C2070" s="1" t="s">
        <v>1575</v>
      </c>
      <c r="D2070" s="1" t="s">
        <v>1600</v>
      </c>
      <c r="E2070" s="1" t="s">
        <v>2049</v>
      </c>
      <c r="F2070" s="1" t="s">
        <v>1448</v>
      </c>
      <c r="G2070" s="4">
        <v>0.99</v>
      </c>
      <c r="H2070" s="28">
        <v>44104</v>
      </c>
      <c r="I2070" s="29">
        <f t="shared" si="2397"/>
        <v>2020</v>
      </c>
      <c r="J2070" s="1" t="s">
        <v>1464</v>
      </c>
      <c r="K2070" s="1" t="s">
        <v>7</v>
      </c>
      <c r="L2070" s="11" t="str">
        <f t="shared" si="2394"/>
        <v>НЕТ</v>
      </c>
      <c r="M2070" s="10">
        <v>7.0999999999999994E-2</v>
      </c>
      <c r="N2070" s="10">
        <v>0</v>
      </c>
      <c r="O2070" s="10">
        <v>0</v>
      </c>
      <c r="P2070" s="10">
        <f t="shared" si="2395"/>
        <v>0</v>
      </c>
      <c r="Q2070" s="10" t="str">
        <f t="shared" si="2396"/>
        <v>NA</v>
      </c>
      <c r="R2070" s="10" t="s">
        <v>1575</v>
      </c>
      <c r="S2070" s="10" t="s">
        <v>1575</v>
      </c>
      <c r="T2070" s="10" t="s">
        <v>1575</v>
      </c>
      <c r="U2070" s="10" t="s">
        <v>1575</v>
      </c>
      <c r="V2070" s="10" t="s">
        <v>1575</v>
      </c>
      <c r="W2070" s="10" t="s">
        <v>1575</v>
      </c>
      <c r="X2070" s="10" t="str">
        <f t="shared" si="2386"/>
        <v>NA</v>
      </c>
      <c r="Y2070" s="10" t="str">
        <f t="shared" si="2387"/>
        <v>NA</v>
      </c>
      <c r="Z2070" s="10" t="str">
        <f t="shared" si="2388"/>
        <v>NA</v>
      </c>
      <c r="AA2070" s="10" t="str">
        <f t="shared" si="2389"/>
        <v>NA</v>
      </c>
      <c r="AB2070" s="10" t="str">
        <f t="shared" si="2390"/>
        <v>NA</v>
      </c>
      <c r="AC2070" s="10" t="str">
        <f t="shared" si="2391"/>
        <v>NA</v>
      </c>
      <c r="AD2070" s="10" t="str">
        <f t="shared" si="2392"/>
        <v>NA</v>
      </c>
      <c r="AE2070" s="10" t="str">
        <f t="shared" si="2393"/>
        <v>NA</v>
      </c>
      <c r="AF2070" s="1" t="s">
        <v>1447</v>
      </c>
    </row>
    <row r="2071" spans="1:32" x14ac:dyDescent="0.2">
      <c r="A2071" s="1" t="s">
        <v>1463</v>
      </c>
      <c r="B2071" s="1" t="s">
        <v>5</v>
      </c>
      <c r="C2071" s="1" t="s">
        <v>1613</v>
      </c>
      <c r="D2071" s="1" t="s">
        <v>1601</v>
      </c>
      <c r="E2071" s="1" t="s">
        <v>1608</v>
      </c>
      <c r="F2071" s="1" t="s">
        <v>1562</v>
      </c>
      <c r="G2071" s="4">
        <v>4.0000000000000001E-3</v>
      </c>
      <c r="H2071" s="28">
        <v>43830</v>
      </c>
      <c r="I2071" s="29">
        <f t="shared" si="2397"/>
        <v>2019</v>
      </c>
      <c r="J2071" s="1" t="s">
        <v>1464</v>
      </c>
      <c r="K2071" s="1" t="s">
        <v>7</v>
      </c>
      <c r="L2071" s="11" t="str">
        <f t="shared" si="2394"/>
        <v>НЕТ</v>
      </c>
      <c r="M2071" s="10">
        <v>5</v>
      </c>
      <c r="N2071" s="10">
        <v>0</v>
      </c>
      <c r="O2071" s="10">
        <v>0</v>
      </c>
      <c r="P2071" s="10">
        <f t="shared" si="2395"/>
        <v>0</v>
      </c>
      <c r="Q2071" s="10">
        <f t="shared" si="2396"/>
        <v>-5.5649999999999871</v>
      </c>
      <c r="R2071" s="10">
        <v>117.253</v>
      </c>
      <c r="S2071" s="10">
        <v>23.753</v>
      </c>
      <c r="T2071" s="10">
        <v>17.477999999999998</v>
      </c>
      <c r="U2071" s="10">
        <v>12.084</v>
      </c>
      <c r="V2071" s="10">
        <v>84.706999999999994</v>
      </c>
      <c r="W2071" s="10">
        <v>-5.5649999999999871</v>
      </c>
      <c r="X2071" s="10">
        <f t="shared" si="2386"/>
        <v>79.14200000000001</v>
      </c>
      <c r="Y2071" s="10">
        <f t="shared" si="2387"/>
        <v>0</v>
      </c>
      <c r="Z2071" s="10">
        <f t="shared" si="2388"/>
        <v>0</v>
      </c>
      <c r="AA2071" s="10">
        <f t="shared" si="2389"/>
        <v>0</v>
      </c>
      <c r="AB2071" s="10">
        <f t="shared" si="2390"/>
        <v>-4.7461472201137597E-2</v>
      </c>
      <c r="AC2071" s="10">
        <f t="shared" si="2391"/>
        <v>-0.2342861954279454</v>
      </c>
      <c r="AD2071" s="10">
        <f t="shared" si="2392"/>
        <v>-0.31840027463096393</v>
      </c>
      <c r="AE2071" s="10">
        <f t="shared" si="2393"/>
        <v>-7.0316646028657184E-2</v>
      </c>
      <c r="AF2071" s="1" t="s">
        <v>1450</v>
      </c>
    </row>
    <row r="2072" spans="1:32" x14ac:dyDescent="0.2">
      <c r="A2072" s="1" t="s">
        <v>1463</v>
      </c>
      <c r="B2072" s="1" t="s">
        <v>5</v>
      </c>
      <c r="C2072" s="1" t="s">
        <v>1613</v>
      </c>
      <c r="D2072" s="1" t="s">
        <v>1601</v>
      </c>
      <c r="E2072" s="1" t="s">
        <v>1608</v>
      </c>
      <c r="F2072" s="1" t="s">
        <v>1562</v>
      </c>
      <c r="G2072" s="4">
        <v>3.0000000000000001E-3</v>
      </c>
      <c r="H2072" s="28">
        <v>43373</v>
      </c>
      <c r="I2072" s="29">
        <f t="shared" si="2397"/>
        <v>2018</v>
      </c>
      <c r="J2072" s="1" t="s">
        <v>1464</v>
      </c>
      <c r="K2072" s="1" t="s">
        <v>7</v>
      </c>
      <c r="L2072" s="11" t="str">
        <f t="shared" si="2394"/>
        <v>НЕТ</v>
      </c>
      <c r="M2072" s="10">
        <v>3</v>
      </c>
      <c r="N2072" s="10">
        <v>0</v>
      </c>
      <c r="O2072" s="10">
        <v>0</v>
      </c>
      <c r="P2072" s="10">
        <f t="shared" si="2395"/>
        <v>0</v>
      </c>
      <c r="Q2072" s="10">
        <f t="shared" si="2396"/>
        <v>0.39100000000001067</v>
      </c>
      <c r="R2072" s="10">
        <v>136.97399999999999</v>
      </c>
      <c r="S2072" s="10">
        <v>36.143000000000001</v>
      </c>
      <c r="T2072" s="10">
        <v>30.515000000000001</v>
      </c>
      <c r="U2072" s="10">
        <v>21.699000000000002</v>
      </c>
      <c r="V2072" s="10">
        <v>63.063000000000002</v>
      </c>
      <c r="W2072" s="10">
        <v>0.39100000000001067</v>
      </c>
      <c r="X2072" s="10">
        <f t="shared" si="2386"/>
        <v>63.454000000000015</v>
      </c>
      <c r="Y2072" s="10">
        <f t="shared" si="2387"/>
        <v>0</v>
      </c>
      <c r="Z2072" s="10">
        <f t="shared" si="2388"/>
        <v>0</v>
      </c>
      <c r="AA2072" s="10">
        <f t="shared" si="2389"/>
        <v>0</v>
      </c>
      <c r="AB2072" s="10">
        <f t="shared" si="2390"/>
        <v>2.8545563391593346E-3</v>
      </c>
      <c r="AC2072" s="10">
        <f t="shared" si="2391"/>
        <v>1.0818139058739193E-2</v>
      </c>
      <c r="AD2072" s="10">
        <f t="shared" si="2392"/>
        <v>1.2813370473537955E-2</v>
      </c>
      <c r="AE2072" s="10">
        <f t="shared" si="2393"/>
        <v>6.1619440854794117E-3</v>
      </c>
      <c r="AF2072" s="1" t="s">
        <v>1451</v>
      </c>
    </row>
    <row r="2073" spans="1:32" x14ac:dyDescent="0.2">
      <c r="A2073" s="1" t="s">
        <v>6274</v>
      </c>
      <c r="B2073" s="1" t="s">
        <v>5</v>
      </c>
      <c r="C2073" s="1" t="s">
        <v>1575</v>
      </c>
      <c r="D2073" s="1" t="s">
        <v>1584</v>
      </c>
      <c r="E2073" s="1" t="s">
        <v>3486</v>
      </c>
      <c r="F2073" s="1" t="s">
        <v>46</v>
      </c>
      <c r="G2073" s="4">
        <v>1</v>
      </c>
      <c r="H2073" s="28">
        <v>42766</v>
      </c>
      <c r="I2073" s="29">
        <f t="shared" si="2397"/>
        <v>2017</v>
      </c>
      <c r="J2073" s="1" t="s">
        <v>1464</v>
      </c>
      <c r="K2073" s="1" t="s">
        <v>7</v>
      </c>
      <c r="L2073" s="11" t="str">
        <f t="shared" si="2394"/>
        <v>НЕТ</v>
      </c>
      <c r="M2073" s="10">
        <v>3</v>
      </c>
      <c r="N2073" s="10">
        <v>0</v>
      </c>
      <c r="O2073" s="10">
        <v>0</v>
      </c>
      <c r="P2073" s="10">
        <f t="shared" si="2395"/>
        <v>0</v>
      </c>
      <c r="Q2073" s="10" t="str">
        <f t="shared" si="2396"/>
        <v>NA</v>
      </c>
      <c r="R2073" s="10" t="s">
        <v>1575</v>
      </c>
      <c r="S2073" s="10" t="s">
        <v>1575</v>
      </c>
      <c r="T2073" s="10" t="s">
        <v>1575</v>
      </c>
      <c r="U2073" s="10" t="s">
        <v>1575</v>
      </c>
      <c r="V2073" s="10" t="s">
        <v>1575</v>
      </c>
      <c r="W2073" s="10" t="s">
        <v>1575</v>
      </c>
      <c r="X2073" s="10" t="str">
        <f t="shared" si="2386"/>
        <v>NA</v>
      </c>
      <c r="Y2073" s="10" t="str">
        <f t="shared" si="2387"/>
        <v>NA</v>
      </c>
      <c r="Z2073" s="10" t="str">
        <f t="shared" si="2388"/>
        <v>NA</v>
      </c>
      <c r="AA2073" s="10" t="str">
        <f t="shared" si="2389"/>
        <v>NA</v>
      </c>
      <c r="AB2073" s="10" t="str">
        <f t="shared" si="2390"/>
        <v>NA</v>
      </c>
      <c r="AC2073" s="10" t="str">
        <f t="shared" si="2391"/>
        <v>NA</v>
      </c>
      <c r="AD2073" s="10" t="str">
        <f t="shared" si="2392"/>
        <v>NA</v>
      </c>
      <c r="AE2073" s="10" t="str">
        <f t="shared" si="2393"/>
        <v>NA</v>
      </c>
      <c r="AF2073" s="1" t="s">
        <v>1456</v>
      </c>
    </row>
    <row r="2074" spans="1:32" x14ac:dyDescent="0.2">
      <c r="A2074" s="1" t="s">
        <v>1463</v>
      </c>
      <c r="B2074" s="1" t="s">
        <v>5</v>
      </c>
      <c r="C2074" s="1" t="s">
        <v>1613</v>
      </c>
      <c r="D2074" s="1" t="s">
        <v>1601</v>
      </c>
      <c r="E2074" s="1" t="s">
        <v>1608</v>
      </c>
      <c r="F2074" s="1" t="s">
        <v>1562</v>
      </c>
      <c r="G2074" s="4">
        <v>0.40300000000000002</v>
      </c>
      <c r="H2074" s="28">
        <v>42551</v>
      </c>
      <c r="I2074" s="29">
        <f t="shared" si="2397"/>
        <v>2016</v>
      </c>
      <c r="J2074" s="1" t="s">
        <v>1464</v>
      </c>
      <c r="K2074" s="1" t="s">
        <v>377</v>
      </c>
      <c r="L2074" s="11" t="str">
        <f t="shared" si="2394"/>
        <v>НЕТ</v>
      </c>
      <c r="M2074" s="10">
        <v>1047</v>
      </c>
      <c r="N2074" s="10">
        <v>0</v>
      </c>
      <c r="O2074" s="10">
        <v>0</v>
      </c>
      <c r="P2074" s="10">
        <f t="shared" si="2395"/>
        <v>0</v>
      </c>
      <c r="Q2074" s="10">
        <f t="shared" si="2396"/>
        <v>28.309000000000012</v>
      </c>
      <c r="R2074" s="10">
        <v>125.735</v>
      </c>
      <c r="S2074" s="10">
        <v>25.751999999999999</v>
      </c>
      <c r="T2074" s="10">
        <v>20.536999999999999</v>
      </c>
      <c r="U2074" s="10">
        <v>13.194000000000001</v>
      </c>
      <c r="V2074" s="10">
        <v>36.557000000000002</v>
      </c>
      <c r="W2074" s="10">
        <v>28.309000000000012</v>
      </c>
      <c r="X2074" s="10">
        <f t="shared" si="2386"/>
        <v>64.866000000000014</v>
      </c>
      <c r="Y2074" s="10">
        <f t="shared" si="2387"/>
        <v>0</v>
      </c>
      <c r="Z2074" s="10">
        <f t="shared" si="2388"/>
        <v>0</v>
      </c>
      <c r="AA2074" s="10">
        <f t="shared" si="2389"/>
        <v>0</v>
      </c>
      <c r="AB2074" s="10">
        <f t="shared" si="2390"/>
        <v>0.22514812900147144</v>
      </c>
      <c r="AC2074" s="10">
        <f t="shared" si="2391"/>
        <v>1.0992932587760178</v>
      </c>
      <c r="AD2074" s="10">
        <f t="shared" si="2392"/>
        <v>1.3784389151287926</v>
      </c>
      <c r="AE2074" s="10">
        <f t="shared" si="2393"/>
        <v>0.43642277926802958</v>
      </c>
      <c r="AF2074" s="1" t="s">
        <v>1452</v>
      </c>
    </row>
    <row r="2075" spans="1:32" x14ac:dyDescent="0.2">
      <c r="A2075" s="1" t="s">
        <v>6275</v>
      </c>
      <c r="B2075" s="1" t="s">
        <v>5</v>
      </c>
      <c r="C2075" s="1" t="s">
        <v>1614</v>
      </c>
      <c r="D2075" s="1" t="s">
        <v>1601</v>
      </c>
      <c r="E2075" s="1" t="s">
        <v>1608</v>
      </c>
      <c r="F2075" s="1" t="s">
        <v>1562</v>
      </c>
      <c r="G2075" s="4">
        <v>0.1</v>
      </c>
      <c r="H2075" s="28">
        <v>42551</v>
      </c>
      <c r="I2075" s="29">
        <f t="shared" si="2397"/>
        <v>2016</v>
      </c>
      <c r="J2075" s="1" t="s">
        <v>6276</v>
      </c>
      <c r="K2075" s="1" t="s">
        <v>7</v>
      </c>
      <c r="L2075" s="11" t="str">
        <f t="shared" si="2394"/>
        <v>НЕТ</v>
      </c>
      <c r="M2075" s="10">
        <v>50</v>
      </c>
      <c r="N2075" s="10">
        <v>0</v>
      </c>
      <c r="O2075" s="10">
        <v>0</v>
      </c>
      <c r="P2075" s="10">
        <f t="shared" si="2395"/>
        <v>0</v>
      </c>
      <c r="Q2075" s="10">
        <f t="shared" si="2396"/>
        <v>-19.714000000000002</v>
      </c>
      <c r="R2075" s="10">
        <v>13.526999999999999</v>
      </c>
      <c r="S2075" s="10">
        <v>11.026</v>
      </c>
      <c r="T2075" s="10">
        <v>10.58</v>
      </c>
      <c r="U2075" s="10">
        <v>10.311</v>
      </c>
      <c r="V2075" s="10">
        <v>33.226999999999997</v>
      </c>
      <c r="W2075" s="10">
        <v>-19.714000000000002</v>
      </c>
      <c r="X2075" s="10">
        <f t="shared" si="2386"/>
        <v>13.512999999999995</v>
      </c>
      <c r="Y2075" s="10">
        <f t="shared" si="2387"/>
        <v>0</v>
      </c>
      <c r="Z2075" s="10">
        <f t="shared" si="2388"/>
        <v>0</v>
      </c>
      <c r="AA2075" s="10">
        <f t="shared" si="2389"/>
        <v>0</v>
      </c>
      <c r="AB2075" s="10">
        <f t="shared" si="2390"/>
        <v>-1.4573815332298368</v>
      </c>
      <c r="AC2075" s="10">
        <f t="shared" si="2391"/>
        <v>-1.7879557409758755</v>
      </c>
      <c r="AD2075" s="10">
        <f t="shared" si="2392"/>
        <v>-1.863327032136106</v>
      </c>
      <c r="AE2075" s="10">
        <f t="shared" si="2393"/>
        <v>-1.45889143787464</v>
      </c>
      <c r="AF2075" s="1" t="s">
        <v>1453</v>
      </c>
    </row>
    <row r="2076" spans="1:32" x14ac:dyDescent="0.2">
      <c r="A2076" s="1" t="s">
        <v>1455</v>
      </c>
      <c r="B2076" s="1" t="s">
        <v>1575</v>
      </c>
      <c r="C2076" s="1" t="s">
        <v>1575</v>
      </c>
      <c r="D2076" s="1" t="s">
        <v>1575</v>
      </c>
      <c r="E2076" s="1" t="s">
        <v>1575</v>
      </c>
      <c r="F2076" s="1" t="s">
        <v>1575</v>
      </c>
      <c r="G2076" s="4">
        <v>1</v>
      </c>
      <c r="H2076" s="28">
        <v>40481</v>
      </c>
      <c r="I2076" s="29">
        <f t="shared" si="2397"/>
        <v>2010</v>
      </c>
      <c r="J2076" s="1" t="s">
        <v>1464</v>
      </c>
      <c r="K2076" s="1" t="s">
        <v>7</v>
      </c>
      <c r="L2076" s="11" t="str">
        <f t="shared" si="2394"/>
        <v>НЕТ</v>
      </c>
      <c r="M2076" s="10">
        <v>23</v>
      </c>
      <c r="N2076" s="10">
        <v>0</v>
      </c>
      <c r="O2076" s="10">
        <v>0</v>
      </c>
      <c r="P2076" s="10">
        <f t="shared" si="2395"/>
        <v>0</v>
      </c>
      <c r="Q2076" s="10" t="str">
        <f t="shared" si="2396"/>
        <v>NA</v>
      </c>
      <c r="R2076" s="10" t="s">
        <v>1575</v>
      </c>
      <c r="S2076" s="10" t="s">
        <v>1575</v>
      </c>
      <c r="T2076" s="10" t="s">
        <v>1575</v>
      </c>
      <c r="U2076" s="10" t="s">
        <v>1575</v>
      </c>
      <c r="V2076" s="10" t="s">
        <v>1575</v>
      </c>
      <c r="W2076" s="10" t="s">
        <v>1575</v>
      </c>
      <c r="X2076" s="10" t="str">
        <f t="shared" si="2386"/>
        <v>NA</v>
      </c>
      <c r="Y2076" s="10" t="str">
        <f t="shared" si="2387"/>
        <v>NA</v>
      </c>
      <c r="Z2076" s="10" t="str">
        <f t="shared" si="2388"/>
        <v>NA</v>
      </c>
      <c r="AA2076" s="10" t="str">
        <f t="shared" si="2389"/>
        <v>NA</v>
      </c>
      <c r="AB2076" s="10" t="str">
        <f t="shared" si="2390"/>
        <v>NA</v>
      </c>
      <c r="AC2076" s="10" t="str">
        <f t="shared" si="2391"/>
        <v>NA</v>
      </c>
      <c r="AD2076" s="10" t="str">
        <f t="shared" si="2392"/>
        <v>NA</v>
      </c>
      <c r="AE2076" s="10" t="str">
        <f t="shared" si="2393"/>
        <v>NA</v>
      </c>
      <c r="AF2076" s="1" t="s">
        <v>1454</v>
      </c>
    </row>
    <row r="2077" spans="1:32" x14ac:dyDescent="0.2">
      <c r="A2077" s="1" t="s">
        <v>1463</v>
      </c>
      <c r="B2077" s="1" t="s">
        <v>5</v>
      </c>
      <c r="C2077" s="1" t="s">
        <v>1613</v>
      </c>
      <c r="D2077" s="1" t="s">
        <v>1601</v>
      </c>
      <c r="E2077" s="1" t="s">
        <v>1608</v>
      </c>
      <c r="F2077" s="1" t="s">
        <v>1562</v>
      </c>
      <c r="G2077" s="4">
        <f>5085986/4766807700</f>
        <v>1.0669585013886756E-3</v>
      </c>
      <c r="H2077" s="28">
        <v>44286</v>
      </c>
      <c r="I2077" s="29">
        <f t="shared" si="2397"/>
        <v>2021</v>
      </c>
      <c r="J2077" s="1" t="s">
        <v>1466</v>
      </c>
      <c r="K2077" s="1" t="s">
        <v>7</v>
      </c>
      <c r="L2077" s="11" t="str">
        <f t="shared" si="2394"/>
        <v>НЕТ</v>
      </c>
      <c r="M2077" s="10">
        <v>0</v>
      </c>
      <c r="N2077" s="10">
        <v>0</v>
      </c>
      <c r="O2077" s="10">
        <v>5.8000000000000003E-2</v>
      </c>
      <c r="P2077" s="10">
        <f t="shared" si="2395"/>
        <v>54.360127338140536</v>
      </c>
      <c r="Q2077" s="10">
        <f t="shared" si="2396"/>
        <v>49.011127338140547</v>
      </c>
      <c r="R2077" s="10">
        <v>115.07599999999999</v>
      </c>
      <c r="S2077" s="10">
        <v>19.100999999999999</v>
      </c>
      <c r="T2077" s="10">
        <v>12.796000000000001</v>
      </c>
      <c r="U2077" s="10">
        <v>1.954</v>
      </c>
      <c r="V2077" s="10">
        <v>90.411000000000001</v>
      </c>
      <c r="W2077" s="10">
        <v>-5.3489999999999895</v>
      </c>
      <c r="X2077" s="10">
        <f t="shared" si="2386"/>
        <v>85.062000000000012</v>
      </c>
      <c r="Y2077" s="10">
        <f t="shared" si="2387"/>
        <v>0.47238457487347962</v>
      </c>
      <c r="Z2077" s="10">
        <f t="shared" si="2388"/>
        <v>27.819921872129243</v>
      </c>
      <c r="AA2077" s="10">
        <f t="shared" si="2389"/>
        <v>0.60125568059351775</v>
      </c>
      <c r="AB2077" s="10">
        <f t="shared" si="2390"/>
        <v>0.42590225014894983</v>
      </c>
      <c r="AC2077" s="10">
        <f t="shared" si="2391"/>
        <v>2.5658932693649836</v>
      </c>
      <c r="AD2077" s="10">
        <f t="shared" si="2392"/>
        <v>3.8301912580603736</v>
      </c>
      <c r="AE2077" s="10">
        <f t="shared" si="2393"/>
        <v>0.57618122473184896</v>
      </c>
      <c r="AF2077" s="1" t="s">
        <v>1467</v>
      </c>
    </row>
    <row r="2078" spans="1:32" x14ac:dyDescent="0.2">
      <c r="A2078" s="1" t="s">
        <v>1464</v>
      </c>
      <c r="B2078" s="1" t="s">
        <v>5</v>
      </c>
      <c r="C2078" s="1" t="s">
        <v>2164</v>
      </c>
      <c r="D2078" s="1" t="s">
        <v>1580</v>
      </c>
      <c r="E2078" s="1" t="s">
        <v>2165</v>
      </c>
      <c r="F2078" s="1" t="s">
        <v>173</v>
      </c>
      <c r="G2078" s="4">
        <v>0.2137</v>
      </c>
      <c r="H2078" s="28">
        <v>43889</v>
      </c>
      <c r="I2078" s="29">
        <f t="shared" si="2397"/>
        <v>2020</v>
      </c>
      <c r="J2078" s="1" t="s">
        <v>1463</v>
      </c>
      <c r="K2078" s="1" t="s">
        <v>7</v>
      </c>
      <c r="L2078" s="11" t="str">
        <f t="shared" si="2394"/>
        <v>НЕТ</v>
      </c>
      <c r="M2078" s="10">
        <v>0</v>
      </c>
      <c r="N2078" s="10">
        <v>0</v>
      </c>
      <c r="O2078" s="10">
        <v>100.76</v>
      </c>
      <c r="P2078" s="10">
        <f t="shared" si="2395"/>
        <v>471.50210575573237</v>
      </c>
      <c r="Q2078" s="10">
        <f t="shared" si="2396"/>
        <v>939.57110345573244</v>
      </c>
      <c r="R2078" s="10">
        <v>759.39581420162597</v>
      </c>
      <c r="S2078" s="10">
        <v>115.15004602682927</v>
      </c>
      <c r="T2078" s="10">
        <v>63.067589743089435</v>
      </c>
      <c r="U2078" s="10">
        <v>84.262435476422752</v>
      </c>
      <c r="V2078" s="10">
        <v>456.36882040000012</v>
      </c>
      <c r="W2078" s="10">
        <v>468.06899770000007</v>
      </c>
      <c r="X2078" s="10">
        <f t="shared" si="2386"/>
        <v>924.43781810000019</v>
      </c>
      <c r="Y2078" s="10">
        <f t="shared" si="2387"/>
        <v>0.62089110439914097</v>
      </c>
      <c r="Z2078" s="10">
        <f t="shared" si="2388"/>
        <v>5.5956382353517675</v>
      </c>
      <c r="AA2078" s="10">
        <f t="shared" si="2389"/>
        <v>1.0331602087593719</v>
      </c>
      <c r="AB2078" s="10">
        <f t="shared" si="2390"/>
        <v>1.2372613673720729</v>
      </c>
      <c r="AC2078" s="10">
        <f t="shared" si="2391"/>
        <v>8.1595373677646474</v>
      </c>
      <c r="AD2078" s="10">
        <f t="shared" si="2392"/>
        <v>14.897843841553893</v>
      </c>
      <c r="AE2078" s="10">
        <f t="shared" si="2393"/>
        <v>1.0163702577495539</v>
      </c>
      <c r="AF2078" s="1" t="s">
        <v>1465</v>
      </c>
    </row>
    <row r="2079" spans="1:32" x14ac:dyDescent="0.2">
      <c r="A2079" s="1" t="s">
        <v>6277</v>
      </c>
      <c r="B2079" s="1" t="s">
        <v>5</v>
      </c>
      <c r="C2079" s="1" t="s">
        <v>1575</v>
      </c>
      <c r="D2079" s="1" t="s">
        <v>1601</v>
      </c>
      <c r="E2079" s="1" t="s">
        <v>5352</v>
      </c>
      <c r="F2079" s="1" t="s">
        <v>110</v>
      </c>
      <c r="G2079" s="4">
        <v>0.58399999999999996</v>
      </c>
      <c r="H2079" s="28">
        <v>41640</v>
      </c>
      <c r="I2079" s="29">
        <f t="shared" si="2397"/>
        <v>2014</v>
      </c>
      <c r="J2079" s="1" t="s">
        <v>1463</v>
      </c>
      <c r="K2079" s="1" t="s">
        <v>7</v>
      </c>
      <c r="L2079" s="11" t="str">
        <f t="shared" si="2394"/>
        <v>НЕТ</v>
      </c>
      <c r="M2079" s="10">
        <v>0</v>
      </c>
      <c r="N2079" s="10">
        <v>0</v>
      </c>
      <c r="O2079" s="10">
        <v>1.121</v>
      </c>
      <c r="P2079" s="10">
        <f t="shared" si="2395"/>
        <v>1.9195205479452055</v>
      </c>
      <c r="Q2079" s="10" t="str">
        <f t="shared" si="2396"/>
        <v>NA</v>
      </c>
      <c r="R2079" s="10" t="s">
        <v>1575</v>
      </c>
      <c r="S2079" s="10" t="s">
        <v>1575</v>
      </c>
      <c r="T2079" s="10" t="s">
        <v>1575</v>
      </c>
      <c r="U2079" s="10" t="s">
        <v>1575</v>
      </c>
      <c r="V2079" s="10" t="s">
        <v>1575</v>
      </c>
      <c r="W2079" s="10" t="s">
        <v>1575</v>
      </c>
      <c r="X2079" s="10" t="str">
        <f t="shared" si="2386"/>
        <v>NA</v>
      </c>
      <c r="Y2079" s="10" t="str">
        <f t="shared" si="2387"/>
        <v>NA</v>
      </c>
      <c r="Z2079" s="10" t="str">
        <f t="shared" si="2388"/>
        <v>NA</v>
      </c>
      <c r="AA2079" s="10" t="str">
        <f t="shared" si="2389"/>
        <v>NA</v>
      </c>
      <c r="AB2079" s="10" t="str">
        <f t="shared" si="2390"/>
        <v>NA</v>
      </c>
      <c r="AC2079" s="10" t="str">
        <f t="shared" si="2391"/>
        <v>NA</v>
      </c>
      <c r="AD2079" s="10" t="str">
        <f t="shared" si="2392"/>
        <v>NA</v>
      </c>
      <c r="AE2079" s="10" t="str">
        <f t="shared" si="2393"/>
        <v>NA</v>
      </c>
    </row>
    <row r="2080" spans="1:32" x14ac:dyDescent="0.2">
      <c r="A2080" s="1" t="s">
        <v>417</v>
      </c>
      <c r="B2080" s="1" t="s">
        <v>5</v>
      </c>
      <c r="C2080" s="1" t="s">
        <v>1575</v>
      </c>
      <c r="D2080" s="1" t="s">
        <v>1615</v>
      </c>
      <c r="E2080" s="1" t="s">
        <v>1616</v>
      </c>
      <c r="F2080" s="1" t="s">
        <v>1341</v>
      </c>
      <c r="G2080" s="4">
        <v>0.999</v>
      </c>
      <c r="H2080" s="28">
        <v>41640</v>
      </c>
      <c r="I2080" s="29">
        <f t="shared" si="2397"/>
        <v>2014</v>
      </c>
      <c r="J2080" s="1" t="s">
        <v>1463</v>
      </c>
      <c r="K2080" s="1" t="s">
        <v>7</v>
      </c>
      <c r="L2080" s="11" t="str">
        <f t="shared" si="2394"/>
        <v>НЕТ</v>
      </c>
      <c r="M2080" s="10">
        <v>0</v>
      </c>
      <c r="N2080" s="10">
        <v>0</v>
      </c>
      <c r="O2080" s="10">
        <v>1</v>
      </c>
      <c r="P2080" s="10">
        <f t="shared" si="2395"/>
        <v>1.0010010010010011</v>
      </c>
      <c r="Q2080" s="10" t="str">
        <f t="shared" si="2396"/>
        <v>NA</v>
      </c>
      <c r="R2080" s="10" t="s">
        <v>1575</v>
      </c>
      <c r="S2080" s="10" t="s">
        <v>1575</v>
      </c>
      <c r="T2080" s="10" t="s">
        <v>1575</v>
      </c>
      <c r="U2080" s="10" t="s">
        <v>1575</v>
      </c>
      <c r="V2080" s="10" t="s">
        <v>1575</v>
      </c>
      <c r="W2080" s="10" t="s">
        <v>1575</v>
      </c>
      <c r="X2080" s="10" t="str">
        <f t="shared" si="2386"/>
        <v>NA</v>
      </c>
      <c r="Y2080" s="10" t="str">
        <f t="shared" si="2387"/>
        <v>NA</v>
      </c>
      <c r="Z2080" s="10" t="str">
        <f t="shared" si="2388"/>
        <v>NA</v>
      </c>
      <c r="AA2080" s="10" t="str">
        <f t="shared" si="2389"/>
        <v>NA</v>
      </c>
      <c r="AB2080" s="10" t="str">
        <f t="shared" si="2390"/>
        <v>NA</v>
      </c>
      <c r="AC2080" s="10" t="str">
        <f t="shared" si="2391"/>
        <v>NA</v>
      </c>
      <c r="AD2080" s="10" t="str">
        <f t="shared" si="2392"/>
        <v>NA</v>
      </c>
      <c r="AE2080" s="10" t="str">
        <f t="shared" si="2393"/>
        <v>NA</v>
      </c>
    </row>
    <row r="2081" spans="1:32" x14ac:dyDescent="0.2">
      <c r="A2081" s="1" t="s">
        <v>418</v>
      </c>
      <c r="B2081" s="1" t="s">
        <v>179</v>
      </c>
      <c r="C2081" s="1" t="s">
        <v>1575</v>
      </c>
      <c r="D2081" s="1" t="s">
        <v>1601</v>
      </c>
      <c r="E2081" s="1" t="s">
        <v>5352</v>
      </c>
      <c r="F2081" s="1" t="s">
        <v>110</v>
      </c>
      <c r="G2081" s="4">
        <v>0.246</v>
      </c>
      <c r="H2081" s="28">
        <v>41640</v>
      </c>
      <c r="I2081" s="29">
        <f t="shared" si="2397"/>
        <v>2014</v>
      </c>
      <c r="J2081" s="1" t="s">
        <v>1463</v>
      </c>
      <c r="K2081" s="1" t="s">
        <v>7</v>
      </c>
      <c r="L2081" s="11" t="str">
        <f t="shared" si="2394"/>
        <v>НЕТ</v>
      </c>
      <c r="M2081" s="10">
        <v>0</v>
      </c>
      <c r="N2081" s="10">
        <v>0</v>
      </c>
      <c r="O2081" s="10">
        <v>2.5</v>
      </c>
      <c r="P2081" s="10">
        <f t="shared" si="2395"/>
        <v>10.16260162601626</v>
      </c>
      <c r="Q2081" s="10" t="str">
        <f t="shared" si="2396"/>
        <v>NA</v>
      </c>
      <c r="R2081" s="10" t="s">
        <v>1575</v>
      </c>
      <c r="S2081" s="10" t="s">
        <v>1575</v>
      </c>
      <c r="T2081" s="10" t="s">
        <v>1575</v>
      </c>
      <c r="U2081" s="10" t="s">
        <v>1575</v>
      </c>
      <c r="V2081" s="10" t="s">
        <v>1575</v>
      </c>
      <c r="W2081" s="10" t="s">
        <v>1575</v>
      </c>
      <c r="X2081" s="10" t="str">
        <f t="shared" ref="X2081:X2144" si="2398">IFERROR(V2081+W2081,"NA")</f>
        <v>NA</v>
      </c>
      <c r="Y2081" s="10" t="str">
        <f t="shared" ref="Y2081:Y2144" si="2399">IFERROR(P2081/R2081,"NA")</f>
        <v>NA</v>
      </c>
      <c r="Z2081" s="10" t="str">
        <f t="shared" ref="Z2081:Z2144" si="2400">IFERROR(P2081/U2081,"NA")</f>
        <v>NA</v>
      </c>
      <c r="AA2081" s="10" t="str">
        <f t="shared" ref="AA2081:AA2144" si="2401">IFERROR(P2081/V2081,"NA")</f>
        <v>NA</v>
      </c>
      <c r="AB2081" s="10" t="str">
        <f t="shared" ref="AB2081:AB2144" si="2402">IFERROR(Q2081/R2081,"NA")</f>
        <v>NA</v>
      </c>
      <c r="AC2081" s="10" t="str">
        <f t="shared" ref="AC2081:AC2144" si="2403">IFERROR(Q2081/S2081,"NA")</f>
        <v>NA</v>
      </c>
      <c r="AD2081" s="10" t="str">
        <f t="shared" ref="AD2081:AD2144" si="2404">IFERROR(Q2081/T2081,"NA")</f>
        <v>NA</v>
      </c>
      <c r="AE2081" s="10" t="str">
        <f t="shared" ref="AE2081:AE2144" si="2405">IFERROR(Q2081/X2081,"NA")</f>
        <v>NA</v>
      </c>
      <c r="AF2081" s="1" t="s">
        <v>419</v>
      </c>
    </row>
    <row r="2082" spans="1:32" x14ac:dyDescent="0.2">
      <c r="A2082" s="1" t="s">
        <v>420</v>
      </c>
      <c r="B2082" s="1" t="s">
        <v>5</v>
      </c>
      <c r="C2082" s="1" t="s">
        <v>1575</v>
      </c>
      <c r="D2082" s="1" t="s">
        <v>1600</v>
      </c>
      <c r="E2082" s="1" t="s">
        <v>2991</v>
      </c>
      <c r="F2082" s="1" t="s">
        <v>120</v>
      </c>
      <c r="G2082" s="4">
        <v>0.59</v>
      </c>
      <c r="H2082" s="28">
        <v>41640</v>
      </c>
      <c r="I2082" s="29">
        <f t="shared" si="2397"/>
        <v>2014</v>
      </c>
      <c r="J2082" s="1" t="s">
        <v>1463</v>
      </c>
      <c r="K2082" s="1" t="s">
        <v>7</v>
      </c>
      <c r="L2082" s="11" t="str">
        <f t="shared" si="2394"/>
        <v>НЕТ</v>
      </c>
      <c r="M2082" s="10">
        <v>0</v>
      </c>
      <c r="N2082" s="10">
        <v>0</v>
      </c>
      <c r="O2082" s="10">
        <v>3.081</v>
      </c>
      <c r="P2082" s="10">
        <f t="shared" si="2395"/>
        <v>5.2220338983050851</v>
      </c>
      <c r="Q2082" s="10" t="str">
        <f t="shared" si="2396"/>
        <v>NA</v>
      </c>
      <c r="R2082" s="10" t="s">
        <v>1575</v>
      </c>
      <c r="S2082" s="10" t="s">
        <v>1575</v>
      </c>
      <c r="T2082" s="10" t="s">
        <v>1575</v>
      </c>
      <c r="U2082" s="10" t="s">
        <v>1575</v>
      </c>
      <c r="V2082" s="10" t="s">
        <v>1575</v>
      </c>
      <c r="W2082" s="10" t="s">
        <v>1575</v>
      </c>
      <c r="X2082" s="10" t="str">
        <f t="shared" si="2398"/>
        <v>NA</v>
      </c>
      <c r="Y2082" s="10" t="str">
        <f t="shared" si="2399"/>
        <v>NA</v>
      </c>
      <c r="Z2082" s="10" t="str">
        <f t="shared" si="2400"/>
        <v>NA</v>
      </c>
      <c r="AA2082" s="10" t="str">
        <f t="shared" si="2401"/>
        <v>NA</v>
      </c>
      <c r="AB2082" s="10" t="str">
        <f t="shared" si="2402"/>
        <v>NA</v>
      </c>
      <c r="AC2082" s="10" t="str">
        <f t="shared" si="2403"/>
        <v>NA</v>
      </c>
      <c r="AD2082" s="10" t="str">
        <f t="shared" si="2404"/>
        <v>NA</v>
      </c>
      <c r="AE2082" s="10" t="str">
        <f t="shared" si="2405"/>
        <v>NA</v>
      </c>
      <c r="AF2082" s="1" t="s">
        <v>421</v>
      </c>
    </row>
    <row r="2083" spans="1:32" x14ac:dyDescent="0.2">
      <c r="A2083" s="1" t="s">
        <v>6278</v>
      </c>
      <c r="B2083" s="1" t="s">
        <v>5</v>
      </c>
      <c r="C2083" s="1" t="s">
        <v>1575</v>
      </c>
      <c r="D2083" s="1" t="s">
        <v>1601</v>
      </c>
      <c r="E2083" s="1" t="s">
        <v>5352</v>
      </c>
      <c r="F2083" s="1" t="s">
        <v>110</v>
      </c>
      <c r="G2083" s="4">
        <v>0.501</v>
      </c>
      <c r="H2083" s="28">
        <v>41275</v>
      </c>
      <c r="I2083" s="29">
        <f t="shared" si="2397"/>
        <v>2013</v>
      </c>
      <c r="J2083" s="1" t="s">
        <v>1463</v>
      </c>
      <c r="K2083" s="1" t="s">
        <v>7</v>
      </c>
      <c r="L2083" s="11" t="str">
        <f t="shared" si="2394"/>
        <v>НЕТ</v>
      </c>
      <c r="M2083" s="10">
        <v>0</v>
      </c>
      <c r="N2083" s="10">
        <v>0</v>
      </c>
      <c r="O2083" s="10">
        <v>1.3</v>
      </c>
      <c r="P2083" s="10">
        <f t="shared" si="2395"/>
        <v>2.5948103792415171</v>
      </c>
      <c r="Q2083" s="10" t="str">
        <f t="shared" si="2396"/>
        <v>NA</v>
      </c>
      <c r="R2083" s="10" t="s">
        <v>1575</v>
      </c>
      <c r="S2083" s="10" t="s">
        <v>1575</v>
      </c>
      <c r="T2083" s="10" t="s">
        <v>1575</v>
      </c>
      <c r="U2083" s="10" t="s">
        <v>1575</v>
      </c>
      <c r="V2083" s="10" t="s">
        <v>1575</v>
      </c>
      <c r="W2083" s="10" t="s">
        <v>1575</v>
      </c>
      <c r="X2083" s="10" t="str">
        <f t="shared" si="2398"/>
        <v>NA</v>
      </c>
      <c r="Y2083" s="10" t="str">
        <f t="shared" si="2399"/>
        <v>NA</v>
      </c>
      <c r="Z2083" s="10" t="str">
        <f t="shared" si="2400"/>
        <v>NA</v>
      </c>
      <c r="AA2083" s="10" t="str">
        <f t="shared" si="2401"/>
        <v>NA</v>
      </c>
      <c r="AB2083" s="10" t="str">
        <f t="shared" si="2402"/>
        <v>NA</v>
      </c>
      <c r="AC2083" s="10" t="str">
        <f t="shared" si="2403"/>
        <v>NA</v>
      </c>
      <c r="AD2083" s="10" t="str">
        <f t="shared" si="2404"/>
        <v>NA</v>
      </c>
      <c r="AE2083" s="10" t="str">
        <f t="shared" si="2405"/>
        <v>NA</v>
      </c>
    </row>
    <row r="2084" spans="1:32" x14ac:dyDescent="0.2">
      <c r="A2084" s="1" t="s">
        <v>418</v>
      </c>
      <c r="B2084" s="1" t="s">
        <v>179</v>
      </c>
      <c r="C2084" s="1" t="s">
        <v>1575</v>
      </c>
      <c r="D2084" s="1" t="s">
        <v>1601</v>
      </c>
      <c r="E2084" s="1" t="s">
        <v>5352</v>
      </c>
      <c r="F2084" s="1" t="s">
        <v>110</v>
      </c>
      <c r="G2084" s="4">
        <v>0.16400000000000001</v>
      </c>
      <c r="H2084" s="28">
        <v>41275</v>
      </c>
      <c r="I2084" s="29">
        <f t="shared" si="2397"/>
        <v>2013</v>
      </c>
      <c r="J2084" s="1" t="s">
        <v>1463</v>
      </c>
      <c r="K2084" s="1" t="s">
        <v>7</v>
      </c>
      <c r="L2084" s="11" t="str">
        <f t="shared" si="2394"/>
        <v>НЕТ</v>
      </c>
      <c r="M2084" s="10">
        <v>0</v>
      </c>
      <c r="N2084" s="10">
        <v>0</v>
      </c>
      <c r="O2084" s="10">
        <v>1.97</v>
      </c>
      <c r="P2084" s="10">
        <f t="shared" si="2395"/>
        <v>12.012195121951219</v>
      </c>
      <c r="Q2084" s="10" t="str">
        <f t="shared" si="2396"/>
        <v>NA</v>
      </c>
      <c r="R2084" s="10" t="s">
        <v>1575</v>
      </c>
      <c r="S2084" s="10" t="s">
        <v>1575</v>
      </c>
      <c r="T2084" s="10" t="s">
        <v>1575</v>
      </c>
      <c r="U2084" s="10" t="s">
        <v>1575</v>
      </c>
      <c r="V2084" s="10" t="s">
        <v>1575</v>
      </c>
      <c r="W2084" s="10" t="s">
        <v>1575</v>
      </c>
      <c r="X2084" s="10" t="str">
        <f t="shared" si="2398"/>
        <v>NA</v>
      </c>
      <c r="Y2084" s="10" t="str">
        <f t="shared" si="2399"/>
        <v>NA</v>
      </c>
      <c r="Z2084" s="10" t="str">
        <f t="shared" si="2400"/>
        <v>NA</v>
      </c>
      <c r="AA2084" s="10" t="str">
        <f t="shared" si="2401"/>
        <v>NA</v>
      </c>
      <c r="AB2084" s="10" t="str">
        <f t="shared" si="2402"/>
        <v>NA</v>
      </c>
      <c r="AC2084" s="10" t="str">
        <f t="shared" si="2403"/>
        <v>NA</v>
      </c>
      <c r="AD2084" s="10" t="str">
        <f t="shared" si="2404"/>
        <v>NA</v>
      </c>
      <c r="AE2084" s="10" t="str">
        <f t="shared" si="2405"/>
        <v>NA</v>
      </c>
    </row>
    <row r="2085" spans="1:32" x14ac:dyDescent="0.2">
      <c r="A2085" s="1" t="s">
        <v>418</v>
      </c>
      <c r="B2085" s="1" t="s">
        <v>179</v>
      </c>
      <c r="C2085" s="1" t="s">
        <v>1575</v>
      </c>
      <c r="D2085" s="1" t="s">
        <v>1601</v>
      </c>
      <c r="E2085" s="1" t="s">
        <v>5352</v>
      </c>
      <c r="F2085" s="1" t="s">
        <v>110</v>
      </c>
      <c r="G2085" s="4">
        <v>0.14899999999999999</v>
      </c>
      <c r="H2085" s="28">
        <v>41275</v>
      </c>
      <c r="I2085" s="29">
        <f t="shared" si="2397"/>
        <v>2013</v>
      </c>
      <c r="J2085" s="1" t="s">
        <v>1463</v>
      </c>
      <c r="K2085" s="1" t="s">
        <v>7</v>
      </c>
      <c r="L2085" s="11" t="str">
        <f t="shared" si="2394"/>
        <v>НЕТ</v>
      </c>
      <c r="M2085" s="10">
        <v>0</v>
      </c>
      <c r="N2085" s="10">
        <v>0</v>
      </c>
      <c r="O2085" s="10">
        <v>1.5149999999999999</v>
      </c>
      <c r="P2085" s="10">
        <f t="shared" si="2395"/>
        <v>10.167785234899329</v>
      </c>
      <c r="Q2085" s="10" t="str">
        <f t="shared" si="2396"/>
        <v>NA</v>
      </c>
      <c r="R2085" s="10" t="s">
        <v>1575</v>
      </c>
      <c r="S2085" s="10" t="s">
        <v>1575</v>
      </c>
      <c r="T2085" s="10" t="s">
        <v>1575</v>
      </c>
      <c r="U2085" s="10" t="s">
        <v>1575</v>
      </c>
      <c r="V2085" s="10" t="s">
        <v>1575</v>
      </c>
      <c r="W2085" s="10" t="s">
        <v>1575</v>
      </c>
      <c r="X2085" s="10" t="str">
        <f t="shared" si="2398"/>
        <v>NA</v>
      </c>
      <c r="Y2085" s="10" t="str">
        <f t="shared" si="2399"/>
        <v>NA</v>
      </c>
      <c r="Z2085" s="10" t="str">
        <f t="shared" si="2400"/>
        <v>NA</v>
      </c>
      <c r="AA2085" s="10" t="str">
        <f t="shared" si="2401"/>
        <v>NA</v>
      </c>
      <c r="AB2085" s="10" t="str">
        <f t="shared" si="2402"/>
        <v>NA</v>
      </c>
      <c r="AC2085" s="10" t="str">
        <f t="shared" si="2403"/>
        <v>NA</v>
      </c>
      <c r="AD2085" s="10" t="str">
        <f t="shared" si="2404"/>
        <v>NA</v>
      </c>
      <c r="AE2085" s="10" t="str">
        <f t="shared" si="2405"/>
        <v>NA</v>
      </c>
    </row>
    <row r="2086" spans="1:32" x14ac:dyDescent="0.2">
      <c r="A2086" s="1" t="s">
        <v>418</v>
      </c>
      <c r="B2086" s="1" t="s">
        <v>179</v>
      </c>
      <c r="C2086" s="1" t="s">
        <v>1575</v>
      </c>
      <c r="D2086" s="1" t="s">
        <v>1601</v>
      </c>
      <c r="E2086" s="1" t="s">
        <v>5352</v>
      </c>
      <c r="F2086" s="1" t="s">
        <v>110</v>
      </c>
      <c r="G2086" s="4">
        <v>0.189</v>
      </c>
      <c r="H2086" s="28">
        <v>40909</v>
      </c>
      <c r="I2086" s="29">
        <f t="shared" si="2397"/>
        <v>2012</v>
      </c>
      <c r="J2086" s="1" t="s">
        <v>1463</v>
      </c>
      <c r="K2086" s="1" t="s">
        <v>7</v>
      </c>
      <c r="L2086" s="11" t="str">
        <f t="shared" si="2394"/>
        <v>НЕТ</v>
      </c>
      <c r="M2086" s="10">
        <v>0</v>
      </c>
      <c r="N2086" s="10">
        <v>0</v>
      </c>
      <c r="O2086" s="10">
        <v>1.69</v>
      </c>
      <c r="P2086" s="10">
        <f t="shared" si="2395"/>
        <v>8.9417989417989414</v>
      </c>
      <c r="Q2086" s="10" t="str">
        <f t="shared" si="2396"/>
        <v>NA</v>
      </c>
      <c r="R2086" s="10" t="s">
        <v>1575</v>
      </c>
      <c r="S2086" s="10" t="s">
        <v>1575</v>
      </c>
      <c r="T2086" s="10" t="s">
        <v>1575</v>
      </c>
      <c r="U2086" s="10" t="s">
        <v>1575</v>
      </c>
      <c r="V2086" s="10" t="s">
        <v>1575</v>
      </c>
      <c r="W2086" s="10" t="s">
        <v>1575</v>
      </c>
      <c r="X2086" s="10" t="str">
        <f t="shared" si="2398"/>
        <v>NA</v>
      </c>
      <c r="Y2086" s="10" t="str">
        <f t="shared" si="2399"/>
        <v>NA</v>
      </c>
      <c r="Z2086" s="10" t="str">
        <f t="shared" si="2400"/>
        <v>NA</v>
      </c>
      <c r="AA2086" s="10" t="str">
        <f t="shared" si="2401"/>
        <v>NA</v>
      </c>
      <c r="AB2086" s="10" t="str">
        <f t="shared" si="2402"/>
        <v>NA</v>
      </c>
      <c r="AC2086" s="10" t="str">
        <f t="shared" si="2403"/>
        <v>NA</v>
      </c>
      <c r="AD2086" s="10" t="str">
        <f t="shared" si="2404"/>
        <v>NA</v>
      </c>
      <c r="AE2086" s="10" t="str">
        <f t="shared" si="2405"/>
        <v>NA</v>
      </c>
    </row>
    <row r="2087" spans="1:32" x14ac:dyDescent="0.2">
      <c r="A2087" s="1" t="s">
        <v>420</v>
      </c>
      <c r="B2087" s="1" t="s">
        <v>5</v>
      </c>
      <c r="C2087" s="1" t="s">
        <v>1575</v>
      </c>
      <c r="D2087" s="1" t="s">
        <v>1600</v>
      </c>
      <c r="E2087" s="1" t="s">
        <v>2991</v>
      </c>
      <c r="F2087" s="1" t="s">
        <v>120</v>
      </c>
      <c r="G2087" s="4">
        <v>0.28999999999999998</v>
      </c>
      <c r="H2087" s="28">
        <v>41275</v>
      </c>
      <c r="I2087" s="29">
        <f t="shared" si="2397"/>
        <v>2013</v>
      </c>
      <c r="J2087" s="1" t="s">
        <v>1463</v>
      </c>
      <c r="K2087" s="1" t="s">
        <v>7</v>
      </c>
      <c r="L2087" s="11" t="str">
        <f t="shared" si="2394"/>
        <v>НЕТ</v>
      </c>
      <c r="M2087" s="10">
        <v>0</v>
      </c>
      <c r="N2087" s="10">
        <v>0</v>
      </c>
      <c r="O2087" s="10">
        <v>1.5</v>
      </c>
      <c r="P2087" s="10">
        <f t="shared" si="2395"/>
        <v>5.1724137931034484</v>
      </c>
      <c r="Q2087" s="10" t="str">
        <f t="shared" si="2396"/>
        <v>NA</v>
      </c>
      <c r="R2087" s="10" t="s">
        <v>1575</v>
      </c>
      <c r="S2087" s="10" t="s">
        <v>1575</v>
      </c>
      <c r="T2087" s="10" t="s">
        <v>1575</v>
      </c>
      <c r="U2087" s="10" t="s">
        <v>1575</v>
      </c>
      <c r="V2087" s="10" t="s">
        <v>1575</v>
      </c>
      <c r="W2087" s="10" t="s">
        <v>1575</v>
      </c>
      <c r="X2087" s="10" t="str">
        <f t="shared" si="2398"/>
        <v>NA</v>
      </c>
      <c r="Y2087" s="10" t="str">
        <f t="shared" si="2399"/>
        <v>NA</v>
      </c>
      <c r="Z2087" s="10" t="str">
        <f t="shared" si="2400"/>
        <v>NA</v>
      </c>
      <c r="AA2087" s="10" t="str">
        <f t="shared" si="2401"/>
        <v>NA</v>
      </c>
      <c r="AB2087" s="10" t="str">
        <f t="shared" si="2402"/>
        <v>NA</v>
      </c>
      <c r="AC2087" s="10" t="str">
        <f t="shared" si="2403"/>
        <v>NA</v>
      </c>
      <c r="AD2087" s="10" t="str">
        <f t="shared" si="2404"/>
        <v>NA</v>
      </c>
      <c r="AE2087" s="10" t="str">
        <f t="shared" si="2405"/>
        <v>NA</v>
      </c>
    </row>
    <row r="2088" spans="1:32" x14ac:dyDescent="0.2">
      <c r="A2088" s="1" t="s">
        <v>6279</v>
      </c>
      <c r="B2088" s="1" t="s">
        <v>5</v>
      </c>
      <c r="C2088" s="1" t="s">
        <v>1575</v>
      </c>
      <c r="D2088" s="1" t="s">
        <v>1601</v>
      </c>
      <c r="E2088" s="1" t="s">
        <v>5352</v>
      </c>
      <c r="F2088" s="1" t="s">
        <v>110</v>
      </c>
      <c r="G2088" s="4">
        <v>0.51</v>
      </c>
      <c r="H2088" s="28">
        <v>41275</v>
      </c>
      <c r="I2088" s="29">
        <f t="shared" si="2397"/>
        <v>2013</v>
      </c>
      <c r="J2088" s="1" t="s">
        <v>1463</v>
      </c>
      <c r="K2088" s="1" t="s">
        <v>7</v>
      </c>
      <c r="L2088" s="11" t="str">
        <f t="shared" si="2394"/>
        <v>НЕТ</v>
      </c>
      <c r="M2088" s="10">
        <v>0</v>
      </c>
      <c r="N2088" s="10">
        <v>0</v>
      </c>
      <c r="O2088" s="10">
        <v>1.9</v>
      </c>
      <c r="P2088" s="10">
        <f t="shared" si="2395"/>
        <v>3.725490196078431</v>
      </c>
      <c r="Q2088" s="10" t="str">
        <f t="shared" si="2396"/>
        <v>NA</v>
      </c>
      <c r="R2088" s="10" t="s">
        <v>1575</v>
      </c>
      <c r="S2088" s="10" t="s">
        <v>1575</v>
      </c>
      <c r="T2088" s="10" t="s">
        <v>1575</v>
      </c>
      <c r="U2088" s="10" t="s">
        <v>1575</v>
      </c>
      <c r="V2088" s="10" t="s">
        <v>1575</v>
      </c>
      <c r="W2088" s="10" t="s">
        <v>1575</v>
      </c>
      <c r="X2088" s="10" t="str">
        <f t="shared" si="2398"/>
        <v>NA</v>
      </c>
      <c r="Y2088" s="10" t="str">
        <f t="shared" si="2399"/>
        <v>NA</v>
      </c>
      <c r="Z2088" s="10" t="str">
        <f t="shared" si="2400"/>
        <v>NA</v>
      </c>
      <c r="AA2088" s="10" t="str">
        <f t="shared" si="2401"/>
        <v>NA</v>
      </c>
      <c r="AB2088" s="10" t="str">
        <f t="shared" si="2402"/>
        <v>NA</v>
      </c>
      <c r="AC2088" s="10" t="str">
        <f t="shared" si="2403"/>
        <v>NA</v>
      </c>
      <c r="AD2088" s="10" t="str">
        <f t="shared" si="2404"/>
        <v>NA</v>
      </c>
      <c r="AE2088" s="10" t="str">
        <f t="shared" si="2405"/>
        <v>NA</v>
      </c>
      <c r="AF2088" s="1" t="s">
        <v>1621</v>
      </c>
    </row>
    <row r="2089" spans="1:32" x14ac:dyDescent="0.2">
      <c r="A2089" s="1" t="s">
        <v>6280</v>
      </c>
      <c r="B2089" s="1" t="s">
        <v>5</v>
      </c>
      <c r="C2089" s="1" t="s">
        <v>1575</v>
      </c>
      <c r="D2089" s="1" t="s">
        <v>1601</v>
      </c>
      <c r="E2089" s="1" t="s">
        <v>1617</v>
      </c>
      <c r="F2089" s="1" t="s">
        <v>1622</v>
      </c>
      <c r="G2089" s="4">
        <v>1</v>
      </c>
      <c r="H2089" s="28">
        <v>40909</v>
      </c>
      <c r="I2089" s="29">
        <f t="shared" si="2397"/>
        <v>2012</v>
      </c>
      <c r="J2089" s="1" t="s">
        <v>1463</v>
      </c>
      <c r="K2089" s="1" t="s">
        <v>7</v>
      </c>
      <c r="L2089" s="11" t="str">
        <f t="shared" si="2394"/>
        <v>НЕТ</v>
      </c>
      <c r="M2089" s="10">
        <v>0</v>
      </c>
      <c r="N2089" s="10">
        <v>0</v>
      </c>
      <c r="O2089" s="10">
        <v>9.5000000000000001E-2</v>
      </c>
      <c r="P2089" s="10">
        <f t="shared" si="2395"/>
        <v>9.5000000000000001E-2</v>
      </c>
      <c r="Q2089" s="10" t="str">
        <f t="shared" si="2396"/>
        <v>NA</v>
      </c>
      <c r="R2089" s="10" t="s">
        <v>1575</v>
      </c>
      <c r="S2089" s="10" t="s">
        <v>1575</v>
      </c>
      <c r="T2089" s="10" t="s">
        <v>1575</v>
      </c>
      <c r="U2089" s="10" t="s">
        <v>1575</v>
      </c>
      <c r="V2089" s="10" t="s">
        <v>1575</v>
      </c>
      <c r="W2089" s="10" t="s">
        <v>1575</v>
      </c>
      <c r="X2089" s="10" t="str">
        <f t="shared" si="2398"/>
        <v>NA</v>
      </c>
      <c r="Y2089" s="10" t="str">
        <f t="shared" si="2399"/>
        <v>NA</v>
      </c>
      <c r="Z2089" s="10" t="str">
        <f t="shared" si="2400"/>
        <v>NA</v>
      </c>
      <c r="AA2089" s="10" t="str">
        <f t="shared" si="2401"/>
        <v>NA</v>
      </c>
      <c r="AB2089" s="10" t="str">
        <f t="shared" si="2402"/>
        <v>NA</v>
      </c>
      <c r="AC2089" s="10" t="str">
        <f t="shared" si="2403"/>
        <v>NA</v>
      </c>
      <c r="AD2089" s="10" t="str">
        <f t="shared" si="2404"/>
        <v>NA</v>
      </c>
      <c r="AE2089" s="10" t="str">
        <f t="shared" si="2405"/>
        <v>NA</v>
      </c>
    </row>
    <row r="2090" spans="1:32" x14ac:dyDescent="0.2">
      <c r="A2090" s="1" t="s">
        <v>6281</v>
      </c>
      <c r="B2090" s="1" t="s">
        <v>5</v>
      </c>
      <c r="C2090" s="1" t="s">
        <v>1575</v>
      </c>
      <c r="D2090" s="1" t="s">
        <v>1601</v>
      </c>
      <c r="E2090" s="1" t="s">
        <v>1617</v>
      </c>
      <c r="F2090" s="1" t="s">
        <v>1622</v>
      </c>
      <c r="G2090" s="4">
        <v>1</v>
      </c>
      <c r="H2090" s="28">
        <v>40909</v>
      </c>
      <c r="I2090" s="29">
        <f t="shared" si="2397"/>
        <v>2012</v>
      </c>
      <c r="J2090" s="1" t="s">
        <v>1463</v>
      </c>
      <c r="K2090" s="1" t="s">
        <v>7</v>
      </c>
      <c r="L2090" s="11" t="str">
        <f t="shared" si="2394"/>
        <v>НЕТ</v>
      </c>
      <c r="M2090" s="10">
        <v>0</v>
      </c>
      <c r="N2090" s="10">
        <v>0</v>
      </c>
      <c r="O2090" s="10">
        <v>9.9999999999999995E-7</v>
      </c>
      <c r="P2090" s="10">
        <f t="shared" si="2395"/>
        <v>9.9999999999999995E-7</v>
      </c>
      <c r="Q2090" s="10" t="str">
        <f t="shared" si="2396"/>
        <v>NA</v>
      </c>
      <c r="R2090" s="10" t="s">
        <v>1575</v>
      </c>
      <c r="S2090" s="10" t="s">
        <v>1575</v>
      </c>
      <c r="T2090" s="10" t="s">
        <v>1575</v>
      </c>
      <c r="U2090" s="10" t="s">
        <v>1575</v>
      </c>
      <c r="V2090" s="10" t="s">
        <v>1575</v>
      </c>
      <c r="W2090" s="10" t="s">
        <v>1575</v>
      </c>
      <c r="X2090" s="10" t="str">
        <f t="shared" si="2398"/>
        <v>NA</v>
      </c>
      <c r="Y2090" s="10" t="str">
        <f t="shared" si="2399"/>
        <v>NA</v>
      </c>
      <c r="Z2090" s="10" t="str">
        <f t="shared" si="2400"/>
        <v>NA</v>
      </c>
      <c r="AA2090" s="10" t="str">
        <f t="shared" si="2401"/>
        <v>NA</v>
      </c>
      <c r="AB2090" s="10" t="str">
        <f t="shared" si="2402"/>
        <v>NA</v>
      </c>
      <c r="AC2090" s="10" t="str">
        <f t="shared" si="2403"/>
        <v>NA</v>
      </c>
      <c r="AD2090" s="10" t="str">
        <f t="shared" si="2404"/>
        <v>NA</v>
      </c>
      <c r="AE2090" s="10" t="str">
        <f t="shared" si="2405"/>
        <v>NA</v>
      </c>
    </row>
    <row r="2091" spans="1:32" x14ac:dyDescent="0.2">
      <c r="A2091" s="1" t="s">
        <v>6282</v>
      </c>
      <c r="B2091" s="1" t="s">
        <v>5</v>
      </c>
      <c r="C2091" s="1" t="s">
        <v>1575</v>
      </c>
      <c r="D2091" s="1" t="s">
        <v>1615</v>
      </c>
      <c r="E2091" s="1" t="s">
        <v>1587</v>
      </c>
      <c r="F2091" s="1" t="s">
        <v>422</v>
      </c>
      <c r="G2091" s="4">
        <v>1</v>
      </c>
      <c r="H2091" s="28">
        <v>41183</v>
      </c>
      <c r="I2091" s="29">
        <f t="shared" si="2397"/>
        <v>2012</v>
      </c>
      <c r="J2091" s="1" t="s">
        <v>1463</v>
      </c>
      <c r="K2091" s="1" t="s">
        <v>7</v>
      </c>
      <c r="L2091" s="11" t="str">
        <f t="shared" si="2394"/>
        <v>НЕТ</v>
      </c>
      <c r="M2091" s="10">
        <v>0</v>
      </c>
      <c r="N2091" s="10">
        <v>0</v>
      </c>
      <c r="O2091" s="10">
        <v>0.246</v>
      </c>
      <c r="P2091" s="10">
        <f t="shared" si="2395"/>
        <v>0.246</v>
      </c>
      <c r="Q2091" s="10" t="str">
        <f t="shared" si="2396"/>
        <v>NA</v>
      </c>
      <c r="R2091" s="10" t="s">
        <v>1575</v>
      </c>
      <c r="S2091" s="10" t="s">
        <v>1575</v>
      </c>
      <c r="T2091" s="10" t="s">
        <v>1575</v>
      </c>
      <c r="U2091" s="10" t="s">
        <v>1575</v>
      </c>
      <c r="V2091" s="10" t="s">
        <v>1575</v>
      </c>
      <c r="W2091" s="10" t="s">
        <v>1575</v>
      </c>
      <c r="X2091" s="10" t="str">
        <f t="shared" si="2398"/>
        <v>NA</v>
      </c>
      <c r="Y2091" s="10" t="str">
        <f t="shared" si="2399"/>
        <v>NA</v>
      </c>
      <c r="Z2091" s="10" t="str">
        <f t="shared" si="2400"/>
        <v>NA</v>
      </c>
      <c r="AA2091" s="10" t="str">
        <f t="shared" si="2401"/>
        <v>NA</v>
      </c>
      <c r="AB2091" s="10" t="str">
        <f t="shared" si="2402"/>
        <v>NA</v>
      </c>
      <c r="AC2091" s="10" t="str">
        <f t="shared" si="2403"/>
        <v>NA</v>
      </c>
      <c r="AD2091" s="10" t="str">
        <f t="shared" si="2404"/>
        <v>NA</v>
      </c>
      <c r="AE2091" s="10" t="str">
        <f t="shared" si="2405"/>
        <v>NA</v>
      </c>
    </row>
    <row r="2092" spans="1:32" x14ac:dyDescent="0.2">
      <c r="A2092" s="1" t="s">
        <v>423</v>
      </c>
      <c r="B2092" s="1" t="s">
        <v>179</v>
      </c>
      <c r="C2092" s="1" t="s">
        <v>1575</v>
      </c>
      <c r="D2092" s="1" t="s">
        <v>1601</v>
      </c>
      <c r="E2092" s="1" t="s">
        <v>5352</v>
      </c>
      <c r="F2092" s="1" t="s">
        <v>110</v>
      </c>
      <c r="G2092" s="4">
        <v>1</v>
      </c>
      <c r="H2092" s="28">
        <v>41183</v>
      </c>
      <c r="I2092" s="29">
        <f t="shared" si="2397"/>
        <v>2012</v>
      </c>
      <c r="J2092" s="1" t="s">
        <v>1463</v>
      </c>
      <c r="K2092" s="1" t="s">
        <v>7</v>
      </c>
      <c r="L2092" s="11" t="str">
        <f t="shared" si="2394"/>
        <v>НЕТ</v>
      </c>
      <c r="M2092" s="10">
        <v>0</v>
      </c>
      <c r="N2092" s="10">
        <v>0</v>
      </c>
      <c r="O2092" s="10">
        <v>1.2</v>
      </c>
      <c r="P2092" s="10">
        <f t="shared" si="2395"/>
        <v>1.2</v>
      </c>
      <c r="Q2092" s="10" t="str">
        <f t="shared" si="2396"/>
        <v>NA</v>
      </c>
      <c r="R2092" s="10" t="s">
        <v>1575</v>
      </c>
      <c r="S2092" s="10" t="s">
        <v>1575</v>
      </c>
      <c r="T2092" s="10" t="s">
        <v>1575</v>
      </c>
      <c r="U2092" s="10" t="s">
        <v>1575</v>
      </c>
      <c r="V2092" s="10" t="s">
        <v>1575</v>
      </c>
      <c r="W2092" s="10" t="s">
        <v>1575</v>
      </c>
      <c r="X2092" s="10" t="str">
        <f t="shared" si="2398"/>
        <v>NA</v>
      </c>
      <c r="Y2092" s="10" t="str">
        <f t="shared" si="2399"/>
        <v>NA</v>
      </c>
      <c r="Z2092" s="10" t="str">
        <f t="shared" si="2400"/>
        <v>NA</v>
      </c>
      <c r="AA2092" s="10" t="str">
        <f t="shared" si="2401"/>
        <v>NA</v>
      </c>
      <c r="AB2092" s="10" t="str">
        <f t="shared" si="2402"/>
        <v>NA</v>
      </c>
      <c r="AC2092" s="10" t="str">
        <f t="shared" si="2403"/>
        <v>NA</v>
      </c>
      <c r="AD2092" s="10" t="str">
        <f t="shared" si="2404"/>
        <v>NA</v>
      </c>
      <c r="AE2092" s="10" t="str">
        <f t="shared" si="2405"/>
        <v>NA</v>
      </c>
      <c r="AF2092" s="1" t="s">
        <v>424</v>
      </c>
    </row>
    <row r="2093" spans="1:32" x14ac:dyDescent="0.2">
      <c r="A2093" s="1" t="s">
        <v>6283</v>
      </c>
      <c r="B2093" s="1" t="s">
        <v>5</v>
      </c>
      <c r="C2093" s="1" t="s">
        <v>1575</v>
      </c>
      <c r="D2093" s="1" t="s">
        <v>1601</v>
      </c>
      <c r="E2093" s="1" t="s">
        <v>1587</v>
      </c>
      <c r="F2093" s="1" t="s">
        <v>360</v>
      </c>
      <c r="G2093" s="4">
        <v>0.99</v>
      </c>
      <c r="H2093" s="28">
        <v>40909</v>
      </c>
      <c r="I2093" s="29">
        <f t="shared" si="2397"/>
        <v>2012</v>
      </c>
      <c r="J2093" s="1" t="s">
        <v>1463</v>
      </c>
      <c r="K2093" s="1" t="s">
        <v>7</v>
      </c>
      <c r="L2093" s="11" t="str">
        <f t="shared" si="2394"/>
        <v>НЕТ</v>
      </c>
      <c r="M2093" s="10">
        <v>0</v>
      </c>
      <c r="N2093" s="10">
        <v>0</v>
      </c>
      <c r="O2093" s="10">
        <v>2.3999999999999998E-3</v>
      </c>
      <c r="P2093" s="10">
        <f t="shared" si="2395"/>
        <v>2.4242424242424242E-3</v>
      </c>
      <c r="Q2093" s="10" t="str">
        <f t="shared" si="2396"/>
        <v>NA</v>
      </c>
      <c r="R2093" s="10" t="s">
        <v>1575</v>
      </c>
      <c r="S2093" s="10" t="s">
        <v>1575</v>
      </c>
      <c r="T2093" s="10" t="s">
        <v>1575</v>
      </c>
      <c r="U2093" s="10" t="s">
        <v>1575</v>
      </c>
      <c r="V2093" s="10" t="s">
        <v>1575</v>
      </c>
      <c r="W2093" s="10" t="s">
        <v>1575</v>
      </c>
      <c r="X2093" s="10" t="str">
        <f t="shared" si="2398"/>
        <v>NA</v>
      </c>
      <c r="Y2093" s="10" t="str">
        <f t="shared" si="2399"/>
        <v>NA</v>
      </c>
      <c r="Z2093" s="10" t="str">
        <f t="shared" si="2400"/>
        <v>NA</v>
      </c>
      <c r="AA2093" s="10" t="str">
        <f t="shared" si="2401"/>
        <v>NA</v>
      </c>
      <c r="AB2093" s="10" t="str">
        <f t="shared" si="2402"/>
        <v>NA</v>
      </c>
      <c r="AC2093" s="10" t="str">
        <f t="shared" si="2403"/>
        <v>NA</v>
      </c>
      <c r="AD2093" s="10" t="str">
        <f t="shared" si="2404"/>
        <v>NA</v>
      </c>
      <c r="AE2093" s="10" t="str">
        <f t="shared" si="2405"/>
        <v>NA</v>
      </c>
    </row>
    <row r="2094" spans="1:32" x14ac:dyDescent="0.2">
      <c r="A2094" s="1" t="s">
        <v>6284</v>
      </c>
      <c r="B2094" s="1" t="s">
        <v>8</v>
      </c>
      <c r="C2094" s="1" t="s">
        <v>1575</v>
      </c>
      <c r="D2094" s="1" t="s">
        <v>1601</v>
      </c>
      <c r="E2094" s="1" t="s">
        <v>1608</v>
      </c>
      <c r="F2094" s="1" t="s">
        <v>1562</v>
      </c>
      <c r="G2094" s="4">
        <v>0.51</v>
      </c>
      <c r="H2094" s="28">
        <v>41183</v>
      </c>
      <c r="I2094" s="29">
        <f t="shared" si="2397"/>
        <v>2012</v>
      </c>
      <c r="J2094" s="1" t="s">
        <v>1463</v>
      </c>
      <c r="K2094" s="1" t="s">
        <v>7</v>
      </c>
      <c r="L2094" s="11" t="str">
        <f t="shared" si="2394"/>
        <v>НЕТ</v>
      </c>
      <c r="M2094" s="10">
        <v>0</v>
      </c>
      <c r="N2094" s="10">
        <v>0</v>
      </c>
      <c r="O2094" s="10">
        <v>7.0000000000000001E-3</v>
      </c>
      <c r="P2094" s="10">
        <f t="shared" si="2395"/>
        <v>1.3725490196078431E-2</v>
      </c>
      <c r="Q2094" s="10" t="str">
        <f t="shared" si="2396"/>
        <v>NA</v>
      </c>
      <c r="R2094" s="10" t="s">
        <v>1575</v>
      </c>
      <c r="S2094" s="10" t="s">
        <v>1575</v>
      </c>
      <c r="T2094" s="10" t="s">
        <v>1575</v>
      </c>
      <c r="U2094" s="10" t="s">
        <v>1575</v>
      </c>
      <c r="V2094" s="10" t="s">
        <v>1575</v>
      </c>
      <c r="W2094" s="10" t="s">
        <v>1575</v>
      </c>
      <c r="X2094" s="10" t="str">
        <f t="shared" si="2398"/>
        <v>NA</v>
      </c>
      <c r="Y2094" s="10" t="str">
        <f t="shared" si="2399"/>
        <v>NA</v>
      </c>
      <c r="Z2094" s="10" t="str">
        <f t="shared" si="2400"/>
        <v>NA</v>
      </c>
      <c r="AA2094" s="10" t="str">
        <f t="shared" si="2401"/>
        <v>NA</v>
      </c>
      <c r="AB2094" s="10" t="str">
        <f t="shared" si="2402"/>
        <v>NA</v>
      </c>
      <c r="AC2094" s="10" t="str">
        <f t="shared" si="2403"/>
        <v>NA</v>
      </c>
      <c r="AD2094" s="10" t="str">
        <f t="shared" si="2404"/>
        <v>NA</v>
      </c>
      <c r="AE2094" s="10" t="str">
        <f t="shared" si="2405"/>
        <v>NA</v>
      </c>
    </row>
    <row r="2095" spans="1:32" x14ac:dyDescent="0.2">
      <c r="A2095" s="1" t="s">
        <v>6285</v>
      </c>
      <c r="B2095" s="1" t="s">
        <v>5</v>
      </c>
      <c r="C2095" s="1" t="s">
        <v>1575</v>
      </c>
      <c r="D2095" s="1" t="s">
        <v>1601</v>
      </c>
      <c r="E2095" s="1" t="s">
        <v>1587</v>
      </c>
      <c r="F2095" s="1" t="s">
        <v>360</v>
      </c>
      <c r="G2095" s="4">
        <v>1</v>
      </c>
      <c r="H2095" s="28">
        <v>42308</v>
      </c>
      <c r="I2095" s="29">
        <f t="shared" si="2397"/>
        <v>2015</v>
      </c>
      <c r="J2095" s="1" t="s">
        <v>7</v>
      </c>
      <c r="K2095" s="1" t="s">
        <v>1470</v>
      </c>
      <c r="L2095" s="11" t="str">
        <f t="shared" si="2394"/>
        <v>НЕТ</v>
      </c>
      <c r="M2095" s="10">
        <v>0</v>
      </c>
      <c r="N2095" s="10">
        <v>0</v>
      </c>
      <c r="O2095" s="10">
        <v>8.0000000000000002E-3</v>
      </c>
      <c r="P2095" s="10">
        <f t="shared" si="2395"/>
        <v>8.0000000000000002E-3</v>
      </c>
      <c r="Q2095" s="10" t="str">
        <f t="shared" si="2396"/>
        <v>NA</v>
      </c>
      <c r="R2095" s="10" t="s">
        <v>1575</v>
      </c>
      <c r="S2095" s="10" t="s">
        <v>1575</v>
      </c>
      <c r="T2095" s="10" t="s">
        <v>1575</v>
      </c>
      <c r="U2095" s="10" t="s">
        <v>1575</v>
      </c>
      <c r="V2095" s="10" t="s">
        <v>1575</v>
      </c>
      <c r="W2095" s="10" t="s">
        <v>1575</v>
      </c>
      <c r="X2095" s="10" t="str">
        <f t="shared" si="2398"/>
        <v>NA</v>
      </c>
      <c r="Y2095" s="10" t="str">
        <f t="shared" si="2399"/>
        <v>NA</v>
      </c>
      <c r="Z2095" s="10" t="str">
        <f t="shared" si="2400"/>
        <v>NA</v>
      </c>
      <c r="AA2095" s="10" t="str">
        <f t="shared" si="2401"/>
        <v>NA</v>
      </c>
      <c r="AB2095" s="10" t="str">
        <f t="shared" si="2402"/>
        <v>NA</v>
      </c>
      <c r="AC2095" s="10" t="str">
        <f t="shared" si="2403"/>
        <v>NA</v>
      </c>
      <c r="AD2095" s="10" t="str">
        <f t="shared" si="2404"/>
        <v>NA</v>
      </c>
      <c r="AE2095" s="10" t="str">
        <f t="shared" si="2405"/>
        <v>NA</v>
      </c>
      <c r="AF2095" s="1" t="s">
        <v>1471</v>
      </c>
    </row>
    <row r="2096" spans="1:32" x14ac:dyDescent="0.2">
      <c r="A2096" s="1" t="s">
        <v>6286</v>
      </c>
      <c r="B2096" s="1" t="s">
        <v>5</v>
      </c>
      <c r="C2096" s="1" t="s">
        <v>1575</v>
      </c>
      <c r="D2096" s="1" t="s">
        <v>1601</v>
      </c>
      <c r="E2096" s="1" t="s">
        <v>1617</v>
      </c>
      <c r="F2096" s="1" t="s">
        <v>1472</v>
      </c>
      <c r="G2096" s="4">
        <v>1</v>
      </c>
      <c r="H2096" s="28">
        <v>44196</v>
      </c>
      <c r="I2096" s="29">
        <f t="shared" si="2397"/>
        <v>2020</v>
      </c>
      <c r="J2096" s="1" t="s">
        <v>7</v>
      </c>
      <c r="K2096" s="1" t="s">
        <v>1473</v>
      </c>
      <c r="L2096" s="11" t="str">
        <f t="shared" si="2394"/>
        <v>НЕТ</v>
      </c>
      <c r="M2096" s="10">
        <v>0</v>
      </c>
      <c r="N2096" s="10">
        <v>0</v>
      </c>
      <c r="O2096" s="10">
        <v>0.58701099999999995</v>
      </c>
      <c r="P2096" s="10">
        <f t="shared" si="2395"/>
        <v>0.58701099999999995</v>
      </c>
      <c r="Q2096" s="10" t="str">
        <f t="shared" si="2396"/>
        <v>NA</v>
      </c>
      <c r="R2096" s="10" t="s">
        <v>1575</v>
      </c>
      <c r="S2096" s="10" t="s">
        <v>1575</v>
      </c>
      <c r="T2096" s="10" t="s">
        <v>1575</v>
      </c>
      <c r="U2096" s="10" t="s">
        <v>1575</v>
      </c>
      <c r="V2096" s="10" t="s">
        <v>1575</v>
      </c>
      <c r="W2096" s="10" t="s">
        <v>1575</v>
      </c>
      <c r="X2096" s="10" t="str">
        <f t="shared" si="2398"/>
        <v>NA</v>
      </c>
      <c r="Y2096" s="10" t="str">
        <f t="shared" si="2399"/>
        <v>NA</v>
      </c>
      <c r="Z2096" s="10" t="str">
        <f t="shared" si="2400"/>
        <v>NA</v>
      </c>
      <c r="AA2096" s="10" t="str">
        <f t="shared" si="2401"/>
        <v>NA</v>
      </c>
      <c r="AB2096" s="10" t="str">
        <f t="shared" si="2402"/>
        <v>NA</v>
      </c>
      <c r="AC2096" s="10" t="str">
        <f t="shared" si="2403"/>
        <v>NA</v>
      </c>
      <c r="AD2096" s="10" t="str">
        <f t="shared" si="2404"/>
        <v>NA</v>
      </c>
      <c r="AE2096" s="10" t="str">
        <f t="shared" si="2405"/>
        <v>NA</v>
      </c>
      <c r="AF2096" s="1" t="s">
        <v>1474</v>
      </c>
    </row>
    <row r="2097" spans="1:32" x14ac:dyDescent="0.2">
      <c r="A2097" s="1" t="s">
        <v>6287</v>
      </c>
      <c r="B2097" s="1" t="s">
        <v>5</v>
      </c>
      <c r="C2097" s="1" t="s">
        <v>1575</v>
      </c>
      <c r="D2097" s="1" t="s">
        <v>1584</v>
      </c>
      <c r="E2097" s="1" t="s">
        <v>1586</v>
      </c>
      <c r="F2097" s="1" t="s">
        <v>1477</v>
      </c>
      <c r="G2097" s="4">
        <v>0.52008500000000002</v>
      </c>
      <c r="H2097" s="28">
        <v>42369</v>
      </c>
      <c r="I2097" s="29">
        <f t="shared" si="2397"/>
        <v>2015</v>
      </c>
      <c r="J2097" s="1" t="s">
        <v>1473</v>
      </c>
      <c r="K2097" s="1" t="s">
        <v>7</v>
      </c>
      <c r="L2097" s="11" t="str">
        <f t="shared" si="2394"/>
        <v>НЕТ</v>
      </c>
      <c r="M2097" s="10">
        <v>0</v>
      </c>
      <c r="N2097" s="10">
        <v>0</v>
      </c>
      <c r="O2097" s="10">
        <v>0.33493099999999998</v>
      </c>
      <c r="P2097" s="10">
        <f t="shared" si="2395"/>
        <v>0.64399280886778121</v>
      </c>
      <c r="Q2097" s="10" t="str">
        <f t="shared" si="2396"/>
        <v>NA</v>
      </c>
      <c r="R2097" s="10" t="s">
        <v>1575</v>
      </c>
      <c r="S2097" s="10" t="s">
        <v>1575</v>
      </c>
      <c r="T2097" s="10" t="s">
        <v>1575</v>
      </c>
      <c r="U2097" s="10" t="s">
        <v>1575</v>
      </c>
      <c r="V2097" s="10" t="s">
        <v>1575</v>
      </c>
      <c r="W2097" s="10" t="s">
        <v>1575</v>
      </c>
      <c r="X2097" s="10" t="str">
        <f t="shared" si="2398"/>
        <v>NA</v>
      </c>
      <c r="Y2097" s="10" t="str">
        <f t="shared" si="2399"/>
        <v>NA</v>
      </c>
      <c r="Z2097" s="10" t="str">
        <f t="shared" si="2400"/>
        <v>NA</v>
      </c>
      <c r="AA2097" s="10" t="str">
        <f t="shared" si="2401"/>
        <v>NA</v>
      </c>
      <c r="AB2097" s="10" t="str">
        <f t="shared" si="2402"/>
        <v>NA</v>
      </c>
      <c r="AC2097" s="10" t="str">
        <f t="shared" si="2403"/>
        <v>NA</v>
      </c>
      <c r="AD2097" s="10" t="str">
        <f t="shared" si="2404"/>
        <v>NA</v>
      </c>
      <c r="AE2097" s="10" t="str">
        <f t="shared" si="2405"/>
        <v>NA</v>
      </c>
      <c r="AF2097" s="1" t="s">
        <v>1476</v>
      </c>
    </row>
    <row r="2098" spans="1:32" x14ac:dyDescent="0.2">
      <c r="A2098" s="1" t="s">
        <v>6288</v>
      </c>
      <c r="B2098" s="1" t="s">
        <v>5</v>
      </c>
      <c r="C2098" s="1" t="s">
        <v>1575</v>
      </c>
      <c r="D2098" s="1" t="s">
        <v>1582</v>
      </c>
      <c r="E2098" s="1" t="s">
        <v>5353</v>
      </c>
      <c r="F2098" s="1" t="s">
        <v>1472</v>
      </c>
      <c r="G2098" s="4">
        <v>0.24379999999999999</v>
      </c>
      <c r="H2098" s="28">
        <v>42277</v>
      </c>
      <c r="I2098" s="29">
        <f t="shared" si="2397"/>
        <v>2015</v>
      </c>
      <c r="J2098" s="1" t="s">
        <v>1473</v>
      </c>
      <c r="K2098" s="1" t="s">
        <v>7</v>
      </c>
      <c r="L2098" s="11" t="str">
        <f t="shared" si="2394"/>
        <v>НЕТ</v>
      </c>
      <c r="M2098" s="10">
        <v>0</v>
      </c>
      <c r="N2098" s="10">
        <v>0</v>
      </c>
      <c r="O2098" s="10">
        <v>0.213782</v>
      </c>
      <c r="P2098" s="10">
        <f t="shared" si="2395"/>
        <v>0.87687448728465955</v>
      </c>
      <c r="Q2098" s="10" t="str">
        <f t="shared" si="2396"/>
        <v>NA</v>
      </c>
      <c r="R2098" s="10" t="s">
        <v>1575</v>
      </c>
      <c r="S2098" s="10" t="s">
        <v>1575</v>
      </c>
      <c r="T2098" s="10" t="s">
        <v>1575</v>
      </c>
      <c r="U2098" s="10" t="s">
        <v>1575</v>
      </c>
      <c r="V2098" s="10" t="s">
        <v>1575</v>
      </c>
      <c r="W2098" s="10" t="s">
        <v>1575</v>
      </c>
      <c r="X2098" s="10" t="str">
        <f t="shared" si="2398"/>
        <v>NA</v>
      </c>
      <c r="Y2098" s="10" t="str">
        <f t="shared" si="2399"/>
        <v>NA</v>
      </c>
      <c r="Z2098" s="10" t="str">
        <f t="shared" si="2400"/>
        <v>NA</v>
      </c>
      <c r="AA2098" s="10" t="str">
        <f t="shared" si="2401"/>
        <v>NA</v>
      </c>
      <c r="AB2098" s="10" t="str">
        <f t="shared" si="2402"/>
        <v>NA</v>
      </c>
      <c r="AC2098" s="10" t="str">
        <f t="shared" si="2403"/>
        <v>NA</v>
      </c>
      <c r="AD2098" s="10" t="str">
        <f t="shared" si="2404"/>
        <v>NA</v>
      </c>
      <c r="AE2098" s="10" t="str">
        <f t="shared" si="2405"/>
        <v>NA</v>
      </c>
      <c r="AF2098" s="1" t="s">
        <v>1475</v>
      </c>
    </row>
    <row r="2099" spans="1:32" x14ac:dyDescent="0.2">
      <c r="A2099" s="1" t="s">
        <v>6288</v>
      </c>
      <c r="B2099" s="1" t="s">
        <v>5</v>
      </c>
      <c r="C2099" s="1" t="s">
        <v>1575</v>
      </c>
      <c r="D2099" s="1" t="s">
        <v>1582</v>
      </c>
      <c r="E2099" s="1" t="s">
        <v>5353</v>
      </c>
      <c r="F2099" s="1" t="s">
        <v>1472</v>
      </c>
      <c r="G2099" s="4">
        <v>0.45450000000000002</v>
      </c>
      <c r="H2099" s="28">
        <v>41211</v>
      </c>
      <c r="I2099" s="29">
        <f t="shared" si="2397"/>
        <v>2012</v>
      </c>
      <c r="J2099" s="1" t="s">
        <v>1473</v>
      </c>
      <c r="K2099" s="1" t="s">
        <v>7</v>
      </c>
      <c r="L2099" s="11" t="str">
        <f t="shared" ref="L2099:L2162" si="2406">IF(OR(A2099=J2099,A2099=K2099),"ДА","НЕТ")</f>
        <v>НЕТ</v>
      </c>
      <c r="M2099" s="10">
        <v>0</v>
      </c>
      <c r="N2099" s="10">
        <v>0</v>
      </c>
      <c r="O2099" s="10" t="s">
        <v>1575</v>
      </c>
      <c r="P2099" s="10" t="str">
        <f t="shared" si="2395"/>
        <v>NA</v>
      </c>
      <c r="Q2099" s="10" t="str">
        <f t="shared" si="2396"/>
        <v>NA</v>
      </c>
      <c r="R2099" s="10" t="s">
        <v>1575</v>
      </c>
      <c r="S2099" s="10" t="s">
        <v>1575</v>
      </c>
      <c r="T2099" s="10" t="s">
        <v>1575</v>
      </c>
      <c r="U2099" s="10" t="s">
        <v>1575</v>
      </c>
      <c r="V2099" s="10" t="s">
        <v>1575</v>
      </c>
      <c r="W2099" s="10" t="s">
        <v>1575</v>
      </c>
      <c r="X2099" s="10" t="str">
        <f t="shared" si="2398"/>
        <v>NA</v>
      </c>
      <c r="Y2099" s="10" t="str">
        <f t="shared" si="2399"/>
        <v>NA</v>
      </c>
      <c r="Z2099" s="10" t="str">
        <f t="shared" si="2400"/>
        <v>NA</v>
      </c>
      <c r="AA2099" s="10" t="str">
        <f t="shared" si="2401"/>
        <v>NA</v>
      </c>
      <c r="AB2099" s="10" t="str">
        <f t="shared" si="2402"/>
        <v>NA</v>
      </c>
      <c r="AC2099" s="10" t="str">
        <f t="shared" si="2403"/>
        <v>NA</v>
      </c>
      <c r="AD2099" s="10" t="str">
        <f t="shared" si="2404"/>
        <v>NA</v>
      </c>
      <c r="AE2099" s="10" t="str">
        <f t="shared" si="2405"/>
        <v>NA</v>
      </c>
      <c r="AF2099" s="1" t="s">
        <v>1475</v>
      </c>
    </row>
    <row r="2100" spans="1:32" x14ac:dyDescent="0.2">
      <c r="A2100" s="1" t="s">
        <v>6289</v>
      </c>
      <c r="B2100" s="1" t="s">
        <v>5</v>
      </c>
      <c r="C2100" s="1" t="s">
        <v>1575</v>
      </c>
      <c r="D2100" s="1" t="s">
        <v>1601</v>
      </c>
      <c r="E2100" s="1" t="s">
        <v>1617</v>
      </c>
      <c r="F2100" s="1" t="s">
        <v>1622</v>
      </c>
      <c r="G2100" s="4">
        <v>1</v>
      </c>
      <c r="H2100" s="28">
        <v>41026</v>
      </c>
      <c r="I2100" s="29">
        <f t="shared" si="2397"/>
        <v>2012</v>
      </c>
      <c r="J2100" s="1" t="s">
        <v>7</v>
      </c>
      <c r="K2100" s="1" t="s">
        <v>1478</v>
      </c>
      <c r="L2100" s="11" t="str">
        <f t="shared" si="2406"/>
        <v>НЕТ</v>
      </c>
      <c r="M2100" s="10">
        <v>0</v>
      </c>
      <c r="N2100" s="10">
        <v>0</v>
      </c>
      <c r="O2100" s="10">
        <v>1.3950000000000001E-2</v>
      </c>
      <c r="P2100" s="10">
        <f t="shared" si="2395"/>
        <v>1.3950000000000001E-2</v>
      </c>
      <c r="Q2100" s="10" t="str">
        <f t="shared" si="2396"/>
        <v>NA</v>
      </c>
      <c r="R2100" s="10" t="s">
        <v>1575</v>
      </c>
      <c r="S2100" s="10" t="s">
        <v>1575</v>
      </c>
      <c r="T2100" s="10" t="s">
        <v>1575</v>
      </c>
      <c r="U2100" s="10" t="s">
        <v>1575</v>
      </c>
      <c r="V2100" s="10" t="s">
        <v>1575</v>
      </c>
      <c r="W2100" s="10" t="s">
        <v>1575</v>
      </c>
      <c r="X2100" s="10" t="str">
        <f t="shared" si="2398"/>
        <v>NA</v>
      </c>
      <c r="Y2100" s="10" t="str">
        <f t="shared" si="2399"/>
        <v>NA</v>
      </c>
      <c r="Z2100" s="10" t="str">
        <f t="shared" si="2400"/>
        <v>NA</v>
      </c>
      <c r="AA2100" s="10" t="str">
        <f t="shared" si="2401"/>
        <v>NA</v>
      </c>
      <c r="AB2100" s="10" t="str">
        <f t="shared" si="2402"/>
        <v>NA</v>
      </c>
      <c r="AC2100" s="10" t="str">
        <f t="shared" si="2403"/>
        <v>NA</v>
      </c>
      <c r="AD2100" s="10" t="str">
        <f t="shared" si="2404"/>
        <v>NA</v>
      </c>
      <c r="AE2100" s="10" t="str">
        <f t="shared" si="2405"/>
        <v>NA</v>
      </c>
      <c r="AF2100" s="1" t="s">
        <v>1479</v>
      </c>
    </row>
    <row r="2101" spans="1:32" x14ac:dyDescent="0.2">
      <c r="A2101" s="1" t="s">
        <v>6290</v>
      </c>
      <c r="B2101" s="1" t="s">
        <v>5</v>
      </c>
      <c r="C2101" s="1" t="s">
        <v>1575</v>
      </c>
      <c r="D2101" s="1" t="s">
        <v>1601</v>
      </c>
      <c r="E2101" s="1" t="s">
        <v>1612</v>
      </c>
      <c r="F2101" s="1" t="s">
        <v>1485</v>
      </c>
      <c r="G2101" s="4">
        <v>1</v>
      </c>
      <c r="H2101" s="28">
        <v>42361</v>
      </c>
      <c r="I2101" s="29">
        <f t="shared" si="2397"/>
        <v>2015</v>
      </c>
      <c r="J2101" s="1" t="s">
        <v>425</v>
      </c>
      <c r="K2101" s="1" t="s">
        <v>7</v>
      </c>
      <c r="L2101" s="11" t="str">
        <f t="shared" si="2406"/>
        <v>НЕТ</v>
      </c>
      <c r="M2101" s="10">
        <v>0</v>
      </c>
      <c r="N2101" s="10">
        <v>0</v>
      </c>
      <c r="O2101" s="10">
        <v>14.437522</v>
      </c>
      <c r="P2101" s="10">
        <f t="shared" si="2395"/>
        <v>14.437522</v>
      </c>
      <c r="Q2101" s="10" t="str">
        <f t="shared" si="2396"/>
        <v>NA</v>
      </c>
      <c r="R2101" s="10" t="s">
        <v>1575</v>
      </c>
      <c r="S2101" s="10" t="s">
        <v>1575</v>
      </c>
      <c r="T2101" s="10" t="s">
        <v>1575</v>
      </c>
      <c r="U2101" s="10" t="s">
        <v>1575</v>
      </c>
      <c r="V2101" s="10" t="s">
        <v>1575</v>
      </c>
      <c r="W2101" s="10" t="s">
        <v>1575</v>
      </c>
      <c r="X2101" s="10" t="str">
        <f t="shared" si="2398"/>
        <v>NA</v>
      </c>
      <c r="Y2101" s="10" t="str">
        <f t="shared" si="2399"/>
        <v>NA</v>
      </c>
      <c r="Z2101" s="10" t="str">
        <f t="shared" si="2400"/>
        <v>NA</v>
      </c>
      <c r="AA2101" s="10" t="str">
        <f t="shared" si="2401"/>
        <v>NA</v>
      </c>
      <c r="AB2101" s="10" t="str">
        <f t="shared" si="2402"/>
        <v>NA</v>
      </c>
      <c r="AC2101" s="10" t="str">
        <f t="shared" si="2403"/>
        <v>NA</v>
      </c>
      <c r="AD2101" s="10" t="str">
        <f t="shared" si="2404"/>
        <v>NA</v>
      </c>
      <c r="AE2101" s="10" t="str">
        <f t="shared" si="2405"/>
        <v>NA</v>
      </c>
    </row>
    <row r="2102" spans="1:32" x14ac:dyDescent="0.2">
      <c r="A2102" s="1" t="s">
        <v>6291</v>
      </c>
      <c r="B2102" s="1" t="s">
        <v>5</v>
      </c>
      <c r="C2102" s="1" t="s">
        <v>1575</v>
      </c>
      <c r="D2102" s="1" t="s">
        <v>1601</v>
      </c>
      <c r="E2102" s="1" t="s">
        <v>1612</v>
      </c>
      <c r="F2102" s="1" t="s">
        <v>1485</v>
      </c>
      <c r="G2102" s="4">
        <v>0.60099999999999998</v>
      </c>
      <c r="H2102" s="28">
        <v>42361</v>
      </c>
      <c r="I2102" s="29">
        <f t="shared" si="2397"/>
        <v>2015</v>
      </c>
      <c r="J2102" s="1" t="s">
        <v>425</v>
      </c>
      <c r="K2102" s="1" t="s">
        <v>7</v>
      </c>
      <c r="L2102" s="11" t="str">
        <f t="shared" si="2406"/>
        <v>НЕТ</v>
      </c>
      <c r="M2102" s="10">
        <v>0</v>
      </c>
      <c r="N2102" s="10">
        <v>0</v>
      </c>
      <c r="O2102" s="10">
        <v>1.170207</v>
      </c>
      <c r="P2102" s="10">
        <f t="shared" si="2395"/>
        <v>1.9470998336106491</v>
      </c>
      <c r="Q2102" s="10" t="str">
        <f t="shared" si="2396"/>
        <v>NA</v>
      </c>
      <c r="R2102" s="10" t="s">
        <v>1575</v>
      </c>
      <c r="S2102" s="10" t="s">
        <v>1575</v>
      </c>
      <c r="T2102" s="10" t="s">
        <v>1575</v>
      </c>
      <c r="U2102" s="10" t="s">
        <v>1575</v>
      </c>
      <c r="V2102" s="10" t="s">
        <v>1575</v>
      </c>
      <c r="W2102" s="10" t="s">
        <v>1575</v>
      </c>
      <c r="X2102" s="10" t="str">
        <f t="shared" si="2398"/>
        <v>NA</v>
      </c>
      <c r="Y2102" s="10" t="str">
        <f t="shared" si="2399"/>
        <v>NA</v>
      </c>
      <c r="Z2102" s="10" t="str">
        <f t="shared" si="2400"/>
        <v>NA</v>
      </c>
      <c r="AA2102" s="10" t="str">
        <f t="shared" si="2401"/>
        <v>NA</v>
      </c>
      <c r="AB2102" s="10" t="str">
        <f t="shared" si="2402"/>
        <v>NA</v>
      </c>
      <c r="AC2102" s="10" t="str">
        <f t="shared" si="2403"/>
        <v>NA</v>
      </c>
      <c r="AD2102" s="10" t="str">
        <f t="shared" si="2404"/>
        <v>NA</v>
      </c>
      <c r="AE2102" s="10" t="str">
        <f t="shared" si="2405"/>
        <v>NA</v>
      </c>
      <c r="AF2102" s="1" t="s">
        <v>426</v>
      </c>
    </row>
    <row r="2103" spans="1:32" x14ac:dyDescent="0.2">
      <c r="A2103" s="1" t="s">
        <v>6292</v>
      </c>
      <c r="B2103" s="1" t="s">
        <v>5</v>
      </c>
      <c r="C2103" s="1" t="s">
        <v>1575</v>
      </c>
      <c r="D2103" s="1" t="s">
        <v>1601</v>
      </c>
      <c r="E2103" s="1" t="s">
        <v>5352</v>
      </c>
      <c r="F2103" s="1" t="s">
        <v>110</v>
      </c>
      <c r="G2103" s="4">
        <v>5.5620000000000003E-2</v>
      </c>
      <c r="H2103" s="28">
        <v>40087</v>
      </c>
      <c r="I2103" s="29">
        <f t="shared" si="2397"/>
        <v>2009</v>
      </c>
      <c r="J2103" s="1" t="s">
        <v>425</v>
      </c>
      <c r="K2103" s="1" t="s">
        <v>7</v>
      </c>
      <c r="L2103" s="11" t="str">
        <f t="shared" si="2406"/>
        <v>НЕТ</v>
      </c>
      <c r="M2103" s="10">
        <v>0</v>
      </c>
      <c r="N2103" s="10">
        <v>0</v>
      </c>
      <c r="O2103" s="10">
        <v>1.7385000000000001E-2</v>
      </c>
      <c r="P2103" s="10">
        <f t="shared" si="2395"/>
        <v>0.31256742179072278</v>
      </c>
      <c r="Q2103" s="10" t="str">
        <f t="shared" si="2396"/>
        <v>NA</v>
      </c>
      <c r="R2103" s="10" t="s">
        <v>1575</v>
      </c>
      <c r="S2103" s="10" t="s">
        <v>1575</v>
      </c>
      <c r="T2103" s="10" t="s">
        <v>1575</v>
      </c>
      <c r="U2103" s="10" t="s">
        <v>1575</v>
      </c>
      <c r="V2103" s="10" t="s">
        <v>1575</v>
      </c>
      <c r="W2103" s="10" t="s">
        <v>1575</v>
      </c>
      <c r="X2103" s="10" t="str">
        <f t="shared" si="2398"/>
        <v>NA</v>
      </c>
      <c r="Y2103" s="10" t="str">
        <f t="shared" si="2399"/>
        <v>NA</v>
      </c>
      <c r="Z2103" s="10" t="str">
        <f t="shared" si="2400"/>
        <v>NA</v>
      </c>
      <c r="AA2103" s="10" t="str">
        <f t="shared" si="2401"/>
        <v>NA</v>
      </c>
      <c r="AB2103" s="10" t="str">
        <f t="shared" si="2402"/>
        <v>NA</v>
      </c>
      <c r="AC2103" s="10" t="str">
        <f t="shared" si="2403"/>
        <v>NA</v>
      </c>
      <c r="AD2103" s="10" t="str">
        <f t="shared" si="2404"/>
        <v>NA</v>
      </c>
      <c r="AE2103" s="10" t="str">
        <f t="shared" si="2405"/>
        <v>NA</v>
      </c>
      <c r="AF2103" s="1" t="s">
        <v>427</v>
      </c>
    </row>
    <row r="2104" spans="1:32" x14ac:dyDescent="0.2">
      <c r="A2104" s="1" t="s">
        <v>6293</v>
      </c>
      <c r="B2104" s="1" t="s">
        <v>5</v>
      </c>
      <c r="C2104" s="1" t="s">
        <v>1575</v>
      </c>
      <c r="D2104" s="1" t="s">
        <v>1578</v>
      </c>
      <c r="E2104" s="1" t="s">
        <v>1579</v>
      </c>
      <c r="F2104" s="1" t="s">
        <v>429</v>
      </c>
      <c r="G2104" s="4">
        <v>1</v>
      </c>
      <c r="H2104" s="28">
        <v>41640</v>
      </c>
      <c r="I2104" s="29">
        <f t="shared" si="2397"/>
        <v>2014</v>
      </c>
      <c r="J2104" s="1" t="s">
        <v>7</v>
      </c>
      <c r="K2104" s="1" t="s">
        <v>428</v>
      </c>
      <c r="L2104" s="11" t="str">
        <f t="shared" si="2406"/>
        <v>НЕТ</v>
      </c>
      <c r="M2104" s="10">
        <v>0</v>
      </c>
      <c r="N2104" s="10">
        <v>0</v>
      </c>
      <c r="O2104" s="10">
        <v>1.2E-2</v>
      </c>
      <c r="P2104" s="10">
        <f t="shared" si="2395"/>
        <v>1.2E-2</v>
      </c>
      <c r="Q2104" s="10" t="str">
        <f t="shared" si="2396"/>
        <v>NA</v>
      </c>
      <c r="R2104" s="10" t="s">
        <v>1575</v>
      </c>
      <c r="S2104" s="10" t="s">
        <v>1575</v>
      </c>
      <c r="T2104" s="10" t="s">
        <v>1575</v>
      </c>
      <c r="U2104" s="10" t="s">
        <v>1575</v>
      </c>
      <c r="V2104" s="10" t="s">
        <v>1575</v>
      </c>
      <c r="W2104" s="10" t="s">
        <v>1575</v>
      </c>
      <c r="X2104" s="10" t="str">
        <f t="shared" si="2398"/>
        <v>NA</v>
      </c>
      <c r="Y2104" s="10" t="str">
        <f t="shared" si="2399"/>
        <v>NA</v>
      </c>
      <c r="Z2104" s="10" t="str">
        <f t="shared" si="2400"/>
        <v>NA</v>
      </c>
      <c r="AA2104" s="10" t="str">
        <f t="shared" si="2401"/>
        <v>NA</v>
      </c>
      <c r="AB2104" s="10" t="str">
        <f t="shared" si="2402"/>
        <v>NA</v>
      </c>
      <c r="AC2104" s="10" t="str">
        <f t="shared" si="2403"/>
        <v>NA</v>
      </c>
      <c r="AD2104" s="10" t="str">
        <f t="shared" si="2404"/>
        <v>NA</v>
      </c>
      <c r="AE2104" s="10" t="str">
        <f t="shared" si="2405"/>
        <v>NA</v>
      </c>
    </row>
    <row r="2105" spans="1:32" x14ac:dyDescent="0.2">
      <c r="A2105" s="1" t="s">
        <v>6294</v>
      </c>
      <c r="B2105" s="1" t="s">
        <v>5</v>
      </c>
      <c r="C2105" s="1" t="s">
        <v>1575</v>
      </c>
      <c r="D2105" s="1" t="s">
        <v>1580</v>
      </c>
      <c r="E2105" s="1" t="s">
        <v>1581</v>
      </c>
      <c r="F2105" s="1" t="s">
        <v>67</v>
      </c>
      <c r="G2105" s="4">
        <v>0.99870000000000003</v>
      </c>
      <c r="H2105" s="28">
        <v>41452</v>
      </c>
      <c r="I2105" s="29">
        <f t="shared" si="2397"/>
        <v>2013</v>
      </c>
      <c r="J2105" s="1" t="s">
        <v>7</v>
      </c>
      <c r="K2105" s="1" t="s">
        <v>430</v>
      </c>
      <c r="L2105" s="11" t="str">
        <f t="shared" si="2406"/>
        <v>НЕТ</v>
      </c>
      <c r="M2105" s="10">
        <v>0</v>
      </c>
      <c r="N2105" s="10">
        <v>0</v>
      </c>
      <c r="O2105" s="10">
        <v>1.0000000000000001E-5</v>
      </c>
      <c r="P2105" s="10">
        <f t="shared" si="2395"/>
        <v>1.0013016921998598E-5</v>
      </c>
      <c r="Q2105" s="10" t="str">
        <f t="shared" si="2396"/>
        <v>NA</v>
      </c>
      <c r="R2105" s="10" t="s">
        <v>1575</v>
      </c>
      <c r="S2105" s="10" t="s">
        <v>1575</v>
      </c>
      <c r="T2105" s="10" t="s">
        <v>1575</v>
      </c>
      <c r="U2105" s="10" t="s">
        <v>1575</v>
      </c>
      <c r="V2105" s="10" t="s">
        <v>1575</v>
      </c>
      <c r="W2105" s="10" t="s">
        <v>1575</v>
      </c>
      <c r="X2105" s="10" t="str">
        <f t="shared" si="2398"/>
        <v>NA</v>
      </c>
      <c r="Y2105" s="10" t="str">
        <f t="shared" si="2399"/>
        <v>NA</v>
      </c>
      <c r="Z2105" s="10" t="str">
        <f t="shared" si="2400"/>
        <v>NA</v>
      </c>
      <c r="AA2105" s="10" t="str">
        <f t="shared" si="2401"/>
        <v>NA</v>
      </c>
      <c r="AB2105" s="10" t="str">
        <f t="shared" si="2402"/>
        <v>NA</v>
      </c>
      <c r="AC2105" s="10" t="str">
        <f t="shared" si="2403"/>
        <v>NA</v>
      </c>
      <c r="AD2105" s="10" t="str">
        <f t="shared" si="2404"/>
        <v>NA</v>
      </c>
      <c r="AE2105" s="10" t="str">
        <f t="shared" si="2405"/>
        <v>NA</v>
      </c>
    </row>
    <row r="2106" spans="1:32" x14ac:dyDescent="0.2">
      <c r="A2106" s="1" t="s">
        <v>6295</v>
      </c>
      <c r="B2106" s="1" t="s">
        <v>5</v>
      </c>
      <c r="C2106" s="1" t="s">
        <v>1623</v>
      </c>
      <c r="D2106" s="1" t="s">
        <v>1601</v>
      </c>
      <c r="E2106" s="1" t="s">
        <v>1612</v>
      </c>
      <c r="F2106" s="1" t="s">
        <v>1485</v>
      </c>
      <c r="G2106" s="4">
        <v>0.53810000000000002</v>
      </c>
      <c r="H2106" s="28">
        <v>41234</v>
      </c>
      <c r="I2106" s="29">
        <f t="shared" si="2397"/>
        <v>2012</v>
      </c>
      <c r="J2106" s="1" t="s">
        <v>7</v>
      </c>
      <c r="K2106" s="1" t="s">
        <v>430</v>
      </c>
      <c r="L2106" s="11" t="str">
        <f t="shared" si="2406"/>
        <v>НЕТ</v>
      </c>
      <c r="M2106" s="10">
        <v>0</v>
      </c>
      <c r="N2106" s="10">
        <v>0</v>
      </c>
      <c r="O2106" s="10">
        <f>0.949751+0.8</f>
        <v>1.7497510000000001</v>
      </c>
      <c r="P2106" s="10">
        <f t="shared" si="2395"/>
        <v>3.2517208697268165</v>
      </c>
      <c r="Q2106" s="10">
        <f t="shared" si="2396"/>
        <v>4.1747208697268166</v>
      </c>
      <c r="R2106" s="10">
        <v>3.0139999999999998</v>
      </c>
      <c r="S2106" s="10">
        <v>0.66300000000000003</v>
      </c>
      <c r="T2106" s="10">
        <v>-0.39599999999999996</v>
      </c>
      <c r="U2106" s="10">
        <v>-0.36</v>
      </c>
      <c r="V2106" s="10">
        <v>7.5679999999999996</v>
      </c>
      <c r="W2106" s="10">
        <v>0.92299999999999982</v>
      </c>
      <c r="X2106" s="10">
        <f t="shared" si="2398"/>
        <v>8.4909999999999997</v>
      </c>
      <c r="Y2106" s="10">
        <f t="shared" si="2399"/>
        <v>1.0788722195510341</v>
      </c>
      <c r="Z2106" s="10">
        <f t="shared" si="2400"/>
        <v>-9.0325579714633797</v>
      </c>
      <c r="AA2106" s="10">
        <f t="shared" si="2401"/>
        <v>0.42966713394910366</v>
      </c>
      <c r="AB2106" s="10">
        <f t="shared" si="2402"/>
        <v>1.3851097776134098</v>
      </c>
      <c r="AC2106" s="10">
        <f t="shared" si="2403"/>
        <v>6.2967132273405975</v>
      </c>
      <c r="AD2106" s="10">
        <f t="shared" si="2404"/>
        <v>-10.542224418502062</v>
      </c>
      <c r="AE2106" s="10">
        <f t="shared" si="2405"/>
        <v>0.49166421737449262</v>
      </c>
      <c r="AF2106" s="1" t="s">
        <v>1517</v>
      </c>
    </row>
    <row r="2107" spans="1:32" x14ac:dyDescent="0.2">
      <c r="A2107" s="1" t="s">
        <v>6296</v>
      </c>
      <c r="B2107" s="1" t="s">
        <v>5</v>
      </c>
      <c r="C2107" s="1" t="s">
        <v>1575</v>
      </c>
      <c r="D2107" s="1" t="s">
        <v>1615</v>
      </c>
      <c r="E2107" s="1" t="s">
        <v>5352</v>
      </c>
      <c r="F2107" s="1" t="s">
        <v>422</v>
      </c>
      <c r="G2107" s="4" t="s">
        <v>11</v>
      </c>
      <c r="H2107" s="28">
        <v>40148</v>
      </c>
      <c r="I2107" s="29">
        <f t="shared" si="2397"/>
        <v>2009</v>
      </c>
      <c r="J2107" s="1" t="s">
        <v>430</v>
      </c>
      <c r="K2107" s="1" t="s">
        <v>7</v>
      </c>
      <c r="L2107" s="11" t="str">
        <f t="shared" si="2406"/>
        <v>НЕТ</v>
      </c>
      <c r="M2107" s="10">
        <v>0</v>
      </c>
      <c r="N2107" s="10">
        <v>0</v>
      </c>
      <c r="O2107" s="10">
        <v>9.9000000000000001E-6</v>
      </c>
      <c r="P2107" s="10" t="str">
        <f t="shared" si="2395"/>
        <v>NA</v>
      </c>
      <c r="Q2107" s="10" t="str">
        <f t="shared" si="2396"/>
        <v>NA</v>
      </c>
      <c r="R2107" s="10" t="s">
        <v>1575</v>
      </c>
      <c r="S2107" s="10" t="s">
        <v>1575</v>
      </c>
      <c r="T2107" s="10" t="s">
        <v>1575</v>
      </c>
      <c r="U2107" s="10" t="s">
        <v>1575</v>
      </c>
      <c r="V2107" s="10" t="s">
        <v>1575</v>
      </c>
      <c r="W2107" s="10" t="s">
        <v>1575</v>
      </c>
      <c r="X2107" s="10" t="str">
        <f t="shared" si="2398"/>
        <v>NA</v>
      </c>
      <c r="Y2107" s="10" t="str">
        <f t="shared" si="2399"/>
        <v>NA</v>
      </c>
      <c r="Z2107" s="10" t="str">
        <f t="shared" si="2400"/>
        <v>NA</v>
      </c>
      <c r="AA2107" s="10" t="str">
        <f t="shared" si="2401"/>
        <v>NA</v>
      </c>
      <c r="AB2107" s="10" t="str">
        <f t="shared" si="2402"/>
        <v>NA</v>
      </c>
      <c r="AC2107" s="10" t="str">
        <f t="shared" si="2403"/>
        <v>NA</v>
      </c>
      <c r="AD2107" s="10" t="str">
        <f t="shared" si="2404"/>
        <v>NA</v>
      </c>
      <c r="AE2107" s="10" t="str">
        <f t="shared" si="2405"/>
        <v>NA</v>
      </c>
    </row>
    <row r="2108" spans="1:32" x14ac:dyDescent="0.2">
      <c r="A2108" s="1" t="s">
        <v>6297</v>
      </c>
      <c r="B2108" s="1" t="s">
        <v>5</v>
      </c>
      <c r="C2108" s="1" t="s">
        <v>1575</v>
      </c>
      <c r="D2108" s="1" t="s">
        <v>1615</v>
      </c>
      <c r="E2108" s="1" t="s">
        <v>1750</v>
      </c>
      <c r="F2108" s="1" t="s">
        <v>422</v>
      </c>
      <c r="G2108" s="4" t="s">
        <v>11</v>
      </c>
      <c r="H2108" s="28">
        <v>40148</v>
      </c>
      <c r="I2108" s="29">
        <f t="shared" si="2397"/>
        <v>2009</v>
      </c>
      <c r="J2108" s="1" t="s">
        <v>430</v>
      </c>
      <c r="K2108" s="1" t="s">
        <v>7</v>
      </c>
      <c r="L2108" s="11" t="str">
        <f t="shared" si="2406"/>
        <v>НЕТ</v>
      </c>
      <c r="M2108" s="10">
        <v>0</v>
      </c>
      <c r="N2108" s="10">
        <v>0</v>
      </c>
      <c r="O2108" s="10">
        <v>9.9000000000000001E-6</v>
      </c>
      <c r="P2108" s="10" t="str">
        <f t="shared" si="2395"/>
        <v>NA</v>
      </c>
      <c r="Q2108" s="10" t="str">
        <f t="shared" si="2396"/>
        <v>NA</v>
      </c>
      <c r="R2108" s="10" t="s">
        <v>1575</v>
      </c>
      <c r="S2108" s="10" t="s">
        <v>1575</v>
      </c>
      <c r="T2108" s="10" t="s">
        <v>1575</v>
      </c>
      <c r="U2108" s="10" t="s">
        <v>1575</v>
      </c>
      <c r="V2108" s="10" t="s">
        <v>1575</v>
      </c>
      <c r="W2108" s="10" t="s">
        <v>1575</v>
      </c>
      <c r="X2108" s="10" t="str">
        <f t="shared" si="2398"/>
        <v>NA</v>
      </c>
      <c r="Y2108" s="10" t="str">
        <f t="shared" si="2399"/>
        <v>NA</v>
      </c>
      <c r="Z2108" s="10" t="str">
        <f t="shared" si="2400"/>
        <v>NA</v>
      </c>
      <c r="AA2108" s="10" t="str">
        <f t="shared" si="2401"/>
        <v>NA</v>
      </c>
      <c r="AB2108" s="10" t="str">
        <f t="shared" si="2402"/>
        <v>NA</v>
      </c>
      <c r="AC2108" s="10" t="str">
        <f t="shared" si="2403"/>
        <v>NA</v>
      </c>
      <c r="AD2108" s="10" t="str">
        <f t="shared" si="2404"/>
        <v>NA</v>
      </c>
      <c r="AE2108" s="10" t="str">
        <f t="shared" si="2405"/>
        <v>NA</v>
      </c>
    </row>
    <row r="2109" spans="1:32" x14ac:dyDescent="0.2">
      <c r="A2109" s="1" t="s">
        <v>6298</v>
      </c>
      <c r="B2109" s="1" t="s">
        <v>5</v>
      </c>
      <c r="C2109" s="1" t="s">
        <v>1575</v>
      </c>
      <c r="D2109" s="1" t="s">
        <v>1615</v>
      </c>
      <c r="E2109" s="1" t="s">
        <v>1750</v>
      </c>
      <c r="F2109" s="1" t="s">
        <v>422</v>
      </c>
      <c r="G2109" s="4" t="s">
        <v>11</v>
      </c>
      <c r="H2109" s="28">
        <v>40148</v>
      </c>
      <c r="I2109" s="29">
        <f t="shared" si="2397"/>
        <v>2009</v>
      </c>
      <c r="J2109" s="1" t="s">
        <v>430</v>
      </c>
      <c r="K2109" s="1" t="s">
        <v>7</v>
      </c>
      <c r="L2109" s="11" t="str">
        <f t="shared" si="2406"/>
        <v>НЕТ</v>
      </c>
      <c r="M2109" s="10">
        <v>0</v>
      </c>
      <c r="N2109" s="10">
        <v>0</v>
      </c>
      <c r="O2109" s="10">
        <v>9.9000000000000001E-6</v>
      </c>
      <c r="P2109" s="10" t="str">
        <f t="shared" si="2395"/>
        <v>NA</v>
      </c>
      <c r="Q2109" s="10" t="str">
        <f t="shared" si="2396"/>
        <v>NA</v>
      </c>
      <c r="R2109" s="10" t="s">
        <v>1575</v>
      </c>
      <c r="S2109" s="10" t="s">
        <v>1575</v>
      </c>
      <c r="T2109" s="10" t="s">
        <v>1575</v>
      </c>
      <c r="U2109" s="10" t="s">
        <v>1575</v>
      </c>
      <c r="V2109" s="10" t="s">
        <v>1575</v>
      </c>
      <c r="W2109" s="10" t="s">
        <v>1575</v>
      </c>
      <c r="X2109" s="10" t="str">
        <f t="shared" si="2398"/>
        <v>NA</v>
      </c>
      <c r="Y2109" s="10" t="str">
        <f t="shared" si="2399"/>
        <v>NA</v>
      </c>
      <c r="Z2109" s="10" t="str">
        <f t="shared" si="2400"/>
        <v>NA</v>
      </c>
      <c r="AA2109" s="10" t="str">
        <f t="shared" si="2401"/>
        <v>NA</v>
      </c>
      <c r="AB2109" s="10" t="str">
        <f t="shared" si="2402"/>
        <v>NA</v>
      </c>
      <c r="AC2109" s="10" t="str">
        <f t="shared" si="2403"/>
        <v>NA</v>
      </c>
      <c r="AD2109" s="10" t="str">
        <f t="shared" si="2404"/>
        <v>NA</v>
      </c>
      <c r="AE2109" s="10" t="str">
        <f t="shared" si="2405"/>
        <v>NA</v>
      </c>
    </row>
    <row r="2110" spans="1:32" x14ac:dyDescent="0.2">
      <c r="A2110" s="1" t="s">
        <v>6299</v>
      </c>
      <c r="B2110" s="1" t="s">
        <v>5</v>
      </c>
      <c r="C2110" s="1" t="s">
        <v>1575</v>
      </c>
      <c r="D2110" s="1" t="s">
        <v>1582</v>
      </c>
      <c r="E2110" s="1" t="s">
        <v>1587</v>
      </c>
      <c r="F2110" s="1" t="s">
        <v>431</v>
      </c>
      <c r="G2110" s="4">
        <v>0.8</v>
      </c>
      <c r="H2110" s="28">
        <v>40908</v>
      </c>
      <c r="I2110" s="29">
        <f t="shared" si="2397"/>
        <v>2011</v>
      </c>
      <c r="J2110" s="1" t="s">
        <v>7</v>
      </c>
      <c r="K2110" s="1" t="s">
        <v>432</v>
      </c>
      <c r="L2110" s="11" t="str">
        <f t="shared" si="2406"/>
        <v>НЕТ</v>
      </c>
      <c r="M2110" s="10">
        <v>0</v>
      </c>
      <c r="N2110" s="10">
        <v>0</v>
      </c>
      <c r="O2110" s="10">
        <v>6.0999999999999997E-4</v>
      </c>
      <c r="P2110" s="10">
        <f t="shared" si="2395"/>
        <v>7.6249999999999994E-4</v>
      </c>
      <c r="Q2110" s="10" t="str">
        <f t="shared" si="2396"/>
        <v>NA</v>
      </c>
      <c r="R2110" s="10" t="s">
        <v>1575</v>
      </c>
      <c r="S2110" s="10" t="s">
        <v>1575</v>
      </c>
      <c r="T2110" s="10" t="s">
        <v>1575</v>
      </c>
      <c r="U2110" s="10" t="s">
        <v>1575</v>
      </c>
      <c r="V2110" s="10" t="s">
        <v>1575</v>
      </c>
      <c r="W2110" s="10" t="s">
        <v>1575</v>
      </c>
      <c r="X2110" s="10" t="str">
        <f t="shared" si="2398"/>
        <v>NA</v>
      </c>
      <c r="Y2110" s="10" t="str">
        <f t="shared" si="2399"/>
        <v>NA</v>
      </c>
      <c r="Z2110" s="10" t="str">
        <f t="shared" si="2400"/>
        <v>NA</v>
      </c>
      <c r="AA2110" s="10" t="str">
        <f t="shared" si="2401"/>
        <v>NA</v>
      </c>
      <c r="AB2110" s="10" t="str">
        <f t="shared" si="2402"/>
        <v>NA</v>
      </c>
      <c r="AC2110" s="10" t="str">
        <f t="shared" si="2403"/>
        <v>NA</v>
      </c>
      <c r="AD2110" s="10" t="str">
        <f t="shared" si="2404"/>
        <v>NA</v>
      </c>
      <c r="AE2110" s="10" t="str">
        <f t="shared" si="2405"/>
        <v>NA</v>
      </c>
    </row>
    <row r="2111" spans="1:32" x14ac:dyDescent="0.2">
      <c r="A2111" s="1" t="s">
        <v>6300</v>
      </c>
      <c r="B2111" s="1" t="s">
        <v>5</v>
      </c>
      <c r="C2111" s="1" t="s">
        <v>1575</v>
      </c>
      <c r="D2111" s="1" t="s">
        <v>1582</v>
      </c>
      <c r="E2111" s="1" t="s">
        <v>1587</v>
      </c>
      <c r="F2111" s="1" t="s">
        <v>360</v>
      </c>
      <c r="G2111" s="4">
        <v>0.8</v>
      </c>
      <c r="H2111" s="28">
        <v>40904</v>
      </c>
      <c r="I2111" s="29">
        <f t="shared" si="2397"/>
        <v>2011</v>
      </c>
      <c r="J2111" s="1" t="s">
        <v>7</v>
      </c>
      <c r="K2111" s="1" t="s">
        <v>433</v>
      </c>
      <c r="L2111" s="11" t="str">
        <f t="shared" si="2406"/>
        <v>НЕТ</v>
      </c>
      <c r="M2111" s="10">
        <v>0</v>
      </c>
      <c r="N2111" s="10">
        <v>0</v>
      </c>
      <c r="O2111" s="10">
        <v>1.4E-2</v>
      </c>
      <c r="P2111" s="10">
        <f t="shared" si="2395"/>
        <v>1.7499999999999998E-2</v>
      </c>
      <c r="Q2111" s="10" t="str">
        <f t="shared" si="2396"/>
        <v>NA</v>
      </c>
      <c r="R2111" s="10" t="s">
        <v>1575</v>
      </c>
      <c r="S2111" s="10" t="s">
        <v>1575</v>
      </c>
      <c r="T2111" s="10" t="s">
        <v>1575</v>
      </c>
      <c r="U2111" s="10" t="s">
        <v>1575</v>
      </c>
      <c r="V2111" s="10" t="s">
        <v>1575</v>
      </c>
      <c r="W2111" s="10" t="s">
        <v>1575</v>
      </c>
      <c r="X2111" s="10" t="str">
        <f t="shared" si="2398"/>
        <v>NA</v>
      </c>
      <c r="Y2111" s="10" t="str">
        <f t="shared" si="2399"/>
        <v>NA</v>
      </c>
      <c r="Z2111" s="10" t="str">
        <f t="shared" si="2400"/>
        <v>NA</v>
      </c>
      <c r="AA2111" s="10" t="str">
        <f t="shared" si="2401"/>
        <v>NA</v>
      </c>
      <c r="AB2111" s="10" t="str">
        <f t="shared" si="2402"/>
        <v>NA</v>
      </c>
      <c r="AC2111" s="10" t="str">
        <f t="shared" si="2403"/>
        <v>NA</v>
      </c>
      <c r="AD2111" s="10" t="str">
        <f t="shared" si="2404"/>
        <v>NA</v>
      </c>
      <c r="AE2111" s="10" t="str">
        <f t="shared" si="2405"/>
        <v>NA</v>
      </c>
    </row>
    <row r="2112" spans="1:32" x14ac:dyDescent="0.2">
      <c r="A2112" s="1" t="s">
        <v>6301</v>
      </c>
      <c r="B2112" s="1" t="s">
        <v>5</v>
      </c>
      <c r="C2112" s="1" t="s">
        <v>1575</v>
      </c>
      <c r="D2112" s="1" t="s">
        <v>1601</v>
      </c>
      <c r="E2112" s="1" t="s">
        <v>1587</v>
      </c>
      <c r="F2112" s="1" t="s">
        <v>360</v>
      </c>
      <c r="G2112" s="4">
        <v>0.75</v>
      </c>
      <c r="H2112" s="28">
        <v>40543</v>
      </c>
      <c r="I2112" s="29">
        <f t="shared" si="2397"/>
        <v>2010</v>
      </c>
      <c r="J2112" s="1" t="s">
        <v>7</v>
      </c>
      <c r="K2112" s="1" t="s">
        <v>433</v>
      </c>
      <c r="L2112" s="11" t="str">
        <f t="shared" si="2406"/>
        <v>НЕТ</v>
      </c>
      <c r="M2112" s="10">
        <v>0</v>
      </c>
      <c r="N2112" s="10">
        <v>0</v>
      </c>
      <c r="O2112" s="10">
        <v>2.6724000000000001E-2</v>
      </c>
      <c r="P2112" s="10">
        <f t="shared" si="2395"/>
        <v>3.5632000000000004E-2</v>
      </c>
      <c r="Q2112" s="10" t="str">
        <f t="shared" si="2396"/>
        <v>NA</v>
      </c>
      <c r="R2112" s="10" t="s">
        <v>1575</v>
      </c>
      <c r="S2112" s="10" t="s">
        <v>1575</v>
      </c>
      <c r="T2112" s="10" t="s">
        <v>1575</v>
      </c>
      <c r="U2112" s="10" t="s">
        <v>1575</v>
      </c>
      <c r="V2112" s="10" t="s">
        <v>1575</v>
      </c>
      <c r="W2112" s="10" t="s">
        <v>1575</v>
      </c>
      <c r="X2112" s="10" t="str">
        <f t="shared" si="2398"/>
        <v>NA</v>
      </c>
      <c r="Y2112" s="10" t="str">
        <f t="shared" si="2399"/>
        <v>NA</v>
      </c>
      <c r="Z2112" s="10" t="str">
        <f t="shared" si="2400"/>
        <v>NA</v>
      </c>
      <c r="AA2112" s="10" t="str">
        <f t="shared" si="2401"/>
        <v>NA</v>
      </c>
      <c r="AB2112" s="10" t="str">
        <f t="shared" si="2402"/>
        <v>NA</v>
      </c>
      <c r="AC2112" s="10" t="str">
        <f t="shared" si="2403"/>
        <v>NA</v>
      </c>
      <c r="AD2112" s="10" t="str">
        <f t="shared" si="2404"/>
        <v>NA</v>
      </c>
      <c r="AE2112" s="10" t="str">
        <f t="shared" si="2405"/>
        <v>NA</v>
      </c>
    </row>
    <row r="2113" spans="1:32" x14ac:dyDescent="0.2">
      <c r="A2113" s="1" t="s">
        <v>6302</v>
      </c>
      <c r="B2113" s="1" t="s">
        <v>5</v>
      </c>
      <c r="C2113" s="1" t="s">
        <v>1575</v>
      </c>
      <c r="D2113" s="1" t="s">
        <v>1580</v>
      </c>
      <c r="E2113" s="1" t="s">
        <v>2057</v>
      </c>
      <c r="F2113" s="1" t="s">
        <v>434</v>
      </c>
      <c r="G2113" s="4">
        <v>1</v>
      </c>
      <c r="H2113" s="28">
        <v>40541</v>
      </c>
      <c r="I2113" s="29">
        <f t="shared" si="2397"/>
        <v>2010</v>
      </c>
      <c r="J2113" s="1" t="s">
        <v>7</v>
      </c>
      <c r="K2113" s="1" t="s">
        <v>433</v>
      </c>
      <c r="L2113" s="11" t="str">
        <f t="shared" si="2406"/>
        <v>НЕТ</v>
      </c>
      <c r="M2113" s="10">
        <v>0</v>
      </c>
      <c r="N2113" s="10">
        <v>0</v>
      </c>
      <c r="O2113" s="10">
        <v>1.1E-5</v>
      </c>
      <c r="P2113" s="10">
        <f t="shared" si="2395"/>
        <v>1.1E-5</v>
      </c>
      <c r="Q2113" s="10" t="str">
        <f t="shared" si="2396"/>
        <v>NA</v>
      </c>
      <c r="R2113" s="10" t="s">
        <v>1575</v>
      </c>
      <c r="S2113" s="10" t="s">
        <v>1575</v>
      </c>
      <c r="T2113" s="10" t="s">
        <v>1575</v>
      </c>
      <c r="U2113" s="10" t="s">
        <v>1575</v>
      </c>
      <c r="V2113" s="10" t="s">
        <v>1575</v>
      </c>
      <c r="W2113" s="10" t="s">
        <v>1575</v>
      </c>
      <c r="X2113" s="10" t="str">
        <f t="shared" si="2398"/>
        <v>NA</v>
      </c>
      <c r="Y2113" s="10" t="str">
        <f t="shared" si="2399"/>
        <v>NA</v>
      </c>
      <c r="Z2113" s="10" t="str">
        <f t="shared" si="2400"/>
        <v>NA</v>
      </c>
      <c r="AA2113" s="10" t="str">
        <f t="shared" si="2401"/>
        <v>NA</v>
      </c>
      <c r="AB2113" s="10" t="str">
        <f t="shared" si="2402"/>
        <v>NA</v>
      </c>
      <c r="AC2113" s="10" t="str">
        <f t="shared" si="2403"/>
        <v>NA</v>
      </c>
      <c r="AD2113" s="10" t="str">
        <f t="shared" si="2404"/>
        <v>NA</v>
      </c>
      <c r="AE2113" s="10" t="str">
        <f t="shared" si="2405"/>
        <v>NA</v>
      </c>
    </row>
    <row r="2114" spans="1:32" x14ac:dyDescent="0.2">
      <c r="A2114" s="1" t="s">
        <v>6303</v>
      </c>
      <c r="B2114" s="1" t="s">
        <v>5</v>
      </c>
      <c r="C2114" s="1" t="s">
        <v>1575</v>
      </c>
      <c r="D2114" s="1" t="s">
        <v>2160</v>
      </c>
      <c r="E2114" s="1" t="s">
        <v>2882</v>
      </c>
      <c r="F2114" s="1" t="s">
        <v>1458</v>
      </c>
      <c r="G2114" s="4">
        <v>0.43065999999999999</v>
      </c>
      <c r="H2114" s="28">
        <v>43826</v>
      </c>
      <c r="I2114" s="29">
        <f t="shared" si="2397"/>
        <v>2019</v>
      </c>
      <c r="J2114" s="1" t="s">
        <v>436</v>
      </c>
      <c r="K2114" s="1" t="s">
        <v>7</v>
      </c>
      <c r="L2114" s="11" t="str">
        <f t="shared" si="2406"/>
        <v>НЕТ</v>
      </c>
      <c r="M2114" s="10">
        <v>0</v>
      </c>
      <c r="N2114" s="10">
        <v>0</v>
      </c>
      <c r="O2114" s="10">
        <v>22.7</v>
      </c>
      <c r="P2114" s="10">
        <f t="shared" si="2395"/>
        <v>52.709794269261131</v>
      </c>
      <c r="Q2114" s="10" t="str">
        <f t="shared" si="2396"/>
        <v>NA</v>
      </c>
      <c r="R2114" s="10" t="s">
        <v>1575</v>
      </c>
      <c r="S2114" s="10" t="s">
        <v>1575</v>
      </c>
      <c r="T2114" s="10" t="s">
        <v>1575</v>
      </c>
      <c r="U2114" s="10" t="s">
        <v>1575</v>
      </c>
      <c r="V2114" s="10" t="s">
        <v>1575</v>
      </c>
      <c r="W2114" s="10" t="s">
        <v>1575</v>
      </c>
      <c r="X2114" s="10" t="str">
        <f t="shared" si="2398"/>
        <v>NA</v>
      </c>
      <c r="Y2114" s="10" t="str">
        <f t="shared" si="2399"/>
        <v>NA</v>
      </c>
      <c r="Z2114" s="10" t="str">
        <f t="shared" si="2400"/>
        <v>NA</v>
      </c>
      <c r="AA2114" s="10" t="str">
        <f t="shared" si="2401"/>
        <v>NA</v>
      </c>
      <c r="AB2114" s="10" t="str">
        <f t="shared" si="2402"/>
        <v>NA</v>
      </c>
      <c r="AC2114" s="10" t="str">
        <f t="shared" si="2403"/>
        <v>NA</v>
      </c>
      <c r="AD2114" s="10" t="str">
        <f t="shared" si="2404"/>
        <v>NA</v>
      </c>
      <c r="AE2114" s="10" t="str">
        <f t="shared" si="2405"/>
        <v>NA</v>
      </c>
      <c r="AF2114" s="1" t="s">
        <v>1457</v>
      </c>
    </row>
    <row r="2115" spans="1:32" x14ac:dyDescent="0.2">
      <c r="A2115" s="1" t="s">
        <v>6304</v>
      </c>
      <c r="B2115" s="1" t="s">
        <v>5</v>
      </c>
      <c r="C2115" s="1" t="s">
        <v>1575</v>
      </c>
      <c r="D2115" s="1" t="s">
        <v>1582</v>
      </c>
      <c r="E2115" s="1" t="s">
        <v>1587</v>
      </c>
      <c r="F2115" s="1" t="s">
        <v>1459</v>
      </c>
      <c r="G2115" s="4">
        <v>1</v>
      </c>
      <c r="H2115" s="28">
        <v>42766</v>
      </c>
      <c r="I2115" s="29">
        <f t="shared" si="2397"/>
        <v>2017</v>
      </c>
      <c r="J2115" s="1" t="s">
        <v>436</v>
      </c>
      <c r="K2115" s="1" t="s">
        <v>7</v>
      </c>
      <c r="L2115" s="11" t="str">
        <f t="shared" si="2406"/>
        <v>НЕТ</v>
      </c>
      <c r="M2115" s="10">
        <v>0</v>
      </c>
      <c r="N2115" s="10">
        <v>0</v>
      </c>
      <c r="O2115" s="10">
        <v>0.65</v>
      </c>
      <c r="P2115" s="10">
        <f t="shared" ref="P2115:P2178" si="2407">IFERROR(O2115/G2115,"NA")</f>
        <v>0.65</v>
      </c>
      <c r="Q2115" s="10" t="str">
        <f t="shared" ref="Q2115:Q2178" si="2408">IFERROR(P2115+W2115,"NA")</f>
        <v>NA</v>
      </c>
      <c r="R2115" s="10" t="s">
        <v>1575</v>
      </c>
      <c r="S2115" s="10" t="s">
        <v>1575</v>
      </c>
      <c r="T2115" s="10" t="s">
        <v>1575</v>
      </c>
      <c r="U2115" s="10" t="s">
        <v>1575</v>
      </c>
      <c r="V2115" s="10" t="s">
        <v>1575</v>
      </c>
      <c r="W2115" s="10" t="s">
        <v>1575</v>
      </c>
      <c r="X2115" s="10" t="str">
        <f t="shared" si="2398"/>
        <v>NA</v>
      </c>
      <c r="Y2115" s="10" t="str">
        <f t="shared" si="2399"/>
        <v>NA</v>
      </c>
      <c r="Z2115" s="10" t="str">
        <f t="shared" si="2400"/>
        <v>NA</v>
      </c>
      <c r="AA2115" s="10" t="str">
        <f t="shared" si="2401"/>
        <v>NA</v>
      </c>
      <c r="AB2115" s="10" t="str">
        <f t="shared" si="2402"/>
        <v>NA</v>
      </c>
      <c r="AC2115" s="10" t="str">
        <f t="shared" si="2403"/>
        <v>NA</v>
      </c>
      <c r="AD2115" s="10" t="str">
        <f t="shared" si="2404"/>
        <v>NA</v>
      </c>
      <c r="AE2115" s="10" t="str">
        <f t="shared" si="2405"/>
        <v>NA</v>
      </c>
      <c r="AF2115" s="1" t="s">
        <v>1460</v>
      </c>
    </row>
    <row r="2116" spans="1:32" x14ac:dyDescent="0.2">
      <c r="A2116" s="1" t="s">
        <v>6305</v>
      </c>
      <c r="B2116" s="1" t="s">
        <v>5</v>
      </c>
      <c r="C2116" s="1" t="s">
        <v>1575</v>
      </c>
      <c r="D2116" s="1" t="s">
        <v>1582</v>
      </c>
      <c r="E2116" s="1" t="s">
        <v>1587</v>
      </c>
      <c r="F2116" s="1" t="s">
        <v>1459</v>
      </c>
      <c r="G2116" s="4">
        <v>0.99</v>
      </c>
      <c r="H2116" s="28">
        <v>43012</v>
      </c>
      <c r="I2116" s="29">
        <f t="shared" si="2397"/>
        <v>2017</v>
      </c>
      <c r="J2116" s="1" t="s">
        <v>436</v>
      </c>
      <c r="K2116" s="1" t="s">
        <v>7</v>
      </c>
      <c r="L2116" s="11" t="str">
        <f t="shared" si="2406"/>
        <v>НЕТ</v>
      </c>
      <c r="M2116" s="10">
        <v>0</v>
      </c>
      <c r="N2116" s="10">
        <v>0</v>
      </c>
      <c r="O2116" s="10">
        <f>0.015+0.004</f>
        <v>1.9E-2</v>
      </c>
      <c r="P2116" s="10">
        <f t="shared" si="2407"/>
        <v>1.9191919191919191E-2</v>
      </c>
      <c r="Q2116" s="10" t="str">
        <f t="shared" si="2408"/>
        <v>NA</v>
      </c>
      <c r="R2116" s="10" t="s">
        <v>1575</v>
      </c>
      <c r="S2116" s="10" t="s">
        <v>1575</v>
      </c>
      <c r="T2116" s="10" t="s">
        <v>1575</v>
      </c>
      <c r="U2116" s="10" t="s">
        <v>1575</v>
      </c>
      <c r="V2116" s="10" t="s">
        <v>1575</v>
      </c>
      <c r="W2116" s="10" t="s">
        <v>1575</v>
      </c>
      <c r="X2116" s="10" t="str">
        <f t="shared" si="2398"/>
        <v>NA</v>
      </c>
      <c r="Y2116" s="10" t="str">
        <f t="shared" si="2399"/>
        <v>NA</v>
      </c>
      <c r="Z2116" s="10" t="str">
        <f t="shared" si="2400"/>
        <v>NA</v>
      </c>
      <c r="AA2116" s="10" t="str">
        <f t="shared" si="2401"/>
        <v>NA</v>
      </c>
      <c r="AB2116" s="10" t="str">
        <f t="shared" si="2402"/>
        <v>NA</v>
      </c>
      <c r="AC2116" s="10" t="str">
        <f t="shared" si="2403"/>
        <v>NA</v>
      </c>
      <c r="AD2116" s="10" t="str">
        <f t="shared" si="2404"/>
        <v>NA</v>
      </c>
      <c r="AE2116" s="10" t="str">
        <f t="shared" si="2405"/>
        <v>NA</v>
      </c>
      <c r="AF2116" s="1" t="s">
        <v>1461</v>
      </c>
    </row>
    <row r="2117" spans="1:32" x14ac:dyDescent="0.2">
      <c r="A2117" s="1" t="s">
        <v>435</v>
      </c>
      <c r="B2117" s="1" t="s">
        <v>5</v>
      </c>
      <c r="C2117" s="1" t="s">
        <v>1575</v>
      </c>
      <c r="D2117" s="1" t="s">
        <v>1601</v>
      </c>
      <c r="E2117" s="1" t="s">
        <v>5352</v>
      </c>
      <c r="F2117" s="1" t="s">
        <v>110</v>
      </c>
      <c r="G2117" s="4">
        <v>1</v>
      </c>
      <c r="H2117" s="28">
        <v>42552</v>
      </c>
      <c r="I2117" s="29">
        <f t="shared" si="2397"/>
        <v>2016</v>
      </c>
      <c r="J2117" s="1" t="s">
        <v>7</v>
      </c>
      <c r="K2117" s="1" t="s">
        <v>436</v>
      </c>
      <c r="L2117" s="11" t="str">
        <f t="shared" si="2406"/>
        <v>НЕТ</v>
      </c>
      <c r="M2117" s="10">
        <v>0</v>
      </c>
      <c r="N2117" s="10">
        <v>0</v>
      </c>
      <c r="O2117" s="10">
        <v>1.0000000000000001E-5</v>
      </c>
      <c r="P2117" s="10">
        <f t="shared" si="2407"/>
        <v>1.0000000000000001E-5</v>
      </c>
      <c r="Q2117" s="10" t="str">
        <f t="shared" si="2408"/>
        <v>NA</v>
      </c>
      <c r="R2117" s="10" t="s">
        <v>1575</v>
      </c>
      <c r="S2117" s="10" t="s">
        <v>1575</v>
      </c>
      <c r="T2117" s="10" t="s">
        <v>1575</v>
      </c>
      <c r="U2117" s="10" t="s">
        <v>1575</v>
      </c>
      <c r="V2117" s="10" t="s">
        <v>1575</v>
      </c>
      <c r="W2117" s="10" t="s">
        <v>1575</v>
      </c>
      <c r="X2117" s="10" t="str">
        <f t="shared" si="2398"/>
        <v>NA</v>
      </c>
      <c r="Y2117" s="10" t="str">
        <f t="shared" si="2399"/>
        <v>NA</v>
      </c>
      <c r="Z2117" s="10" t="str">
        <f t="shared" si="2400"/>
        <v>NA</v>
      </c>
      <c r="AA2117" s="10" t="str">
        <f t="shared" si="2401"/>
        <v>NA</v>
      </c>
      <c r="AB2117" s="10" t="str">
        <f t="shared" si="2402"/>
        <v>NA</v>
      </c>
      <c r="AC2117" s="10" t="str">
        <f t="shared" si="2403"/>
        <v>NA</v>
      </c>
      <c r="AD2117" s="10" t="str">
        <f t="shared" si="2404"/>
        <v>NA</v>
      </c>
      <c r="AE2117" s="10" t="str">
        <f t="shared" si="2405"/>
        <v>NA</v>
      </c>
    </row>
    <row r="2118" spans="1:32" x14ac:dyDescent="0.2">
      <c r="A2118" s="1" t="s">
        <v>437</v>
      </c>
      <c r="B2118" s="1" t="s">
        <v>5</v>
      </c>
      <c r="C2118" s="1" t="s">
        <v>1575</v>
      </c>
      <c r="D2118" s="1" t="s">
        <v>1584</v>
      </c>
      <c r="E2118" s="1" t="s">
        <v>3486</v>
      </c>
      <c r="F2118" s="1" t="s">
        <v>46</v>
      </c>
      <c r="G2118" s="4">
        <v>0.45</v>
      </c>
      <c r="H2118" s="28">
        <v>42430</v>
      </c>
      <c r="I2118" s="29">
        <f t="shared" si="2397"/>
        <v>2016</v>
      </c>
      <c r="J2118" s="1" t="s">
        <v>7</v>
      </c>
      <c r="K2118" s="1" t="s">
        <v>436</v>
      </c>
      <c r="L2118" s="11" t="str">
        <f t="shared" si="2406"/>
        <v>НЕТ</v>
      </c>
      <c r="M2118" s="10">
        <v>0</v>
      </c>
      <c r="N2118" s="10">
        <v>0</v>
      </c>
      <c r="O2118" s="10">
        <v>2.7839999999999998</v>
      </c>
      <c r="P2118" s="10">
        <f t="shared" si="2407"/>
        <v>6.1866666666666656</v>
      </c>
      <c r="Q2118" s="10" t="str">
        <f t="shared" si="2408"/>
        <v>NA</v>
      </c>
      <c r="R2118" s="10" t="s">
        <v>1575</v>
      </c>
      <c r="S2118" s="10" t="s">
        <v>1575</v>
      </c>
      <c r="T2118" s="10" t="s">
        <v>1575</v>
      </c>
      <c r="U2118" s="10" t="s">
        <v>1575</v>
      </c>
      <c r="V2118" s="10" t="s">
        <v>1575</v>
      </c>
      <c r="W2118" s="10" t="s">
        <v>1575</v>
      </c>
      <c r="X2118" s="10" t="str">
        <f t="shared" si="2398"/>
        <v>NA</v>
      </c>
      <c r="Y2118" s="10" t="str">
        <f t="shared" si="2399"/>
        <v>NA</v>
      </c>
      <c r="Z2118" s="10" t="str">
        <f t="shared" si="2400"/>
        <v>NA</v>
      </c>
      <c r="AA2118" s="10" t="str">
        <f t="shared" si="2401"/>
        <v>NA</v>
      </c>
      <c r="AB2118" s="10" t="str">
        <f t="shared" si="2402"/>
        <v>NA</v>
      </c>
      <c r="AC2118" s="10" t="str">
        <f t="shared" si="2403"/>
        <v>NA</v>
      </c>
      <c r="AD2118" s="10" t="str">
        <f t="shared" si="2404"/>
        <v>NA</v>
      </c>
      <c r="AE2118" s="10" t="str">
        <f t="shared" si="2405"/>
        <v>NA</v>
      </c>
      <c r="AF2118" s="1" t="s">
        <v>441</v>
      </c>
    </row>
    <row r="2119" spans="1:32" x14ac:dyDescent="0.2">
      <c r="A2119" s="1" t="s">
        <v>437</v>
      </c>
      <c r="B2119" s="1" t="s">
        <v>5</v>
      </c>
      <c r="C2119" s="1" t="s">
        <v>1575</v>
      </c>
      <c r="D2119" s="1" t="s">
        <v>1584</v>
      </c>
      <c r="E2119" s="1" t="s">
        <v>3486</v>
      </c>
      <c r="F2119" s="1" t="s">
        <v>46</v>
      </c>
      <c r="G2119" s="4">
        <v>0.45500000000000002</v>
      </c>
      <c r="H2119" s="28">
        <v>42339</v>
      </c>
      <c r="I2119" s="29">
        <f t="shared" si="2397"/>
        <v>2015</v>
      </c>
      <c r="J2119" s="1" t="s">
        <v>7</v>
      </c>
      <c r="K2119" s="1" t="s">
        <v>436</v>
      </c>
      <c r="L2119" s="11" t="str">
        <f t="shared" si="2406"/>
        <v>НЕТ</v>
      </c>
      <c r="M2119" s="10">
        <v>0</v>
      </c>
      <c r="N2119" s="10">
        <v>0</v>
      </c>
      <c r="O2119" s="10">
        <v>2.8159999999999998</v>
      </c>
      <c r="P2119" s="10">
        <f t="shared" si="2407"/>
        <v>6.1890109890109883</v>
      </c>
      <c r="Q2119" s="10" t="str">
        <f t="shared" si="2408"/>
        <v>NA</v>
      </c>
      <c r="R2119" s="10" t="s">
        <v>1575</v>
      </c>
      <c r="S2119" s="10" t="s">
        <v>1575</v>
      </c>
      <c r="T2119" s="10" t="s">
        <v>1575</v>
      </c>
      <c r="U2119" s="10" t="s">
        <v>1575</v>
      </c>
      <c r="V2119" s="10" t="s">
        <v>1575</v>
      </c>
      <c r="W2119" s="10" t="s">
        <v>1575</v>
      </c>
      <c r="X2119" s="10" t="str">
        <f t="shared" si="2398"/>
        <v>NA</v>
      </c>
      <c r="Y2119" s="10" t="str">
        <f t="shared" si="2399"/>
        <v>NA</v>
      </c>
      <c r="Z2119" s="10" t="str">
        <f t="shared" si="2400"/>
        <v>NA</v>
      </c>
      <c r="AA2119" s="10" t="str">
        <f t="shared" si="2401"/>
        <v>NA</v>
      </c>
      <c r="AB2119" s="10" t="str">
        <f t="shared" si="2402"/>
        <v>NA</v>
      </c>
      <c r="AC2119" s="10" t="str">
        <f t="shared" si="2403"/>
        <v>NA</v>
      </c>
      <c r="AD2119" s="10" t="str">
        <f t="shared" si="2404"/>
        <v>NA</v>
      </c>
      <c r="AE2119" s="10" t="str">
        <f t="shared" si="2405"/>
        <v>NA</v>
      </c>
      <c r="AF2119" s="1" t="s">
        <v>441</v>
      </c>
    </row>
    <row r="2120" spans="1:32" x14ac:dyDescent="0.2">
      <c r="A2120" s="1" t="s">
        <v>440</v>
      </c>
      <c r="B2120" s="1" t="s">
        <v>5</v>
      </c>
      <c r="C2120" s="1" t="s">
        <v>1575</v>
      </c>
      <c r="D2120" s="1" t="s">
        <v>1601</v>
      </c>
      <c r="E2120" s="1" t="s">
        <v>1587</v>
      </c>
      <c r="F2120" s="1" t="s">
        <v>360</v>
      </c>
      <c r="G2120" s="4">
        <v>0.65</v>
      </c>
      <c r="H2120" s="28">
        <v>41577</v>
      </c>
      <c r="I2120" s="29">
        <f t="shared" si="2397"/>
        <v>2013</v>
      </c>
      <c r="J2120" s="1" t="s">
        <v>436</v>
      </c>
      <c r="K2120" s="1" t="s">
        <v>7</v>
      </c>
      <c r="L2120" s="11" t="str">
        <f t="shared" si="2406"/>
        <v>НЕТ</v>
      </c>
      <c r="M2120" s="10">
        <v>0</v>
      </c>
      <c r="N2120" s="10">
        <v>0</v>
      </c>
      <c r="O2120" s="10">
        <v>1.9510000000000001</v>
      </c>
      <c r="P2120" s="10">
        <f t="shared" si="2407"/>
        <v>3.0015384615384617</v>
      </c>
      <c r="Q2120" s="10" t="str">
        <f t="shared" si="2408"/>
        <v>NA</v>
      </c>
      <c r="R2120" s="10" t="s">
        <v>1575</v>
      </c>
      <c r="S2120" s="10" t="s">
        <v>1575</v>
      </c>
      <c r="T2120" s="10" t="s">
        <v>1575</v>
      </c>
      <c r="U2120" s="10" t="s">
        <v>1575</v>
      </c>
      <c r="V2120" s="10" t="s">
        <v>1575</v>
      </c>
      <c r="W2120" s="10" t="s">
        <v>1575</v>
      </c>
      <c r="X2120" s="10" t="str">
        <f t="shared" si="2398"/>
        <v>NA</v>
      </c>
      <c r="Y2120" s="10" t="str">
        <f t="shared" si="2399"/>
        <v>NA</v>
      </c>
      <c r="Z2120" s="10" t="str">
        <f t="shared" si="2400"/>
        <v>NA</v>
      </c>
      <c r="AA2120" s="10" t="str">
        <f t="shared" si="2401"/>
        <v>NA</v>
      </c>
      <c r="AB2120" s="10" t="str">
        <f t="shared" si="2402"/>
        <v>NA</v>
      </c>
      <c r="AC2120" s="10" t="str">
        <f t="shared" si="2403"/>
        <v>NA</v>
      </c>
      <c r="AD2120" s="10" t="str">
        <f t="shared" si="2404"/>
        <v>NA</v>
      </c>
      <c r="AE2120" s="10" t="str">
        <f t="shared" si="2405"/>
        <v>NA</v>
      </c>
    </row>
    <row r="2121" spans="1:32" x14ac:dyDescent="0.2">
      <c r="A2121" s="1" t="s">
        <v>438</v>
      </c>
      <c r="B2121" s="1" t="s">
        <v>5</v>
      </c>
      <c r="C2121" s="1" t="s">
        <v>1575</v>
      </c>
      <c r="D2121" s="1" t="s">
        <v>1601</v>
      </c>
      <c r="E2121" s="1" t="s">
        <v>1587</v>
      </c>
      <c r="F2121" s="1" t="s">
        <v>360</v>
      </c>
      <c r="G2121" s="4">
        <v>0.2</v>
      </c>
      <c r="H2121" s="28">
        <v>41577</v>
      </c>
      <c r="I2121" s="29">
        <f t="shared" si="2397"/>
        <v>2013</v>
      </c>
      <c r="J2121" s="1" t="s">
        <v>436</v>
      </c>
      <c r="K2121" s="1" t="s">
        <v>7</v>
      </c>
      <c r="L2121" s="11" t="str">
        <f t="shared" si="2406"/>
        <v>НЕТ</v>
      </c>
      <c r="M2121" s="10">
        <v>0</v>
      </c>
      <c r="N2121" s="10">
        <v>0</v>
      </c>
      <c r="O2121" s="10">
        <v>0.48699999999999999</v>
      </c>
      <c r="P2121" s="10">
        <f t="shared" si="2407"/>
        <v>2.4349999999999996</v>
      </c>
      <c r="Q2121" s="10" t="str">
        <f t="shared" si="2408"/>
        <v>NA</v>
      </c>
      <c r="R2121" s="10" t="s">
        <v>1575</v>
      </c>
      <c r="S2121" s="10" t="s">
        <v>1575</v>
      </c>
      <c r="T2121" s="10" t="s">
        <v>1575</v>
      </c>
      <c r="U2121" s="10" t="s">
        <v>1575</v>
      </c>
      <c r="V2121" s="10" t="s">
        <v>1575</v>
      </c>
      <c r="W2121" s="10" t="s">
        <v>1575</v>
      </c>
      <c r="X2121" s="10" t="str">
        <f t="shared" si="2398"/>
        <v>NA</v>
      </c>
      <c r="Y2121" s="10" t="str">
        <f t="shared" si="2399"/>
        <v>NA</v>
      </c>
      <c r="Z2121" s="10" t="str">
        <f t="shared" si="2400"/>
        <v>NA</v>
      </c>
      <c r="AA2121" s="10" t="str">
        <f t="shared" si="2401"/>
        <v>NA</v>
      </c>
      <c r="AB2121" s="10" t="str">
        <f t="shared" si="2402"/>
        <v>NA</v>
      </c>
      <c r="AC2121" s="10" t="str">
        <f t="shared" si="2403"/>
        <v>NA</v>
      </c>
      <c r="AD2121" s="10" t="str">
        <f t="shared" si="2404"/>
        <v>NA</v>
      </c>
      <c r="AE2121" s="10" t="str">
        <f t="shared" si="2405"/>
        <v>NA</v>
      </c>
    </row>
    <row r="2122" spans="1:32" x14ac:dyDescent="0.2">
      <c r="A2122" s="1" t="s">
        <v>440</v>
      </c>
      <c r="B2122" s="1" t="s">
        <v>5</v>
      </c>
      <c r="C2122" s="1" t="s">
        <v>1575</v>
      </c>
      <c r="D2122" s="1" t="s">
        <v>1601</v>
      </c>
      <c r="E2122" s="1" t="s">
        <v>1587</v>
      </c>
      <c r="F2122" s="1" t="s">
        <v>360</v>
      </c>
      <c r="G2122" s="4">
        <v>0.65</v>
      </c>
      <c r="H2122" s="28">
        <v>41942</v>
      </c>
      <c r="I2122" s="29">
        <f t="shared" si="2397"/>
        <v>2014</v>
      </c>
      <c r="J2122" s="1" t="s">
        <v>7</v>
      </c>
      <c r="K2122" s="1" t="s">
        <v>436</v>
      </c>
      <c r="L2122" s="11" t="str">
        <f t="shared" si="2406"/>
        <v>НЕТ</v>
      </c>
      <c r="M2122" s="10">
        <v>0</v>
      </c>
      <c r="N2122" s="10">
        <v>0</v>
      </c>
      <c r="O2122" s="10">
        <v>1.889</v>
      </c>
      <c r="P2122" s="10">
        <f t="shared" si="2407"/>
        <v>2.9061538461538459</v>
      </c>
      <c r="Q2122" s="10" t="str">
        <f t="shared" si="2408"/>
        <v>NA</v>
      </c>
      <c r="R2122" s="10" t="s">
        <v>1575</v>
      </c>
      <c r="S2122" s="10" t="s">
        <v>1575</v>
      </c>
      <c r="T2122" s="10" t="s">
        <v>1575</v>
      </c>
      <c r="U2122" s="10" t="s">
        <v>1575</v>
      </c>
      <c r="V2122" s="10" t="s">
        <v>1575</v>
      </c>
      <c r="W2122" s="10" t="s">
        <v>1575</v>
      </c>
      <c r="X2122" s="10" t="str">
        <f t="shared" si="2398"/>
        <v>NA</v>
      </c>
      <c r="Y2122" s="10" t="str">
        <f t="shared" si="2399"/>
        <v>NA</v>
      </c>
      <c r="Z2122" s="10" t="str">
        <f t="shared" si="2400"/>
        <v>NA</v>
      </c>
      <c r="AA2122" s="10" t="str">
        <f t="shared" si="2401"/>
        <v>NA</v>
      </c>
      <c r="AB2122" s="10" t="str">
        <f t="shared" si="2402"/>
        <v>NA</v>
      </c>
      <c r="AC2122" s="10" t="str">
        <f t="shared" si="2403"/>
        <v>NA</v>
      </c>
      <c r="AD2122" s="10" t="str">
        <f t="shared" si="2404"/>
        <v>NA</v>
      </c>
      <c r="AE2122" s="10" t="str">
        <f t="shared" si="2405"/>
        <v>NA</v>
      </c>
    </row>
    <row r="2123" spans="1:32" x14ac:dyDescent="0.2">
      <c r="A2123" s="1" t="s">
        <v>439</v>
      </c>
      <c r="B2123" s="1" t="s">
        <v>5</v>
      </c>
      <c r="C2123" s="1" t="s">
        <v>1575</v>
      </c>
      <c r="D2123" s="1" t="s">
        <v>1601</v>
      </c>
      <c r="E2123" s="1" t="s">
        <v>1608</v>
      </c>
      <c r="F2123" s="1" t="s">
        <v>1562</v>
      </c>
      <c r="G2123" s="4" t="s">
        <v>11</v>
      </c>
      <c r="H2123" s="28">
        <v>41942</v>
      </c>
      <c r="I2123" s="29">
        <f t="shared" si="2397"/>
        <v>2014</v>
      </c>
      <c r="J2123" s="1" t="s">
        <v>7</v>
      </c>
      <c r="K2123" s="1" t="s">
        <v>436</v>
      </c>
      <c r="L2123" s="11" t="str">
        <f t="shared" si="2406"/>
        <v>НЕТ</v>
      </c>
      <c r="M2123" s="10">
        <v>0</v>
      </c>
      <c r="N2123" s="10">
        <v>0</v>
      </c>
      <c r="O2123" s="10">
        <v>1.744</v>
      </c>
      <c r="P2123" s="10" t="str">
        <f t="shared" si="2407"/>
        <v>NA</v>
      </c>
      <c r="Q2123" s="10" t="str">
        <f t="shared" si="2408"/>
        <v>NA</v>
      </c>
      <c r="R2123" s="10" t="s">
        <v>1575</v>
      </c>
      <c r="S2123" s="10" t="s">
        <v>1575</v>
      </c>
      <c r="T2123" s="10" t="s">
        <v>1575</v>
      </c>
      <c r="U2123" s="10" t="s">
        <v>1575</v>
      </c>
      <c r="V2123" s="10" t="s">
        <v>1575</v>
      </c>
      <c r="W2123" s="10" t="s">
        <v>1575</v>
      </c>
      <c r="X2123" s="10" t="str">
        <f t="shared" si="2398"/>
        <v>NA</v>
      </c>
      <c r="Y2123" s="10" t="str">
        <f t="shared" si="2399"/>
        <v>NA</v>
      </c>
      <c r="Z2123" s="10" t="str">
        <f t="shared" si="2400"/>
        <v>NA</v>
      </c>
      <c r="AA2123" s="10" t="str">
        <f t="shared" si="2401"/>
        <v>NA</v>
      </c>
      <c r="AB2123" s="10" t="str">
        <f t="shared" si="2402"/>
        <v>NA</v>
      </c>
      <c r="AC2123" s="10" t="str">
        <f t="shared" si="2403"/>
        <v>NA</v>
      </c>
      <c r="AD2123" s="10" t="str">
        <f t="shared" si="2404"/>
        <v>NA</v>
      </c>
      <c r="AE2123" s="10" t="str">
        <f t="shared" si="2405"/>
        <v>NA</v>
      </c>
    </row>
    <row r="2124" spans="1:32" x14ac:dyDescent="0.2">
      <c r="A2124" s="1" t="s">
        <v>437</v>
      </c>
      <c r="B2124" s="1" t="s">
        <v>5</v>
      </c>
      <c r="C2124" s="1" t="s">
        <v>1575</v>
      </c>
      <c r="D2124" s="1" t="s">
        <v>1584</v>
      </c>
      <c r="E2124" s="1" t="s">
        <v>3486</v>
      </c>
      <c r="F2124" s="1" t="s">
        <v>46</v>
      </c>
      <c r="G2124" s="4">
        <v>0.51</v>
      </c>
      <c r="H2124" s="28">
        <v>41172</v>
      </c>
      <c r="I2124" s="29">
        <f t="shared" si="2397"/>
        <v>2012</v>
      </c>
      <c r="J2124" s="1" t="s">
        <v>436</v>
      </c>
      <c r="K2124" s="1" t="s">
        <v>7</v>
      </c>
      <c r="L2124" s="11" t="str">
        <f t="shared" si="2406"/>
        <v>НЕТ</v>
      </c>
      <c r="M2124" s="10">
        <v>0</v>
      </c>
      <c r="N2124" s="10">
        <v>0</v>
      </c>
      <c r="O2124" s="10" t="s">
        <v>1575</v>
      </c>
      <c r="P2124" s="10" t="str">
        <f t="shared" si="2407"/>
        <v>NA</v>
      </c>
      <c r="Q2124" s="10" t="str">
        <f t="shared" si="2408"/>
        <v>NA</v>
      </c>
      <c r="R2124" s="10" t="s">
        <v>1575</v>
      </c>
      <c r="S2124" s="10" t="s">
        <v>1575</v>
      </c>
      <c r="T2124" s="10" t="s">
        <v>1575</v>
      </c>
      <c r="U2124" s="10" t="s">
        <v>1575</v>
      </c>
      <c r="V2124" s="10" t="s">
        <v>1575</v>
      </c>
      <c r="W2124" s="10" t="s">
        <v>1575</v>
      </c>
      <c r="X2124" s="10" t="str">
        <f t="shared" si="2398"/>
        <v>NA</v>
      </c>
      <c r="Y2124" s="10" t="str">
        <f t="shared" si="2399"/>
        <v>NA</v>
      </c>
      <c r="Z2124" s="10" t="str">
        <f t="shared" si="2400"/>
        <v>NA</v>
      </c>
      <c r="AA2124" s="10" t="str">
        <f t="shared" si="2401"/>
        <v>NA</v>
      </c>
      <c r="AB2124" s="10" t="str">
        <f t="shared" si="2402"/>
        <v>NA</v>
      </c>
      <c r="AC2124" s="10" t="str">
        <f t="shared" si="2403"/>
        <v>NA</v>
      </c>
      <c r="AD2124" s="10" t="str">
        <f t="shared" si="2404"/>
        <v>NA</v>
      </c>
      <c r="AE2124" s="10" t="str">
        <f t="shared" si="2405"/>
        <v>NA</v>
      </c>
      <c r="AF2124" s="1" t="s">
        <v>441</v>
      </c>
    </row>
    <row r="2125" spans="1:32" x14ac:dyDescent="0.2">
      <c r="A2125" s="1" t="s">
        <v>442</v>
      </c>
      <c r="B2125" s="1" t="s">
        <v>5</v>
      </c>
      <c r="C2125" s="1" t="s">
        <v>1575</v>
      </c>
      <c r="D2125" s="1" t="s">
        <v>1601</v>
      </c>
      <c r="E2125" s="1" t="s">
        <v>5352</v>
      </c>
      <c r="F2125" s="1" t="s">
        <v>110</v>
      </c>
      <c r="G2125" s="4" t="s">
        <v>11</v>
      </c>
      <c r="H2125" s="28">
        <v>40477</v>
      </c>
      <c r="I2125" s="29">
        <f t="shared" si="2397"/>
        <v>2010</v>
      </c>
      <c r="J2125" s="1" t="s">
        <v>443</v>
      </c>
      <c r="K2125" s="1" t="s">
        <v>436</v>
      </c>
      <c r="L2125" s="11" t="str">
        <f t="shared" si="2406"/>
        <v>НЕТ</v>
      </c>
      <c r="M2125" s="10">
        <v>0</v>
      </c>
      <c r="N2125" s="10">
        <v>0</v>
      </c>
      <c r="O2125" s="10">
        <v>1.1910000000000001</v>
      </c>
      <c r="P2125" s="10" t="str">
        <f t="shared" si="2407"/>
        <v>NA</v>
      </c>
      <c r="Q2125" s="10" t="str">
        <f t="shared" si="2408"/>
        <v>NA</v>
      </c>
      <c r="R2125" s="10" t="s">
        <v>1575</v>
      </c>
      <c r="S2125" s="10" t="s">
        <v>1575</v>
      </c>
      <c r="T2125" s="10" t="s">
        <v>1575</v>
      </c>
      <c r="U2125" s="10" t="s">
        <v>1575</v>
      </c>
      <c r="V2125" s="10" t="s">
        <v>1575</v>
      </c>
      <c r="W2125" s="10" t="s">
        <v>1575</v>
      </c>
      <c r="X2125" s="10" t="str">
        <f t="shared" si="2398"/>
        <v>NA</v>
      </c>
      <c r="Y2125" s="10" t="str">
        <f t="shared" si="2399"/>
        <v>NA</v>
      </c>
      <c r="Z2125" s="10" t="str">
        <f t="shared" si="2400"/>
        <v>NA</v>
      </c>
      <c r="AA2125" s="10" t="str">
        <f t="shared" si="2401"/>
        <v>NA</v>
      </c>
      <c r="AB2125" s="10" t="str">
        <f t="shared" si="2402"/>
        <v>NA</v>
      </c>
      <c r="AC2125" s="10" t="str">
        <f t="shared" si="2403"/>
        <v>NA</v>
      </c>
      <c r="AD2125" s="10" t="str">
        <f t="shared" si="2404"/>
        <v>NA</v>
      </c>
      <c r="AE2125" s="10" t="str">
        <f t="shared" si="2405"/>
        <v>NA</v>
      </c>
    </row>
    <row r="2126" spans="1:32" x14ac:dyDescent="0.2">
      <c r="A2126" s="1" t="s">
        <v>6306</v>
      </c>
      <c r="B2126" s="1" t="s">
        <v>5</v>
      </c>
      <c r="C2126" s="1" t="s">
        <v>1575</v>
      </c>
      <c r="D2126" s="1" t="s">
        <v>1601</v>
      </c>
      <c r="E2126" s="1" t="s">
        <v>5352</v>
      </c>
      <c r="F2126" s="1" t="s">
        <v>110</v>
      </c>
      <c r="G2126" s="6" t="s">
        <v>445</v>
      </c>
      <c r="H2126" s="28">
        <v>40954</v>
      </c>
      <c r="I2126" s="29">
        <f t="shared" si="2397"/>
        <v>2012</v>
      </c>
      <c r="J2126" s="1" t="s">
        <v>444</v>
      </c>
      <c r="K2126" s="1" t="s">
        <v>7</v>
      </c>
      <c r="L2126" s="11" t="str">
        <f t="shared" si="2406"/>
        <v>НЕТ</v>
      </c>
      <c r="M2126" s="10">
        <v>0</v>
      </c>
      <c r="N2126" s="10">
        <v>0</v>
      </c>
      <c r="O2126" s="10">
        <v>5.0999999999999997E-2</v>
      </c>
      <c r="P2126" s="10" t="str">
        <f t="shared" si="2407"/>
        <v>NA</v>
      </c>
      <c r="Q2126" s="10" t="str">
        <f t="shared" si="2408"/>
        <v>NA</v>
      </c>
      <c r="R2126" s="10" t="s">
        <v>1575</v>
      </c>
      <c r="S2126" s="10" t="s">
        <v>1575</v>
      </c>
      <c r="T2126" s="10" t="s">
        <v>1575</v>
      </c>
      <c r="U2126" s="10" t="s">
        <v>1575</v>
      </c>
      <c r="V2126" s="10" t="s">
        <v>1575</v>
      </c>
      <c r="W2126" s="10" t="s">
        <v>1575</v>
      </c>
      <c r="X2126" s="10" t="str">
        <f t="shared" si="2398"/>
        <v>NA</v>
      </c>
      <c r="Y2126" s="10" t="str">
        <f t="shared" si="2399"/>
        <v>NA</v>
      </c>
      <c r="Z2126" s="10" t="str">
        <f t="shared" si="2400"/>
        <v>NA</v>
      </c>
      <c r="AA2126" s="10" t="str">
        <f t="shared" si="2401"/>
        <v>NA</v>
      </c>
      <c r="AB2126" s="10" t="str">
        <f t="shared" si="2402"/>
        <v>NA</v>
      </c>
      <c r="AC2126" s="10" t="str">
        <f t="shared" si="2403"/>
        <v>NA</v>
      </c>
      <c r="AD2126" s="10" t="str">
        <f t="shared" si="2404"/>
        <v>NA</v>
      </c>
      <c r="AE2126" s="10" t="str">
        <f t="shared" si="2405"/>
        <v>NA</v>
      </c>
      <c r="AF2126" s="1" t="s">
        <v>446</v>
      </c>
    </row>
    <row r="2127" spans="1:32" x14ac:dyDescent="0.2">
      <c r="A2127" s="1" t="s">
        <v>1444</v>
      </c>
      <c r="B2127" s="1" t="s">
        <v>5</v>
      </c>
      <c r="C2127" s="1" t="s">
        <v>1575</v>
      </c>
      <c r="D2127" s="1" t="s">
        <v>1601</v>
      </c>
      <c r="E2127" s="1" t="s">
        <v>1608</v>
      </c>
      <c r="F2127" s="1" t="s">
        <v>1562</v>
      </c>
      <c r="G2127" s="4" t="s">
        <v>1575</v>
      </c>
      <c r="H2127" s="28">
        <v>42369</v>
      </c>
      <c r="I2127" s="29">
        <f t="shared" si="2397"/>
        <v>2015</v>
      </c>
      <c r="J2127" s="1" t="s">
        <v>1443</v>
      </c>
      <c r="K2127" s="1" t="s">
        <v>7</v>
      </c>
      <c r="L2127" s="11" t="str">
        <f t="shared" si="2406"/>
        <v>НЕТ</v>
      </c>
      <c r="M2127" s="10">
        <v>0</v>
      </c>
      <c r="N2127" s="10">
        <v>0</v>
      </c>
      <c r="O2127" s="10">
        <v>12</v>
      </c>
      <c r="P2127" s="10" t="str">
        <f t="shared" si="2407"/>
        <v>NA</v>
      </c>
      <c r="Q2127" s="10" t="str">
        <f t="shared" si="2408"/>
        <v>NA</v>
      </c>
      <c r="R2127" s="10" t="s">
        <v>1575</v>
      </c>
      <c r="S2127" s="10" t="s">
        <v>1575</v>
      </c>
      <c r="T2127" s="10" t="s">
        <v>1575</v>
      </c>
      <c r="U2127" s="10" t="s">
        <v>1575</v>
      </c>
      <c r="V2127" s="10" t="s">
        <v>1575</v>
      </c>
      <c r="W2127" s="10" t="s">
        <v>1575</v>
      </c>
      <c r="X2127" s="10" t="str">
        <f t="shared" si="2398"/>
        <v>NA</v>
      </c>
      <c r="Y2127" s="10" t="str">
        <f t="shared" si="2399"/>
        <v>NA</v>
      </c>
      <c r="Z2127" s="10" t="str">
        <f t="shared" si="2400"/>
        <v>NA</v>
      </c>
      <c r="AA2127" s="10" t="str">
        <f t="shared" si="2401"/>
        <v>NA</v>
      </c>
      <c r="AB2127" s="10" t="str">
        <f t="shared" si="2402"/>
        <v>NA</v>
      </c>
      <c r="AC2127" s="10" t="str">
        <f t="shared" si="2403"/>
        <v>NA</v>
      </c>
      <c r="AD2127" s="10" t="str">
        <f t="shared" si="2404"/>
        <v>NA</v>
      </c>
      <c r="AE2127" s="10" t="str">
        <f t="shared" si="2405"/>
        <v>NA</v>
      </c>
    </row>
    <row r="2128" spans="1:32" x14ac:dyDescent="0.2">
      <c r="A2128" s="1" t="s">
        <v>6289</v>
      </c>
      <c r="B2128" s="1" t="s">
        <v>5</v>
      </c>
      <c r="C2128" s="1" t="s">
        <v>1575</v>
      </c>
      <c r="D2128" s="1" t="s">
        <v>1601</v>
      </c>
      <c r="E2128" s="1" t="s">
        <v>1617</v>
      </c>
      <c r="F2128" s="1" t="s">
        <v>1622</v>
      </c>
      <c r="G2128" s="4">
        <v>1</v>
      </c>
      <c r="H2128" s="28">
        <v>41026</v>
      </c>
      <c r="I2128" s="29">
        <f t="shared" si="2397"/>
        <v>2012</v>
      </c>
      <c r="J2128" s="1" t="s">
        <v>1443</v>
      </c>
      <c r="K2128" s="1" t="s">
        <v>7</v>
      </c>
      <c r="L2128" s="11" t="str">
        <f t="shared" si="2406"/>
        <v>НЕТ</v>
      </c>
      <c r="M2128" s="10">
        <v>0</v>
      </c>
      <c r="N2128" s="10">
        <v>0</v>
      </c>
      <c r="O2128" s="10">
        <v>13.95</v>
      </c>
      <c r="P2128" s="10">
        <f t="shared" si="2407"/>
        <v>13.95</v>
      </c>
      <c r="Q2128" s="10" t="str">
        <f t="shared" si="2408"/>
        <v>NA</v>
      </c>
      <c r="R2128" s="10" t="s">
        <v>1575</v>
      </c>
      <c r="S2128" s="10" t="s">
        <v>1575</v>
      </c>
      <c r="T2128" s="10" t="s">
        <v>1575</v>
      </c>
      <c r="U2128" s="10" t="s">
        <v>1575</v>
      </c>
      <c r="V2128" s="10" t="s">
        <v>1575</v>
      </c>
      <c r="W2128" s="10" t="s">
        <v>1575</v>
      </c>
      <c r="X2128" s="10" t="str">
        <f t="shared" si="2398"/>
        <v>NA</v>
      </c>
      <c r="Y2128" s="10" t="str">
        <f t="shared" si="2399"/>
        <v>NA</v>
      </c>
      <c r="Z2128" s="10" t="str">
        <f t="shared" si="2400"/>
        <v>NA</v>
      </c>
      <c r="AA2128" s="10" t="str">
        <f t="shared" si="2401"/>
        <v>NA</v>
      </c>
      <c r="AB2128" s="10" t="str">
        <f t="shared" si="2402"/>
        <v>NA</v>
      </c>
      <c r="AC2128" s="10" t="str">
        <f t="shared" si="2403"/>
        <v>NA</v>
      </c>
      <c r="AD2128" s="10" t="str">
        <f t="shared" si="2404"/>
        <v>NA</v>
      </c>
      <c r="AE2128" s="10" t="str">
        <f t="shared" si="2405"/>
        <v>NA</v>
      </c>
      <c r="AF2128" s="1" t="s">
        <v>1445</v>
      </c>
    </row>
    <row r="2129" spans="1:32" x14ac:dyDescent="0.2">
      <c r="A2129" s="1" t="s">
        <v>6303</v>
      </c>
      <c r="B2129" s="1" t="s">
        <v>5</v>
      </c>
      <c r="C2129" s="1" t="s">
        <v>1575</v>
      </c>
      <c r="D2129" s="1" t="s">
        <v>2160</v>
      </c>
      <c r="E2129" s="1" t="s">
        <v>2882</v>
      </c>
      <c r="F2129" s="1" t="s">
        <v>1442</v>
      </c>
      <c r="G2129" s="4">
        <v>0.38</v>
      </c>
      <c r="H2129" s="28">
        <v>43826</v>
      </c>
      <c r="I2129" s="29">
        <f t="shared" ref="I2129:I2192" si="2409">YEAR(H2129)</f>
        <v>2019</v>
      </c>
      <c r="J2129" s="1" t="s">
        <v>1440</v>
      </c>
      <c r="K2129" s="1" t="s">
        <v>7</v>
      </c>
      <c r="L2129" s="11" t="str">
        <f t="shared" si="2406"/>
        <v>НЕТ</v>
      </c>
      <c r="M2129" s="10">
        <v>0</v>
      </c>
      <c r="N2129" s="10">
        <v>0</v>
      </c>
      <c r="O2129" s="10">
        <v>20</v>
      </c>
      <c r="P2129" s="10">
        <f t="shared" si="2407"/>
        <v>52.631578947368418</v>
      </c>
      <c r="Q2129" s="10" t="str">
        <f t="shared" si="2408"/>
        <v>NA</v>
      </c>
      <c r="R2129" s="10" t="s">
        <v>1575</v>
      </c>
      <c r="S2129" s="10" t="s">
        <v>1575</v>
      </c>
      <c r="T2129" s="10" t="s">
        <v>1575</v>
      </c>
      <c r="U2129" s="10" t="s">
        <v>1575</v>
      </c>
      <c r="V2129" s="10" t="s">
        <v>1575</v>
      </c>
      <c r="W2129" s="10" t="s">
        <v>1575</v>
      </c>
      <c r="X2129" s="10" t="str">
        <f t="shared" si="2398"/>
        <v>NA</v>
      </c>
      <c r="Y2129" s="10" t="str">
        <f t="shared" si="2399"/>
        <v>NA</v>
      </c>
      <c r="Z2129" s="10" t="str">
        <f t="shared" si="2400"/>
        <v>NA</v>
      </c>
      <c r="AA2129" s="10" t="str">
        <f t="shared" si="2401"/>
        <v>NA</v>
      </c>
      <c r="AB2129" s="10" t="str">
        <f t="shared" si="2402"/>
        <v>NA</v>
      </c>
      <c r="AC2129" s="10" t="str">
        <f t="shared" si="2403"/>
        <v>NA</v>
      </c>
      <c r="AD2129" s="10" t="str">
        <f t="shared" si="2404"/>
        <v>NA</v>
      </c>
      <c r="AE2129" s="10" t="str">
        <f t="shared" si="2405"/>
        <v>NA</v>
      </c>
      <c r="AF2129" s="1" t="s">
        <v>1441</v>
      </c>
    </row>
    <row r="2130" spans="1:32" x14ac:dyDescent="0.2">
      <c r="A2130" s="1" t="s">
        <v>437</v>
      </c>
      <c r="B2130" s="1" t="s">
        <v>5</v>
      </c>
      <c r="C2130" s="1" t="s">
        <v>1575</v>
      </c>
      <c r="D2130" s="1" t="s">
        <v>1601</v>
      </c>
      <c r="E2130" s="1" t="s">
        <v>1608</v>
      </c>
      <c r="F2130" s="1" t="s">
        <v>110</v>
      </c>
      <c r="G2130" s="4">
        <v>0.45</v>
      </c>
      <c r="H2130" s="28">
        <v>42430</v>
      </c>
      <c r="I2130" s="29">
        <f t="shared" si="2409"/>
        <v>2016</v>
      </c>
      <c r="J2130" s="1" t="s">
        <v>447</v>
      </c>
      <c r="K2130" s="1" t="s">
        <v>436</v>
      </c>
      <c r="L2130" s="11" t="str">
        <f t="shared" si="2406"/>
        <v>НЕТ</v>
      </c>
      <c r="M2130" s="10">
        <v>0</v>
      </c>
      <c r="N2130" s="10">
        <v>0</v>
      </c>
      <c r="O2130" s="10" t="s">
        <v>1575</v>
      </c>
      <c r="P2130" s="10" t="str">
        <f t="shared" si="2407"/>
        <v>NA</v>
      </c>
      <c r="Q2130" s="10" t="str">
        <f t="shared" si="2408"/>
        <v>NA</v>
      </c>
      <c r="R2130" s="10" t="s">
        <v>1575</v>
      </c>
      <c r="S2130" s="10" t="s">
        <v>1575</v>
      </c>
      <c r="T2130" s="10" t="s">
        <v>1575</v>
      </c>
      <c r="U2130" s="10" t="s">
        <v>1575</v>
      </c>
      <c r="V2130" s="10" t="s">
        <v>1575</v>
      </c>
      <c r="W2130" s="10" t="s">
        <v>1575</v>
      </c>
      <c r="X2130" s="10" t="str">
        <f t="shared" si="2398"/>
        <v>NA</v>
      </c>
      <c r="Y2130" s="10" t="str">
        <f t="shared" si="2399"/>
        <v>NA</v>
      </c>
      <c r="Z2130" s="10" t="str">
        <f t="shared" si="2400"/>
        <v>NA</v>
      </c>
      <c r="AA2130" s="10" t="str">
        <f t="shared" si="2401"/>
        <v>NA</v>
      </c>
      <c r="AB2130" s="10" t="str">
        <f t="shared" si="2402"/>
        <v>NA</v>
      </c>
      <c r="AC2130" s="10" t="str">
        <f t="shared" si="2403"/>
        <v>NA</v>
      </c>
      <c r="AD2130" s="10" t="str">
        <f t="shared" si="2404"/>
        <v>NA</v>
      </c>
      <c r="AE2130" s="10" t="str">
        <f t="shared" si="2405"/>
        <v>NA</v>
      </c>
      <c r="AF2130" s="1" t="s">
        <v>448</v>
      </c>
    </row>
    <row r="2131" spans="1:32" x14ac:dyDescent="0.2">
      <c r="A2131" s="1" t="s">
        <v>437</v>
      </c>
      <c r="B2131" s="1" t="s">
        <v>5</v>
      </c>
      <c r="C2131" s="1" t="s">
        <v>1575</v>
      </c>
      <c r="D2131" s="1" t="s">
        <v>1601</v>
      </c>
      <c r="E2131" s="1" t="s">
        <v>1608</v>
      </c>
      <c r="F2131" s="1" t="s">
        <v>110</v>
      </c>
      <c r="G2131" s="4">
        <v>0.45500000000000002</v>
      </c>
      <c r="H2131" s="28">
        <v>42339</v>
      </c>
      <c r="I2131" s="29">
        <f t="shared" si="2409"/>
        <v>2015</v>
      </c>
      <c r="J2131" s="1" t="s">
        <v>447</v>
      </c>
      <c r="K2131" s="1" t="s">
        <v>436</v>
      </c>
      <c r="L2131" s="11" t="str">
        <f t="shared" si="2406"/>
        <v>НЕТ</v>
      </c>
      <c r="M2131" s="10">
        <v>0</v>
      </c>
      <c r="N2131" s="10">
        <v>0</v>
      </c>
      <c r="O2131" s="10" t="s">
        <v>1575</v>
      </c>
      <c r="P2131" s="10" t="str">
        <f t="shared" si="2407"/>
        <v>NA</v>
      </c>
      <c r="Q2131" s="10" t="str">
        <f t="shared" si="2408"/>
        <v>NA</v>
      </c>
      <c r="R2131" s="10" t="s">
        <v>1575</v>
      </c>
      <c r="S2131" s="10" t="s">
        <v>1575</v>
      </c>
      <c r="T2131" s="10" t="s">
        <v>1575</v>
      </c>
      <c r="U2131" s="10" t="s">
        <v>1575</v>
      </c>
      <c r="V2131" s="10" t="s">
        <v>1575</v>
      </c>
      <c r="W2131" s="10" t="s">
        <v>1575</v>
      </c>
      <c r="X2131" s="10" t="str">
        <f t="shared" si="2398"/>
        <v>NA</v>
      </c>
      <c r="Y2131" s="10" t="str">
        <f t="shared" si="2399"/>
        <v>NA</v>
      </c>
      <c r="Z2131" s="10" t="str">
        <f t="shared" si="2400"/>
        <v>NA</v>
      </c>
      <c r="AA2131" s="10" t="str">
        <f t="shared" si="2401"/>
        <v>NA</v>
      </c>
      <c r="AB2131" s="10" t="str">
        <f t="shared" si="2402"/>
        <v>NA</v>
      </c>
      <c r="AC2131" s="10" t="str">
        <f t="shared" si="2403"/>
        <v>NA</v>
      </c>
      <c r="AD2131" s="10" t="str">
        <f t="shared" si="2404"/>
        <v>NA</v>
      </c>
      <c r="AE2131" s="10" t="str">
        <f t="shared" si="2405"/>
        <v>NA</v>
      </c>
      <c r="AF2131" s="1" t="s">
        <v>449</v>
      </c>
    </row>
    <row r="2132" spans="1:32" x14ac:dyDescent="0.2">
      <c r="A2132" s="1" t="s">
        <v>6307</v>
      </c>
      <c r="B2132" s="1" t="s">
        <v>5</v>
      </c>
      <c r="C2132" s="1" t="s">
        <v>1575</v>
      </c>
      <c r="D2132" s="1" t="s">
        <v>1580</v>
      </c>
      <c r="E2132" s="1" t="s">
        <v>1593</v>
      </c>
      <c r="F2132" s="1" t="s">
        <v>1526</v>
      </c>
      <c r="G2132" s="4">
        <v>1</v>
      </c>
      <c r="H2132" s="28">
        <v>44890</v>
      </c>
      <c r="I2132" s="29">
        <f t="shared" si="2409"/>
        <v>2022</v>
      </c>
      <c r="J2132" s="1" t="s">
        <v>1527</v>
      </c>
      <c r="K2132" s="1" t="s">
        <v>7</v>
      </c>
      <c r="L2132" s="11" t="str">
        <f t="shared" si="2406"/>
        <v>НЕТ</v>
      </c>
      <c r="M2132" s="10">
        <v>0</v>
      </c>
      <c r="N2132" s="10">
        <v>0</v>
      </c>
      <c r="O2132" s="10">
        <v>0.311</v>
      </c>
      <c r="P2132" s="10">
        <f t="shared" si="2407"/>
        <v>0.311</v>
      </c>
      <c r="Q2132" s="10" t="str">
        <f t="shared" si="2408"/>
        <v>NA</v>
      </c>
      <c r="R2132" s="10" t="s">
        <v>1575</v>
      </c>
      <c r="S2132" s="10" t="s">
        <v>1575</v>
      </c>
      <c r="T2132" s="10" t="s">
        <v>1575</v>
      </c>
      <c r="U2132" s="10" t="s">
        <v>1575</v>
      </c>
      <c r="V2132" s="10" t="s">
        <v>1575</v>
      </c>
      <c r="W2132" s="10" t="s">
        <v>1575</v>
      </c>
      <c r="X2132" s="10" t="str">
        <f t="shared" si="2398"/>
        <v>NA</v>
      </c>
      <c r="Y2132" s="10" t="str">
        <f t="shared" si="2399"/>
        <v>NA</v>
      </c>
      <c r="Z2132" s="10" t="str">
        <f t="shared" si="2400"/>
        <v>NA</v>
      </c>
      <c r="AA2132" s="10" t="str">
        <f t="shared" si="2401"/>
        <v>NA</v>
      </c>
      <c r="AB2132" s="10" t="str">
        <f t="shared" si="2402"/>
        <v>NA</v>
      </c>
      <c r="AC2132" s="10" t="str">
        <f t="shared" si="2403"/>
        <v>NA</v>
      </c>
      <c r="AD2132" s="10" t="str">
        <f t="shared" si="2404"/>
        <v>NA</v>
      </c>
      <c r="AE2132" s="10" t="str">
        <f t="shared" si="2405"/>
        <v>NA</v>
      </c>
      <c r="AF2132" s="1" t="s">
        <v>1528</v>
      </c>
    </row>
    <row r="2133" spans="1:32" x14ac:dyDescent="0.2">
      <c r="A2133" s="1" t="s">
        <v>6308</v>
      </c>
      <c r="B2133" s="1" t="s">
        <v>5</v>
      </c>
      <c r="C2133" s="1" t="s">
        <v>1575</v>
      </c>
      <c r="D2133" s="1" t="s">
        <v>1578</v>
      </c>
      <c r="E2133" s="1" t="s">
        <v>1579</v>
      </c>
      <c r="F2133" s="1" t="s">
        <v>1530</v>
      </c>
      <c r="G2133" s="4">
        <v>1</v>
      </c>
      <c r="H2133" s="28">
        <v>43676</v>
      </c>
      <c r="I2133" s="29">
        <f t="shared" si="2409"/>
        <v>2019</v>
      </c>
      <c r="J2133" s="1" t="s">
        <v>7</v>
      </c>
      <c r="K2133" s="1" t="s">
        <v>1527</v>
      </c>
      <c r="L2133" s="11" t="str">
        <f t="shared" si="2406"/>
        <v>НЕТ</v>
      </c>
      <c r="M2133" s="10">
        <v>0</v>
      </c>
      <c r="N2133" s="10">
        <v>0</v>
      </c>
      <c r="O2133" s="10">
        <v>4.4999999999999998E-2</v>
      </c>
      <c r="P2133" s="10">
        <f t="shared" si="2407"/>
        <v>4.4999999999999998E-2</v>
      </c>
      <c r="Q2133" s="10" t="str">
        <f t="shared" si="2408"/>
        <v>NA</v>
      </c>
      <c r="R2133" s="10" t="s">
        <v>1575</v>
      </c>
      <c r="S2133" s="10" t="s">
        <v>1575</v>
      </c>
      <c r="T2133" s="10" t="s">
        <v>1575</v>
      </c>
      <c r="U2133" s="10" t="s">
        <v>1575</v>
      </c>
      <c r="V2133" s="10" t="s">
        <v>1575</v>
      </c>
      <c r="W2133" s="10" t="s">
        <v>1575</v>
      </c>
      <c r="X2133" s="10" t="str">
        <f t="shared" si="2398"/>
        <v>NA</v>
      </c>
      <c r="Y2133" s="10" t="str">
        <f t="shared" si="2399"/>
        <v>NA</v>
      </c>
      <c r="Z2133" s="10" t="str">
        <f t="shared" si="2400"/>
        <v>NA</v>
      </c>
      <c r="AA2133" s="10" t="str">
        <f t="shared" si="2401"/>
        <v>NA</v>
      </c>
      <c r="AB2133" s="10" t="str">
        <f t="shared" si="2402"/>
        <v>NA</v>
      </c>
      <c r="AC2133" s="10" t="str">
        <f t="shared" si="2403"/>
        <v>NA</v>
      </c>
      <c r="AD2133" s="10" t="str">
        <f t="shared" si="2404"/>
        <v>NA</v>
      </c>
      <c r="AE2133" s="10" t="str">
        <f t="shared" si="2405"/>
        <v>NA</v>
      </c>
      <c r="AF2133" s="1" t="s">
        <v>1529</v>
      </c>
    </row>
    <row r="2134" spans="1:32" x14ac:dyDescent="0.2">
      <c r="A2134" s="1" t="s">
        <v>6309</v>
      </c>
      <c r="B2134" s="1" t="s">
        <v>5</v>
      </c>
      <c r="C2134" s="1" t="s">
        <v>1575</v>
      </c>
      <c r="D2134" s="1" t="s">
        <v>1601</v>
      </c>
      <c r="E2134" s="1" t="s">
        <v>5352</v>
      </c>
      <c r="F2134" s="1" t="s">
        <v>1532</v>
      </c>
      <c r="G2134" s="4">
        <f>100%-51%</f>
        <v>0.49</v>
      </c>
      <c r="H2134" s="28">
        <v>43039</v>
      </c>
      <c r="I2134" s="29">
        <f t="shared" si="2409"/>
        <v>2017</v>
      </c>
      <c r="J2134" s="1" t="s">
        <v>6310</v>
      </c>
      <c r="K2134" s="1" t="s">
        <v>7</v>
      </c>
      <c r="L2134" s="11" t="str">
        <f t="shared" si="2406"/>
        <v>НЕТ</v>
      </c>
      <c r="M2134" s="10">
        <v>0</v>
      </c>
      <c r="N2134" s="10">
        <v>0</v>
      </c>
      <c r="O2134" s="10">
        <v>1.8550000000000001E-3</v>
      </c>
      <c r="P2134" s="10">
        <f t="shared" si="2407"/>
        <v>3.7857142857142859E-3</v>
      </c>
      <c r="Q2134" s="10" t="str">
        <f t="shared" si="2408"/>
        <v>NA</v>
      </c>
      <c r="R2134" s="10" t="s">
        <v>1575</v>
      </c>
      <c r="S2134" s="10" t="s">
        <v>1575</v>
      </c>
      <c r="T2134" s="10" t="s">
        <v>1575</v>
      </c>
      <c r="U2134" s="10" t="s">
        <v>1575</v>
      </c>
      <c r="V2134" s="10" t="s">
        <v>1575</v>
      </c>
      <c r="W2134" s="10" t="s">
        <v>1575</v>
      </c>
      <c r="X2134" s="10" t="str">
        <f t="shared" si="2398"/>
        <v>NA</v>
      </c>
      <c r="Y2134" s="10" t="str">
        <f t="shared" si="2399"/>
        <v>NA</v>
      </c>
      <c r="Z2134" s="10" t="str">
        <f t="shared" si="2400"/>
        <v>NA</v>
      </c>
      <c r="AA2134" s="10" t="str">
        <f t="shared" si="2401"/>
        <v>NA</v>
      </c>
      <c r="AB2134" s="10" t="str">
        <f t="shared" si="2402"/>
        <v>NA</v>
      </c>
      <c r="AC2134" s="10" t="str">
        <f t="shared" si="2403"/>
        <v>NA</v>
      </c>
      <c r="AD2134" s="10" t="str">
        <f t="shared" si="2404"/>
        <v>NA</v>
      </c>
      <c r="AE2134" s="10" t="str">
        <f t="shared" si="2405"/>
        <v>NA</v>
      </c>
      <c r="AF2134" s="1" t="s">
        <v>1531</v>
      </c>
    </row>
    <row r="2135" spans="1:32" x14ac:dyDescent="0.2">
      <c r="A2135" s="10" t="s">
        <v>1575</v>
      </c>
      <c r="B2135" s="1" t="s">
        <v>5</v>
      </c>
      <c r="C2135" s="1" t="s">
        <v>1575</v>
      </c>
      <c r="D2135" s="1" t="s">
        <v>1601</v>
      </c>
      <c r="E2135" s="1" t="s">
        <v>1612</v>
      </c>
      <c r="F2135" s="1" t="s">
        <v>1485</v>
      </c>
      <c r="G2135" s="4">
        <v>1</v>
      </c>
      <c r="H2135" s="28">
        <v>44582</v>
      </c>
      <c r="I2135" s="29">
        <f t="shared" si="2409"/>
        <v>2022</v>
      </c>
      <c r="J2135" s="1" t="s">
        <v>6311</v>
      </c>
      <c r="K2135" s="1" t="s">
        <v>7</v>
      </c>
      <c r="L2135" s="11" t="str">
        <f t="shared" si="2406"/>
        <v>НЕТ</v>
      </c>
      <c r="M2135" s="10">
        <v>0</v>
      </c>
      <c r="N2135" s="10">
        <v>0</v>
      </c>
      <c r="O2135" s="10">
        <v>0.25591700000000001</v>
      </c>
      <c r="P2135" s="10">
        <f t="shared" si="2407"/>
        <v>0.25591700000000001</v>
      </c>
      <c r="Q2135" s="10" t="str">
        <f t="shared" si="2408"/>
        <v>NA</v>
      </c>
      <c r="R2135" s="10" t="s">
        <v>1575</v>
      </c>
      <c r="S2135" s="10" t="s">
        <v>1575</v>
      </c>
      <c r="T2135" s="10" t="s">
        <v>1575</v>
      </c>
      <c r="U2135" s="10" t="s">
        <v>1575</v>
      </c>
      <c r="V2135" s="10" t="s">
        <v>1575</v>
      </c>
      <c r="W2135" s="10" t="s">
        <v>1575</v>
      </c>
      <c r="X2135" s="10" t="str">
        <f t="shared" si="2398"/>
        <v>NA</v>
      </c>
      <c r="Y2135" s="10" t="str">
        <f t="shared" si="2399"/>
        <v>NA</v>
      </c>
      <c r="Z2135" s="10" t="str">
        <f t="shared" si="2400"/>
        <v>NA</v>
      </c>
      <c r="AA2135" s="10" t="str">
        <f t="shared" si="2401"/>
        <v>NA</v>
      </c>
      <c r="AB2135" s="10" t="str">
        <f t="shared" si="2402"/>
        <v>NA</v>
      </c>
      <c r="AC2135" s="10" t="str">
        <f t="shared" si="2403"/>
        <v>NA</v>
      </c>
      <c r="AD2135" s="10" t="str">
        <f t="shared" si="2404"/>
        <v>NA</v>
      </c>
      <c r="AE2135" s="10" t="str">
        <f t="shared" si="2405"/>
        <v>NA</v>
      </c>
      <c r="AF2135" s="1" t="s">
        <v>1533</v>
      </c>
    </row>
    <row r="2136" spans="1:32" x14ac:dyDescent="0.2">
      <c r="A2136" s="10" t="s">
        <v>1575</v>
      </c>
      <c r="B2136" s="1" t="s">
        <v>5</v>
      </c>
      <c r="C2136" s="1" t="s">
        <v>1575</v>
      </c>
      <c r="D2136" s="1" t="s">
        <v>1601</v>
      </c>
      <c r="E2136" s="1" t="s">
        <v>1612</v>
      </c>
      <c r="F2136" s="1" t="s">
        <v>1485</v>
      </c>
      <c r="G2136" s="4">
        <v>1</v>
      </c>
      <c r="H2136" s="28">
        <v>44708</v>
      </c>
      <c r="I2136" s="29">
        <f t="shared" si="2409"/>
        <v>2022</v>
      </c>
      <c r="J2136" s="1" t="s">
        <v>6311</v>
      </c>
      <c r="K2136" s="1" t="s">
        <v>7</v>
      </c>
      <c r="L2136" s="11" t="str">
        <f t="shared" si="2406"/>
        <v>НЕТ</v>
      </c>
      <c r="M2136" s="10">
        <v>0</v>
      </c>
      <c r="N2136" s="10">
        <v>0</v>
      </c>
      <c r="O2136" s="10">
        <v>0.13627400000000001</v>
      </c>
      <c r="P2136" s="10">
        <f t="shared" si="2407"/>
        <v>0.13627400000000001</v>
      </c>
      <c r="Q2136" s="10" t="str">
        <f t="shared" si="2408"/>
        <v>NA</v>
      </c>
      <c r="R2136" s="10" t="s">
        <v>1575</v>
      </c>
      <c r="S2136" s="10" t="s">
        <v>1575</v>
      </c>
      <c r="T2136" s="10" t="s">
        <v>1575</v>
      </c>
      <c r="U2136" s="10" t="s">
        <v>1575</v>
      </c>
      <c r="V2136" s="10" t="s">
        <v>1575</v>
      </c>
      <c r="W2136" s="10" t="s">
        <v>1575</v>
      </c>
      <c r="X2136" s="10" t="str">
        <f t="shared" si="2398"/>
        <v>NA</v>
      </c>
      <c r="Y2136" s="10" t="str">
        <f t="shared" si="2399"/>
        <v>NA</v>
      </c>
      <c r="Z2136" s="10" t="str">
        <f t="shared" si="2400"/>
        <v>NA</v>
      </c>
      <c r="AA2136" s="10" t="str">
        <f t="shared" si="2401"/>
        <v>NA</v>
      </c>
      <c r="AB2136" s="10" t="str">
        <f t="shared" si="2402"/>
        <v>NA</v>
      </c>
      <c r="AC2136" s="10" t="str">
        <f t="shared" si="2403"/>
        <v>NA</v>
      </c>
      <c r="AD2136" s="10" t="str">
        <f t="shared" si="2404"/>
        <v>NA</v>
      </c>
      <c r="AE2136" s="10" t="str">
        <f t="shared" si="2405"/>
        <v>NA</v>
      </c>
      <c r="AF2136" s="1" t="s">
        <v>1534</v>
      </c>
    </row>
    <row r="2137" spans="1:32" x14ac:dyDescent="0.2">
      <c r="A2137" s="10" t="s">
        <v>1575</v>
      </c>
      <c r="B2137" s="1" t="s">
        <v>5</v>
      </c>
      <c r="C2137" s="1" t="s">
        <v>1575</v>
      </c>
      <c r="D2137" s="1" t="s">
        <v>1601</v>
      </c>
      <c r="E2137" s="1" t="s">
        <v>1612</v>
      </c>
      <c r="F2137" s="1" t="s">
        <v>1485</v>
      </c>
      <c r="G2137" s="4">
        <v>0.300008</v>
      </c>
      <c r="H2137" s="28">
        <v>44733</v>
      </c>
      <c r="I2137" s="29">
        <f t="shared" si="2409"/>
        <v>2022</v>
      </c>
      <c r="J2137" s="1" t="s">
        <v>6311</v>
      </c>
      <c r="K2137" s="1" t="s">
        <v>7</v>
      </c>
      <c r="L2137" s="11" t="str">
        <f t="shared" si="2406"/>
        <v>НЕТ</v>
      </c>
      <c r="M2137" s="10">
        <v>0</v>
      </c>
      <c r="N2137" s="10">
        <v>0</v>
      </c>
      <c r="O2137" s="10">
        <v>0.5</v>
      </c>
      <c r="P2137" s="10">
        <f t="shared" si="2407"/>
        <v>1.6666222234073758</v>
      </c>
      <c r="Q2137" s="10" t="str">
        <f t="shared" si="2408"/>
        <v>NA</v>
      </c>
      <c r="R2137" s="10" t="s">
        <v>1575</v>
      </c>
      <c r="S2137" s="10" t="s">
        <v>1575</v>
      </c>
      <c r="T2137" s="10" t="s">
        <v>1575</v>
      </c>
      <c r="U2137" s="10" t="s">
        <v>1575</v>
      </c>
      <c r="V2137" s="10" t="s">
        <v>1575</v>
      </c>
      <c r="W2137" s="10" t="s">
        <v>1575</v>
      </c>
      <c r="X2137" s="10" t="str">
        <f t="shared" si="2398"/>
        <v>NA</v>
      </c>
      <c r="Y2137" s="10" t="str">
        <f t="shared" si="2399"/>
        <v>NA</v>
      </c>
      <c r="Z2137" s="10" t="str">
        <f t="shared" si="2400"/>
        <v>NA</v>
      </c>
      <c r="AA2137" s="10" t="str">
        <f t="shared" si="2401"/>
        <v>NA</v>
      </c>
      <c r="AB2137" s="10" t="str">
        <f t="shared" si="2402"/>
        <v>NA</v>
      </c>
      <c r="AC2137" s="10" t="str">
        <f t="shared" si="2403"/>
        <v>NA</v>
      </c>
      <c r="AD2137" s="10" t="str">
        <f t="shared" si="2404"/>
        <v>NA</v>
      </c>
      <c r="AE2137" s="10" t="str">
        <f t="shared" si="2405"/>
        <v>NA</v>
      </c>
      <c r="AF2137" s="1" t="s">
        <v>1535</v>
      </c>
    </row>
    <row r="2138" spans="1:32" x14ac:dyDescent="0.2">
      <c r="A2138" s="10" t="s">
        <v>1575</v>
      </c>
      <c r="B2138" s="1" t="s">
        <v>5</v>
      </c>
      <c r="C2138" s="1" t="s">
        <v>1575</v>
      </c>
      <c r="D2138" s="1" t="s">
        <v>1601</v>
      </c>
      <c r="E2138" s="1" t="s">
        <v>1612</v>
      </c>
      <c r="F2138" s="1" t="s">
        <v>1485</v>
      </c>
      <c r="G2138" s="4">
        <v>1</v>
      </c>
      <c r="H2138" s="28">
        <v>44292</v>
      </c>
      <c r="I2138" s="29">
        <f t="shared" si="2409"/>
        <v>2021</v>
      </c>
      <c r="J2138" s="1" t="s">
        <v>6311</v>
      </c>
      <c r="K2138" s="1" t="s">
        <v>7</v>
      </c>
      <c r="L2138" s="11" t="str">
        <f t="shared" si="2406"/>
        <v>НЕТ</v>
      </c>
      <c r="M2138" s="10">
        <v>0</v>
      </c>
      <c r="N2138" s="10">
        <v>0</v>
      </c>
      <c r="O2138" s="10">
        <v>1.03</v>
      </c>
      <c r="P2138" s="10">
        <f t="shared" si="2407"/>
        <v>1.03</v>
      </c>
      <c r="Q2138" s="10" t="str">
        <f t="shared" si="2408"/>
        <v>NA</v>
      </c>
      <c r="R2138" s="10" t="s">
        <v>1575</v>
      </c>
      <c r="S2138" s="10" t="s">
        <v>1575</v>
      </c>
      <c r="T2138" s="10" t="s">
        <v>1575</v>
      </c>
      <c r="U2138" s="10" t="s">
        <v>1575</v>
      </c>
      <c r="V2138" s="10" t="s">
        <v>1575</v>
      </c>
      <c r="W2138" s="10" t="s">
        <v>1575</v>
      </c>
      <c r="X2138" s="10" t="str">
        <f t="shared" si="2398"/>
        <v>NA</v>
      </c>
      <c r="Y2138" s="10" t="str">
        <f t="shared" si="2399"/>
        <v>NA</v>
      </c>
      <c r="Z2138" s="10" t="str">
        <f t="shared" si="2400"/>
        <v>NA</v>
      </c>
      <c r="AA2138" s="10" t="str">
        <f t="shared" si="2401"/>
        <v>NA</v>
      </c>
      <c r="AB2138" s="10" t="str">
        <f t="shared" si="2402"/>
        <v>NA</v>
      </c>
      <c r="AC2138" s="10" t="str">
        <f t="shared" si="2403"/>
        <v>NA</v>
      </c>
      <c r="AD2138" s="10" t="str">
        <f t="shared" si="2404"/>
        <v>NA</v>
      </c>
      <c r="AE2138" s="10" t="str">
        <f t="shared" si="2405"/>
        <v>NA</v>
      </c>
      <c r="AF2138" s="1" t="s">
        <v>1537</v>
      </c>
    </row>
    <row r="2139" spans="1:32" x14ac:dyDescent="0.2">
      <c r="A2139" s="1" t="s">
        <v>6312</v>
      </c>
      <c r="B2139" s="1" t="s">
        <v>5</v>
      </c>
      <c r="C2139" s="1" t="s">
        <v>1575</v>
      </c>
      <c r="D2139" s="1" t="s">
        <v>1601</v>
      </c>
      <c r="E2139" s="1" t="s">
        <v>1612</v>
      </c>
      <c r="F2139" s="1" t="s">
        <v>1485</v>
      </c>
      <c r="G2139" s="4">
        <v>1</v>
      </c>
      <c r="H2139" s="28">
        <v>44050</v>
      </c>
      <c r="I2139" s="29">
        <f t="shared" si="2409"/>
        <v>2020</v>
      </c>
      <c r="J2139" s="1" t="s">
        <v>6311</v>
      </c>
      <c r="K2139" s="1" t="s">
        <v>7</v>
      </c>
      <c r="L2139" s="11" t="str">
        <f t="shared" si="2406"/>
        <v>НЕТ</v>
      </c>
      <c r="M2139" s="10">
        <v>0</v>
      </c>
      <c r="N2139" s="10">
        <v>0</v>
      </c>
      <c r="O2139" s="10">
        <v>0.34</v>
      </c>
      <c r="P2139" s="10">
        <f t="shared" si="2407"/>
        <v>0.34</v>
      </c>
      <c r="Q2139" s="10" t="str">
        <f t="shared" si="2408"/>
        <v>NA</v>
      </c>
      <c r="R2139" s="10" t="s">
        <v>1575</v>
      </c>
      <c r="S2139" s="10" t="s">
        <v>1575</v>
      </c>
      <c r="T2139" s="10" t="s">
        <v>1575</v>
      </c>
      <c r="U2139" s="10" t="s">
        <v>1575</v>
      </c>
      <c r="V2139" s="10" t="s">
        <v>1575</v>
      </c>
      <c r="W2139" s="10" t="s">
        <v>1575</v>
      </c>
      <c r="X2139" s="10" t="str">
        <f t="shared" si="2398"/>
        <v>NA</v>
      </c>
      <c r="Y2139" s="10" t="str">
        <f t="shared" si="2399"/>
        <v>NA</v>
      </c>
      <c r="Z2139" s="10" t="str">
        <f t="shared" si="2400"/>
        <v>NA</v>
      </c>
      <c r="AA2139" s="10" t="str">
        <f t="shared" si="2401"/>
        <v>NA</v>
      </c>
      <c r="AB2139" s="10" t="str">
        <f t="shared" si="2402"/>
        <v>NA</v>
      </c>
      <c r="AC2139" s="10" t="str">
        <f t="shared" si="2403"/>
        <v>NA</v>
      </c>
      <c r="AD2139" s="10" t="str">
        <f t="shared" si="2404"/>
        <v>NA</v>
      </c>
      <c r="AE2139" s="10" t="str">
        <f t="shared" si="2405"/>
        <v>NA</v>
      </c>
      <c r="AF2139" s="1" t="s">
        <v>1539</v>
      </c>
    </row>
    <row r="2140" spans="1:32" x14ac:dyDescent="0.2">
      <c r="A2140" s="1" t="s">
        <v>6313</v>
      </c>
      <c r="B2140" s="1" t="s">
        <v>5</v>
      </c>
      <c r="C2140" s="1" t="s">
        <v>1575</v>
      </c>
      <c r="D2140" s="1" t="s">
        <v>1601</v>
      </c>
      <c r="E2140" s="1" t="s">
        <v>1612</v>
      </c>
      <c r="F2140" s="1" t="s">
        <v>1485</v>
      </c>
      <c r="G2140" s="4">
        <v>0.69999199999999995</v>
      </c>
      <c r="H2140" s="28">
        <v>43829</v>
      </c>
      <c r="I2140" s="29">
        <f t="shared" si="2409"/>
        <v>2019</v>
      </c>
      <c r="J2140" s="1" t="s">
        <v>6311</v>
      </c>
      <c r="K2140" s="1" t="s">
        <v>7</v>
      </c>
      <c r="L2140" s="11" t="str">
        <f t="shared" si="2406"/>
        <v>НЕТ</v>
      </c>
      <c r="M2140" s="10">
        <v>0</v>
      </c>
      <c r="N2140" s="10">
        <v>0</v>
      </c>
      <c r="O2140" s="10">
        <v>0.903003</v>
      </c>
      <c r="P2140" s="10">
        <f t="shared" si="2407"/>
        <v>1.2900190287889006</v>
      </c>
      <c r="Q2140" s="10" t="str">
        <f t="shared" si="2408"/>
        <v>NA</v>
      </c>
      <c r="R2140" s="10" t="s">
        <v>1575</v>
      </c>
      <c r="S2140" s="10" t="s">
        <v>1575</v>
      </c>
      <c r="T2140" s="10" t="s">
        <v>1575</v>
      </c>
      <c r="U2140" s="10" t="s">
        <v>1575</v>
      </c>
      <c r="V2140" s="10" t="s">
        <v>1575</v>
      </c>
      <c r="W2140" s="10" t="s">
        <v>1575</v>
      </c>
      <c r="X2140" s="10" t="str">
        <f t="shared" si="2398"/>
        <v>NA</v>
      </c>
      <c r="Y2140" s="10" t="str">
        <f t="shared" si="2399"/>
        <v>NA</v>
      </c>
      <c r="Z2140" s="10" t="str">
        <f t="shared" si="2400"/>
        <v>NA</v>
      </c>
      <c r="AA2140" s="10" t="str">
        <f t="shared" si="2401"/>
        <v>NA</v>
      </c>
      <c r="AB2140" s="10" t="str">
        <f t="shared" si="2402"/>
        <v>NA</v>
      </c>
      <c r="AC2140" s="10" t="str">
        <f t="shared" si="2403"/>
        <v>NA</v>
      </c>
      <c r="AD2140" s="10" t="str">
        <f t="shared" si="2404"/>
        <v>NA</v>
      </c>
      <c r="AE2140" s="10" t="str">
        <f t="shared" si="2405"/>
        <v>NA</v>
      </c>
      <c r="AF2140" s="1" t="s">
        <v>1536</v>
      </c>
    </row>
    <row r="2141" spans="1:32" x14ac:dyDescent="0.2">
      <c r="A2141" s="1" t="s">
        <v>6314</v>
      </c>
      <c r="B2141" s="1" t="s">
        <v>5</v>
      </c>
      <c r="C2141" s="1" t="s">
        <v>1575</v>
      </c>
      <c r="D2141" s="1" t="s">
        <v>1601</v>
      </c>
      <c r="E2141" s="1" t="s">
        <v>1612</v>
      </c>
      <c r="F2141" s="1" t="s">
        <v>1485</v>
      </c>
      <c r="G2141" s="4">
        <v>1</v>
      </c>
      <c r="H2141" s="28"/>
      <c r="I2141" s="29">
        <f t="shared" si="2409"/>
        <v>1900</v>
      </c>
      <c r="J2141" s="1" t="s">
        <v>6311</v>
      </c>
      <c r="K2141" s="1" t="s">
        <v>7</v>
      </c>
      <c r="L2141" s="11" t="str">
        <f t="shared" si="2406"/>
        <v>НЕТ</v>
      </c>
      <c r="M2141" s="10">
        <v>0</v>
      </c>
      <c r="N2141" s="10">
        <v>0</v>
      </c>
      <c r="O2141" s="10">
        <v>1.5338989999999999</v>
      </c>
      <c r="P2141" s="10">
        <f t="shared" si="2407"/>
        <v>1.5338989999999999</v>
      </c>
      <c r="Q2141" s="10" t="str">
        <f t="shared" si="2408"/>
        <v>NA</v>
      </c>
      <c r="R2141" s="10" t="s">
        <v>1575</v>
      </c>
      <c r="S2141" s="10" t="s">
        <v>1575</v>
      </c>
      <c r="T2141" s="10" t="s">
        <v>1575</v>
      </c>
      <c r="U2141" s="10" t="s">
        <v>1575</v>
      </c>
      <c r="V2141" s="10" t="s">
        <v>1575</v>
      </c>
      <c r="W2141" s="10" t="s">
        <v>1575</v>
      </c>
      <c r="X2141" s="10" t="str">
        <f t="shared" si="2398"/>
        <v>NA</v>
      </c>
      <c r="Y2141" s="10" t="str">
        <f t="shared" si="2399"/>
        <v>NA</v>
      </c>
      <c r="Z2141" s="10" t="str">
        <f t="shared" si="2400"/>
        <v>NA</v>
      </c>
      <c r="AA2141" s="10" t="str">
        <f t="shared" si="2401"/>
        <v>NA</v>
      </c>
      <c r="AB2141" s="10" t="str">
        <f t="shared" si="2402"/>
        <v>NA</v>
      </c>
      <c r="AC2141" s="10" t="str">
        <f t="shared" si="2403"/>
        <v>NA</v>
      </c>
      <c r="AD2141" s="10" t="str">
        <f t="shared" si="2404"/>
        <v>NA</v>
      </c>
      <c r="AE2141" s="10" t="str">
        <f t="shared" si="2405"/>
        <v>NA</v>
      </c>
      <c r="AF2141" s="1" t="s">
        <v>1538</v>
      </c>
    </row>
    <row r="2142" spans="1:32" x14ac:dyDescent="0.2">
      <c r="A2142" s="1" t="s">
        <v>6315</v>
      </c>
      <c r="B2142" s="1" t="s">
        <v>5</v>
      </c>
      <c r="C2142" s="1" t="s">
        <v>1575</v>
      </c>
      <c r="D2142" s="1" t="s">
        <v>1601</v>
      </c>
      <c r="E2142" s="1" t="s">
        <v>1612</v>
      </c>
      <c r="F2142" s="1" t="s">
        <v>1485</v>
      </c>
      <c r="G2142" s="4">
        <v>1</v>
      </c>
      <c r="H2142" s="28">
        <v>40452</v>
      </c>
      <c r="I2142" s="29">
        <f t="shared" si="2409"/>
        <v>2010</v>
      </c>
      <c r="J2142" s="1" t="s">
        <v>6316</v>
      </c>
      <c r="K2142" s="1" t="s">
        <v>7</v>
      </c>
      <c r="L2142" s="11" t="str">
        <f t="shared" si="2406"/>
        <v>НЕТ</v>
      </c>
      <c r="M2142" s="10">
        <v>0</v>
      </c>
      <c r="N2142" s="10">
        <v>0</v>
      </c>
      <c r="O2142" s="10">
        <v>1.1000000000000001</v>
      </c>
      <c r="P2142" s="10">
        <f t="shared" si="2407"/>
        <v>1.1000000000000001</v>
      </c>
      <c r="Q2142" s="10" t="str">
        <f t="shared" si="2408"/>
        <v>NA</v>
      </c>
      <c r="R2142" s="10" t="s">
        <v>1575</v>
      </c>
      <c r="S2142" s="10" t="s">
        <v>1575</v>
      </c>
      <c r="T2142" s="10" t="s">
        <v>1575</v>
      </c>
      <c r="U2142" s="10" t="s">
        <v>1575</v>
      </c>
      <c r="V2142" s="10" t="s">
        <v>1575</v>
      </c>
      <c r="W2142" s="10" t="s">
        <v>1575</v>
      </c>
      <c r="X2142" s="10" t="str">
        <f t="shared" si="2398"/>
        <v>NA</v>
      </c>
      <c r="Y2142" s="10" t="str">
        <f t="shared" si="2399"/>
        <v>NA</v>
      </c>
      <c r="Z2142" s="10" t="str">
        <f t="shared" si="2400"/>
        <v>NA</v>
      </c>
      <c r="AA2142" s="10" t="str">
        <f t="shared" si="2401"/>
        <v>NA</v>
      </c>
      <c r="AB2142" s="10" t="str">
        <f t="shared" si="2402"/>
        <v>NA</v>
      </c>
      <c r="AC2142" s="10" t="str">
        <f t="shared" si="2403"/>
        <v>NA</v>
      </c>
      <c r="AD2142" s="10" t="str">
        <f t="shared" si="2404"/>
        <v>NA</v>
      </c>
      <c r="AE2142" s="10" t="str">
        <f t="shared" si="2405"/>
        <v>NA</v>
      </c>
    </row>
    <row r="2143" spans="1:32" x14ac:dyDescent="0.2">
      <c r="A2143" s="1" t="s">
        <v>6317</v>
      </c>
      <c r="B2143" s="1" t="s">
        <v>5</v>
      </c>
      <c r="C2143" s="1" t="s">
        <v>1575</v>
      </c>
      <c r="D2143" s="1" t="s">
        <v>1578</v>
      </c>
      <c r="E2143" s="1" t="s">
        <v>1579</v>
      </c>
      <c r="F2143" s="1" t="s">
        <v>429</v>
      </c>
      <c r="G2143" s="4">
        <v>1</v>
      </c>
      <c r="H2143" s="28">
        <v>44342</v>
      </c>
      <c r="I2143" s="29">
        <f t="shared" si="2409"/>
        <v>2021</v>
      </c>
      <c r="J2143" s="1" t="s">
        <v>1541</v>
      </c>
      <c r="K2143" s="1" t="s">
        <v>6318</v>
      </c>
      <c r="L2143" s="11" t="str">
        <f t="shared" si="2406"/>
        <v>НЕТ</v>
      </c>
      <c r="M2143" s="10">
        <v>0</v>
      </c>
      <c r="N2143" s="10">
        <v>0</v>
      </c>
      <c r="O2143" s="10">
        <v>4.8000000000000001E-2</v>
      </c>
      <c r="P2143" s="10">
        <f t="shared" si="2407"/>
        <v>4.8000000000000001E-2</v>
      </c>
      <c r="Q2143" s="10" t="str">
        <f t="shared" si="2408"/>
        <v>NA</v>
      </c>
      <c r="R2143" s="10" t="s">
        <v>1575</v>
      </c>
      <c r="S2143" s="10" t="s">
        <v>1575</v>
      </c>
      <c r="T2143" s="10" t="s">
        <v>1575</v>
      </c>
      <c r="U2143" s="10" t="s">
        <v>1575</v>
      </c>
      <c r="V2143" s="10" t="s">
        <v>1575</v>
      </c>
      <c r="W2143" s="10" t="s">
        <v>1575</v>
      </c>
      <c r="X2143" s="10" t="str">
        <f t="shared" si="2398"/>
        <v>NA</v>
      </c>
      <c r="Y2143" s="10" t="str">
        <f t="shared" si="2399"/>
        <v>NA</v>
      </c>
      <c r="Z2143" s="10" t="str">
        <f t="shared" si="2400"/>
        <v>NA</v>
      </c>
      <c r="AA2143" s="10" t="str">
        <f t="shared" si="2401"/>
        <v>NA</v>
      </c>
      <c r="AB2143" s="10" t="str">
        <f t="shared" si="2402"/>
        <v>NA</v>
      </c>
      <c r="AC2143" s="10" t="str">
        <f t="shared" si="2403"/>
        <v>NA</v>
      </c>
      <c r="AD2143" s="10" t="str">
        <f t="shared" si="2404"/>
        <v>NA</v>
      </c>
      <c r="AE2143" s="10" t="str">
        <f t="shared" si="2405"/>
        <v>NA</v>
      </c>
      <c r="AF2143" s="1" t="s">
        <v>1540</v>
      </c>
    </row>
    <row r="2144" spans="1:32" x14ac:dyDescent="0.2">
      <c r="A2144" s="1" t="s">
        <v>6319</v>
      </c>
      <c r="B2144" s="1" t="s">
        <v>5</v>
      </c>
      <c r="C2144" s="1" t="s">
        <v>1575</v>
      </c>
      <c r="D2144" s="1" t="s">
        <v>1601</v>
      </c>
      <c r="E2144" s="1" t="s">
        <v>1612</v>
      </c>
      <c r="F2144" s="1" t="s">
        <v>1485</v>
      </c>
      <c r="G2144" s="4">
        <v>1</v>
      </c>
      <c r="H2144" s="28">
        <v>44333</v>
      </c>
      <c r="I2144" s="29">
        <f t="shared" si="2409"/>
        <v>2021</v>
      </c>
      <c r="J2144" s="1" t="s">
        <v>6318</v>
      </c>
      <c r="L2144" s="11" t="str">
        <f t="shared" si="2406"/>
        <v>НЕТ</v>
      </c>
      <c r="M2144" s="10">
        <v>0</v>
      </c>
      <c r="N2144" s="10">
        <v>0</v>
      </c>
      <c r="O2144" s="10">
        <v>0.159247</v>
      </c>
      <c r="P2144" s="10">
        <f t="shared" si="2407"/>
        <v>0.159247</v>
      </c>
      <c r="Q2144" s="10" t="str">
        <f t="shared" si="2408"/>
        <v>NA</v>
      </c>
      <c r="R2144" s="10" t="s">
        <v>1575</v>
      </c>
      <c r="S2144" s="10" t="s">
        <v>1575</v>
      </c>
      <c r="T2144" s="10" t="s">
        <v>1575</v>
      </c>
      <c r="U2144" s="10" t="s">
        <v>1575</v>
      </c>
      <c r="V2144" s="10" t="s">
        <v>1575</v>
      </c>
      <c r="W2144" s="10" t="s">
        <v>1575</v>
      </c>
      <c r="X2144" s="10" t="str">
        <f t="shared" si="2398"/>
        <v>NA</v>
      </c>
      <c r="Y2144" s="10" t="str">
        <f t="shared" si="2399"/>
        <v>NA</v>
      </c>
      <c r="Z2144" s="10" t="str">
        <f t="shared" si="2400"/>
        <v>NA</v>
      </c>
      <c r="AA2144" s="10" t="str">
        <f t="shared" si="2401"/>
        <v>NA</v>
      </c>
      <c r="AB2144" s="10" t="str">
        <f t="shared" si="2402"/>
        <v>NA</v>
      </c>
      <c r="AC2144" s="10" t="str">
        <f t="shared" si="2403"/>
        <v>NA</v>
      </c>
      <c r="AD2144" s="10" t="str">
        <f t="shared" si="2404"/>
        <v>NA</v>
      </c>
      <c r="AE2144" s="10" t="str">
        <f t="shared" si="2405"/>
        <v>NA</v>
      </c>
      <c r="AF2144" s="1" t="s">
        <v>1542</v>
      </c>
    </row>
    <row r="2145" spans="1:32" x14ac:dyDescent="0.2">
      <c r="A2145" s="1" t="s">
        <v>6320</v>
      </c>
      <c r="B2145" s="1" t="s">
        <v>5</v>
      </c>
      <c r="C2145" s="1" t="s">
        <v>1575</v>
      </c>
      <c r="D2145" s="1" t="s">
        <v>1601</v>
      </c>
      <c r="E2145" s="1" t="s">
        <v>1612</v>
      </c>
      <c r="F2145" s="1" t="s">
        <v>1485</v>
      </c>
      <c r="G2145" s="4">
        <v>1</v>
      </c>
      <c r="H2145" s="28">
        <v>43636</v>
      </c>
      <c r="I2145" s="29">
        <f t="shared" si="2409"/>
        <v>2019</v>
      </c>
      <c r="J2145" s="1" t="s">
        <v>6318</v>
      </c>
      <c r="L2145" s="11" t="str">
        <f t="shared" si="2406"/>
        <v>НЕТ</v>
      </c>
      <c r="M2145" s="10">
        <v>0</v>
      </c>
      <c r="N2145" s="10">
        <v>0</v>
      </c>
      <c r="O2145" s="10">
        <v>2.7</v>
      </c>
      <c r="P2145" s="10">
        <f t="shared" si="2407"/>
        <v>2.7</v>
      </c>
      <c r="Q2145" s="10" t="str">
        <f t="shared" si="2408"/>
        <v>NA</v>
      </c>
      <c r="R2145" s="10" t="s">
        <v>1575</v>
      </c>
      <c r="S2145" s="10" t="s">
        <v>1575</v>
      </c>
      <c r="T2145" s="10" t="s">
        <v>1575</v>
      </c>
      <c r="U2145" s="10" t="s">
        <v>1575</v>
      </c>
      <c r="V2145" s="10" t="s">
        <v>1575</v>
      </c>
      <c r="W2145" s="10" t="s">
        <v>1575</v>
      </c>
      <c r="X2145" s="10" t="str">
        <f t="shared" ref="X2145:X2208" si="2410">IFERROR(V2145+W2145,"NA")</f>
        <v>NA</v>
      </c>
      <c r="Y2145" s="10" t="str">
        <f t="shared" ref="Y2145:Y2208" si="2411">IFERROR(P2145/R2145,"NA")</f>
        <v>NA</v>
      </c>
      <c r="Z2145" s="10" t="str">
        <f t="shared" ref="Z2145:Z2208" si="2412">IFERROR(P2145/U2145,"NA")</f>
        <v>NA</v>
      </c>
      <c r="AA2145" s="10" t="str">
        <f t="shared" ref="AA2145:AA2208" si="2413">IFERROR(P2145/V2145,"NA")</f>
        <v>NA</v>
      </c>
      <c r="AB2145" s="10" t="str">
        <f t="shared" ref="AB2145:AB2208" si="2414">IFERROR(Q2145/R2145,"NA")</f>
        <v>NA</v>
      </c>
      <c r="AC2145" s="10" t="str">
        <f t="shared" ref="AC2145:AC2208" si="2415">IFERROR(Q2145/S2145,"NA")</f>
        <v>NA</v>
      </c>
      <c r="AD2145" s="10" t="str">
        <f t="shared" ref="AD2145:AD2208" si="2416">IFERROR(Q2145/T2145,"NA")</f>
        <v>NA</v>
      </c>
      <c r="AE2145" s="10" t="str">
        <f t="shared" ref="AE2145:AE2208" si="2417">IFERROR(Q2145/X2145,"NA")</f>
        <v>NA</v>
      </c>
      <c r="AF2145" s="1" t="s">
        <v>1543</v>
      </c>
    </row>
    <row r="2146" spans="1:32" x14ac:dyDescent="0.2">
      <c r="A2146" s="1" t="s">
        <v>6321</v>
      </c>
      <c r="B2146" s="1" t="s">
        <v>5</v>
      </c>
      <c r="C2146" s="1" t="s">
        <v>1575</v>
      </c>
      <c r="D2146" s="1" t="s">
        <v>1601</v>
      </c>
      <c r="E2146" s="1" t="s">
        <v>1612</v>
      </c>
      <c r="F2146" s="1" t="s">
        <v>1485</v>
      </c>
      <c r="G2146" s="4" t="s">
        <v>1575</v>
      </c>
      <c r="H2146" s="28">
        <v>44561</v>
      </c>
      <c r="I2146" s="29">
        <f t="shared" si="2409"/>
        <v>2021</v>
      </c>
      <c r="J2146" s="1" t="s">
        <v>6322</v>
      </c>
      <c r="K2146" s="1" t="s">
        <v>7</v>
      </c>
      <c r="L2146" s="11" t="str">
        <f t="shared" si="2406"/>
        <v>НЕТ</v>
      </c>
      <c r="M2146" s="10">
        <v>0</v>
      </c>
      <c r="N2146" s="10">
        <v>0</v>
      </c>
      <c r="O2146" s="10" t="s">
        <v>1575</v>
      </c>
      <c r="P2146" s="10" t="str">
        <f t="shared" si="2407"/>
        <v>NA</v>
      </c>
      <c r="Q2146" s="10" t="str">
        <f t="shared" si="2408"/>
        <v>NA</v>
      </c>
      <c r="R2146" s="10" t="s">
        <v>1575</v>
      </c>
      <c r="S2146" s="10" t="s">
        <v>1575</v>
      </c>
      <c r="T2146" s="10" t="s">
        <v>1575</v>
      </c>
      <c r="U2146" s="10" t="s">
        <v>1575</v>
      </c>
      <c r="V2146" s="10" t="s">
        <v>1575</v>
      </c>
      <c r="W2146" s="10" t="s">
        <v>1575</v>
      </c>
      <c r="X2146" s="10" t="str">
        <f t="shared" si="2410"/>
        <v>NA</v>
      </c>
      <c r="Y2146" s="10" t="str">
        <f t="shared" si="2411"/>
        <v>NA</v>
      </c>
      <c r="Z2146" s="10" t="str">
        <f t="shared" si="2412"/>
        <v>NA</v>
      </c>
      <c r="AA2146" s="10" t="str">
        <f t="shared" si="2413"/>
        <v>NA</v>
      </c>
      <c r="AB2146" s="10" t="str">
        <f t="shared" si="2414"/>
        <v>NA</v>
      </c>
      <c r="AC2146" s="10" t="str">
        <f t="shared" si="2415"/>
        <v>NA</v>
      </c>
      <c r="AD2146" s="10" t="str">
        <f t="shared" si="2416"/>
        <v>NA</v>
      </c>
      <c r="AE2146" s="10" t="str">
        <f t="shared" si="2417"/>
        <v>NA</v>
      </c>
      <c r="AF2146" s="1" t="s">
        <v>1486</v>
      </c>
    </row>
    <row r="2147" spans="1:32" x14ac:dyDescent="0.2">
      <c r="A2147" s="10" t="s">
        <v>1575</v>
      </c>
      <c r="B2147" s="1" t="s">
        <v>5</v>
      </c>
      <c r="C2147" s="1" t="s">
        <v>1575</v>
      </c>
      <c r="D2147" s="1" t="s">
        <v>1601</v>
      </c>
      <c r="E2147" s="1" t="s">
        <v>1612</v>
      </c>
      <c r="F2147" s="1" t="s">
        <v>1485</v>
      </c>
      <c r="G2147" s="4">
        <v>1</v>
      </c>
      <c r="H2147" s="28">
        <v>44292</v>
      </c>
      <c r="I2147" s="29">
        <f t="shared" si="2409"/>
        <v>2021</v>
      </c>
      <c r="J2147" s="1" t="s">
        <v>6322</v>
      </c>
      <c r="K2147" s="1" t="s">
        <v>7</v>
      </c>
      <c r="L2147" s="11" t="str">
        <f t="shared" si="2406"/>
        <v>НЕТ</v>
      </c>
      <c r="M2147" s="10">
        <v>0</v>
      </c>
      <c r="N2147" s="10">
        <v>0</v>
      </c>
      <c r="O2147" s="10">
        <v>1.03</v>
      </c>
      <c r="P2147" s="10">
        <f t="shared" si="2407"/>
        <v>1.03</v>
      </c>
      <c r="Q2147" s="10" t="str">
        <f t="shared" si="2408"/>
        <v>NA</v>
      </c>
      <c r="R2147" s="10" t="s">
        <v>1575</v>
      </c>
      <c r="S2147" s="10" t="s">
        <v>1575</v>
      </c>
      <c r="T2147" s="10" t="s">
        <v>1575</v>
      </c>
      <c r="U2147" s="10" t="s">
        <v>1575</v>
      </c>
      <c r="V2147" s="10" t="s">
        <v>1575</v>
      </c>
      <c r="W2147" s="10" t="s">
        <v>1575</v>
      </c>
      <c r="X2147" s="10" t="str">
        <f t="shared" si="2410"/>
        <v>NA</v>
      </c>
      <c r="Y2147" s="10" t="str">
        <f t="shared" si="2411"/>
        <v>NA</v>
      </c>
      <c r="Z2147" s="10" t="str">
        <f t="shared" si="2412"/>
        <v>NA</v>
      </c>
      <c r="AA2147" s="10" t="str">
        <f t="shared" si="2413"/>
        <v>NA</v>
      </c>
      <c r="AB2147" s="10" t="str">
        <f t="shared" si="2414"/>
        <v>NA</v>
      </c>
      <c r="AC2147" s="10" t="str">
        <f t="shared" si="2415"/>
        <v>NA</v>
      </c>
      <c r="AD2147" s="10" t="str">
        <f t="shared" si="2416"/>
        <v>NA</v>
      </c>
      <c r="AE2147" s="10" t="str">
        <f t="shared" si="2417"/>
        <v>NA</v>
      </c>
      <c r="AF2147" s="1" t="s">
        <v>1500</v>
      </c>
    </row>
    <row r="2148" spans="1:32" x14ac:dyDescent="0.2">
      <c r="A2148" s="1" t="s">
        <v>6307</v>
      </c>
      <c r="B2148" s="1" t="s">
        <v>5</v>
      </c>
      <c r="C2148" s="1" t="s">
        <v>1575</v>
      </c>
      <c r="D2148" s="1" t="s">
        <v>1601</v>
      </c>
      <c r="E2148" s="1" t="s">
        <v>5352</v>
      </c>
      <c r="F2148" s="1" t="s">
        <v>1488</v>
      </c>
      <c r="G2148" s="4">
        <v>1</v>
      </c>
      <c r="H2148" s="28">
        <v>43915</v>
      </c>
      <c r="I2148" s="29">
        <f t="shared" si="2409"/>
        <v>2020</v>
      </c>
      <c r="J2148" s="1" t="s">
        <v>6322</v>
      </c>
      <c r="K2148" s="1" t="s">
        <v>7</v>
      </c>
      <c r="L2148" s="11" t="str">
        <f t="shared" si="2406"/>
        <v>НЕТ</v>
      </c>
      <c r="M2148" s="10">
        <v>0</v>
      </c>
      <c r="N2148" s="10">
        <v>0</v>
      </c>
      <c r="O2148" s="10">
        <f>0.133+0.139</f>
        <v>0.27200000000000002</v>
      </c>
      <c r="P2148" s="10">
        <f t="shared" si="2407"/>
        <v>0.27200000000000002</v>
      </c>
      <c r="Q2148" s="10" t="str">
        <f t="shared" si="2408"/>
        <v>NA</v>
      </c>
      <c r="R2148" s="10" t="s">
        <v>1575</v>
      </c>
      <c r="S2148" s="10" t="s">
        <v>1575</v>
      </c>
      <c r="T2148" s="10" t="s">
        <v>1575</v>
      </c>
      <c r="U2148" s="10" t="s">
        <v>1575</v>
      </c>
      <c r="V2148" s="10" t="s">
        <v>1575</v>
      </c>
      <c r="W2148" s="10" t="s">
        <v>1575</v>
      </c>
      <c r="X2148" s="10" t="str">
        <f t="shared" si="2410"/>
        <v>NA</v>
      </c>
      <c r="Y2148" s="10" t="str">
        <f t="shared" si="2411"/>
        <v>NA</v>
      </c>
      <c r="Z2148" s="10" t="str">
        <f t="shared" si="2412"/>
        <v>NA</v>
      </c>
      <c r="AA2148" s="10" t="str">
        <f t="shared" si="2413"/>
        <v>NA</v>
      </c>
      <c r="AB2148" s="10" t="str">
        <f t="shared" si="2414"/>
        <v>NA</v>
      </c>
      <c r="AC2148" s="10" t="str">
        <f t="shared" si="2415"/>
        <v>NA</v>
      </c>
      <c r="AD2148" s="10" t="str">
        <f t="shared" si="2416"/>
        <v>NA</v>
      </c>
      <c r="AE2148" s="10" t="str">
        <f t="shared" si="2417"/>
        <v>NA</v>
      </c>
      <c r="AF2148" s="1" t="s">
        <v>1487</v>
      </c>
    </row>
    <row r="2149" spans="1:32" x14ac:dyDescent="0.2">
      <c r="A2149" s="1" t="s">
        <v>6312</v>
      </c>
      <c r="B2149" s="1" t="s">
        <v>5</v>
      </c>
      <c r="C2149" s="1" t="s">
        <v>1575</v>
      </c>
      <c r="D2149" s="1" t="s">
        <v>1601</v>
      </c>
      <c r="E2149" s="1" t="s">
        <v>1612</v>
      </c>
      <c r="F2149" s="1" t="s">
        <v>1485</v>
      </c>
      <c r="G2149" s="4">
        <v>1</v>
      </c>
      <c r="H2149" s="28">
        <v>44050</v>
      </c>
      <c r="I2149" s="29">
        <f t="shared" si="2409"/>
        <v>2020</v>
      </c>
      <c r="J2149" s="1" t="s">
        <v>6322</v>
      </c>
      <c r="K2149" s="1" t="s">
        <v>7</v>
      </c>
      <c r="L2149" s="11" t="str">
        <f t="shared" si="2406"/>
        <v>НЕТ</v>
      </c>
      <c r="M2149" s="10">
        <v>0</v>
      </c>
      <c r="N2149" s="10">
        <v>0</v>
      </c>
      <c r="O2149" s="10">
        <v>0.32</v>
      </c>
      <c r="P2149" s="10">
        <f t="shared" si="2407"/>
        <v>0.32</v>
      </c>
      <c r="Q2149" s="10" t="str">
        <f t="shared" si="2408"/>
        <v>NA</v>
      </c>
      <c r="R2149" s="10" t="s">
        <v>1575</v>
      </c>
      <c r="S2149" s="10" t="s">
        <v>1575</v>
      </c>
      <c r="T2149" s="10" t="s">
        <v>1575</v>
      </c>
      <c r="U2149" s="10" t="s">
        <v>1575</v>
      </c>
      <c r="V2149" s="10" t="s">
        <v>1575</v>
      </c>
      <c r="W2149" s="10" t="s">
        <v>1575</v>
      </c>
      <c r="X2149" s="10" t="str">
        <f t="shared" si="2410"/>
        <v>NA</v>
      </c>
      <c r="Y2149" s="10" t="str">
        <f t="shared" si="2411"/>
        <v>NA</v>
      </c>
      <c r="Z2149" s="10" t="str">
        <f t="shared" si="2412"/>
        <v>NA</v>
      </c>
      <c r="AA2149" s="10" t="str">
        <f t="shared" si="2413"/>
        <v>NA</v>
      </c>
      <c r="AB2149" s="10" t="str">
        <f t="shared" si="2414"/>
        <v>NA</v>
      </c>
      <c r="AC2149" s="10" t="str">
        <f t="shared" si="2415"/>
        <v>NA</v>
      </c>
      <c r="AD2149" s="10" t="str">
        <f t="shared" si="2416"/>
        <v>NA</v>
      </c>
      <c r="AE2149" s="10" t="str">
        <f t="shared" si="2417"/>
        <v>NA</v>
      </c>
      <c r="AF2149" s="1" t="s">
        <v>1489</v>
      </c>
    </row>
    <row r="2150" spans="1:32" x14ac:dyDescent="0.2">
      <c r="A2150" s="1" t="s">
        <v>6323</v>
      </c>
      <c r="B2150" s="1" t="s">
        <v>5</v>
      </c>
      <c r="C2150" s="1" t="s">
        <v>1625</v>
      </c>
      <c r="D2150" s="1" t="s">
        <v>1601</v>
      </c>
      <c r="E2150" s="1" t="s">
        <v>1612</v>
      </c>
      <c r="F2150" s="1" t="s">
        <v>1485</v>
      </c>
      <c r="G2150" s="4">
        <f>(98.9%-98.677%)*3283182/(106796754+3283182)</f>
        <v>6.6510720536758078E-5</v>
      </c>
      <c r="H2150" s="28">
        <v>44104</v>
      </c>
      <c r="I2150" s="29">
        <f t="shared" si="2409"/>
        <v>2020</v>
      </c>
      <c r="J2150" s="1" t="s">
        <v>6322</v>
      </c>
      <c r="K2150" s="1" t="s">
        <v>7</v>
      </c>
      <c r="L2150" s="11" t="str">
        <f t="shared" si="2406"/>
        <v>НЕТ</v>
      </c>
      <c r="M2150" s="10">
        <v>0</v>
      </c>
      <c r="N2150" s="10">
        <v>0</v>
      </c>
      <c r="O2150" s="10">
        <v>0.107</v>
      </c>
      <c r="P2150" s="10">
        <f t="shared" si="2407"/>
        <v>1608.7632059385819</v>
      </c>
      <c r="Q2150" s="10">
        <f t="shared" si="2408"/>
        <v>1619.499205938582</v>
      </c>
      <c r="R2150" s="10">
        <v>21.274000000000001</v>
      </c>
      <c r="S2150" s="10">
        <v>-17.247</v>
      </c>
      <c r="T2150" s="10">
        <v>-18.942</v>
      </c>
      <c r="U2150" s="10">
        <v>-17.48</v>
      </c>
      <c r="V2150" s="10">
        <v>-17.138999999999999</v>
      </c>
      <c r="W2150" s="10">
        <v>10.735999999999997</v>
      </c>
      <c r="X2150" s="10">
        <f t="shared" si="2410"/>
        <v>-6.4030000000000022</v>
      </c>
      <c r="Y2150" s="10">
        <f t="shared" si="2411"/>
        <v>75.621096452880593</v>
      </c>
      <c r="Z2150" s="10">
        <f t="shared" si="2412"/>
        <v>-92.034508348889119</v>
      </c>
      <c r="AA2150" s="10">
        <f t="shared" si="2413"/>
        <v>-93.865640115443256</v>
      </c>
      <c r="AB2150" s="10">
        <f t="shared" si="2414"/>
        <v>76.125750020615868</v>
      </c>
      <c r="AC2150" s="10">
        <f t="shared" si="2415"/>
        <v>-93.900342432804663</v>
      </c>
      <c r="AD2150" s="10">
        <f t="shared" si="2416"/>
        <v>-85.497793577160905</v>
      </c>
      <c r="AE2150" s="10">
        <f t="shared" si="2417"/>
        <v>-252.92819083844782</v>
      </c>
      <c r="AF2150" s="1" t="s">
        <v>1490</v>
      </c>
    </row>
    <row r="2151" spans="1:32" x14ac:dyDescent="0.2">
      <c r="A2151" s="1" t="s">
        <v>6323</v>
      </c>
      <c r="B2151" s="1" t="s">
        <v>5</v>
      </c>
      <c r="C2151" s="1" t="s">
        <v>1625</v>
      </c>
      <c r="D2151" s="1" t="s">
        <v>1601</v>
      </c>
      <c r="E2151" s="1" t="s">
        <v>1612</v>
      </c>
      <c r="F2151" s="1" t="s">
        <v>1485</v>
      </c>
      <c r="G2151" s="4">
        <f>(98.9%-98.677%)*106796754/(106796754+3283182)</f>
        <v>2.1634892794633073E-3</v>
      </c>
      <c r="H2151" s="28">
        <v>44196</v>
      </c>
      <c r="I2151" s="29">
        <f t="shared" si="2409"/>
        <v>2020</v>
      </c>
      <c r="J2151" s="1" t="s">
        <v>6322</v>
      </c>
      <c r="K2151" s="1" t="s">
        <v>7</v>
      </c>
      <c r="L2151" s="11" t="str">
        <f t="shared" si="2406"/>
        <v>НЕТ</v>
      </c>
      <c r="M2151" s="10">
        <v>0</v>
      </c>
      <c r="N2151" s="10">
        <v>0</v>
      </c>
      <c r="O2151" s="10">
        <v>3.464</v>
      </c>
      <c r="P2151" s="10">
        <f t="shared" si="2407"/>
        <v>1601.1172474398893</v>
      </c>
      <c r="Q2151" s="10">
        <f t="shared" si="2408"/>
        <v>1618.3622474398892</v>
      </c>
      <c r="R2151" s="10">
        <v>27.72</v>
      </c>
      <c r="S2151" s="10">
        <v>-10.534000000000001</v>
      </c>
      <c r="T2151" s="10">
        <v>-11.886000000000001</v>
      </c>
      <c r="U2151" s="10">
        <v>-11.395</v>
      </c>
      <c r="V2151" s="10">
        <v>-25.102</v>
      </c>
      <c r="W2151" s="10">
        <v>17.245000000000001</v>
      </c>
      <c r="X2151" s="10">
        <f t="shared" si="2410"/>
        <v>-7.8569999999999993</v>
      </c>
      <c r="Y2151" s="10">
        <f t="shared" si="2411"/>
        <v>57.760362461756472</v>
      </c>
      <c r="Z2151" s="10">
        <f t="shared" si="2412"/>
        <v>-140.51050877050366</v>
      </c>
      <c r="AA2151" s="10">
        <f t="shared" si="2413"/>
        <v>-63.784449344270946</v>
      </c>
      <c r="AB2151" s="10">
        <f t="shared" si="2414"/>
        <v>58.382476458870464</v>
      </c>
      <c r="AC2151" s="10">
        <f t="shared" si="2415"/>
        <v>-153.63226195556192</v>
      </c>
      <c r="AD2151" s="10">
        <f t="shared" si="2416"/>
        <v>-136.15701223623498</v>
      </c>
      <c r="AE2151" s="10">
        <f t="shared" si="2417"/>
        <v>-205.97712198547657</v>
      </c>
      <c r="AF2151" s="1" t="s">
        <v>1491</v>
      </c>
    </row>
    <row r="2152" spans="1:32" x14ac:dyDescent="0.2">
      <c r="A2152" s="1" t="s">
        <v>6324</v>
      </c>
      <c r="B2152" s="1" t="s">
        <v>5</v>
      </c>
      <c r="C2152" s="1" t="s">
        <v>1575</v>
      </c>
      <c r="D2152" s="1" t="s">
        <v>1601</v>
      </c>
      <c r="E2152" s="1" t="s">
        <v>1612</v>
      </c>
      <c r="F2152" s="1" t="s">
        <v>1485</v>
      </c>
      <c r="G2152" s="4">
        <f>(76.95%-73.65%)*261729787/(1256139961+261729787)</f>
        <v>5.6902662315923619E-3</v>
      </c>
      <c r="H2152" s="28">
        <v>44104</v>
      </c>
      <c r="I2152" s="29">
        <f t="shared" si="2409"/>
        <v>2020</v>
      </c>
      <c r="J2152" s="1" t="s">
        <v>6322</v>
      </c>
      <c r="K2152" s="1" t="s">
        <v>7</v>
      </c>
      <c r="L2152" s="11" t="str">
        <f t="shared" si="2406"/>
        <v>НЕТ</v>
      </c>
      <c r="M2152" s="10">
        <v>0</v>
      </c>
      <c r="N2152" s="10">
        <v>0</v>
      </c>
      <c r="O2152" s="10">
        <v>0.26200000000000001</v>
      </c>
      <c r="P2152" s="10">
        <f t="shared" si="2407"/>
        <v>46.043539851505692</v>
      </c>
      <c r="Q2152" s="10" t="str">
        <f t="shared" si="2408"/>
        <v>NA</v>
      </c>
      <c r="R2152" s="10" t="s">
        <v>1575</v>
      </c>
      <c r="S2152" s="10" t="s">
        <v>1575</v>
      </c>
      <c r="T2152" s="10" t="s">
        <v>1575</v>
      </c>
      <c r="U2152" s="10" t="s">
        <v>1575</v>
      </c>
      <c r="V2152" s="10" t="s">
        <v>1575</v>
      </c>
      <c r="W2152" s="10" t="s">
        <v>1575</v>
      </c>
      <c r="X2152" s="10" t="str">
        <f t="shared" si="2410"/>
        <v>NA</v>
      </c>
      <c r="Y2152" s="10" t="str">
        <f t="shared" si="2411"/>
        <v>NA</v>
      </c>
      <c r="Z2152" s="10" t="str">
        <f t="shared" si="2412"/>
        <v>NA</v>
      </c>
      <c r="AA2152" s="10" t="str">
        <f t="shared" si="2413"/>
        <v>NA</v>
      </c>
      <c r="AB2152" s="10" t="str">
        <f t="shared" si="2414"/>
        <v>NA</v>
      </c>
      <c r="AC2152" s="10" t="str">
        <f t="shared" si="2415"/>
        <v>NA</v>
      </c>
      <c r="AD2152" s="10" t="str">
        <f t="shared" si="2416"/>
        <v>NA</v>
      </c>
      <c r="AE2152" s="10" t="str">
        <f t="shared" si="2417"/>
        <v>NA</v>
      </c>
      <c r="AF2152" s="1" t="s">
        <v>1492</v>
      </c>
    </row>
    <row r="2153" spans="1:32" x14ac:dyDescent="0.2">
      <c r="A2153" s="1" t="s">
        <v>6324</v>
      </c>
      <c r="B2153" s="1" t="s">
        <v>5</v>
      </c>
      <c r="C2153" s="1" t="s">
        <v>1575</v>
      </c>
      <c r="D2153" s="1" t="s">
        <v>1601</v>
      </c>
      <c r="E2153" s="1" t="s">
        <v>1612</v>
      </c>
      <c r="F2153" s="1" t="s">
        <v>1485</v>
      </c>
      <c r="G2153" s="4">
        <f>(76.95%-73.65%)*1256139961/(1256139961+261729787)</f>
        <v>2.7309733768407667E-2</v>
      </c>
      <c r="H2153" s="28">
        <v>44196</v>
      </c>
      <c r="I2153" s="29">
        <f t="shared" si="2409"/>
        <v>2020</v>
      </c>
      <c r="J2153" s="1" t="s">
        <v>6322</v>
      </c>
      <c r="K2153" s="1" t="s">
        <v>7</v>
      </c>
      <c r="L2153" s="11" t="str">
        <f t="shared" si="2406"/>
        <v>НЕТ</v>
      </c>
      <c r="M2153" s="10">
        <v>0</v>
      </c>
      <c r="N2153" s="10">
        <v>0</v>
      </c>
      <c r="O2153" s="10">
        <v>1.256</v>
      </c>
      <c r="P2153" s="10">
        <f t="shared" si="2407"/>
        <v>45.990928020432065</v>
      </c>
      <c r="Q2153" s="10" t="str">
        <f t="shared" si="2408"/>
        <v>NA</v>
      </c>
      <c r="R2153" s="10" t="s">
        <v>1575</v>
      </c>
      <c r="S2153" s="10" t="s">
        <v>1575</v>
      </c>
      <c r="T2153" s="10" t="s">
        <v>1575</v>
      </c>
      <c r="U2153" s="10" t="s">
        <v>1575</v>
      </c>
      <c r="V2153" s="10" t="s">
        <v>1575</v>
      </c>
      <c r="W2153" s="10" t="s">
        <v>1575</v>
      </c>
      <c r="X2153" s="10" t="str">
        <f t="shared" si="2410"/>
        <v>NA</v>
      </c>
      <c r="Y2153" s="10" t="str">
        <f t="shared" si="2411"/>
        <v>NA</v>
      </c>
      <c r="Z2153" s="10" t="str">
        <f t="shared" si="2412"/>
        <v>NA</v>
      </c>
      <c r="AA2153" s="10" t="str">
        <f t="shared" si="2413"/>
        <v>NA</v>
      </c>
      <c r="AB2153" s="10" t="str">
        <f t="shared" si="2414"/>
        <v>NA</v>
      </c>
      <c r="AC2153" s="10" t="str">
        <f t="shared" si="2415"/>
        <v>NA</v>
      </c>
      <c r="AD2153" s="10" t="str">
        <f t="shared" si="2416"/>
        <v>NA</v>
      </c>
      <c r="AE2153" s="10" t="str">
        <f t="shared" si="2417"/>
        <v>NA</v>
      </c>
      <c r="AF2153" s="1" t="s">
        <v>1493</v>
      </c>
    </row>
    <row r="2154" spans="1:32" x14ac:dyDescent="0.2">
      <c r="A2154" s="1" t="s">
        <v>6320</v>
      </c>
      <c r="B2154" s="1" t="s">
        <v>5</v>
      </c>
      <c r="C2154" s="1" t="s">
        <v>1575</v>
      </c>
      <c r="D2154" s="1" t="s">
        <v>1601</v>
      </c>
      <c r="E2154" s="1" t="s">
        <v>1612</v>
      </c>
      <c r="F2154" s="1" t="s">
        <v>1485</v>
      </c>
      <c r="G2154" s="4">
        <v>1</v>
      </c>
      <c r="H2154" s="28">
        <v>43636</v>
      </c>
      <c r="I2154" s="29">
        <f t="shared" si="2409"/>
        <v>2019</v>
      </c>
      <c r="J2154" s="1" t="s">
        <v>6318</v>
      </c>
      <c r="K2154" s="1" t="s">
        <v>7</v>
      </c>
      <c r="L2154" s="11" t="str">
        <f t="shared" si="2406"/>
        <v>НЕТ</v>
      </c>
      <c r="M2154" s="10">
        <v>0</v>
      </c>
      <c r="N2154" s="10">
        <v>0</v>
      </c>
      <c r="O2154" s="10">
        <v>2.7</v>
      </c>
      <c r="P2154" s="10">
        <f t="shared" si="2407"/>
        <v>2.7</v>
      </c>
      <c r="Q2154" s="10" t="str">
        <f t="shared" si="2408"/>
        <v>NA</v>
      </c>
      <c r="R2154" s="10" t="s">
        <v>1575</v>
      </c>
      <c r="S2154" s="10" t="s">
        <v>1575</v>
      </c>
      <c r="T2154" s="10" t="s">
        <v>1575</v>
      </c>
      <c r="U2154" s="10" t="s">
        <v>1575</v>
      </c>
      <c r="V2154" s="10" t="s">
        <v>1575</v>
      </c>
      <c r="W2154" s="10" t="s">
        <v>1575</v>
      </c>
      <c r="X2154" s="10" t="str">
        <f t="shared" si="2410"/>
        <v>NA</v>
      </c>
      <c r="Y2154" s="10" t="str">
        <f t="shared" si="2411"/>
        <v>NA</v>
      </c>
      <c r="Z2154" s="10" t="str">
        <f t="shared" si="2412"/>
        <v>NA</v>
      </c>
      <c r="AA2154" s="10" t="str">
        <f t="shared" si="2413"/>
        <v>NA</v>
      </c>
      <c r="AB2154" s="10" t="str">
        <f t="shared" si="2414"/>
        <v>NA</v>
      </c>
      <c r="AC2154" s="10" t="str">
        <f t="shared" si="2415"/>
        <v>NA</v>
      </c>
      <c r="AD2154" s="10" t="str">
        <f t="shared" si="2416"/>
        <v>NA</v>
      </c>
      <c r="AE2154" s="10" t="str">
        <f t="shared" si="2417"/>
        <v>NA</v>
      </c>
      <c r="AF2154" s="1" t="s">
        <v>1494</v>
      </c>
    </row>
    <row r="2155" spans="1:32" x14ac:dyDescent="0.2">
      <c r="A2155" s="1" t="s">
        <v>6319</v>
      </c>
      <c r="B2155" s="1" t="s">
        <v>5</v>
      </c>
      <c r="C2155" s="1" t="s">
        <v>1575</v>
      </c>
      <c r="D2155" s="1" t="s">
        <v>1601</v>
      </c>
      <c r="E2155" s="1" t="s">
        <v>1612</v>
      </c>
      <c r="F2155" s="1" t="s">
        <v>1485</v>
      </c>
      <c r="G2155" s="4">
        <v>1</v>
      </c>
      <c r="H2155" s="28">
        <v>43601</v>
      </c>
      <c r="I2155" s="29">
        <f t="shared" si="2409"/>
        <v>2019</v>
      </c>
      <c r="J2155" s="1" t="s">
        <v>6318</v>
      </c>
      <c r="K2155" s="1" t="s">
        <v>7</v>
      </c>
      <c r="L2155" s="11" t="str">
        <f t="shared" si="2406"/>
        <v>НЕТ</v>
      </c>
      <c r="M2155" s="10">
        <v>0</v>
      </c>
      <c r="N2155" s="10">
        <v>0</v>
      </c>
      <c r="O2155" s="10">
        <v>0.159</v>
      </c>
      <c r="P2155" s="10">
        <f t="shared" si="2407"/>
        <v>0.159</v>
      </c>
      <c r="Q2155" s="10" t="str">
        <f t="shared" si="2408"/>
        <v>NA</v>
      </c>
      <c r="R2155" s="10" t="s">
        <v>1575</v>
      </c>
      <c r="S2155" s="10" t="s">
        <v>1575</v>
      </c>
      <c r="T2155" s="10" t="s">
        <v>1575</v>
      </c>
      <c r="U2155" s="10" t="s">
        <v>1575</v>
      </c>
      <c r="V2155" s="10" t="s">
        <v>1575</v>
      </c>
      <c r="W2155" s="10" t="s">
        <v>1575</v>
      </c>
      <c r="X2155" s="10" t="str">
        <f t="shared" si="2410"/>
        <v>NA</v>
      </c>
      <c r="Y2155" s="10" t="str">
        <f t="shared" si="2411"/>
        <v>NA</v>
      </c>
      <c r="Z2155" s="10" t="str">
        <f t="shared" si="2412"/>
        <v>NA</v>
      </c>
      <c r="AA2155" s="10" t="str">
        <f t="shared" si="2413"/>
        <v>NA</v>
      </c>
      <c r="AB2155" s="10" t="str">
        <f t="shared" si="2414"/>
        <v>NA</v>
      </c>
      <c r="AC2155" s="10" t="str">
        <f t="shared" si="2415"/>
        <v>NA</v>
      </c>
      <c r="AD2155" s="10" t="str">
        <f t="shared" si="2416"/>
        <v>NA</v>
      </c>
      <c r="AE2155" s="10" t="str">
        <f t="shared" si="2417"/>
        <v>NA</v>
      </c>
      <c r="AF2155" s="1" t="s">
        <v>1495</v>
      </c>
    </row>
    <row r="2156" spans="1:32" x14ac:dyDescent="0.2">
      <c r="A2156" s="1" t="s">
        <v>6325</v>
      </c>
      <c r="B2156" s="1" t="s">
        <v>5</v>
      </c>
      <c r="C2156" s="1" t="s">
        <v>1575</v>
      </c>
      <c r="D2156" s="1" t="s">
        <v>1601</v>
      </c>
      <c r="E2156" s="1" t="s">
        <v>1612</v>
      </c>
      <c r="F2156" s="1" t="s">
        <v>1485</v>
      </c>
      <c r="G2156" s="4">
        <v>1</v>
      </c>
      <c r="H2156" s="28">
        <v>43789</v>
      </c>
      <c r="I2156" s="29">
        <f t="shared" si="2409"/>
        <v>2019</v>
      </c>
      <c r="J2156" s="1" t="s">
        <v>6326</v>
      </c>
      <c r="K2156" s="1" t="s">
        <v>7</v>
      </c>
      <c r="L2156" s="11" t="str">
        <f t="shared" si="2406"/>
        <v>НЕТ</v>
      </c>
      <c r="M2156" s="10">
        <v>0</v>
      </c>
      <c r="N2156" s="10">
        <v>0</v>
      </c>
      <c r="O2156" s="10">
        <v>1.534</v>
      </c>
      <c r="P2156" s="10">
        <f t="shared" si="2407"/>
        <v>1.534</v>
      </c>
      <c r="Q2156" s="10" t="str">
        <f t="shared" si="2408"/>
        <v>NA</v>
      </c>
      <c r="R2156" s="10" t="s">
        <v>1575</v>
      </c>
      <c r="S2156" s="10" t="s">
        <v>1575</v>
      </c>
      <c r="T2156" s="10" t="s">
        <v>1575</v>
      </c>
      <c r="U2156" s="10" t="s">
        <v>1575</v>
      </c>
      <c r="V2156" s="10" t="s">
        <v>1575</v>
      </c>
      <c r="W2156" s="10" t="s">
        <v>1575</v>
      </c>
      <c r="X2156" s="10" t="str">
        <f t="shared" si="2410"/>
        <v>NA</v>
      </c>
      <c r="Y2156" s="10" t="str">
        <f t="shared" si="2411"/>
        <v>NA</v>
      </c>
      <c r="Z2156" s="10" t="str">
        <f t="shared" si="2412"/>
        <v>NA</v>
      </c>
      <c r="AA2156" s="10" t="str">
        <f t="shared" si="2413"/>
        <v>NA</v>
      </c>
      <c r="AB2156" s="10" t="str">
        <f t="shared" si="2414"/>
        <v>NA</v>
      </c>
      <c r="AC2156" s="10" t="str">
        <f t="shared" si="2415"/>
        <v>NA</v>
      </c>
      <c r="AD2156" s="10" t="str">
        <f t="shared" si="2416"/>
        <v>NA</v>
      </c>
      <c r="AE2156" s="10" t="str">
        <f t="shared" si="2417"/>
        <v>NA</v>
      </c>
      <c r="AF2156" s="1" t="s">
        <v>1496</v>
      </c>
    </row>
    <row r="2157" spans="1:32" x14ac:dyDescent="0.2">
      <c r="A2157" s="1" t="s">
        <v>6327</v>
      </c>
      <c r="B2157" s="1" t="s">
        <v>5</v>
      </c>
      <c r="C2157" s="1" t="s">
        <v>1575</v>
      </c>
      <c r="D2157" s="1" t="s">
        <v>1601</v>
      </c>
      <c r="E2157" s="1" t="s">
        <v>1612</v>
      </c>
      <c r="F2157" s="1" t="s">
        <v>1485</v>
      </c>
      <c r="G2157" s="4">
        <v>0.69999199999999995</v>
      </c>
      <c r="H2157" s="28">
        <v>43830</v>
      </c>
      <c r="I2157" s="29">
        <f t="shared" si="2409"/>
        <v>2019</v>
      </c>
      <c r="J2157" s="1" t="s">
        <v>6326</v>
      </c>
      <c r="K2157" s="1" t="s">
        <v>7</v>
      </c>
      <c r="L2157" s="11" t="str">
        <f t="shared" si="2406"/>
        <v>НЕТ</v>
      </c>
      <c r="M2157" s="10">
        <v>0</v>
      </c>
      <c r="N2157" s="10">
        <v>0</v>
      </c>
      <c r="O2157" s="10">
        <v>0.903003</v>
      </c>
      <c r="P2157" s="10">
        <f t="shared" si="2407"/>
        <v>1.2900190287889006</v>
      </c>
      <c r="Q2157" s="10" t="str">
        <f t="shared" si="2408"/>
        <v>NA</v>
      </c>
      <c r="R2157" s="10" t="s">
        <v>1575</v>
      </c>
      <c r="S2157" s="10" t="s">
        <v>1575</v>
      </c>
      <c r="T2157" s="10" t="s">
        <v>1575</v>
      </c>
      <c r="U2157" s="10" t="s">
        <v>1575</v>
      </c>
      <c r="V2157" s="10" t="s">
        <v>1575</v>
      </c>
      <c r="W2157" s="10" t="s">
        <v>1575</v>
      </c>
      <c r="X2157" s="10" t="str">
        <f t="shared" si="2410"/>
        <v>NA</v>
      </c>
      <c r="Y2157" s="10" t="str">
        <f t="shared" si="2411"/>
        <v>NA</v>
      </c>
      <c r="Z2157" s="10" t="str">
        <f t="shared" si="2412"/>
        <v>NA</v>
      </c>
      <c r="AA2157" s="10" t="str">
        <f t="shared" si="2413"/>
        <v>NA</v>
      </c>
      <c r="AB2157" s="10" t="str">
        <f t="shared" si="2414"/>
        <v>NA</v>
      </c>
      <c r="AC2157" s="10" t="str">
        <f t="shared" si="2415"/>
        <v>NA</v>
      </c>
      <c r="AD2157" s="10" t="str">
        <f t="shared" si="2416"/>
        <v>NA</v>
      </c>
      <c r="AE2157" s="10" t="str">
        <f t="shared" si="2417"/>
        <v>NA</v>
      </c>
      <c r="AF2157" s="1" t="s">
        <v>1497</v>
      </c>
    </row>
    <row r="2158" spans="1:32" x14ac:dyDescent="0.2">
      <c r="A2158" s="1" t="s">
        <v>6328</v>
      </c>
      <c r="B2158" s="1" t="s">
        <v>5</v>
      </c>
      <c r="C2158" s="1" t="s">
        <v>1629</v>
      </c>
      <c r="D2158" s="1" t="s">
        <v>1601</v>
      </c>
      <c r="E2158" s="1" t="s">
        <v>1612</v>
      </c>
      <c r="F2158" s="1" t="s">
        <v>1485</v>
      </c>
      <c r="G2158" s="4">
        <f>93.44%-92.78%</f>
        <v>6.6000000000000503E-3</v>
      </c>
      <c r="H2158" s="28">
        <v>43830</v>
      </c>
      <c r="I2158" s="29">
        <f t="shared" si="2409"/>
        <v>2019</v>
      </c>
      <c r="J2158" s="1" t="s">
        <v>6322</v>
      </c>
      <c r="K2158" s="1" t="s">
        <v>7</v>
      </c>
      <c r="L2158" s="11" t="str">
        <f t="shared" si="2406"/>
        <v>НЕТ</v>
      </c>
      <c r="M2158" s="10">
        <v>0</v>
      </c>
      <c r="N2158" s="10">
        <v>0</v>
      </c>
      <c r="O2158" s="10">
        <v>3.0859999999999999</v>
      </c>
      <c r="P2158" s="10">
        <f t="shared" si="2407"/>
        <v>467.57575757575398</v>
      </c>
      <c r="Q2158" s="10">
        <f t="shared" si="2408"/>
        <v>491.73875757575399</v>
      </c>
      <c r="R2158" s="10">
        <v>51.076999999999998</v>
      </c>
      <c r="S2158" s="10">
        <v>10.005000000000001</v>
      </c>
      <c r="T2158" s="10">
        <v>6.0570000000000004</v>
      </c>
      <c r="U2158" s="10">
        <v>3.0209999999999999</v>
      </c>
      <c r="V2158" s="10">
        <v>34.662999999999997</v>
      </c>
      <c r="W2158" s="10">
        <v>24.162999999999997</v>
      </c>
      <c r="X2158" s="10">
        <f t="shared" si="2410"/>
        <v>58.825999999999993</v>
      </c>
      <c r="Y2158" s="10">
        <f t="shared" si="2411"/>
        <v>9.1543308646896637</v>
      </c>
      <c r="Z2158" s="10">
        <f t="shared" si="2412"/>
        <v>154.77515974040185</v>
      </c>
      <c r="AA2158" s="10">
        <f t="shared" si="2413"/>
        <v>13.489188978904135</v>
      </c>
      <c r="AB2158" s="10">
        <f t="shared" si="2414"/>
        <v>9.6274009353672696</v>
      </c>
      <c r="AC2158" s="10">
        <f t="shared" si="2415"/>
        <v>49.149301107021884</v>
      </c>
      <c r="AD2158" s="10">
        <f t="shared" si="2416"/>
        <v>81.185200194114898</v>
      </c>
      <c r="AE2158" s="10">
        <f t="shared" si="2417"/>
        <v>8.3592077920605519</v>
      </c>
      <c r="AF2158" s="1" t="s">
        <v>1498</v>
      </c>
    </row>
    <row r="2159" spans="1:32" x14ac:dyDescent="0.2">
      <c r="A2159" s="1" t="s">
        <v>6323</v>
      </c>
      <c r="B2159" s="1" t="s">
        <v>5</v>
      </c>
      <c r="C2159" s="1" t="s">
        <v>1625</v>
      </c>
      <c r="D2159" s="1" t="s">
        <v>1601</v>
      </c>
      <c r="E2159" s="1" t="s">
        <v>1612</v>
      </c>
      <c r="F2159" s="1" t="s">
        <v>1485</v>
      </c>
      <c r="G2159" s="4">
        <f>98.77%-98.71%</f>
        <v>5.9999999999993392E-4</v>
      </c>
      <c r="H2159" s="28">
        <v>43830</v>
      </c>
      <c r="I2159" s="29">
        <f t="shared" si="2409"/>
        <v>2019</v>
      </c>
      <c r="J2159" s="1" t="s">
        <v>6322</v>
      </c>
      <c r="K2159" s="1" t="s">
        <v>7</v>
      </c>
      <c r="L2159" s="11" t="str">
        <f t="shared" si="2406"/>
        <v>НЕТ</v>
      </c>
      <c r="M2159" s="10">
        <v>0</v>
      </c>
      <c r="N2159" s="10">
        <v>0</v>
      </c>
      <c r="O2159" s="10">
        <v>0.66100000000000003</v>
      </c>
      <c r="P2159" s="10">
        <f t="shared" si="2407"/>
        <v>1101.6666666667882</v>
      </c>
      <c r="Q2159" s="10">
        <f t="shared" si="2408"/>
        <v>1112.4026666667883</v>
      </c>
      <c r="R2159" s="10">
        <v>21.274000000000001</v>
      </c>
      <c r="S2159" s="10">
        <v>-17.247</v>
      </c>
      <c r="T2159" s="10">
        <v>-18.942</v>
      </c>
      <c r="U2159" s="10">
        <v>-17.48</v>
      </c>
      <c r="V2159" s="10">
        <v>-17.138999999999999</v>
      </c>
      <c r="W2159" s="10">
        <v>10.735999999999997</v>
      </c>
      <c r="X2159" s="10">
        <f t="shared" si="2410"/>
        <v>-6.4030000000000022</v>
      </c>
      <c r="Y2159" s="10">
        <f t="shared" si="2411"/>
        <v>51.784651060768454</v>
      </c>
      <c r="Z2159" s="10">
        <f t="shared" si="2412"/>
        <v>-63.024408848214421</v>
      </c>
      <c r="AA2159" s="10">
        <f t="shared" si="2413"/>
        <v>-64.278351517987531</v>
      </c>
      <c r="AB2159" s="10">
        <f t="shared" si="2414"/>
        <v>52.289304628503722</v>
      </c>
      <c r="AC2159" s="10">
        <f t="shared" si="2415"/>
        <v>-64.498328211676707</v>
      </c>
      <c r="AD2159" s="10">
        <f t="shared" si="2416"/>
        <v>-58.726779995079099</v>
      </c>
      <c r="AE2159" s="10">
        <f t="shared" si="2417"/>
        <v>-173.731480035419</v>
      </c>
      <c r="AF2159" s="1" t="s">
        <v>1499</v>
      </c>
    </row>
    <row r="2160" spans="1:32" x14ac:dyDescent="0.2">
      <c r="A2160" s="1" t="s">
        <v>6324</v>
      </c>
      <c r="B2160" s="1" t="s">
        <v>5</v>
      </c>
      <c r="C2160" s="1" t="s">
        <v>1575</v>
      </c>
      <c r="D2160" s="1" t="s">
        <v>1601</v>
      </c>
      <c r="E2160" s="1" t="s">
        <v>1612</v>
      </c>
      <c r="F2160" s="1" t="s">
        <v>1485</v>
      </c>
      <c r="G2160" s="4">
        <f>73.65%-71.73%</f>
        <v>1.9199999999999995E-2</v>
      </c>
      <c r="H2160" s="28">
        <v>43830</v>
      </c>
      <c r="I2160" s="29">
        <f t="shared" si="2409"/>
        <v>2019</v>
      </c>
      <c r="J2160" s="1" t="s">
        <v>6322</v>
      </c>
      <c r="K2160" s="1" t="s">
        <v>7</v>
      </c>
      <c r="L2160" s="11" t="str">
        <f t="shared" si="2406"/>
        <v>НЕТ</v>
      </c>
      <c r="M2160" s="10">
        <v>0</v>
      </c>
      <c r="N2160" s="10">
        <v>0</v>
      </c>
      <c r="O2160" s="10">
        <v>0.14000000000000001</v>
      </c>
      <c r="P2160" s="10">
        <f t="shared" si="2407"/>
        <v>7.2916666666666696</v>
      </c>
      <c r="Q2160" s="10" t="str">
        <f t="shared" si="2408"/>
        <v>NA</v>
      </c>
      <c r="R2160" s="10" t="s">
        <v>1575</v>
      </c>
      <c r="S2160" s="10" t="s">
        <v>1575</v>
      </c>
      <c r="T2160" s="10" t="s">
        <v>1575</v>
      </c>
      <c r="U2160" s="10" t="s">
        <v>1575</v>
      </c>
      <c r="V2160" s="10" t="s">
        <v>1575</v>
      </c>
      <c r="W2160" s="10" t="s">
        <v>1575</v>
      </c>
      <c r="X2160" s="10" t="str">
        <f t="shared" si="2410"/>
        <v>NA</v>
      </c>
      <c r="Y2160" s="10" t="str">
        <f t="shared" si="2411"/>
        <v>NA</v>
      </c>
      <c r="Z2160" s="10" t="str">
        <f t="shared" si="2412"/>
        <v>NA</v>
      </c>
      <c r="AA2160" s="10" t="str">
        <f t="shared" si="2413"/>
        <v>NA</v>
      </c>
      <c r="AB2160" s="10" t="str">
        <f t="shared" si="2414"/>
        <v>NA</v>
      </c>
      <c r="AC2160" s="10" t="str">
        <f t="shared" si="2415"/>
        <v>NA</v>
      </c>
      <c r="AD2160" s="10" t="str">
        <f t="shared" si="2416"/>
        <v>NA</v>
      </c>
      <c r="AE2160" s="10" t="str">
        <f t="shared" si="2417"/>
        <v>NA</v>
      </c>
      <c r="AF2160" s="1" t="s">
        <v>1501</v>
      </c>
    </row>
    <row r="2161" spans="1:32" x14ac:dyDescent="0.2">
      <c r="A2161" s="1" t="s">
        <v>6318</v>
      </c>
      <c r="B2161" s="1" t="s">
        <v>5</v>
      </c>
      <c r="C2161" s="1" t="s">
        <v>1627</v>
      </c>
      <c r="D2161" s="1" t="s">
        <v>1601</v>
      </c>
      <c r="E2161" s="1" t="s">
        <v>1612</v>
      </c>
      <c r="F2161" s="1" t="s">
        <v>1485</v>
      </c>
      <c r="G2161" s="4">
        <f>84.12%-65.12%</f>
        <v>0.19000000000000006</v>
      </c>
      <c r="H2161" s="28">
        <v>43830</v>
      </c>
      <c r="I2161" s="29">
        <f t="shared" si="2409"/>
        <v>2019</v>
      </c>
      <c r="J2161" s="1" t="s">
        <v>6322</v>
      </c>
      <c r="K2161" s="1" t="s">
        <v>7</v>
      </c>
      <c r="L2161" s="11" t="str">
        <f t="shared" si="2406"/>
        <v>НЕТ</v>
      </c>
      <c r="M2161" s="10">
        <v>0</v>
      </c>
      <c r="N2161" s="10">
        <v>0</v>
      </c>
      <c r="O2161" s="10">
        <v>8.26</v>
      </c>
      <c r="P2161" s="10">
        <f t="shared" si="2407"/>
        <v>43.473684210526301</v>
      </c>
      <c r="Q2161" s="10">
        <f t="shared" si="2408"/>
        <v>62.012684210526302</v>
      </c>
      <c r="R2161" s="10">
        <v>38.017000000000003</v>
      </c>
      <c r="S2161" s="10">
        <v>0.45599999999999952</v>
      </c>
      <c r="T2161" s="10">
        <v>-1.8360000000000003</v>
      </c>
      <c r="U2161" s="10">
        <v>-3.2639999999999998</v>
      </c>
      <c r="V2161" s="10">
        <v>4.0490000000000013</v>
      </c>
      <c r="W2161" s="10">
        <v>18.539000000000001</v>
      </c>
      <c r="X2161" s="10">
        <f t="shared" si="2410"/>
        <v>22.588000000000001</v>
      </c>
      <c r="Y2161" s="10">
        <f t="shared" si="2411"/>
        <v>1.1435327408929241</v>
      </c>
      <c r="Z2161" s="10">
        <f t="shared" si="2412"/>
        <v>-13.319143446852422</v>
      </c>
      <c r="AA2161" s="10">
        <f t="shared" si="2413"/>
        <v>10.736894099907703</v>
      </c>
      <c r="AB2161" s="10">
        <f t="shared" si="2414"/>
        <v>1.6311830026179419</v>
      </c>
      <c r="AC2161" s="10">
        <f t="shared" si="2415"/>
        <v>135.99272853185607</v>
      </c>
      <c r="AD2161" s="10">
        <f t="shared" si="2416"/>
        <v>-33.775971792225647</v>
      </c>
      <c r="AE2161" s="10">
        <f t="shared" si="2417"/>
        <v>2.7453818049639764</v>
      </c>
      <c r="AF2161" s="1" t="s">
        <v>1502</v>
      </c>
    </row>
    <row r="2162" spans="1:32" x14ac:dyDescent="0.2">
      <c r="A2162" s="1" t="s">
        <v>6322</v>
      </c>
      <c r="B2162" s="1" t="s">
        <v>5</v>
      </c>
      <c r="C2162" s="1" t="s">
        <v>1626</v>
      </c>
      <c r="D2162" s="1" t="s">
        <v>1601</v>
      </c>
      <c r="E2162" s="1" t="s">
        <v>1612</v>
      </c>
      <c r="F2162" s="1" t="s">
        <v>1485</v>
      </c>
      <c r="G2162" s="4">
        <f>1080646965/(198827865141+2075149384)</f>
        <v>5.3789484819578267E-3</v>
      </c>
      <c r="H2162" s="28">
        <v>43465</v>
      </c>
      <c r="I2162" s="29">
        <f t="shared" si="2409"/>
        <v>2018</v>
      </c>
      <c r="J2162" s="1" t="s">
        <v>6322</v>
      </c>
      <c r="K2162" s="1" t="s">
        <v>6329</v>
      </c>
      <c r="L2162" s="11" t="str">
        <f t="shared" si="2406"/>
        <v>ДА</v>
      </c>
      <c r="M2162" s="10">
        <v>0</v>
      </c>
      <c r="N2162" s="10">
        <v>0</v>
      </c>
      <c r="O2162" s="10">
        <v>0.9</v>
      </c>
      <c r="P2162" s="10">
        <f t="shared" si="2407"/>
        <v>167.31894774950857</v>
      </c>
      <c r="Q2162" s="10">
        <f t="shared" si="2408"/>
        <v>705.64294774950861</v>
      </c>
      <c r="R2162" s="10">
        <v>1021.602</v>
      </c>
      <c r="S2162" s="10">
        <v>291.81799999999998</v>
      </c>
      <c r="T2162" s="10">
        <v>175.69399999999999</v>
      </c>
      <c r="U2162" s="10">
        <v>124.678</v>
      </c>
      <c r="V2162" s="10">
        <v>1494.962</v>
      </c>
      <c r="W2162" s="10">
        <v>538.32400000000007</v>
      </c>
      <c r="X2162" s="10">
        <f t="shared" si="2410"/>
        <v>2033.2860000000001</v>
      </c>
      <c r="Y2162" s="10">
        <f t="shared" si="2411"/>
        <v>0.16378095163234663</v>
      </c>
      <c r="Z2162" s="10">
        <f t="shared" si="2412"/>
        <v>1.3420085961397246</v>
      </c>
      <c r="AA2162" s="10">
        <f t="shared" si="2413"/>
        <v>0.11192187343190567</v>
      </c>
      <c r="AB2162" s="10">
        <f t="shared" si="2414"/>
        <v>0.69072197171648908</v>
      </c>
      <c r="AC2162" s="10">
        <f t="shared" si="2415"/>
        <v>2.4180926048067928</v>
      </c>
      <c r="AD2162" s="10">
        <f t="shared" si="2416"/>
        <v>4.0163178466510443</v>
      </c>
      <c r="AE2162" s="10">
        <f t="shared" si="2417"/>
        <v>0.34704559405293134</v>
      </c>
      <c r="AF2162" s="1" t="s">
        <v>1503</v>
      </c>
    </row>
    <row r="2163" spans="1:32" x14ac:dyDescent="0.2">
      <c r="A2163" s="1" t="s">
        <v>6324</v>
      </c>
      <c r="B2163" s="1" t="s">
        <v>5</v>
      </c>
      <c r="C2163" s="1" t="s">
        <v>1575</v>
      </c>
      <c r="D2163" s="1" t="s">
        <v>1601</v>
      </c>
      <c r="E2163" s="1" t="s">
        <v>1612</v>
      </c>
      <c r="F2163" s="1" t="s">
        <v>1485</v>
      </c>
      <c r="G2163" s="4" t="s">
        <v>1575</v>
      </c>
      <c r="H2163" s="28">
        <v>43465</v>
      </c>
      <c r="I2163" s="29">
        <f t="shared" si="2409"/>
        <v>2018</v>
      </c>
      <c r="J2163" s="1" t="s">
        <v>6322</v>
      </c>
      <c r="K2163" s="1" t="s">
        <v>7</v>
      </c>
      <c r="L2163" s="11" t="str">
        <f t="shared" ref="L2163:L2226" si="2418">IF(OR(A2163=J2163,A2163=K2163),"ДА","НЕТ")</f>
        <v>НЕТ</v>
      </c>
      <c r="M2163" s="10">
        <v>0</v>
      </c>
      <c r="N2163" s="10">
        <v>0</v>
      </c>
      <c r="O2163" s="10">
        <f>1.030515558*1</f>
        <v>1.0305155580000001</v>
      </c>
      <c r="P2163" s="10" t="str">
        <f t="shared" si="2407"/>
        <v>NA</v>
      </c>
      <c r="Q2163" s="10" t="str">
        <f t="shared" si="2408"/>
        <v>NA</v>
      </c>
      <c r="R2163" s="10" t="s">
        <v>1575</v>
      </c>
      <c r="S2163" s="10" t="s">
        <v>1575</v>
      </c>
      <c r="T2163" s="10" t="s">
        <v>1575</v>
      </c>
      <c r="U2163" s="10" t="s">
        <v>1575</v>
      </c>
      <c r="V2163" s="10" t="s">
        <v>1575</v>
      </c>
      <c r="W2163" s="10" t="s">
        <v>1575</v>
      </c>
      <c r="X2163" s="10" t="str">
        <f t="shared" si="2410"/>
        <v>NA</v>
      </c>
      <c r="Y2163" s="10" t="str">
        <f t="shared" si="2411"/>
        <v>NA</v>
      </c>
      <c r="Z2163" s="10" t="str">
        <f t="shared" si="2412"/>
        <v>NA</v>
      </c>
      <c r="AA2163" s="10" t="str">
        <f t="shared" si="2413"/>
        <v>NA</v>
      </c>
      <c r="AB2163" s="10" t="str">
        <f t="shared" si="2414"/>
        <v>NA</v>
      </c>
      <c r="AC2163" s="10" t="str">
        <f t="shared" si="2415"/>
        <v>NA</v>
      </c>
      <c r="AD2163" s="10" t="str">
        <f t="shared" si="2416"/>
        <v>NA</v>
      </c>
      <c r="AE2163" s="10" t="str">
        <f t="shared" si="2417"/>
        <v>NA</v>
      </c>
      <c r="AF2163" s="1" t="s">
        <v>1505</v>
      </c>
    </row>
    <row r="2164" spans="1:32" x14ac:dyDescent="0.2">
      <c r="A2164" s="1" t="s">
        <v>6323</v>
      </c>
      <c r="B2164" s="1" t="s">
        <v>5</v>
      </c>
      <c r="C2164" s="1" t="s">
        <v>1625</v>
      </c>
      <c r="D2164" s="1" t="s">
        <v>1601</v>
      </c>
      <c r="E2164" s="1" t="s">
        <v>1612</v>
      </c>
      <c r="F2164" s="1" t="s">
        <v>1485</v>
      </c>
      <c r="G2164" s="4">
        <f>98.71%-97.3%</f>
        <v>1.4100000000000001E-2</v>
      </c>
      <c r="H2164" s="28">
        <v>43465</v>
      </c>
      <c r="I2164" s="29">
        <f t="shared" si="2409"/>
        <v>2018</v>
      </c>
      <c r="J2164" s="1" t="s">
        <v>6322</v>
      </c>
      <c r="K2164" s="1" t="s">
        <v>7</v>
      </c>
      <c r="L2164" s="11" t="str">
        <f t="shared" si="2418"/>
        <v>НЕТ</v>
      </c>
      <c r="M2164" s="10">
        <v>0</v>
      </c>
      <c r="N2164" s="10">
        <v>0</v>
      </c>
      <c r="O2164" s="10">
        <f>0.462235043*17.45</f>
        <v>8.0660015003499996</v>
      </c>
      <c r="P2164" s="10">
        <f t="shared" si="2407"/>
        <v>572.05684399645384</v>
      </c>
      <c r="Q2164" s="10">
        <f t="shared" si="2408"/>
        <v>578.4428439964538</v>
      </c>
      <c r="R2164" s="10">
        <v>19.766999999999999</v>
      </c>
      <c r="S2164" s="10">
        <v>-5.2519999999999998</v>
      </c>
      <c r="T2164" s="10">
        <v>-6.6219999999999999</v>
      </c>
      <c r="U2164" s="10">
        <v>-7.9020000000000001</v>
      </c>
      <c r="V2164" s="10">
        <v>-0.81400000000000006</v>
      </c>
      <c r="W2164" s="10">
        <v>6.3860000000000001</v>
      </c>
      <c r="X2164" s="10">
        <f t="shared" si="2410"/>
        <v>5.5720000000000001</v>
      </c>
      <c r="Y2164" s="10">
        <f t="shared" si="2411"/>
        <v>28.939993119666809</v>
      </c>
      <c r="Z2164" s="10">
        <f t="shared" si="2412"/>
        <v>-72.393931156220432</v>
      </c>
      <c r="AA2164" s="10">
        <f t="shared" si="2413"/>
        <v>-702.77253562217913</v>
      </c>
      <c r="AB2164" s="10">
        <f t="shared" si="2414"/>
        <v>29.263056811678748</v>
      </c>
      <c r="AC2164" s="10">
        <f t="shared" si="2415"/>
        <v>-110.13763213946189</v>
      </c>
      <c r="AD2164" s="10">
        <f t="shared" si="2416"/>
        <v>-87.351682874728752</v>
      </c>
      <c r="AE2164" s="10">
        <f t="shared" si="2417"/>
        <v>103.81242713504196</v>
      </c>
      <c r="AF2164" s="1" t="s">
        <v>1504</v>
      </c>
    </row>
    <row r="2165" spans="1:32" x14ac:dyDescent="0.2">
      <c r="A2165" s="1" t="s">
        <v>6318</v>
      </c>
      <c r="B2165" s="1" t="s">
        <v>5</v>
      </c>
      <c r="C2165" s="1" t="s">
        <v>1627</v>
      </c>
      <c r="D2165" s="1" t="s">
        <v>1601</v>
      </c>
      <c r="E2165" s="1" t="s">
        <v>1612</v>
      </c>
      <c r="F2165" s="1" t="s">
        <v>1485</v>
      </c>
      <c r="G2165" s="4">
        <f>(65.12%-53.01%)*7860248600/(9927951400+7860248600)</f>
        <v>5.3511659721613203E-2</v>
      </c>
      <c r="H2165" s="28">
        <v>43100</v>
      </c>
      <c r="I2165" s="29">
        <f t="shared" si="2409"/>
        <v>2017</v>
      </c>
      <c r="J2165" s="1" t="s">
        <v>6322</v>
      </c>
      <c r="K2165" s="1" t="s">
        <v>7</v>
      </c>
      <c r="L2165" s="11" t="str">
        <f t="shared" si="2418"/>
        <v>НЕТ</v>
      </c>
      <c r="M2165" s="10">
        <v>0</v>
      </c>
      <c r="N2165" s="10">
        <v>0</v>
      </c>
      <c r="O2165" s="10">
        <f>7860248600*0.1/1000000000</f>
        <v>0.78602486000000005</v>
      </c>
      <c r="P2165" s="10">
        <f t="shared" si="2407"/>
        <v>14.688852188274154</v>
      </c>
      <c r="Q2165" s="10">
        <f t="shared" si="2408"/>
        <v>42.215852188274155</v>
      </c>
      <c r="R2165" s="10">
        <v>35.302999999999997</v>
      </c>
      <c r="S2165" s="10">
        <v>6.1639999999999997</v>
      </c>
      <c r="T2165" s="10">
        <v>4.0430000000000001</v>
      </c>
      <c r="U2165" s="10">
        <v>0.755</v>
      </c>
      <c r="V2165" s="10">
        <v>-0.57800000000000029</v>
      </c>
      <c r="W2165" s="10">
        <v>27.526999999999997</v>
      </c>
      <c r="X2165" s="10">
        <f t="shared" si="2410"/>
        <v>26.948999999999998</v>
      </c>
      <c r="Y2165" s="10">
        <f t="shared" si="2411"/>
        <v>0.41607943201071168</v>
      </c>
      <c r="Z2165" s="10">
        <f t="shared" si="2412"/>
        <v>19.455433361952522</v>
      </c>
      <c r="AA2165" s="10">
        <f t="shared" si="2413"/>
        <v>-25.413239080059078</v>
      </c>
      <c r="AB2165" s="10">
        <f t="shared" si="2414"/>
        <v>1.1958148652600107</v>
      </c>
      <c r="AC2165" s="10">
        <f t="shared" si="2415"/>
        <v>6.8487755010178715</v>
      </c>
      <c r="AD2165" s="10">
        <f t="shared" si="2416"/>
        <v>10.441714614957743</v>
      </c>
      <c r="AE2165" s="10">
        <f t="shared" si="2417"/>
        <v>1.5665090425720494</v>
      </c>
      <c r="AF2165" s="1" t="s">
        <v>1508</v>
      </c>
    </row>
    <row r="2166" spans="1:32" x14ac:dyDescent="0.2">
      <c r="A2166" s="1" t="s">
        <v>6328</v>
      </c>
      <c r="B2166" s="1" t="s">
        <v>5</v>
      </c>
      <c r="C2166" s="1" t="s">
        <v>1629</v>
      </c>
      <c r="D2166" s="1" t="s">
        <v>1601</v>
      </c>
      <c r="E2166" s="1" t="s">
        <v>1612</v>
      </c>
      <c r="F2166" s="1" t="s">
        <v>1485</v>
      </c>
      <c r="G2166" s="4">
        <f>92.78%-92.24%</f>
        <v>5.3999999999999604E-3</v>
      </c>
      <c r="H2166" s="28">
        <v>43100</v>
      </c>
      <c r="I2166" s="29">
        <f t="shared" si="2409"/>
        <v>2017</v>
      </c>
      <c r="J2166" s="1" t="s">
        <v>6322</v>
      </c>
      <c r="K2166" s="1" t="s">
        <v>7</v>
      </c>
      <c r="L2166" s="11" t="str">
        <f t="shared" si="2418"/>
        <v>НЕТ</v>
      </c>
      <c r="M2166" s="10">
        <v>0</v>
      </c>
      <c r="N2166" s="10">
        <v>0</v>
      </c>
      <c r="O2166" s="10">
        <f>20925205*100/10^9</f>
        <v>2.0925205</v>
      </c>
      <c r="P2166" s="10">
        <f t="shared" si="2407"/>
        <v>387.50379629629913</v>
      </c>
      <c r="Q2166" s="10">
        <f t="shared" si="2408"/>
        <v>410.16879629629915</v>
      </c>
      <c r="R2166" s="10">
        <v>42.305</v>
      </c>
      <c r="S2166" s="10">
        <v>7.04</v>
      </c>
      <c r="T2166" s="10">
        <v>3.8650000000000002</v>
      </c>
      <c r="U2166" s="10">
        <v>0.71699999999999997</v>
      </c>
      <c r="V2166" s="10">
        <v>28.405999999999995</v>
      </c>
      <c r="W2166" s="10">
        <v>22.664999999999999</v>
      </c>
      <c r="X2166" s="10">
        <f t="shared" si="2410"/>
        <v>51.070999999999998</v>
      </c>
      <c r="Y2166" s="10">
        <f t="shared" si="2411"/>
        <v>9.1597635337737646</v>
      </c>
      <c r="Z2166" s="10">
        <f t="shared" si="2412"/>
        <v>540.45159873960824</v>
      </c>
      <c r="AA2166" s="10">
        <f t="shared" si="2413"/>
        <v>13.641617837650468</v>
      </c>
      <c r="AB2166" s="10">
        <f t="shared" si="2414"/>
        <v>9.6955158089185467</v>
      </c>
      <c r="AC2166" s="10">
        <f t="shared" si="2415"/>
        <v>58.262613110269768</v>
      </c>
      <c r="AD2166" s="10">
        <f t="shared" si="2416"/>
        <v>106.12388002491569</v>
      </c>
      <c r="AE2166" s="10">
        <f t="shared" si="2417"/>
        <v>8.0313445261753085</v>
      </c>
      <c r="AF2166" s="1" t="s">
        <v>1509</v>
      </c>
    </row>
    <row r="2167" spans="1:32" x14ac:dyDescent="0.2">
      <c r="A2167" s="1" t="s">
        <v>6324</v>
      </c>
      <c r="B2167" s="1" t="s">
        <v>5</v>
      </c>
      <c r="C2167" s="1" t="s">
        <v>1575</v>
      </c>
      <c r="D2167" s="1" t="s">
        <v>1601</v>
      </c>
      <c r="E2167" s="1" t="s">
        <v>1612</v>
      </c>
      <c r="F2167" s="1" t="s">
        <v>1485</v>
      </c>
      <c r="G2167" s="4">
        <f>77.64%-72.66%</f>
        <v>4.9800000000000066E-2</v>
      </c>
      <c r="H2167" s="28">
        <v>43100</v>
      </c>
      <c r="I2167" s="29">
        <f t="shared" si="2409"/>
        <v>2017</v>
      </c>
      <c r="J2167" s="1" t="s">
        <v>6322</v>
      </c>
      <c r="K2167" s="1" t="s">
        <v>7</v>
      </c>
      <c r="L2167" s="11" t="str">
        <f t="shared" si="2418"/>
        <v>НЕТ</v>
      </c>
      <c r="M2167" s="10">
        <v>0</v>
      </c>
      <c r="N2167" s="10">
        <v>0</v>
      </c>
      <c r="O2167" s="10">
        <f>1310260884*1/10^9</f>
        <v>1.3102608840000001</v>
      </c>
      <c r="P2167" s="10">
        <f t="shared" si="2407"/>
        <v>26.310459518072257</v>
      </c>
      <c r="Q2167" s="10" t="str">
        <f t="shared" si="2408"/>
        <v>NA</v>
      </c>
      <c r="R2167" s="10" t="s">
        <v>1575</v>
      </c>
      <c r="S2167" s="10" t="s">
        <v>1575</v>
      </c>
      <c r="T2167" s="10" t="s">
        <v>1575</v>
      </c>
      <c r="U2167" s="10" t="s">
        <v>1575</v>
      </c>
      <c r="V2167" s="10" t="s">
        <v>1575</v>
      </c>
      <c r="W2167" s="10" t="s">
        <v>1575</v>
      </c>
      <c r="X2167" s="10" t="str">
        <f t="shared" si="2410"/>
        <v>NA</v>
      </c>
      <c r="Y2167" s="10" t="str">
        <f t="shared" si="2411"/>
        <v>NA</v>
      </c>
      <c r="Z2167" s="10" t="str">
        <f t="shared" si="2412"/>
        <v>NA</v>
      </c>
      <c r="AA2167" s="10" t="str">
        <f t="shared" si="2413"/>
        <v>NA</v>
      </c>
      <c r="AB2167" s="10" t="str">
        <f t="shared" si="2414"/>
        <v>NA</v>
      </c>
      <c r="AC2167" s="10" t="str">
        <f t="shared" si="2415"/>
        <v>NA</v>
      </c>
      <c r="AD2167" s="10" t="str">
        <f t="shared" si="2416"/>
        <v>NA</v>
      </c>
      <c r="AE2167" s="10" t="str">
        <f t="shared" si="2417"/>
        <v>NA</v>
      </c>
      <c r="AF2167" s="1" t="s">
        <v>1510</v>
      </c>
    </row>
    <row r="2168" spans="1:32" x14ac:dyDescent="0.2">
      <c r="A2168" s="1" t="s">
        <v>6330</v>
      </c>
      <c r="B2168" s="1" t="s">
        <v>5</v>
      </c>
      <c r="C2168" s="1" t="s">
        <v>1628</v>
      </c>
      <c r="D2168" s="1" t="s">
        <v>1601</v>
      </c>
      <c r="E2168" s="1" t="s">
        <v>1612</v>
      </c>
      <c r="F2168" s="1" t="s">
        <v>1485</v>
      </c>
      <c r="G2168" s="4" t="s">
        <v>1575</v>
      </c>
      <c r="H2168" s="28">
        <v>43100</v>
      </c>
      <c r="I2168" s="29">
        <f t="shared" si="2409"/>
        <v>2017</v>
      </c>
      <c r="J2168" s="1" t="s">
        <v>6330</v>
      </c>
      <c r="K2168" s="1" t="s">
        <v>7</v>
      </c>
      <c r="L2168" s="11" t="str">
        <f t="shared" si="2418"/>
        <v>ДА</v>
      </c>
      <c r="M2168" s="10">
        <v>0</v>
      </c>
      <c r="N2168" s="10">
        <v>0</v>
      </c>
      <c r="O2168" s="10">
        <f>140042413*0.1/10^9</f>
        <v>1.4004241300000001E-2</v>
      </c>
      <c r="P2168" s="10" t="str">
        <f t="shared" si="2407"/>
        <v>NA</v>
      </c>
      <c r="Q2168" s="10" t="str">
        <f t="shared" si="2408"/>
        <v>NA</v>
      </c>
      <c r="R2168" s="10">
        <v>59.25</v>
      </c>
      <c r="S2168" s="10">
        <v>11.996</v>
      </c>
      <c r="T2168" s="10">
        <v>7.5720000000000001</v>
      </c>
      <c r="U2168" s="10">
        <v>5.59</v>
      </c>
      <c r="V2168" s="10">
        <v>35.840000000000003</v>
      </c>
      <c r="W2168" s="10">
        <v>5.6790000000000003</v>
      </c>
      <c r="X2168" s="10">
        <f t="shared" si="2410"/>
        <v>41.519000000000005</v>
      </c>
      <c r="Y2168" s="10" t="str">
        <f t="shared" si="2411"/>
        <v>NA</v>
      </c>
      <c r="Z2168" s="10" t="str">
        <f t="shared" si="2412"/>
        <v>NA</v>
      </c>
      <c r="AA2168" s="10" t="str">
        <f t="shared" si="2413"/>
        <v>NA</v>
      </c>
      <c r="AB2168" s="10" t="str">
        <f t="shared" si="2414"/>
        <v>NA</v>
      </c>
      <c r="AC2168" s="10" t="str">
        <f t="shared" si="2415"/>
        <v>NA</v>
      </c>
      <c r="AD2168" s="10" t="str">
        <f t="shared" si="2416"/>
        <v>NA</v>
      </c>
      <c r="AE2168" s="10" t="str">
        <f t="shared" si="2417"/>
        <v>NA</v>
      </c>
      <c r="AF2168" s="1" t="s">
        <v>1513</v>
      </c>
    </row>
    <row r="2169" spans="1:32" x14ac:dyDescent="0.2">
      <c r="A2169" s="1" t="s">
        <v>6323</v>
      </c>
      <c r="B2169" s="1" t="s">
        <v>5</v>
      </c>
      <c r="C2169" s="1" t="s">
        <v>1625</v>
      </c>
      <c r="D2169" s="1" t="s">
        <v>1601</v>
      </c>
      <c r="E2169" s="1" t="s">
        <v>1612</v>
      </c>
      <c r="F2169" s="1" t="s">
        <v>1485</v>
      </c>
      <c r="G2169" s="4" t="s">
        <v>1575</v>
      </c>
      <c r="H2169" s="28">
        <v>43100</v>
      </c>
      <c r="I2169" s="29">
        <f t="shared" si="2409"/>
        <v>2017</v>
      </c>
      <c r="J2169" s="1" t="s">
        <v>6322</v>
      </c>
      <c r="K2169" s="1" t="s">
        <v>7</v>
      </c>
      <c r="L2169" s="11" t="str">
        <f t="shared" si="2418"/>
        <v>НЕТ</v>
      </c>
      <c r="M2169" s="10">
        <v>0</v>
      </c>
      <c r="N2169" s="10">
        <v>0</v>
      </c>
      <c r="O2169" s="10">
        <f>234654020 *17.45/10^9</f>
        <v>4.0947126489999999</v>
      </c>
      <c r="P2169" s="10" t="str">
        <f t="shared" si="2407"/>
        <v>NA</v>
      </c>
      <c r="Q2169" s="10" t="str">
        <f t="shared" si="2408"/>
        <v>NA</v>
      </c>
      <c r="R2169" s="10">
        <v>18.396999999999998</v>
      </c>
      <c r="S2169" s="10">
        <v>-4.9749999999999996</v>
      </c>
      <c r="T2169" s="10">
        <v>-6.4909999999999997</v>
      </c>
      <c r="U2169" s="10">
        <v>-6.2140000000000004</v>
      </c>
      <c r="V2169" s="10">
        <v>-1.048</v>
      </c>
      <c r="W2169" s="10">
        <v>12.840999999999999</v>
      </c>
      <c r="X2169" s="10">
        <f t="shared" si="2410"/>
        <v>11.792999999999999</v>
      </c>
      <c r="Y2169" s="10" t="str">
        <f t="shared" si="2411"/>
        <v>NA</v>
      </c>
      <c r="Z2169" s="10" t="str">
        <f t="shared" si="2412"/>
        <v>NA</v>
      </c>
      <c r="AA2169" s="10" t="str">
        <f t="shared" si="2413"/>
        <v>NA</v>
      </c>
      <c r="AB2169" s="10" t="str">
        <f t="shared" si="2414"/>
        <v>NA</v>
      </c>
      <c r="AC2169" s="10" t="str">
        <f t="shared" si="2415"/>
        <v>NA</v>
      </c>
      <c r="AD2169" s="10" t="str">
        <f t="shared" si="2416"/>
        <v>NA</v>
      </c>
      <c r="AE2169" s="10" t="str">
        <f t="shared" si="2417"/>
        <v>NA</v>
      </c>
      <c r="AF2169" s="1" t="s">
        <v>1512</v>
      </c>
    </row>
    <row r="2170" spans="1:32" x14ac:dyDescent="0.2">
      <c r="A2170" s="1" t="s">
        <v>6318</v>
      </c>
      <c r="B2170" s="1" t="s">
        <v>5</v>
      </c>
      <c r="C2170" s="1" t="s">
        <v>1627</v>
      </c>
      <c r="D2170" s="1" t="s">
        <v>1601</v>
      </c>
      <c r="E2170" s="1" t="s">
        <v>1612</v>
      </c>
      <c r="F2170" s="1" t="s">
        <v>1485</v>
      </c>
      <c r="G2170" s="4">
        <f>(65.12%-53.01%)*9927951400/(9927951400+7860248600)</f>
        <v>6.7588340278386796E-2</v>
      </c>
      <c r="H2170" s="28">
        <v>42794</v>
      </c>
      <c r="I2170" s="29">
        <f t="shared" si="2409"/>
        <v>2017</v>
      </c>
      <c r="J2170" s="1" t="s">
        <v>6322</v>
      </c>
      <c r="K2170" s="1" t="s">
        <v>7</v>
      </c>
      <c r="L2170" s="11" t="str">
        <f t="shared" si="2418"/>
        <v>НЕТ</v>
      </c>
      <c r="M2170" s="10">
        <v>0</v>
      </c>
      <c r="N2170" s="10">
        <v>0</v>
      </c>
      <c r="O2170" s="10">
        <v>0.99299999999999999</v>
      </c>
      <c r="P2170" s="10">
        <f t="shared" si="2407"/>
        <v>14.691883184436453</v>
      </c>
      <c r="Q2170" s="10">
        <f t="shared" si="2408"/>
        <v>38.664883184436448</v>
      </c>
      <c r="R2170" s="10">
        <v>31.564</v>
      </c>
      <c r="S2170" s="10">
        <v>4.07</v>
      </c>
      <c r="T2170" s="10">
        <v>1.869</v>
      </c>
      <c r="U2170" s="10">
        <v>-1.3460000000000001</v>
      </c>
      <c r="V2170" s="10">
        <v>-3.1050000000000004</v>
      </c>
      <c r="W2170" s="10">
        <v>23.972999999999995</v>
      </c>
      <c r="X2170" s="10">
        <f t="shared" si="2410"/>
        <v>20.867999999999995</v>
      </c>
      <c r="Y2170" s="10">
        <f t="shared" si="2411"/>
        <v>0.46546328679623789</v>
      </c>
      <c r="Z2170" s="10">
        <f t="shared" si="2412"/>
        <v>-10.915217819046397</v>
      </c>
      <c r="AA2170" s="10">
        <f t="shared" si="2413"/>
        <v>-4.7316854056156039</v>
      </c>
      <c r="AB2170" s="10">
        <f t="shared" si="2414"/>
        <v>1.2249677855923347</v>
      </c>
      <c r="AC2170" s="10">
        <f t="shared" si="2415"/>
        <v>9.499971298387333</v>
      </c>
      <c r="AD2170" s="10">
        <f t="shared" si="2416"/>
        <v>20.687470938703289</v>
      </c>
      <c r="AE2170" s="10">
        <f t="shared" si="2417"/>
        <v>1.8528312816003669</v>
      </c>
      <c r="AF2170" s="1" t="s">
        <v>1507</v>
      </c>
    </row>
    <row r="2171" spans="1:32" x14ac:dyDescent="0.2">
      <c r="A2171" s="1" t="s">
        <v>6318</v>
      </c>
      <c r="B2171" s="1" t="s">
        <v>5</v>
      </c>
      <c r="C2171" s="1" t="s">
        <v>1627</v>
      </c>
      <c r="D2171" s="1" t="s">
        <v>1601</v>
      </c>
      <c r="E2171" s="1" t="s">
        <v>1612</v>
      </c>
      <c r="F2171" s="1" t="s">
        <v>1485</v>
      </c>
      <c r="G2171" s="4" t="s">
        <v>1575</v>
      </c>
      <c r="H2171" s="28">
        <v>42735</v>
      </c>
      <c r="I2171" s="29">
        <f t="shared" si="2409"/>
        <v>2016</v>
      </c>
      <c r="J2171" s="1" t="s">
        <v>6322</v>
      </c>
      <c r="K2171" s="1" t="s">
        <v>7</v>
      </c>
      <c r="L2171" s="11" t="str">
        <f t="shared" si="2418"/>
        <v>НЕТ</v>
      </c>
      <c r="M2171" s="10">
        <v>0</v>
      </c>
      <c r="N2171" s="10">
        <v>0</v>
      </c>
      <c r="O2171" s="10">
        <f>1438276000*0.1/1000000000</f>
        <v>0.1438276</v>
      </c>
      <c r="P2171" s="10" t="str">
        <f t="shared" si="2407"/>
        <v>NA</v>
      </c>
      <c r="Q2171" s="10" t="str">
        <f t="shared" si="2408"/>
        <v>NA</v>
      </c>
      <c r="R2171" s="10">
        <v>31.564</v>
      </c>
      <c r="S2171" s="10">
        <v>4.07</v>
      </c>
      <c r="T2171" s="10">
        <v>1.869</v>
      </c>
      <c r="U2171" s="10">
        <v>-1.3460000000000001</v>
      </c>
      <c r="V2171" s="10">
        <v>-3.1050000000000004</v>
      </c>
      <c r="W2171" s="10">
        <v>23.972999999999995</v>
      </c>
      <c r="X2171" s="10">
        <f t="shared" si="2410"/>
        <v>20.867999999999995</v>
      </c>
      <c r="Y2171" s="10" t="str">
        <f t="shared" si="2411"/>
        <v>NA</v>
      </c>
      <c r="Z2171" s="10" t="str">
        <f t="shared" si="2412"/>
        <v>NA</v>
      </c>
      <c r="AA2171" s="10" t="str">
        <f t="shared" si="2413"/>
        <v>NA</v>
      </c>
      <c r="AB2171" s="10" t="str">
        <f t="shared" si="2414"/>
        <v>NA</v>
      </c>
      <c r="AC2171" s="10" t="str">
        <f t="shared" si="2415"/>
        <v>NA</v>
      </c>
      <c r="AD2171" s="10" t="str">
        <f t="shared" si="2416"/>
        <v>NA</v>
      </c>
      <c r="AE2171" s="10" t="str">
        <f t="shared" si="2417"/>
        <v>NA</v>
      </c>
      <c r="AF2171" s="1" t="s">
        <v>1506</v>
      </c>
    </row>
    <row r="2172" spans="1:32" x14ac:dyDescent="0.2">
      <c r="A2172" s="1" t="s">
        <v>6330</v>
      </c>
      <c r="B2172" s="1" t="s">
        <v>5</v>
      </c>
      <c r="C2172" s="1" t="s">
        <v>1628</v>
      </c>
      <c r="D2172" s="1" t="s">
        <v>1601</v>
      </c>
      <c r="E2172" s="1" t="s">
        <v>1612</v>
      </c>
      <c r="F2172" s="1" t="s">
        <v>1485</v>
      </c>
      <c r="G2172" s="4" t="s">
        <v>1575</v>
      </c>
      <c r="H2172" s="28">
        <v>42735</v>
      </c>
      <c r="I2172" s="29">
        <f t="shared" si="2409"/>
        <v>2016</v>
      </c>
      <c r="J2172" s="1" t="s">
        <v>6322</v>
      </c>
      <c r="K2172" s="1" t="s">
        <v>7</v>
      </c>
      <c r="L2172" s="11" t="str">
        <f t="shared" si="2418"/>
        <v>НЕТ</v>
      </c>
      <c r="M2172" s="10">
        <v>0</v>
      </c>
      <c r="N2172" s="10">
        <v>0</v>
      </c>
      <c r="O2172" s="10">
        <f>4709200000*0.1/10^9</f>
        <v>0.47092000000000001</v>
      </c>
      <c r="P2172" s="10" t="str">
        <f t="shared" si="2407"/>
        <v>NA</v>
      </c>
      <c r="Q2172" s="10" t="str">
        <f t="shared" si="2408"/>
        <v>NA</v>
      </c>
      <c r="R2172" s="10">
        <v>53.329000000000001</v>
      </c>
      <c r="S2172" s="10">
        <v>9.6939999999999991</v>
      </c>
      <c r="T2172" s="10">
        <v>5.1769999999999996</v>
      </c>
      <c r="U2172" s="10">
        <v>2.8039999999999998</v>
      </c>
      <c r="V2172" s="10">
        <v>31.425999999999998</v>
      </c>
      <c r="W2172" s="10">
        <v>10.985999999999999</v>
      </c>
      <c r="X2172" s="10">
        <f t="shared" si="2410"/>
        <v>42.411999999999999</v>
      </c>
      <c r="Y2172" s="10" t="str">
        <f t="shared" si="2411"/>
        <v>NA</v>
      </c>
      <c r="Z2172" s="10" t="str">
        <f t="shared" si="2412"/>
        <v>NA</v>
      </c>
      <c r="AA2172" s="10" t="str">
        <f t="shared" si="2413"/>
        <v>NA</v>
      </c>
      <c r="AB2172" s="10" t="str">
        <f t="shared" si="2414"/>
        <v>NA</v>
      </c>
      <c r="AC2172" s="10" t="str">
        <f t="shared" si="2415"/>
        <v>NA</v>
      </c>
      <c r="AD2172" s="10" t="str">
        <f t="shared" si="2416"/>
        <v>NA</v>
      </c>
      <c r="AE2172" s="10" t="str">
        <f t="shared" si="2417"/>
        <v>NA</v>
      </c>
      <c r="AF2172" s="1" t="s">
        <v>1511</v>
      </c>
    </row>
    <row r="2173" spans="1:32" x14ac:dyDescent="0.2">
      <c r="A2173" s="1" t="s">
        <v>6331</v>
      </c>
      <c r="B2173" s="1" t="s">
        <v>5</v>
      </c>
      <c r="C2173" s="1" t="s">
        <v>1631</v>
      </c>
      <c r="D2173" s="1" t="s">
        <v>1601</v>
      </c>
      <c r="E2173" s="1" t="s">
        <v>1612</v>
      </c>
      <c r="F2173" s="1" t="s">
        <v>1485</v>
      </c>
      <c r="G2173" s="4">
        <f>57.84%-55.59%</f>
        <v>2.2499999999999964E-2</v>
      </c>
      <c r="H2173" s="28">
        <v>42369</v>
      </c>
      <c r="I2173" s="29">
        <f t="shared" si="2409"/>
        <v>2015</v>
      </c>
      <c r="J2173" s="1" t="s">
        <v>6322</v>
      </c>
      <c r="K2173" s="1" t="s">
        <v>7</v>
      </c>
      <c r="L2173" s="11" t="str">
        <f t="shared" si="2418"/>
        <v>НЕТ</v>
      </c>
      <c r="M2173" s="10">
        <v>0</v>
      </c>
      <c r="N2173" s="10">
        <v>0</v>
      </c>
      <c r="O2173" s="10">
        <f>0.1*5071030570/10^9</f>
        <v>0.50710305700000002</v>
      </c>
      <c r="P2173" s="10">
        <f t="shared" si="2407"/>
        <v>22.53791364444448</v>
      </c>
      <c r="Q2173" s="10">
        <f t="shared" si="2408"/>
        <v>41.121913644444483</v>
      </c>
      <c r="R2173" s="10">
        <v>44.716000000000001</v>
      </c>
      <c r="S2173" s="10">
        <v>4.8609999999999998</v>
      </c>
      <c r="T2173" s="10">
        <v>1.538</v>
      </c>
      <c r="U2173" s="10">
        <v>0.10100000000000001</v>
      </c>
      <c r="V2173" s="10">
        <v>13.799999999999999</v>
      </c>
      <c r="W2173" s="10">
        <v>18.584000000000003</v>
      </c>
      <c r="X2173" s="10">
        <f t="shared" si="2410"/>
        <v>32.384</v>
      </c>
      <c r="Y2173" s="10">
        <f t="shared" si="2411"/>
        <v>0.50402347357644872</v>
      </c>
      <c r="Z2173" s="10">
        <f t="shared" si="2412"/>
        <v>223.14765984598492</v>
      </c>
      <c r="AA2173" s="10">
        <f t="shared" si="2413"/>
        <v>1.6331821481481508</v>
      </c>
      <c r="AB2173" s="10">
        <f t="shared" si="2414"/>
        <v>0.91962415342258885</v>
      </c>
      <c r="AC2173" s="10">
        <f t="shared" si="2415"/>
        <v>8.4595584539075261</v>
      </c>
      <c r="AD2173" s="10">
        <f t="shared" si="2416"/>
        <v>26.737265048403433</v>
      </c>
      <c r="AE2173" s="10">
        <f t="shared" si="2417"/>
        <v>1.2698219381313143</v>
      </c>
      <c r="AF2173" s="1" t="s">
        <v>1519</v>
      </c>
    </row>
    <row r="2174" spans="1:32" x14ac:dyDescent="0.2">
      <c r="A2174" s="1" t="s">
        <v>6332</v>
      </c>
      <c r="B2174" s="1" t="s">
        <v>5</v>
      </c>
      <c r="C2174" s="1" t="s">
        <v>1632</v>
      </c>
      <c r="D2174" s="1" t="s">
        <v>1601</v>
      </c>
      <c r="E2174" s="1" t="s">
        <v>1612</v>
      </c>
      <c r="F2174" s="1" t="s">
        <v>1485</v>
      </c>
      <c r="G2174" s="4">
        <f>68.01%-67.55%</f>
        <v>4.6000000000000485E-3</v>
      </c>
      <c r="H2174" s="28">
        <v>42369</v>
      </c>
      <c r="I2174" s="29">
        <f t="shared" si="2409"/>
        <v>2015</v>
      </c>
      <c r="J2174" s="1" t="s">
        <v>6322</v>
      </c>
      <c r="K2174" s="1" t="s">
        <v>7</v>
      </c>
      <c r="L2174" s="11" t="str">
        <f t="shared" si="2418"/>
        <v>НЕТ</v>
      </c>
      <c r="M2174" s="10">
        <v>0</v>
      </c>
      <c r="N2174" s="10">
        <v>0</v>
      </c>
      <c r="O2174" s="10">
        <f>6.99*4660980974/10^9</f>
        <v>32.580257008260006</v>
      </c>
      <c r="P2174" s="10">
        <f t="shared" si="2407"/>
        <v>7082.6645670129701</v>
      </c>
      <c r="Q2174" s="10">
        <f t="shared" si="2408"/>
        <v>7110.0345120129705</v>
      </c>
      <c r="R2174" s="10">
        <v>39.026744999999998</v>
      </c>
      <c r="S2174" s="10">
        <v>11.943999999999999</v>
      </c>
      <c r="T2174" s="10">
        <v>5.9250000000000007</v>
      </c>
      <c r="U2174" s="10">
        <v>0.14399999999999999</v>
      </c>
      <c r="V2174" s="10">
        <v>140.44996399999999</v>
      </c>
      <c r="W2174" s="10">
        <v>27.369944999999991</v>
      </c>
      <c r="X2174" s="10">
        <f t="shared" si="2410"/>
        <v>167.819909</v>
      </c>
      <c r="Y2174" s="10">
        <f t="shared" si="2411"/>
        <v>181.48232877256277</v>
      </c>
      <c r="Z2174" s="10">
        <f t="shared" si="2412"/>
        <v>49185.170604256738</v>
      </c>
      <c r="AA2174" s="10">
        <f t="shared" si="2413"/>
        <v>50.428382929403746</v>
      </c>
      <c r="AB2174" s="10">
        <f t="shared" si="2414"/>
        <v>182.18364129555184</v>
      </c>
      <c r="AC2174" s="10">
        <f t="shared" si="2415"/>
        <v>595.28085331655814</v>
      </c>
      <c r="AD2174" s="10">
        <f t="shared" si="2416"/>
        <v>1200.0058248123155</v>
      </c>
      <c r="AE2174" s="10">
        <f t="shared" si="2417"/>
        <v>42.367050216985703</v>
      </c>
      <c r="AF2174" s="1" t="s">
        <v>1518</v>
      </c>
    </row>
    <row r="2175" spans="1:32" x14ac:dyDescent="0.2">
      <c r="A2175" s="1" t="s">
        <v>6330</v>
      </c>
      <c r="B2175" s="1" t="s">
        <v>5</v>
      </c>
      <c r="C2175" s="1" t="s">
        <v>1628</v>
      </c>
      <c r="D2175" s="1" t="s">
        <v>1601</v>
      </c>
      <c r="E2175" s="1" t="s">
        <v>1612</v>
      </c>
      <c r="F2175" s="1" t="s">
        <v>1485</v>
      </c>
      <c r="G2175" s="4">
        <f>67.75%-67.63%</f>
        <v>1.2000000000000899E-3</v>
      </c>
      <c r="H2175" s="28">
        <v>42369</v>
      </c>
      <c r="I2175" s="29">
        <f t="shared" si="2409"/>
        <v>2015</v>
      </c>
      <c r="J2175" s="1" t="s">
        <v>6322</v>
      </c>
      <c r="K2175" s="1" t="s">
        <v>7</v>
      </c>
      <c r="L2175" s="11" t="str">
        <f t="shared" si="2418"/>
        <v>НЕТ</v>
      </c>
      <c r="M2175" s="10">
        <v>0</v>
      </c>
      <c r="N2175" s="10">
        <v>0</v>
      </c>
      <c r="O2175" s="10">
        <f>0.1*668600000/10^9</f>
        <v>6.6860000000000003E-2</v>
      </c>
      <c r="P2175" s="10">
        <f t="shared" si="2407"/>
        <v>55.716666666662498</v>
      </c>
      <c r="Q2175" s="10">
        <f t="shared" si="2408"/>
        <v>70.702666666662495</v>
      </c>
      <c r="R2175" s="10">
        <v>47.991</v>
      </c>
      <c r="S2175" s="10">
        <v>7.7130000000000001</v>
      </c>
      <c r="T2175" s="10">
        <v>2.9180000000000001</v>
      </c>
      <c r="U2175" s="10">
        <v>1.268</v>
      </c>
      <c r="V2175" s="10">
        <v>28.181999999999999</v>
      </c>
      <c r="W2175" s="10">
        <v>14.985999999999999</v>
      </c>
      <c r="X2175" s="10">
        <f t="shared" si="2410"/>
        <v>43.167999999999999</v>
      </c>
      <c r="Y2175" s="10">
        <f t="shared" si="2411"/>
        <v>1.1609815729337272</v>
      </c>
      <c r="Z2175" s="10">
        <f t="shared" si="2412"/>
        <v>43.940588853834775</v>
      </c>
      <c r="AA2175" s="10">
        <f t="shared" si="2413"/>
        <v>1.9770302557186326</v>
      </c>
      <c r="AB2175" s="10">
        <f t="shared" si="2414"/>
        <v>1.4732484563076931</v>
      </c>
      <c r="AC2175" s="10">
        <f t="shared" si="2415"/>
        <v>9.1666882752058214</v>
      </c>
      <c r="AD2175" s="10">
        <f t="shared" si="2416"/>
        <v>24.22983778843814</v>
      </c>
      <c r="AE2175" s="10">
        <f t="shared" si="2417"/>
        <v>1.637849023968275</v>
      </c>
      <c r="AF2175" s="1" t="s">
        <v>1520</v>
      </c>
    </row>
    <row r="2176" spans="1:32" x14ac:dyDescent="0.2">
      <c r="A2176" s="1" t="s">
        <v>6324</v>
      </c>
      <c r="B2176" s="1" t="s">
        <v>5</v>
      </c>
      <c r="C2176" s="1" t="s">
        <v>1575</v>
      </c>
      <c r="D2176" s="1" t="s">
        <v>1601</v>
      </c>
      <c r="E2176" s="1" t="s">
        <v>1612</v>
      </c>
      <c r="F2176" s="1" t="s">
        <v>1485</v>
      </c>
      <c r="G2176" s="4">
        <f>72.66%-51%</f>
        <v>0.2165999999999999</v>
      </c>
      <c r="H2176" s="28">
        <v>41639</v>
      </c>
      <c r="I2176" s="29">
        <f t="shared" si="2409"/>
        <v>2013</v>
      </c>
      <c r="J2176" s="1" t="s">
        <v>6322</v>
      </c>
      <c r="K2176" s="1" t="s">
        <v>7</v>
      </c>
      <c r="L2176" s="11" t="str">
        <f t="shared" si="2418"/>
        <v>НЕТ</v>
      </c>
      <c r="M2176" s="10">
        <v>0</v>
      </c>
      <c r="N2176" s="10">
        <v>0</v>
      </c>
      <c r="O2176" s="10">
        <f>1*4275548093/10^9</f>
        <v>4.2755480930000003</v>
      </c>
      <c r="P2176" s="10">
        <f t="shared" si="2407"/>
        <v>19.739372543859659</v>
      </c>
      <c r="Q2176" s="10" t="str">
        <f t="shared" si="2408"/>
        <v>NA</v>
      </c>
      <c r="R2176" s="10" t="s">
        <v>1575</v>
      </c>
      <c r="S2176" s="10" t="s">
        <v>1575</v>
      </c>
      <c r="T2176" s="10" t="s">
        <v>1575</v>
      </c>
      <c r="U2176" s="10" t="s">
        <v>1575</v>
      </c>
      <c r="V2176" s="10" t="s">
        <v>1575</v>
      </c>
      <c r="W2176" s="10" t="s">
        <v>1575</v>
      </c>
      <c r="X2176" s="10" t="str">
        <f t="shared" si="2410"/>
        <v>NA</v>
      </c>
      <c r="Y2176" s="10" t="str">
        <f t="shared" si="2411"/>
        <v>NA</v>
      </c>
      <c r="Z2176" s="10" t="str">
        <f t="shared" si="2412"/>
        <v>NA</v>
      </c>
      <c r="AA2176" s="10" t="str">
        <f t="shared" si="2413"/>
        <v>NA</v>
      </c>
      <c r="AB2176" s="10" t="str">
        <f t="shared" si="2414"/>
        <v>NA</v>
      </c>
      <c r="AC2176" s="10" t="str">
        <f t="shared" si="2415"/>
        <v>NA</v>
      </c>
      <c r="AD2176" s="10" t="str">
        <f t="shared" si="2416"/>
        <v>NA</v>
      </c>
      <c r="AE2176" s="10" t="str">
        <f t="shared" si="2417"/>
        <v>NA</v>
      </c>
      <c r="AF2176" s="1" t="s">
        <v>1521</v>
      </c>
    </row>
    <row r="2177" spans="1:32" x14ac:dyDescent="0.2">
      <c r="A2177" s="1" t="s">
        <v>6209</v>
      </c>
      <c r="B2177" s="1" t="s">
        <v>5</v>
      </c>
      <c r="C2177" s="1" t="s">
        <v>1633</v>
      </c>
      <c r="D2177" s="1" t="s">
        <v>1601</v>
      </c>
      <c r="E2177" s="1" t="s">
        <v>1612</v>
      </c>
      <c r="F2177" s="1" t="s">
        <v>1485</v>
      </c>
      <c r="G2177" s="4" t="s">
        <v>1575</v>
      </c>
      <c r="H2177" s="28">
        <v>41639</v>
      </c>
      <c r="I2177" s="29">
        <f t="shared" si="2409"/>
        <v>2013</v>
      </c>
      <c r="J2177" s="1" t="s">
        <v>6333</v>
      </c>
      <c r="K2177" s="1" t="s">
        <v>7</v>
      </c>
      <c r="L2177" s="11" t="str">
        <f t="shared" si="2418"/>
        <v>НЕТ</v>
      </c>
      <c r="M2177" s="10">
        <v>0</v>
      </c>
      <c r="N2177" s="10">
        <v>0</v>
      </c>
      <c r="O2177" s="10">
        <v>3.762</v>
      </c>
      <c r="P2177" s="10" t="str">
        <f t="shared" si="2407"/>
        <v>NA</v>
      </c>
      <c r="Q2177" s="10" t="str">
        <f t="shared" si="2408"/>
        <v>NA</v>
      </c>
      <c r="R2177" s="10">
        <v>157.97</v>
      </c>
      <c r="S2177" s="10">
        <v>-204.91</v>
      </c>
      <c r="T2177" s="10">
        <v>-262.54599999999999</v>
      </c>
      <c r="U2177" s="10">
        <v>-234.77099999999999</v>
      </c>
      <c r="V2177" s="10">
        <v>548.29700000000003</v>
      </c>
      <c r="W2177" s="10">
        <v>213.43299999999999</v>
      </c>
      <c r="X2177" s="10">
        <f t="shared" si="2410"/>
        <v>761.73</v>
      </c>
      <c r="Y2177" s="10" t="str">
        <f t="shared" si="2411"/>
        <v>NA</v>
      </c>
      <c r="Z2177" s="10" t="str">
        <f t="shared" si="2412"/>
        <v>NA</v>
      </c>
      <c r="AA2177" s="10" t="str">
        <f t="shared" si="2413"/>
        <v>NA</v>
      </c>
      <c r="AB2177" s="10" t="str">
        <f t="shared" si="2414"/>
        <v>NA</v>
      </c>
      <c r="AC2177" s="10" t="str">
        <f t="shared" si="2415"/>
        <v>NA</v>
      </c>
      <c r="AD2177" s="10" t="str">
        <f t="shared" si="2416"/>
        <v>NA</v>
      </c>
      <c r="AE2177" s="10" t="str">
        <f t="shared" si="2417"/>
        <v>NA</v>
      </c>
      <c r="AF2177" s="1" t="s">
        <v>1522</v>
      </c>
    </row>
    <row r="2178" spans="1:32" x14ac:dyDescent="0.2">
      <c r="A2178" s="1" t="s">
        <v>6332</v>
      </c>
      <c r="B2178" s="1" t="s">
        <v>5</v>
      </c>
      <c r="C2178" s="1" t="s">
        <v>1632</v>
      </c>
      <c r="D2178" s="1" t="s">
        <v>1601</v>
      </c>
      <c r="E2178" s="1" t="s">
        <v>1612</v>
      </c>
      <c r="F2178" s="1" t="s">
        <v>1485</v>
      </c>
      <c r="G2178" s="4">
        <f>67.55%-53.71%</f>
        <v>0.13839999999999997</v>
      </c>
      <c r="H2178" s="28">
        <v>42004</v>
      </c>
      <c r="I2178" s="29">
        <f t="shared" si="2409"/>
        <v>2014</v>
      </c>
      <c r="J2178" s="1" t="s">
        <v>6322</v>
      </c>
      <c r="K2178" s="1" t="s">
        <v>7</v>
      </c>
      <c r="L2178" s="11" t="str">
        <f t="shared" si="2418"/>
        <v>НЕТ</v>
      </c>
      <c r="M2178" s="10">
        <v>0</v>
      </c>
      <c r="N2178" s="10">
        <v>0</v>
      </c>
      <c r="O2178" s="10">
        <v>0.17399999999999999</v>
      </c>
      <c r="P2178" s="10">
        <f t="shared" si="2407"/>
        <v>1.2572254335260118</v>
      </c>
      <c r="Q2178" s="10">
        <f t="shared" si="2408"/>
        <v>48.993383433526013</v>
      </c>
      <c r="R2178" s="10">
        <v>41.601308000000003</v>
      </c>
      <c r="S2178" s="10">
        <v>11.052052999999999</v>
      </c>
      <c r="T2178" s="10">
        <v>6.0849999999999991</v>
      </c>
      <c r="U2178" s="10">
        <v>-4.2149999999999999</v>
      </c>
      <c r="V2178" s="10">
        <v>43.437228000000005</v>
      </c>
      <c r="W2178" s="10">
        <v>47.736158000000003</v>
      </c>
      <c r="X2178" s="10">
        <f t="shared" si="2410"/>
        <v>91.173386000000008</v>
      </c>
      <c r="Y2178" s="10">
        <f t="shared" si="2411"/>
        <v>3.0220815016826195E-2</v>
      </c>
      <c r="Z2178" s="10">
        <f t="shared" si="2412"/>
        <v>-0.29827412420545951</v>
      </c>
      <c r="AA2178" s="10">
        <f t="shared" si="2413"/>
        <v>2.8943500573425443E-2</v>
      </c>
      <c r="AB2178" s="10">
        <f t="shared" si="2414"/>
        <v>1.17768853406066</v>
      </c>
      <c r="AC2178" s="10">
        <f t="shared" si="2415"/>
        <v>4.4329667468592504</v>
      </c>
      <c r="AD2178" s="10">
        <f t="shared" si="2416"/>
        <v>8.0515009751069879</v>
      </c>
      <c r="AE2178" s="10">
        <f t="shared" si="2417"/>
        <v>0.53736496562194158</v>
      </c>
      <c r="AF2178" s="1" t="s">
        <v>1516</v>
      </c>
    </row>
    <row r="2179" spans="1:32" x14ac:dyDescent="0.2">
      <c r="A2179" s="1" t="s">
        <v>6332</v>
      </c>
      <c r="B2179" s="1" t="s">
        <v>5</v>
      </c>
      <c r="C2179" s="1" t="s">
        <v>1632</v>
      </c>
      <c r="D2179" s="1" t="s">
        <v>1601</v>
      </c>
      <c r="E2179" s="1" t="s">
        <v>1612</v>
      </c>
      <c r="F2179" s="1" t="s">
        <v>1485</v>
      </c>
      <c r="G2179" s="4" t="s">
        <v>1575</v>
      </c>
      <c r="H2179" s="28">
        <v>41639</v>
      </c>
      <c r="I2179" s="29">
        <f t="shared" si="2409"/>
        <v>2013</v>
      </c>
      <c r="J2179" s="1" t="s">
        <v>6322</v>
      </c>
      <c r="K2179" s="1" t="s">
        <v>7</v>
      </c>
      <c r="L2179" s="11" t="str">
        <f t="shared" si="2418"/>
        <v>НЕТ</v>
      </c>
      <c r="M2179" s="10">
        <v>0</v>
      </c>
      <c r="N2179" s="10">
        <v>0</v>
      </c>
      <c r="O2179" s="10">
        <f>6.06*495049505/10^9</f>
        <v>3.0000000002999996</v>
      </c>
      <c r="P2179" s="10" t="str">
        <f t="shared" ref="P2179:P2242" si="2419">IFERROR(O2179/G2179,"NA")</f>
        <v>NA</v>
      </c>
      <c r="Q2179" s="10" t="str">
        <f t="shared" ref="Q2179:Q2242" si="2420">IFERROR(P2179+W2179,"NA")</f>
        <v>NA</v>
      </c>
      <c r="R2179" s="10">
        <v>37.323292000000002</v>
      </c>
      <c r="S2179" s="10">
        <v>10.358563999999999</v>
      </c>
      <c r="T2179" s="10">
        <v>6.3159999999999998</v>
      </c>
      <c r="U2179" s="10">
        <v>3.2810000000000001</v>
      </c>
      <c r="V2179" s="10">
        <v>49.464977999999995</v>
      </c>
      <c r="W2179" s="10">
        <v>28.598258999999995</v>
      </c>
      <c r="X2179" s="10">
        <f t="shared" si="2410"/>
        <v>78.063236999999987</v>
      </c>
      <c r="Y2179" s="10" t="str">
        <f t="shared" si="2411"/>
        <v>NA</v>
      </c>
      <c r="Z2179" s="10" t="str">
        <f t="shared" si="2412"/>
        <v>NA</v>
      </c>
      <c r="AA2179" s="10" t="str">
        <f t="shared" si="2413"/>
        <v>NA</v>
      </c>
      <c r="AB2179" s="10" t="str">
        <f t="shared" si="2414"/>
        <v>NA</v>
      </c>
      <c r="AC2179" s="10" t="str">
        <f t="shared" si="2415"/>
        <v>NA</v>
      </c>
      <c r="AD2179" s="10" t="str">
        <f t="shared" si="2416"/>
        <v>NA</v>
      </c>
      <c r="AE2179" s="10" t="str">
        <f t="shared" si="2417"/>
        <v>NA</v>
      </c>
      <c r="AF2179" s="1" t="s">
        <v>1515</v>
      </c>
    </row>
    <row r="2180" spans="1:32" x14ac:dyDescent="0.2">
      <c r="A2180" s="1" t="s">
        <v>6328</v>
      </c>
      <c r="B2180" s="1" t="s">
        <v>5</v>
      </c>
      <c r="C2180" s="1" t="s">
        <v>1629</v>
      </c>
      <c r="D2180" s="1" t="s">
        <v>1601</v>
      </c>
      <c r="E2180" s="1" t="s">
        <v>1612</v>
      </c>
      <c r="F2180" s="1" t="s">
        <v>1485</v>
      </c>
      <c r="G2180" s="4">
        <f>92.24%-84.65%</f>
        <v>7.5899999999999967E-2</v>
      </c>
      <c r="H2180" s="28">
        <v>41400</v>
      </c>
      <c r="I2180" s="29">
        <f t="shared" si="2409"/>
        <v>2013</v>
      </c>
      <c r="J2180" s="1" t="s">
        <v>6322</v>
      </c>
      <c r="K2180" s="1" t="s">
        <v>7</v>
      </c>
      <c r="L2180" s="11" t="str">
        <f t="shared" si="2418"/>
        <v>НЕТ</v>
      </c>
      <c r="M2180" s="10">
        <v>0</v>
      </c>
      <c r="N2180" s="10">
        <v>0</v>
      </c>
      <c r="O2180" s="10">
        <v>17.045999999999999</v>
      </c>
      <c r="P2180" s="10">
        <f t="shared" si="2419"/>
        <v>224.58498023715424</v>
      </c>
      <c r="Q2180" s="10">
        <f t="shared" si="2420"/>
        <v>236.65698023715424</v>
      </c>
      <c r="R2180" s="10">
        <v>27.768999999999998</v>
      </c>
      <c r="S2180" s="10">
        <v>-2.5549999999999997</v>
      </c>
      <c r="T2180" s="10">
        <v>-3.887</v>
      </c>
      <c r="U2180" s="10">
        <v>-3.492</v>
      </c>
      <c r="V2180" s="10">
        <v>11.971999999999998</v>
      </c>
      <c r="W2180" s="10">
        <v>12.071999999999999</v>
      </c>
      <c r="X2180" s="10">
        <f t="shared" si="2410"/>
        <v>24.043999999999997</v>
      </c>
      <c r="Y2180" s="10">
        <f t="shared" si="2411"/>
        <v>8.0876149748696111</v>
      </c>
      <c r="Z2180" s="10">
        <f t="shared" si="2412"/>
        <v>-64.314140961384382</v>
      </c>
      <c r="AA2180" s="10">
        <f t="shared" si="2413"/>
        <v>18.759186454824114</v>
      </c>
      <c r="AB2180" s="10">
        <f t="shared" si="2414"/>
        <v>8.5223443493519486</v>
      </c>
      <c r="AC2180" s="10">
        <f t="shared" si="2415"/>
        <v>-92.625041188710085</v>
      </c>
      <c r="AD2180" s="10">
        <f t="shared" si="2416"/>
        <v>-60.884224398547531</v>
      </c>
      <c r="AE2180" s="10">
        <f t="shared" si="2417"/>
        <v>9.8426626283960346</v>
      </c>
      <c r="AF2180" s="1" t="s">
        <v>1524</v>
      </c>
    </row>
    <row r="2181" spans="1:32" x14ac:dyDescent="0.2">
      <c r="A2181" s="1" t="s">
        <v>6323</v>
      </c>
      <c r="B2181" s="1" t="s">
        <v>5</v>
      </c>
      <c r="C2181" s="1" t="s">
        <v>1625</v>
      </c>
      <c r="D2181" s="1" t="s">
        <v>1601</v>
      </c>
      <c r="E2181" s="1" t="s">
        <v>1612</v>
      </c>
      <c r="F2181" s="1" t="s">
        <v>1485</v>
      </c>
      <c r="G2181" s="4">
        <f>93.2%-81.33%</f>
        <v>0.11870000000000003</v>
      </c>
      <c r="H2181" s="28">
        <v>41424</v>
      </c>
      <c r="I2181" s="29">
        <f t="shared" si="2409"/>
        <v>2013</v>
      </c>
      <c r="J2181" s="1" t="s">
        <v>6322</v>
      </c>
      <c r="K2181" s="1" t="s">
        <v>7</v>
      </c>
      <c r="L2181" s="11" t="str">
        <f t="shared" si="2418"/>
        <v>НЕТ</v>
      </c>
      <c r="M2181" s="10">
        <v>0</v>
      </c>
      <c r="N2181" s="10">
        <v>0</v>
      </c>
      <c r="O2181" s="10">
        <f>25.94*98441239/10^9</f>
        <v>2.5535657396600002</v>
      </c>
      <c r="P2181" s="10">
        <f t="shared" si="2419"/>
        <v>21.512769500084243</v>
      </c>
      <c r="Q2181" s="10">
        <f t="shared" si="2420"/>
        <v>26.320769500084243</v>
      </c>
      <c r="R2181" s="10">
        <v>14.554</v>
      </c>
      <c r="S2181" s="10">
        <v>1.488</v>
      </c>
      <c r="T2181" s="10">
        <v>0.222</v>
      </c>
      <c r="U2181" s="10">
        <v>-0.245</v>
      </c>
      <c r="V2181" s="10">
        <v>7.7149999999999999</v>
      </c>
      <c r="W2181" s="10">
        <v>4.8079999999999989</v>
      </c>
      <c r="X2181" s="10">
        <f t="shared" si="2410"/>
        <v>12.523</v>
      </c>
      <c r="Y2181" s="10">
        <f t="shared" si="2411"/>
        <v>1.4781344991125631</v>
      </c>
      <c r="Z2181" s="10">
        <f t="shared" si="2412"/>
        <v>-87.807222449323447</v>
      </c>
      <c r="AA2181" s="10">
        <f t="shared" si="2413"/>
        <v>2.7884341542558966</v>
      </c>
      <c r="AB2181" s="10">
        <f t="shared" si="2414"/>
        <v>1.8084904150119721</v>
      </c>
      <c r="AC2181" s="10">
        <f t="shared" si="2415"/>
        <v>17.688689180164143</v>
      </c>
      <c r="AD2181" s="10">
        <f t="shared" si="2416"/>
        <v>118.56202477515424</v>
      </c>
      <c r="AE2181" s="10">
        <f t="shared" si="2417"/>
        <v>2.101794258570969</v>
      </c>
      <c r="AF2181" s="1" t="s">
        <v>1523</v>
      </c>
    </row>
    <row r="2182" spans="1:32" x14ac:dyDescent="0.2">
      <c r="A2182" s="1" t="s">
        <v>6209</v>
      </c>
      <c r="B2182" s="1" t="s">
        <v>5</v>
      </c>
      <c r="C2182" s="1" t="s">
        <v>1633</v>
      </c>
      <c r="D2182" s="1" t="s">
        <v>1601</v>
      </c>
      <c r="E2182" s="1" t="s">
        <v>1612</v>
      </c>
      <c r="F2182" s="1" t="s">
        <v>1485</v>
      </c>
      <c r="G2182" s="4">
        <f>80.6%-79.55%</f>
        <v>1.0499999999999954E-2</v>
      </c>
      <c r="H2182" s="28">
        <v>41599</v>
      </c>
      <c r="I2182" s="29">
        <f t="shared" si="2409"/>
        <v>2013</v>
      </c>
      <c r="J2182" s="1" t="s">
        <v>6322</v>
      </c>
      <c r="K2182" s="1" t="s">
        <v>7</v>
      </c>
      <c r="L2182" s="11" t="str">
        <f t="shared" si="2418"/>
        <v>НЕТ</v>
      </c>
      <c r="M2182" s="10">
        <v>0</v>
      </c>
      <c r="N2182" s="10">
        <v>0</v>
      </c>
      <c r="O2182" s="10">
        <v>3.762</v>
      </c>
      <c r="P2182" s="10">
        <f t="shared" si="2419"/>
        <v>358.28571428571587</v>
      </c>
      <c r="Q2182" s="10">
        <f t="shared" si="2420"/>
        <v>560.25171428571593</v>
      </c>
      <c r="R2182" s="10">
        <v>140.31299999999999</v>
      </c>
      <c r="S2182" s="10">
        <v>78.356999999999999</v>
      </c>
      <c r="T2182" s="10">
        <v>33.878</v>
      </c>
      <c r="U2182" s="10">
        <v>7.2380000000000004</v>
      </c>
      <c r="V2182" s="10">
        <v>905.16899999999987</v>
      </c>
      <c r="W2182" s="10">
        <v>201.96600000000001</v>
      </c>
      <c r="X2182" s="10">
        <f t="shared" si="2410"/>
        <v>1107.1349999999998</v>
      </c>
      <c r="Y2182" s="10">
        <f t="shared" si="2411"/>
        <v>2.5534748333063644</v>
      </c>
      <c r="Z2182" s="10">
        <f t="shared" si="2412"/>
        <v>49.500651324359744</v>
      </c>
      <c r="AA2182" s="10">
        <f t="shared" si="2413"/>
        <v>0.39582190097729364</v>
      </c>
      <c r="AB2182" s="10">
        <f t="shared" si="2414"/>
        <v>3.992871040357743</v>
      </c>
      <c r="AC2182" s="10">
        <f t="shared" si="2415"/>
        <v>7.1499893345293453</v>
      </c>
      <c r="AD2182" s="10">
        <f t="shared" si="2416"/>
        <v>16.537331432956961</v>
      </c>
      <c r="AE2182" s="10">
        <f t="shared" si="2417"/>
        <v>0.5060373976847593</v>
      </c>
      <c r="AF2182" s="1" t="s">
        <v>1525</v>
      </c>
    </row>
    <row r="2183" spans="1:32" x14ac:dyDescent="0.2">
      <c r="A2183" s="1" t="s">
        <v>6328</v>
      </c>
      <c r="B2183" s="1" t="s">
        <v>5</v>
      </c>
      <c r="C2183" s="1" t="s">
        <v>1629</v>
      </c>
      <c r="D2183" s="1" t="s">
        <v>1601</v>
      </c>
      <c r="E2183" s="1" t="s">
        <v>1612</v>
      </c>
      <c r="F2183" s="1" t="s">
        <v>1485</v>
      </c>
      <c r="G2183" s="4">
        <f>45.77%-40.63%</f>
        <v>5.1400000000000001E-2</v>
      </c>
      <c r="H2183" s="28">
        <v>40634</v>
      </c>
      <c r="I2183" s="29">
        <f t="shared" si="2409"/>
        <v>2011</v>
      </c>
      <c r="J2183" s="1" t="s">
        <v>6322</v>
      </c>
      <c r="K2183" s="1" t="s">
        <v>7</v>
      </c>
      <c r="L2183" s="11" t="str">
        <f t="shared" si="2418"/>
        <v>НЕТ</v>
      </c>
      <c r="M2183" s="10">
        <v>0</v>
      </c>
      <c r="N2183" s="10">
        <v>0</v>
      </c>
      <c r="O2183" s="10">
        <v>3.7269999999999999</v>
      </c>
      <c r="P2183" s="10">
        <f t="shared" si="2419"/>
        <v>72.509727626459139</v>
      </c>
      <c r="Q2183" s="10">
        <f t="shared" si="2420"/>
        <v>76.811727626459145</v>
      </c>
      <c r="R2183" s="10" t="s">
        <v>1575</v>
      </c>
      <c r="S2183" s="10" t="s">
        <v>1575</v>
      </c>
      <c r="T2183" s="10" t="s">
        <v>1575</v>
      </c>
      <c r="U2183" s="10" t="s">
        <v>1575</v>
      </c>
      <c r="V2183" s="10">
        <v>10.452999999999999</v>
      </c>
      <c r="W2183" s="10">
        <v>4.3019999999999996</v>
      </c>
      <c r="X2183" s="10">
        <f t="shared" si="2410"/>
        <v>14.754999999999999</v>
      </c>
      <c r="Y2183" s="10" t="str">
        <f t="shared" si="2411"/>
        <v>NA</v>
      </c>
      <c r="Z2183" s="10" t="str">
        <f t="shared" si="2412"/>
        <v>NA</v>
      </c>
      <c r="AA2183" s="10">
        <f t="shared" si="2413"/>
        <v>6.9367385082233941</v>
      </c>
      <c r="AB2183" s="10" t="str">
        <f t="shared" si="2414"/>
        <v>NA</v>
      </c>
      <c r="AC2183" s="10" t="str">
        <f t="shared" si="2415"/>
        <v>NA</v>
      </c>
      <c r="AD2183" s="10" t="str">
        <f t="shared" si="2416"/>
        <v>NA</v>
      </c>
      <c r="AE2183" s="10">
        <f t="shared" si="2417"/>
        <v>5.2058100729555505</v>
      </c>
      <c r="AF2183" s="1" t="s">
        <v>450</v>
      </c>
    </row>
    <row r="2184" spans="1:32" x14ac:dyDescent="0.2">
      <c r="A2184" s="1" t="s">
        <v>6328</v>
      </c>
      <c r="B2184" s="1" t="s">
        <v>5</v>
      </c>
      <c r="C2184" s="1" t="s">
        <v>1629</v>
      </c>
      <c r="D2184" s="1" t="s">
        <v>1601</v>
      </c>
      <c r="E2184" s="1" t="s">
        <v>1612</v>
      </c>
      <c r="F2184" s="1" t="s">
        <v>1485</v>
      </c>
      <c r="G2184" s="4">
        <f>63.01%-45.77%</f>
        <v>0.17239999999999994</v>
      </c>
      <c r="H2184" s="28">
        <v>40960</v>
      </c>
      <c r="I2184" s="29">
        <f t="shared" si="2409"/>
        <v>2012</v>
      </c>
      <c r="J2184" s="1" t="s">
        <v>6322</v>
      </c>
      <c r="K2184" s="1" t="s">
        <v>7</v>
      </c>
      <c r="L2184" s="11" t="str">
        <f t="shared" si="2418"/>
        <v>НЕТ</v>
      </c>
      <c r="M2184" s="10">
        <v>0</v>
      </c>
      <c r="N2184" s="10">
        <v>0</v>
      </c>
      <c r="O2184" s="10">
        <v>4.7050000000000001</v>
      </c>
      <c r="P2184" s="10">
        <f t="shared" si="2419"/>
        <v>27.291183294663583</v>
      </c>
      <c r="Q2184" s="10">
        <f t="shared" si="2420"/>
        <v>37.065183294663584</v>
      </c>
      <c r="R2184" s="10">
        <v>28.795999999999999</v>
      </c>
      <c r="S2184" s="10">
        <v>0.2649999999999999</v>
      </c>
      <c r="T2184" s="10">
        <v>-0.879</v>
      </c>
      <c r="U2184" s="10">
        <v>-0.97699999999999998</v>
      </c>
      <c r="V2184" s="10">
        <v>10.787000000000001</v>
      </c>
      <c r="W2184" s="10">
        <v>9.7740000000000009</v>
      </c>
      <c r="X2184" s="10">
        <f t="shared" si="2410"/>
        <v>20.561</v>
      </c>
      <c r="Y2184" s="10">
        <f t="shared" si="2411"/>
        <v>0.94774216192053007</v>
      </c>
      <c r="Z2184" s="10">
        <f t="shared" si="2412"/>
        <v>-27.933657415213492</v>
      </c>
      <c r="AA2184" s="10">
        <f t="shared" si="2413"/>
        <v>2.5300067947217557</v>
      </c>
      <c r="AB2184" s="10">
        <f t="shared" si="2414"/>
        <v>1.2871643038846918</v>
      </c>
      <c r="AC2184" s="10">
        <f t="shared" si="2415"/>
        <v>139.86861620627772</v>
      </c>
      <c r="AD2184" s="10">
        <f t="shared" si="2416"/>
        <v>-42.167444021232747</v>
      </c>
      <c r="AE2184" s="10">
        <f t="shared" si="2417"/>
        <v>1.8026936090007093</v>
      </c>
      <c r="AF2184" s="1" t="s">
        <v>451</v>
      </c>
    </row>
    <row r="2185" spans="1:32" x14ac:dyDescent="0.2">
      <c r="A2185" s="1" t="s">
        <v>6334</v>
      </c>
      <c r="B2185" s="1" t="s">
        <v>5</v>
      </c>
      <c r="C2185" s="1" t="s">
        <v>1631</v>
      </c>
      <c r="D2185" s="1" t="s">
        <v>1601</v>
      </c>
      <c r="E2185" s="1" t="s">
        <v>1612</v>
      </c>
      <c r="F2185" s="1" t="s">
        <v>1485</v>
      </c>
      <c r="G2185" s="4">
        <f>55.59%-52.88%</f>
        <v>2.7100000000000013E-2</v>
      </c>
      <c r="H2185" s="28">
        <v>40654</v>
      </c>
      <c r="I2185" s="29">
        <f t="shared" si="2409"/>
        <v>2011</v>
      </c>
      <c r="J2185" s="1" t="s">
        <v>6322</v>
      </c>
      <c r="K2185" s="1" t="s">
        <v>7</v>
      </c>
      <c r="L2185" s="11" t="str">
        <f t="shared" si="2418"/>
        <v>НЕТ</v>
      </c>
      <c r="M2185" s="10">
        <v>0</v>
      </c>
      <c r="N2185" s="10">
        <v>0</v>
      </c>
      <c r="O2185" s="10">
        <v>1.7430000000000001</v>
      </c>
      <c r="P2185" s="10">
        <f t="shared" si="2419"/>
        <v>64.317343173431709</v>
      </c>
      <c r="Q2185" s="10">
        <f t="shared" si="2420"/>
        <v>75.526343173431712</v>
      </c>
      <c r="R2185" s="10" t="s">
        <v>1575</v>
      </c>
      <c r="S2185" s="10" t="s">
        <v>1575</v>
      </c>
      <c r="T2185" s="10" t="s">
        <v>1575</v>
      </c>
      <c r="U2185" s="10" t="s">
        <v>1575</v>
      </c>
      <c r="V2185" s="10">
        <v>23.814999999999998</v>
      </c>
      <c r="W2185" s="10">
        <v>11.208999999999998</v>
      </c>
      <c r="X2185" s="10">
        <f t="shared" si="2410"/>
        <v>35.023999999999994</v>
      </c>
      <c r="Y2185" s="10" t="str">
        <f t="shared" si="2411"/>
        <v>NA</v>
      </c>
      <c r="Z2185" s="10" t="str">
        <f t="shared" si="2412"/>
        <v>NA</v>
      </c>
      <c r="AA2185" s="10">
        <f t="shared" si="2413"/>
        <v>2.7007072506164902</v>
      </c>
      <c r="AB2185" s="10" t="str">
        <f t="shared" si="2414"/>
        <v>NA</v>
      </c>
      <c r="AC2185" s="10" t="str">
        <f t="shared" si="2415"/>
        <v>NA</v>
      </c>
      <c r="AD2185" s="10" t="str">
        <f t="shared" si="2416"/>
        <v>NA</v>
      </c>
      <c r="AE2185" s="10">
        <f t="shared" si="2417"/>
        <v>2.1564168334122811</v>
      </c>
      <c r="AF2185" s="1" t="s">
        <v>452</v>
      </c>
    </row>
    <row r="2186" spans="1:32" x14ac:dyDescent="0.2">
      <c r="A2186" s="1" t="s">
        <v>6332</v>
      </c>
      <c r="B2186" s="1" t="s">
        <v>5</v>
      </c>
      <c r="C2186" s="1" t="s">
        <v>1632</v>
      </c>
      <c r="D2186" s="1" t="s">
        <v>1601</v>
      </c>
      <c r="E2186" s="1" t="s">
        <v>1612</v>
      </c>
      <c r="F2186" s="1" t="s">
        <v>1485</v>
      </c>
      <c r="G2186" s="4">
        <f>50.64%-45.71%</f>
        <v>4.9299999999999955E-2</v>
      </c>
      <c r="H2186" s="28">
        <v>40961</v>
      </c>
      <c r="I2186" s="29">
        <f t="shared" si="2409"/>
        <v>2012</v>
      </c>
      <c r="J2186" s="1" t="s">
        <v>6322</v>
      </c>
      <c r="K2186" s="1" t="s">
        <v>7</v>
      </c>
      <c r="L2186" s="11" t="str">
        <f t="shared" si="2418"/>
        <v>НЕТ</v>
      </c>
      <c r="M2186" s="10">
        <v>0</v>
      </c>
      <c r="N2186" s="10">
        <v>0</v>
      </c>
      <c r="O2186" s="10">
        <v>2.964</v>
      </c>
      <c r="P2186" s="10">
        <f t="shared" si="2419"/>
        <v>60.121703853955431</v>
      </c>
      <c r="Q2186" s="10">
        <f t="shared" si="2420"/>
        <v>88.948741853955426</v>
      </c>
      <c r="R2186" s="10">
        <v>32.256794999999997</v>
      </c>
      <c r="S2186" s="10">
        <v>5.6814099999999996</v>
      </c>
      <c r="T2186" s="10">
        <v>0.754</v>
      </c>
      <c r="U2186" s="10">
        <v>-0.94299999999999995</v>
      </c>
      <c r="V2186" s="10">
        <v>42.503290999999997</v>
      </c>
      <c r="W2186" s="10">
        <v>28.827038000000002</v>
      </c>
      <c r="X2186" s="10">
        <f t="shared" si="2410"/>
        <v>71.330329000000006</v>
      </c>
      <c r="Y2186" s="10">
        <f t="shared" si="2411"/>
        <v>1.8638461711386838</v>
      </c>
      <c r="Z2186" s="10">
        <f t="shared" si="2412"/>
        <v>-63.755783514268757</v>
      </c>
      <c r="AA2186" s="10">
        <f t="shared" si="2413"/>
        <v>1.4145187922967055</v>
      </c>
      <c r="AB2186" s="10">
        <f t="shared" si="2414"/>
        <v>2.7575195196533144</v>
      </c>
      <c r="AC2186" s="10">
        <f t="shared" si="2415"/>
        <v>15.656103300757282</v>
      </c>
      <c r="AD2186" s="10">
        <f t="shared" si="2416"/>
        <v>117.96915365246078</v>
      </c>
      <c r="AE2186" s="10">
        <f t="shared" si="2417"/>
        <v>1.2469974988332861</v>
      </c>
      <c r="AF2186" s="1" t="s">
        <v>453</v>
      </c>
    </row>
    <row r="2187" spans="1:32" x14ac:dyDescent="0.2">
      <c r="A2187" s="1" t="s">
        <v>6323</v>
      </c>
      <c r="B2187" s="1" t="s">
        <v>5</v>
      </c>
      <c r="C2187" s="1" t="s">
        <v>1625</v>
      </c>
      <c r="D2187" s="1" t="s">
        <v>1601</v>
      </c>
      <c r="E2187" s="1" t="s">
        <v>1612</v>
      </c>
      <c r="F2187" s="1" t="s">
        <v>1485</v>
      </c>
      <c r="G2187" s="4">
        <f>81.33%-63.93%</f>
        <v>0.17400000000000004</v>
      </c>
      <c r="H2187" s="28">
        <v>40967</v>
      </c>
      <c r="I2187" s="29">
        <f t="shared" si="2409"/>
        <v>2012</v>
      </c>
      <c r="J2187" s="1" t="s">
        <v>6322</v>
      </c>
      <c r="K2187" s="1" t="s">
        <v>7</v>
      </c>
      <c r="L2187" s="11" t="str">
        <f t="shared" si="2418"/>
        <v>НЕТ</v>
      </c>
      <c r="M2187" s="10">
        <v>0</v>
      </c>
      <c r="N2187" s="10">
        <v>0</v>
      </c>
      <c r="O2187" s="10">
        <v>2.4580000000000002</v>
      </c>
      <c r="P2187" s="10">
        <f t="shared" si="2419"/>
        <v>14.126436781609193</v>
      </c>
      <c r="Q2187" s="10">
        <f t="shared" si="2420"/>
        <v>17.751436781609193</v>
      </c>
      <c r="R2187" s="10">
        <v>12.978999999999999</v>
      </c>
      <c r="S2187" s="10">
        <v>1.0840000000000001</v>
      </c>
      <c r="T2187" s="10">
        <v>9.5000000000000001E-2</v>
      </c>
      <c r="U2187" s="10">
        <v>-0.55100000000000005</v>
      </c>
      <c r="V2187" s="10">
        <v>6.3039999999999994</v>
      </c>
      <c r="W2187" s="10">
        <v>3.625</v>
      </c>
      <c r="X2187" s="10">
        <f t="shared" si="2410"/>
        <v>9.9289999999999985</v>
      </c>
      <c r="Y2187" s="10">
        <f t="shared" si="2411"/>
        <v>1.0884071794136061</v>
      </c>
      <c r="Z2187" s="10">
        <f t="shared" si="2412"/>
        <v>-25.637816300561148</v>
      </c>
      <c r="AA2187" s="10">
        <f t="shared" si="2413"/>
        <v>2.2408687788085651</v>
      </c>
      <c r="AB2187" s="10">
        <f t="shared" si="2414"/>
        <v>1.367704505864026</v>
      </c>
      <c r="AC2187" s="10">
        <f t="shared" si="2415"/>
        <v>16.375864189676378</v>
      </c>
      <c r="AD2187" s="10">
        <f t="shared" si="2416"/>
        <v>186.85722928009676</v>
      </c>
      <c r="AE2187" s="10">
        <f t="shared" si="2417"/>
        <v>1.7878373231553224</v>
      </c>
      <c r="AF2187" s="1" t="s">
        <v>454</v>
      </c>
    </row>
    <row r="2188" spans="1:32" x14ac:dyDescent="0.2">
      <c r="A2188" s="1" t="s">
        <v>6306</v>
      </c>
      <c r="B2188" s="1" t="s">
        <v>5</v>
      </c>
      <c r="C2188" s="1" t="s">
        <v>1575</v>
      </c>
      <c r="D2188" s="1" t="s">
        <v>1601</v>
      </c>
      <c r="E2188" s="1" t="s">
        <v>5352</v>
      </c>
      <c r="F2188" s="1" t="s">
        <v>110</v>
      </c>
      <c r="G2188" s="6" t="s">
        <v>445</v>
      </c>
      <c r="H2188" s="28">
        <v>40940</v>
      </c>
      <c r="I2188" s="29">
        <f t="shared" si="2409"/>
        <v>2012</v>
      </c>
      <c r="J2188" s="1" t="s">
        <v>455</v>
      </c>
      <c r="K2188" s="1" t="s">
        <v>7</v>
      </c>
      <c r="L2188" s="11" t="str">
        <f t="shared" si="2418"/>
        <v>НЕТ</v>
      </c>
      <c r="M2188" s="10">
        <v>0</v>
      </c>
      <c r="N2188" s="10">
        <v>0</v>
      </c>
      <c r="O2188" s="10">
        <v>5.0999999999999997E-2</v>
      </c>
      <c r="P2188" s="10" t="str">
        <f t="shared" si="2419"/>
        <v>NA</v>
      </c>
      <c r="Q2188" s="10" t="str">
        <f t="shared" si="2420"/>
        <v>NA</v>
      </c>
      <c r="R2188" s="10" t="s">
        <v>1575</v>
      </c>
      <c r="S2188" s="10" t="s">
        <v>1575</v>
      </c>
      <c r="T2188" s="10" t="s">
        <v>1575</v>
      </c>
      <c r="U2188" s="10" t="s">
        <v>1575</v>
      </c>
      <c r="V2188" s="10" t="s">
        <v>1575</v>
      </c>
      <c r="W2188" s="10" t="s">
        <v>1575</v>
      </c>
      <c r="X2188" s="10" t="str">
        <f t="shared" si="2410"/>
        <v>NA</v>
      </c>
      <c r="Y2188" s="10" t="str">
        <f t="shared" si="2411"/>
        <v>NA</v>
      </c>
      <c r="Z2188" s="10" t="str">
        <f t="shared" si="2412"/>
        <v>NA</v>
      </c>
      <c r="AA2188" s="10" t="str">
        <f t="shared" si="2413"/>
        <v>NA</v>
      </c>
      <c r="AB2188" s="10" t="str">
        <f t="shared" si="2414"/>
        <v>NA</v>
      </c>
      <c r="AC2188" s="10" t="str">
        <f t="shared" si="2415"/>
        <v>NA</v>
      </c>
      <c r="AD2188" s="10" t="str">
        <f t="shared" si="2416"/>
        <v>NA</v>
      </c>
      <c r="AE2188" s="10" t="str">
        <f t="shared" si="2417"/>
        <v>NA</v>
      </c>
      <c r="AF2188" s="1" t="s">
        <v>456</v>
      </c>
    </row>
    <row r="2189" spans="1:32" x14ac:dyDescent="0.2">
      <c r="A2189" s="1" t="s">
        <v>6328</v>
      </c>
      <c r="B2189" s="1" t="s">
        <v>5</v>
      </c>
      <c r="C2189" s="1" t="s">
        <v>1629</v>
      </c>
      <c r="D2189" s="1" t="s">
        <v>1601</v>
      </c>
      <c r="E2189" s="1" t="s">
        <v>1612</v>
      </c>
      <c r="F2189" s="1" t="s">
        <v>1485</v>
      </c>
      <c r="G2189" s="4">
        <f>82.08%-63.01%</f>
        <v>0.19069999999999998</v>
      </c>
      <c r="H2189" s="28">
        <v>41214</v>
      </c>
      <c r="I2189" s="29">
        <f t="shared" si="2409"/>
        <v>2012</v>
      </c>
      <c r="J2189" s="1" t="s">
        <v>6322</v>
      </c>
      <c r="K2189" s="1" t="s">
        <v>7</v>
      </c>
      <c r="L2189" s="11" t="str">
        <f t="shared" si="2418"/>
        <v>НЕТ</v>
      </c>
      <c r="M2189" s="10">
        <v>0</v>
      </c>
      <c r="N2189" s="10">
        <v>0</v>
      </c>
      <c r="O2189" s="10">
        <v>4.3019999999999996</v>
      </c>
      <c r="P2189" s="10">
        <f t="shared" si="2419"/>
        <v>22.558993183009964</v>
      </c>
      <c r="Q2189" s="10">
        <f t="shared" si="2420"/>
        <v>32.332993183009961</v>
      </c>
      <c r="R2189" s="10">
        <v>28.795999999999999</v>
      </c>
      <c r="S2189" s="10">
        <v>0.2649999999999999</v>
      </c>
      <c r="T2189" s="10">
        <v>-0.879</v>
      </c>
      <c r="U2189" s="10">
        <v>-0.97699999999999998</v>
      </c>
      <c r="V2189" s="10">
        <v>10.787000000000001</v>
      </c>
      <c r="W2189" s="10">
        <v>9.7740000000000009</v>
      </c>
      <c r="X2189" s="10">
        <f t="shared" si="2410"/>
        <v>20.561</v>
      </c>
      <c r="Y2189" s="10">
        <f t="shared" si="2411"/>
        <v>0.78340718096297968</v>
      </c>
      <c r="Z2189" s="10">
        <f t="shared" si="2412"/>
        <v>-23.09006467042985</v>
      </c>
      <c r="AA2189" s="10">
        <f t="shared" si="2413"/>
        <v>2.0913129862807049</v>
      </c>
      <c r="AB2189" s="10">
        <f t="shared" si="2414"/>
        <v>1.1228293229271413</v>
      </c>
      <c r="AC2189" s="10">
        <f t="shared" si="2415"/>
        <v>122.01129503022631</v>
      </c>
      <c r="AD2189" s="10">
        <f t="shared" si="2416"/>
        <v>-36.78383752333329</v>
      </c>
      <c r="AE2189" s="10">
        <f t="shared" si="2417"/>
        <v>1.5725399145474424</v>
      </c>
      <c r="AF2189" s="1" t="s">
        <v>457</v>
      </c>
    </row>
    <row r="2190" spans="1:32" x14ac:dyDescent="0.2">
      <c r="A2190" s="1" t="s">
        <v>459</v>
      </c>
      <c r="B2190" s="1" t="s">
        <v>5</v>
      </c>
      <c r="C2190" s="1" t="s">
        <v>1634</v>
      </c>
      <c r="D2190" s="1" t="s">
        <v>1601</v>
      </c>
      <c r="E2190" s="1" t="s">
        <v>1612</v>
      </c>
      <c r="F2190" s="1" t="s">
        <v>1485</v>
      </c>
      <c r="G2190" s="4">
        <f>77.9%-52.03%</f>
        <v>0.25870000000000004</v>
      </c>
      <c r="H2190" s="28">
        <v>41214</v>
      </c>
      <c r="I2190" s="29">
        <f t="shared" si="2409"/>
        <v>2012</v>
      </c>
      <c r="J2190" s="1" t="s">
        <v>6322</v>
      </c>
      <c r="K2190" s="1" t="s">
        <v>7</v>
      </c>
      <c r="L2190" s="11" t="str">
        <f t="shared" si="2418"/>
        <v>НЕТ</v>
      </c>
      <c r="M2190" s="10">
        <v>0</v>
      </c>
      <c r="N2190" s="10">
        <v>0</v>
      </c>
      <c r="O2190" s="10">
        <f>0.525+0.067</f>
        <v>0.59200000000000008</v>
      </c>
      <c r="P2190" s="10">
        <f t="shared" si="2419"/>
        <v>2.2883649014302279</v>
      </c>
      <c r="Q2190" s="10">
        <f t="shared" si="2420"/>
        <v>1.8353649014302278</v>
      </c>
      <c r="R2190" s="10">
        <v>6.5819999999999999</v>
      </c>
      <c r="S2190" s="10">
        <v>0.76600000000000001</v>
      </c>
      <c r="T2190" s="10">
        <v>0.51800000000000002</v>
      </c>
      <c r="U2190" s="10">
        <v>0.40899999999999997</v>
      </c>
      <c r="V2190" s="10">
        <v>2.5720000000000001</v>
      </c>
      <c r="W2190" s="10">
        <v>-0.45300000000000001</v>
      </c>
      <c r="X2190" s="10">
        <f t="shared" si="2410"/>
        <v>2.1190000000000002</v>
      </c>
      <c r="Y2190" s="10">
        <f t="shared" si="2411"/>
        <v>0.34767014606961832</v>
      </c>
      <c r="Z2190" s="10">
        <f t="shared" si="2412"/>
        <v>5.5950242088758628</v>
      </c>
      <c r="AA2190" s="10">
        <f t="shared" si="2413"/>
        <v>0.88972196789666713</v>
      </c>
      <c r="AB2190" s="10">
        <f t="shared" si="2414"/>
        <v>0.27884608043607229</v>
      </c>
      <c r="AC2190" s="10">
        <f t="shared" si="2415"/>
        <v>2.3960377303266682</v>
      </c>
      <c r="AD2190" s="10">
        <f t="shared" si="2416"/>
        <v>3.54317548538654</v>
      </c>
      <c r="AE2190" s="10">
        <f t="shared" si="2417"/>
        <v>0.86614672082596866</v>
      </c>
      <c r="AF2190" s="1" t="s">
        <v>458</v>
      </c>
    </row>
    <row r="2191" spans="1:32" x14ac:dyDescent="0.2">
      <c r="A2191" s="1" t="s">
        <v>6328</v>
      </c>
      <c r="B2191" s="1" t="s">
        <v>5</v>
      </c>
      <c r="C2191" s="1" t="s">
        <v>1629</v>
      </c>
      <c r="D2191" s="1" t="s">
        <v>1601</v>
      </c>
      <c r="E2191" s="1" t="s">
        <v>1612</v>
      </c>
      <c r="F2191" s="1" t="s">
        <v>1485</v>
      </c>
      <c r="G2191" s="4">
        <f>40.63%-25.42%</f>
        <v>0.15210000000000001</v>
      </c>
      <c r="H2191" s="28">
        <v>40179</v>
      </c>
      <c r="I2191" s="29">
        <f t="shared" si="2409"/>
        <v>2010</v>
      </c>
      <c r="J2191" s="1" t="s">
        <v>6322</v>
      </c>
      <c r="K2191" s="1" t="s">
        <v>7</v>
      </c>
      <c r="L2191" s="11" t="str">
        <f t="shared" si="2418"/>
        <v>НЕТ</v>
      </c>
      <c r="M2191" s="10">
        <v>0</v>
      </c>
      <c r="N2191" s="10">
        <v>0</v>
      </c>
      <c r="O2191" s="10">
        <v>1.9990000000000001</v>
      </c>
      <c r="P2191" s="10">
        <f t="shared" si="2419"/>
        <v>13.14266929651545</v>
      </c>
      <c r="Q2191" s="10" t="str">
        <f t="shared" si="2420"/>
        <v>NA</v>
      </c>
      <c r="R2191" s="10" t="s">
        <v>1575</v>
      </c>
      <c r="S2191" s="10" t="s">
        <v>1575</v>
      </c>
      <c r="T2191" s="10" t="s">
        <v>1575</v>
      </c>
      <c r="U2191" s="10" t="s">
        <v>1575</v>
      </c>
      <c r="V2191" s="10" t="s">
        <v>1575</v>
      </c>
      <c r="W2191" s="10" t="s">
        <v>1575</v>
      </c>
      <c r="X2191" s="10" t="str">
        <f t="shared" si="2410"/>
        <v>NA</v>
      </c>
      <c r="Y2191" s="10" t="str">
        <f t="shared" si="2411"/>
        <v>NA</v>
      </c>
      <c r="Z2191" s="10" t="str">
        <f t="shared" si="2412"/>
        <v>NA</v>
      </c>
      <c r="AA2191" s="10" t="str">
        <f t="shared" si="2413"/>
        <v>NA</v>
      </c>
      <c r="AB2191" s="10" t="str">
        <f t="shared" si="2414"/>
        <v>NA</v>
      </c>
      <c r="AC2191" s="10" t="str">
        <f t="shared" si="2415"/>
        <v>NA</v>
      </c>
      <c r="AD2191" s="10" t="str">
        <f t="shared" si="2416"/>
        <v>NA</v>
      </c>
      <c r="AE2191" s="10" t="str">
        <f t="shared" si="2417"/>
        <v>NA</v>
      </c>
      <c r="AF2191" s="1" t="s">
        <v>460</v>
      </c>
    </row>
    <row r="2192" spans="1:32" x14ac:dyDescent="0.2">
      <c r="A2192" s="1" t="s">
        <v>6335</v>
      </c>
      <c r="B2192" s="1" t="s">
        <v>5</v>
      </c>
      <c r="C2192" s="1" t="s">
        <v>1575</v>
      </c>
      <c r="D2192" s="1" t="s">
        <v>1601</v>
      </c>
      <c r="E2192" s="1" t="s">
        <v>5352</v>
      </c>
      <c r="F2192" s="1" t="s">
        <v>1551</v>
      </c>
      <c r="G2192" s="4">
        <v>0.99</v>
      </c>
      <c r="H2192" s="28">
        <v>43825</v>
      </c>
      <c r="I2192" s="29">
        <f t="shared" si="2409"/>
        <v>2019</v>
      </c>
      <c r="J2192" s="1" t="s">
        <v>6336</v>
      </c>
      <c r="K2192" s="1" t="s">
        <v>1547</v>
      </c>
      <c r="L2192" s="11" t="str">
        <f t="shared" si="2418"/>
        <v>НЕТ</v>
      </c>
      <c r="M2192" s="10">
        <v>0</v>
      </c>
      <c r="N2192" s="10">
        <v>0</v>
      </c>
      <c r="O2192" s="10" t="s">
        <v>1575</v>
      </c>
      <c r="P2192" s="10" t="str">
        <f t="shared" si="2419"/>
        <v>NA</v>
      </c>
      <c r="Q2192" s="10" t="str">
        <f t="shared" si="2420"/>
        <v>NA</v>
      </c>
      <c r="R2192" s="10" t="s">
        <v>1575</v>
      </c>
      <c r="S2192" s="10" t="s">
        <v>1575</v>
      </c>
      <c r="T2192" s="10" t="s">
        <v>1575</v>
      </c>
      <c r="U2192" s="10" t="s">
        <v>1575</v>
      </c>
      <c r="V2192" s="10" t="s">
        <v>1575</v>
      </c>
      <c r="W2192" s="10" t="s">
        <v>1575</v>
      </c>
      <c r="X2192" s="10" t="str">
        <f t="shared" si="2410"/>
        <v>NA</v>
      </c>
      <c r="Y2192" s="10" t="str">
        <f t="shared" si="2411"/>
        <v>NA</v>
      </c>
      <c r="Z2192" s="10" t="str">
        <f t="shared" si="2412"/>
        <v>NA</v>
      </c>
      <c r="AA2192" s="10" t="str">
        <f t="shared" si="2413"/>
        <v>NA</v>
      </c>
      <c r="AB2192" s="10" t="str">
        <f t="shared" si="2414"/>
        <v>NA</v>
      </c>
      <c r="AC2192" s="10" t="str">
        <f t="shared" si="2415"/>
        <v>NA</v>
      </c>
      <c r="AD2192" s="10" t="str">
        <f t="shared" si="2416"/>
        <v>NA</v>
      </c>
      <c r="AE2192" s="10" t="str">
        <f t="shared" si="2417"/>
        <v>NA</v>
      </c>
      <c r="AF2192" s="1" t="s">
        <v>1554</v>
      </c>
    </row>
    <row r="2193" spans="1:32" x14ac:dyDescent="0.2">
      <c r="A2193" s="1" t="s">
        <v>6337</v>
      </c>
      <c r="B2193" s="1" t="s">
        <v>5</v>
      </c>
      <c r="C2193" s="1" t="s">
        <v>1635</v>
      </c>
      <c r="D2193" s="1" t="s">
        <v>1601</v>
      </c>
      <c r="E2193" s="1" t="s">
        <v>5352</v>
      </c>
      <c r="F2193" s="1" t="s">
        <v>1532</v>
      </c>
      <c r="G2193" s="4">
        <v>1</v>
      </c>
      <c r="H2193" s="28">
        <v>43189</v>
      </c>
      <c r="I2193" s="29">
        <f t="shared" ref="I2193:I2256" si="2421">YEAR(H2193)</f>
        <v>2018</v>
      </c>
      <c r="J2193" s="1" t="s">
        <v>1547</v>
      </c>
      <c r="K2193" s="1" t="s">
        <v>7</v>
      </c>
      <c r="L2193" s="11" t="str">
        <f t="shared" si="2418"/>
        <v>НЕТ</v>
      </c>
      <c r="M2193" s="10">
        <v>0</v>
      </c>
      <c r="N2193" s="10">
        <v>0</v>
      </c>
      <c r="O2193" s="10">
        <v>1.3939999999999999</v>
      </c>
      <c r="P2193" s="10">
        <f t="shared" si="2419"/>
        <v>1.3939999999999999</v>
      </c>
      <c r="Q2193" s="10" t="str">
        <f t="shared" si="2420"/>
        <v>NA</v>
      </c>
      <c r="R2193" s="10" t="s">
        <v>1575</v>
      </c>
      <c r="S2193" s="10" t="s">
        <v>1575</v>
      </c>
      <c r="T2193" s="10" t="s">
        <v>1575</v>
      </c>
      <c r="U2193" s="10" t="s">
        <v>1575</v>
      </c>
      <c r="V2193" s="10" t="s">
        <v>1575</v>
      </c>
      <c r="W2193" s="10" t="s">
        <v>1575</v>
      </c>
      <c r="X2193" s="10" t="str">
        <f t="shared" si="2410"/>
        <v>NA</v>
      </c>
      <c r="Y2193" s="10" t="str">
        <f t="shared" si="2411"/>
        <v>NA</v>
      </c>
      <c r="Z2193" s="10" t="str">
        <f t="shared" si="2412"/>
        <v>NA</v>
      </c>
      <c r="AA2193" s="10" t="str">
        <f t="shared" si="2413"/>
        <v>NA</v>
      </c>
      <c r="AB2193" s="10" t="str">
        <f t="shared" si="2414"/>
        <v>NA</v>
      </c>
      <c r="AC2193" s="10" t="str">
        <f t="shared" si="2415"/>
        <v>NA</v>
      </c>
      <c r="AD2193" s="10" t="str">
        <f t="shared" si="2416"/>
        <v>NA</v>
      </c>
      <c r="AE2193" s="10" t="str">
        <f t="shared" si="2417"/>
        <v>NA</v>
      </c>
      <c r="AF2193" s="1" t="s">
        <v>1546</v>
      </c>
    </row>
    <row r="2194" spans="1:32" x14ac:dyDescent="0.2">
      <c r="A2194" s="1" t="s">
        <v>6335</v>
      </c>
      <c r="B2194" s="1" t="s">
        <v>5</v>
      </c>
      <c r="C2194" s="1" t="s">
        <v>1575</v>
      </c>
      <c r="D2194" s="1" t="s">
        <v>1601</v>
      </c>
      <c r="E2194" s="1" t="s">
        <v>5352</v>
      </c>
      <c r="F2194" s="1" t="s">
        <v>3274</v>
      </c>
      <c r="G2194" s="4">
        <v>0.99</v>
      </c>
      <c r="H2194" s="28">
        <v>42443</v>
      </c>
      <c r="I2194" s="29">
        <f t="shared" si="2421"/>
        <v>2016</v>
      </c>
      <c r="J2194" s="1" t="s">
        <v>6338</v>
      </c>
      <c r="K2194" s="1" t="s">
        <v>1547</v>
      </c>
      <c r="L2194" s="11" t="str">
        <f t="shared" si="2418"/>
        <v>НЕТ</v>
      </c>
      <c r="M2194" s="10">
        <v>0</v>
      </c>
      <c r="N2194" s="10">
        <v>0</v>
      </c>
      <c r="O2194" s="10">
        <v>1.0000000000000001E-5</v>
      </c>
      <c r="P2194" s="10">
        <f t="shared" si="2419"/>
        <v>1.0101010101010101E-5</v>
      </c>
      <c r="Q2194" s="10" t="str">
        <f t="shared" si="2420"/>
        <v>NA</v>
      </c>
      <c r="R2194" s="10" t="s">
        <v>1575</v>
      </c>
      <c r="S2194" s="10" t="s">
        <v>1575</v>
      </c>
      <c r="T2194" s="10" t="s">
        <v>1575</v>
      </c>
      <c r="U2194" s="10" t="s">
        <v>1575</v>
      </c>
      <c r="V2194" s="10" t="s">
        <v>1575</v>
      </c>
      <c r="W2194" s="10" t="s">
        <v>1575</v>
      </c>
      <c r="X2194" s="10" t="str">
        <f t="shared" si="2410"/>
        <v>NA</v>
      </c>
      <c r="Y2194" s="10" t="str">
        <f t="shared" si="2411"/>
        <v>NA</v>
      </c>
      <c r="Z2194" s="10" t="str">
        <f t="shared" si="2412"/>
        <v>NA</v>
      </c>
      <c r="AA2194" s="10" t="str">
        <f t="shared" si="2413"/>
        <v>NA</v>
      </c>
      <c r="AB2194" s="10" t="str">
        <f t="shared" si="2414"/>
        <v>NA</v>
      </c>
      <c r="AC2194" s="10" t="str">
        <f t="shared" si="2415"/>
        <v>NA</v>
      </c>
      <c r="AD2194" s="10" t="str">
        <f t="shared" si="2416"/>
        <v>NA</v>
      </c>
      <c r="AE2194" s="10" t="str">
        <f t="shared" si="2417"/>
        <v>NA</v>
      </c>
      <c r="AF2194" s="1" t="s">
        <v>1552</v>
      </c>
    </row>
    <row r="2195" spans="1:32" x14ac:dyDescent="0.2">
      <c r="A2195" s="1" t="s">
        <v>435</v>
      </c>
      <c r="B2195" s="1" t="s">
        <v>5</v>
      </c>
      <c r="C2195" s="1" t="s">
        <v>1575</v>
      </c>
      <c r="D2195" s="1" t="s">
        <v>1601</v>
      </c>
      <c r="E2195" s="1" t="s">
        <v>1617</v>
      </c>
      <c r="F2195" s="1" t="s">
        <v>3273</v>
      </c>
      <c r="G2195" s="4">
        <v>0.77490000000000003</v>
      </c>
      <c r="H2195" s="28">
        <v>42582</v>
      </c>
      <c r="I2195" s="29">
        <f t="shared" si="2421"/>
        <v>2016</v>
      </c>
      <c r="J2195" s="1" t="s">
        <v>1547</v>
      </c>
      <c r="K2195" s="1" t="s">
        <v>6339</v>
      </c>
      <c r="L2195" s="11" t="str">
        <f t="shared" si="2418"/>
        <v>НЕТ</v>
      </c>
      <c r="M2195" s="10">
        <v>0</v>
      </c>
      <c r="N2195" s="10">
        <v>0</v>
      </c>
      <c r="O2195" s="10">
        <v>1.708</v>
      </c>
      <c r="P2195" s="10">
        <f t="shared" si="2419"/>
        <v>2.2041553748870819</v>
      </c>
      <c r="Q2195" s="10" t="str">
        <f t="shared" si="2420"/>
        <v>NA</v>
      </c>
      <c r="R2195" s="10" t="s">
        <v>1575</v>
      </c>
      <c r="S2195" s="10" t="s">
        <v>1575</v>
      </c>
      <c r="T2195" s="10" t="s">
        <v>1575</v>
      </c>
      <c r="U2195" s="10" t="s">
        <v>1575</v>
      </c>
      <c r="V2195" s="10" t="s">
        <v>1575</v>
      </c>
      <c r="W2195" s="10" t="s">
        <v>1575</v>
      </c>
      <c r="X2195" s="10" t="str">
        <f t="shared" si="2410"/>
        <v>NA</v>
      </c>
      <c r="Y2195" s="10" t="str">
        <f t="shared" si="2411"/>
        <v>NA</v>
      </c>
      <c r="Z2195" s="10" t="str">
        <f t="shared" si="2412"/>
        <v>NA</v>
      </c>
      <c r="AA2195" s="10" t="str">
        <f t="shared" si="2413"/>
        <v>NA</v>
      </c>
      <c r="AB2195" s="10" t="str">
        <f t="shared" si="2414"/>
        <v>NA</v>
      </c>
      <c r="AC2195" s="10" t="str">
        <f t="shared" si="2415"/>
        <v>NA</v>
      </c>
      <c r="AD2195" s="10" t="str">
        <f t="shared" si="2416"/>
        <v>NA</v>
      </c>
      <c r="AE2195" s="10" t="str">
        <f t="shared" si="2417"/>
        <v>NA</v>
      </c>
      <c r="AF2195" s="1" t="s">
        <v>1548</v>
      </c>
    </row>
    <row r="2196" spans="1:32" x14ac:dyDescent="0.2">
      <c r="A2196" s="1" t="s">
        <v>6340</v>
      </c>
      <c r="B2196" s="1" t="s">
        <v>5</v>
      </c>
      <c r="C2196" s="1" t="s">
        <v>1575</v>
      </c>
      <c r="D2196" s="1" t="s">
        <v>1601</v>
      </c>
      <c r="E2196" s="1" t="s">
        <v>1617</v>
      </c>
      <c r="F2196" s="1" t="s">
        <v>3273</v>
      </c>
      <c r="G2196" s="4">
        <v>0.74390000000000001</v>
      </c>
      <c r="H2196" s="28">
        <v>42369</v>
      </c>
      <c r="I2196" s="29">
        <f t="shared" si="2421"/>
        <v>2015</v>
      </c>
      <c r="J2196" s="1" t="s">
        <v>1547</v>
      </c>
      <c r="K2196" s="1" t="s">
        <v>6339</v>
      </c>
      <c r="L2196" s="11" t="str">
        <f t="shared" si="2418"/>
        <v>НЕТ</v>
      </c>
      <c r="M2196" s="10">
        <v>0</v>
      </c>
      <c r="N2196" s="10">
        <v>0</v>
      </c>
      <c r="O2196" s="10">
        <v>1.911</v>
      </c>
      <c r="P2196" s="10">
        <f t="shared" si="2419"/>
        <v>2.5688936685038311</v>
      </c>
      <c r="Q2196" s="10" t="str">
        <f t="shared" si="2420"/>
        <v>NA</v>
      </c>
      <c r="R2196" s="10" t="s">
        <v>1575</v>
      </c>
      <c r="S2196" s="10" t="s">
        <v>1575</v>
      </c>
      <c r="T2196" s="10" t="s">
        <v>1575</v>
      </c>
      <c r="U2196" s="10" t="s">
        <v>1575</v>
      </c>
      <c r="V2196" s="10" t="s">
        <v>1575</v>
      </c>
      <c r="W2196" s="10" t="s">
        <v>1575</v>
      </c>
      <c r="X2196" s="10" t="str">
        <f t="shared" si="2410"/>
        <v>NA</v>
      </c>
      <c r="Y2196" s="10" t="str">
        <f t="shared" si="2411"/>
        <v>NA</v>
      </c>
      <c r="Z2196" s="10" t="str">
        <f t="shared" si="2412"/>
        <v>NA</v>
      </c>
      <c r="AA2196" s="10" t="str">
        <f t="shared" si="2413"/>
        <v>NA</v>
      </c>
      <c r="AB2196" s="10" t="str">
        <f t="shared" si="2414"/>
        <v>NA</v>
      </c>
      <c r="AC2196" s="10" t="str">
        <f t="shared" si="2415"/>
        <v>NA</v>
      </c>
      <c r="AD2196" s="10" t="str">
        <f t="shared" si="2416"/>
        <v>NA</v>
      </c>
      <c r="AE2196" s="10" t="str">
        <f t="shared" si="2417"/>
        <v>NA</v>
      </c>
      <c r="AF2196" s="1" t="s">
        <v>1550</v>
      </c>
    </row>
    <row r="2197" spans="1:32" x14ac:dyDescent="0.2">
      <c r="A2197" s="1" t="s">
        <v>6341</v>
      </c>
      <c r="B2197" s="1" t="s">
        <v>5</v>
      </c>
      <c r="C2197" s="1" t="s">
        <v>1575</v>
      </c>
      <c r="D2197" s="1" t="s">
        <v>1601</v>
      </c>
      <c r="E2197" s="1" t="s">
        <v>5352</v>
      </c>
      <c r="F2197" s="1" t="s">
        <v>1553</v>
      </c>
      <c r="G2197" s="4">
        <v>1</v>
      </c>
      <c r="H2197" s="28">
        <v>42352</v>
      </c>
      <c r="I2197" s="29">
        <f t="shared" si="2421"/>
        <v>2015</v>
      </c>
      <c r="J2197" s="1" t="s">
        <v>6342</v>
      </c>
      <c r="K2197" s="1" t="s">
        <v>3272</v>
      </c>
      <c r="L2197" s="11" t="str">
        <f t="shared" si="2418"/>
        <v>НЕТ</v>
      </c>
      <c r="M2197" s="10">
        <v>0</v>
      </c>
      <c r="N2197" s="10">
        <v>0</v>
      </c>
      <c r="O2197" s="10">
        <v>1.4770000000000001</v>
      </c>
      <c r="P2197" s="10">
        <f t="shared" si="2419"/>
        <v>1.4770000000000001</v>
      </c>
      <c r="Q2197" s="10" t="str">
        <f t="shared" si="2420"/>
        <v>NA</v>
      </c>
      <c r="R2197" s="10" t="s">
        <v>1575</v>
      </c>
      <c r="S2197" s="10" t="s">
        <v>1575</v>
      </c>
      <c r="T2197" s="10" t="s">
        <v>1575</v>
      </c>
      <c r="U2197" s="10" t="s">
        <v>1575</v>
      </c>
      <c r="V2197" s="10" t="s">
        <v>1575</v>
      </c>
      <c r="W2197" s="10" t="s">
        <v>1575</v>
      </c>
      <c r="X2197" s="10" t="str">
        <f t="shared" si="2410"/>
        <v>NA</v>
      </c>
      <c r="Y2197" s="10" t="str">
        <f t="shared" si="2411"/>
        <v>NA</v>
      </c>
      <c r="Z2197" s="10" t="str">
        <f t="shared" si="2412"/>
        <v>NA</v>
      </c>
      <c r="AA2197" s="10" t="str">
        <f t="shared" si="2413"/>
        <v>NA</v>
      </c>
      <c r="AB2197" s="10" t="str">
        <f t="shared" si="2414"/>
        <v>NA</v>
      </c>
      <c r="AC2197" s="10" t="str">
        <f t="shared" si="2415"/>
        <v>NA</v>
      </c>
      <c r="AD2197" s="10" t="str">
        <f t="shared" si="2416"/>
        <v>NA</v>
      </c>
      <c r="AE2197" s="10" t="str">
        <f t="shared" si="2417"/>
        <v>NA</v>
      </c>
      <c r="AF2197" s="1" t="s">
        <v>1549</v>
      </c>
    </row>
    <row r="2198" spans="1:32" x14ac:dyDescent="0.2">
      <c r="A2198" s="1" t="s">
        <v>6343</v>
      </c>
      <c r="B2198" s="1" t="s">
        <v>5</v>
      </c>
      <c r="C2198" s="1" t="s">
        <v>1575</v>
      </c>
      <c r="D2198" s="1" t="s">
        <v>1601</v>
      </c>
      <c r="E2198" s="1" t="s">
        <v>1617</v>
      </c>
      <c r="F2198" s="1" t="s">
        <v>1559</v>
      </c>
      <c r="G2198" s="4">
        <v>6.7999999999999996E-3</v>
      </c>
      <c r="H2198" s="28">
        <v>41182</v>
      </c>
      <c r="I2198" s="29">
        <f t="shared" si="2421"/>
        <v>2012</v>
      </c>
      <c r="J2198" s="1" t="s">
        <v>7</v>
      </c>
      <c r="K2198" s="1" t="s">
        <v>3272</v>
      </c>
      <c r="L2198" s="11" t="str">
        <f t="shared" si="2418"/>
        <v>НЕТ</v>
      </c>
      <c r="M2198" s="10">
        <v>0</v>
      </c>
      <c r="N2198" s="10">
        <v>0</v>
      </c>
      <c r="O2198" s="10">
        <v>0.21</v>
      </c>
      <c r="P2198" s="10">
        <f t="shared" si="2419"/>
        <v>30.882352941176471</v>
      </c>
      <c r="Q2198" s="10" t="str">
        <f t="shared" si="2420"/>
        <v>NA</v>
      </c>
      <c r="R2198" s="10" t="s">
        <v>1575</v>
      </c>
      <c r="S2198" s="10" t="s">
        <v>1575</v>
      </c>
      <c r="T2198" s="10" t="s">
        <v>1575</v>
      </c>
      <c r="U2198" s="10" t="s">
        <v>1575</v>
      </c>
      <c r="V2198" s="10" t="s">
        <v>1575</v>
      </c>
      <c r="W2198" s="10" t="s">
        <v>1575</v>
      </c>
      <c r="X2198" s="10" t="str">
        <f t="shared" si="2410"/>
        <v>NA</v>
      </c>
      <c r="Y2198" s="10" t="str">
        <f t="shared" si="2411"/>
        <v>NA</v>
      </c>
      <c r="Z2198" s="10" t="str">
        <f t="shared" si="2412"/>
        <v>NA</v>
      </c>
      <c r="AA2198" s="10" t="str">
        <f t="shared" si="2413"/>
        <v>NA</v>
      </c>
      <c r="AB2198" s="10" t="str">
        <f t="shared" si="2414"/>
        <v>NA</v>
      </c>
      <c r="AC2198" s="10" t="str">
        <f t="shared" si="2415"/>
        <v>NA</v>
      </c>
      <c r="AD2198" s="10" t="str">
        <f t="shared" si="2416"/>
        <v>NA</v>
      </c>
      <c r="AE2198" s="10" t="str">
        <f t="shared" si="2417"/>
        <v>NA</v>
      </c>
      <c r="AF2198" s="1" t="s">
        <v>1557</v>
      </c>
    </row>
    <row r="2199" spans="1:32" x14ac:dyDescent="0.2">
      <c r="A2199" s="1" t="s">
        <v>6343</v>
      </c>
      <c r="B2199" s="1" t="s">
        <v>5</v>
      </c>
      <c r="C2199" s="1" t="s">
        <v>1575</v>
      </c>
      <c r="D2199" s="1" t="s">
        <v>1601</v>
      </c>
      <c r="E2199" s="1" t="s">
        <v>1617</v>
      </c>
      <c r="F2199" s="1" t="s">
        <v>1559</v>
      </c>
      <c r="G2199" s="4">
        <v>1.8700000000000001E-2</v>
      </c>
      <c r="H2199" s="28">
        <v>41182</v>
      </c>
      <c r="I2199" s="29">
        <f t="shared" si="2421"/>
        <v>2012</v>
      </c>
      <c r="J2199" s="1" t="s">
        <v>3272</v>
      </c>
      <c r="K2199" s="1" t="s">
        <v>7</v>
      </c>
      <c r="L2199" s="11" t="str">
        <f t="shared" si="2418"/>
        <v>НЕТ</v>
      </c>
      <c r="M2199" s="10">
        <v>0</v>
      </c>
      <c r="N2199" s="10">
        <v>0</v>
      </c>
      <c r="O2199" s="10">
        <v>0.57899999999999996</v>
      </c>
      <c r="P2199" s="10">
        <f t="shared" si="2419"/>
        <v>30.962566844919781</v>
      </c>
      <c r="Q2199" s="10" t="str">
        <f t="shared" si="2420"/>
        <v>NA</v>
      </c>
      <c r="R2199" s="10" t="s">
        <v>1575</v>
      </c>
      <c r="S2199" s="10" t="s">
        <v>1575</v>
      </c>
      <c r="T2199" s="10" t="s">
        <v>1575</v>
      </c>
      <c r="U2199" s="10" t="s">
        <v>1575</v>
      </c>
      <c r="V2199" s="10" t="s">
        <v>1575</v>
      </c>
      <c r="W2199" s="10" t="s">
        <v>1575</v>
      </c>
      <c r="X2199" s="10" t="str">
        <f t="shared" si="2410"/>
        <v>NA</v>
      </c>
      <c r="Y2199" s="10" t="str">
        <f t="shared" si="2411"/>
        <v>NA</v>
      </c>
      <c r="Z2199" s="10" t="str">
        <f t="shared" si="2412"/>
        <v>NA</v>
      </c>
      <c r="AA2199" s="10" t="str">
        <f t="shared" si="2413"/>
        <v>NA</v>
      </c>
      <c r="AB2199" s="10" t="str">
        <f t="shared" si="2414"/>
        <v>NA</v>
      </c>
      <c r="AC2199" s="10" t="str">
        <f t="shared" si="2415"/>
        <v>NA</v>
      </c>
      <c r="AD2199" s="10" t="str">
        <f t="shared" si="2416"/>
        <v>NA</v>
      </c>
      <c r="AE2199" s="10" t="str">
        <f t="shared" si="2417"/>
        <v>NA</v>
      </c>
      <c r="AF2199" s="1" t="s">
        <v>1558</v>
      </c>
    </row>
    <row r="2200" spans="1:32" x14ac:dyDescent="0.2">
      <c r="A2200" s="1" t="s">
        <v>6343</v>
      </c>
      <c r="B2200" s="1" t="s">
        <v>5</v>
      </c>
      <c r="C2200" s="1" t="s">
        <v>1575</v>
      </c>
      <c r="D2200" s="1" t="s">
        <v>1601</v>
      </c>
      <c r="E2200" s="1" t="s">
        <v>1617</v>
      </c>
      <c r="F2200" s="1" t="s">
        <v>1559</v>
      </c>
      <c r="G2200" s="4">
        <v>2.7000000000000001E-3</v>
      </c>
      <c r="H2200" s="28">
        <v>40847</v>
      </c>
      <c r="I2200" s="29">
        <f t="shared" si="2421"/>
        <v>2011</v>
      </c>
      <c r="J2200" s="1" t="s">
        <v>7</v>
      </c>
      <c r="K2200" s="1" t="s">
        <v>3272</v>
      </c>
      <c r="L2200" s="11" t="str">
        <f t="shared" si="2418"/>
        <v>НЕТ</v>
      </c>
      <c r="M2200" s="10">
        <v>0</v>
      </c>
      <c r="N2200" s="10">
        <v>0</v>
      </c>
      <c r="O2200" s="10">
        <v>6.1499999999999999E-2</v>
      </c>
      <c r="P2200" s="10">
        <f t="shared" si="2419"/>
        <v>22.777777777777775</v>
      </c>
      <c r="Q2200" s="10" t="str">
        <f t="shared" si="2420"/>
        <v>NA</v>
      </c>
      <c r="R2200" s="10" t="s">
        <v>1575</v>
      </c>
      <c r="S2200" s="10" t="s">
        <v>1575</v>
      </c>
      <c r="T2200" s="10" t="s">
        <v>1575</v>
      </c>
      <c r="U2200" s="10" t="s">
        <v>1575</v>
      </c>
      <c r="V2200" s="10" t="s">
        <v>1575</v>
      </c>
      <c r="W2200" s="10" t="s">
        <v>1575</v>
      </c>
      <c r="X2200" s="10" t="str">
        <f t="shared" si="2410"/>
        <v>NA</v>
      </c>
      <c r="Y2200" s="10" t="str">
        <f t="shared" si="2411"/>
        <v>NA</v>
      </c>
      <c r="Z2200" s="10" t="str">
        <f t="shared" si="2412"/>
        <v>NA</v>
      </c>
      <c r="AA2200" s="10" t="str">
        <f t="shared" si="2413"/>
        <v>NA</v>
      </c>
      <c r="AB2200" s="10" t="str">
        <f t="shared" si="2414"/>
        <v>NA</v>
      </c>
      <c r="AC2200" s="10" t="str">
        <f t="shared" si="2415"/>
        <v>NA</v>
      </c>
      <c r="AD2200" s="10" t="str">
        <f t="shared" si="2416"/>
        <v>NA</v>
      </c>
      <c r="AE2200" s="10" t="str">
        <f t="shared" si="2417"/>
        <v>NA</v>
      </c>
      <c r="AF2200" s="1" t="s">
        <v>1556</v>
      </c>
    </row>
    <row r="2201" spans="1:32" x14ac:dyDescent="0.2">
      <c r="A2201" s="1" t="s">
        <v>6343</v>
      </c>
      <c r="B2201" s="1" t="s">
        <v>5</v>
      </c>
      <c r="C2201" s="1" t="s">
        <v>1575</v>
      </c>
      <c r="D2201" s="1" t="s">
        <v>1601</v>
      </c>
      <c r="E2201" s="1" t="s">
        <v>1617</v>
      </c>
      <c r="F2201" s="1" t="s">
        <v>1559</v>
      </c>
      <c r="G2201" s="4">
        <v>6.9999999999999999E-4</v>
      </c>
      <c r="H2201" s="28">
        <v>40786</v>
      </c>
      <c r="I2201" s="29">
        <f t="shared" si="2421"/>
        <v>2011</v>
      </c>
      <c r="J2201" s="1" t="s">
        <v>3272</v>
      </c>
      <c r="K2201" s="1" t="s">
        <v>7</v>
      </c>
      <c r="L2201" s="11" t="str">
        <f t="shared" si="2418"/>
        <v>НЕТ</v>
      </c>
      <c r="M2201" s="10">
        <v>0</v>
      </c>
      <c r="N2201" s="10">
        <v>0</v>
      </c>
      <c r="O2201" s="10">
        <v>1.5599999999999999E-2</v>
      </c>
      <c r="P2201" s="10">
        <f t="shared" si="2419"/>
        <v>22.285714285714285</v>
      </c>
      <c r="Q2201" s="10" t="str">
        <f t="shared" si="2420"/>
        <v>NA</v>
      </c>
      <c r="R2201" s="10" t="s">
        <v>1575</v>
      </c>
      <c r="S2201" s="10" t="s">
        <v>1575</v>
      </c>
      <c r="T2201" s="10" t="s">
        <v>1575</v>
      </c>
      <c r="U2201" s="10" t="s">
        <v>1575</v>
      </c>
      <c r="V2201" s="10" t="s">
        <v>1575</v>
      </c>
      <c r="W2201" s="10" t="s">
        <v>1575</v>
      </c>
      <c r="X2201" s="10" t="str">
        <f t="shared" si="2410"/>
        <v>NA</v>
      </c>
      <c r="Y2201" s="10" t="str">
        <f t="shared" si="2411"/>
        <v>NA</v>
      </c>
      <c r="Z2201" s="10" t="str">
        <f t="shared" si="2412"/>
        <v>NA</v>
      </c>
      <c r="AA2201" s="10" t="str">
        <f t="shared" si="2413"/>
        <v>NA</v>
      </c>
      <c r="AB2201" s="10" t="str">
        <f t="shared" si="2414"/>
        <v>NA</v>
      </c>
      <c r="AC2201" s="10" t="str">
        <f t="shared" si="2415"/>
        <v>NA</v>
      </c>
      <c r="AD2201" s="10" t="str">
        <f t="shared" si="2416"/>
        <v>NA</v>
      </c>
      <c r="AE2201" s="10" t="str">
        <f t="shared" si="2417"/>
        <v>NA</v>
      </c>
      <c r="AF2201" s="1" t="s">
        <v>1555</v>
      </c>
    </row>
    <row r="2202" spans="1:32" x14ac:dyDescent="0.2">
      <c r="A2202" s="1" t="s">
        <v>6344</v>
      </c>
      <c r="B2202" s="1" t="s">
        <v>5</v>
      </c>
      <c r="C2202" s="1" t="s">
        <v>1575</v>
      </c>
      <c r="D2202" s="1" t="s">
        <v>1601</v>
      </c>
      <c r="E2202" s="1" t="s">
        <v>1617</v>
      </c>
      <c r="F2202" s="1" t="s">
        <v>1559</v>
      </c>
      <c r="G2202" s="4"/>
      <c r="H2202" s="28">
        <v>40481</v>
      </c>
      <c r="I2202" s="29">
        <f t="shared" si="2421"/>
        <v>2010</v>
      </c>
      <c r="J2202" s="1" t="s">
        <v>7</v>
      </c>
      <c r="K2202" s="1" t="s">
        <v>3272</v>
      </c>
      <c r="L2202" s="11" t="str">
        <f t="shared" si="2418"/>
        <v>НЕТ</v>
      </c>
      <c r="M2202" s="10">
        <v>0</v>
      </c>
      <c r="N2202" s="10">
        <v>0</v>
      </c>
      <c r="O2202" s="10">
        <v>0.01</v>
      </c>
      <c r="P2202" s="10" t="str">
        <f t="shared" si="2419"/>
        <v>NA</v>
      </c>
      <c r="Q2202" s="10" t="str">
        <f t="shared" si="2420"/>
        <v>NA</v>
      </c>
      <c r="R2202" s="10" t="s">
        <v>1575</v>
      </c>
      <c r="S2202" s="10" t="s">
        <v>1575</v>
      </c>
      <c r="T2202" s="10" t="s">
        <v>1575</v>
      </c>
      <c r="U2202" s="10" t="s">
        <v>1575</v>
      </c>
      <c r="V2202" s="10" t="s">
        <v>1575</v>
      </c>
      <c r="W2202" s="10" t="s">
        <v>1575</v>
      </c>
      <c r="X2202" s="10" t="str">
        <f t="shared" si="2410"/>
        <v>NA</v>
      </c>
      <c r="Y2202" s="10" t="str">
        <f t="shared" si="2411"/>
        <v>NA</v>
      </c>
      <c r="Z2202" s="10" t="str">
        <f t="shared" si="2412"/>
        <v>NA</v>
      </c>
      <c r="AA2202" s="10" t="str">
        <f t="shared" si="2413"/>
        <v>NA</v>
      </c>
      <c r="AB2202" s="10" t="str">
        <f t="shared" si="2414"/>
        <v>NA</v>
      </c>
      <c r="AC2202" s="10" t="str">
        <f t="shared" si="2415"/>
        <v>NA</v>
      </c>
      <c r="AD2202" s="10" t="str">
        <f t="shared" si="2416"/>
        <v>NA</v>
      </c>
      <c r="AE2202" s="10" t="str">
        <f t="shared" si="2417"/>
        <v>NA</v>
      </c>
      <c r="AF2202" s="1" t="s">
        <v>1560</v>
      </c>
    </row>
    <row r="2203" spans="1:32" x14ac:dyDescent="0.2">
      <c r="A2203" s="1" t="s">
        <v>6343</v>
      </c>
      <c r="B2203" s="1" t="s">
        <v>5</v>
      </c>
      <c r="C2203" s="1" t="s">
        <v>1575</v>
      </c>
      <c r="D2203" s="1" t="s">
        <v>1601</v>
      </c>
      <c r="E2203" s="1" t="s">
        <v>1617</v>
      </c>
      <c r="F2203" s="1" t="s">
        <v>1559</v>
      </c>
      <c r="G2203" s="4">
        <f>0.17%+0.05%</f>
        <v>2.2000000000000001E-3</v>
      </c>
      <c r="H2203" s="28">
        <v>40390</v>
      </c>
      <c r="I2203" s="29">
        <f t="shared" si="2421"/>
        <v>2010</v>
      </c>
      <c r="J2203" s="1" t="s">
        <v>3272</v>
      </c>
      <c r="K2203" s="1" t="s">
        <v>7</v>
      </c>
      <c r="L2203" s="11" t="str">
        <f t="shared" si="2418"/>
        <v>НЕТ</v>
      </c>
      <c r="M2203" s="10">
        <v>0</v>
      </c>
      <c r="N2203" s="10">
        <v>0</v>
      </c>
      <c r="O2203" s="10">
        <f>0.04+0.01</f>
        <v>0.05</v>
      </c>
      <c r="P2203" s="10">
        <f t="shared" si="2419"/>
        <v>22.727272727272727</v>
      </c>
      <c r="Q2203" s="10" t="str">
        <f t="shared" si="2420"/>
        <v>NA</v>
      </c>
      <c r="R2203" s="10" t="s">
        <v>1575</v>
      </c>
      <c r="S2203" s="10" t="s">
        <v>1575</v>
      </c>
      <c r="T2203" s="10" t="s">
        <v>1575</v>
      </c>
      <c r="U2203" s="10" t="s">
        <v>1575</v>
      </c>
      <c r="V2203" s="10" t="s">
        <v>1575</v>
      </c>
      <c r="W2203" s="10" t="s">
        <v>1575</v>
      </c>
      <c r="X2203" s="10" t="str">
        <f t="shared" si="2410"/>
        <v>NA</v>
      </c>
      <c r="Y2203" s="10" t="str">
        <f t="shared" si="2411"/>
        <v>NA</v>
      </c>
      <c r="Z2203" s="10" t="str">
        <f t="shared" si="2412"/>
        <v>NA</v>
      </c>
      <c r="AA2203" s="10" t="str">
        <f t="shared" si="2413"/>
        <v>NA</v>
      </c>
      <c r="AB2203" s="10" t="str">
        <f t="shared" si="2414"/>
        <v>NA</v>
      </c>
      <c r="AC2203" s="10" t="str">
        <f t="shared" si="2415"/>
        <v>NA</v>
      </c>
      <c r="AD2203" s="10" t="str">
        <f t="shared" si="2416"/>
        <v>NA</v>
      </c>
      <c r="AE2203" s="10" t="str">
        <f t="shared" si="2417"/>
        <v>NA</v>
      </c>
      <c r="AF2203" s="1" t="s">
        <v>1561</v>
      </c>
    </row>
    <row r="2204" spans="1:32" x14ac:dyDescent="0.2">
      <c r="A2204" s="1" t="s">
        <v>6345</v>
      </c>
      <c r="B2204" s="1" t="s">
        <v>5</v>
      </c>
      <c r="C2204" s="1" t="s">
        <v>1636</v>
      </c>
      <c r="D2204" s="1" t="s">
        <v>1601</v>
      </c>
      <c r="E2204" s="1" t="s">
        <v>1608</v>
      </c>
      <c r="F2204" s="1" t="s">
        <v>1562</v>
      </c>
      <c r="G2204" s="4">
        <v>0.27</v>
      </c>
      <c r="H2204" s="28">
        <v>43100</v>
      </c>
      <c r="I2204" s="29">
        <f t="shared" si="2421"/>
        <v>2017</v>
      </c>
      <c r="J2204" s="1" t="s">
        <v>7</v>
      </c>
      <c r="K2204" s="1" t="s">
        <v>6346</v>
      </c>
      <c r="L2204" s="11" t="str">
        <f t="shared" si="2418"/>
        <v>НЕТ</v>
      </c>
      <c r="M2204" s="10">
        <v>0</v>
      </c>
      <c r="N2204" s="10">
        <v>0</v>
      </c>
      <c r="O2204" s="10" t="s">
        <v>1575</v>
      </c>
      <c r="P2204" s="10" t="str">
        <f t="shared" si="2419"/>
        <v>NA</v>
      </c>
      <c r="Q2204" s="10" t="str">
        <f t="shared" si="2420"/>
        <v>NA</v>
      </c>
      <c r="R2204" s="10">
        <v>35.469000000000001</v>
      </c>
      <c r="S2204" s="10">
        <v>1.1609999999999996</v>
      </c>
      <c r="T2204" s="10">
        <v>-0.45600000000000041</v>
      </c>
      <c r="U2204" s="10">
        <v>2.1110000000000002</v>
      </c>
      <c r="V2204" s="10">
        <v>12.326999999999998</v>
      </c>
      <c r="W2204" s="10">
        <v>20.385000000000002</v>
      </c>
      <c r="X2204" s="10">
        <f t="shared" si="2410"/>
        <v>32.712000000000003</v>
      </c>
      <c r="Y2204" s="10" t="str">
        <f t="shared" si="2411"/>
        <v>NA</v>
      </c>
      <c r="Z2204" s="10" t="str">
        <f t="shared" si="2412"/>
        <v>NA</v>
      </c>
      <c r="AA2204" s="10" t="str">
        <f t="shared" si="2413"/>
        <v>NA</v>
      </c>
      <c r="AB2204" s="10" t="str">
        <f t="shared" si="2414"/>
        <v>NA</v>
      </c>
      <c r="AC2204" s="10" t="str">
        <f t="shared" si="2415"/>
        <v>NA</v>
      </c>
      <c r="AD2204" s="10" t="str">
        <f t="shared" si="2416"/>
        <v>NA</v>
      </c>
      <c r="AE2204" s="10" t="str">
        <f t="shared" si="2417"/>
        <v>NA</v>
      </c>
      <c r="AF2204" s="1" t="s">
        <v>1462</v>
      </c>
    </row>
    <row r="2205" spans="1:32" x14ac:dyDescent="0.2">
      <c r="A2205" s="1" t="s">
        <v>461</v>
      </c>
      <c r="B2205" s="1" t="s">
        <v>5</v>
      </c>
      <c r="C2205" s="1" t="s">
        <v>1575</v>
      </c>
      <c r="D2205" s="1" t="s">
        <v>1601</v>
      </c>
      <c r="E2205" s="1" t="s">
        <v>1608</v>
      </c>
      <c r="F2205" s="1" t="s">
        <v>1562</v>
      </c>
      <c r="G2205" s="4">
        <v>1</v>
      </c>
      <c r="H2205" s="28">
        <v>42001</v>
      </c>
      <c r="I2205" s="29">
        <f t="shared" si="2421"/>
        <v>2014</v>
      </c>
      <c r="J2205" s="1" t="s">
        <v>6347</v>
      </c>
      <c r="K2205" s="1" t="s">
        <v>1446</v>
      </c>
      <c r="L2205" s="11" t="str">
        <f t="shared" si="2418"/>
        <v>НЕТ</v>
      </c>
      <c r="M2205" s="10">
        <v>0</v>
      </c>
      <c r="N2205" s="10">
        <v>0</v>
      </c>
      <c r="O2205" s="10">
        <v>0.79100000000000004</v>
      </c>
      <c r="P2205" s="10">
        <f t="shared" si="2419"/>
        <v>0.79100000000000004</v>
      </c>
      <c r="Q2205" s="10" t="str">
        <f t="shared" si="2420"/>
        <v>NA</v>
      </c>
      <c r="R2205" s="10" t="s">
        <v>1575</v>
      </c>
      <c r="S2205" s="10" t="s">
        <v>1575</v>
      </c>
      <c r="T2205" s="10" t="s">
        <v>1575</v>
      </c>
      <c r="U2205" s="10" t="s">
        <v>1575</v>
      </c>
      <c r="V2205" s="10" t="s">
        <v>1575</v>
      </c>
      <c r="W2205" s="10" t="s">
        <v>1575</v>
      </c>
      <c r="X2205" s="10" t="str">
        <f t="shared" si="2410"/>
        <v>NA</v>
      </c>
      <c r="Y2205" s="10" t="str">
        <f t="shared" si="2411"/>
        <v>NA</v>
      </c>
      <c r="Z2205" s="10" t="str">
        <f t="shared" si="2412"/>
        <v>NA</v>
      </c>
      <c r="AA2205" s="10" t="str">
        <f t="shared" si="2413"/>
        <v>NA</v>
      </c>
      <c r="AB2205" s="10" t="str">
        <f t="shared" si="2414"/>
        <v>NA</v>
      </c>
      <c r="AC2205" s="10" t="str">
        <f t="shared" si="2415"/>
        <v>NA</v>
      </c>
      <c r="AD2205" s="10" t="str">
        <f t="shared" si="2416"/>
        <v>NA</v>
      </c>
      <c r="AE2205" s="10" t="str">
        <f t="shared" si="2417"/>
        <v>NA</v>
      </c>
    </row>
    <row r="2206" spans="1:32" x14ac:dyDescent="0.2">
      <c r="A2206" s="1" t="s">
        <v>6348</v>
      </c>
      <c r="B2206" s="1" t="s">
        <v>5</v>
      </c>
      <c r="C2206" s="1" t="s">
        <v>1630</v>
      </c>
      <c r="D2206" s="1" t="s">
        <v>1601</v>
      </c>
      <c r="E2206" s="1" t="s">
        <v>1602</v>
      </c>
      <c r="F2206" s="1" t="s">
        <v>1563</v>
      </c>
      <c r="G2206" s="4">
        <v>0.19900000000000001</v>
      </c>
      <c r="H2206" s="28">
        <v>42891</v>
      </c>
      <c r="I2206" s="29">
        <f t="shared" si="2421"/>
        <v>2017</v>
      </c>
      <c r="J2206" s="1" t="s">
        <v>6349</v>
      </c>
      <c r="K2206" s="1" t="s">
        <v>7</v>
      </c>
      <c r="L2206" s="11" t="str">
        <f t="shared" si="2418"/>
        <v>НЕТ</v>
      </c>
      <c r="M2206" s="10">
        <v>0</v>
      </c>
      <c r="N2206" s="10">
        <v>0</v>
      </c>
      <c r="O2206" s="10">
        <v>5.9999469999999997</v>
      </c>
      <c r="P2206" s="10">
        <f t="shared" si="2419"/>
        <v>30.150487437185927</v>
      </c>
      <c r="Q2206" s="10">
        <f t="shared" si="2420"/>
        <v>50.473487437185923</v>
      </c>
      <c r="R2206" s="10">
        <v>195.26300000000001</v>
      </c>
      <c r="S2206" s="10">
        <v>3.8489999999999998</v>
      </c>
      <c r="T2206" s="10">
        <v>3.5089999999999999</v>
      </c>
      <c r="U2206" s="10">
        <v>0.76400000000000001</v>
      </c>
      <c r="V2206" s="10">
        <v>7.8689999999999998</v>
      </c>
      <c r="W2206" s="10">
        <v>20.322999999999997</v>
      </c>
      <c r="X2206" s="10">
        <f t="shared" si="2410"/>
        <v>28.191999999999997</v>
      </c>
      <c r="Y2206" s="10">
        <f t="shared" si="2411"/>
        <v>0.15440962925483029</v>
      </c>
      <c r="Z2206" s="10">
        <f t="shared" si="2412"/>
        <v>39.463988792128177</v>
      </c>
      <c r="AA2206" s="10">
        <f t="shared" si="2413"/>
        <v>3.8315526035310619</v>
      </c>
      <c r="AB2206" s="10">
        <f t="shared" si="2414"/>
        <v>0.25848976732502277</v>
      </c>
      <c r="AC2206" s="10">
        <f t="shared" si="2415"/>
        <v>13.113402815584807</v>
      </c>
      <c r="AD2206" s="10">
        <f t="shared" si="2416"/>
        <v>14.384008959015652</v>
      </c>
      <c r="AE2206" s="10">
        <f t="shared" si="2417"/>
        <v>1.7903478801498982</v>
      </c>
      <c r="AF2206" s="1" t="s">
        <v>1564</v>
      </c>
    </row>
    <row r="2207" spans="1:32" x14ac:dyDescent="0.2">
      <c r="A2207" s="1" t="s">
        <v>1566</v>
      </c>
      <c r="B2207" s="1" t="s">
        <v>5</v>
      </c>
      <c r="C2207" s="1" t="s">
        <v>1575</v>
      </c>
      <c r="D2207" s="1" t="s">
        <v>1601</v>
      </c>
      <c r="E2207" s="1" t="s">
        <v>1602</v>
      </c>
      <c r="F2207" s="1" t="s">
        <v>1569</v>
      </c>
      <c r="G2207" s="4">
        <v>1</v>
      </c>
      <c r="H2207" s="28">
        <v>44469</v>
      </c>
      <c r="I2207" s="29">
        <f t="shared" si="2421"/>
        <v>2021</v>
      </c>
      <c r="J2207" s="1" t="s">
        <v>6348</v>
      </c>
      <c r="K2207" s="1" t="s">
        <v>1567</v>
      </c>
      <c r="L2207" s="11" t="str">
        <f t="shared" si="2418"/>
        <v>НЕТ</v>
      </c>
      <c r="M2207" s="10">
        <v>0</v>
      </c>
      <c r="N2207" s="10">
        <v>0</v>
      </c>
      <c r="O2207" s="10">
        <v>9.9999999999999995E-21</v>
      </c>
      <c r="P2207" s="10">
        <f t="shared" si="2419"/>
        <v>9.9999999999999995E-21</v>
      </c>
      <c r="Q2207" s="10" t="str">
        <f t="shared" si="2420"/>
        <v>NA</v>
      </c>
      <c r="R2207" s="10" t="s">
        <v>1575</v>
      </c>
      <c r="S2207" s="10" t="s">
        <v>1575</v>
      </c>
      <c r="T2207" s="10" t="s">
        <v>1575</v>
      </c>
      <c r="U2207" s="10" t="s">
        <v>1575</v>
      </c>
      <c r="V2207" s="10" t="s">
        <v>1575</v>
      </c>
      <c r="W2207" s="10" t="s">
        <v>1575</v>
      </c>
      <c r="X2207" s="10" t="str">
        <f t="shared" si="2410"/>
        <v>NA</v>
      </c>
      <c r="Y2207" s="10" t="str">
        <f t="shared" si="2411"/>
        <v>NA</v>
      </c>
      <c r="Z2207" s="10" t="str">
        <f t="shared" si="2412"/>
        <v>NA</v>
      </c>
      <c r="AA2207" s="10" t="str">
        <f t="shared" si="2413"/>
        <v>NA</v>
      </c>
      <c r="AB2207" s="10" t="str">
        <f t="shared" si="2414"/>
        <v>NA</v>
      </c>
      <c r="AC2207" s="10" t="str">
        <f t="shared" si="2415"/>
        <v>NA</v>
      </c>
      <c r="AD2207" s="10" t="str">
        <f t="shared" si="2416"/>
        <v>NA</v>
      </c>
      <c r="AE2207" s="10" t="str">
        <f t="shared" si="2417"/>
        <v>NA</v>
      </c>
      <c r="AF2207" s="1" t="s">
        <v>1565</v>
      </c>
    </row>
    <row r="2208" spans="1:32" x14ac:dyDescent="0.2">
      <c r="A2208" s="1" t="s">
        <v>6350</v>
      </c>
      <c r="B2208" s="1" t="s">
        <v>5</v>
      </c>
      <c r="C2208" s="1" t="s">
        <v>1575</v>
      </c>
      <c r="D2208" s="1" t="s">
        <v>1601</v>
      </c>
      <c r="E2208" s="1" t="s">
        <v>5352</v>
      </c>
      <c r="F2208" s="1" t="s">
        <v>1570</v>
      </c>
      <c r="G2208" s="4">
        <v>0.7</v>
      </c>
      <c r="H2208" s="28">
        <v>43889</v>
      </c>
      <c r="I2208" s="29">
        <f t="shared" si="2421"/>
        <v>2020</v>
      </c>
      <c r="J2208" s="1" t="s">
        <v>7</v>
      </c>
      <c r="K2208" s="1" t="s">
        <v>6348</v>
      </c>
      <c r="L2208" s="11" t="str">
        <f t="shared" si="2418"/>
        <v>НЕТ</v>
      </c>
      <c r="M2208" s="10">
        <v>0</v>
      </c>
      <c r="N2208" s="10">
        <v>0</v>
      </c>
      <c r="O2208" s="10">
        <v>3.0000000000000001E-3</v>
      </c>
      <c r="P2208" s="10">
        <f t="shared" si="2419"/>
        <v>4.2857142857142859E-3</v>
      </c>
      <c r="Q2208" s="10" t="str">
        <f t="shared" si="2420"/>
        <v>NA</v>
      </c>
      <c r="R2208" s="10" t="s">
        <v>1575</v>
      </c>
      <c r="S2208" s="10" t="s">
        <v>1575</v>
      </c>
      <c r="T2208" s="10" t="s">
        <v>1575</v>
      </c>
      <c r="U2208" s="10" t="s">
        <v>1575</v>
      </c>
      <c r="V2208" s="10" t="s">
        <v>1575</v>
      </c>
      <c r="W2208" s="10" t="s">
        <v>1575</v>
      </c>
      <c r="X2208" s="10" t="str">
        <f t="shared" si="2410"/>
        <v>NA</v>
      </c>
      <c r="Y2208" s="10" t="str">
        <f t="shared" si="2411"/>
        <v>NA</v>
      </c>
      <c r="Z2208" s="10" t="str">
        <f t="shared" si="2412"/>
        <v>NA</v>
      </c>
      <c r="AA2208" s="10" t="str">
        <f t="shared" si="2413"/>
        <v>NA</v>
      </c>
      <c r="AB2208" s="10" t="str">
        <f t="shared" si="2414"/>
        <v>NA</v>
      </c>
      <c r="AC2208" s="10" t="str">
        <f t="shared" si="2415"/>
        <v>NA</v>
      </c>
      <c r="AD2208" s="10" t="str">
        <f t="shared" si="2416"/>
        <v>NA</v>
      </c>
      <c r="AE2208" s="10" t="str">
        <f t="shared" si="2417"/>
        <v>NA</v>
      </c>
      <c r="AF2208" s="1" t="s">
        <v>1568</v>
      </c>
    </row>
    <row r="2209" spans="1:31" x14ac:dyDescent="0.2">
      <c r="A2209" s="1" t="s">
        <v>6351</v>
      </c>
      <c r="B2209" s="1" t="s">
        <v>5</v>
      </c>
      <c r="C2209" s="1" t="s">
        <v>1707</v>
      </c>
      <c r="D2209" s="1" t="s">
        <v>1601</v>
      </c>
      <c r="E2209" s="1" t="s">
        <v>1602</v>
      </c>
      <c r="F2209" s="1" t="s">
        <v>1563</v>
      </c>
      <c r="G2209" s="4">
        <f>98.58%-98%</f>
        <v>5.8000000000000274E-3</v>
      </c>
      <c r="H2209" s="28">
        <v>44561</v>
      </c>
      <c r="I2209" s="29">
        <f t="shared" si="2421"/>
        <v>2021</v>
      </c>
      <c r="J2209" s="1" t="s">
        <v>7</v>
      </c>
      <c r="K2209" s="1" t="s">
        <v>6348</v>
      </c>
      <c r="L2209" s="11" t="str">
        <f t="shared" si="2418"/>
        <v>НЕТ</v>
      </c>
      <c r="M2209" s="10">
        <v>0</v>
      </c>
      <c r="N2209" s="10">
        <v>0</v>
      </c>
      <c r="O2209" s="10">
        <v>2.4604999999999998E-2</v>
      </c>
      <c r="P2209" s="10">
        <f t="shared" si="2419"/>
        <v>4.2422413793103244</v>
      </c>
      <c r="Q2209" s="10">
        <f t="shared" si="2420"/>
        <v>5.6982413793103248</v>
      </c>
      <c r="R2209" s="10">
        <v>48.628</v>
      </c>
      <c r="S2209" s="10">
        <v>1.474</v>
      </c>
      <c r="T2209" s="10">
        <v>1.411</v>
      </c>
      <c r="U2209" s="10">
        <v>0.86899999999999999</v>
      </c>
      <c r="V2209" s="10">
        <v>-0.501</v>
      </c>
      <c r="W2209" s="10">
        <v>1.456</v>
      </c>
      <c r="X2209" s="10">
        <f t="shared" ref="X2209:X2272" si="2422">IFERROR(V2209+W2209,"NA")</f>
        <v>0.95499999999999996</v>
      </c>
      <c r="Y2209" s="10">
        <f t="shared" ref="Y2209:Y2272" si="2423">IFERROR(P2209/R2209,"NA")</f>
        <v>8.7238656315503912E-2</v>
      </c>
      <c r="Z2209" s="10">
        <f t="shared" ref="Z2209:Z2272" si="2424">IFERROR(P2209/U2209,"NA")</f>
        <v>4.8817507241775884</v>
      </c>
      <c r="AA2209" s="10">
        <f t="shared" ref="AA2209:AA2272" si="2425">IFERROR(P2209/V2209,"NA")</f>
        <v>-8.4675476632940612</v>
      </c>
      <c r="AB2209" s="10">
        <f t="shared" ref="AB2209:AB2272" si="2426">IFERROR(Q2209/R2209,"NA")</f>
        <v>0.11718025374908128</v>
      </c>
      <c r="AC2209" s="10">
        <f t="shared" ref="AC2209:AC2272" si="2427">IFERROR(Q2209/S2209,"NA")</f>
        <v>3.8658353998034767</v>
      </c>
      <c r="AD2209" s="10">
        <f t="shared" ref="AD2209:AD2272" si="2428">IFERROR(Q2209/T2209,"NA")</f>
        <v>4.0384417996529587</v>
      </c>
      <c r="AE2209" s="10">
        <f t="shared" ref="AE2209:AE2272" si="2429">IFERROR(Q2209/X2209,"NA")</f>
        <v>5.9667448998013874</v>
      </c>
    </row>
    <row r="2210" spans="1:31" x14ac:dyDescent="0.2">
      <c r="A2210" s="1" t="s">
        <v>6352</v>
      </c>
      <c r="B2210" s="1" t="s">
        <v>5</v>
      </c>
      <c r="C2210" s="1" t="s">
        <v>1708</v>
      </c>
      <c r="D2210" s="1" t="s">
        <v>1601</v>
      </c>
      <c r="E2210" s="1" t="s">
        <v>1602</v>
      </c>
      <c r="F2210" s="1" t="s">
        <v>1563</v>
      </c>
      <c r="G2210" s="4">
        <f>90.42%-90.26%</f>
        <v>1.5999999999999348E-3</v>
      </c>
      <c r="H2210" s="28">
        <v>44561</v>
      </c>
      <c r="I2210" s="29">
        <f t="shared" si="2421"/>
        <v>2021</v>
      </c>
      <c r="J2210" s="1" t="s">
        <v>6348</v>
      </c>
      <c r="K2210" s="1" t="s">
        <v>7</v>
      </c>
      <c r="L2210" s="11" t="str">
        <f t="shared" si="2418"/>
        <v>НЕТ</v>
      </c>
      <c r="M2210" s="10">
        <v>0</v>
      </c>
      <c r="N2210" s="10">
        <v>0</v>
      </c>
      <c r="O2210" s="10">
        <v>2.2800000000000001E-4</v>
      </c>
      <c r="P2210" s="10">
        <f t="shared" si="2419"/>
        <v>0.14250000000000582</v>
      </c>
      <c r="Q2210" s="10">
        <f t="shared" si="2420"/>
        <v>2.060500000000006</v>
      </c>
      <c r="R2210" s="10">
        <v>55.438000000000002</v>
      </c>
      <c r="S2210" s="10">
        <v>0.73699999999999999</v>
      </c>
      <c r="T2210" s="10">
        <v>0.65600000000000003</v>
      </c>
      <c r="U2210" s="10">
        <v>7.3999999999999996E-2</v>
      </c>
      <c r="V2210" s="10">
        <v>-0.63100000000000001</v>
      </c>
      <c r="W2210" s="10">
        <v>1.9180000000000001</v>
      </c>
      <c r="X2210" s="10">
        <f t="shared" si="2422"/>
        <v>1.2870000000000001</v>
      </c>
      <c r="Y2210" s="10">
        <f t="shared" si="2423"/>
        <v>2.5704390490278476E-3</v>
      </c>
      <c r="Z2210" s="10">
        <f t="shared" si="2424"/>
        <v>1.9256756756757543</v>
      </c>
      <c r="AA2210" s="10">
        <f t="shared" si="2425"/>
        <v>-0.22583201267829764</v>
      </c>
      <c r="AB2210" s="10">
        <f t="shared" si="2426"/>
        <v>3.7167646740503012E-2</v>
      </c>
      <c r="AC2210" s="10">
        <f t="shared" si="2427"/>
        <v>2.7957937584803338</v>
      </c>
      <c r="AD2210" s="10">
        <f t="shared" si="2428"/>
        <v>3.1410060975609846</v>
      </c>
      <c r="AE2210" s="10">
        <f t="shared" si="2429"/>
        <v>1.6010101010101054</v>
      </c>
    </row>
    <row r="2211" spans="1:31" x14ac:dyDescent="0.2">
      <c r="A2211" s="1" t="s">
        <v>6353</v>
      </c>
      <c r="B2211" s="1" t="s">
        <v>5</v>
      </c>
      <c r="C2211" s="1" t="s">
        <v>1706</v>
      </c>
      <c r="D2211" s="1" t="s">
        <v>1601</v>
      </c>
      <c r="E2211" s="1" t="s">
        <v>1602</v>
      </c>
      <c r="F2211" s="1" t="s">
        <v>1563</v>
      </c>
      <c r="G2211" s="4">
        <f>91.92%-91.9%</f>
        <v>1.9999999999997797E-4</v>
      </c>
      <c r="H2211" s="28">
        <v>44196</v>
      </c>
      <c r="I2211" s="29">
        <f t="shared" si="2421"/>
        <v>2020</v>
      </c>
      <c r="J2211" s="1" t="s">
        <v>6348</v>
      </c>
      <c r="K2211" s="1" t="s">
        <v>7</v>
      </c>
      <c r="L2211" s="11" t="str">
        <f t="shared" si="2418"/>
        <v>НЕТ</v>
      </c>
      <c r="M2211" s="10">
        <v>0</v>
      </c>
      <c r="N2211" s="10">
        <v>0</v>
      </c>
      <c r="O2211" s="10">
        <f>0.00018</f>
        <v>1.8000000000000001E-4</v>
      </c>
      <c r="P2211" s="10">
        <f t="shared" si="2419"/>
        <v>0.90000000000009917</v>
      </c>
      <c r="Q2211" s="10">
        <f t="shared" si="2420"/>
        <v>0.9520000000000991</v>
      </c>
      <c r="R2211" s="10">
        <v>7.3819999999999997</v>
      </c>
      <c r="S2211" s="10">
        <v>0.437</v>
      </c>
      <c r="T2211" s="10">
        <v>0.377</v>
      </c>
      <c r="U2211" s="10">
        <v>0.25700000000000001</v>
      </c>
      <c r="V2211" s="10">
        <v>1.1240000000000001</v>
      </c>
      <c r="W2211" s="10">
        <v>5.1999999999999935E-2</v>
      </c>
      <c r="X2211" s="10">
        <f t="shared" si="2422"/>
        <v>1.1760000000000002</v>
      </c>
      <c r="Y2211" s="10">
        <f t="shared" si="2423"/>
        <v>0.12191817935520173</v>
      </c>
      <c r="Z2211" s="10">
        <f t="shared" si="2424"/>
        <v>3.5019455252922147</v>
      </c>
      <c r="AA2211" s="10">
        <f t="shared" si="2425"/>
        <v>0.80071174377233012</v>
      </c>
      <c r="AB2211" s="10">
        <f t="shared" si="2426"/>
        <v>0.12896234082905705</v>
      </c>
      <c r="AC2211" s="10">
        <f t="shared" si="2427"/>
        <v>2.178489702517389</v>
      </c>
      <c r="AD2211" s="10">
        <f t="shared" si="2428"/>
        <v>2.5251989389923053</v>
      </c>
      <c r="AE2211" s="10">
        <f t="shared" si="2429"/>
        <v>0.80952380952389369</v>
      </c>
    </row>
    <row r="2212" spans="1:31" x14ac:dyDescent="0.2">
      <c r="A2212" s="1" t="s">
        <v>6354</v>
      </c>
      <c r="B2212" s="1" t="s">
        <v>5</v>
      </c>
      <c r="C2212" s="1" t="s">
        <v>1705</v>
      </c>
      <c r="D2212" s="1" t="s">
        <v>1601</v>
      </c>
      <c r="E2212" s="1" t="s">
        <v>1602</v>
      </c>
      <c r="F2212" s="1" t="s">
        <v>1563</v>
      </c>
      <c r="G2212" s="4">
        <f>97.57%-97.56%</f>
        <v>9.9999999999877964E-5</v>
      </c>
      <c r="H2212" s="28">
        <v>44196</v>
      </c>
      <c r="I2212" s="29">
        <f t="shared" si="2421"/>
        <v>2020</v>
      </c>
      <c r="J2212" s="1" t="s">
        <v>6348</v>
      </c>
      <c r="K2212" s="1" t="s">
        <v>7</v>
      </c>
      <c r="L2212" s="11" t="str">
        <f t="shared" si="2418"/>
        <v>НЕТ</v>
      </c>
      <c r="M2212" s="10">
        <v>0</v>
      </c>
      <c r="N2212" s="10">
        <v>0</v>
      </c>
      <c r="O2212" s="10">
        <v>4.0000000000000003E-5</v>
      </c>
      <c r="P2212" s="10">
        <f t="shared" si="2419"/>
        <v>0.40000000000048819</v>
      </c>
      <c r="Q2212" s="10">
        <f t="shared" si="2420"/>
        <v>0.16400000000048831</v>
      </c>
      <c r="R2212" s="10">
        <v>26.425000000000001</v>
      </c>
      <c r="S2212" s="10">
        <v>1.119</v>
      </c>
      <c r="T2212" s="10">
        <v>1.0980000000000001</v>
      </c>
      <c r="U2212" s="10">
        <v>0.71199999999999997</v>
      </c>
      <c r="V2212" s="10">
        <v>1.216</v>
      </c>
      <c r="W2212" s="10">
        <v>-0.23599999999999988</v>
      </c>
      <c r="X2212" s="10">
        <f t="shared" si="2422"/>
        <v>0.98000000000000009</v>
      </c>
      <c r="Y2212" s="10">
        <f t="shared" si="2423"/>
        <v>1.5137180700113082E-2</v>
      </c>
      <c r="Z2212" s="10">
        <f t="shared" si="2424"/>
        <v>0.56179775280967448</v>
      </c>
      <c r="AA2212" s="10">
        <f t="shared" si="2425"/>
        <v>0.32894736842145411</v>
      </c>
      <c r="AB2212" s="10">
        <f t="shared" si="2426"/>
        <v>6.2062440870572682E-3</v>
      </c>
      <c r="AC2212" s="10">
        <f t="shared" si="2427"/>
        <v>0.14655942806120492</v>
      </c>
      <c r="AD2212" s="10">
        <f t="shared" si="2428"/>
        <v>0.1493624772317744</v>
      </c>
      <c r="AE2212" s="10">
        <f t="shared" si="2429"/>
        <v>0.16734693877600845</v>
      </c>
    </row>
    <row r="2213" spans="1:31" x14ac:dyDescent="0.2">
      <c r="A2213" s="1" t="s">
        <v>6355</v>
      </c>
      <c r="B2213" s="1" t="s">
        <v>5</v>
      </c>
      <c r="C2213" s="1" t="s">
        <v>1709</v>
      </c>
      <c r="D2213" s="1" t="s">
        <v>1601</v>
      </c>
      <c r="E2213" s="1" t="s">
        <v>1602</v>
      </c>
      <c r="F2213" s="1" t="s">
        <v>1563</v>
      </c>
      <c r="G2213" s="4">
        <f>95.87%-95.84%</f>
        <v>2.9999999999996696E-4</v>
      </c>
      <c r="H2213" s="28">
        <v>44196</v>
      </c>
      <c r="I2213" s="29">
        <f t="shared" si="2421"/>
        <v>2020</v>
      </c>
      <c r="J2213" s="1" t="s">
        <v>6348</v>
      </c>
      <c r="K2213" s="1" t="s">
        <v>7</v>
      </c>
      <c r="L2213" s="11" t="str">
        <f t="shared" si="2418"/>
        <v>НЕТ</v>
      </c>
      <c r="M2213" s="10">
        <v>0</v>
      </c>
      <c r="N2213" s="10">
        <v>0</v>
      </c>
      <c r="O2213" s="10">
        <v>1E-4</v>
      </c>
      <c r="P2213" s="10">
        <f t="shared" si="2419"/>
        <v>0.33333333333337006</v>
      </c>
      <c r="Q2213" s="10">
        <f t="shared" si="2420"/>
        <v>3.1343333333333696</v>
      </c>
      <c r="R2213" s="10">
        <v>41.055</v>
      </c>
      <c r="S2213" s="10">
        <v>-4.915</v>
      </c>
      <c r="T2213" s="10">
        <v>-4.9870000000000001</v>
      </c>
      <c r="U2213" s="10">
        <v>-3.8719999999999999</v>
      </c>
      <c r="V2213" s="10">
        <v>-7.9349999999999996</v>
      </c>
      <c r="W2213" s="10">
        <v>2.8009999999999997</v>
      </c>
      <c r="X2213" s="10">
        <f t="shared" si="2422"/>
        <v>-5.1340000000000003</v>
      </c>
      <c r="Y2213" s="10">
        <f t="shared" si="2423"/>
        <v>8.1191897048683483E-3</v>
      </c>
      <c r="Z2213" s="10">
        <f t="shared" si="2424"/>
        <v>-8.608815426998194E-2</v>
      </c>
      <c r="AA2213" s="10">
        <f t="shared" si="2425"/>
        <v>-4.2007981516492765E-2</v>
      </c>
      <c r="AB2213" s="10">
        <f t="shared" si="2426"/>
        <v>7.6344740794869553E-2</v>
      </c>
      <c r="AC2213" s="10">
        <f t="shared" si="2427"/>
        <v>-0.637707697524592</v>
      </c>
      <c r="AD2213" s="10">
        <f t="shared" si="2428"/>
        <v>-0.62850076866520344</v>
      </c>
      <c r="AE2213" s="10">
        <f t="shared" si="2429"/>
        <v>-0.61050512920400646</v>
      </c>
    </row>
    <row r="2214" spans="1:31" x14ac:dyDescent="0.2">
      <c r="A2214" s="1" t="s">
        <v>6351</v>
      </c>
      <c r="B2214" s="1" t="s">
        <v>5</v>
      </c>
      <c r="C2214" s="1" t="s">
        <v>1707</v>
      </c>
      <c r="D2214" s="1" t="s">
        <v>1601</v>
      </c>
      <c r="E2214" s="1" t="s">
        <v>1602</v>
      </c>
      <c r="F2214" s="1" t="s">
        <v>1563</v>
      </c>
      <c r="G2214" s="4">
        <f>93.6%-93.38%</f>
        <v>2.1999999999999797E-3</v>
      </c>
      <c r="H2214" s="28">
        <v>44196</v>
      </c>
      <c r="I2214" s="29">
        <f t="shared" si="2421"/>
        <v>2020</v>
      </c>
      <c r="J2214" s="1" t="s">
        <v>6348</v>
      </c>
      <c r="K2214" s="1" t="s">
        <v>7</v>
      </c>
      <c r="L2214" s="11" t="str">
        <f t="shared" si="2418"/>
        <v>НЕТ</v>
      </c>
      <c r="M2214" s="10">
        <v>0</v>
      </c>
      <c r="N2214" s="10">
        <v>0</v>
      </c>
      <c r="O2214" s="10">
        <v>1.738E-3</v>
      </c>
      <c r="P2214" s="10">
        <f t="shared" si="2419"/>
        <v>0.79000000000000725</v>
      </c>
      <c r="Q2214" s="10">
        <f t="shared" si="2420"/>
        <v>4.3410000000000073</v>
      </c>
      <c r="R2214" s="10">
        <v>44.002000000000002</v>
      </c>
      <c r="S2214" s="10">
        <v>1.0669999999999999</v>
      </c>
      <c r="T2214" s="10">
        <v>0.98799999999999999</v>
      </c>
      <c r="U2214" s="10">
        <v>0.20699999999999999</v>
      </c>
      <c r="V2214" s="10">
        <v>-1.4790000000000001</v>
      </c>
      <c r="W2214" s="10">
        <v>3.5509999999999997</v>
      </c>
      <c r="X2214" s="10">
        <f t="shared" si="2422"/>
        <v>2.0719999999999996</v>
      </c>
      <c r="Y2214" s="10">
        <f t="shared" si="2423"/>
        <v>1.7953729375937623E-2</v>
      </c>
      <c r="Z2214" s="10">
        <f t="shared" si="2424"/>
        <v>3.816425120772982</v>
      </c>
      <c r="AA2214" s="10">
        <f t="shared" si="2425"/>
        <v>-0.53414469235970741</v>
      </c>
      <c r="AB2214" s="10">
        <f t="shared" si="2426"/>
        <v>9.8654606608790676E-2</v>
      </c>
      <c r="AC2214" s="10">
        <f t="shared" si="2427"/>
        <v>4.0684161199625191</v>
      </c>
      <c r="AD2214" s="10">
        <f t="shared" si="2428"/>
        <v>4.3937246963562826</v>
      </c>
      <c r="AE2214" s="10">
        <f t="shared" si="2429"/>
        <v>2.0950772200772239</v>
      </c>
    </row>
    <row r="2215" spans="1:31" x14ac:dyDescent="0.2">
      <c r="A2215" s="1" t="s">
        <v>6352</v>
      </c>
      <c r="B2215" s="1" t="s">
        <v>5</v>
      </c>
      <c r="C2215" s="1" t="s">
        <v>1708</v>
      </c>
      <c r="D2215" s="1" t="s">
        <v>1601</v>
      </c>
      <c r="E2215" s="1" t="s">
        <v>1602</v>
      </c>
      <c r="F2215" s="1" t="s">
        <v>1563</v>
      </c>
      <c r="G2215" s="4">
        <f>92.23%-88.85%</f>
        <v>3.3800000000000052E-2</v>
      </c>
      <c r="H2215" s="28">
        <v>44196</v>
      </c>
      <c r="I2215" s="29">
        <f t="shared" si="2421"/>
        <v>2020</v>
      </c>
      <c r="J2215" s="1" t="s">
        <v>7</v>
      </c>
      <c r="K2215" s="1" t="s">
        <v>6348</v>
      </c>
      <c r="L2215" s="11" t="str">
        <f t="shared" si="2418"/>
        <v>НЕТ</v>
      </c>
      <c r="M2215" s="10">
        <v>0</v>
      </c>
      <c r="N2215" s="10">
        <v>0</v>
      </c>
      <c r="O2215" s="10">
        <v>8.4460999999999994E-2</v>
      </c>
      <c r="P2215" s="10">
        <f t="shared" si="2419"/>
        <v>2.4988461538461499</v>
      </c>
      <c r="Q2215" s="10">
        <f t="shared" si="2420"/>
        <v>4.0768461538461498</v>
      </c>
      <c r="R2215" s="10">
        <v>50.287999999999997</v>
      </c>
      <c r="S2215" s="10">
        <v>0.33999999999999991</v>
      </c>
      <c r="T2215" s="10">
        <v>0.2599999999999999</v>
      </c>
      <c r="U2215" s="10">
        <v>-0.50900000000000001</v>
      </c>
      <c r="V2215" s="10">
        <v>-0.91400000000000003</v>
      </c>
      <c r="W2215" s="10">
        <v>1.5780000000000001</v>
      </c>
      <c r="X2215" s="10">
        <f t="shared" si="2422"/>
        <v>0.66400000000000003</v>
      </c>
      <c r="Y2215" s="10">
        <f t="shared" si="2423"/>
        <v>4.9690704618321473E-2</v>
      </c>
      <c r="Z2215" s="10">
        <f t="shared" si="2424"/>
        <v>-4.9093244672812375</v>
      </c>
      <c r="AA2215" s="10">
        <f t="shared" si="2425"/>
        <v>-2.7339673455647153</v>
      </c>
      <c r="AB2215" s="10">
        <f t="shared" si="2426"/>
        <v>8.1069960106708361E-2</v>
      </c>
      <c r="AC2215" s="10">
        <f t="shared" si="2427"/>
        <v>11.990723981900443</v>
      </c>
      <c r="AD2215" s="10">
        <f t="shared" si="2428"/>
        <v>15.68017751479289</v>
      </c>
      <c r="AE2215" s="10">
        <f t="shared" si="2429"/>
        <v>6.1398285449490206</v>
      </c>
    </row>
    <row r="2216" spans="1:31" x14ac:dyDescent="0.2">
      <c r="A2216" s="1" t="s">
        <v>6353</v>
      </c>
      <c r="B2216" s="1" t="s">
        <v>5</v>
      </c>
      <c r="C2216" s="1" t="s">
        <v>1706</v>
      </c>
      <c r="D2216" s="1" t="s">
        <v>1601</v>
      </c>
      <c r="E2216" s="1" t="s">
        <v>1602</v>
      </c>
      <c r="F2216" s="1" t="s">
        <v>1563</v>
      </c>
      <c r="G2216" s="4">
        <f>91.9%-83.04%</f>
        <v>8.8600000000000012E-2</v>
      </c>
      <c r="H2216" s="28">
        <v>43830</v>
      </c>
      <c r="I2216" s="29">
        <f t="shared" si="2421"/>
        <v>2019</v>
      </c>
      <c r="J2216" s="1" t="s">
        <v>6348</v>
      </c>
      <c r="K2216" s="1" t="s">
        <v>7</v>
      </c>
      <c r="L2216" s="11" t="str">
        <f t="shared" si="2418"/>
        <v>НЕТ</v>
      </c>
      <c r="M2216" s="10">
        <v>0</v>
      </c>
      <c r="N2216" s="10">
        <v>0</v>
      </c>
      <c r="O2216" s="10">
        <v>0.120445</v>
      </c>
      <c r="P2216" s="10">
        <f t="shared" si="2419"/>
        <v>1.3594243792325054</v>
      </c>
      <c r="Q2216" s="10">
        <f t="shared" si="2420"/>
        <v>1.6724243792325053</v>
      </c>
      <c r="R2216" s="10">
        <v>7.3460000000000001</v>
      </c>
      <c r="S2216" s="10">
        <v>0.58000000000000007</v>
      </c>
      <c r="T2216" s="10">
        <v>0.53300000000000003</v>
      </c>
      <c r="U2216" s="10">
        <v>0.38900000000000001</v>
      </c>
      <c r="V2216" s="10">
        <v>0.877</v>
      </c>
      <c r="W2216" s="10">
        <v>0.31299999999999994</v>
      </c>
      <c r="X2216" s="10">
        <f t="shared" si="2422"/>
        <v>1.19</v>
      </c>
      <c r="Y2216" s="10">
        <f t="shared" si="2423"/>
        <v>0.18505640882555205</v>
      </c>
      <c r="Z2216" s="10">
        <f t="shared" si="2424"/>
        <v>3.4946642139653092</v>
      </c>
      <c r="AA2216" s="10">
        <f t="shared" si="2425"/>
        <v>1.5500848109834724</v>
      </c>
      <c r="AB2216" s="10">
        <f t="shared" si="2426"/>
        <v>0.22766463098727271</v>
      </c>
      <c r="AC2216" s="10">
        <f t="shared" si="2427"/>
        <v>2.8834903090215604</v>
      </c>
      <c r="AD2216" s="10">
        <f t="shared" si="2428"/>
        <v>3.1377568090666137</v>
      </c>
      <c r="AE2216" s="10">
        <f t="shared" si="2429"/>
        <v>1.4053986380105088</v>
      </c>
    </row>
    <row r="2217" spans="1:31" x14ac:dyDescent="0.2">
      <c r="A2217" s="1" t="s">
        <v>6354</v>
      </c>
      <c r="B2217" s="1" t="s">
        <v>5</v>
      </c>
      <c r="C2217" s="1" t="s">
        <v>1705</v>
      </c>
      <c r="D2217" s="1" t="s">
        <v>1601</v>
      </c>
      <c r="E2217" s="1" t="s">
        <v>1602</v>
      </c>
      <c r="F2217" s="1" t="s">
        <v>1563</v>
      </c>
      <c r="G2217" s="4">
        <f>93.91%-87.95%</f>
        <v>5.9599999999999875E-2</v>
      </c>
      <c r="H2217" s="28">
        <v>43830</v>
      </c>
      <c r="I2217" s="29">
        <f t="shared" si="2421"/>
        <v>2019</v>
      </c>
      <c r="J2217" s="1" t="s">
        <v>6348</v>
      </c>
      <c r="K2217" s="1" t="s">
        <v>7</v>
      </c>
      <c r="L2217" s="11" t="str">
        <f t="shared" si="2418"/>
        <v>НЕТ</v>
      </c>
      <c r="M2217" s="10">
        <v>0</v>
      </c>
      <c r="N2217" s="10">
        <v>0</v>
      </c>
      <c r="O2217" s="10">
        <v>0.14627100000000001</v>
      </c>
      <c r="P2217" s="10">
        <f t="shared" si="2419"/>
        <v>2.4542114093959784</v>
      </c>
      <c r="Q2217" s="10">
        <f t="shared" si="2420"/>
        <v>2.7062114093959782</v>
      </c>
      <c r="R2217" s="10">
        <v>25.15</v>
      </c>
      <c r="S2217" s="10">
        <v>0.51100000000000001</v>
      </c>
      <c r="T2217" s="10">
        <v>0.49299999999999999</v>
      </c>
      <c r="U2217" s="10">
        <v>0.312</v>
      </c>
      <c r="V2217" s="10">
        <v>0.41599999999999998</v>
      </c>
      <c r="W2217" s="10">
        <v>0.252</v>
      </c>
      <c r="X2217" s="10">
        <f t="shared" si="2422"/>
        <v>0.66799999999999993</v>
      </c>
      <c r="Y2217" s="10">
        <f t="shared" si="2423"/>
        <v>9.7582958624094579E-2</v>
      </c>
      <c r="Z2217" s="10">
        <f t="shared" si="2424"/>
        <v>7.8660622096024948</v>
      </c>
      <c r="AA2217" s="10">
        <f t="shared" si="2425"/>
        <v>5.8995466572018715</v>
      </c>
      <c r="AB2217" s="10">
        <f t="shared" si="2426"/>
        <v>0.10760283933980033</v>
      </c>
      <c r="AC2217" s="10">
        <f t="shared" si="2427"/>
        <v>5.2959127385439881</v>
      </c>
      <c r="AD2217" s="10">
        <f t="shared" si="2428"/>
        <v>5.4892726356916395</v>
      </c>
      <c r="AE2217" s="10">
        <f t="shared" si="2429"/>
        <v>4.0512146847245187</v>
      </c>
    </row>
    <row r="2218" spans="1:31" x14ac:dyDescent="0.2">
      <c r="A2218" s="1" t="s">
        <v>6355</v>
      </c>
      <c r="B2218" s="1" t="s">
        <v>5</v>
      </c>
      <c r="C2218" s="1" t="s">
        <v>1709</v>
      </c>
      <c r="D2218" s="1" t="s">
        <v>1601</v>
      </c>
      <c r="E2218" s="1" t="s">
        <v>1602</v>
      </c>
      <c r="F2218" s="1" t="s">
        <v>1563</v>
      </c>
      <c r="G2218" s="4">
        <f>95.84%-94.13%</f>
        <v>1.7100000000000115E-2</v>
      </c>
      <c r="H2218" s="28">
        <v>43830</v>
      </c>
      <c r="I2218" s="29">
        <f t="shared" si="2421"/>
        <v>2019</v>
      </c>
      <c r="J2218" s="1" t="s">
        <v>6348</v>
      </c>
      <c r="K2218" s="1" t="s">
        <v>7</v>
      </c>
      <c r="L2218" s="11" t="str">
        <f t="shared" si="2418"/>
        <v>НЕТ</v>
      </c>
      <c r="M2218" s="10">
        <v>0</v>
      </c>
      <c r="N2218" s="10">
        <v>0</v>
      </c>
      <c r="O2218" s="10">
        <v>0.104988</v>
      </c>
      <c r="P2218" s="10">
        <f t="shared" si="2419"/>
        <v>6.1396491228069765</v>
      </c>
      <c r="Q2218" s="10">
        <f t="shared" si="2420"/>
        <v>9.3346491228069759</v>
      </c>
      <c r="R2218" s="10">
        <v>41.252000000000002</v>
      </c>
      <c r="S2218" s="10">
        <v>0.23599999999999993</v>
      </c>
      <c r="T2218" s="10">
        <v>0.16499999999999992</v>
      </c>
      <c r="U2218" s="10">
        <v>-0.59599999999999997</v>
      </c>
      <c r="V2218" s="10">
        <v>-4.2140000000000004</v>
      </c>
      <c r="W2218" s="10">
        <v>3.1949999999999998</v>
      </c>
      <c r="X2218" s="10">
        <f t="shared" si="2422"/>
        <v>-1.0190000000000006</v>
      </c>
      <c r="Y2218" s="10">
        <f t="shared" si="2423"/>
        <v>0.1488327626007703</v>
      </c>
      <c r="Z2218" s="10">
        <f t="shared" si="2424"/>
        <v>-10.30142470269627</v>
      </c>
      <c r="AA2218" s="10">
        <f t="shared" si="2425"/>
        <v>-1.4569646708132358</v>
      </c>
      <c r="AB2218" s="10">
        <f t="shared" si="2426"/>
        <v>0.22628355286548471</v>
      </c>
      <c r="AC2218" s="10">
        <f t="shared" si="2427"/>
        <v>39.553597977995672</v>
      </c>
      <c r="AD2218" s="10">
        <f t="shared" si="2428"/>
        <v>56.573631047315033</v>
      </c>
      <c r="AE2218" s="10">
        <f t="shared" si="2429"/>
        <v>-9.1605977652668997</v>
      </c>
    </row>
    <row r="2219" spans="1:31" x14ac:dyDescent="0.2">
      <c r="A2219" s="1" t="s">
        <v>6356</v>
      </c>
      <c r="B2219" s="1" t="s">
        <v>5</v>
      </c>
      <c r="C2219" s="1" t="s">
        <v>1711</v>
      </c>
      <c r="D2219" s="1" t="s">
        <v>1601</v>
      </c>
      <c r="E2219" s="1" t="s">
        <v>1602</v>
      </c>
      <c r="F2219" s="1" t="s">
        <v>1563</v>
      </c>
      <c r="G2219" s="4">
        <f>92.14%-85.73%</f>
        <v>6.4099999999999935E-2</v>
      </c>
      <c r="H2219" s="28">
        <v>43830</v>
      </c>
      <c r="I2219" s="29">
        <f t="shared" si="2421"/>
        <v>2019</v>
      </c>
      <c r="J2219" s="1" t="s">
        <v>6348</v>
      </c>
      <c r="K2219" s="1" t="s">
        <v>7</v>
      </c>
      <c r="L2219" s="11" t="str">
        <f t="shared" si="2418"/>
        <v>НЕТ</v>
      </c>
      <c r="M2219" s="10">
        <v>0</v>
      </c>
      <c r="N2219" s="10">
        <v>0</v>
      </c>
      <c r="O2219" s="10">
        <v>0.28152100000000002</v>
      </c>
      <c r="P2219" s="10">
        <f t="shared" si="2419"/>
        <v>4.3919032761310497</v>
      </c>
      <c r="Q2219" s="10">
        <f t="shared" si="2420"/>
        <v>6.1779032761310493</v>
      </c>
      <c r="R2219" s="10">
        <v>16.725000000000001</v>
      </c>
      <c r="S2219" s="10">
        <v>0.52500000000000002</v>
      </c>
      <c r="T2219" s="10">
        <v>0.442</v>
      </c>
      <c r="U2219" s="10">
        <v>0.10100000000000001</v>
      </c>
      <c r="V2219" s="10">
        <v>-0.26200000000000001</v>
      </c>
      <c r="W2219" s="10">
        <v>1.786</v>
      </c>
      <c r="X2219" s="10">
        <f t="shared" si="2422"/>
        <v>1.524</v>
      </c>
      <c r="Y2219" s="10">
        <f t="shared" si="2423"/>
        <v>0.26259511367001792</v>
      </c>
      <c r="Z2219" s="10">
        <f t="shared" si="2424"/>
        <v>43.484190852782667</v>
      </c>
      <c r="AA2219" s="10">
        <f t="shared" si="2425"/>
        <v>-16.762989603553624</v>
      </c>
      <c r="AB2219" s="10">
        <f t="shared" si="2426"/>
        <v>0.36938136180155745</v>
      </c>
      <c r="AC2219" s="10">
        <f t="shared" si="2427"/>
        <v>11.767434811678189</v>
      </c>
      <c r="AD2219" s="10">
        <f t="shared" si="2428"/>
        <v>13.977156733328165</v>
      </c>
      <c r="AE2219" s="10">
        <f t="shared" si="2429"/>
        <v>4.0537423071726044</v>
      </c>
    </row>
    <row r="2220" spans="1:31" x14ac:dyDescent="0.2">
      <c r="A2220" s="1" t="s">
        <v>6351</v>
      </c>
      <c r="B2220" s="1" t="s">
        <v>5</v>
      </c>
      <c r="C2220" s="1" t="s">
        <v>1707</v>
      </c>
      <c r="D2220" s="1" t="s">
        <v>1601</v>
      </c>
      <c r="E2220" s="1" t="s">
        <v>1602</v>
      </c>
      <c r="F2220" s="1" t="s">
        <v>1563</v>
      </c>
      <c r="G2220" s="4">
        <f>93.38%-91.5%</f>
        <v>1.8799999999999928E-2</v>
      </c>
      <c r="H2220" s="28">
        <v>43830</v>
      </c>
      <c r="I2220" s="29">
        <f t="shared" si="2421"/>
        <v>2019</v>
      </c>
      <c r="J2220" s="1" t="s">
        <v>6348</v>
      </c>
      <c r="K2220" s="1" t="s">
        <v>7</v>
      </c>
      <c r="L2220" s="11" t="str">
        <f t="shared" si="2418"/>
        <v>НЕТ</v>
      </c>
      <c r="M2220" s="10">
        <v>0</v>
      </c>
      <c r="N2220" s="10">
        <v>0</v>
      </c>
      <c r="O2220" s="10">
        <v>4.8096E-2</v>
      </c>
      <c r="P2220" s="10">
        <f t="shared" si="2419"/>
        <v>2.5582978723404355</v>
      </c>
      <c r="Q2220" s="10">
        <f t="shared" si="2420"/>
        <v>6.5832978723404363</v>
      </c>
      <c r="R2220" s="10">
        <v>44.023000000000003</v>
      </c>
      <c r="S2220" s="10">
        <v>1.609</v>
      </c>
      <c r="T2220" s="10">
        <v>1.52</v>
      </c>
      <c r="U2220" s="10">
        <v>0.752</v>
      </c>
      <c r="V2220" s="10">
        <v>-1.7430000000000001</v>
      </c>
      <c r="W2220" s="10">
        <v>4.0250000000000004</v>
      </c>
      <c r="X2220" s="10">
        <f t="shared" si="2422"/>
        <v>2.282</v>
      </c>
      <c r="Y2220" s="10">
        <f t="shared" si="2423"/>
        <v>5.8112756339650531E-2</v>
      </c>
      <c r="Z2220" s="10">
        <f t="shared" si="2424"/>
        <v>3.4019918515165366</v>
      </c>
      <c r="AA2220" s="10">
        <f t="shared" si="2425"/>
        <v>-1.4677555205624988</v>
      </c>
      <c r="AB2220" s="10">
        <f t="shared" si="2426"/>
        <v>0.14954223638417272</v>
      </c>
      <c r="AC2220" s="10">
        <f t="shared" si="2427"/>
        <v>4.0915462227100292</v>
      </c>
      <c r="AD2220" s="10">
        <f t="shared" si="2428"/>
        <v>4.3311170212766026</v>
      </c>
      <c r="AE2220" s="10">
        <f t="shared" si="2429"/>
        <v>2.8848807503682892</v>
      </c>
    </row>
    <row r="2221" spans="1:31" x14ac:dyDescent="0.2">
      <c r="A2221" s="1" t="s">
        <v>6352</v>
      </c>
      <c r="B2221" s="1" t="s">
        <v>5</v>
      </c>
      <c r="C2221" s="1" t="s">
        <v>1708</v>
      </c>
      <c r="D2221" s="1" t="s">
        <v>1601</v>
      </c>
      <c r="E2221" s="1" t="s">
        <v>1602</v>
      </c>
      <c r="F2221" s="1" t="s">
        <v>1563</v>
      </c>
      <c r="G2221" s="4">
        <f>92.23%-84.04%</f>
        <v>8.1899999999999973E-2</v>
      </c>
      <c r="H2221" s="28">
        <v>43830</v>
      </c>
      <c r="I2221" s="29">
        <f t="shared" si="2421"/>
        <v>2019</v>
      </c>
      <c r="J2221" s="1" t="s">
        <v>6348</v>
      </c>
      <c r="K2221" s="1" t="s">
        <v>7</v>
      </c>
      <c r="L2221" s="11" t="str">
        <f t="shared" si="2418"/>
        <v>НЕТ</v>
      </c>
      <c r="M2221" s="10">
        <v>0</v>
      </c>
      <c r="N2221" s="10">
        <v>0</v>
      </c>
      <c r="O2221" s="10">
        <v>0.24716199999999999</v>
      </c>
      <c r="P2221" s="10">
        <f t="shared" si="2419"/>
        <v>3.0178510378510386</v>
      </c>
      <c r="Q2221" s="10">
        <f t="shared" si="2420"/>
        <v>5.3508510378510383</v>
      </c>
      <c r="R2221" s="10">
        <v>49.494999999999997</v>
      </c>
      <c r="S2221" s="10">
        <v>0.53200000000000003</v>
      </c>
      <c r="T2221" s="10">
        <v>0.45</v>
      </c>
      <c r="U2221" s="10">
        <v>1.9E-2</v>
      </c>
      <c r="V2221" s="10">
        <v>-0.61399999999999999</v>
      </c>
      <c r="W2221" s="10">
        <v>2.3330000000000002</v>
      </c>
      <c r="X2221" s="10">
        <f t="shared" si="2422"/>
        <v>1.7190000000000003</v>
      </c>
      <c r="Y2221" s="10">
        <f t="shared" si="2423"/>
        <v>6.0972846506738836E-2</v>
      </c>
      <c r="Z2221" s="10">
        <f t="shared" si="2424"/>
        <v>158.83426515005468</v>
      </c>
      <c r="AA2221" s="10">
        <f t="shared" si="2425"/>
        <v>-4.9150668368909427</v>
      </c>
      <c r="AB2221" s="10">
        <f t="shared" si="2426"/>
        <v>0.10810892085768338</v>
      </c>
      <c r="AC2221" s="10">
        <f t="shared" si="2427"/>
        <v>10.057990672652327</v>
      </c>
      <c r="AD2221" s="10">
        <f t="shared" si="2428"/>
        <v>11.890780084113418</v>
      </c>
      <c r="AE2221" s="10">
        <f t="shared" si="2429"/>
        <v>3.1127696555270723</v>
      </c>
    </row>
    <row r="2222" spans="1:31" x14ac:dyDescent="0.2">
      <c r="A2222" s="1" t="s">
        <v>6353</v>
      </c>
      <c r="B2222" s="1" t="s">
        <v>5</v>
      </c>
      <c r="C2222" s="1" t="s">
        <v>1706</v>
      </c>
      <c r="D2222" s="1" t="s">
        <v>1601</v>
      </c>
      <c r="E2222" s="1" t="s">
        <v>1602</v>
      </c>
      <c r="F2222" s="1" t="s">
        <v>1563</v>
      </c>
      <c r="G2222" s="4">
        <f>83.45%-83.04%</f>
        <v>4.0999999999999925E-3</v>
      </c>
      <c r="H2222" s="28">
        <v>43465</v>
      </c>
      <c r="I2222" s="29">
        <f t="shared" si="2421"/>
        <v>2018</v>
      </c>
      <c r="J2222" s="1" t="s">
        <v>7</v>
      </c>
      <c r="K2222" s="1" t="s">
        <v>6348</v>
      </c>
      <c r="L2222" s="11" t="str">
        <f t="shared" si="2418"/>
        <v>НЕТ</v>
      </c>
      <c r="M2222" s="10">
        <v>0</v>
      </c>
      <c r="N2222" s="10">
        <v>0</v>
      </c>
      <c r="O2222" s="10">
        <v>2.48E-3</v>
      </c>
      <c r="P2222" s="10">
        <f t="shared" si="2419"/>
        <v>0.6048780487804889</v>
      </c>
      <c r="Q2222" s="10">
        <f t="shared" si="2420"/>
        <v>0.84887804878048889</v>
      </c>
      <c r="R2222" s="10">
        <v>6.9779999999999998</v>
      </c>
      <c r="S2222" s="10">
        <v>0.32900000000000001</v>
      </c>
      <c r="T2222" s="10">
        <v>0.30099999999999999</v>
      </c>
      <c r="U2222" s="10">
        <v>0.19700000000000001</v>
      </c>
      <c r="V2222" s="10">
        <v>0.59</v>
      </c>
      <c r="W2222" s="10">
        <v>0.24399999999999999</v>
      </c>
      <c r="X2222" s="10">
        <f t="shared" si="2422"/>
        <v>0.83399999999999996</v>
      </c>
      <c r="Y2222" s="10">
        <f t="shared" si="2423"/>
        <v>8.6683583946759665E-2</v>
      </c>
      <c r="Z2222" s="10">
        <f t="shared" si="2424"/>
        <v>3.0704469481243089</v>
      </c>
      <c r="AA2222" s="10">
        <f t="shared" si="2425"/>
        <v>1.0252170318313372</v>
      </c>
      <c r="AB2222" s="10">
        <f t="shared" si="2426"/>
        <v>0.12165062321302507</v>
      </c>
      <c r="AC2222" s="10">
        <f t="shared" si="2427"/>
        <v>2.5801764400622762</v>
      </c>
      <c r="AD2222" s="10">
        <f t="shared" si="2428"/>
        <v>2.8201928530913252</v>
      </c>
      <c r="AE2222" s="10">
        <f t="shared" si="2429"/>
        <v>1.0178393870269651</v>
      </c>
    </row>
    <row r="2223" spans="1:31" x14ac:dyDescent="0.2">
      <c r="A2223" s="1" t="s">
        <v>6354</v>
      </c>
      <c r="B2223" s="1" t="s">
        <v>5</v>
      </c>
      <c r="C2223" s="1" t="s">
        <v>1705</v>
      </c>
      <c r="D2223" s="1" t="s">
        <v>1601</v>
      </c>
      <c r="E2223" s="1" t="s">
        <v>1602</v>
      </c>
      <c r="F2223" s="1" t="s">
        <v>1563</v>
      </c>
      <c r="G2223" s="4">
        <f>88.09%-87.95%</f>
        <v>1.3999999999999568E-3</v>
      </c>
      <c r="H2223" s="28">
        <v>43465</v>
      </c>
      <c r="I2223" s="29">
        <f t="shared" si="2421"/>
        <v>2018</v>
      </c>
      <c r="J2223" s="1" t="s">
        <v>7</v>
      </c>
      <c r="K2223" s="1" t="s">
        <v>6348</v>
      </c>
      <c r="L2223" s="11" t="str">
        <f t="shared" si="2418"/>
        <v>НЕТ</v>
      </c>
      <c r="M2223" s="10">
        <v>0</v>
      </c>
      <c r="N2223" s="10">
        <v>0</v>
      </c>
      <c r="O2223" s="10">
        <v>6.0999999999999999E-5</v>
      </c>
      <c r="P2223" s="10">
        <f t="shared" si="2419"/>
        <v>4.3571428571429913E-2</v>
      </c>
      <c r="Q2223" s="10">
        <f t="shared" si="2420"/>
        <v>0.46957142857143003</v>
      </c>
      <c r="R2223" s="10">
        <v>24.088000000000001</v>
      </c>
      <c r="S2223" s="10">
        <v>0.42400000000000004</v>
      </c>
      <c r="T2223" s="10">
        <v>0.40500000000000003</v>
      </c>
      <c r="U2223" s="10">
        <v>7.9000000000000001E-2</v>
      </c>
      <c r="V2223" s="10">
        <v>6.5000000000000002E-2</v>
      </c>
      <c r="W2223" s="10">
        <v>0.4260000000000001</v>
      </c>
      <c r="X2223" s="10">
        <f t="shared" si="2422"/>
        <v>0.4910000000000001</v>
      </c>
      <c r="Y2223" s="10">
        <f t="shared" si="2423"/>
        <v>1.8088437633439851E-3</v>
      </c>
      <c r="Z2223" s="10">
        <f t="shared" si="2424"/>
        <v>0.55153707052442924</v>
      </c>
      <c r="AA2223" s="10">
        <f t="shared" si="2425"/>
        <v>0.67032967032969093</v>
      </c>
      <c r="AB2223" s="10">
        <f t="shared" si="2426"/>
        <v>1.9493998197086932E-2</v>
      </c>
      <c r="AC2223" s="10">
        <f t="shared" si="2427"/>
        <v>1.1074797843665802</v>
      </c>
      <c r="AD2223" s="10">
        <f t="shared" si="2428"/>
        <v>1.1594356261022962</v>
      </c>
      <c r="AE2223" s="10">
        <f t="shared" si="2429"/>
        <v>0.95635728833285116</v>
      </c>
    </row>
    <row r="2224" spans="1:31" x14ac:dyDescent="0.2">
      <c r="A2224" s="1" t="s">
        <v>6355</v>
      </c>
      <c r="B2224" s="1" t="s">
        <v>5</v>
      </c>
      <c r="C2224" s="1" t="s">
        <v>1709</v>
      </c>
      <c r="D2224" s="1" t="s">
        <v>1601</v>
      </c>
      <c r="E2224" s="1" t="s">
        <v>1602</v>
      </c>
      <c r="F2224" s="1" t="s">
        <v>1563</v>
      </c>
      <c r="G2224" s="4">
        <f>94.21%-94.13%</f>
        <v>8.0000000000002292E-4</v>
      </c>
      <c r="H2224" s="28">
        <v>43465</v>
      </c>
      <c r="I2224" s="29">
        <f t="shared" si="2421"/>
        <v>2018</v>
      </c>
      <c r="J2224" s="1" t="s">
        <v>7</v>
      </c>
      <c r="K2224" s="1" t="s">
        <v>6348</v>
      </c>
      <c r="L2224" s="11" t="str">
        <f t="shared" si="2418"/>
        <v>НЕТ</v>
      </c>
      <c r="M2224" s="10">
        <v>0</v>
      </c>
      <c r="N2224" s="10">
        <v>0</v>
      </c>
      <c r="O2224" s="10">
        <v>4.3930000000000002E-3</v>
      </c>
      <c r="P2224" s="10">
        <f t="shared" si="2419"/>
        <v>5.4912499999998428</v>
      </c>
      <c r="Q2224" s="10">
        <f t="shared" si="2420"/>
        <v>10.799249999999844</v>
      </c>
      <c r="R2224" s="10">
        <v>39.743000000000002</v>
      </c>
      <c r="S2224" s="10">
        <v>2.57</v>
      </c>
      <c r="T2224" s="10">
        <v>2.512</v>
      </c>
      <c r="U2224" s="10">
        <v>0.84299999999999997</v>
      </c>
      <c r="V2224" s="10">
        <v>-2.3479999999999999</v>
      </c>
      <c r="W2224" s="10">
        <v>5.3080000000000007</v>
      </c>
      <c r="X2224" s="10">
        <f t="shared" si="2422"/>
        <v>2.9600000000000009</v>
      </c>
      <c r="Y2224" s="10">
        <f t="shared" si="2423"/>
        <v>0.13816898573333272</v>
      </c>
      <c r="Z2224" s="10">
        <f t="shared" si="2424"/>
        <v>6.5139383155395532</v>
      </c>
      <c r="AA2224" s="10">
        <f t="shared" si="2425"/>
        <v>-2.3386925042588769</v>
      </c>
      <c r="AB2224" s="10">
        <f t="shared" si="2426"/>
        <v>0.271727096595623</v>
      </c>
      <c r="AC2224" s="10">
        <f t="shared" si="2427"/>
        <v>4.2020428015563596</v>
      </c>
      <c r="AD2224" s="10">
        <f t="shared" si="2428"/>
        <v>4.2990644904457982</v>
      </c>
      <c r="AE2224" s="10">
        <f t="shared" si="2429"/>
        <v>3.6483952702702167</v>
      </c>
    </row>
    <row r="2225" spans="1:32" x14ac:dyDescent="0.2">
      <c r="A2225" s="1" t="s">
        <v>6356</v>
      </c>
      <c r="B2225" s="1" t="s">
        <v>5</v>
      </c>
      <c r="C2225" s="1" t="s">
        <v>1711</v>
      </c>
      <c r="D2225" s="1" t="s">
        <v>1601</v>
      </c>
      <c r="E2225" s="1" t="s">
        <v>1602</v>
      </c>
      <c r="F2225" s="1" t="s">
        <v>1563</v>
      </c>
      <c r="G2225" s="4">
        <f>85.75%-85.73%</f>
        <v>1.9999999999997797E-4</v>
      </c>
      <c r="H2225" s="28">
        <v>43465</v>
      </c>
      <c r="I2225" s="29">
        <f t="shared" si="2421"/>
        <v>2018</v>
      </c>
      <c r="J2225" s="1" t="s">
        <v>7</v>
      </c>
      <c r="K2225" s="1" t="s">
        <v>6348</v>
      </c>
      <c r="L2225" s="11" t="str">
        <f t="shared" si="2418"/>
        <v>НЕТ</v>
      </c>
      <c r="M2225" s="10">
        <v>0</v>
      </c>
      <c r="N2225" s="10">
        <v>0</v>
      </c>
      <c r="O2225" s="10">
        <v>6.6600000000000003E-4</v>
      </c>
      <c r="P2225" s="10">
        <f t="shared" si="2419"/>
        <v>3.3300000000003669</v>
      </c>
      <c r="Q2225" s="10">
        <f t="shared" si="2420"/>
        <v>5.0110000000003669</v>
      </c>
      <c r="R2225" s="10">
        <v>15.881</v>
      </c>
      <c r="S2225" s="10">
        <v>0.11</v>
      </c>
      <c r="T2225" s="10">
        <v>6.3E-2</v>
      </c>
      <c r="U2225" s="10">
        <v>-0.23</v>
      </c>
      <c r="V2225" s="10">
        <v>-0.35899999999999999</v>
      </c>
      <c r="W2225" s="10">
        <v>1.681</v>
      </c>
      <c r="X2225" s="10">
        <f t="shared" si="2422"/>
        <v>1.3220000000000001</v>
      </c>
      <c r="Y2225" s="10">
        <f t="shared" si="2423"/>
        <v>0.20968452868209603</v>
      </c>
      <c r="Z2225" s="10">
        <f t="shared" si="2424"/>
        <v>-14.478260869566812</v>
      </c>
      <c r="AA2225" s="10">
        <f t="shared" si="2425"/>
        <v>-9.2757660167141136</v>
      </c>
      <c r="AB2225" s="10">
        <f t="shared" si="2426"/>
        <v>0.31553428625403734</v>
      </c>
      <c r="AC2225" s="10">
        <f t="shared" si="2427"/>
        <v>45.554545454548787</v>
      </c>
      <c r="AD2225" s="10">
        <f t="shared" si="2428"/>
        <v>79.539682539688357</v>
      </c>
      <c r="AE2225" s="10">
        <f t="shared" si="2429"/>
        <v>3.7904689863845435</v>
      </c>
    </row>
    <row r="2226" spans="1:32" x14ac:dyDescent="0.2">
      <c r="A2226" s="1" t="s">
        <v>6351</v>
      </c>
      <c r="B2226" s="1" t="s">
        <v>5</v>
      </c>
      <c r="C2226" s="1" t="s">
        <v>1707</v>
      </c>
      <c r="D2226" s="1" t="s">
        <v>1601</v>
      </c>
      <c r="E2226" s="1" t="s">
        <v>1602</v>
      </c>
      <c r="F2226" s="1" t="s">
        <v>1563</v>
      </c>
      <c r="G2226" s="4">
        <f>94.84%-91.5%</f>
        <v>3.3399999999999985E-2</v>
      </c>
      <c r="H2226" s="28">
        <v>43465</v>
      </c>
      <c r="I2226" s="29">
        <f t="shared" si="2421"/>
        <v>2018</v>
      </c>
      <c r="J2226" s="1" t="s">
        <v>7</v>
      </c>
      <c r="K2226" s="1" t="s">
        <v>6348</v>
      </c>
      <c r="L2226" s="11" t="str">
        <f t="shared" si="2418"/>
        <v>НЕТ</v>
      </c>
      <c r="M2226" s="10">
        <v>0</v>
      </c>
      <c r="N2226" s="10">
        <v>0</v>
      </c>
      <c r="O2226" s="10">
        <v>4.7019999999999996E-3</v>
      </c>
      <c r="P2226" s="10">
        <f t="shared" si="2419"/>
        <v>0.14077844311377249</v>
      </c>
      <c r="Q2226" s="10">
        <f t="shared" si="2420"/>
        <v>4.8797784431137723</v>
      </c>
      <c r="R2226" s="10">
        <v>42.84</v>
      </c>
      <c r="S2226" s="10">
        <v>0.76700000000000002</v>
      </c>
      <c r="T2226" s="10">
        <v>0.68500000000000005</v>
      </c>
      <c r="U2226" s="10">
        <v>9.2999999999999999E-2</v>
      </c>
      <c r="V2226" s="10">
        <v>-1.8979999999999999</v>
      </c>
      <c r="W2226" s="10">
        <v>4.7389999999999999</v>
      </c>
      <c r="X2226" s="10">
        <f t="shared" si="2422"/>
        <v>2.8410000000000002</v>
      </c>
      <c r="Y2226" s="10">
        <f t="shared" si="2423"/>
        <v>3.2861447972402542E-3</v>
      </c>
      <c r="Z2226" s="10">
        <f t="shared" si="2424"/>
        <v>1.5137467001480913</v>
      </c>
      <c r="AA2226" s="10">
        <f t="shared" si="2425"/>
        <v>-7.4171993210628298E-2</v>
      </c>
      <c r="AB2226" s="10">
        <f t="shared" si="2426"/>
        <v>0.11390705982991998</v>
      </c>
      <c r="AC2226" s="10">
        <f t="shared" si="2427"/>
        <v>6.3621622465629359</v>
      </c>
      <c r="AD2226" s="10">
        <f t="shared" si="2428"/>
        <v>7.1237641505310538</v>
      </c>
      <c r="AE2226" s="10">
        <f t="shared" si="2429"/>
        <v>1.7176270479105147</v>
      </c>
    </row>
    <row r="2227" spans="1:32" x14ac:dyDescent="0.2">
      <c r="A2227" s="1" t="s">
        <v>6352</v>
      </c>
      <c r="B2227" s="1" t="s">
        <v>5</v>
      </c>
      <c r="C2227" s="1" t="s">
        <v>1708</v>
      </c>
      <c r="D2227" s="1" t="s">
        <v>1601</v>
      </c>
      <c r="E2227" s="1" t="s">
        <v>1602</v>
      </c>
      <c r="F2227" s="1" t="s">
        <v>1563</v>
      </c>
      <c r="G2227" s="4">
        <f>85.43%-84.04%</f>
        <v>1.3900000000000023E-2</v>
      </c>
      <c r="H2227" s="28">
        <v>43465</v>
      </c>
      <c r="I2227" s="29">
        <f t="shared" si="2421"/>
        <v>2018</v>
      </c>
      <c r="J2227" s="1" t="s">
        <v>7</v>
      </c>
      <c r="K2227" s="1" t="s">
        <v>6348</v>
      </c>
      <c r="L2227" s="11" t="str">
        <f t="shared" ref="L2227:L2290" si="2430">IF(OR(A2227=J2227,A2227=K2227),"ДА","НЕТ")</f>
        <v>НЕТ</v>
      </c>
      <c r="M2227" s="10">
        <v>0</v>
      </c>
      <c r="N2227" s="10">
        <v>0</v>
      </c>
      <c r="O2227" s="10">
        <v>4.6718999999999997E-2</v>
      </c>
      <c r="P2227" s="10">
        <f t="shared" si="2419"/>
        <v>3.3610791366906416</v>
      </c>
      <c r="Q2227" s="10">
        <f t="shared" si="2420"/>
        <v>5.204079136690642</v>
      </c>
      <c r="R2227" s="10">
        <v>47.24</v>
      </c>
      <c r="S2227" s="10">
        <v>0.12800000000000003</v>
      </c>
      <c r="T2227" s="10">
        <v>4.6000000000000027E-2</v>
      </c>
      <c r="U2227" s="10">
        <v>-0.17599999999999999</v>
      </c>
      <c r="V2227" s="10">
        <v>-0.16500000000000001</v>
      </c>
      <c r="W2227" s="10">
        <v>1.8430000000000002</v>
      </c>
      <c r="X2227" s="10">
        <f t="shared" si="2422"/>
        <v>1.6780000000000002</v>
      </c>
      <c r="Y2227" s="10">
        <f t="shared" si="2423"/>
        <v>7.1149007973976316E-2</v>
      </c>
      <c r="Z2227" s="10">
        <f t="shared" si="2424"/>
        <v>-19.097040549378647</v>
      </c>
      <c r="AA2227" s="10">
        <f t="shared" si="2425"/>
        <v>-20.370176586003886</v>
      </c>
      <c r="AB2227" s="10">
        <f t="shared" si="2426"/>
        <v>0.1101625558147892</v>
      </c>
      <c r="AC2227" s="10">
        <f t="shared" si="2427"/>
        <v>40.656868255395629</v>
      </c>
      <c r="AD2227" s="10">
        <f t="shared" si="2428"/>
        <v>113.13215514544868</v>
      </c>
      <c r="AE2227" s="10">
        <f t="shared" si="2429"/>
        <v>3.1013582459419795</v>
      </c>
    </row>
    <row r="2228" spans="1:32" x14ac:dyDescent="0.2">
      <c r="A2228" s="1" t="s">
        <v>6357</v>
      </c>
      <c r="B2228" s="1" t="s">
        <v>5</v>
      </c>
      <c r="C2228" s="1" t="s">
        <v>1575</v>
      </c>
      <c r="D2228" s="1" t="s">
        <v>1601</v>
      </c>
      <c r="E2228" s="1" t="s">
        <v>5352</v>
      </c>
      <c r="F2228" s="1" t="s">
        <v>1570</v>
      </c>
      <c r="G2228" s="4">
        <v>1</v>
      </c>
      <c r="H2228" s="28">
        <v>42766</v>
      </c>
      <c r="I2228" s="29">
        <f t="shared" si="2421"/>
        <v>2017</v>
      </c>
      <c r="J2228" s="1" t="s">
        <v>6358</v>
      </c>
      <c r="K2228" s="1" t="s">
        <v>1572</v>
      </c>
      <c r="L2228" s="11" t="str">
        <f t="shared" si="2430"/>
        <v>НЕТ</v>
      </c>
      <c r="M2228" s="10">
        <v>0</v>
      </c>
      <c r="N2228" s="10">
        <v>0</v>
      </c>
      <c r="O2228" s="10">
        <v>2.5999999999999999E-2</v>
      </c>
      <c r="P2228" s="10">
        <f t="shared" si="2419"/>
        <v>2.5999999999999999E-2</v>
      </c>
      <c r="Q2228" s="10" t="str">
        <f t="shared" si="2420"/>
        <v>NA</v>
      </c>
      <c r="R2228" s="10" t="s">
        <v>1575</v>
      </c>
      <c r="S2228" s="10" t="s">
        <v>1575</v>
      </c>
      <c r="T2228" s="10" t="s">
        <v>1575</v>
      </c>
      <c r="U2228" s="10" t="s">
        <v>1575</v>
      </c>
      <c r="V2228" s="10" t="s">
        <v>1575</v>
      </c>
      <c r="W2228" s="10" t="s">
        <v>1575</v>
      </c>
      <c r="X2228" s="10" t="str">
        <f t="shared" si="2422"/>
        <v>NA</v>
      </c>
      <c r="Y2228" s="10" t="str">
        <f t="shared" si="2423"/>
        <v>NA</v>
      </c>
      <c r="Z2228" s="10" t="str">
        <f t="shared" si="2424"/>
        <v>NA</v>
      </c>
      <c r="AA2228" s="10" t="str">
        <f t="shared" si="2425"/>
        <v>NA</v>
      </c>
      <c r="AB2228" s="10" t="str">
        <f t="shared" si="2426"/>
        <v>NA</v>
      </c>
      <c r="AC2228" s="10" t="str">
        <f t="shared" si="2427"/>
        <v>NA</v>
      </c>
      <c r="AD2228" s="10" t="str">
        <f t="shared" si="2428"/>
        <v>NA</v>
      </c>
      <c r="AE2228" s="10" t="str">
        <f t="shared" si="2429"/>
        <v>NA</v>
      </c>
      <c r="AF2228" s="1" t="s">
        <v>1571</v>
      </c>
    </row>
    <row r="2229" spans="1:32" x14ac:dyDescent="0.2">
      <c r="A2229" s="1" t="s">
        <v>6353</v>
      </c>
      <c r="B2229" s="1" t="s">
        <v>5</v>
      </c>
      <c r="C2229" s="1" t="s">
        <v>1706</v>
      </c>
      <c r="D2229" s="1" t="s">
        <v>1601</v>
      </c>
      <c r="E2229" s="1" t="s">
        <v>1602</v>
      </c>
      <c r="F2229" s="1" t="s">
        <v>1563</v>
      </c>
      <c r="G2229" s="4" t="s">
        <v>1575</v>
      </c>
      <c r="H2229" s="28">
        <v>43100</v>
      </c>
      <c r="I2229" s="29">
        <f t="shared" si="2421"/>
        <v>2017</v>
      </c>
      <c r="J2229" s="1" t="s">
        <v>6348</v>
      </c>
      <c r="K2229" s="1" t="s">
        <v>7</v>
      </c>
      <c r="L2229" s="11" t="str">
        <f t="shared" si="2430"/>
        <v>НЕТ</v>
      </c>
      <c r="M2229" s="10">
        <v>0</v>
      </c>
      <c r="N2229" s="10">
        <v>0</v>
      </c>
      <c r="O2229" s="10">
        <v>1.261E-3</v>
      </c>
      <c r="P2229" s="10" t="str">
        <f t="shared" si="2419"/>
        <v>NA</v>
      </c>
      <c r="Q2229" s="10" t="str">
        <f t="shared" si="2420"/>
        <v>NA</v>
      </c>
      <c r="R2229" s="10">
        <v>6.7919999999999998</v>
      </c>
      <c r="S2229" s="10">
        <v>0.29500000000000004</v>
      </c>
      <c r="T2229" s="10">
        <v>0.27400000000000002</v>
      </c>
      <c r="U2229" s="10">
        <v>0.17699999999999999</v>
      </c>
      <c r="V2229" s="10">
        <v>0.51300000000000001</v>
      </c>
      <c r="W2229" s="10">
        <v>0.502</v>
      </c>
      <c r="X2229" s="10">
        <f t="shared" si="2422"/>
        <v>1.0150000000000001</v>
      </c>
      <c r="Y2229" s="10" t="str">
        <f t="shared" si="2423"/>
        <v>NA</v>
      </c>
      <c r="Z2229" s="10" t="str">
        <f t="shared" si="2424"/>
        <v>NA</v>
      </c>
      <c r="AA2229" s="10" t="str">
        <f t="shared" si="2425"/>
        <v>NA</v>
      </c>
      <c r="AB2229" s="10" t="str">
        <f t="shared" si="2426"/>
        <v>NA</v>
      </c>
      <c r="AC2229" s="10" t="str">
        <f t="shared" si="2427"/>
        <v>NA</v>
      </c>
      <c r="AD2229" s="10" t="str">
        <f t="shared" si="2428"/>
        <v>NA</v>
      </c>
      <c r="AE2229" s="10" t="str">
        <f t="shared" si="2429"/>
        <v>NA</v>
      </c>
    </row>
    <row r="2230" spans="1:32" x14ac:dyDescent="0.2">
      <c r="A2230" s="1" t="s">
        <v>6354</v>
      </c>
      <c r="B2230" s="1" t="s">
        <v>5</v>
      </c>
      <c r="C2230" s="1" t="s">
        <v>1705</v>
      </c>
      <c r="D2230" s="1" t="s">
        <v>1601</v>
      </c>
      <c r="E2230" s="1" t="s">
        <v>1602</v>
      </c>
      <c r="F2230" s="1" t="s">
        <v>1563</v>
      </c>
      <c r="G2230" s="4" t="s">
        <v>1575</v>
      </c>
      <c r="H2230" s="28">
        <v>43100</v>
      </c>
      <c r="I2230" s="29">
        <f t="shared" si="2421"/>
        <v>2017</v>
      </c>
      <c r="J2230" s="1" t="s">
        <v>6348</v>
      </c>
      <c r="K2230" s="1" t="s">
        <v>7</v>
      </c>
      <c r="L2230" s="11" t="str">
        <f t="shared" si="2430"/>
        <v>НЕТ</v>
      </c>
      <c r="M2230" s="10">
        <v>0</v>
      </c>
      <c r="N2230" s="10">
        <v>0</v>
      </c>
      <c r="O2230" s="10">
        <v>5.8E-5</v>
      </c>
      <c r="P2230" s="10" t="str">
        <f t="shared" si="2419"/>
        <v>NA</v>
      </c>
      <c r="Q2230" s="10" t="str">
        <f t="shared" si="2420"/>
        <v>NA</v>
      </c>
      <c r="R2230" s="10">
        <v>22.24</v>
      </c>
      <c r="S2230" s="10">
        <v>0.10299999999999999</v>
      </c>
      <c r="T2230" s="10">
        <v>8.199999999999999E-2</v>
      </c>
      <c r="U2230" s="10">
        <v>-3.7999999999999999E-2</v>
      </c>
      <c r="V2230" s="10">
        <v>0.14799999999999999</v>
      </c>
      <c r="W2230" s="10">
        <v>0.2420000000000001</v>
      </c>
      <c r="X2230" s="10">
        <f t="shared" si="2422"/>
        <v>0.39000000000000012</v>
      </c>
      <c r="Y2230" s="10" t="str">
        <f t="shared" si="2423"/>
        <v>NA</v>
      </c>
      <c r="Z2230" s="10" t="str">
        <f t="shared" si="2424"/>
        <v>NA</v>
      </c>
      <c r="AA2230" s="10" t="str">
        <f t="shared" si="2425"/>
        <v>NA</v>
      </c>
      <c r="AB2230" s="10" t="str">
        <f t="shared" si="2426"/>
        <v>NA</v>
      </c>
      <c r="AC2230" s="10" t="str">
        <f t="shared" si="2427"/>
        <v>NA</v>
      </c>
      <c r="AD2230" s="10" t="str">
        <f t="shared" si="2428"/>
        <v>NA</v>
      </c>
      <c r="AE2230" s="10" t="str">
        <f t="shared" si="2429"/>
        <v>NA</v>
      </c>
    </row>
    <row r="2231" spans="1:32" x14ac:dyDescent="0.2">
      <c r="A2231" s="1" t="s">
        <v>6355</v>
      </c>
      <c r="B2231" s="1" t="s">
        <v>5</v>
      </c>
      <c r="C2231" s="1" t="s">
        <v>1709</v>
      </c>
      <c r="D2231" s="1" t="s">
        <v>1601</v>
      </c>
      <c r="E2231" s="1" t="s">
        <v>1602</v>
      </c>
      <c r="F2231" s="1" t="s">
        <v>1563</v>
      </c>
      <c r="G2231" s="4" t="s">
        <v>1575</v>
      </c>
      <c r="H2231" s="28">
        <v>43100</v>
      </c>
      <c r="I2231" s="29">
        <f t="shared" si="2421"/>
        <v>2017</v>
      </c>
      <c r="J2231" s="1" t="s">
        <v>6348</v>
      </c>
      <c r="K2231" s="1" t="s">
        <v>7</v>
      </c>
      <c r="L2231" s="11" t="str">
        <f t="shared" si="2430"/>
        <v>НЕТ</v>
      </c>
      <c r="M2231" s="10">
        <v>0</v>
      </c>
      <c r="N2231" s="10">
        <v>0</v>
      </c>
      <c r="O2231" s="10">
        <v>1.0269999999999999E-3</v>
      </c>
      <c r="P2231" s="10" t="str">
        <f t="shared" si="2419"/>
        <v>NA</v>
      </c>
      <c r="Q2231" s="10" t="str">
        <f t="shared" si="2420"/>
        <v>NA</v>
      </c>
      <c r="R2231" s="10">
        <v>37.838000000000001</v>
      </c>
      <c r="S2231" s="10">
        <v>-0.52600000000000002</v>
      </c>
      <c r="T2231" s="10">
        <v>-0.57700000000000007</v>
      </c>
      <c r="U2231" s="10">
        <v>-0.91900000000000004</v>
      </c>
      <c r="V2231" s="10">
        <v>-2.9820000000000002</v>
      </c>
      <c r="W2231" s="10">
        <v>6.3019999999999996</v>
      </c>
      <c r="X2231" s="10">
        <f t="shared" si="2422"/>
        <v>3.3199999999999994</v>
      </c>
      <c r="Y2231" s="10" t="str">
        <f t="shared" si="2423"/>
        <v>NA</v>
      </c>
      <c r="Z2231" s="10" t="str">
        <f t="shared" si="2424"/>
        <v>NA</v>
      </c>
      <c r="AA2231" s="10" t="str">
        <f t="shared" si="2425"/>
        <v>NA</v>
      </c>
      <c r="AB2231" s="10" t="str">
        <f t="shared" si="2426"/>
        <v>NA</v>
      </c>
      <c r="AC2231" s="10" t="str">
        <f t="shared" si="2427"/>
        <v>NA</v>
      </c>
      <c r="AD2231" s="10" t="str">
        <f t="shared" si="2428"/>
        <v>NA</v>
      </c>
      <c r="AE2231" s="10" t="str">
        <f t="shared" si="2429"/>
        <v>NA</v>
      </c>
    </row>
    <row r="2232" spans="1:32" x14ac:dyDescent="0.2">
      <c r="A2232" s="1" t="s">
        <v>6356</v>
      </c>
      <c r="B2232" s="1" t="s">
        <v>5</v>
      </c>
      <c r="C2232" s="1" t="s">
        <v>1711</v>
      </c>
      <c r="D2232" s="1" t="s">
        <v>1601</v>
      </c>
      <c r="E2232" s="1" t="s">
        <v>1602</v>
      </c>
      <c r="F2232" s="1" t="s">
        <v>1563</v>
      </c>
      <c r="G2232" s="4" t="s">
        <v>1575</v>
      </c>
      <c r="H2232" s="28">
        <v>43100</v>
      </c>
      <c r="I2232" s="29">
        <f t="shared" si="2421"/>
        <v>2017</v>
      </c>
      <c r="J2232" s="1" t="s">
        <v>6348</v>
      </c>
      <c r="K2232" s="1" t="s">
        <v>7</v>
      </c>
      <c r="L2232" s="11" t="str">
        <f t="shared" si="2430"/>
        <v>НЕТ</v>
      </c>
      <c r="M2232" s="10">
        <v>0</v>
      </c>
      <c r="N2232" s="10">
        <v>0</v>
      </c>
      <c r="O2232" s="10">
        <v>6.6500000000000001E-4</v>
      </c>
      <c r="P2232" s="10" t="str">
        <f t="shared" si="2419"/>
        <v>NA</v>
      </c>
      <c r="Q2232" s="10" t="str">
        <f t="shared" si="2420"/>
        <v>NA</v>
      </c>
      <c r="R2232" s="10">
        <v>15.24</v>
      </c>
      <c r="S2232" s="10">
        <v>0.20400000000000001</v>
      </c>
      <c r="T2232" s="10">
        <v>0.16900000000000001</v>
      </c>
      <c r="U2232" s="10">
        <v>-3.6999999999999998E-2</v>
      </c>
      <c r="V2232" s="10">
        <v>8.7999999999999995E-2</v>
      </c>
      <c r="W2232" s="10">
        <v>1.7540000000000002</v>
      </c>
      <c r="X2232" s="10">
        <f t="shared" si="2422"/>
        <v>1.8420000000000003</v>
      </c>
      <c r="Y2232" s="10" t="str">
        <f t="shared" si="2423"/>
        <v>NA</v>
      </c>
      <c r="Z2232" s="10" t="str">
        <f t="shared" si="2424"/>
        <v>NA</v>
      </c>
      <c r="AA2232" s="10" t="str">
        <f t="shared" si="2425"/>
        <v>NA</v>
      </c>
      <c r="AB2232" s="10" t="str">
        <f t="shared" si="2426"/>
        <v>NA</v>
      </c>
      <c r="AC2232" s="10" t="str">
        <f t="shared" si="2427"/>
        <v>NA</v>
      </c>
      <c r="AD2232" s="10" t="str">
        <f t="shared" si="2428"/>
        <v>NA</v>
      </c>
      <c r="AE2232" s="10" t="str">
        <f t="shared" si="2429"/>
        <v>NA</v>
      </c>
    </row>
    <row r="2233" spans="1:32" x14ac:dyDescent="0.2">
      <c r="A2233" s="1" t="s">
        <v>6351</v>
      </c>
      <c r="B2233" s="1" t="s">
        <v>5</v>
      </c>
      <c r="C2233" s="1" t="s">
        <v>1707</v>
      </c>
      <c r="D2233" s="1" t="s">
        <v>1601</v>
      </c>
      <c r="E2233" s="1" t="s">
        <v>1602</v>
      </c>
      <c r="F2233" s="1" t="s">
        <v>1563</v>
      </c>
      <c r="G2233" s="4" t="s">
        <v>1575</v>
      </c>
      <c r="H2233" s="28">
        <v>43100</v>
      </c>
      <c r="I2233" s="29">
        <f t="shared" si="2421"/>
        <v>2017</v>
      </c>
      <c r="J2233" s="1" t="s">
        <v>6348</v>
      </c>
      <c r="K2233" s="1" t="s">
        <v>7</v>
      </c>
      <c r="L2233" s="11" t="str">
        <f t="shared" si="2430"/>
        <v>НЕТ</v>
      </c>
      <c r="M2233" s="10">
        <v>0</v>
      </c>
      <c r="N2233" s="10">
        <v>0</v>
      </c>
      <c r="O2233" s="10">
        <v>0.56236799999999998</v>
      </c>
      <c r="P2233" s="10" t="str">
        <f t="shared" si="2419"/>
        <v>NA</v>
      </c>
      <c r="Q2233" s="10" t="str">
        <f t="shared" si="2420"/>
        <v>NA</v>
      </c>
      <c r="R2233" s="10">
        <v>40.442</v>
      </c>
      <c r="S2233" s="10">
        <v>0.51999999999999991</v>
      </c>
      <c r="T2233" s="10">
        <v>0.43699999999999994</v>
      </c>
      <c r="U2233" s="10">
        <v>0.11899999999999999</v>
      </c>
      <c r="V2233" s="10">
        <v>-1.6819999999999999</v>
      </c>
      <c r="W2233" s="10">
        <v>4.8239999999999998</v>
      </c>
      <c r="X2233" s="10">
        <f t="shared" si="2422"/>
        <v>3.1419999999999999</v>
      </c>
      <c r="Y2233" s="10" t="str">
        <f t="shared" si="2423"/>
        <v>NA</v>
      </c>
      <c r="Z2233" s="10" t="str">
        <f t="shared" si="2424"/>
        <v>NA</v>
      </c>
      <c r="AA2233" s="10" t="str">
        <f t="shared" si="2425"/>
        <v>NA</v>
      </c>
      <c r="AB2233" s="10" t="str">
        <f t="shared" si="2426"/>
        <v>NA</v>
      </c>
      <c r="AC2233" s="10" t="str">
        <f t="shared" si="2427"/>
        <v>NA</v>
      </c>
      <c r="AD2233" s="10" t="str">
        <f t="shared" si="2428"/>
        <v>NA</v>
      </c>
      <c r="AE2233" s="10" t="str">
        <f t="shared" si="2429"/>
        <v>NA</v>
      </c>
    </row>
    <row r="2234" spans="1:32" x14ac:dyDescent="0.2">
      <c r="A2234" s="1" t="s">
        <v>6352</v>
      </c>
      <c r="B2234" s="1" t="s">
        <v>5</v>
      </c>
      <c r="C2234" s="1" t="s">
        <v>1708</v>
      </c>
      <c r="D2234" s="1" t="s">
        <v>1601</v>
      </c>
      <c r="E2234" s="1" t="s">
        <v>1602</v>
      </c>
      <c r="F2234" s="1" t="s">
        <v>1563</v>
      </c>
      <c r="G2234" s="4" t="s">
        <v>1575</v>
      </c>
      <c r="H2234" s="28">
        <v>43100</v>
      </c>
      <c r="I2234" s="29">
        <f t="shared" si="2421"/>
        <v>2017</v>
      </c>
      <c r="J2234" s="1" t="s">
        <v>7</v>
      </c>
      <c r="K2234" s="1" t="s">
        <v>6348</v>
      </c>
      <c r="L2234" s="11" t="str">
        <f t="shared" si="2430"/>
        <v>НЕТ</v>
      </c>
      <c r="M2234" s="10">
        <v>0</v>
      </c>
      <c r="N2234" s="10">
        <v>0</v>
      </c>
      <c r="O2234" s="10">
        <v>0.11241</v>
      </c>
      <c r="P2234" s="10" t="str">
        <f t="shared" si="2419"/>
        <v>NA</v>
      </c>
      <c r="Q2234" s="10" t="str">
        <f t="shared" si="2420"/>
        <v>NA</v>
      </c>
      <c r="R2234" s="10">
        <v>44.286000000000001</v>
      </c>
      <c r="S2234" s="10">
        <v>0.35499999999999998</v>
      </c>
      <c r="T2234" s="10">
        <v>0.25999999999999995</v>
      </c>
      <c r="U2234" s="10">
        <v>1.2E-2</v>
      </c>
      <c r="V2234" s="10">
        <v>0.25600000000000001</v>
      </c>
      <c r="W2234" s="10">
        <v>1.2549999999999999</v>
      </c>
      <c r="X2234" s="10">
        <f t="shared" si="2422"/>
        <v>1.5109999999999999</v>
      </c>
      <c r="Y2234" s="10" t="str">
        <f t="shared" si="2423"/>
        <v>NA</v>
      </c>
      <c r="Z2234" s="10" t="str">
        <f t="shared" si="2424"/>
        <v>NA</v>
      </c>
      <c r="AA2234" s="10" t="str">
        <f t="shared" si="2425"/>
        <v>NA</v>
      </c>
      <c r="AB2234" s="10" t="str">
        <f t="shared" si="2426"/>
        <v>NA</v>
      </c>
      <c r="AC2234" s="10" t="str">
        <f t="shared" si="2427"/>
        <v>NA</v>
      </c>
      <c r="AD2234" s="10" t="str">
        <f t="shared" si="2428"/>
        <v>NA</v>
      </c>
      <c r="AE2234" s="10" t="str">
        <f t="shared" si="2429"/>
        <v>NA</v>
      </c>
    </row>
    <row r="2235" spans="1:32" x14ac:dyDescent="0.2">
      <c r="A2235" s="1" t="s">
        <v>6353</v>
      </c>
      <c r="B2235" s="1" t="s">
        <v>5</v>
      </c>
      <c r="C2235" s="1" t="s">
        <v>1706</v>
      </c>
      <c r="D2235" s="1" t="s">
        <v>1601</v>
      </c>
      <c r="E2235" s="1" t="s">
        <v>1602</v>
      </c>
      <c r="F2235" s="1" t="s">
        <v>1563</v>
      </c>
      <c r="G2235" s="4">
        <f>86.06%-85.3%</f>
        <v>7.6000000000000512E-3</v>
      </c>
      <c r="H2235" s="28">
        <v>42551</v>
      </c>
      <c r="I2235" s="29">
        <f t="shared" si="2421"/>
        <v>2016</v>
      </c>
      <c r="J2235" s="1" t="s">
        <v>7</v>
      </c>
      <c r="K2235" s="1" t="s">
        <v>6348</v>
      </c>
      <c r="L2235" s="11" t="str">
        <f t="shared" si="2430"/>
        <v>НЕТ</v>
      </c>
      <c r="M2235" s="10">
        <v>0</v>
      </c>
      <c r="N2235" s="10">
        <v>0</v>
      </c>
      <c r="O2235" s="10">
        <v>4.15E-3</v>
      </c>
      <c r="P2235" s="10">
        <f t="shared" si="2419"/>
        <v>0.54605263157894368</v>
      </c>
      <c r="Q2235" s="10">
        <f t="shared" si="2420"/>
        <v>0.3180526315789437</v>
      </c>
      <c r="R2235" s="10">
        <v>5.766</v>
      </c>
      <c r="S2235" s="10" t="s">
        <v>1575</v>
      </c>
      <c r="T2235" s="10">
        <v>0.26500000000000001</v>
      </c>
      <c r="U2235" s="10">
        <v>0.18099999999999999</v>
      </c>
      <c r="V2235" s="10">
        <v>0.39</v>
      </c>
      <c r="W2235" s="10">
        <v>-0.22800000000000001</v>
      </c>
      <c r="X2235" s="10">
        <f t="shared" si="2422"/>
        <v>0.16200000000000001</v>
      </c>
      <c r="Y2235" s="10">
        <f t="shared" si="2423"/>
        <v>9.4702156014384961E-2</v>
      </c>
      <c r="Z2235" s="10">
        <f t="shared" si="2424"/>
        <v>3.0168653678394679</v>
      </c>
      <c r="AA2235" s="10">
        <f t="shared" si="2425"/>
        <v>1.4001349527665221</v>
      </c>
      <c r="AB2235" s="10">
        <f t="shared" si="2426"/>
        <v>5.5160012413968729E-2</v>
      </c>
      <c r="AC2235" s="10" t="str">
        <f t="shared" si="2427"/>
        <v>NA</v>
      </c>
      <c r="AD2235" s="10">
        <f t="shared" si="2428"/>
        <v>1.2001986097318629</v>
      </c>
      <c r="AE2235" s="10">
        <f t="shared" si="2429"/>
        <v>1.9632878492527388</v>
      </c>
    </row>
    <row r="2236" spans="1:32" x14ac:dyDescent="0.2">
      <c r="A2236" s="1" t="s">
        <v>6354</v>
      </c>
      <c r="B2236" s="1" t="s">
        <v>5</v>
      </c>
      <c r="C2236" s="1" t="s">
        <v>1705</v>
      </c>
      <c r="D2236" s="1" t="s">
        <v>1601</v>
      </c>
      <c r="E2236" s="1" t="s">
        <v>1602</v>
      </c>
      <c r="F2236" s="1" t="s">
        <v>1563</v>
      </c>
      <c r="G2236" s="4">
        <f>92.9%-92.8%</f>
        <v>1.0000000000001119E-3</v>
      </c>
      <c r="H2236" s="28">
        <v>42551</v>
      </c>
      <c r="I2236" s="29">
        <f t="shared" si="2421"/>
        <v>2016</v>
      </c>
      <c r="J2236" s="1" t="s">
        <v>7</v>
      </c>
      <c r="K2236" s="1" t="s">
        <v>6348</v>
      </c>
      <c r="L2236" s="11" t="str">
        <f t="shared" si="2430"/>
        <v>НЕТ</v>
      </c>
      <c r="M2236" s="10">
        <v>0</v>
      </c>
      <c r="N2236" s="10">
        <v>0</v>
      </c>
      <c r="O2236" s="10">
        <v>2.7434E-2</v>
      </c>
      <c r="P2236" s="10">
        <f t="shared" si="2419"/>
        <v>27.433999999996932</v>
      </c>
      <c r="Q2236" s="10">
        <f t="shared" si="2420"/>
        <v>26.854999999996931</v>
      </c>
      <c r="R2236" s="10">
        <v>18.873000000000001</v>
      </c>
      <c r="S2236" s="10" t="s">
        <v>1575</v>
      </c>
      <c r="T2236" s="10">
        <v>0.49299999999999999</v>
      </c>
      <c r="U2236" s="10">
        <v>0.29299999999999998</v>
      </c>
      <c r="V2236" s="10">
        <v>0.46600000000000003</v>
      </c>
      <c r="W2236" s="10">
        <v>-0.57899999999999996</v>
      </c>
      <c r="X2236" s="10">
        <f t="shared" si="2422"/>
        <v>-0.11299999999999993</v>
      </c>
      <c r="Y2236" s="10">
        <f t="shared" si="2423"/>
        <v>1.4536109786465814</v>
      </c>
      <c r="Z2236" s="10">
        <f t="shared" si="2424"/>
        <v>93.631399317395676</v>
      </c>
      <c r="AA2236" s="10">
        <f t="shared" si="2425"/>
        <v>58.871244635186542</v>
      </c>
      <c r="AB2236" s="10">
        <f t="shared" si="2426"/>
        <v>1.4229322312296364</v>
      </c>
      <c r="AC2236" s="10" t="str">
        <f t="shared" si="2427"/>
        <v>NA</v>
      </c>
      <c r="AD2236" s="10">
        <f t="shared" si="2428"/>
        <v>54.472616632853814</v>
      </c>
      <c r="AE2236" s="10">
        <f t="shared" si="2429"/>
        <v>-237.65486725661015</v>
      </c>
    </row>
    <row r="2237" spans="1:32" x14ac:dyDescent="0.2">
      <c r="A2237" s="1" t="s">
        <v>6355</v>
      </c>
      <c r="B2237" s="1" t="s">
        <v>5</v>
      </c>
      <c r="C2237" s="1" t="s">
        <v>1709</v>
      </c>
      <c r="D2237" s="1" t="s">
        <v>1601</v>
      </c>
      <c r="E2237" s="1" t="s">
        <v>1602</v>
      </c>
      <c r="F2237" s="1" t="s">
        <v>1563</v>
      </c>
      <c r="G2237" s="4">
        <f>97.21%-97.17%</f>
        <v>3.9999999999995595E-4</v>
      </c>
      <c r="H2237" s="28">
        <v>42551</v>
      </c>
      <c r="I2237" s="29">
        <f t="shared" si="2421"/>
        <v>2016</v>
      </c>
      <c r="J2237" s="1" t="s">
        <v>7</v>
      </c>
      <c r="K2237" s="1" t="s">
        <v>6348</v>
      </c>
      <c r="L2237" s="11" t="str">
        <f t="shared" si="2430"/>
        <v>НЕТ</v>
      </c>
      <c r="M2237" s="10">
        <v>0</v>
      </c>
      <c r="N2237" s="10">
        <v>0</v>
      </c>
      <c r="O2237" s="10">
        <v>4.9675999999999998E-2</v>
      </c>
      <c r="P2237" s="10">
        <f t="shared" si="2419"/>
        <v>124.19000000001367</v>
      </c>
      <c r="Q2237" s="10">
        <f t="shared" si="2420"/>
        <v>125.92600000001367</v>
      </c>
      <c r="R2237" s="10">
        <v>30.747</v>
      </c>
      <c r="S2237" s="10" t="s">
        <v>1575</v>
      </c>
      <c r="T2237" s="10">
        <v>1.3380000000000001</v>
      </c>
      <c r="U2237" s="10">
        <v>0.68700000000000006</v>
      </c>
      <c r="V2237" s="10">
        <v>0.74399999999999999</v>
      </c>
      <c r="W2237" s="10">
        <v>1.7360000000000002</v>
      </c>
      <c r="X2237" s="10">
        <f t="shared" si="2422"/>
        <v>2.4800000000000004</v>
      </c>
      <c r="Y2237" s="10">
        <f t="shared" si="2423"/>
        <v>4.0390932448698624</v>
      </c>
      <c r="Z2237" s="10">
        <f t="shared" si="2424"/>
        <v>180.77147016013632</v>
      </c>
      <c r="AA2237" s="10">
        <f t="shared" si="2425"/>
        <v>166.92204301077106</v>
      </c>
      <c r="AB2237" s="10">
        <f t="shared" si="2426"/>
        <v>4.0955540377927493</v>
      </c>
      <c r="AC2237" s="10" t="str">
        <f t="shared" si="2427"/>
        <v>NA</v>
      </c>
      <c r="AD2237" s="10">
        <f t="shared" si="2428"/>
        <v>94.115097159950423</v>
      </c>
      <c r="AE2237" s="10">
        <f t="shared" si="2429"/>
        <v>50.77661290323131</v>
      </c>
    </row>
    <row r="2238" spans="1:32" x14ac:dyDescent="0.2">
      <c r="A2238" s="1" t="s">
        <v>6356</v>
      </c>
      <c r="B2238" s="1" t="s">
        <v>5</v>
      </c>
      <c r="C2238" s="1" t="s">
        <v>1711</v>
      </c>
      <c r="D2238" s="1" t="s">
        <v>1601</v>
      </c>
      <c r="E2238" s="1" t="s">
        <v>1602</v>
      </c>
      <c r="F2238" s="1" t="s">
        <v>1563</v>
      </c>
      <c r="G2238" s="4">
        <f>89.46%-89.22%</f>
        <v>2.3999999999999577E-3</v>
      </c>
      <c r="H2238" s="28">
        <v>42551</v>
      </c>
      <c r="I2238" s="29">
        <f t="shared" si="2421"/>
        <v>2016</v>
      </c>
      <c r="J2238" s="1" t="s">
        <v>7</v>
      </c>
      <c r="K2238" s="1" t="s">
        <v>6348</v>
      </c>
      <c r="L2238" s="11" t="str">
        <f t="shared" si="2430"/>
        <v>НЕТ</v>
      </c>
      <c r="M2238" s="10">
        <v>0</v>
      </c>
      <c r="N2238" s="10">
        <v>0</v>
      </c>
      <c r="O2238" s="10">
        <v>2.212E-3</v>
      </c>
      <c r="P2238" s="10">
        <f t="shared" si="2419"/>
        <v>0.92166666666668284</v>
      </c>
      <c r="Q2238" s="10">
        <f t="shared" si="2420"/>
        <v>1.7236666666666827</v>
      </c>
      <c r="R2238" s="10">
        <v>12.928000000000001</v>
      </c>
      <c r="S2238" s="10" t="s">
        <v>1575</v>
      </c>
      <c r="T2238" s="10">
        <v>0.191</v>
      </c>
      <c r="U2238" s="10">
        <v>6.5000000000000002E-2</v>
      </c>
      <c r="V2238" s="10">
        <v>0.442</v>
      </c>
      <c r="W2238" s="10">
        <v>0.80199999999999982</v>
      </c>
      <c r="X2238" s="10">
        <f t="shared" si="2422"/>
        <v>1.2439999999999998</v>
      </c>
      <c r="Y2238" s="10">
        <f t="shared" si="2423"/>
        <v>7.12922854785491E-2</v>
      </c>
      <c r="Z2238" s="10">
        <f t="shared" si="2424"/>
        <v>14.179487179487428</v>
      </c>
      <c r="AA2238" s="10">
        <f t="shared" si="2425"/>
        <v>2.0852187028657982</v>
      </c>
      <c r="AB2238" s="10">
        <f t="shared" si="2426"/>
        <v>0.133328176567658</v>
      </c>
      <c r="AC2238" s="10" t="str">
        <f t="shared" si="2427"/>
        <v>NA</v>
      </c>
      <c r="AD2238" s="10">
        <f t="shared" si="2428"/>
        <v>9.0244328097732076</v>
      </c>
      <c r="AE2238" s="10">
        <f t="shared" si="2429"/>
        <v>1.3855841371918673</v>
      </c>
    </row>
    <row r="2239" spans="1:32" x14ac:dyDescent="0.2">
      <c r="A2239" s="1" t="s">
        <v>6351</v>
      </c>
      <c r="B2239" s="1" t="s">
        <v>5</v>
      </c>
      <c r="C2239" s="1" t="s">
        <v>1707</v>
      </c>
      <c r="D2239" s="1" t="s">
        <v>1601</v>
      </c>
      <c r="E2239" s="1" t="s">
        <v>1602</v>
      </c>
      <c r="F2239" s="1" t="s">
        <v>1563</v>
      </c>
      <c r="G2239" s="4">
        <f>86.85%-86.83%</f>
        <v>1.9999999999997797E-4</v>
      </c>
      <c r="H2239" s="28">
        <v>42551</v>
      </c>
      <c r="I2239" s="29">
        <f t="shared" si="2421"/>
        <v>2016</v>
      </c>
      <c r="J2239" s="1" t="s">
        <v>6348</v>
      </c>
      <c r="K2239" s="1" t="s">
        <v>7</v>
      </c>
      <c r="L2239" s="11" t="str">
        <f t="shared" si="2430"/>
        <v>НЕТ</v>
      </c>
      <c r="M2239" s="10">
        <v>0</v>
      </c>
      <c r="N2239" s="10">
        <v>0</v>
      </c>
      <c r="O2239" s="10">
        <v>6.9290000000000003E-3</v>
      </c>
      <c r="P2239" s="10">
        <f t="shared" si="2419"/>
        <v>34.645000000003819</v>
      </c>
      <c r="Q2239" s="10">
        <f t="shared" si="2420"/>
        <v>39.283000000003817</v>
      </c>
      <c r="R2239" s="10">
        <v>34.960999999999999</v>
      </c>
      <c r="S2239" s="10" t="s">
        <v>1575</v>
      </c>
      <c r="T2239" s="10">
        <v>0.90500000000000003</v>
      </c>
      <c r="U2239" s="10">
        <v>0.29899999999999999</v>
      </c>
      <c r="V2239" s="10">
        <v>0.80300000000000005</v>
      </c>
      <c r="W2239" s="10">
        <v>4.6379999999999999</v>
      </c>
      <c r="X2239" s="10">
        <f t="shared" si="2422"/>
        <v>5.4409999999999998</v>
      </c>
      <c r="Y2239" s="10">
        <f t="shared" si="2423"/>
        <v>0.9909613569407002</v>
      </c>
      <c r="Z2239" s="10">
        <f t="shared" si="2424"/>
        <v>115.86956521740409</v>
      </c>
      <c r="AA2239" s="10">
        <f t="shared" si="2425"/>
        <v>43.144458281449339</v>
      </c>
      <c r="AB2239" s="10">
        <f t="shared" si="2426"/>
        <v>1.1236234661481026</v>
      </c>
      <c r="AC2239" s="10" t="str">
        <f t="shared" si="2427"/>
        <v>NA</v>
      </c>
      <c r="AD2239" s="10">
        <f t="shared" si="2428"/>
        <v>43.406629834258361</v>
      </c>
      <c r="AE2239" s="10">
        <f t="shared" si="2429"/>
        <v>7.2198125344612789</v>
      </c>
    </row>
    <row r="2240" spans="1:32" x14ac:dyDescent="0.2">
      <c r="A2240" s="1" t="s">
        <v>6353</v>
      </c>
      <c r="B2240" s="1" t="s">
        <v>5</v>
      </c>
      <c r="C2240" s="1" t="s">
        <v>1706</v>
      </c>
      <c r="D2240" s="1" t="s">
        <v>1601</v>
      </c>
      <c r="E2240" s="1" t="s">
        <v>1602</v>
      </c>
      <c r="F2240" s="1" t="s">
        <v>1563</v>
      </c>
      <c r="G2240" s="4">
        <f>93.59%-86.06%</f>
        <v>7.5300000000000034E-2</v>
      </c>
      <c r="H2240" s="28">
        <v>42369</v>
      </c>
      <c r="I2240" s="29">
        <f t="shared" si="2421"/>
        <v>2015</v>
      </c>
      <c r="J2240" s="1" t="s">
        <v>7</v>
      </c>
      <c r="K2240" s="1" t="s">
        <v>6348</v>
      </c>
      <c r="L2240" s="11" t="str">
        <f t="shared" si="2430"/>
        <v>НЕТ</v>
      </c>
      <c r="M2240" s="10">
        <v>0</v>
      </c>
      <c r="N2240" s="10">
        <v>0</v>
      </c>
      <c r="O2240" s="10">
        <v>2.1160000000000002E-2</v>
      </c>
      <c r="P2240" s="10">
        <f t="shared" si="2419"/>
        <v>0.28100929614873826</v>
      </c>
      <c r="Q2240" s="10">
        <f t="shared" si="2420"/>
        <v>5.3009296148738255E-2</v>
      </c>
      <c r="R2240" s="10">
        <v>5.766</v>
      </c>
      <c r="S2240" s="10" t="s">
        <v>1575</v>
      </c>
      <c r="T2240" s="10">
        <v>0.26500000000000001</v>
      </c>
      <c r="U2240" s="10">
        <v>0.18099999999999999</v>
      </c>
      <c r="V2240" s="10">
        <v>0.39</v>
      </c>
      <c r="W2240" s="10">
        <v>-0.22800000000000001</v>
      </c>
      <c r="X2240" s="10">
        <f t="shared" si="2422"/>
        <v>0.16200000000000001</v>
      </c>
      <c r="Y2240" s="10">
        <f t="shared" si="2423"/>
        <v>4.8735569918268863E-2</v>
      </c>
      <c r="Z2240" s="10">
        <f t="shared" si="2424"/>
        <v>1.5525375477830843</v>
      </c>
      <c r="AA2240" s="10">
        <f t="shared" si="2425"/>
        <v>0.72053665679163659</v>
      </c>
      <c r="AB2240" s="10">
        <f t="shared" si="2426"/>
        <v>9.193426317852629E-3</v>
      </c>
      <c r="AC2240" s="10" t="str">
        <f t="shared" si="2427"/>
        <v>NA</v>
      </c>
      <c r="AD2240" s="10">
        <f t="shared" si="2428"/>
        <v>0.20003507980655943</v>
      </c>
      <c r="AE2240" s="10">
        <f t="shared" si="2429"/>
        <v>0.32721787746134723</v>
      </c>
    </row>
    <row r="2241" spans="1:32" x14ac:dyDescent="0.2">
      <c r="A2241" s="1" t="s">
        <v>6354</v>
      </c>
      <c r="B2241" s="1" t="s">
        <v>5</v>
      </c>
      <c r="C2241" s="1" t="s">
        <v>1705</v>
      </c>
      <c r="D2241" s="1" t="s">
        <v>1601</v>
      </c>
      <c r="E2241" s="1" t="s">
        <v>1602</v>
      </c>
      <c r="F2241" s="1" t="s">
        <v>1563</v>
      </c>
      <c r="G2241" s="4">
        <f>96.88%-92.8%</f>
        <v>4.0800000000000058E-2</v>
      </c>
      <c r="H2241" s="28">
        <v>42369</v>
      </c>
      <c r="I2241" s="29">
        <f t="shared" si="2421"/>
        <v>2015</v>
      </c>
      <c r="J2241" s="1" t="s">
        <v>7</v>
      </c>
      <c r="K2241" s="1" t="s">
        <v>6348</v>
      </c>
      <c r="L2241" s="11" t="str">
        <f t="shared" si="2430"/>
        <v>НЕТ</v>
      </c>
      <c r="M2241" s="10">
        <v>0</v>
      </c>
      <c r="N2241" s="10">
        <v>0</v>
      </c>
      <c r="O2241" s="10">
        <v>2.4336E-2</v>
      </c>
      <c r="P2241" s="10">
        <f t="shared" si="2419"/>
        <v>0.59647058823529331</v>
      </c>
      <c r="Q2241" s="10">
        <f t="shared" si="2420"/>
        <v>1.7470588235293349E-2</v>
      </c>
      <c r="R2241" s="10">
        <v>18.873000000000001</v>
      </c>
      <c r="S2241" s="10" t="s">
        <v>1575</v>
      </c>
      <c r="T2241" s="10">
        <v>0.49299999999999999</v>
      </c>
      <c r="U2241" s="10">
        <v>0.29299999999999998</v>
      </c>
      <c r="V2241" s="10">
        <v>0.46600000000000003</v>
      </c>
      <c r="W2241" s="10">
        <v>-0.57899999999999996</v>
      </c>
      <c r="X2241" s="10">
        <f t="shared" si="2422"/>
        <v>-0.11299999999999993</v>
      </c>
      <c r="Y2241" s="10">
        <f t="shared" si="2423"/>
        <v>3.1604439582222928E-2</v>
      </c>
      <c r="Z2241" s="10">
        <f t="shared" si="2424"/>
        <v>2.0357357960248921</v>
      </c>
      <c r="AA2241" s="10">
        <f t="shared" si="2425"/>
        <v>1.2799798030800285</v>
      </c>
      <c r="AB2241" s="10">
        <f t="shared" si="2426"/>
        <v>9.2569216527808764E-4</v>
      </c>
      <c r="AC2241" s="10" t="str">
        <f t="shared" si="2427"/>
        <v>NA</v>
      </c>
      <c r="AD2241" s="10">
        <f t="shared" si="2428"/>
        <v>3.543729865171065E-2</v>
      </c>
      <c r="AE2241" s="10">
        <f t="shared" si="2429"/>
        <v>-0.15460697553356956</v>
      </c>
    </row>
    <row r="2242" spans="1:32" x14ac:dyDescent="0.2">
      <c r="A2242" s="1" t="s">
        <v>6355</v>
      </c>
      <c r="B2242" s="1" t="s">
        <v>5</v>
      </c>
      <c r="C2242" s="1" t="s">
        <v>1709</v>
      </c>
      <c r="D2242" s="1" t="s">
        <v>1601</v>
      </c>
      <c r="E2242" s="1" t="s">
        <v>1602</v>
      </c>
      <c r="F2242" s="1" t="s">
        <v>1563</v>
      </c>
      <c r="G2242" s="4">
        <f>98.32%-97.17%</f>
        <v>1.1499999999999955E-2</v>
      </c>
      <c r="H2242" s="28">
        <v>42369</v>
      </c>
      <c r="I2242" s="29">
        <f t="shared" si="2421"/>
        <v>2015</v>
      </c>
      <c r="J2242" s="1" t="s">
        <v>7</v>
      </c>
      <c r="K2242" s="1" t="s">
        <v>6348</v>
      </c>
      <c r="L2242" s="11" t="str">
        <f t="shared" si="2430"/>
        <v>НЕТ</v>
      </c>
      <c r="M2242" s="10">
        <v>0</v>
      </c>
      <c r="N2242" s="10">
        <v>0</v>
      </c>
      <c r="O2242" s="10">
        <v>3.0426999999999999E-2</v>
      </c>
      <c r="P2242" s="10">
        <f t="shared" si="2419"/>
        <v>2.6458260869565322</v>
      </c>
      <c r="Q2242" s="10">
        <f t="shared" si="2420"/>
        <v>4.3818260869565329</v>
      </c>
      <c r="R2242" s="10">
        <v>30.747</v>
      </c>
      <c r="S2242" s="10" t="s">
        <v>1575</v>
      </c>
      <c r="T2242" s="10">
        <v>1.3380000000000001</v>
      </c>
      <c r="U2242" s="10">
        <v>0.68700000000000006</v>
      </c>
      <c r="V2242" s="10">
        <v>0.74399999999999999</v>
      </c>
      <c r="W2242" s="10">
        <v>1.7360000000000002</v>
      </c>
      <c r="X2242" s="10">
        <f t="shared" si="2422"/>
        <v>2.4800000000000004</v>
      </c>
      <c r="Y2242" s="10">
        <f t="shared" si="2423"/>
        <v>8.6051520049322927E-2</v>
      </c>
      <c r="Z2242" s="10">
        <f t="shared" si="2424"/>
        <v>3.8512752357445881</v>
      </c>
      <c r="AA2242" s="10">
        <f t="shared" si="2425"/>
        <v>3.5562178588125435</v>
      </c>
      <c r="AB2242" s="10">
        <f t="shared" si="2426"/>
        <v>0.14251231297220973</v>
      </c>
      <c r="AC2242" s="10" t="str">
        <f t="shared" si="2427"/>
        <v>NA</v>
      </c>
      <c r="AD2242" s="10">
        <f t="shared" si="2428"/>
        <v>3.2749073893546581</v>
      </c>
      <c r="AE2242" s="10">
        <f t="shared" si="2429"/>
        <v>1.766865357643763</v>
      </c>
    </row>
    <row r="2243" spans="1:32" x14ac:dyDescent="0.2">
      <c r="A2243" s="1" t="s">
        <v>6356</v>
      </c>
      <c r="B2243" s="1" t="s">
        <v>5</v>
      </c>
      <c r="C2243" s="1" t="s">
        <v>1711</v>
      </c>
      <c r="D2243" s="1" t="s">
        <v>1601</v>
      </c>
      <c r="E2243" s="1" t="s">
        <v>1602</v>
      </c>
      <c r="F2243" s="1" t="s">
        <v>1563</v>
      </c>
      <c r="G2243" s="4">
        <f>97.89%-89.46%</f>
        <v>8.4300000000000042E-2</v>
      </c>
      <c r="H2243" s="28">
        <v>42369</v>
      </c>
      <c r="I2243" s="29">
        <f t="shared" si="2421"/>
        <v>2015</v>
      </c>
      <c r="J2243" s="1" t="s">
        <v>7</v>
      </c>
      <c r="K2243" s="1" t="s">
        <v>6348</v>
      </c>
      <c r="L2243" s="11" t="str">
        <f t="shared" si="2430"/>
        <v>НЕТ</v>
      </c>
      <c r="M2243" s="10">
        <v>0</v>
      </c>
      <c r="N2243" s="10">
        <v>0</v>
      </c>
      <c r="O2243" s="10">
        <v>0.108014</v>
      </c>
      <c r="P2243" s="10">
        <f t="shared" ref="P2243:P2306" si="2431">IFERROR(O2243/G2243,"NA")</f>
        <v>1.2813048635824431</v>
      </c>
      <c r="Q2243" s="10">
        <f t="shared" ref="Q2243:Q2306" si="2432">IFERROR(P2243+W2243,"NA")</f>
        <v>2.0833048635824429</v>
      </c>
      <c r="R2243" s="10">
        <v>12.928000000000001</v>
      </c>
      <c r="S2243" s="10" t="s">
        <v>1575</v>
      </c>
      <c r="T2243" s="10">
        <v>0.191</v>
      </c>
      <c r="U2243" s="10">
        <v>6.5000000000000002E-2</v>
      </c>
      <c r="V2243" s="10">
        <v>0.442</v>
      </c>
      <c r="W2243" s="10">
        <v>0.80199999999999982</v>
      </c>
      <c r="X2243" s="10">
        <f t="shared" si="2422"/>
        <v>1.2439999999999998</v>
      </c>
      <c r="Y2243" s="10">
        <f t="shared" si="2423"/>
        <v>9.9110834126117195E-2</v>
      </c>
      <c r="Z2243" s="10">
        <f t="shared" si="2424"/>
        <v>19.712382516652969</v>
      </c>
      <c r="AA2243" s="10">
        <f t="shared" si="2425"/>
        <v>2.8988797818607308</v>
      </c>
      <c r="AB2243" s="10">
        <f t="shared" si="2426"/>
        <v>0.16114672521522608</v>
      </c>
      <c r="AC2243" s="10" t="str">
        <f t="shared" si="2427"/>
        <v>NA</v>
      </c>
      <c r="AD2243" s="10">
        <f t="shared" si="2428"/>
        <v>10.907355306714361</v>
      </c>
      <c r="AE2243" s="10">
        <f t="shared" si="2429"/>
        <v>1.674682366223829</v>
      </c>
    </row>
    <row r="2244" spans="1:32" x14ac:dyDescent="0.2">
      <c r="A2244" s="1" t="s">
        <v>6351</v>
      </c>
      <c r="B2244" s="1" t="s">
        <v>5</v>
      </c>
      <c r="C2244" s="1" t="s">
        <v>1707</v>
      </c>
      <c r="D2244" s="1" t="s">
        <v>1601</v>
      </c>
      <c r="E2244" s="1" t="s">
        <v>1602</v>
      </c>
      <c r="F2244" s="1" t="s">
        <v>1563</v>
      </c>
      <c r="G2244" s="4">
        <f>86.85%-86.8%</f>
        <v>4.9999999999994493E-4</v>
      </c>
      <c r="H2244" s="28">
        <v>42369</v>
      </c>
      <c r="I2244" s="29">
        <f t="shared" si="2421"/>
        <v>2015</v>
      </c>
      <c r="J2244" s="1" t="s">
        <v>6348</v>
      </c>
      <c r="K2244" s="1" t="s">
        <v>7</v>
      </c>
      <c r="L2244" s="11" t="str">
        <f t="shared" si="2430"/>
        <v>НЕТ</v>
      </c>
      <c r="M2244" s="10">
        <v>0</v>
      </c>
      <c r="N2244" s="10">
        <v>0</v>
      </c>
      <c r="O2244" s="10">
        <v>1.6249999999999999E-3</v>
      </c>
      <c r="P2244" s="10">
        <f t="shared" si="2431"/>
        <v>3.2500000000003579</v>
      </c>
      <c r="Q2244" s="10">
        <f t="shared" si="2432"/>
        <v>7.8880000000003578</v>
      </c>
      <c r="R2244" s="10">
        <v>34.960999999999999</v>
      </c>
      <c r="S2244" s="10" t="s">
        <v>1575</v>
      </c>
      <c r="T2244" s="10">
        <v>0.90500000000000003</v>
      </c>
      <c r="U2244" s="10">
        <v>0.29899999999999999</v>
      </c>
      <c r="V2244" s="10">
        <v>0.80300000000000005</v>
      </c>
      <c r="W2244" s="10">
        <v>4.6379999999999999</v>
      </c>
      <c r="X2244" s="10">
        <f t="shared" si="2422"/>
        <v>5.4409999999999998</v>
      </c>
      <c r="Y2244" s="10">
        <f t="shared" si="2423"/>
        <v>9.296072766798312E-2</v>
      </c>
      <c r="Z2244" s="10">
        <f t="shared" si="2424"/>
        <v>10.869565217392502</v>
      </c>
      <c r="AA2244" s="10">
        <f t="shared" si="2425"/>
        <v>4.0473225404736706</v>
      </c>
      <c r="AB2244" s="10">
        <f t="shared" si="2426"/>
        <v>0.22562283687538567</v>
      </c>
      <c r="AC2244" s="10" t="str">
        <f t="shared" si="2427"/>
        <v>NA</v>
      </c>
      <c r="AD2244" s="10">
        <f t="shared" si="2428"/>
        <v>8.7160220994479083</v>
      </c>
      <c r="AE2244" s="10">
        <f t="shared" si="2429"/>
        <v>1.449733504870494</v>
      </c>
    </row>
    <row r="2245" spans="1:32" x14ac:dyDescent="0.2">
      <c r="A2245" s="1" t="s">
        <v>6352</v>
      </c>
      <c r="B2245" s="1" t="s">
        <v>5</v>
      </c>
      <c r="C2245" s="1" t="s">
        <v>1708</v>
      </c>
      <c r="D2245" s="1" t="s">
        <v>1601</v>
      </c>
      <c r="E2245" s="1" t="s">
        <v>1602</v>
      </c>
      <c r="F2245" s="1" t="s">
        <v>1563</v>
      </c>
      <c r="G2245" s="4">
        <f>60.95%-57.2%</f>
        <v>3.7499999999999978E-2</v>
      </c>
      <c r="H2245" s="28">
        <v>42369</v>
      </c>
      <c r="I2245" s="29">
        <f t="shared" si="2421"/>
        <v>2015</v>
      </c>
      <c r="J2245" s="1" t="s">
        <v>6348</v>
      </c>
      <c r="K2245" s="1" t="s">
        <v>7</v>
      </c>
      <c r="L2245" s="11" t="str">
        <f t="shared" si="2430"/>
        <v>НЕТ</v>
      </c>
      <c r="M2245" s="10">
        <v>0</v>
      </c>
      <c r="N2245" s="10">
        <v>0</v>
      </c>
      <c r="O2245" s="10">
        <v>0.137347</v>
      </c>
      <c r="P2245" s="10">
        <f t="shared" si="2431"/>
        <v>3.6625866666666687</v>
      </c>
      <c r="Q2245" s="10">
        <f t="shared" si="2432"/>
        <v>4.3475866666666683</v>
      </c>
      <c r="R2245" s="10">
        <v>36.18</v>
      </c>
      <c r="S2245" s="10" t="s">
        <v>1575</v>
      </c>
      <c r="T2245" s="10">
        <v>-0.27700000000000002</v>
      </c>
      <c r="U2245" s="10">
        <v>-0.432</v>
      </c>
      <c r="V2245" s="10">
        <v>0.59699999999999998</v>
      </c>
      <c r="W2245" s="10">
        <v>0.68499999999999972</v>
      </c>
      <c r="X2245" s="10">
        <f t="shared" si="2422"/>
        <v>1.2819999999999996</v>
      </c>
      <c r="Y2245" s="10">
        <f t="shared" si="2423"/>
        <v>0.10123235673484435</v>
      </c>
      <c r="Z2245" s="10">
        <f t="shared" si="2424"/>
        <v>-8.4782098765432146</v>
      </c>
      <c r="AA2245" s="10">
        <f t="shared" si="2425"/>
        <v>6.1349860413177035</v>
      </c>
      <c r="AB2245" s="10">
        <f t="shared" si="2426"/>
        <v>0.12016546895153865</v>
      </c>
      <c r="AC2245" s="10" t="str">
        <f t="shared" si="2427"/>
        <v>NA</v>
      </c>
      <c r="AD2245" s="10">
        <f t="shared" si="2428"/>
        <v>-15.695258724428404</v>
      </c>
      <c r="AE2245" s="10">
        <f t="shared" si="2429"/>
        <v>3.3912532501300077</v>
      </c>
    </row>
    <row r="2246" spans="1:32" x14ac:dyDescent="0.2">
      <c r="A2246" s="1" t="s">
        <v>6352</v>
      </c>
      <c r="B2246" s="1" t="s">
        <v>5</v>
      </c>
      <c r="C2246" s="1" t="s">
        <v>1708</v>
      </c>
      <c r="D2246" s="1" t="s">
        <v>1601</v>
      </c>
      <c r="E2246" s="1" t="s">
        <v>1602</v>
      </c>
      <c r="F2246" s="1" t="s">
        <v>1563</v>
      </c>
      <c r="G2246" s="4">
        <f>57.24%-24.88%</f>
        <v>0.3236</v>
      </c>
      <c r="H2246" s="28">
        <v>41820</v>
      </c>
      <c r="I2246" s="29">
        <f t="shared" si="2421"/>
        <v>2014</v>
      </c>
      <c r="J2246" s="1" t="s">
        <v>6348</v>
      </c>
      <c r="K2246" s="1" t="s">
        <v>7</v>
      </c>
      <c r="L2246" s="11" t="str">
        <f t="shared" si="2430"/>
        <v>НЕТ</v>
      </c>
      <c r="M2246" s="10">
        <v>0</v>
      </c>
      <c r="N2246" s="10">
        <v>0</v>
      </c>
      <c r="O2246" s="10">
        <v>1.54617</v>
      </c>
      <c r="P2246" s="10">
        <f t="shared" si="2431"/>
        <v>4.7780284301606928</v>
      </c>
      <c r="Q2246" s="10">
        <f t="shared" si="2432"/>
        <v>5.361028430160693</v>
      </c>
      <c r="R2246" s="10">
        <v>28.452000000000002</v>
      </c>
      <c r="S2246" s="10" t="s">
        <v>1575</v>
      </c>
      <c r="T2246" s="10">
        <v>-8.4999999999999992E-2</v>
      </c>
      <c r="U2246" s="10">
        <v>-0.17399999999999999</v>
      </c>
      <c r="V2246" s="10">
        <v>0.83399999999999996</v>
      </c>
      <c r="W2246" s="10">
        <v>0.5830000000000003</v>
      </c>
      <c r="X2246" s="10">
        <f t="shared" si="2422"/>
        <v>1.4170000000000003</v>
      </c>
      <c r="Y2246" s="10">
        <f t="shared" si="2423"/>
        <v>0.1679329548067163</v>
      </c>
      <c r="Z2246" s="10">
        <f t="shared" si="2424"/>
        <v>-27.459933506670652</v>
      </c>
      <c r="AA2246" s="10">
        <f t="shared" si="2425"/>
        <v>5.7290508754924376</v>
      </c>
      <c r="AB2246" s="10">
        <f t="shared" si="2426"/>
        <v>0.18842360572756547</v>
      </c>
      <c r="AC2246" s="10" t="str">
        <f t="shared" si="2427"/>
        <v>NA</v>
      </c>
      <c r="AD2246" s="10">
        <f t="shared" si="2428"/>
        <v>-63.070922707772866</v>
      </c>
      <c r="AE2246" s="10">
        <f t="shared" si="2429"/>
        <v>3.7833651588995707</v>
      </c>
      <c r="AF2246" s="1" t="s">
        <v>462</v>
      </c>
    </row>
    <row r="2247" spans="1:32" x14ac:dyDescent="0.2">
      <c r="A2247" s="1" t="s">
        <v>6359</v>
      </c>
      <c r="B2247" s="1" t="s">
        <v>5</v>
      </c>
      <c r="C2247" s="1" t="s">
        <v>1575</v>
      </c>
      <c r="D2247" s="1" t="s">
        <v>1601</v>
      </c>
      <c r="E2247" s="1" t="s">
        <v>5352</v>
      </c>
      <c r="F2247" s="1" t="s">
        <v>1532</v>
      </c>
      <c r="G2247" s="4">
        <v>1</v>
      </c>
      <c r="H2247" s="28">
        <v>41699</v>
      </c>
      <c r="I2247" s="29">
        <f t="shared" si="2421"/>
        <v>2014</v>
      </c>
      <c r="J2247" s="1" t="s">
        <v>6348</v>
      </c>
      <c r="K2247" s="1" t="s">
        <v>7</v>
      </c>
      <c r="L2247" s="11" t="str">
        <f t="shared" si="2430"/>
        <v>НЕТ</v>
      </c>
      <c r="M2247" s="10">
        <v>0</v>
      </c>
      <c r="N2247" s="10">
        <v>0</v>
      </c>
      <c r="O2247" s="10">
        <v>6.0000000000000001E-3</v>
      </c>
      <c r="P2247" s="10">
        <f t="shared" si="2431"/>
        <v>6.0000000000000001E-3</v>
      </c>
      <c r="Q2247" s="10" t="str">
        <f t="shared" si="2432"/>
        <v>NA</v>
      </c>
      <c r="R2247" s="10" t="s">
        <v>1575</v>
      </c>
      <c r="S2247" s="10" t="s">
        <v>1575</v>
      </c>
      <c r="T2247" s="10" t="s">
        <v>1575</v>
      </c>
      <c r="U2247" s="10" t="s">
        <v>1575</v>
      </c>
      <c r="V2247" s="10" t="s">
        <v>1575</v>
      </c>
      <c r="W2247" s="10" t="s">
        <v>1575</v>
      </c>
      <c r="X2247" s="10" t="str">
        <f t="shared" si="2422"/>
        <v>NA</v>
      </c>
      <c r="Y2247" s="10" t="str">
        <f t="shared" si="2423"/>
        <v>NA</v>
      </c>
      <c r="Z2247" s="10" t="str">
        <f t="shared" si="2424"/>
        <v>NA</v>
      </c>
      <c r="AA2247" s="10" t="str">
        <f t="shared" si="2425"/>
        <v>NA</v>
      </c>
      <c r="AB2247" s="10" t="str">
        <f t="shared" si="2426"/>
        <v>NA</v>
      </c>
      <c r="AC2247" s="10" t="str">
        <f t="shared" si="2427"/>
        <v>NA</v>
      </c>
      <c r="AD2247" s="10" t="str">
        <f t="shared" si="2428"/>
        <v>NA</v>
      </c>
      <c r="AE2247" s="10" t="str">
        <f t="shared" si="2429"/>
        <v>NA</v>
      </c>
    </row>
    <row r="2248" spans="1:32" x14ac:dyDescent="0.2">
      <c r="A2248" s="1" t="s">
        <v>6360</v>
      </c>
      <c r="B2248" s="1" t="s">
        <v>5</v>
      </c>
      <c r="C2248" s="1" t="s">
        <v>1575</v>
      </c>
      <c r="D2248" s="1" t="s">
        <v>1601</v>
      </c>
      <c r="E2248" s="1" t="s">
        <v>1602</v>
      </c>
      <c r="F2248" s="1" t="s">
        <v>1563</v>
      </c>
      <c r="G2248" s="4">
        <v>1</v>
      </c>
      <c r="H2248" s="28">
        <v>41699</v>
      </c>
      <c r="I2248" s="29">
        <f t="shared" si="2421"/>
        <v>2014</v>
      </c>
      <c r="J2248" s="1" t="s">
        <v>6348</v>
      </c>
      <c r="K2248" s="1" t="s">
        <v>7</v>
      </c>
      <c r="L2248" s="11" t="str">
        <f t="shared" si="2430"/>
        <v>НЕТ</v>
      </c>
      <c r="M2248" s="10">
        <v>0</v>
      </c>
      <c r="N2248" s="10">
        <v>0</v>
      </c>
      <c r="O2248" s="10">
        <v>6.0000000000000001E-3</v>
      </c>
      <c r="P2248" s="10">
        <f t="shared" si="2431"/>
        <v>6.0000000000000001E-3</v>
      </c>
      <c r="Q2248" s="10" t="str">
        <f t="shared" si="2432"/>
        <v>NA</v>
      </c>
      <c r="R2248" s="10" t="s">
        <v>1575</v>
      </c>
      <c r="S2248" s="10" t="s">
        <v>1575</v>
      </c>
      <c r="T2248" s="10" t="s">
        <v>1575</v>
      </c>
      <c r="U2248" s="10" t="s">
        <v>1575</v>
      </c>
      <c r="V2248" s="10" t="s">
        <v>1575</v>
      </c>
      <c r="W2248" s="10" t="s">
        <v>1575</v>
      </c>
      <c r="X2248" s="10" t="str">
        <f t="shared" si="2422"/>
        <v>NA</v>
      </c>
      <c r="Y2248" s="10" t="str">
        <f t="shared" si="2423"/>
        <v>NA</v>
      </c>
      <c r="Z2248" s="10" t="str">
        <f t="shared" si="2424"/>
        <v>NA</v>
      </c>
      <c r="AA2248" s="10" t="str">
        <f t="shared" si="2425"/>
        <v>NA</v>
      </c>
      <c r="AB2248" s="10" t="str">
        <f t="shared" si="2426"/>
        <v>NA</v>
      </c>
      <c r="AC2248" s="10" t="str">
        <f t="shared" si="2427"/>
        <v>NA</v>
      </c>
      <c r="AD2248" s="10" t="str">
        <f t="shared" si="2428"/>
        <v>NA</v>
      </c>
      <c r="AE2248" s="10" t="str">
        <f t="shared" si="2429"/>
        <v>NA</v>
      </c>
    </row>
    <row r="2249" spans="1:32" x14ac:dyDescent="0.2">
      <c r="A2249" s="1" t="s">
        <v>463</v>
      </c>
      <c r="B2249" s="1" t="s">
        <v>5</v>
      </c>
      <c r="C2249" s="1" t="s">
        <v>1575</v>
      </c>
      <c r="D2249" s="1" t="s">
        <v>1601</v>
      </c>
      <c r="E2249" s="1" t="s">
        <v>1602</v>
      </c>
      <c r="F2249" s="1" t="s">
        <v>1563</v>
      </c>
      <c r="G2249" s="4">
        <v>1</v>
      </c>
      <c r="H2249" s="28">
        <v>41640</v>
      </c>
      <c r="I2249" s="29">
        <f t="shared" si="2421"/>
        <v>2014</v>
      </c>
      <c r="J2249" s="1" t="s">
        <v>6348</v>
      </c>
      <c r="K2249" s="1" t="s">
        <v>7</v>
      </c>
      <c r="L2249" s="11" t="str">
        <f t="shared" si="2430"/>
        <v>НЕТ</v>
      </c>
      <c r="M2249" s="10">
        <v>0</v>
      </c>
      <c r="N2249" s="10">
        <v>0</v>
      </c>
      <c r="O2249" s="10">
        <v>0.74699700000000002</v>
      </c>
      <c r="P2249" s="10">
        <f t="shared" si="2431"/>
        <v>0.74699700000000002</v>
      </c>
      <c r="Q2249" s="10" t="str">
        <f t="shared" si="2432"/>
        <v>NA</v>
      </c>
      <c r="R2249" s="10" t="s">
        <v>1575</v>
      </c>
      <c r="S2249" s="10" t="s">
        <v>1575</v>
      </c>
      <c r="T2249" s="10" t="s">
        <v>1575</v>
      </c>
      <c r="U2249" s="10" t="s">
        <v>1575</v>
      </c>
      <c r="V2249" s="10" t="s">
        <v>1575</v>
      </c>
      <c r="W2249" s="10" t="s">
        <v>1575</v>
      </c>
      <c r="X2249" s="10" t="str">
        <f t="shared" si="2422"/>
        <v>NA</v>
      </c>
      <c r="Y2249" s="10" t="str">
        <f t="shared" si="2423"/>
        <v>NA</v>
      </c>
      <c r="Z2249" s="10" t="str">
        <f t="shared" si="2424"/>
        <v>NA</v>
      </c>
      <c r="AA2249" s="10" t="str">
        <f t="shared" si="2425"/>
        <v>NA</v>
      </c>
      <c r="AB2249" s="10" t="str">
        <f t="shared" si="2426"/>
        <v>NA</v>
      </c>
      <c r="AC2249" s="10" t="str">
        <f t="shared" si="2427"/>
        <v>NA</v>
      </c>
      <c r="AD2249" s="10" t="str">
        <f t="shared" si="2428"/>
        <v>NA</v>
      </c>
      <c r="AE2249" s="10" t="str">
        <f t="shared" si="2429"/>
        <v>NA</v>
      </c>
      <c r="AF2249" s="1" t="s">
        <v>464</v>
      </c>
    </row>
    <row r="2250" spans="1:32" x14ac:dyDescent="0.2">
      <c r="A2250" s="1" t="s">
        <v>466</v>
      </c>
      <c r="B2250" s="1" t="s">
        <v>5</v>
      </c>
      <c r="C2250" s="1" t="s">
        <v>1575</v>
      </c>
      <c r="D2250" s="1" t="s">
        <v>1601</v>
      </c>
      <c r="E2250" s="1" t="s">
        <v>1602</v>
      </c>
      <c r="F2250" s="1" t="s">
        <v>1563</v>
      </c>
      <c r="G2250" s="4">
        <v>1</v>
      </c>
      <c r="H2250" s="28">
        <v>41913</v>
      </c>
      <c r="I2250" s="29">
        <f t="shared" si="2421"/>
        <v>2014</v>
      </c>
      <c r="J2250" s="1" t="s">
        <v>6348</v>
      </c>
      <c r="K2250" s="1" t="s">
        <v>7</v>
      </c>
      <c r="L2250" s="11" t="str">
        <f t="shared" si="2430"/>
        <v>НЕТ</v>
      </c>
      <c r="M2250" s="10">
        <v>0</v>
      </c>
      <c r="N2250" s="10">
        <v>0</v>
      </c>
      <c r="O2250" s="10">
        <v>0.16195399999999999</v>
      </c>
      <c r="P2250" s="10">
        <f t="shared" si="2431"/>
        <v>0.16195399999999999</v>
      </c>
      <c r="Q2250" s="10" t="str">
        <f t="shared" si="2432"/>
        <v>NA</v>
      </c>
      <c r="R2250" s="10" t="s">
        <v>1575</v>
      </c>
      <c r="S2250" s="10" t="s">
        <v>1575</v>
      </c>
      <c r="T2250" s="10" t="s">
        <v>1575</v>
      </c>
      <c r="U2250" s="10" t="s">
        <v>1575</v>
      </c>
      <c r="V2250" s="10" t="s">
        <v>1575</v>
      </c>
      <c r="W2250" s="10" t="s">
        <v>1575</v>
      </c>
      <c r="X2250" s="10" t="str">
        <f t="shared" si="2422"/>
        <v>NA</v>
      </c>
      <c r="Y2250" s="10" t="str">
        <f t="shared" si="2423"/>
        <v>NA</v>
      </c>
      <c r="Z2250" s="10" t="str">
        <f t="shared" si="2424"/>
        <v>NA</v>
      </c>
      <c r="AA2250" s="10" t="str">
        <f t="shared" si="2425"/>
        <v>NA</v>
      </c>
      <c r="AB2250" s="10" t="str">
        <f t="shared" si="2426"/>
        <v>NA</v>
      </c>
      <c r="AC2250" s="10" t="str">
        <f t="shared" si="2427"/>
        <v>NA</v>
      </c>
      <c r="AD2250" s="10" t="str">
        <f t="shared" si="2428"/>
        <v>NA</v>
      </c>
      <c r="AE2250" s="10" t="str">
        <f t="shared" si="2429"/>
        <v>NA</v>
      </c>
      <c r="AF2250" s="1" t="s">
        <v>465</v>
      </c>
    </row>
    <row r="2251" spans="1:32" x14ac:dyDescent="0.2">
      <c r="A2251" s="1" t="s">
        <v>6361</v>
      </c>
      <c r="B2251" s="1" t="s">
        <v>5</v>
      </c>
      <c r="C2251" s="1" t="s">
        <v>1575</v>
      </c>
      <c r="D2251" s="1" t="s">
        <v>1601</v>
      </c>
      <c r="E2251" s="1" t="s">
        <v>1602</v>
      </c>
      <c r="F2251" s="1" t="s">
        <v>1563</v>
      </c>
      <c r="G2251" s="4">
        <v>0.99990000000000001</v>
      </c>
      <c r="H2251" s="28">
        <v>41091</v>
      </c>
      <c r="I2251" s="29">
        <f t="shared" si="2421"/>
        <v>2012</v>
      </c>
      <c r="J2251" s="1" t="s">
        <v>6348</v>
      </c>
      <c r="K2251" s="1" t="s">
        <v>7</v>
      </c>
      <c r="L2251" s="11" t="str">
        <f t="shared" si="2430"/>
        <v>НЕТ</v>
      </c>
      <c r="M2251" s="10">
        <v>0</v>
      </c>
      <c r="N2251" s="10">
        <v>0</v>
      </c>
      <c r="O2251" s="10">
        <v>1.05</v>
      </c>
      <c r="P2251" s="10">
        <f t="shared" si="2431"/>
        <v>1.0501050105010501</v>
      </c>
      <c r="Q2251" s="10" t="str">
        <f t="shared" si="2432"/>
        <v>NA</v>
      </c>
      <c r="R2251" s="10" t="s">
        <v>1575</v>
      </c>
      <c r="S2251" s="10" t="s">
        <v>1575</v>
      </c>
      <c r="T2251" s="10" t="s">
        <v>1575</v>
      </c>
      <c r="U2251" s="10" t="s">
        <v>1575</v>
      </c>
      <c r="V2251" s="10" t="s">
        <v>1575</v>
      </c>
      <c r="W2251" s="10" t="s">
        <v>1575</v>
      </c>
      <c r="X2251" s="10" t="str">
        <f t="shared" si="2422"/>
        <v>NA</v>
      </c>
      <c r="Y2251" s="10" t="str">
        <f t="shared" si="2423"/>
        <v>NA</v>
      </c>
      <c r="Z2251" s="10" t="str">
        <f t="shared" si="2424"/>
        <v>NA</v>
      </c>
      <c r="AA2251" s="10" t="str">
        <f t="shared" si="2425"/>
        <v>NA</v>
      </c>
      <c r="AB2251" s="10" t="str">
        <f t="shared" si="2426"/>
        <v>NA</v>
      </c>
      <c r="AC2251" s="10" t="str">
        <f t="shared" si="2427"/>
        <v>NA</v>
      </c>
      <c r="AD2251" s="10" t="str">
        <f t="shared" si="2428"/>
        <v>NA</v>
      </c>
      <c r="AE2251" s="10" t="str">
        <f t="shared" si="2429"/>
        <v>NA</v>
      </c>
    </row>
    <row r="2252" spans="1:32" x14ac:dyDescent="0.2">
      <c r="A2252" s="1" t="s">
        <v>6362</v>
      </c>
      <c r="B2252" s="1" t="s">
        <v>5</v>
      </c>
      <c r="C2252" s="1" t="s">
        <v>1575</v>
      </c>
      <c r="D2252" s="1" t="s">
        <v>1601</v>
      </c>
      <c r="E2252" s="1" t="s">
        <v>1602</v>
      </c>
      <c r="F2252" s="1" t="s">
        <v>1563</v>
      </c>
      <c r="G2252" s="4">
        <v>0.25</v>
      </c>
      <c r="H2252" s="28">
        <v>41122</v>
      </c>
      <c r="I2252" s="29">
        <f t="shared" si="2421"/>
        <v>2012</v>
      </c>
      <c r="J2252" s="1" t="s">
        <v>6348</v>
      </c>
      <c r="K2252" s="1" t="s">
        <v>7</v>
      </c>
      <c r="L2252" s="11" t="str">
        <f t="shared" si="2430"/>
        <v>НЕТ</v>
      </c>
      <c r="M2252" s="10">
        <v>0</v>
      </c>
      <c r="N2252" s="10">
        <v>0</v>
      </c>
      <c r="O2252" s="10">
        <v>0.25007400000000002</v>
      </c>
      <c r="P2252" s="10">
        <f t="shared" si="2431"/>
        <v>1.0002960000000001</v>
      </c>
      <c r="Q2252" s="10" t="str">
        <f t="shared" si="2432"/>
        <v>NA</v>
      </c>
      <c r="R2252" s="10" t="s">
        <v>1575</v>
      </c>
      <c r="S2252" s="10" t="s">
        <v>1575</v>
      </c>
      <c r="T2252" s="10" t="s">
        <v>1575</v>
      </c>
      <c r="U2252" s="10" t="s">
        <v>1575</v>
      </c>
      <c r="V2252" s="10" t="s">
        <v>1575</v>
      </c>
      <c r="W2252" s="10" t="s">
        <v>1575</v>
      </c>
      <c r="X2252" s="10" t="str">
        <f t="shared" si="2422"/>
        <v>NA</v>
      </c>
      <c r="Y2252" s="10" t="str">
        <f t="shared" si="2423"/>
        <v>NA</v>
      </c>
      <c r="Z2252" s="10" t="str">
        <f t="shared" si="2424"/>
        <v>NA</v>
      </c>
      <c r="AA2252" s="10" t="str">
        <f t="shared" si="2425"/>
        <v>NA</v>
      </c>
      <c r="AB2252" s="10" t="str">
        <f t="shared" si="2426"/>
        <v>NA</v>
      </c>
      <c r="AC2252" s="10" t="str">
        <f t="shared" si="2427"/>
        <v>NA</v>
      </c>
      <c r="AD2252" s="10" t="str">
        <f t="shared" si="2428"/>
        <v>NA</v>
      </c>
      <c r="AE2252" s="10" t="str">
        <f t="shared" si="2429"/>
        <v>NA</v>
      </c>
      <c r="AF2252" s="1" t="s">
        <v>467</v>
      </c>
    </row>
    <row r="2253" spans="1:32" x14ac:dyDescent="0.2">
      <c r="A2253" s="1" t="s">
        <v>6350</v>
      </c>
      <c r="B2253" s="1" t="s">
        <v>5</v>
      </c>
      <c r="C2253" s="1" t="s">
        <v>1575</v>
      </c>
      <c r="D2253" s="1" t="s">
        <v>1601</v>
      </c>
      <c r="E2253" s="1" t="s">
        <v>5352</v>
      </c>
      <c r="F2253" s="1" t="s">
        <v>1570</v>
      </c>
      <c r="G2253" s="4">
        <v>0.7</v>
      </c>
      <c r="H2253" s="28">
        <v>43831</v>
      </c>
      <c r="I2253" s="29">
        <f t="shared" si="2421"/>
        <v>2020</v>
      </c>
      <c r="J2253" s="1" t="s">
        <v>653</v>
      </c>
      <c r="K2253" s="1" t="s">
        <v>6352</v>
      </c>
      <c r="L2253" s="11" t="str">
        <f t="shared" si="2430"/>
        <v>НЕТ</v>
      </c>
      <c r="M2253" s="10">
        <v>0</v>
      </c>
      <c r="N2253" s="10">
        <v>0</v>
      </c>
      <c r="O2253" s="10">
        <v>3.0000000000000001E-3</v>
      </c>
      <c r="P2253" s="10">
        <f t="shared" si="2431"/>
        <v>4.2857142857142859E-3</v>
      </c>
      <c r="Q2253" s="10" t="str">
        <f t="shared" si="2432"/>
        <v>NA</v>
      </c>
      <c r="R2253" s="10" t="s">
        <v>1575</v>
      </c>
      <c r="S2253" s="10" t="s">
        <v>1575</v>
      </c>
      <c r="T2253" s="10" t="s">
        <v>1575</v>
      </c>
      <c r="U2253" s="10" t="s">
        <v>1575</v>
      </c>
      <c r="V2253" s="10">
        <f>0.001644</f>
        <v>1.6440000000000001E-3</v>
      </c>
      <c r="W2253" s="10" t="s">
        <v>1575</v>
      </c>
      <c r="X2253" s="10" t="str">
        <f t="shared" si="2422"/>
        <v>NA</v>
      </c>
      <c r="Y2253" s="10" t="str">
        <f t="shared" si="2423"/>
        <v>NA</v>
      </c>
      <c r="Z2253" s="10" t="str">
        <f t="shared" si="2424"/>
        <v>NA</v>
      </c>
      <c r="AA2253" s="10">
        <f t="shared" si="2425"/>
        <v>2.6068821689259645</v>
      </c>
      <c r="AB2253" s="10" t="str">
        <f t="shared" si="2426"/>
        <v>NA</v>
      </c>
      <c r="AC2253" s="10" t="str">
        <f t="shared" si="2427"/>
        <v>NA</v>
      </c>
      <c r="AD2253" s="10" t="str">
        <f t="shared" si="2428"/>
        <v>NA</v>
      </c>
      <c r="AE2253" s="10" t="str">
        <f t="shared" si="2429"/>
        <v>NA</v>
      </c>
    </row>
    <row r="2254" spans="1:32" x14ac:dyDescent="0.2">
      <c r="A2254" s="1" t="s">
        <v>1710</v>
      </c>
      <c r="B2254" s="1" t="s">
        <v>5</v>
      </c>
      <c r="C2254" s="1" t="s">
        <v>1575</v>
      </c>
      <c r="D2254" s="1" t="s">
        <v>1601</v>
      </c>
      <c r="E2254" s="1" t="s">
        <v>1602</v>
      </c>
      <c r="F2254" s="1" t="s">
        <v>1563</v>
      </c>
      <c r="G2254" s="4">
        <v>0.3805</v>
      </c>
      <c r="H2254" s="28">
        <v>43579</v>
      </c>
      <c r="I2254" s="29">
        <f t="shared" si="2421"/>
        <v>2019</v>
      </c>
      <c r="J2254" s="1" t="s">
        <v>1710</v>
      </c>
      <c r="K2254" s="1" t="s">
        <v>6352</v>
      </c>
      <c r="L2254" s="11" t="str">
        <f t="shared" si="2430"/>
        <v>ДА</v>
      </c>
      <c r="M2254" s="10">
        <v>0</v>
      </c>
      <c r="N2254" s="10">
        <v>0</v>
      </c>
      <c r="O2254" s="10">
        <v>0.15</v>
      </c>
      <c r="P2254" s="10">
        <f t="shared" si="2431"/>
        <v>0.39421813403416556</v>
      </c>
      <c r="Q2254" s="10" t="str">
        <f t="shared" si="2432"/>
        <v>NA</v>
      </c>
      <c r="R2254" s="10" t="s">
        <v>1575</v>
      </c>
      <c r="S2254" s="10" t="s">
        <v>1575</v>
      </c>
      <c r="T2254" s="10" t="s">
        <v>1575</v>
      </c>
      <c r="U2254" s="10" t="s">
        <v>1575</v>
      </c>
      <c r="V2254" s="10">
        <f>0.157246</f>
        <v>0.157246</v>
      </c>
      <c r="W2254" s="10" t="s">
        <v>1575</v>
      </c>
      <c r="X2254" s="10" t="str">
        <f t="shared" si="2422"/>
        <v>NA</v>
      </c>
      <c r="Y2254" s="10" t="str">
        <f t="shared" si="2423"/>
        <v>NA</v>
      </c>
      <c r="Z2254" s="10" t="str">
        <f t="shared" si="2424"/>
        <v>NA</v>
      </c>
      <c r="AA2254" s="10">
        <f t="shared" si="2425"/>
        <v>2.507015339240207</v>
      </c>
      <c r="AB2254" s="10" t="str">
        <f t="shared" si="2426"/>
        <v>NA</v>
      </c>
      <c r="AC2254" s="10" t="str">
        <f t="shared" si="2427"/>
        <v>NA</v>
      </c>
      <c r="AD2254" s="10" t="str">
        <f t="shared" si="2428"/>
        <v>NA</v>
      </c>
      <c r="AE2254" s="10" t="str">
        <f t="shared" si="2429"/>
        <v>NA</v>
      </c>
    </row>
    <row r="2255" spans="1:32" x14ac:dyDescent="0.2">
      <c r="A2255" s="1" t="s">
        <v>6363</v>
      </c>
      <c r="B2255" s="1" t="s">
        <v>5</v>
      </c>
      <c r="C2255" s="1" t="s">
        <v>1575</v>
      </c>
      <c r="D2255" s="1" t="s">
        <v>1601</v>
      </c>
      <c r="E2255" s="1" t="s">
        <v>1602</v>
      </c>
      <c r="F2255" s="1" t="s">
        <v>1563</v>
      </c>
      <c r="G2255" s="4" t="s">
        <v>1575</v>
      </c>
      <c r="H2255" s="28">
        <v>43677</v>
      </c>
      <c r="I2255" s="29">
        <f t="shared" si="2421"/>
        <v>2019</v>
      </c>
      <c r="J2255" s="1" t="s">
        <v>6352</v>
      </c>
      <c r="K2255" s="1" t="s">
        <v>6348</v>
      </c>
      <c r="L2255" s="11" t="str">
        <f t="shared" si="2430"/>
        <v>НЕТ</v>
      </c>
      <c r="M2255" s="10">
        <v>0</v>
      </c>
      <c r="N2255" s="10">
        <v>0</v>
      </c>
      <c r="O2255" s="10">
        <v>0.41356799999999999</v>
      </c>
      <c r="P2255" s="10" t="str">
        <f t="shared" si="2431"/>
        <v>NA</v>
      </c>
      <c r="Q2255" s="10" t="str">
        <f t="shared" si="2432"/>
        <v>NA</v>
      </c>
      <c r="R2255" s="10" t="s">
        <v>1575</v>
      </c>
      <c r="S2255" s="10" t="s">
        <v>1575</v>
      </c>
      <c r="T2255" s="10" t="s">
        <v>1575</v>
      </c>
      <c r="U2255" s="10" t="s">
        <v>1575</v>
      </c>
      <c r="V2255" s="10" t="s">
        <v>1575</v>
      </c>
      <c r="W2255" s="10" t="s">
        <v>1575</v>
      </c>
      <c r="X2255" s="10" t="str">
        <f t="shared" si="2422"/>
        <v>NA</v>
      </c>
      <c r="Y2255" s="10" t="str">
        <f t="shared" si="2423"/>
        <v>NA</v>
      </c>
      <c r="Z2255" s="10" t="str">
        <f t="shared" si="2424"/>
        <v>NA</v>
      </c>
      <c r="AA2255" s="10" t="str">
        <f t="shared" si="2425"/>
        <v>NA</v>
      </c>
      <c r="AB2255" s="10" t="str">
        <f t="shared" si="2426"/>
        <v>NA</v>
      </c>
      <c r="AC2255" s="10" t="str">
        <f t="shared" si="2427"/>
        <v>NA</v>
      </c>
      <c r="AD2255" s="10" t="str">
        <f t="shared" si="2428"/>
        <v>NA</v>
      </c>
      <c r="AE2255" s="10" t="str">
        <f t="shared" si="2429"/>
        <v>NA</v>
      </c>
      <c r="AF2255" s="1" t="s">
        <v>1701</v>
      </c>
    </row>
    <row r="2256" spans="1:32" x14ac:dyDescent="0.2">
      <c r="A2256" s="1" t="s">
        <v>6364</v>
      </c>
      <c r="B2256" s="1" t="s">
        <v>5</v>
      </c>
      <c r="C2256" s="1" t="s">
        <v>1575</v>
      </c>
      <c r="D2256" s="1" t="s">
        <v>1601</v>
      </c>
      <c r="E2256" s="1" t="s">
        <v>1602</v>
      </c>
      <c r="F2256" s="1" t="s">
        <v>1563</v>
      </c>
      <c r="G2256" s="4" t="s">
        <v>1575</v>
      </c>
      <c r="H2256" s="28">
        <v>43677</v>
      </c>
      <c r="I2256" s="29">
        <f t="shared" si="2421"/>
        <v>2019</v>
      </c>
      <c r="J2256" s="1" t="s">
        <v>6352</v>
      </c>
      <c r="K2256" s="1" t="s">
        <v>6348</v>
      </c>
      <c r="L2256" s="11" t="str">
        <f t="shared" si="2430"/>
        <v>НЕТ</v>
      </c>
      <c r="M2256" s="10">
        <v>0</v>
      </c>
      <c r="N2256" s="10">
        <v>0</v>
      </c>
      <c r="O2256" s="10">
        <v>0.64149100000000003</v>
      </c>
      <c r="P2256" s="10" t="str">
        <f t="shared" si="2431"/>
        <v>NA</v>
      </c>
      <c r="Q2256" s="10" t="str">
        <f t="shared" si="2432"/>
        <v>NA</v>
      </c>
      <c r="R2256" s="10" t="s">
        <v>1575</v>
      </c>
      <c r="S2256" s="10" t="s">
        <v>1575</v>
      </c>
      <c r="T2256" s="10" t="s">
        <v>1575</v>
      </c>
      <c r="U2256" s="10" t="s">
        <v>1575</v>
      </c>
      <c r="V2256" s="10" t="s">
        <v>1575</v>
      </c>
      <c r="W2256" s="10" t="s">
        <v>1575</v>
      </c>
      <c r="X2256" s="10" t="str">
        <f t="shared" si="2422"/>
        <v>NA</v>
      </c>
      <c r="Y2256" s="10" t="str">
        <f t="shared" si="2423"/>
        <v>NA</v>
      </c>
      <c r="Z2256" s="10" t="str">
        <f t="shared" si="2424"/>
        <v>NA</v>
      </c>
      <c r="AA2256" s="10" t="str">
        <f t="shared" si="2425"/>
        <v>NA</v>
      </c>
      <c r="AB2256" s="10" t="str">
        <f t="shared" si="2426"/>
        <v>NA</v>
      </c>
      <c r="AC2256" s="10" t="str">
        <f t="shared" si="2427"/>
        <v>NA</v>
      </c>
      <c r="AD2256" s="10" t="str">
        <f t="shared" si="2428"/>
        <v>NA</v>
      </c>
      <c r="AE2256" s="10" t="str">
        <f t="shared" si="2429"/>
        <v>NA</v>
      </c>
      <c r="AF2256" s="1" t="s">
        <v>1702</v>
      </c>
    </row>
    <row r="2257" spans="1:32" x14ac:dyDescent="0.2">
      <c r="A2257" s="1" t="s">
        <v>6365</v>
      </c>
      <c r="B2257" s="1" t="s">
        <v>5</v>
      </c>
      <c r="C2257" s="1" t="s">
        <v>1705</v>
      </c>
      <c r="D2257" s="1" t="s">
        <v>1601</v>
      </c>
      <c r="E2257" s="1" t="s">
        <v>1602</v>
      </c>
      <c r="F2257" s="1" t="s">
        <v>1563</v>
      </c>
      <c r="G2257" s="4" t="s">
        <v>1575</v>
      </c>
      <c r="H2257" s="28">
        <v>44287</v>
      </c>
      <c r="I2257" s="29">
        <f t="shared" ref="I2257:I2320" si="2433">YEAR(H2257)</f>
        <v>2021</v>
      </c>
      <c r="J2257" s="1" t="s">
        <v>6352</v>
      </c>
      <c r="K2257" s="1" t="s">
        <v>7</v>
      </c>
      <c r="L2257" s="11" t="str">
        <f t="shared" si="2430"/>
        <v>НЕТ</v>
      </c>
      <c r="M2257" s="10">
        <v>0</v>
      </c>
      <c r="N2257" s="10">
        <v>0</v>
      </c>
      <c r="O2257" s="10">
        <v>3.7379000000000003E-2</v>
      </c>
      <c r="P2257" s="10" t="str">
        <f t="shared" si="2431"/>
        <v>NA</v>
      </c>
      <c r="Q2257" s="10" t="str">
        <f t="shared" si="2432"/>
        <v>NA</v>
      </c>
      <c r="R2257" s="10" t="s">
        <v>1575</v>
      </c>
      <c r="S2257" s="10" t="s">
        <v>1575</v>
      </c>
      <c r="T2257" s="10" t="s">
        <v>1575</v>
      </c>
      <c r="U2257" s="10" t="s">
        <v>1575</v>
      </c>
      <c r="V2257" s="10" t="s">
        <v>1575</v>
      </c>
      <c r="W2257" s="10" t="s">
        <v>1575</v>
      </c>
      <c r="X2257" s="10" t="str">
        <f t="shared" si="2422"/>
        <v>NA</v>
      </c>
      <c r="Y2257" s="10" t="str">
        <f t="shared" si="2423"/>
        <v>NA</v>
      </c>
      <c r="Z2257" s="10" t="str">
        <f t="shared" si="2424"/>
        <v>NA</v>
      </c>
      <c r="AA2257" s="10" t="str">
        <f t="shared" si="2425"/>
        <v>NA</v>
      </c>
      <c r="AB2257" s="10" t="str">
        <f t="shared" si="2426"/>
        <v>NA</v>
      </c>
      <c r="AC2257" s="10" t="str">
        <f t="shared" si="2427"/>
        <v>NA</v>
      </c>
      <c r="AD2257" s="10" t="str">
        <f t="shared" si="2428"/>
        <v>NA</v>
      </c>
      <c r="AE2257" s="10" t="str">
        <f t="shared" si="2429"/>
        <v>NA</v>
      </c>
      <c r="AF2257" s="1" t="s">
        <v>1703</v>
      </c>
    </row>
    <row r="2258" spans="1:32" x14ac:dyDescent="0.2">
      <c r="A2258" s="1" t="s">
        <v>6352</v>
      </c>
      <c r="B2258" s="1" t="s">
        <v>5</v>
      </c>
      <c r="C2258" s="1" t="s">
        <v>1708</v>
      </c>
      <c r="D2258" s="1" t="s">
        <v>1601</v>
      </c>
      <c r="E2258" s="1" t="s">
        <v>1602</v>
      </c>
      <c r="F2258" s="1" t="s">
        <v>1563</v>
      </c>
      <c r="G2258" s="4">
        <f>0.924/17.86944</f>
        <v>5.1708391533254537E-2</v>
      </c>
      <c r="H2258" s="28">
        <v>44561</v>
      </c>
      <c r="I2258" s="29">
        <f t="shared" si="2433"/>
        <v>2021</v>
      </c>
      <c r="J2258" s="1" t="s">
        <v>7</v>
      </c>
      <c r="K2258" s="1" t="s">
        <v>6352</v>
      </c>
      <c r="L2258" s="11" t="str">
        <f t="shared" si="2430"/>
        <v>ДА</v>
      </c>
      <c r="M2258" s="10">
        <v>0</v>
      </c>
      <c r="N2258" s="10">
        <v>0</v>
      </c>
      <c r="O2258" s="10">
        <v>0.115532</v>
      </c>
      <c r="P2258" s="10">
        <f t="shared" si="2431"/>
        <v>2.2342988550649352</v>
      </c>
      <c r="Q2258" s="10">
        <f t="shared" si="2432"/>
        <v>4.1522988550649353</v>
      </c>
      <c r="R2258" s="10">
        <v>55.438000000000002</v>
      </c>
      <c r="S2258" s="10">
        <v>0.73699999999999999</v>
      </c>
      <c r="T2258" s="10">
        <v>0.65600000000000003</v>
      </c>
      <c r="U2258" s="10">
        <v>7.3999999999999996E-2</v>
      </c>
      <c r="V2258" s="10">
        <v>-0.63100000000000001</v>
      </c>
      <c r="W2258" s="10">
        <v>1.9180000000000001</v>
      </c>
      <c r="X2258" s="10">
        <f t="shared" si="2422"/>
        <v>1.2870000000000001</v>
      </c>
      <c r="Y2258" s="10">
        <f t="shared" si="2423"/>
        <v>4.0302659819346567E-2</v>
      </c>
      <c r="Z2258" s="10">
        <f t="shared" si="2424"/>
        <v>30.193227771147775</v>
      </c>
      <c r="AA2258" s="10">
        <f t="shared" si="2425"/>
        <v>-3.5408856657130512</v>
      </c>
      <c r="AB2258" s="10">
        <f t="shared" si="2426"/>
        <v>7.4899867510821727E-2</v>
      </c>
      <c r="AC2258" s="10">
        <f t="shared" si="2427"/>
        <v>5.6340554342807811</v>
      </c>
      <c r="AD2258" s="10">
        <f t="shared" si="2428"/>
        <v>6.3297238644282547</v>
      </c>
      <c r="AE2258" s="10">
        <f t="shared" si="2429"/>
        <v>3.2263394367248912</v>
      </c>
      <c r="AF2258" s="1" t="s">
        <v>1704</v>
      </c>
    </row>
    <row r="2259" spans="1:32" x14ac:dyDescent="0.2">
      <c r="A2259" s="1" t="s">
        <v>6352</v>
      </c>
      <c r="B2259" s="1" t="s">
        <v>5</v>
      </c>
      <c r="C2259" s="1" t="s">
        <v>1708</v>
      </c>
      <c r="D2259" s="1" t="s">
        <v>1601</v>
      </c>
      <c r="E2259" s="1" t="s">
        <v>1602</v>
      </c>
      <c r="F2259" s="1" t="s">
        <v>1563</v>
      </c>
      <c r="G2259" s="4">
        <f>0.0125/17.86944</f>
        <v>6.9951828372909284E-4</v>
      </c>
      <c r="H2259" s="28">
        <v>44347</v>
      </c>
      <c r="I2259" s="29">
        <f t="shared" si="2433"/>
        <v>2021</v>
      </c>
      <c r="J2259" s="1" t="s">
        <v>6355</v>
      </c>
      <c r="K2259" s="1" t="s">
        <v>7</v>
      </c>
      <c r="L2259" s="11" t="str">
        <f t="shared" si="2430"/>
        <v>НЕТ</v>
      </c>
      <c r="M2259" s="10">
        <v>0</v>
      </c>
      <c r="N2259" s="10">
        <v>0</v>
      </c>
      <c r="O2259" s="10">
        <v>1.619E-3</v>
      </c>
      <c r="P2259" s="10">
        <f t="shared" si="2431"/>
        <v>2.3144498687999997</v>
      </c>
      <c r="Q2259" s="10">
        <f t="shared" si="2432"/>
        <v>3.8924498688</v>
      </c>
      <c r="R2259" s="10">
        <v>50.287999999999997</v>
      </c>
      <c r="S2259" s="10">
        <v>0.33999999999999991</v>
      </c>
      <c r="T2259" s="10">
        <v>0.2599999999999999</v>
      </c>
      <c r="U2259" s="10">
        <v>-0.50900000000000001</v>
      </c>
      <c r="V2259" s="10">
        <v>-0.91400000000000003</v>
      </c>
      <c r="W2259" s="10">
        <v>1.5780000000000001</v>
      </c>
      <c r="X2259" s="10">
        <f t="shared" si="2422"/>
        <v>0.66400000000000003</v>
      </c>
      <c r="Y2259" s="10">
        <f t="shared" si="2423"/>
        <v>4.6023899713649376E-2</v>
      </c>
      <c r="Z2259" s="10">
        <f t="shared" si="2424"/>
        <v>-4.5470527874263258</v>
      </c>
      <c r="AA2259" s="10">
        <f t="shared" si="2425"/>
        <v>-2.5322208630196932</v>
      </c>
      <c r="AB2259" s="10">
        <f t="shared" si="2426"/>
        <v>7.7403155202036278E-2</v>
      </c>
      <c r="AC2259" s="10">
        <f t="shared" si="2427"/>
        <v>11.448381967058827</v>
      </c>
      <c r="AD2259" s="10">
        <f t="shared" si="2428"/>
        <v>14.970961033846161</v>
      </c>
      <c r="AE2259" s="10">
        <f t="shared" si="2429"/>
        <v>5.8621232963855414</v>
      </c>
    </row>
    <row r="2260" spans="1:32" x14ac:dyDescent="0.2">
      <c r="A2260" s="1" t="s">
        <v>6355</v>
      </c>
      <c r="B2260" s="1" t="s">
        <v>5</v>
      </c>
      <c r="C2260" s="1" t="s">
        <v>1709</v>
      </c>
      <c r="D2260" s="1" t="s">
        <v>1601</v>
      </c>
      <c r="E2260" s="1" t="s">
        <v>1602</v>
      </c>
      <c r="F2260" s="1" t="s">
        <v>1563</v>
      </c>
      <c r="G2260" s="4">
        <f>295/3919400+1435/1063512</f>
        <v>1.4245696862534322E-3</v>
      </c>
      <c r="H2260" s="28">
        <v>44347</v>
      </c>
      <c r="I2260" s="29">
        <f t="shared" si="2433"/>
        <v>2021</v>
      </c>
      <c r="J2260" s="1" t="s">
        <v>7</v>
      </c>
      <c r="K2260" s="1" t="s">
        <v>6355</v>
      </c>
      <c r="L2260" s="11" t="str">
        <f t="shared" si="2430"/>
        <v>ДА</v>
      </c>
      <c r="M2260" s="10">
        <v>0</v>
      </c>
      <c r="N2260" s="10">
        <v>0</v>
      </c>
      <c r="O2260" s="10">
        <v>1.3910000000000001E-3</v>
      </c>
      <c r="P2260" s="10">
        <f t="shared" si="2431"/>
        <v>0.97643520946895956</v>
      </c>
      <c r="Q2260" s="10">
        <f t="shared" si="2432"/>
        <v>3.7774352094689592</v>
      </c>
      <c r="R2260" s="10">
        <v>41.055</v>
      </c>
      <c r="S2260" s="10">
        <v>-4.915</v>
      </c>
      <c r="T2260" s="10">
        <v>-4.9870000000000001</v>
      </c>
      <c r="U2260" s="10">
        <v>-3.8719999999999999</v>
      </c>
      <c r="V2260" s="10">
        <v>-7.9349999999999996</v>
      </c>
      <c r="W2260" s="10">
        <v>2.8009999999999997</v>
      </c>
      <c r="X2260" s="10">
        <f t="shared" si="2422"/>
        <v>-5.1340000000000003</v>
      </c>
      <c r="Y2260" s="10">
        <f t="shared" si="2423"/>
        <v>2.3783588100571417E-2</v>
      </c>
      <c r="Z2260" s="10">
        <f t="shared" si="2424"/>
        <v>-0.25217851484219</v>
      </c>
      <c r="AA2260" s="10">
        <f t="shared" si="2425"/>
        <v>-0.12305421669426082</v>
      </c>
      <c r="AB2260" s="10">
        <f t="shared" si="2426"/>
        <v>9.2009139190572631E-2</v>
      </c>
      <c r="AC2260" s="10">
        <f t="shared" si="2427"/>
        <v>-0.7685524332591982</v>
      </c>
      <c r="AD2260" s="10">
        <f t="shared" si="2428"/>
        <v>-0.75745642860817308</v>
      </c>
      <c r="AE2260" s="10">
        <f t="shared" si="2429"/>
        <v>-0.73576844750077108</v>
      </c>
    </row>
    <row r="2261" spans="1:32" x14ac:dyDescent="0.2">
      <c r="A2261" s="1" t="s">
        <v>6355</v>
      </c>
      <c r="B2261" s="1" t="s">
        <v>5</v>
      </c>
      <c r="C2261" s="1" t="s">
        <v>1709</v>
      </c>
      <c r="D2261" s="1" t="s">
        <v>1601</v>
      </c>
      <c r="E2261" s="1" t="s">
        <v>1602</v>
      </c>
      <c r="F2261" s="1" t="s">
        <v>1563</v>
      </c>
      <c r="G2261" s="4">
        <f>31/3919400+100/1063512</f>
        <v>1.0193746195422613E-4</v>
      </c>
      <c r="H2261" s="28">
        <v>43982</v>
      </c>
      <c r="I2261" s="29">
        <f t="shared" si="2433"/>
        <v>2020</v>
      </c>
      <c r="J2261" s="1" t="s">
        <v>6355</v>
      </c>
      <c r="K2261" s="1" t="s">
        <v>7</v>
      </c>
      <c r="L2261" s="11" t="str">
        <f t="shared" si="2430"/>
        <v>ДА</v>
      </c>
      <c r="M2261" s="10">
        <v>0</v>
      </c>
      <c r="N2261" s="10">
        <v>0</v>
      </c>
      <c r="O2261" s="10">
        <v>1E-4</v>
      </c>
      <c r="P2261" s="10">
        <f t="shared" si="2431"/>
        <v>0.9809936218041595</v>
      </c>
      <c r="Q2261" s="10">
        <f t="shared" si="2432"/>
        <v>4.1759936218041593</v>
      </c>
      <c r="R2261" s="10">
        <v>41.252000000000002</v>
      </c>
      <c r="S2261" s="10">
        <v>0.23599999999999993</v>
      </c>
      <c r="T2261" s="10">
        <v>0.16499999999999992</v>
      </c>
      <c r="U2261" s="10">
        <v>-0.59599999999999997</v>
      </c>
      <c r="V2261" s="10">
        <v>-4.2140000000000004</v>
      </c>
      <c r="W2261" s="10">
        <v>3.1949999999999998</v>
      </c>
      <c r="X2261" s="10">
        <f t="shared" si="2422"/>
        <v>-1.0190000000000006</v>
      </c>
      <c r="Y2261" s="10">
        <f t="shared" si="2423"/>
        <v>2.3780510564437106E-2</v>
      </c>
      <c r="Z2261" s="10">
        <f t="shared" si="2424"/>
        <v>-1.6459624526915428</v>
      </c>
      <c r="AA2261" s="10">
        <f t="shared" si="2425"/>
        <v>-0.23279393018608435</v>
      </c>
      <c r="AB2261" s="10">
        <f t="shared" si="2426"/>
        <v>0.10123130082915154</v>
      </c>
      <c r="AC2261" s="10">
        <f t="shared" si="2427"/>
        <v>17.694888227983732</v>
      </c>
      <c r="AD2261" s="10">
        <f t="shared" si="2428"/>
        <v>25.309052253358551</v>
      </c>
      <c r="AE2261" s="10">
        <f t="shared" si="2429"/>
        <v>-4.0981291676193887</v>
      </c>
    </row>
    <row r="2262" spans="1:32" x14ac:dyDescent="0.2">
      <c r="A2262" s="1" t="s">
        <v>6355</v>
      </c>
      <c r="B2262" s="1" t="s">
        <v>5</v>
      </c>
      <c r="C2262" s="1" t="s">
        <v>1709</v>
      </c>
      <c r="D2262" s="1" t="s">
        <v>1601</v>
      </c>
      <c r="E2262" s="1" t="s">
        <v>1602</v>
      </c>
      <c r="F2262" s="1" t="s">
        <v>1563</v>
      </c>
      <c r="G2262" s="4">
        <f>264/3919400+1335/1063512</f>
        <v>1.322632224299206E-3</v>
      </c>
      <c r="H2262" s="28">
        <v>43616</v>
      </c>
      <c r="I2262" s="29">
        <f t="shared" si="2433"/>
        <v>2019</v>
      </c>
      <c r="J2262" s="1" t="s">
        <v>6355</v>
      </c>
      <c r="K2262" s="1" t="s">
        <v>7</v>
      </c>
      <c r="L2262" s="11" t="str">
        <f t="shared" si="2430"/>
        <v>ДА</v>
      </c>
      <c r="M2262" s="10">
        <v>0</v>
      </c>
      <c r="N2262" s="10">
        <v>0</v>
      </c>
      <c r="O2262" s="10">
        <v>1.2899999999999999E-3</v>
      </c>
      <c r="P2262" s="10">
        <f t="shared" si="2431"/>
        <v>0.97532781698518178</v>
      </c>
      <c r="Q2262" s="10">
        <f t="shared" si="2432"/>
        <v>6.2833278169851825</v>
      </c>
      <c r="R2262" s="10">
        <v>39.743000000000002</v>
      </c>
      <c r="S2262" s="10">
        <v>2.57</v>
      </c>
      <c r="T2262" s="10">
        <v>2.512</v>
      </c>
      <c r="U2262" s="10">
        <v>0.84299999999999997</v>
      </c>
      <c r="V2262" s="10">
        <v>-2.3479999999999999</v>
      </c>
      <c r="W2262" s="10">
        <v>5.3080000000000007</v>
      </c>
      <c r="X2262" s="10">
        <f t="shared" si="2422"/>
        <v>2.9600000000000009</v>
      </c>
      <c r="Y2262" s="10">
        <f t="shared" si="2423"/>
        <v>2.4540870517705805E-2</v>
      </c>
      <c r="Z2262" s="10">
        <f t="shared" si="2424"/>
        <v>1.1569724993893022</v>
      </c>
      <c r="AA2262" s="10">
        <f t="shared" si="2425"/>
        <v>-0.41538663415041815</v>
      </c>
      <c r="AB2262" s="10">
        <f t="shared" si="2426"/>
        <v>0.15809898137999603</v>
      </c>
      <c r="AC2262" s="10">
        <f t="shared" si="2427"/>
        <v>2.4448746369592151</v>
      </c>
      <c r="AD2262" s="10">
        <f t="shared" si="2428"/>
        <v>2.5013247679081139</v>
      </c>
      <c r="AE2262" s="10">
        <f t="shared" si="2429"/>
        <v>2.1227458841166151</v>
      </c>
    </row>
    <row r="2263" spans="1:32" x14ac:dyDescent="0.2">
      <c r="A2263" s="1" t="s">
        <v>6364</v>
      </c>
      <c r="B2263" s="1" t="s">
        <v>5</v>
      </c>
      <c r="C2263" s="1" t="s">
        <v>1707</v>
      </c>
      <c r="D2263" s="1" t="s">
        <v>1601</v>
      </c>
      <c r="E2263" s="1" t="s">
        <v>1602</v>
      </c>
      <c r="F2263" s="1" t="s">
        <v>1563</v>
      </c>
      <c r="G2263" s="4">
        <f>2765144/8128764676</f>
        <v>3.4016780042409484E-4</v>
      </c>
      <c r="H2263" s="28">
        <v>43830</v>
      </c>
      <c r="I2263" s="29">
        <f t="shared" si="2433"/>
        <v>2019</v>
      </c>
      <c r="J2263" s="1" t="s">
        <v>6355</v>
      </c>
      <c r="K2263" s="1" t="s">
        <v>7</v>
      </c>
      <c r="L2263" s="11" t="str">
        <f t="shared" si="2430"/>
        <v>НЕТ</v>
      </c>
      <c r="M2263" s="10">
        <v>0</v>
      </c>
      <c r="N2263" s="10">
        <v>0</v>
      </c>
      <c r="O2263" s="10">
        <v>6.0800000000000003E-4</v>
      </c>
      <c r="P2263" s="10">
        <f t="shared" si="2431"/>
        <v>1.7873531805244141</v>
      </c>
      <c r="Q2263" s="10">
        <f t="shared" si="2432"/>
        <v>5.8123531805244149</v>
      </c>
      <c r="R2263" s="10">
        <v>44.023000000000003</v>
      </c>
      <c r="S2263" s="10">
        <v>1.609</v>
      </c>
      <c r="T2263" s="10">
        <v>1.52</v>
      </c>
      <c r="U2263" s="10">
        <v>0.752</v>
      </c>
      <c r="V2263" s="10">
        <v>-1.7430000000000001</v>
      </c>
      <c r="W2263" s="10">
        <v>4.0250000000000004</v>
      </c>
      <c r="X2263" s="10">
        <f t="shared" si="2422"/>
        <v>2.282</v>
      </c>
      <c r="Y2263" s="10">
        <f t="shared" si="2423"/>
        <v>4.0600440236340414E-2</v>
      </c>
      <c r="Z2263" s="10">
        <f t="shared" si="2424"/>
        <v>2.3767994421867207</v>
      </c>
      <c r="AA2263" s="10">
        <f t="shared" si="2425"/>
        <v>-1.0254464604270876</v>
      </c>
      <c r="AB2263" s="10">
        <f t="shared" si="2426"/>
        <v>0.13202992028086261</v>
      </c>
      <c r="AC2263" s="10">
        <f t="shared" si="2427"/>
        <v>3.6124009823023089</v>
      </c>
      <c r="AD2263" s="10">
        <f t="shared" si="2428"/>
        <v>3.8239165661344834</v>
      </c>
      <c r="AE2263" s="10">
        <f t="shared" si="2429"/>
        <v>2.5470434621053526</v>
      </c>
      <c r="AF2263" s="1" t="s">
        <v>1720</v>
      </c>
    </row>
    <row r="2264" spans="1:32" x14ac:dyDescent="0.2">
      <c r="A2264" s="1" t="s">
        <v>6353</v>
      </c>
      <c r="B2264" s="1" t="s">
        <v>5</v>
      </c>
      <c r="C2264" s="1" t="s">
        <v>1706</v>
      </c>
      <c r="D2264" s="1" t="s">
        <v>1601</v>
      </c>
      <c r="E2264" s="1" t="s">
        <v>1602</v>
      </c>
      <c r="F2264" s="1" t="s">
        <v>1563</v>
      </c>
      <c r="G2264" s="4">
        <f>399826/10652220</f>
        <v>3.7534523320021551E-2</v>
      </c>
      <c r="H2264" s="28">
        <v>43830</v>
      </c>
      <c r="I2264" s="29">
        <f t="shared" si="2433"/>
        <v>2019</v>
      </c>
      <c r="J2264" s="1" t="s">
        <v>6355</v>
      </c>
      <c r="K2264" s="1" t="s">
        <v>7</v>
      </c>
      <c r="L2264" s="11" t="str">
        <f t="shared" si="2430"/>
        <v>НЕТ</v>
      </c>
      <c r="M2264" s="10">
        <v>0</v>
      </c>
      <c r="N2264" s="10">
        <v>0</v>
      </c>
      <c r="O2264" s="10">
        <f>0.003439</f>
        <v>3.4390000000000002E-3</v>
      </c>
      <c r="P2264" s="10">
        <f t="shared" si="2431"/>
        <v>9.1622317157963734E-2</v>
      </c>
      <c r="Q2264" s="10">
        <f t="shared" si="2432"/>
        <v>0.40462231715796371</v>
      </c>
      <c r="R2264" s="10">
        <v>7.3460000000000001</v>
      </c>
      <c r="S2264" s="10">
        <v>0.58000000000000007</v>
      </c>
      <c r="T2264" s="10">
        <v>0.53300000000000003</v>
      </c>
      <c r="U2264" s="10">
        <v>0.38900000000000001</v>
      </c>
      <c r="V2264" s="10">
        <v>0.877</v>
      </c>
      <c r="W2264" s="10">
        <v>0.31299999999999994</v>
      </c>
      <c r="X2264" s="10">
        <f t="shared" si="2422"/>
        <v>1.19</v>
      </c>
      <c r="Y2264" s="10">
        <f t="shared" si="2423"/>
        <v>1.2472409087661821E-2</v>
      </c>
      <c r="Z2264" s="10">
        <f t="shared" si="2424"/>
        <v>0.23553294899219468</v>
      </c>
      <c r="AA2264" s="10">
        <f t="shared" si="2425"/>
        <v>0.10447242549368727</v>
      </c>
      <c r="AB2264" s="10">
        <f t="shared" si="2426"/>
        <v>5.5080631249382478E-2</v>
      </c>
      <c r="AC2264" s="10">
        <f t="shared" si="2427"/>
        <v>0.69762468475510975</v>
      </c>
      <c r="AD2264" s="10">
        <f t="shared" si="2428"/>
        <v>0.75914130798867485</v>
      </c>
      <c r="AE2264" s="10">
        <f t="shared" si="2429"/>
        <v>0.34001875391425523</v>
      </c>
      <c r="AF2264" s="1" t="s">
        <v>1721</v>
      </c>
    </row>
    <row r="2265" spans="1:32" x14ac:dyDescent="0.2">
      <c r="A2265" s="1" t="s">
        <v>6353</v>
      </c>
      <c r="B2265" s="1" t="s">
        <v>5</v>
      </c>
      <c r="C2265" s="1" t="s">
        <v>1706</v>
      </c>
      <c r="D2265" s="1" t="s">
        <v>1601</v>
      </c>
      <c r="E2265" s="1" t="s">
        <v>1602</v>
      </c>
      <c r="F2265" s="1" t="s">
        <v>1563</v>
      </c>
      <c r="G2265" s="4">
        <f>904629/121847780</f>
        <v>7.4242550828583003E-3</v>
      </c>
      <c r="H2265" s="28">
        <v>43830</v>
      </c>
      <c r="I2265" s="29">
        <f t="shared" si="2433"/>
        <v>2019</v>
      </c>
      <c r="J2265" s="1" t="s">
        <v>6355</v>
      </c>
      <c r="K2265" s="1" t="s">
        <v>7</v>
      </c>
      <c r="L2265" s="11" t="str">
        <f t="shared" si="2430"/>
        <v>НЕТ</v>
      </c>
      <c r="M2265" s="10">
        <v>0</v>
      </c>
      <c r="N2265" s="10">
        <v>0</v>
      </c>
      <c r="O2265" s="10">
        <f>0.009046</f>
        <v>9.0460000000000002E-3</v>
      </c>
      <c r="P2265" s="10">
        <f t="shared" si="2431"/>
        <v>1.218438738842111</v>
      </c>
      <c r="Q2265" s="10">
        <f t="shared" si="2432"/>
        <v>1.5314387388421109</v>
      </c>
      <c r="R2265" s="10">
        <v>7.3460000000000001</v>
      </c>
      <c r="S2265" s="10">
        <v>0.58000000000000007</v>
      </c>
      <c r="T2265" s="10">
        <v>0.53300000000000003</v>
      </c>
      <c r="U2265" s="10">
        <v>0.38900000000000001</v>
      </c>
      <c r="V2265" s="10">
        <v>0.877</v>
      </c>
      <c r="W2265" s="10">
        <v>0.31299999999999994</v>
      </c>
      <c r="X2265" s="10">
        <f t="shared" si="2422"/>
        <v>1.19</v>
      </c>
      <c r="Y2265" s="10">
        <f t="shared" si="2423"/>
        <v>0.16586424432917382</v>
      </c>
      <c r="Z2265" s="10">
        <f t="shared" si="2424"/>
        <v>3.1322332618049122</v>
      </c>
      <c r="AA2265" s="10">
        <f t="shared" si="2425"/>
        <v>1.3893258139590774</v>
      </c>
      <c r="AB2265" s="10">
        <f t="shared" si="2426"/>
        <v>0.20847246649089449</v>
      </c>
      <c r="AC2265" s="10">
        <f t="shared" si="2427"/>
        <v>2.6404116186932942</v>
      </c>
      <c r="AD2265" s="10">
        <f t="shared" si="2428"/>
        <v>2.8732434124617465</v>
      </c>
      <c r="AE2265" s="10">
        <f t="shared" si="2429"/>
        <v>1.2869233099513537</v>
      </c>
      <c r="AF2265" s="1" t="s">
        <v>1719</v>
      </c>
    </row>
    <row r="2266" spans="1:32" x14ac:dyDescent="0.2">
      <c r="A2266" s="1" t="s">
        <v>6354</v>
      </c>
      <c r="B2266" s="1" t="s">
        <v>5</v>
      </c>
      <c r="C2266" s="1" t="s">
        <v>1705</v>
      </c>
      <c r="D2266" s="1" t="s">
        <v>1601</v>
      </c>
      <c r="E2266" s="1" t="s">
        <v>1602</v>
      </c>
      <c r="F2266" s="1" t="s">
        <v>1563</v>
      </c>
      <c r="G2266" s="4">
        <f>1728182/56151024</f>
        <v>3.0777390631380117E-2</v>
      </c>
      <c r="H2266" s="28">
        <v>43830</v>
      </c>
      <c r="I2266" s="29">
        <f t="shared" si="2433"/>
        <v>2019</v>
      </c>
      <c r="J2266" s="1" t="s">
        <v>6355</v>
      </c>
      <c r="K2266" s="1" t="s">
        <v>7</v>
      </c>
      <c r="L2266" s="11" t="str">
        <f t="shared" si="2430"/>
        <v>НЕТ</v>
      </c>
      <c r="M2266" s="10">
        <v>0</v>
      </c>
      <c r="N2266" s="10">
        <v>0</v>
      </c>
      <c r="O2266" s="10">
        <f>0.085718</f>
        <v>8.5718000000000003E-2</v>
      </c>
      <c r="P2266" s="10">
        <f t="shared" si="2431"/>
        <v>2.7850964049110569</v>
      </c>
      <c r="Q2266" s="10">
        <f t="shared" si="2432"/>
        <v>3.0370964049110567</v>
      </c>
      <c r="R2266" s="10">
        <v>25.15</v>
      </c>
      <c r="S2266" s="10">
        <v>0.51100000000000001</v>
      </c>
      <c r="T2266" s="10">
        <v>0.49299999999999999</v>
      </c>
      <c r="U2266" s="10">
        <v>0.312</v>
      </c>
      <c r="V2266" s="10">
        <v>0.41599999999999998</v>
      </c>
      <c r="W2266" s="10">
        <v>0.252</v>
      </c>
      <c r="X2266" s="10">
        <f t="shared" si="2422"/>
        <v>0.66799999999999993</v>
      </c>
      <c r="Y2266" s="10">
        <f t="shared" si="2423"/>
        <v>0.11073941967837204</v>
      </c>
      <c r="Z2266" s="10">
        <f t="shared" si="2424"/>
        <v>8.9265910413815934</v>
      </c>
      <c r="AA2266" s="10">
        <f t="shared" si="2425"/>
        <v>6.6949432810361946</v>
      </c>
      <c r="AB2266" s="10">
        <f t="shared" si="2426"/>
        <v>0.12075930039407781</v>
      </c>
      <c r="AC2266" s="10">
        <f t="shared" si="2427"/>
        <v>5.9434371916067645</v>
      </c>
      <c r="AD2266" s="10">
        <f t="shared" si="2428"/>
        <v>6.1604389551948415</v>
      </c>
      <c r="AE2266" s="10">
        <f t="shared" si="2429"/>
        <v>4.5465515043578701</v>
      </c>
      <c r="AF2266" s="1" t="s">
        <v>1718</v>
      </c>
    </row>
    <row r="2267" spans="1:32" x14ac:dyDescent="0.2">
      <c r="A2267" s="1" t="s">
        <v>6356</v>
      </c>
      <c r="B2267" s="1" t="s">
        <v>5</v>
      </c>
      <c r="C2267" s="1" t="s">
        <v>1711</v>
      </c>
      <c r="D2267" s="1" t="s">
        <v>1601</v>
      </c>
      <c r="E2267" s="1" t="s">
        <v>1602</v>
      </c>
      <c r="F2267" s="1" t="s">
        <v>1563</v>
      </c>
      <c r="G2267" s="4">
        <f>1.30077/17.143584</f>
        <v>7.5875032898605102E-2</v>
      </c>
      <c r="H2267" s="28">
        <v>43830</v>
      </c>
      <c r="I2267" s="29">
        <f t="shared" si="2433"/>
        <v>2019</v>
      </c>
      <c r="J2267" s="1" t="s">
        <v>6355</v>
      </c>
      <c r="K2267" s="1" t="s">
        <v>7</v>
      </c>
      <c r="L2267" s="11" t="str">
        <f t="shared" si="2430"/>
        <v>НЕТ</v>
      </c>
      <c r="M2267" s="10">
        <v>0</v>
      </c>
      <c r="N2267" s="10">
        <v>0</v>
      </c>
      <c r="O2267" s="10">
        <f>0.208123</f>
        <v>0.208123</v>
      </c>
      <c r="P2267" s="10">
        <f t="shared" si="2431"/>
        <v>2.7429708040868102</v>
      </c>
      <c r="Q2267" s="10">
        <f t="shared" si="2432"/>
        <v>4.5289708040868106</v>
      </c>
      <c r="R2267" s="10">
        <v>16.725000000000001</v>
      </c>
      <c r="S2267" s="10">
        <v>0.52500000000000002</v>
      </c>
      <c r="T2267" s="10">
        <v>0.442</v>
      </c>
      <c r="U2267" s="10">
        <v>0.10100000000000001</v>
      </c>
      <c r="V2267" s="10">
        <v>-0.26200000000000001</v>
      </c>
      <c r="W2267" s="10">
        <v>1.786</v>
      </c>
      <c r="X2267" s="10">
        <f t="shared" si="2422"/>
        <v>1.524</v>
      </c>
      <c r="Y2267" s="10">
        <f t="shared" si="2423"/>
        <v>0.16400423342820986</v>
      </c>
      <c r="Z2267" s="10">
        <f t="shared" si="2424"/>
        <v>27.158126773136733</v>
      </c>
      <c r="AA2267" s="10">
        <f t="shared" si="2425"/>
        <v>-10.469354214071794</v>
      </c>
      <c r="AB2267" s="10">
        <f t="shared" si="2426"/>
        <v>0.2707904815597495</v>
      </c>
      <c r="AC2267" s="10">
        <f t="shared" si="2427"/>
        <v>8.6266110554034476</v>
      </c>
      <c r="AD2267" s="10">
        <f t="shared" si="2428"/>
        <v>10.24654028073939</v>
      </c>
      <c r="AE2267" s="10">
        <f t="shared" si="2429"/>
        <v>2.9717656194795343</v>
      </c>
      <c r="AF2267" s="1" t="s">
        <v>1717</v>
      </c>
    </row>
    <row r="2268" spans="1:32" x14ac:dyDescent="0.2">
      <c r="A2268" s="1" t="s">
        <v>6348</v>
      </c>
      <c r="B2268" s="1" t="s">
        <v>5</v>
      </c>
      <c r="C2268" s="1" t="s">
        <v>1630</v>
      </c>
      <c r="D2268" s="1" t="s">
        <v>1601</v>
      </c>
      <c r="E2268" s="1" t="s">
        <v>1602</v>
      </c>
      <c r="F2268" s="1" t="s">
        <v>1563</v>
      </c>
      <c r="G2268" s="4">
        <v>6.4590000000000003E-3</v>
      </c>
      <c r="H2268" s="28">
        <v>43677</v>
      </c>
      <c r="I2268" s="29">
        <f t="shared" si="2433"/>
        <v>2019</v>
      </c>
      <c r="J2268" s="1" t="s">
        <v>6355</v>
      </c>
      <c r="K2268" s="1" t="s">
        <v>7</v>
      </c>
      <c r="L2268" s="11" t="str">
        <f t="shared" si="2430"/>
        <v>НЕТ</v>
      </c>
      <c r="M2268" s="10">
        <v>0</v>
      </c>
      <c r="N2268" s="10">
        <v>0</v>
      </c>
      <c r="O2268" s="10">
        <v>0.108156</v>
      </c>
      <c r="P2268" s="10">
        <f t="shared" si="2431"/>
        <v>16.745006967022757</v>
      </c>
      <c r="Q2268" s="10">
        <f t="shared" si="2432"/>
        <v>44.071006967022754</v>
      </c>
      <c r="R2268" s="10">
        <v>222.453</v>
      </c>
      <c r="S2268" s="10">
        <v>6.2640000000000002</v>
      </c>
      <c r="T2268" s="10">
        <v>5.7490000000000006</v>
      </c>
      <c r="U2268" s="10">
        <v>0.33900000000000002</v>
      </c>
      <c r="V2268" s="10">
        <v>3.8630000000000004</v>
      </c>
      <c r="W2268" s="10">
        <v>27.325999999999997</v>
      </c>
      <c r="X2268" s="10">
        <f t="shared" si="2422"/>
        <v>31.188999999999997</v>
      </c>
      <c r="Y2268" s="10">
        <f t="shared" si="2423"/>
        <v>7.5274358929853749E-2</v>
      </c>
      <c r="Z2268" s="10">
        <f t="shared" si="2424"/>
        <v>49.395300787677748</v>
      </c>
      <c r="AA2268" s="10">
        <f t="shared" si="2425"/>
        <v>4.3347157564128285</v>
      </c>
      <c r="AB2268" s="10">
        <f t="shared" si="2426"/>
        <v>0.19811379018049993</v>
      </c>
      <c r="AC2268" s="10">
        <f t="shared" si="2427"/>
        <v>7.0356013676600817</v>
      </c>
      <c r="AD2268" s="10">
        <f t="shared" si="2428"/>
        <v>7.6658561431592886</v>
      </c>
      <c r="AE2268" s="10">
        <f t="shared" si="2429"/>
        <v>1.4130304583995241</v>
      </c>
      <c r="AF2268" s="1" t="s">
        <v>1712</v>
      </c>
    </row>
    <row r="2269" spans="1:32" x14ac:dyDescent="0.2">
      <c r="A2269" s="1" t="s">
        <v>6364</v>
      </c>
      <c r="B2269" s="1" t="s">
        <v>5</v>
      </c>
      <c r="C2269" s="1" t="s">
        <v>1707</v>
      </c>
      <c r="D2269" s="1" t="s">
        <v>1601</v>
      </c>
      <c r="E2269" s="1" t="s">
        <v>1602</v>
      </c>
      <c r="F2269" s="1" t="s">
        <v>1563</v>
      </c>
      <c r="G2269" s="4">
        <v>9.2500000000000004E-4</v>
      </c>
      <c r="H2269" s="28">
        <v>43677</v>
      </c>
      <c r="I2269" s="29">
        <f t="shared" si="2433"/>
        <v>2019</v>
      </c>
      <c r="J2269" s="1" t="s">
        <v>6355</v>
      </c>
      <c r="K2269" s="1" t="s">
        <v>7</v>
      </c>
      <c r="L2269" s="11" t="str">
        <f t="shared" si="2430"/>
        <v>НЕТ</v>
      </c>
      <c r="M2269" s="10">
        <v>0</v>
      </c>
      <c r="N2269" s="10">
        <v>0</v>
      </c>
      <c r="O2269" s="10">
        <v>1.9100000000000001E-4</v>
      </c>
      <c r="P2269" s="10">
        <f t="shared" si="2431"/>
        <v>0.20648648648648649</v>
      </c>
      <c r="Q2269" s="10">
        <f t="shared" si="2432"/>
        <v>4.9454864864864865</v>
      </c>
      <c r="R2269" s="10">
        <v>42.84</v>
      </c>
      <c r="S2269" s="10">
        <v>0.76700000000000002</v>
      </c>
      <c r="T2269" s="10">
        <v>0.68500000000000005</v>
      </c>
      <c r="U2269" s="10">
        <v>9.2999999999999999E-2</v>
      </c>
      <c r="V2269" s="10">
        <v>-1.8979999999999999</v>
      </c>
      <c r="W2269" s="10">
        <v>4.7389999999999999</v>
      </c>
      <c r="X2269" s="10">
        <f t="shared" si="2422"/>
        <v>2.8410000000000002</v>
      </c>
      <c r="Y2269" s="10">
        <f t="shared" si="2423"/>
        <v>4.8199459964165846E-3</v>
      </c>
      <c r="Z2269" s="10">
        <f t="shared" si="2424"/>
        <v>2.2202848009299623</v>
      </c>
      <c r="AA2269" s="10">
        <f t="shared" si="2425"/>
        <v>-0.10879161564093072</v>
      </c>
      <c r="AB2269" s="10">
        <f t="shared" si="2426"/>
        <v>0.11544086102909631</v>
      </c>
      <c r="AC2269" s="10">
        <f t="shared" si="2427"/>
        <v>6.4478311427463968</v>
      </c>
      <c r="AD2269" s="10">
        <f t="shared" si="2428"/>
        <v>7.2196883014401259</v>
      </c>
      <c r="AE2269" s="10">
        <f t="shared" si="2429"/>
        <v>1.740755539065993</v>
      </c>
      <c r="AF2269" s="1" t="s">
        <v>1713</v>
      </c>
    </row>
    <row r="2270" spans="1:32" x14ac:dyDescent="0.2">
      <c r="A2270" s="1" t="s">
        <v>6353</v>
      </c>
      <c r="B2270" s="1" t="s">
        <v>5</v>
      </c>
      <c r="C2270" s="1" t="s">
        <v>1706</v>
      </c>
      <c r="D2270" s="1" t="s">
        <v>1601</v>
      </c>
      <c r="E2270" s="1" t="s">
        <v>1602</v>
      </c>
      <c r="F2270" s="1" t="s">
        <v>1563</v>
      </c>
      <c r="G2270" s="4">
        <v>4.0400000000000001E-4</v>
      </c>
      <c r="H2270" s="28">
        <v>43677</v>
      </c>
      <c r="I2270" s="29">
        <f t="shared" si="2433"/>
        <v>2019</v>
      </c>
      <c r="J2270" s="1" t="s">
        <v>6355</v>
      </c>
      <c r="K2270" s="1" t="s">
        <v>7</v>
      </c>
      <c r="L2270" s="11" t="str">
        <f t="shared" si="2430"/>
        <v>НЕТ</v>
      </c>
      <c r="M2270" s="10">
        <v>0</v>
      </c>
      <c r="N2270" s="10">
        <v>0</v>
      </c>
      <c r="O2270" s="10">
        <f>0.044964</f>
        <v>4.4963999999999997E-2</v>
      </c>
      <c r="P2270" s="10">
        <f t="shared" si="2431"/>
        <v>111.29702970297029</v>
      </c>
      <c r="Q2270" s="10">
        <f t="shared" si="2432"/>
        <v>111.54102970297029</v>
      </c>
      <c r="R2270" s="10">
        <v>6.9779999999999998</v>
      </c>
      <c r="S2270" s="10">
        <v>0.32900000000000001</v>
      </c>
      <c r="T2270" s="10">
        <v>0.30099999999999999</v>
      </c>
      <c r="U2270" s="10">
        <v>0.19700000000000001</v>
      </c>
      <c r="V2270" s="10">
        <v>0.59</v>
      </c>
      <c r="W2270" s="10">
        <v>0.24399999999999999</v>
      </c>
      <c r="X2270" s="10">
        <f t="shared" si="2422"/>
        <v>0.83399999999999996</v>
      </c>
      <c r="Y2270" s="10">
        <f t="shared" si="2423"/>
        <v>15.949703310829793</v>
      </c>
      <c r="Z2270" s="10">
        <f t="shared" si="2424"/>
        <v>564.95954163944305</v>
      </c>
      <c r="AA2270" s="10">
        <f t="shared" si="2425"/>
        <v>188.63903339486492</v>
      </c>
      <c r="AB2270" s="10">
        <f t="shared" si="2426"/>
        <v>15.984670350096058</v>
      </c>
      <c r="AC2270" s="10">
        <f t="shared" si="2427"/>
        <v>339.03048541936255</v>
      </c>
      <c r="AD2270" s="10">
        <f t="shared" si="2428"/>
        <v>370.56820499325681</v>
      </c>
      <c r="AE2270" s="10">
        <f t="shared" si="2429"/>
        <v>133.7422418500843</v>
      </c>
      <c r="AF2270" s="1" t="s">
        <v>1714</v>
      </c>
    </row>
    <row r="2271" spans="1:32" x14ac:dyDescent="0.2">
      <c r="A2271" s="1" t="s">
        <v>6354</v>
      </c>
      <c r="B2271" s="1" t="s">
        <v>5</v>
      </c>
      <c r="C2271" s="1" t="s">
        <v>1705</v>
      </c>
      <c r="D2271" s="1" t="s">
        <v>1601</v>
      </c>
      <c r="E2271" s="1" t="s">
        <v>1602</v>
      </c>
      <c r="F2271" s="1" t="s">
        <v>1563</v>
      </c>
      <c r="G2271" s="4">
        <v>1.6766E-2</v>
      </c>
      <c r="H2271" s="28">
        <v>43677</v>
      </c>
      <c r="I2271" s="29">
        <f t="shared" si="2433"/>
        <v>2019</v>
      </c>
      <c r="J2271" s="1" t="s">
        <v>6355</v>
      </c>
      <c r="K2271" s="1" t="s">
        <v>7</v>
      </c>
      <c r="L2271" s="11" t="str">
        <f t="shared" si="2430"/>
        <v>НЕТ</v>
      </c>
      <c r="M2271" s="10">
        <v>0</v>
      </c>
      <c r="N2271" s="10">
        <v>0</v>
      </c>
      <c r="O2271" s="10">
        <v>2.3851000000000001E-2</v>
      </c>
      <c r="P2271" s="10">
        <f t="shared" si="2431"/>
        <v>1.4225814147679829</v>
      </c>
      <c r="Q2271" s="10">
        <f t="shared" si="2432"/>
        <v>1.8485814147679831</v>
      </c>
      <c r="R2271" s="10">
        <v>24.088000000000001</v>
      </c>
      <c r="S2271" s="10">
        <v>0.42400000000000004</v>
      </c>
      <c r="T2271" s="10">
        <v>0.40500000000000003</v>
      </c>
      <c r="U2271" s="10">
        <v>7.9000000000000001E-2</v>
      </c>
      <c r="V2271" s="10">
        <v>6.5000000000000002E-2</v>
      </c>
      <c r="W2271" s="10">
        <v>0.4260000000000001</v>
      </c>
      <c r="X2271" s="10">
        <f t="shared" si="2422"/>
        <v>0.4910000000000001</v>
      </c>
      <c r="Y2271" s="10">
        <f t="shared" si="2423"/>
        <v>5.9057680785784744E-2</v>
      </c>
      <c r="Z2271" s="10">
        <f t="shared" si="2424"/>
        <v>18.007359680607379</v>
      </c>
      <c r="AA2271" s="10">
        <f t="shared" si="2425"/>
        <v>21.885867919507429</v>
      </c>
      <c r="AB2271" s="10">
        <f t="shared" si="2426"/>
        <v>7.6742835219527697E-2</v>
      </c>
      <c r="AC2271" s="10">
        <f t="shared" si="2427"/>
        <v>4.3598618272829786</v>
      </c>
      <c r="AD2271" s="10">
        <f t="shared" si="2428"/>
        <v>4.5643985549826738</v>
      </c>
      <c r="AE2271" s="10">
        <f t="shared" si="2429"/>
        <v>3.7649315983054636</v>
      </c>
      <c r="AF2271" s="1" t="s">
        <v>1715</v>
      </c>
    </row>
    <row r="2272" spans="1:32" x14ac:dyDescent="0.2">
      <c r="A2272" s="1" t="s">
        <v>6366</v>
      </c>
      <c r="B2272" s="1" t="s">
        <v>5</v>
      </c>
      <c r="C2272" s="1" t="s">
        <v>1575</v>
      </c>
      <c r="D2272" s="1" t="s">
        <v>1601</v>
      </c>
      <c r="E2272" s="1" t="s">
        <v>1602</v>
      </c>
      <c r="F2272" s="1" t="s">
        <v>1563</v>
      </c>
      <c r="G2272" s="4">
        <v>0.159</v>
      </c>
      <c r="H2272" s="28">
        <v>43677</v>
      </c>
      <c r="I2272" s="29">
        <f t="shared" si="2433"/>
        <v>2019</v>
      </c>
      <c r="J2272" s="1" t="s">
        <v>6355</v>
      </c>
      <c r="K2272" s="1" t="s">
        <v>7</v>
      </c>
      <c r="L2272" s="11" t="str">
        <f t="shared" si="2430"/>
        <v>НЕТ</v>
      </c>
      <c r="M2272" s="10">
        <v>0</v>
      </c>
      <c r="N2272" s="10">
        <v>0</v>
      </c>
      <c r="O2272" s="10">
        <v>0.117838</v>
      </c>
      <c r="P2272" s="10">
        <f t="shared" si="2431"/>
        <v>0.74111949685534584</v>
      </c>
      <c r="Q2272" s="10" t="str">
        <f t="shared" si="2432"/>
        <v>NA</v>
      </c>
      <c r="R2272" s="10" t="s">
        <v>1575</v>
      </c>
      <c r="S2272" s="10" t="s">
        <v>1575</v>
      </c>
      <c r="T2272" s="10" t="s">
        <v>1575</v>
      </c>
      <c r="U2272" s="10" t="s">
        <v>1575</v>
      </c>
      <c r="V2272" s="10" t="s">
        <v>1575</v>
      </c>
      <c r="W2272" s="10" t="s">
        <v>1575</v>
      </c>
      <c r="X2272" s="10" t="str">
        <f t="shared" si="2422"/>
        <v>NA</v>
      </c>
      <c r="Y2272" s="10" t="str">
        <f t="shared" si="2423"/>
        <v>NA</v>
      </c>
      <c r="Z2272" s="10" t="str">
        <f t="shared" si="2424"/>
        <v>NA</v>
      </c>
      <c r="AA2272" s="10" t="str">
        <f t="shared" si="2425"/>
        <v>NA</v>
      </c>
      <c r="AB2272" s="10" t="str">
        <f t="shared" si="2426"/>
        <v>NA</v>
      </c>
      <c r="AC2272" s="10" t="str">
        <f t="shared" si="2427"/>
        <v>NA</v>
      </c>
      <c r="AD2272" s="10" t="str">
        <f t="shared" si="2428"/>
        <v>NA</v>
      </c>
      <c r="AE2272" s="10" t="str">
        <f t="shared" si="2429"/>
        <v>NA</v>
      </c>
      <c r="AF2272" s="1" t="s">
        <v>1716</v>
      </c>
    </row>
    <row r="2273" spans="1:32" x14ac:dyDescent="0.2">
      <c r="A2273" s="1" t="s">
        <v>6355</v>
      </c>
      <c r="B2273" s="1" t="s">
        <v>5</v>
      </c>
      <c r="C2273" s="1" t="s">
        <v>1709</v>
      </c>
      <c r="D2273" s="1" t="s">
        <v>1601</v>
      </c>
      <c r="E2273" s="1" t="s">
        <v>1602</v>
      </c>
      <c r="F2273" s="1" t="s">
        <v>1569</v>
      </c>
      <c r="G2273" s="4">
        <f>1730/3919400+2286/1063512</f>
        <v>2.5908761842231933E-3</v>
      </c>
      <c r="H2273" s="28">
        <v>43312</v>
      </c>
      <c r="I2273" s="29">
        <f t="shared" si="2433"/>
        <v>2018</v>
      </c>
      <c r="J2273" s="1" t="s">
        <v>7</v>
      </c>
      <c r="K2273" s="1" t="s">
        <v>6355</v>
      </c>
      <c r="L2273" s="11" t="str">
        <f t="shared" si="2430"/>
        <v>ДА</v>
      </c>
      <c r="M2273" s="10">
        <v>0</v>
      </c>
      <c r="N2273" s="10">
        <v>0</v>
      </c>
      <c r="O2273" s="10">
        <v>3.8189999999999999E-3</v>
      </c>
      <c r="P2273" s="10">
        <f t="shared" si="2431"/>
        <v>1.4740187212554996</v>
      </c>
      <c r="Q2273" s="10">
        <f t="shared" si="2432"/>
        <v>7.7760187212554994</v>
      </c>
      <c r="R2273" s="10">
        <v>37.838000000000001</v>
      </c>
      <c r="S2273" s="10">
        <v>-0.52600000000000002</v>
      </c>
      <c r="T2273" s="10">
        <v>-0.57700000000000007</v>
      </c>
      <c r="U2273" s="10">
        <v>-0.91900000000000004</v>
      </c>
      <c r="V2273" s="10">
        <v>-2.9820000000000002</v>
      </c>
      <c r="W2273" s="10">
        <v>6.3019999999999996</v>
      </c>
      <c r="X2273" s="10">
        <f t="shared" ref="X2273:X2336" si="2434">IFERROR(V2273+W2273,"NA")</f>
        <v>3.3199999999999994</v>
      </c>
      <c r="Y2273" s="10">
        <f t="shared" ref="Y2273:Y2336" si="2435">IFERROR(P2273/R2273,"NA")</f>
        <v>3.8956042107286315E-2</v>
      </c>
      <c r="Z2273" s="10">
        <f t="shared" ref="Z2273:Z2336" si="2436">IFERROR(P2273/U2273,"NA")</f>
        <v>-1.6039376727480952</v>
      </c>
      <c r="AA2273" s="10">
        <f t="shared" ref="AA2273:AA2336" si="2437">IFERROR(P2273/V2273,"NA")</f>
        <v>-0.49430540618896696</v>
      </c>
      <c r="AB2273" s="10">
        <f t="shared" ref="AB2273:AB2336" si="2438">IFERROR(Q2273/R2273,"NA")</f>
        <v>0.20550818545524338</v>
      </c>
      <c r="AC2273" s="10">
        <f t="shared" ref="AC2273:AC2336" si="2439">IFERROR(Q2273/S2273,"NA")</f>
        <v>-14.783305553717678</v>
      </c>
      <c r="AD2273" s="10">
        <f t="shared" ref="AD2273:AD2336" si="2440">IFERROR(Q2273/T2273,"NA")</f>
        <v>-13.47663556543414</v>
      </c>
      <c r="AE2273" s="10">
        <f t="shared" ref="AE2273:AE2336" si="2441">IFERROR(Q2273/X2273,"NA")</f>
        <v>2.3421743136311748</v>
      </c>
      <c r="AF2273" s="1" t="s">
        <v>1723</v>
      </c>
    </row>
    <row r="2274" spans="1:32" x14ac:dyDescent="0.2">
      <c r="A2274" s="1" t="s">
        <v>6355</v>
      </c>
      <c r="B2274" s="1" t="s">
        <v>5</v>
      </c>
      <c r="C2274" s="1" t="s">
        <v>1709</v>
      </c>
      <c r="D2274" s="1" t="s">
        <v>1601</v>
      </c>
      <c r="E2274" s="1" t="s">
        <v>1602</v>
      </c>
      <c r="F2274" s="1" t="s">
        <v>1569</v>
      </c>
      <c r="G2274" s="4">
        <f>1193/3919400</f>
        <v>3.0438332397815992E-4</v>
      </c>
      <c r="H2274" s="28">
        <v>43312</v>
      </c>
      <c r="I2274" s="29">
        <f t="shared" si="2433"/>
        <v>2018</v>
      </c>
      <c r="J2274" s="1" t="s">
        <v>7</v>
      </c>
      <c r="K2274" s="1" t="s">
        <v>6355</v>
      </c>
      <c r="L2274" s="11" t="str">
        <f t="shared" si="2430"/>
        <v>ДА</v>
      </c>
      <c r="M2274" s="10">
        <v>0</v>
      </c>
      <c r="N2274" s="10">
        <v>0</v>
      </c>
      <c r="O2274" s="10">
        <v>1.0269999999999999E-3</v>
      </c>
      <c r="P2274" s="10">
        <f t="shared" si="2431"/>
        <v>3.3740350377200334</v>
      </c>
      <c r="Q2274" s="10">
        <f t="shared" si="2432"/>
        <v>9.6760350377200339</v>
      </c>
      <c r="R2274" s="10">
        <v>37.838000000000001</v>
      </c>
      <c r="S2274" s="10">
        <v>-0.52600000000000002</v>
      </c>
      <c r="T2274" s="10">
        <v>-0.57700000000000007</v>
      </c>
      <c r="U2274" s="10">
        <v>-0.91900000000000004</v>
      </c>
      <c r="V2274" s="10">
        <v>-2.9820000000000002</v>
      </c>
      <c r="W2274" s="10">
        <v>6.3019999999999996</v>
      </c>
      <c r="X2274" s="10">
        <f t="shared" si="2434"/>
        <v>3.3199999999999994</v>
      </c>
      <c r="Y2274" s="10">
        <f t="shared" si="2435"/>
        <v>8.9170543837413005E-2</v>
      </c>
      <c r="Z2274" s="10">
        <f t="shared" si="2436"/>
        <v>-3.6714200628074356</v>
      </c>
      <c r="AA2274" s="10">
        <f t="shared" si="2437"/>
        <v>-1.1314671487994745</v>
      </c>
      <c r="AB2274" s="10">
        <f t="shared" si="2438"/>
        <v>0.25572268718537011</v>
      </c>
      <c r="AC2274" s="10">
        <f t="shared" si="2439"/>
        <v>-18.39550387399246</v>
      </c>
      <c r="AD2274" s="10">
        <f t="shared" si="2440"/>
        <v>-16.76955812429815</v>
      </c>
      <c r="AE2274" s="10">
        <f t="shared" si="2441"/>
        <v>2.9144683848554322</v>
      </c>
      <c r="AF2274" s="1" t="s">
        <v>1722</v>
      </c>
    </row>
    <row r="2275" spans="1:32" x14ac:dyDescent="0.2">
      <c r="A2275" s="1" t="s">
        <v>6355</v>
      </c>
      <c r="B2275" s="1" t="s">
        <v>5</v>
      </c>
      <c r="C2275" s="1" t="s">
        <v>1709</v>
      </c>
      <c r="D2275" s="1" t="s">
        <v>1601</v>
      </c>
      <c r="E2275" s="1" t="s">
        <v>1602</v>
      </c>
      <c r="F2275" s="1" t="s">
        <v>1569</v>
      </c>
      <c r="G2275" s="4">
        <f>5566/3919400</f>
        <v>1.4201153237740471E-3</v>
      </c>
      <c r="H2275" s="28">
        <v>42490</v>
      </c>
      <c r="I2275" s="29">
        <f t="shared" si="2433"/>
        <v>2016</v>
      </c>
      <c r="J2275" s="1" t="s">
        <v>7</v>
      </c>
      <c r="K2275" s="1" t="s">
        <v>6355</v>
      </c>
      <c r="L2275" s="11" t="str">
        <f t="shared" si="2430"/>
        <v>ДА</v>
      </c>
      <c r="M2275" s="10">
        <v>0</v>
      </c>
      <c r="N2275" s="10">
        <v>0</v>
      </c>
      <c r="O2275" s="10">
        <v>4.6119999999999998E-3</v>
      </c>
      <c r="P2275" s="10">
        <f t="shared" si="2431"/>
        <v>3.2476235716852315</v>
      </c>
      <c r="Q2275" s="10">
        <f t="shared" si="2432"/>
        <v>4.9836235716852322</v>
      </c>
      <c r="R2275" s="10">
        <v>30.747</v>
      </c>
      <c r="S2275" s="10" t="s">
        <v>1575</v>
      </c>
      <c r="T2275" s="10">
        <v>1.3380000000000001</v>
      </c>
      <c r="U2275" s="10">
        <v>0.68700000000000006</v>
      </c>
      <c r="V2275" s="10">
        <v>0.74399999999999999</v>
      </c>
      <c r="W2275" s="10">
        <v>1.7360000000000002</v>
      </c>
      <c r="X2275" s="10">
        <f t="shared" si="2434"/>
        <v>2.4800000000000004</v>
      </c>
      <c r="Y2275" s="10">
        <f t="shared" si="2435"/>
        <v>0.1056240794771923</v>
      </c>
      <c r="Z2275" s="10">
        <f t="shared" si="2436"/>
        <v>4.7272541072565231</v>
      </c>
      <c r="AA2275" s="10">
        <f t="shared" si="2437"/>
        <v>4.3650854458134836</v>
      </c>
      <c r="AB2275" s="10">
        <f t="shared" si="2438"/>
        <v>0.1620848724000791</v>
      </c>
      <c r="AC2275" s="10" t="str">
        <f t="shared" si="2439"/>
        <v>NA</v>
      </c>
      <c r="AD2275" s="10">
        <f t="shared" si="2440"/>
        <v>3.7246812942341045</v>
      </c>
      <c r="AE2275" s="10">
        <f t="shared" si="2441"/>
        <v>2.0095256337440448</v>
      </c>
      <c r="AF2275" s="1" t="s">
        <v>1726</v>
      </c>
    </row>
    <row r="2276" spans="1:32" x14ac:dyDescent="0.2">
      <c r="A2276" s="1" t="s">
        <v>6355</v>
      </c>
      <c r="B2276" s="1" t="s">
        <v>5</v>
      </c>
      <c r="C2276" s="1" t="s">
        <v>1709</v>
      </c>
      <c r="D2276" s="1" t="s">
        <v>1601</v>
      </c>
      <c r="E2276" s="1" t="s">
        <v>1602</v>
      </c>
      <c r="F2276" s="1" t="s">
        <v>1569</v>
      </c>
      <c r="G2276" s="4">
        <f>871/3919400</f>
        <v>2.2222789202428942E-4</v>
      </c>
      <c r="H2276" s="28">
        <v>42490</v>
      </c>
      <c r="I2276" s="29">
        <f t="shared" si="2433"/>
        <v>2016</v>
      </c>
      <c r="J2276" s="1" t="s">
        <v>1727</v>
      </c>
      <c r="K2276" s="1" t="s">
        <v>6355</v>
      </c>
      <c r="L2276" s="11" t="str">
        <f t="shared" si="2430"/>
        <v>ДА</v>
      </c>
      <c r="M2276" s="10">
        <v>0</v>
      </c>
      <c r="N2276" s="10">
        <v>0</v>
      </c>
      <c r="O2276" s="10">
        <v>7.3099999999999999E-4</v>
      </c>
      <c r="P2276" s="10">
        <f t="shared" si="2431"/>
        <v>3.2894160734787601</v>
      </c>
      <c r="Q2276" s="10">
        <f t="shared" si="2432"/>
        <v>5.0254160734787607</v>
      </c>
      <c r="R2276" s="10">
        <v>30.747</v>
      </c>
      <c r="S2276" s="10" t="s">
        <v>1575</v>
      </c>
      <c r="T2276" s="10">
        <v>1.3380000000000001</v>
      </c>
      <c r="U2276" s="10">
        <v>0.68700000000000006</v>
      </c>
      <c r="V2276" s="10">
        <v>0.74399999999999999</v>
      </c>
      <c r="W2276" s="10">
        <v>1.7360000000000002</v>
      </c>
      <c r="X2276" s="10">
        <f t="shared" si="2434"/>
        <v>2.4800000000000004</v>
      </c>
      <c r="Y2276" s="10">
        <f t="shared" si="2435"/>
        <v>0.10698331783519563</v>
      </c>
      <c r="Z2276" s="10">
        <f t="shared" si="2436"/>
        <v>4.7880874432005234</v>
      </c>
      <c r="AA2276" s="10">
        <f t="shared" si="2437"/>
        <v>4.4212581632779031</v>
      </c>
      <c r="AB2276" s="10">
        <f t="shared" si="2438"/>
        <v>0.16344411075808243</v>
      </c>
      <c r="AC2276" s="10" t="str">
        <f t="shared" si="2439"/>
        <v>NA</v>
      </c>
      <c r="AD2276" s="10">
        <f t="shared" si="2440"/>
        <v>3.7559163478914503</v>
      </c>
      <c r="AE2276" s="10">
        <f t="shared" si="2441"/>
        <v>2.026377448983371</v>
      </c>
      <c r="AF2276" s="1" t="s">
        <v>1728</v>
      </c>
    </row>
    <row r="2277" spans="1:32" x14ac:dyDescent="0.2">
      <c r="A2277" s="1" t="s">
        <v>6355</v>
      </c>
      <c r="B2277" s="1" t="s">
        <v>5</v>
      </c>
      <c r="C2277" s="1" t="s">
        <v>1709</v>
      </c>
      <c r="D2277" s="1" t="s">
        <v>1601</v>
      </c>
      <c r="E2277" s="1" t="s">
        <v>1602</v>
      </c>
      <c r="F2277" s="1" t="s">
        <v>1569</v>
      </c>
      <c r="G2277" s="4">
        <f>1684/3919400</f>
        <v>4.2965760065316122E-4</v>
      </c>
      <c r="H2277" s="28">
        <v>42216</v>
      </c>
      <c r="I2277" s="29">
        <f t="shared" si="2433"/>
        <v>2015</v>
      </c>
      <c r="J2277" s="1" t="s">
        <v>6355</v>
      </c>
      <c r="K2277" s="1" t="s">
        <v>7</v>
      </c>
      <c r="L2277" s="11" t="str">
        <f t="shared" si="2430"/>
        <v>ДА</v>
      </c>
      <c r="M2277" s="10">
        <v>0</v>
      </c>
      <c r="N2277" s="10">
        <v>0</v>
      </c>
      <c r="O2277" s="10">
        <v>1.356E-3</v>
      </c>
      <c r="P2277" s="10">
        <f t="shared" si="2431"/>
        <v>3.1560014251781472</v>
      </c>
      <c r="Q2277" s="10">
        <f t="shared" si="2432"/>
        <v>4.3050014251781477</v>
      </c>
      <c r="R2277" s="10">
        <v>29.262</v>
      </c>
      <c r="S2277" s="10" t="s">
        <v>1575</v>
      </c>
      <c r="T2277" s="10">
        <v>0.90599999999999992</v>
      </c>
      <c r="U2277" s="10">
        <v>0.64400000000000002</v>
      </c>
      <c r="V2277" s="10">
        <v>7.1999999999999995E-2</v>
      </c>
      <c r="W2277" s="10">
        <v>1.1490000000000002</v>
      </c>
      <c r="X2277" s="10">
        <f t="shared" si="2434"/>
        <v>1.2210000000000003</v>
      </c>
      <c r="Y2277" s="10">
        <f t="shared" si="2435"/>
        <v>0.10785323713957171</v>
      </c>
      <c r="Z2277" s="10">
        <f t="shared" si="2436"/>
        <v>4.9006233310219676</v>
      </c>
      <c r="AA2277" s="10">
        <f t="shared" si="2437"/>
        <v>43.833353127474268</v>
      </c>
      <c r="AB2277" s="10">
        <f t="shared" si="2438"/>
        <v>0.14711917931713989</v>
      </c>
      <c r="AC2277" s="10" t="str">
        <f t="shared" si="2439"/>
        <v>NA</v>
      </c>
      <c r="AD2277" s="10">
        <f t="shared" si="2440"/>
        <v>4.7516572021833863</v>
      </c>
      <c r="AE2277" s="10">
        <f t="shared" si="2441"/>
        <v>3.5257996930205953</v>
      </c>
      <c r="AF2277" s="1" t="s">
        <v>1724</v>
      </c>
    </row>
    <row r="2278" spans="1:32" x14ac:dyDescent="0.2">
      <c r="A2278" s="1" t="s">
        <v>6355</v>
      </c>
      <c r="B2278" s="1" t="s">
        <v>5</v>
      </c>
      <c r="C2278" s="1" t="s">
        <v>1709</v>
      </c>
      <c r="D2278" s="1" t="s">
        <v>1601</v>
      </c>
      <c r="E2278" s="1" t="s">
        <v>1602</v>
      </c>
      <c r="F2278" s="1" t="s">
        <v>1569</v>
      </c>
      <c r="G2278" s="4">
        <f>3882/3919400</f>
        <v>9.904577231208858E-4</v>
      </c>
      <c r="H2278" s="28">
        <v>42369</v>
      </c>
      <c r="I2278" s="29">
        <f t="shared" si="2433"/>
        <v>2015</v>
      </c>
      <c r="J2278" s="1" t="s">
        <v>6355</v>
      </c>
      <c r="K2278" s="1" t="s">
        <v>7</v>
      </c>
      <c r="L2278" s="11" t="str">
        <f t="shared" si="2430"/>
        <v>ДА</v>
      </c>
      <c r="M2278" s="10">
        <v>0</v>
      </c>
      <c r="N2278" s="10">
        <v>0</v>
      </c>
      <c r="O2278" s="10">
        <v>3.2560000000000002E-3</v>
      </c>
      <c r="P2278" s="10">
        <f t="shared" si="2431"/>
        <v>3.2873689850592482</v>
      </c>
      <c r="Q2278" s="10">
        <f t="shared" si="2432"/>
        <v>5.023368985059248</v>
      </c>
      <c r="R2278" s="10">
        <v>30.747</v>
      </c>
      <c r="S2278" s="10" t="s">
        <v>1575</v>
      </c>
      <c r="T2278" s="10">
        <v>1.3380000000000001</v>
      </c>
      <c r="U2278" s="10">
        <v>0.68700000000000006</v>
      </c>
      <c r="V2278" s="10">
        <v>0.74399999999999999</v>
      </c>
      <c r="W2278" s="10">
        <v>1.7360000000000002</v>
      </c>
      <c r="X2278" s="10">
        <f t="shared" si="2434"/>
        <v>2.4800000000000004</v>
      </c>
      <c r="Y2278" s="10">
        <f t="shared" si="2435"/>
        <v>0.10691673935861216</v>
      </c>
      <c r="Z2278" s="10">
        <f t="shared" si="2436"/>
        <v>4.7851076929537815</v>
      </c>
      <c r="AA2278" s="10">
        <f t="shared" si="2437"/>
        <v>4.4185067003484519</v>
      </c>
      <c r="AB2278" s="10">
        <f t="shared" si="2438"/>
        <v>0.16337753228149896</v>
      </c>
      <c r="AC2278" s="10" t="str">
        <f t="shared" si="2439"/>
        <v>NA</v>
      </c>
      <c r="AD2278" s="10">
        <f t="shared" si="2440"/>
        <v>3.7543863864418894</v>
      </c>
      <c r="AE2278" s="10">
        <f t="shared" si="2441"/>
        <v>2.0255520101045352</v>
      </c>
      <c r="AF2278" s="1" t="s">
        <v>1725</v>
      </c>
    </row>
    <row r="2279" spans="1:32" x14ac:dyDescent="0.2">
      <c r="A2279" s="1" t="s">
        <v>6355</v>
      </c>
      <c r="B2279" s="1" t="s">
        <v>5</v>
      </c>
      <c r="C2279" s="1" t="s">
        <v>1709</v>
      </c>
      <c r="D2279" s="1" t="s">
        <v>1601</v>
      </c>
      <c r="E2279" s="1" t="s">
        <v>1602</v>
      </c>
      <c r="F2279" s="1" t="s">
        <v>1569</v>
      </c>
      <c r="G2279" s="4">
        <f>3814/3919400</f>
        <v>9.7310812879522371E-4</v>
      </c>
      <c r="H2279" s="28">
        <v>42216</v>
      </c>
      <c r="I2279" s="29">
        <f t="shared" si="2433"/>
        <v>2015</v>
      </c>
      <c r="J2279" s="1" t="s">
        <v>6355</v>
      </c>
      <c r="K2279" s="1" t="s">
        <v>7</v>
      </c>
      <c r="L2279" s="11" t="str">
        <f t="shared" si="2430"/>
        <v>ДА</v>
      </c>
      <c r="M2279" s="10">
        <v>0</v>
      </c>
      <c r="N2279" s="10">
        <v>0</v>
      </c>
      <c r="O2279" s="10">
        <v>2.8379999999999998E-3</v>
      </c>
      <c r="P2279" s="10">
        <f t="shared" si="2431"/>
        <v>2.9164282118510751</v>
      </c>
      <c r="Q2279" s="10">
        <f t="shared" si="2432"/>
        <v>4.0654282118510752</v>
      </c>
      <c r="R2279" s="10">
        <v>29.262</v>
      </c>
      <c r="S2279" s="10" t="s">
        <v>1575</v>
      </c>
      <c r="T2279" s="10">
        <v>0.90599999999999992</v>
      </c>
      <c r="U2279" s="10">
        <v>0.64400000000000002</v>
      </c>
      <c r="V2279" s="10">
        <v>7.1999999999999995E-2</v>
      </c>
      <c r="W2279" s="10">
        <v>1.1490000000000002</v>
      </c>
      <c r="X2279" s="10">
        <f t="shared" si="2434"/>
        <v>1.2210000000000003</v>
      </c>
      <c r="Y2279" s="10">
        <f t="shared" si="2435"/>
        <v>9.9666058774214861E-2</v>
      </c>
      <c r="Z2279" s="10">
        <f t="shared" si="2436"/>
        <v>4.5286152357935947</v>
      </c>
      <c r="AA2279" s="10">
        <f t="shared" si="2437"/>
        <v>40.505947386820495</v>
      </c>
      <c r="AB2279" s="10">
        <f t="shared" si="2438"/>
        <v>0.13893200095178304</v>
      </c>
      <c r="AC2279" s="10" t="str">
        <f t="shared" si="2439"/>
        <v>NA</v>
      </c>
      <c r="AD2279" s="10">
        <f t="shared" si="2440"/>
        <v>4.4872276068996415</v>
      </c>
      <c r="AE2279" s="10">
        <f t="shared" si="2441"/>
        <v>3.329589035095065</v>
      </c>
      <c r="AF2279" s="1" t="s">
        <v>1729</v>
      </c>
    </row>
    <row r="2280" spans="1:32" x14ac:dyDescent="0.2">
      <c r="A2280" s="1" t="s">
        <v>6352</v>
      </c>
      <c r="B2280" s="1" t="s">
        <v>5</v>
      </c>
      <c r="C2280" s="1" t="s">
        <v>1708</v>
      </c>
      <c r="D2280" s="1" t="s">
        <v>1601</v>
      </c>
      <c r="E2280" s="1" t="s">
        <v>1602</v>
      </c>
      <c r="F2280" s="1" t="s">
        <v>1563</v>
      </c>
      <c r="G2280" s="4">
        <f>0.171/17.86944</f>
        <v>9.5694101214139904E-3</v>
      </c>
      <c r="H2280" s="28">
        <v>44561</v>
      </c>
      <c r="I2280" s="29">
        <f t="shared" si="2433"/>
        <v>2021</v>
      </c>
      <c r="J2280" s="1" t="s">
        <v>6356</v>
      </c>
      <c r="K2280" s="1" t="s">
        <v>7</v>
      </c>
      <c r="L2280" s="11" t="str">
        <f t="shared" si="2430"/>
        <v>НЕТ</v>
      </c>
      <c r="M2280" s="10">
        <v>0</v>
      </c>
      <c r="N2280" s="10">
        <v>0</v>
      </c>
      <c r="O2280" s="10">
        <v>2.2145000000000001E-2</v>
      </c>
      <c r="P2280" s="10">
        <f t="shared" si="2431"/>
        <v>2.3141447298245614</v>
      </c>
      <c r="Q2280" s="10">
        <f t="shared" si="2432"/>
        <v>4.2321447298245616</v>
      </c>
      <c r="R2280" s="10">
        <v>55.438000000000002</v>
      </c>
      <c r="S2280" s="10">
        <v>0.73699999999999999</v>
      </c>
      <c r="T2280" s="10">
        <v>0.65600000000000003</v>
      </c>
      <c r="U2280" s="10">
        <v>7.3999999999999996E-2</v>
      </c>
      <c r="V2280" s="10">
        <v>-0.63100000000000001</v>
      </c>
      <c r="W2280" s="10">
        <v>1.9180000000000001</v>
      </c>
      <c r="X2280" s="10">
        <f t="shared" si="2434"/>
        <v>1.2870000000000001</v>
      </c>
      <c r="Y2280" s="10">
        <f t="shared" si="2435"/>
        <v>4.17429331834583E-2</v>
      </c>
      <c r="Z2280" s="10">
        <f t="shared" si="2436"/>
        <v>31.27222607871029</v>
      </c>
      <c r="AA2280" s="10">
        <f t="shared" si="2437"/>
        <v>-3.6674242944921733</v>
      </c>
      <c r="AB2280" s="10">
        <f t="shared" si="2438"/>
        <v>7.634014087493346E-2</v>
      </c>
      <c r="AC2280" s="10">
        <f t="shared" si="2439"/>
        <v>5.742394477373896</v>
      </c>
      <c r="AD2280" s="10">
        <f t="shared" si="2440"/>
        <v>6.451440136927685</v>
      </c>
      <c r="AE2280" s="10">
        <f t="shared" si="2441"/>
        <v>3.2883797434534277</v>
      </c>
      <c r="AF2280" s="1" t="s">
        <v>1730</v>
      </c>
    </row>
    <row r="2281" spans="1:32" x14ac:dyDescent="0.2">
      <c r="A2281" s="1" t="s">
        <v>6356</v>
      </c>
      <c r="B2281" s="1" t="s">
        <v>5</v>
      </c>
      <c r="C2281" s="1" t="s">
        <v>1711</v>
      </c>
      <c r="D2281" s="1" t="s">
        <v>1601</v>
      </c>
      <c r="E2281" s="1" t="s">
        <v>1602</v>
      </c>
      <c r="F2281" s="1" t="s">
        <v>1563</v>
      </c>
      <c r="G2281" s="4">
        <f>0.221037/17.143584</f>
        <v>1.289327832499902E-2</v>
      </c>
      <c r="H2281" s="28">
        <v>44347</v>
      </c>
      <c r="I2281" s="29">
        <f t="shared" si="2433"/>
        <v>2021</v>
      </c>
      <c r="J2281" s="1" t="s">
        <v>6352</v>
      </c>
      <c r="K2281" s="1" t="s">
        <v>6356</v>
      </c>
      <c r="L2281" s="11" t="str">
        <f t="shared" si="2430"/>
        <v>ДА</v>
      </c>
      <c r="M2281" s="10">
        <v>0</v>
      </c>
      <c r="N2281" s="10">
        <v>0</v>
      </c>
      <c r="O2281" s="10">
        <v>2.196E-2</v>
      </c>
      <c r="P2281" s="10">
        <f t="shared" si="2431"/>
        <v>1.7032130577233675</v>
      </c>
      <c r="Q2281" s="10">
        <f t="shared" si="2432"/>
        <v>3.2712130577233678</v>
      </c>
      <c r="R2281" s="10">
        <v>16.713999999999999</v>
      </c>
      <c r="S2281" s="10">
        <v>-1.758</v>
      </c>
      <c r="T2281" s="10">
        <v>-1.8740000000000001</v>
      </c>
      <c r="U2281" s="10">
        <v>-1.7270000000000001</v>
      </c>
      <c r="V2281" s="10">
        <v>-1.8979999999999999</v>
      </c>
      <c r="W2281" s="10">
        <v>1.5680000000000001</v>
      </c>
      <c r="X2281" s="10">
        <f t="shared" si="2434"/>
        <v>-0.32999999999999985</v>
      </c>
      <c r="Y2281" s="10">
        <f t="shared" si="2435"/>
        <v>0.10190337787025054</v>
      </c>
      <c r="Z2281" s="10">
        <f t="shared" si="2436"/>
        <v>-0.98622643759314843</v>
      </c>
      <c r="AA2281" s="10">
        <f t="shared" si="2437"/>
        <v>-0.89737252777838128</v>
      </c>
      <c r="AB2281" s="10">
        <f t="shared" si="2438"/>
        <v>0.19571694733297643</v>
      </c>
      <c r="AC2281" s="10">
        <f t="shared" si="2439"/>
        <v>-1.8607582808437815</v>
      </c>
      <c r="AD2281" s="10">
        <f t="shared" si="2440"/>
        <v>-1.74557793901994</v>
      </c>
      <c r="AE2281" s="10">
        <f t="shared" si="2441"/>
        <v>-9.9127668415859667</v>
      </c>
      <c r="AF2281" s="1" t="s">
        <v>1731</v>
      </c>
    </row>
    <row r="2282" spans="1:32" x14ac:dyDescent="0.2">
      <c r="A2282" s="1" t="s">
        <v>6356</v>
      </c>
      <c r="B2282" s="1" t="s">
        <v>5</v>
      </c>
      <c r="C2282" s="1" t="s">
        <v>1711</v>
      </c>
      <c r="D2282" s="1" t="s">
        <v>1601</v>
      </c>
      <c r="E2282" s="1" t="s">
        <v>1602</v>
      </c>
      <c r="F2282" s="1" t="s">
        <v>1563</v>
      </c>
      <c r="G2282" s="4">
        <f>0.033934/17.143584</f>
        <v>1.9793994067984848E-3</v>
      </c>
      <c r="H2282" s="28">
        <v>44042</v>
      </c>
      <c r="I2282" s="29">
        <f t="shared" si="2433"/>
        <v>2020</v>
      </c>
      <c r="J2282" s="1" t="s">
        <v>6356</v>
      </c>
      <c r="K2282" s="1" t="s">
        <v>7</v>
      </c>
      <c r="L2282" s="11" t="str">
        <f t="shared" si="2430"/>
        <v>ДА</v>
      </c>
      <c r="M2282" s="10">
        <v>0</v>
      </c>
      <c r="N2282" s="10">
        <v>0</v>
      </c>
      <c r="O2282" s="10">
        <f>0.003711</f>
        <v>3.7109999999999999E-3</v>
      </c>
      <c r="P2282" s="10">
        <f t="shared" si="2431"/>
        <v>1.8748111105086347</v>
      </c>
      <c r="Q2282" s="10">
        <f t="shared" si="2432"/>
        <v>3.6608111105086349</v>
      </c>
      <c r="R2282" s="10">
        <v>16.725000000000001</v>
      </c>
      <c r="S2282" s="10">
        <v>0.52500000000000002</v>
      </c>
      <c r="T2282" s="10">
        <v>0.442</v>
      </c>
      <c r="U2282" s="10">
        <v>0.10100000000000001</v>
      </c>
      <c r="V2282" s="10">
        <v>-0.26200000000000001</v>
      </c>
      <c r="W2282" s="10">
        <v>1.786</v>
      </c>
      <c r="X2282" s="10">
        <f t="shared" si="2434"/>
        <v>1.524</v>
      </c>
      <c r="Y2282" s="10">
        <f t="shared" si="2435"/>
        <v>0.11209632947734735</v>
      </c>
      <c r="Z2282" s="10">
        <f t="shared" si="2436"/>
        <v>18.562486242659748</v>
      </c>
      <c r="AA2282" s="10">
        <f t="shared" si="2437"/>
        <v>-7.1557675973612005</v>
      </c>
      <c r="AB2282" s="10">
        <f t="shared" si="2438"/>
        <v>0.21888257760888696</v>
      </c>
      <c r="AC2282" s="10">
        <f t="shared" si="2439"/>
        <v>6.9729735438259715</v>
      </c>
      <c r="AD2282" s="10">
        <f t="shared" si="2440"/>
        <v>8.282378078073835</v>
      </c>
      <c r="AE2282" s="10">
        <f t="shared" si="2441"/>
        <v>2.4021070278928049</v>
      </c>
      <c r="AF2282" s="1" t="s">
        <v>1732</v>
      </c>
    </row>
    <row r="2283" spans="1:32" x14ac:dyDescent="0.2">
      <c r="A2283" s="1" t="s">
        <v>6356</v>
      </c>
      <c r="B2283" s="1" t="s">
        <v>5</v>
      </c>
      <c r="C2283" s="1" t="s">
        <v>1711</v>
      </c>
      <c r="D2283" s="1" t="s">
        <v>1601</v>
      </c>
      <c r="E2283" s="1" t="s">
        <v>1602</v>
      </c>
      <c r="F2283" s="1" t="s">
        <v>1563</v>
      </c>
      <c r="G2283" s="4">
        <f>0.187103/17.143584</f>
        <v>1.0913878918200535E-2</v>
      </c>
      <c r="H2283" s="28">
        <v>43708</v>
      </c>
      <c r="I2283" s="29">
        <f t="shared" si="2433"/>
        <v>2019</v>
      </c>
      <c r="J2283" s="1" t="s">
        <v>6356</v>
      </c>
      <c r="K2283" s="1" t="s">
        <v>7</v>
      </c>
      <c r="L2283" s="11" t="str">
        <f t="shared" si="2430"/>
        <v>ДА</v>
      </c>
      <c r="M2283" s="10">
        <v>0</v>
      </c>
      <c r="N2283" s="10">
        <v>0</v>
      </c>
      <c r="O2283" s="10">
        <f>0.01496</f>
        <v>1.4959999999999999E-2</v>
      </c>
      <c r="P2283" s="10">
        <f t="shared" si="2431"/>
        <v>1.3707317180376584</v>
      </c>
      <c r="Q2283" s="10">
        <f t="shared" si="2432"/>
        <v>3.0517317180376584</v>
      </c>
      <c r="R2283" s="10">
        <v>15.881</v>
      </c>
      <c r="S2283" s="10">
        <v>0.11</v>
      </c>
      <c r="T2283" s="10">
        <v>6.3E-2</v>
      </c>
      <c r="U2283" s="10">
        <v>-0.23</v>
      </c>
      <c r="V2283" s="10">
        <v>-0.35899999999999999</v>
      </c>
      <c r="W2283" s="10">
        <v>1.681</v>
      </c>
      <c r="X2283" s="10">
        <f t="shared" si="2434"/>
        <v>1.3220000000000001</v>
      </c>
      <c r="Y2283" s="10">
        <f t="shared" si="2435"/>
        <v>8.6312682956845188E-2</v>
      </c>
      <c r="Z2283" s="10">
        <f t="shared" si="2436"/>
        <v>-5.9597031219028622</v>
      </c>
      <c r="AA2283" s="10">
        <f t="shared" si="2437"/>
        <v>-3.8181942006620013</v>
      </c>
      <c r="AB2283" s="10">
        <f t="shared" si="2438"/>
        <v>0.1921624405287865</v>
      </c>
      <c r="AC2283" s="10">
        <f t="shared" si="2439"/>
        <v>27.743015618524169</v>
      </c>
      <c r="AD2283" s="10">
        <f t="shared" si="2440"/>
        <v>48.440186000597755</v>
      </c>
      <c r="AE2283" s="10">
        <f t="shared" si="2441"/>
        <v>2.3084203616018595</v>
      </c>
      <c r="AF2283" s="1" t="s">
        <v>1733</v>
      </c>
    </row>
    <row r="2284" spans="1:32" x14ac:dyDescent="0.2">
      <c r="A2284" s="1" t="s">
        <v>6364</v>
      </c>
      <c r="B2284" s="1" t="s">
        <v>5</v>
      </c>
      <c r="C2284" s="1" t="s">
        <v>1707</v>
      </c>
      <c r="D2284" s="1" t="s">
        <v>1601</v>
      </c>
      <c r="E2284" s="1" t="s">
        <v>1602</v>
      </c>
      <c r="F2284" s="1" t="s">
        <v>1563</v>
      </c>
      <c r="G2284" s="4">
        <f>0.31%+3.15%</f>
        <v>3.4599999999999999E-2</v>
      </c>
      <c r="H2284" s="28">
        <v>43830</v>
      </c>
      <c r="I2284" s="29">
        <f t="shared" si="2433"/>
        <v>2019</v>
      </c>
      <c r="J2284" s="1" t="s">
        <v>6356</v>
      </c>
      <c r="K2284" s="1" t="s">
        <v>6348</v>
      </c>
      <c r="L2284" s="11" t="str">
        <f t="shared" si="2430"/>
        <v>НЕТ</v>
      </c>
      <c r="M2284" s="10">
        <v>0</v>
      </c>
      <c r="N2284" s="10">
        <v>0</v>
      </c>
      <c r="O2284" s="10">
        <v>9.7113000000000005E-2</v>
      </c>
      <c r="P2284" s="10">
        <f t="shared" si="2431"/>
        <v>2.8067341040462428</v>
      </c>
      <c r="Q2284" s="10">
        <f t="shared" si="2432"/>
        <v>6.8317341040462427</v>
      </c>
      <c r="R2284" s="10">
        <v>44.023000000000003</v>
      </c>
      <c r="S2284" s="10">
        <v>1.609</v>
      </c>
      <c r="T2284" s="10">
        <v>1.52</v>
      </c>
      <c r="U2284" s="10">
        <v>0.752</v>
      </c>
      <c r="V2284" s="10">
        <v>-1.7430000000000001</v>
      </c>
      <c r="W2284" s="10">
        <v>4.0250000000000004</v>
      </c>
      <c r="X2284" s="10">
        <f t="shared" si="2434"/>
        <v>2.282</v>
      </c>
      <c r="Y2284" s="10">
        <f t="shared" si="2435"/>
        <v>6.375608441147225E-2</v>
      </c>
      <c r="Z2284" s="10">
        <f t="shared" si="2436"/>
        <v>3.7323591809125567</v>
      </c>
      <c r="AA2284" s="10">
        <f t="shared" si="2437"/>
        <v>-1.6102892163202769</v>
      </c>
      <c r="AB2284" s="10">
        <f t="shared" si="2438"/>
        <v>0.15518556445599441</v>
      </c>
      <c r="AC2284" s="10">
        <f t="shared" si="2439"/>
        <v>4.2459503443419777</v>
      </c>
      <c r="AD2284" s="10">
        <f t="shared" si="2440"/>
        <v>4.4945619105567385</v>
      </c>
      <c r="AE2284" s="10">
        <f t="shared" si="2441"/>
        <v>2.9937485118519906</v>
      </c>
      <c r="AF2284" s="1" t="s">
        <v>1734</v>
      </c>
    </row>
    <row r="2285" spans="1:32" x14ac:dyDescent="0.2">
      <c r="A2285" s="1" t="s">
        <v>6355</v>
      </c>
      <c r="B2285" s="1" t="s">
        <v>5</v>
      </c>
      <c r="C2285" s="1" t="s">
        <v>1709</v>
      </c>
      <c r="D2285" s="1" t="s">
        <v>1601</v>
      </c>
      <c r="E2285" s="1" t="s">
        <v>1602</v>
      </c>
      <c r="F2285" s="1" t="s">
        <v>1569</v>
      </c>
      <c r="G2285" s="4">
        <v>0.1153</v>
      </c>
      <c r="H2285" s="28">
        <v>43830</v>
      </c>
      <c r="I2285" s="29">
        <f t="shared" si="2433"/>
        <v>2019</v>
      </c>
      <c r="J2285" s="1" t="s">
        <v>6356</v>
      </c>
      <c r="K2285" s="1" t="s">
        <v>6348</v>
      </c>
      <c r="L2285" s="11" t="str">
        <f t="shared" si="2430"/>
        <v>НЕТ</v>
      </c>
      <c r="M2285" s="10">
        <v>0</v>
      </c>
      <c r="N2285" s="10">
        <v>0</v>
      </c>
      <c r="O2285" s="10">
        <f>0.363056</f>
        <v>0.36305599999999999</v>
      </c>
      <c r="P2285" s="10">
        <f t="shared" si="2431"/>
        <v>3.1487944492627928</v>
      </c>
      <c r="Q2285" s="10">
        <f t="shared" si="2432"/>
        <v>6.3437944492627931</v>
      </c>
      <c r="R2285" s="10">
        <v>41.252000000000002</v>
      </c>
      <c r="S2285" s="10">
        <v>0.23599999999999993</v>
      </c>
      <c r="T2285" s="10">
        <v>0.16499999999999992</v>
      </c>
      <c r="U2285" s="10">
        <v>-0.59599999999999997</v>
      </c>
      <c r="V2285" s="10">
        <v>-4.2140000000000004</v>
      </c>
      <c r="W2285" s="10">
        <v>3.1949999999999998</v>
      </c>
      <c r="X2285" s="10">
        <f t="shared" si="2434"/>
        <v>-1.0190000000000006</v>
      </c>
      <c r="Y2285" s="10">
        <f t="shared" si="2435"/>
        <v>7.6330710008309724E-2</v>
      </c>
      <c r="Z2285" s="10">
        <f t="shared" si="2436"/>
        <v>-5.2832121631926059</v>
      </c>
      <c r="AA2285" s="10">
        <f t="shared" si="2437"/>
        <v>-0.7472222233656366</v>
      </c>
      <c r="AB2285" s="10">
        <f t="shared" si="2438"/>
        <v>0.15378150027302417</v>
      </c>
      <c r="AC2285" s="10">
        <f t="shared" si="2439"/>
        <v>26.88048495450337</v>
      </c>
      <c r="AD2285" s="10">
        <f t="shared" si="2440"/>
        <v>38.447239086441186</v>
      </c>
      <c r="AE2285" s="10">
        <f t="shared" si="2441"/>
        <v>-6.2255097637515107</v>
      </c>
      <c r="AF2285" s="1" t="s">
        <v>1735</v>
      </c>
    </row>
    <row r="2286" spans="1:32" x14ac:dyDescent="0.2">
      <c r="A2286" s="1" t="s">
        <v>6356</v>
      </c>
      <c r="B2286" s="1" t="s">
        <v>5</v>
      </c>
      <c r="C2286" s="1" t="s">
        <v>1711</v>
      </c>
      <c r="D2286" s="1" t="s">
        <v>1601</v>
      </c>
      <c r="E2286" s="1" t="s">
        <v>1602</v>
      </c>
      <c r="F2286" s="1" t="s">
        <v>1563</v>
      </c>
      <c r="G2286" s="4">
        <f>0.004896/17.143584</f>
        <v>2.8558789107341846E-4</v>
      </c>
      <c r="H2286" s="28">
        <v>43281</v>
      </c>
      <c r="I2286" s="29">
        <f t="shared" si="2433"/>
        <v>2018</v>
      </c>
      <c r="J2286" s="1" t="s">
        <v>6367</v>
      </c>
      <c r="K2286" s="1" t="s">
        <v>6356</v>
      </c>
      <c r="L2286" s="11" t="str">
        <f t="shared" si="2430"/>
        <v>ДА</v>
      </c>
      <c r="M2286" s="10">
        <v>0</v>
      </c>
      <c r="N2286" s="10">
        <v>0</v>
      </c>
      <c r="O2286" s="10">
        <v>6.6600000000000003E-4</v>
      </c>
      <c r="P2286" s="10">
        <f t="shared" si="2431"/>
        <v>2.332031647058824</v>
      </c>
      <c r="Q2286" s="10">
        <f t="shared" si="2432"/>
        <v>4.0860316470588245</v>
      </c>
      <c r="R2286" s="10">
        <v>15.24</v>
      </c>
      <c r="S2286" s="10">
        <v>0.20400000000000001</v>
      </c>
      <c r="T2286" s="10">
        <v>0.16900000000000001</v>
      </c>
      <c r="U2286" s="10">
        <v>-3.6999999999999998E-2</v>
      </c>
      <c r="V2286" s="10">
        <v>8.7999999999999995E-2</v>
      </c>
      <c r="W2286" s="10">
        <v>1.7540000000000002</v>
      </c>
      <c r="X2286" s="10">
        <f t="shared" si="2434"/>
        <v>1.8420000000000003</v>
      </c>
      <c r="Y2286" s="10">
        <f t="shared" si="2435"/>
        <v>0.15302044928207506</v>
      </c>
      <c r="Z2286" s="10">
        <f t="shared" si="2436"/>
        <v>-63.027882352941191</v>
      </c>
      <c r="AA2286" s="10">
        <f t="shared" si="2437"/>
        <v>26.500359625668455</v>
      </c>
      <c r="AB2286" s="10">
        <f t="shared" si="2438"/>
        <v>0.26811231279913544</v>
      </c>
      <c r="AC2286" s="10">
        <f t="shared" si="2439"/>
        <v>20.029566897347177</v>
      </c>
      <c r="AD2286" s="10">
        <f t="shared" si="2440"/>
        <v>24.177702053602509</v>
      </c>
      <c r="AE2286" s="10">
        <f t="shared" si="2441"/>
        <v>2.2182582231589705</v>
      </c>
      <c r="AF2286" s="1" t="s">
        <v>1736</v>
      </c>
    </row>
    <row r="2287" spans="1:32" x14ac:dyDescent="0.2">
      <c r="A2287" s="1" t="s">
        <v>6356</v>
      </c>
      <c r="B2287" s="1" t="s">
        <v>5</v>
      </c>
      <c r="C2287" s="1" t="s">
        <v>1711</v>
      </c>
      <c r="D2287" s="1" t="s">
        <v>1601</v>
      </c>
      <c r="E2287" s="1" t="s">
        <v>1602</v>
      </c>
      <c r="F2287" s="1" t="s">
        <v>1563</v>
      </c>
      <c r="G2287" s="4">
        <f>0.004896/17.143584</f>
        <v>2.8558789107341846E-4</v>
      </c>
      <c r="H2287" s="28">
        <v>42947</v>
      </c>
      <c r="I2287" s="29">
        <f t="shared" si="2433"/>
        <v>2017</v>
      </c>
      <c r="J2287" s="1" t="s">
        <v>6356</v>
      </c>
      <c r="K2287" s="1" t="s">
        <v>7</v>
      </c>
      <c r="L2287" s="11" t="str">
        <f t="shared" si="2430"/>
        <v>ДА</v>
      </c>
      <c r="M2287" s="10">
        <v>0</v>
      </c>
      <c r="N2287" s="10">
        <v>0</v>
      </c>
      <c r="O2287" s="10">
        <v>6.6600000000000003E-4</v>
      </c>
      <c r="P2287" s="10">
        <f t="shared" si="2431"/>
        <v>2.332031647058824</v>
      </c>
      <c r="Q2287" s="10">
        <f t="shared" si="2432"/>
        <v>3.0250316470588241</v>
      </c>
      <c r="R2287" s="10">
        <v>14.11</v>
      </c>
      <c r="S2287" s="10" t="s">
        <v>1575</v>
      </c>
      <c r="T2287" s="10">
        <v>0.10100000000000001</v>
      </c>
      <c r="U2287" s="10">
        <v>4.0000000000000001E-3</v>
      </c>
      <c r="V2287" s="10">
        <v>0.22700000000000001</v>
      </c>
      <c r="W2287" s="10">
        <v>0.69300000000000006</v>
      </c>
      <c r="X2287" s="10">
        <f t="shared" si="2434"/>
        <v>0.92</v>
      </c>
      <c r="Y2287" s="10">
        <f t="shared" si="2435"/>
        <v>0.16527509901196485</v>
      </c>
      <c r="Z2287" s="10">
        <f t="shared" si="2436"/>
        <v>583.00791176470602</v>
      </c>
      <c r="AA2287" s="10">
        <f t="shared" si="2437"/>
        <v>10.273267167660018</v>
      </c>
      <c r="AB2287" s="10">
        <f t="shared" si="2438"/>
        <v>0.21438920248467924</v>
      </c>
      <c r="AC2287" s="10" t="str">
        <f t="shared" si="2439"/>
        <v>NA</v>
      </c>
      <c r="AD2287" s="10">
        <f t="shared" si="2440"/>
        <v>29.950808386721029</v>
      </c>
      <c r="AE2287" s="10">
        <f t="shared" si="2441"/>
        <v>3.2880778772378521</v>
      </c>
      <c r="AF2287" s="1" t="s">
        <v>1736</v>
      </c>
    </row>
    <row r="2288" spans="1:32" x14ac:dyDescent="0.2">
      <c r="A2288" s="1" t="s">
        <v>6348</v>
      </c>
      <c r="B2288" s="1" t="s">
        <v>5</v>
      </c>
      <c r="C2288" s="1" t="s">
        <v>1630</v>
      </c>
      <c r="D2288" s="1" t="s">
        <v>1601</v>
      </c>
      <c r="E2288" s="1" t="s">
        <v>1602</v>
      </c>
      <c r="F2288" s="1" t="s">
        <v>1563</v>
      </c>
      <c r="G2288" s="4">
        <f>(0.026762+0.008648)/13.668239</f>
        <v>2.5906775554627045E-3</v>
      </c>
      <c r="H2288" s="28">
        <v>43281</v>
      </c>
      <c r="I2288" s="29">
        <f t="shared" si="2433"/>
        <v>2018</v>
      </c>
      <c r="J2288" s="1" t="s">
        <v>6356</v>
      </c>
      <c r="K2288" s="1" t="s">
        <v>1737</v>
      </c>
      <c r="L2288" s="11" t="str">
        <f t="shared" si="2430"/>
        <v>НЕТ</v>
      </c>
      <c r="M2288" s="10">
        <v>0</v>
      </c>
      <c r="N2288" s="10">
        <v>0</v>
      </c>
      <c r="O2288" s="10">
        <f>(26762*1235+8648*1235)/1000000000</f>
        <v>4.3731350000000002E-2</v>
      </c>
      <c r="P2288" s="10">
        <f t="shared" si="2431"/>
        <v>16.880275165</v>
      </c>
      <c r="Q2288" s="10">
        <f t="shared" si="2432"/>
        <v>45.139275165000001</v>
      </c>
      <c r="R2288" s="10">
        <v>212.28</v>
      </c>
      <c r="S2288" s="10">
        <v>3.137</v>
      </c>
      <c r="T2288" s="10">
        <v>2.6659999999999999</v>
      </c>
      <c r="U2288" s="10">
        <v>-0.501</v>
      </c>
      <c r="V2288" s="10">
        <v>4.6079999999999988</v>
      </c>
      <c r="W2288" s="10">
        <v>28.259</v>
      </c>
      <c r="X2288" s="10">
        <f t="shared" si="2434"/>
        <v>32.866999999999997</v>
      </c>
      <c r="Y2288" s="10">
        <f t="shared" si="2435"/>
        <v>7.9518914476163563E-2</v>
      </c>
      <c r="Z2288" s="10">
        <f t="shared" si="2436"/>
        <v>-33.69316400199601</v>
      </c>
      <c r="AA2288" s="10">
        <f t="shared" si="2437"/>
        <v>3.6632541590711818</v>
      </c>
      <c r="AB2288" s="10">
        <f t="shared" si="2438"/>
        <v>0.2126402636376484</v>
      </c>
      <c r="AC2288" s="10">
        <f t="shared" si="2439"/>
        <v>14.389313090532356</v>
      </c>
      <c r="AD2288" s="10">
        <f t="shared" si="2440"/>
        <v>16.931461052138037</v>
      </c>
      <c r="AE2288" s="10">
        <f t="shared" si="2441"/>
        <v>1.3733920091581222</v>
      </c>
      <c r="AF2288" s="1" t="s">
        <v>1738</v>
      </c>
    </row>
    <row r="2289" spans="1:32" x14ac:dyDescent="0.2">
      <c r="A2289" s="1" t="s">
        <v>6368</v>
      </c>
      <c r="B2289" s="1" t="s">
        <v>5</v>
      </c>
      <c r="C2289" s="1" t="s">
        <v>1575</v>
      </c>
      <c r="D2289" s="1" t="s">
        <v>1601</v>
      </c>
      <c r="E2289" s="1" t="s">
        <v>5352</v>
      </c>
      <c r="F2289" s="1" t="s">
        <v>1532</v>
      </c>
      <c r="G2289" s="4">
        <v>0.26</v>
      </c>
      <c r="H2289" s="28">
        <v>42369</v>
      </c>
      <c r="I2289" s="29">
        <f t="shared" si="2433"/>
        <v>2015</v>
      </c>
      <c r="J2289" s="1" t="s">
        <v>1739</v>
      </c>
      <c r="K2289" s="1" t="s">
        <v>7</v>
      </c>
      <c r="L2289" s="11" t="str">
        <f t="shared" si="2430"/>
        <v>НЕТ</v>
      </c>
      <c r="M2289" s="10">
        <v>0</v>
      </c>
      <c r="N2289" s="10">
        <v>0</v>
      </c>
      <c r="O2289" s="10">
        <v>9.5770000000000004E-3</v>
      </c>
      <c r="P2289" s="10">
        <f t="shared" si="2431"/>
        <v>3.6834615384615382E-2</v>
      </c>
      <c r="Q2289" s="10" t="str">
        <f t="shared" si="2432"/>
        <v>NA</v>
      </c>
      <c r="R2289" s="10" t="s">
        <v>1575</v>
      </c>
      <c r="S2289" s="10" t="s">
        <v>1575</v>
      </c>
      <c r="T2289" s="10" t="s">
        <v>1575</v>
      </c>
      <c r="U2289" s="10" t="s">
        <v>1575</v>
      </c>
      <c r="V2289" s="10" t="s">
        <v>1575</v>
      </c>
      <c r="W2289" s="10" t="s">
        <v>1575</v>
      </c>
      <c r="X2289" s="10" t="str">
        <f t="shared" si="2434"/>
        <v>NA</v>
      </c>
      <c r="Y2289" s="10" t="str">
        <f t="shared" si="2435"/>
        <v>NA</v>
      </c>
      <c r="Z2289" s="10" t="str">
        <f t="shared" si="2436"/>
        <v>NA</v>
      </c>
      <c r="AA2289" s="10" t="str">
        <f t="shared" si="2437"/>
        <v>NA</v>
      </c>
      <c r="AB2289" s="10" t="str">
        <f t="shared" si="2438"/>
        <v>NA</v>
      </c>
      <c r="AC2289" s="10" t="str">
        <f t="shared" si="2439"/>
        <v>NA</v>
      </c>
      <c r="AD2289" s="10" t="str">
        <f t="shared" si="2440"/>
        <v>NA</v>
      </c>
      <c r="AE2289" s="10" t="str">
        <f t="shared" si="2441"/>
        <v>NA</v>
      </c>
    </row>
    <row r="2290" spans="1:32" x14ac:dyDescent="0.2">
      <c r="A2290" s="1" t="s">
        <v>1740</v>
      </c>
      <c r="B2290" s="1" t="s">
        <v>5</v>
      </c>
      <c r="C2290" s="1" t="s">
        <v>1575</v>
      </c>
      <c r="D2290" s="1" t="s">
        <v>1601</v>
      </c>
      <c r="E2290" s="1" t="s">
        <v>1602</v>
      </c>
      <c r="F2290" s="1" t="s">
        <v>1563</v>
      </c>
      <c r="G2290" s="4">
        <v>1</v>
      </c>
      <c r="H2290" s="28">
        <v>42004</v>
      </c>
      <c r="I2290" s="29">
        <f t="shared" si="2433"/>
        <v>2014</v>
      </c>
      <c r="J2290" s="1" t="s">
        <v>1739</v>
      </c>
      <c r="K2290" s="1" t="s">
        <v>7</v>
      </c>
      <c r="L2290" s="11" t="str">
        <f t="shared" si="2430"/>
        <v>НЕТ</v>
      </c>
      <c r="M2290" s="10">
        <v>0</v>
      </c>
      <c r="N2290" s="10">
        <v>0</v>
      </c>
      <c r="O2290" s="10" t="s">
        <v>1575</v>
      </c>
      <c r="P2290" s="10" t="str">
        <f t="shared" si="2431"/>
        <v>NA</v>
      </c>
      <c r="Q2290" s="10" t="str">
        <f t="shared" si="2432"/>
        <v>NA</v>
      </c>
      <c r="R2290" s="10" t="s">
        <v>1575</v>
      </c>
      <c r="S2290" s="10" t="s">
        <v>1575</v>
      </c>
      <c r="T2290" s="10" t="s">
        <v>1575</v>
      </c>
      <c r="U2290" s="10" t="s">
        <v>1575</v>
      </c>
      <c r="V2290" s="10">
        <v>1.2191E-2</v>
      </c>
      <c r="W2290" s="10" t="s">
        <v>1575</v>
      </c>
      <c r="X2290" s="10" t="str">
        <f t="shared" si="2434"/>
        <v>NA</v>
      </c>
      <c r="Y2290" s="10" t="str">
        <f t="shared" si="2435"/>
        <v>NA</v>
      </c>
      <c r="Z2290" s="10" t="str">
        <f t="shared" si="2436"/>
        <v>NA</v>
      </c>
      <c r="AA2290" s="10" t="str">
        <f t="shared" si="2437"/>
        <v>NA</v>
      </c>
      <c r="AB2290" s="10" t="str">
        <f t="shared" si="2438"/>
        <v>NA</v>
      </c>
      <c r="AC2290" s="10" t="str">
        <f t="shared" si="2439"/>
        <v>NA</v>
      </c>
      <c r="AD2290" s="10" t="str">
        <f t="shared" si="2440"/>
        <v>NA</v>
      </c>
      <c r="AE2290" s="10" t="str">
        <f t="shared" si="2441"/>
        <v>NA</v>
      </c>
    </row>
    <row r="2291" spans="1:32" x14ac:dyDescent="0.2">
      <c r="A2291" s="1" t="s">
        <v>2158</v>
      </c>
      <c r="B2291" s="1" t="s">
        <v>5</v>
      </c>
      <c r="C2291" s="1" t="s">
        <v>1575</v>
      </c>
      <c r="D2291" s="1" t="s">
        <v>1601</v>
      </c>
      <c r="E2291" s="1" t="s">
        <v>1602</v>
      </c>
      <c r="F2291" s="1" t="s">
        <v>1563</v>
      </c>
      <c r="G2291" s="4">
        <f>8392688/773900078</f>
        <v>1.0844666176658533E-2</v>
      </c>
      <c r="H2291" s="28">
        <v>43100</v>
      </c>
      <c r="I2291" s="29">
        <f t="shared" si="2433"/>
        <v>2017</v>
      </c>
      <c r="J2291" s="1" t="s">
        <v>2158</v>
      </c>
      <c r="K2291" s="1" t="s">
        <v>7</v>
      </c>
      <c r="L2291" s="11" t="str">
        <f t="shared" ref="L2291:L2354" si="2442">IF(OR(A2291=J2291,A2291=K2291),"ДА","НЕТ")</f>
        <v>ДА</v>
      </c>
      <c r="M2291" s="10">
        <v>0</v>
      </c>
      <c r="N2291" s="10">
        <v>0</v>
      </c>
      <c r="O2291" s="10">
        <v>4.5820000000000001E-3</v>
      </c>
      <c r="P2291" s="10">
        <f t="shared" si="2431"/>
        <v>0.42251185286477944</v>
      </c>
      <c r="Q2291" s="10" t="str">
        <f t="shared" si="2432"/>
        <v>NA</v>
      </c>
      <c r="R2291" s="10" t="s">
        <v>1575</v>
      </c>
      <c r="S2291" s="10" t="s">
        <v>1575</v>
      </c>
      <c r="T2291" s="10" t="s">
        <v>1575</v>
      </c>
      <c r="U2291" s="10" t="s">
        <v>1575</v>
      </c>
      <c r="V2291" s="10" t="s">
        <v>1575</v>
      </c>
      <c r="W2291" s="10" t="s">
        <v>1575</v>
      </c>
      <c r="X2291" s="10" t="str">
        <f t="shared" si="2434"/>
        <v>NA</v>
      </c>
      <c r="Y2291" s="10" t="str">
        <f t="shared" si="2435"/>
        <v>NA</v>
      </c>
      <c r="Z2291" s="10" t="str">
        <f t="shared" si="2436"/>
        <v>NA</v>
      </c>
      <c r="AA2291" s="10" t="str">
        <f t="shared" si="2437"/>
        <v>NA</v>
      </c>
      <c r="AB2291" s="10" t="str">
        <f t="shared" si="2438"/>
        <v>NA</v>
      </c>
      <c r="AC2291" s="10" t="str">
        <f t="shared" si="2439"/>
        <v>NA</v>
      </c>
      <c r="AD2291" s="10" t="str">
        <f t="shared" si="2440"/>
        <v>NA</v>
      </c>
      <c r="AE2291" s="10" t="str">
        <f t="shared" si="2441"/>
        <v>NA</v>
      </c>
      <c r="AF2291" s="1" t="s">
        <v>2159</v>
      </c>
    </row>
    <row r="2292" spans="1:32" x14ac:dyDescent="0.2">
      <c r="A2292" s="1" t="s">
        <v>6368</v>
      </c>
      <c r="B2292" s="1" t="s">
        <v>5</v>
      </c>
      <c r="C2292" s="1" t="s">
        <v>1575</v>
      </c>
      <c r="D2292" s="1" t="s">
        <v>1601</v>
      </c>
      <c r="E2292" s="1" t="s">
        <v>5352</v>
      </c>
      <c r="F2292" s="1" t="s">
        <v>1532</v>
      </c>
      <c r="G2292" s="4">
        <f>57.29%-49%</f>
        <v>8.2899999999999974E-2</v>
      </c>
      <c r="H2292" s="28">
        <v>41364</v>
      </c>
      <c r="I2292" s="29">
        <f t="shared" si="2433"/>
        <v>2013</v>
      </c>
      <c r="J2292" s="1" t="s">
        <v>1739</v>
      </c>
      <c r="K2292" s="1" t="s">
        <v>1741</v>
      </c>
      <c r="L2292" s="11" t="str">
        <f t="shared" si="2442"/>
        <v>НЕТ</v>
      </c>
      <c r="M2292" s="10">
        <v>0</v>
      </c>
      <c r="N2292" s="10">
        <v>0</v>
      </c>
      <c r="O2292" s="10">
        <v>0.01</v>
      </c>
      <c r="P2292" s="10">
        <f t="shared" si="2431"/>
        <v>0.12062726176115807</v>
      </c>
      <c r="Q2292" s="10" t="str">
        <f t="shared" si="2432"/>
        <v>NA</v>
      </c>
      <c r="R2292" s="10" t="s">
        <v>1575</v>
      </c>
      <c r="S2292" s="10" t="s">
        <v>1575</v>
      </c>
      <c r="T2292" s="10" t="s">
        <v>1575</v>
      </c>
      <c r="U2292" s="10" t="s">
        <v>1575</v>
      </c>
      <c r="V2292" s="10">
        <f>0.110541</f>
        <v>0.110541</v>
      </c>
      <c r="W2292" s="10" t="s">
        <v>1575</v>
      </c>
      <c r="X2292" s="10" t="str">
        <f t="shared" si="2434"/>
        <v>NA</v>
      </c>
      <c r="Y2292" s="10" t="str">
        <f t="shared" si="2435"/>
        <v>NA</v>
      </c>
      <c r="Z2292" s="10" t="str">
        <f t="shared" si="2436"/>
        <v>NA</v>
      </c>
      <c r="AA2292" s="10">
        <f t="shared" si="2437"/>
        <v>1.0912445315417634</v>
      </c>
      <c r="AB2292" s="10" t="str">
        <f t="shared" si="2438"/>
        <v>NA</v>
      </c>
      <c r="AC2292" s="10" t="str">
        <f t="shared" si="2439"/>
        <v>NA</v>
      </c>
      <c r="AD2292" s="10" t="str">
        <f t="shared" si="2440"/>
        <v>NA</v>
      </c>
      <c r="AE2292" s="10" t="str">
        <f t="shared" si="2441"/>
        <v>NA</v>
      </c>
    </row>
    <row r="2293" spans="1:32" x14ac:dyDescent="0.2">
      <c r="A2293" s="1" t="s">
        <v>6369</v>
      </c>
      <c r="B2293" s="1" t="s">
        <v>5</v>
      </c>
      <c r="C2293" s="1" t="s">
        <v>1575</v>
      </c>
      <c r="D2293" s="1" t="s">
        <v>1601</v>
      </c>
      <c r="E2293" s="1" t="s">
        <v>1602</v>
      </c>
      <c r="F2293" s="1" t="s">
        <v>1563</v>
      </c>
      <c r="G2293" s="4">
        <v>1</v>
      </c>
      <c r="H2293" s="28">
        <v>43551</v>
      </c>
      <c r="I2293" s="29">
        <f t="shared" si="2433"/>
        <v>2019</v>
      </c>
      <c r="J2293" s="1" t="s">
        <v>1574</v>
      </c>
      <c r="K2293" s="1" t="s">
        <v>6370</v>
      </c>
      <c r="L2293" s="11" t="str">
        <f t="shared" si="2442"/>
        <v>НЕТ</v>
      </c>
      <c r="M2293" s="10">
        <v>0</v>
      </c>
      <c r="N2293" s="10">
        <v>0</v>
      </c>
      <c r="O2293" s="10">
        <v>0.40500000000000003</v>
      </c>
      <c r="P2293" s="10">
        <f t="shared" si="2431"/>
        <v>0.40500000000000003</v>
      </c>
      <c r="Q2293" s="10">
        <f t="shared" si="2432"/>
        <v>2.6780000000000692E-3</v>
      </c>
      <c r="R2293" s="10">
        <v>4.1538700000000004</v>
      </c>
      <c r="S2293" s="10" t="s">
        <v>1575</v>
      </c>
      <c r="T2293" s="10" t="s">
        <v>1575</v>
      </c>
      <c r="U2293" s="10">
        <v>7.1659999999999996E-3</v>
      </c>
      <c r="V2293" s="10">
        <v>0.24069299999999999</v>
      </c>
      <c r="W2293" s="10">
        <f>0.000207-0.399709-0.00282</f>
        <v>-0.40232199999999996</v>
      </c>
      <c r="X2293" s="10">
        <f t="shared" si="2434"/>
        <v>-0.16162899999999997</v>
      </c>
      <c r="Y2293" s="10">
        <f t="shared" si="2435"/>
        <v>9.7499440280990973E-2</v>
      </c>
      <c r="Z2293" s="10">
        <f t="shared" si="2436"/>
        <v>56.516885291655043</v>
      </c>
      <c r="AA2293" s="10">
        <f t="shared" si="2437"/>
        <v>1.6826413730353607</v>
      </c>
      <c r="AB2293" s="10">
        <f t="shared" si="2438"/>
        <v>6.447000026481495E-4</v>
      </c>
      <c r="AC2293" s="10" t="str">
        <f t="shared" si="2439"/>
        <v>NA</v>
      </c>
      <c r="AD2293" s="10" t="str">
        <f t="shared" si="2440"/>
        <v>NA</v>
      </c>
      <c r="AE2293" s="10">
        <f t="shared" si="2441"/>
        <v>-1.656880881525017E-2</v>
      </c>
      <c r="AF2293" s="1" t="s">
        <v>1573</v>
      </c>
    </row>
    <row r="2294" spans="1:32" x14ac:dyDescent="0.2">
      <c r="A2294" s="1" t="s">
        <v>6371</v>
      </c>
      <c r="B2294" s="1" t="s">
        <v>5</v>
      </c>
      <c r="C2294" s="1" t="s">
        <v>1575</v>
      </c>
      <c r="D2294" s="1" t="s">
        <v>1582</v>
      </c>
      <c r="E2294" s="1" t="s">
        <v>1587</v>
      </c>
      <c r="F2294" s="1" t="s">
        <v>1576</v>
      </c>
      <c r="G2294" s="4">
        <v>1E-3</v>
      </c>
      <c r="H2294" s="28">
        <v>43551</v>
      </c>
      <c r="I2294" s="29">
        <f t="shared" si="2433"/>
        <v>2019</v>
      </c>
      <c r="J2294" s="1" t="s">
        <v>1574</v>
      </c>
      <c r="K2294" s="1" t="s">
        <v>6370</v>
      </c>
      <c r="L2294" s="11" t="str">
        <f t="shared" si="2442"/>
        <v>НЕТ</v>
      </c>
      <c r="M2294" s="10">
        <v>0</v>
      </c>
      <c r="N2294" s="10">
        <v>0</v>
      </c>
      <c r="O2294" s="10">
        <v>5.0000000000000004E-6</v>
      </c>
      <c r="P2294" s="10">
        <f t="shared" si="2431"/>
        <v>5.0000000000000001E-3</v>
      </c>
      <c r="Q2294" s="10">
        <f t="shared" si="2432"/>
        <v>-6.6499999999999988E-3</v>
      </c>
      <c r="R2294" s="10">
        <v>3.4120000000000001E-3</v>
      </c>
      <c r="S2294" s="10" t="s">
        <v>1575</v>
      </c>
      <c r="T2294" s="10" t="s">
        <v>1575</v>
      </c>
      <c r="U2294" s="10">
        <v>1.815E-3</v>
      </c>
      <c r="V2294" s="10">
        <f>0.007538</f>
        <v>7.5380000000000004E-3</v>
      </c>
      <c r="W2294" s="10">
        <f>0-0.001289-0.001361-0.009</f>
        <v>-1.1649999999999999E-2</v>
      </c>
      <c r="X2294" s="10">
        <f t="shared" si="2434"/>
        <v>-4.1119999999999985E-3</v>
      </c>
      <c r="Y2294" s="10">
        <f t="shared" si="2435"/>
        <v>1.4654161781946073</v>
      </c>
      <c r="Z2294" s="10">
        <f t="shared" si="2436"/>
        <v>2.7548209366391183</v>
      </c>
      <c r="AA2294" s="10">
        <f t="shared" si="2437"/>
        <v>0.66330591668877681</v>
      </c>
      <c r="AB2294" s="10">
        <f t="shared" si="2438"/>
        <v>-1.9490035169988273</v>
      </c>
      <c r="AC2294" s="10" t="str">
        <f t="shared" si="2439"/>
        <v>NA</v>
      </c>
      <c r="AD2294" s="10" t="str">
        <f t="shared" si="2440"/>
        <v>NA</v>
      </c>
      <c r="AE2294" s="10">
        <f t="shared" si="2441"/>
        <v>1.6172178988326851</v>
      </c>
      <c r="AF2294" s="1" t="s">
        <v>1573</v>
      </c>
    </row>
    <row r="2295" spans="1:32" x14ac:dyDescent="0.2">
      <c r="A2295" s="1" t="s">
        <v>6372</v>
      </c>
      <c r="B2295" s="1" t="s">
        <v>5</v>
      </c>
      <c r="C2295" s="1" t="s">
        <v>1575</v>
      </c>
      <c r="D2295" s="1" t="s">
        <v>1582</v>
      </c>
      <c r="E2295" s="1" t="s">
        <v>1587</v>
      </c>
      <c r="F2295" s="1" t="s">
        <v>1468</v>
      </c>
      <c r="G2295" s="4">
        <v>0.51</v>
      </c>
      <c r="H2295" s="28">
        <v>42674</v>
      </c>
      <c r="I2295" s="29">
        <f t="shared" si="2433"/>
        <v>2016</v>
      </c>
      <c r="J2295" s="1" t="s">
        <v>6373</v>
      </c>
      <c r="K2295" s="1" t="s">
        <v>7</v>
      </c>
      <c r="L2295" s="11" t="str">
        <f t="shared" si="2442"/>
        <v>НЕТ</v>
      </c>
      <c r="M2295" s="10">
        <v>0</v>
      </c>
      <c r="N2295" s="10">
        <v>0</v>
      </c>
      <c r="O2295" s="10">
        <v>6.9999999999999999E-4</v>
      </c>
      <c r="P2295" s="10">
        <f t="shared" si="2431"/>
        <v>1.3725490196078432E-3</v>
      </c>
      <c r="Q2295" s="10" t="str">
        <f t="shared" si="2432"/>
        <v>NA</v>
      </c>
      <c r="R2295" s="10" t="s">
        <v>1575</v>
      </c>
      <c r="S2295" s="10" t="s">
        <v>1575</v>
      </c>
      <c r="T2295" s="10" t="s">
        <v>1575</v>
      </c>
      <c r="U2295" s="10" t="s">
        <v>1575</v>
      </c>
      <c r="V2295" s="10" t="s">
        <v>1575</v>
      </c>
      <c r="W2295" s="10" t="s">
        <v>1575</v>
      </c>
      <c r="X2295" s="10" t="str">
        <f t="shared" si="2434"/>
        <v>NA</v>
      </c>
      <c r="Y2295" s="10" t="str">
        <f t="shared" si="2435"/>
        <v>NA</v>
      </c>
      <c r="Z2295" s="10" t="str">
        <f t="shared" si="2436"/>
        <v>NA</v>
      </c>
      <c r="AA2295" s="10" t="str">
        <f t="shared" si="2437"/>
        <v>NA</v>
      </c>
      <c r="AB2295" s="10" t="str">
        <f t="shared" si="2438"/>
        <v>NA</v>
      </c>
      <c r="AC2295" s="10" t="str">
        <f t="shared" si="2439"/>
        <v>NA</v>
      </c>
      <c r="AD2295" s="10" t="str">
        <f t="shared" si="2440"/>
        <v>NA</v>
      </c>
      <c r="AE2295" s="10" t="str">
        <f t="shared" si="2441"/>
        <v>NA</v>
      </c>
      <c r="AF2295" s="1" t="s">
        <v>1469</v>
      </c>
    </row>
    <row r="2296" spans="1:32" x14ac:dyDescent="0.2">
      <c r="A2296" s="1" t="s">
        <v>6374</v>
      </c>
      <c r="B2296" s="1" t="s">
        <v>5</v>
      </c>
      <c r="C2296" s="1" t="s">
        <v>1575</v>
      </c>
      <c r="D2296" s="1" t="s">
        <v>1601</v>
      </c>
      <c r="E2296" s="1" t="s">
        <v>1602</v>
      </c>
      <c r="F2296" s="1" t="s">
        <v>1563</v>
      </c>
      <c r="G2296" s="4">
        <v>1</v>
      </c>
      <c r="H2296" s="28">
        <v>42735</v>
      </c>
      <c r="I2296" s="29">
        <f t="shared" si="2433"/>
        <v>2016</v>
      </c>
      <c r="J2296" s="1" t="s">
        <v>6373</v>
      </c>
      <c r="K2296" s="1" t="s">
        <v>7</v>
      </c>
      <c r="L2296" s="11" t="str">
        <f t="shared" si="2442"/>
        <v>НЕТ</v>
      </c>
      <c r="M2296" s="10">
        <v>0</v>
      </c>
      <c r="N2296" s="10">
        <v>0</v>
      </c>
      <c r="O2296" s="10">
        <v>1.9E-2</v>
      </c>
      <c r="P2296" s="10">
        <f t="shared" si="2431"/>
        <v>1.9E-2</v>
      </c>
      <c r="Q2296" s="10" t="str">
        <f t="shared" si="2432"/>
        <v>NA</v>
      </c>
      <c r="R2296" s="10" t="s">
        <v>1575</v>
      </c>
      <c r="S2296" s="10" t="s">
        <v>1575</v>
      </c>
      <c r="T2296" s="10" t="s">
        <v>1575</v>
      </c>
      <c r="U2296" s="10" t="s">
        <v>1575</v>
      </c>
      <c r="V2296" s="10" t="s">
        <v>1575</v>
      </c>
      <c r="W2296" s="10" t="s">
        <v>1575</v>
      </c>
      <c r="X2296" s="10" t="str">
        <f t="shared" si="2434"/>
        <v>NA</v>
      </c>
      <c r="Y2296" s="10" t="str">
        <f t="shared" si="2435"/>
        <v>NA</v>
      </c>
      <c r="Z2296" s="10" t="str">
        <f t="shared" si="2436"/>
        <v>NA</v>
      </c>
      <c r="AA2296" s="10" t="str">
        <f t="shared" si="2437"/>
        <v>NA</v>
      </c>
      <c r="AB2296" s="10" t="str">
        <f t="shared" si="2438"/>
        <v>NA</v>
      </c>
      <c r="AC2296" s="10" t="str">
        <f t="shared" si="2439"/>
        <v>NA</v>
      </c>
      <c r="AD2296" s="10" t="str">
        <f t="shared" si="2440"/>
        <v>NA</v>
      </c>
      <c r="AE2296" s="10" t="str">
        <f t="shared" si="2441"/>
        <v>NA</v>
      </c>
    </row>
    <row r="2297" spans="1:32" x14ac:dyDescent="0.2">
      <c r="A2297" s="1" t="s">
        <v>6375</v>
      </c>
      <c r="B2297" s="1" t="s">
        <v>5</v>
      </c>
      <c r="C2297" s="1" t="s">
        <v>1575</v>
      </c>
      <c r="D2297" s="1" t="s">
        <v>1601</v>
      </c>
      <c r="E2297" s="1" t="s">
        <v>1602</v>
      </c>
      <c r="F2297" s="1" t="s">
        <v>1563</v>
      </c>
      <c r="G2297" s="4">
        <v>1</v>
      </c>
      <c r="H2297" s="28">
        <v>42735</v>
      </c>
      <c r="I2297" s="29">
        <f t="shared" si="2433"/>
        <v>2016</v>
      </c>
      <c r="J2297" s="1" t="s">
        <v>6373</v>
      </c>
      <c r="K2297" s="1" t="s">
        <v>7</v>
      </c>
      <c r="L2297" s="11" t="str">
        <f t="shared" si="2442"/>
        <v>НЕТ</v>
      </c>
      <c r="M2297" s="10">
        <v>0</v>
      </c>
      <c r="N2297" s="10">
        <v>0</v>
      </c>
      <c r="O2297" s="10">
        <f>0.025-0.019</f>
        <v>6.0000000000000019E-3</v>
      </c>
      <c r="P2297" s="10">
        <f t="shared" si="2431"/>
        <v>6.0000000000000019E-3</v>
      </c>
      <c r="Q2297" s="10" t="str">
        <f t="shared" si="2432"/>
        <v>NA</v>
      </c>
      <c r="R2297" s="10" t="s">
        <v>1575</v>
      </c>
      <c r="S2297" s="10" t="s">
        <v>1575</v>
      </c>
      <c r="T2297" s="10" t="s">
        <v>1575</v>
      </c>
      <c r="U2297" s="10" t="s">
        <v>1575</v>
      </c>
      <c r="V2297" s="10" t="s">
        <v>1575</v>
      </c>
      <c r="W2297" s="10" t="s">
        <v>1575</v>
      </c>
      <c r="X2297" s="10" t="str">
        <f t="shared" si="2434"/>
        <v>NA</v>
      </c>
      <c r="Y2297" s="10" t="str">
        <f t="shared" si="2435"/>
        <v>NA</v>
      </c>
      <c r="Z2297" s="10" t="str">
        <f t="shared" si="2436"/>
        <v>NA</v>
      </c>
      <c r="AA2297" s="10" t="str">
        <f t="shared" si="2437"/>
        <v>NA</v>
      </c>
      <c r="AB2297" s="10" t="str">
        <f t="shared" si="2438"/>
        <v>NA</v>
      </c>
      <c r="AC2297" s="10" t="str">
        <f t="shared" si="2439"/>
        <v>NA</v>
      </c>
      <c r="AD2297" s="10" t="str">
        <f t="shared" si="2440"/>
        <v>NA</v>
      </c>
      <c r="AE2297" s="10" t="str">
        <f t="shared" si="2441"/>
        <v>NA</v>
      </c>
    </row>
    <row r="2298" spans="1:32" x14ac:dyDescent="0.2">
      <c r="A2298" s="1" t="s">
        <v>6376</v>
      </c>
      <c r="B2298" s="1" t="s">
        <v>5</v>
      </c>
      <c r="C2298" s="1" t="s">
        <v>1575</v>
      </c>
      <c r="D2298" s="1" t="s">
        <v>1601</v>
      </c>
      <c r="E2298" s="1" t="s">
        <v>1602</v>
      </c>
      <c r="F2298" s="1" t="s">
        <v>1563</v>
      </c>
      <c r="G2298" s="4">
        <f>79.52%-77.18%</f>
        <v>2.3399999999999865E-2</v>
      </c>
      <c r="H2298" s="28">
        <v>42401</v>
      </c>
      <c r="I2298" s="29">
        <f t="shared" si="2433"/>
        <v>2016</v>
      </c>
      <c r="J2298" s="1" t="s">
        <v>6373</v>
      </c>
      <c r="K2298" s="1" t="s">
        <v>7</v>
      </c>
      <c r="L2298" s="11" t="str">
        <f t="shared" si="2442"/>
        <v>НЕТ</v>
      </c>
      <c r="M2298" s="10">
        <v>0</v>
      </c>
      <c r="N2298" s="10">
        <v>0</v>
      </c>
      <c r="O2298" s="10">
        <v>4.2000000000000003E-2</v>
      </c>
      <c r="P2298" s="10">
        <f t="shared" si="2431"/>
        <v>1.7948717948718054</v>
      </c>
      <c r="Q2298" s="10" t="str">
        <f t="shared" si="2432"/>
        <v>NA</v>
      </c>
      <c r="R2298" s="10" t="s">
        <v>1575</v>
      </c>
      <c r="S2298" s="10" t="s">
        <v>1575</v>
      </c>
      <c r="T2298" s="10" t="s">
        <v>1575</v>
      </c>
      <c r="U2298" s="10" t="s">
        <v>1575</v>
      </c>
      <c r="V2298" s="10" t="s">
        <v>1575</v>
      </c>
      <c r="W2298" s="10" t="s">
        <v>1575</v>
      </c>
      <c r="X2298" s="10" t="str">
        <f t="shared" si="2434"/>
        <v>NA</v>
      </c>
      <c r="Y2298" s="10" t="str">
        <f t="shared" si="2435"/>
        <v>NA</v>
      </c>
      <c r="Z2298" s="10" t="str">
        <f t="shared" si="2436"/>
        <v>NA</v>
      </c>
      <c r="AA2298" s="10" t="str">
        <f t="shared" si="2437"/>
        <v>NA</v>
      </c>
      <c r="AB2298" s="10" t="str">
        <f t="shared" si="2438"/>
        <v>NA</v>
      </c>
      <c r="AC2298" s="10" t="str">
        <f t="shared" si="2439"/>
        <v>NA</v>
      </c>
      <c r="AD2298" s="10" t="str">
        <f t="shared" si="2440"/>
        <v>NA</v>
      </c>
      <c r="AE2298" s="10" t="str">
        <f t="shared" si="2441"/>
        <v>NA</v>
      </c>
    </row>
    <row r="2299" spans="1:32" x14ac:dyDescent="0.2">
      <c r="A2299" s="1" t="s">
        <v>6377</v>
      </c>
      <c r="B2299" s="1" t="s">
        <v>5</v>
      </c>
      <c r="C2299" s="1" t="s">
        <v>1575</v>
      </c>
      <c r="D2299" s="1" t="s">
        <v>1601</v>
      </c>
      <c r="E2299" s="1" t="s">
        <v>5352</v>
      </c>
      <c r="F2299" s="1" t="s">
        <v>110</v>
      </c>
      <c r="G2299" s="4">
        <v>1</v>
      </c>
      <c r="H2299" s="28">
        <v>42613</v>
      </c>
      <c r="I2299" s="29">
        <f t="shared" si="2433"/>
        <v>2016</v>
      </c>
      <c r="J2299" s="1" t="s">
        <v>7</v>
      </c>
      <c r="K2299" s="1" t="s">
        <v>6373</v>
      </c>
      <c r="L2299" s="11" t="str">
        <f t="shared" si="2442"/>
        <v>НЕТ</v>
      </c>
      <c r="M2299" s="10">
        <v>0</v>
      </c>
      <c r="N2299" s="10">
        <v>0</v>
      </c>
      <c r="O2299" s="10">
        <v>0.01</v>
      </c>
      <c r="P2299" s="10">
        <f t="shared" si="2431"/>
        <v>0.01</v>
      </c>
      <c r="Q2299" s="10" t="str">
        <f t="shared" si="2432"/>
        <v>NA</v>
      </c>
      <c r="R2299" s="10" t="s">
        <v>1575</v>
      </c>
      <c r="S2299" s="10" t="s">
        <v>1575</v>
      </c>
      <c r="T2299" s="10" t="s">
        <v>1575</v>
      </c>
      <c r="U2299" s="10" t="s">
        <v>1575</v>
      </c>
      <c r="V2299" s="10" t="s">
        <v>1575</v>
      </c>
      <c r="W2299" s="10" t="s">
        <v>1575</v>
      </c>
      <c r="X2299" s="10" t="str">
        <f t="shared" si="2434"/>
        <v>NA</v>
      </c>
      <c r="Y2299" s="10" t="str">
        <f t="shared" si="2435"/>
        <v>NA</v>
      </c>
      <c r="Z2299" s="10" t="str">
        <f t="shared" si="2436"/>
        <v>NA</v>
      </c>
      <c r="AA2299" s="10" t="str">
        <f t="shared" si="2437"/>
        <v>NA</v>
      </c>
      <c r="AB2299" s="10" t="str">
        <f t="shared" si="2438"/>
        <v>NA</v>
      </c>
      <c r="AC2299" s="10" t="str">
        <f t="shared" si="2439"/>
        <v>NA</v>
      </c>
      <c r="AD2299" s="10" t="str">
        <f t="shared" si="2440"/>
        <v>NA</v>
      </c>
      <c r="AE2299" s="10" t="str">
        <f t="shared" si="2441"/>
        <v>NA</v>
      </c>
    </row>
    <row r="2300" spans="1:32" x14ac:dyDescent="0.2">
      <c r="A2300" s="1" t="s">
        <v>6378</v>
      </c>
      <c r="B2300" s="1" t="s">
        <v>5</v>
      </c>
      <c r="C2300" s="1" t="s">
        <v>1575</v>
      </c>
      <c r="D2300" s="1" t="s">
        <v>1601</v>
      </c>
      <c r="E2300" s="1" t="s">
        <v>5352</v>
      </c>
      <c r="F2300" s="1" t="s">
        <v>110</v>
      </c>
      <c r="G2300" s="4">
        <v>1</v>
      </c>
      <c r="H2300" s="28">
        <v>41829</v>
      </c>
      <c r="I2300" s="29">
        <f t="shared" si="2433"/>
        <v>2014</v>
      </c>
      <c r="J2300" s="1" t="s">
        <v>6373</v>
      </c>
      <c r="K2300" s="1" t="s">
        <v>7</v>
      </c>
      <c r="L2300" s="11" t="str">
        <f t="shared" si="2442"/>
        <v>НЕТ</v>
      </c>
      <c r="M2300" s="10">
        <v>0</v>
      </c>
      <c r="N2300" s="10">
        <v>0</v>
      </c>
      <c r="O2300" s="10">
        <v>8</v>
      </c>
      <c r="P2300" s="10">
        <f t="shared" si="2431"/>
        <v>8</v>
      </c>
      <c r="Q2300" s="10" t="str">
        <f t="shared" si="2432"/>
        <v>NA</v>
      </c>
      <c r="R2300" s="10" t="s">
        <v>1575</v>
      </c>
      <c r="S2300" s="10" t="s">
        <v>1575</v>
      </c>
      <c r="T2300" s="10" t="s">
        <v>1575</v>
      </c>
      <c r="U2300" s="10" t="s">
        <v>1575</v>
      </c>
      <c r="V2300" s="10" t="s">
        <v>1575</v>
      </c>
      <c r="W2300" s="10" t="s">
        <v>1575</v>
      </c>
      <c r="X2300" s="10" t="str">
        <f t="shared" si="2434"/>
        <v>NA</v>
      </c>
      <c r="Y2300" s="10" t="str">
        <f t="shared" si="2435"/>
        <v>NA</v>
      </c>
      <c r="Z2300" s="10" t="str">
        <f t="shared" si="2436"/>
        <v>NA</v>
      </c>
      <c r="AA2300" s="10" t="str">
        <f t="shared" si="2437"/>
        <v>NA</v>
      </c>
      <c r="AB2300" s="10" t="str">
        <f t="shared" si="2438"/>
        <v>NA</v>
      </c>
      <c r="AC2300" s="10" t="str">
        <f t="shared" si="2439"/>
        <v>NA</v>
      </c>
      <c r="AD2300" s="10" t="str">
        <f t="shared" si="2440"/>
        <v>NA</v>
      </c>
      <c r="AE2300" s="10" t="str">
        <f t="shared" si="2441"/>
        <v>NA</v>
      </c>
      <c r="AF2300" s="1" t="s">
        <v>1637</v>
      </c>
    </row>
    <row r="2301" spans="1:32" x14ac:dyDescent="0.2">
      <c r="A2301" s="1" t="s">
        <v>468</v>
      </c>
      <c r="B2301" s="1" t="s">
        <v>5</v>
      </c>
      <c r="C2301" s="1" t="s">
        <v>1575</v>
      </c>
      <c r="D2301" s="1" t="s">
        <v>1601</v>
      </c>
      <c r="E2301" s="1" t="s">
        <v>5352</v>
      </c>
      <c r="F2301" s="1" t="s">
        <v>110</v>
      </c>
      <c r="G2301" s="4">
        <v>0.751</v>
      </c>
      <c r="H2301" s="28">
        <v>41871</v>
      </c>
      <c r="I2301" s="29">
        <f t="shared" si="2433"/>
        <v>2014</v>
      </c>
      <c r="J2301" s="1" t="s">
        <v>6373</v>
      </c>
      <c r="K2301" s="1" t="s">
        <v>7</v>
      </c>
      <c r="L2301" s="11" t="str">
        <f t="shared" si="2442"/>
        <v>НЕТ</v>
      </c>
      <c r="M2301" s="10">
        <v>0</v>
      </c>
      <c r="N2301" s="10">
        <v>0</v>
      </c>
      <c r="O2301" s="10">
        <v>16.038</v>
      </c>
      <c r="P2301" s="10">
        <f t="shared" si="2431"/>
        <v>21.355525965379496</v>
      </c>
      <c r="Q2301" s="10" t="str">
        <f t="shared" si="2432"/>
        <v>NA</v>
      </c>
      <c r="R2301" s="10" t="s">
        <v>1575</v>
      </c>
      <c r="S2301" s="10" t="s">
        <v>1575</v>
      </c>
      <c r="T2301" s="10" t="s">
        <v>1575</v>
      </c>
      <c r="U2301" s="10" t="s">
        <v>1575</v>
      </c>
      <c r="V2301" s="10" t="s">
        <v>1575</v>
      </c>
      <c r="W2301" s="10" t="s">
        <v>1575</v>
      </c>
      <c r="X2301" s="10" t="str">
        <f t="shared" si="2434"/>
        <v>NA</v>
      </c>
      <c r="Y2301" s="10" t="str">
        <f t="shared" si="2435"/>
        <v>NA</v>
      </c>
      <c r="Z2301" s="10" t="str">
        <f t="shared" si="2436"/>
        <v>NA</v>
      </c>
      <c r="AA2301" s="10" t="str">
        <f t="shared" si="2437"/>
        <v>NA</v>
      </c>
      <c r="AB2301" s="10" t="str">
        <f t="shared" si="2438"/>
        <v>NA</v>
      </c>
      <c r="AC2301" s="10" t="str">
        <f t="shared" si="2439"/>
        <v>NA</v>
      </c>
      <c r="AD2301" s="10" t="str">
        <f t="shared" si="2440"/>
        <v>NA</v>
      </c>
      <c r="AE2301" s="10" t="str">
        <f t="shared" si="2441"/>
        <v>NA</v>
      </c>
      <c r="AF2301" s="1" t="s">
        <v>469</v>
      </c>
    </row>
    <row r="2302" spans="1:32" x14ac:dyDescent="0.2">
      <c r="A2302" s="1" t="s">
        <v>6379</v>
      </c>
      <c r="B2302" s="1" t="s">
        <v>5</v>
      </c>
      <c r="C2302" s="1" t="s">
        <v>1575</v>
      </c>
      <c r="D2302" s="1" t="s">
        <v>1597</v>
      </c>
      <c r="E2302" s="1" t="s">
        <v>9153</v>
      </c>
      <c r="F2302" s="1" t="s">
        <v>473</v>
      </c>
      <c r="G2302" s="4">
        <v>0.66600000000000004</v>
      </c>
      <c r="H2302" s="28">
        <v>41883</v>
      </c>
      <c r="I2302" s="29">
        <f t="shared" si="2433"/>
        <v>2014</v>
      </c>
      <c r="J2302" s="1" t="s">
        <v>6373</v>
      </c>
      <c r="K2302" s="1" t="s">
        <v>7</v>
      </c>
      <c r="L2302" s="11" t="str">
        <f t="shared" si="2442"/>
        <v>НЕТ</v>
      </c>
      <c r="M2302" s="10">
        <v>0</v>
      </c>
      <c r="N2302" s="10">
        <v>0</v>
      </c>
      <c r="O2302" s="10">
        <v>3.58</v>
      </c>
      <c r="P2302" s="10">
        <f t="shared" si="2431"/>
        <v>5.3753753753753752</v>
      </c>
      <c r="Q2302" s="10" t="str">
        <f t="shared" si="2432"/>
        <v>NA</v>
      </c>
      <c r="R2302" s="10" t="s">
        <v>1575</v>
      </c>
      <c r="S2302" s="10" t="s">
        <v>1575</v>
      </c>
      <c r="T2302" s="10" t="s">
        <v>1575</v>
      </c>
      <c r="U2302" s="10" t="s">
        <v>1575</v>
      </c>
      <c r="V2302" s="10" t="s">
        <v>1575</v>
      </c>
      <c r="W2302" s="10" t="s">
        <v>1575</v>
      </c>
      <c r="X2302" s="10" t="str">
        <f t="shared" si="2434"/>
        <v>NA</v>
      </c>
      <c r="Y2302" s="10" t="str">
        <f t="shared" si="2435"/>
        <v>NA</v>
      </c>
      <c r="Z2302" s="10" t="str">
        <f t="shared" si="2436"/>
        <v>NA</v>
      </c>
      <c r="AA2302" s="10" t="str">
        <f t="shared" si="2437"/>
        <v>NA</v>
      </c>
      <c r="AB2302" s="10" t="str">
        <f t="shared" si="2438"/>
        <v>NA</v>
      </c>
      <c r="AC2302" s="10" t="str">
        <f t="shared" si="2439"/>
        <v>NA</v>
      </c>
      <c r="AD2302" s="10" t="str">
        <f t="shared" si="2440"/>
        <v>NA</v>
      </c>
      <c r="AE2302" s="10" t="str">
        <f t="shared" si="2441"/>
        <v>NA</v>
      </c>
      <c r="AF2302" s="1" t="s">
        <v>470</v>
      </c>
    </row>
    <row r="2303" spans="1:32" x14ac:dyDescent="0.2">
      <c r="A2303" s="1" t="s">
        <v>6380</v>
      </c>
      <c r="B2303" s="1" t="s">
        <v>5</v>
      </c>
      <c r="C2303" s="1" t="s">
        <v>1575</v>
      </c>
      <c r="D2303" s="1" t="s">
        <v>1597</v>
      </c>
      <c r="E2303" s="1" t="s">
        <v>1587</v>
      </c>
      <c r="F2303" s="1" t="s">
        <v>472</v>
      </c>
      <c r="G2303" s="4">
        <v>0.53300000000000003</v>
      </c>
      <c r="H2303" s="28">
        <v>41883</v>
      </c>
      <c r="I2303" s="29">
        <f t="shared" si="2433"/>
        <v>2014</v>
      </c>
      <c r="J2303" s="1" t="s">
        <v>6373</v>
      </c>
      <c r="K2303" s="1" t="s">
        <v>7</v>
      </c>
      <c r="L2303" s="11" t="str">
        <f t="shared" si="2442"/>
        <v>НЕТ</v>
      </c>
      <c r="M2303" s="10">
        <v>0</v>
      </c>
      <c r="N2303" s="10">
        <v>0</v>
      </c>
      <c r="O2303" s="10">
        <v>0.41899999999999998</v>
      </c>
      <c r="P2303" s="10">
        <f t="shared" si="2431"/>
        <v>0.78611632270168852</v>
      </c>
      <c r="Q2303" s="10" t="str">
        <f t="shared" si="2432"/>
        <v>NA</v>
      </c>
      <c r="R2303" s="10" t="s">
        <v>1575</v>
      </c>
      <c r="S2303" s="10" t="s">
        <v>1575</v>
      </c>
      <c r="T2303" s="10" t="s">
        <v>1575</v>
      </c>
      <c r="U2303" s="10" t="s">
        <v>1575</v>
      </c>
      <c r="V2303" s="10" t="s">
        <v>1575</v>
      </c>
      <c r="W2303" s="10" t="s">
        <v>1575</v>
      </c>
      <c r="X2303" s="10" t="str">
        <f t="shared" si="2434"/>
        <v>NA</v>
      </c>
      <c r="Y2303" s="10" t="str">
        <f t="shared" si="2435"/>
        <v>NA</v>
      </c>
      <c r="Z2303" s="10" t="str">
        <f t="shared" si="2436"/>
        <v>NA</v>
      </c>
      <c r="AA2303" s="10" t="str">
        <f t="shared" si="2437"/>
        <v>NA</v>
      </c>
      <c r="AB2303" s="10" t="str">
        <f t="shared" si="2438"/>
        <v>NA</v>
      </c>
      <c r="AC2303" s="10" t="str">
        <f t="shared" si="2439"/>
        <v>NA</v>
      </c>
      <c r="AD2303" s="10" t="str">
        <f t="shared" si="2440"/>
        <v>NA</v>
      </c>
      <c r="AE2303" s="10" t="str">
        <f t="shared" si="2441"/>
        <v>NA</v>
      </c>
      <c r="AF2303" s="1" t="s">
        <v>471</v>
      </c>
    </row>
    <row r="2304" spans="1:32" x14ac:dyDescent="0.2">
      <c r="A2304" s="1" t="s">
        <v>1772</v>
      </c>
      <c r="B2304" s="1" t="s">
        <v>5</v>
      </c>
      <c r="C2304" s="1" t="s">
        <v>1638</v>
      </c>
      <c r="D2304" s="1" t="s">
        <v>1601</v>
      </c>
      <c r="E2304" s="1" t="s">
        <v>1608</v>
      </c>
      <c r="F2304" s="1" t="s">
        <v>1562</v>
      </c>
      <c r="G2304" s="4">
        <v>1</v>
      </c>
      <c r="H2304" s="28">
        <v>41974</v>
      </c>
      <c r="I2304" s="29">
        <f t="shared" si="2433"/>
        <v>2014</v>
      </c>
      <c r="J2304" s="1" t="s">
        <v>6373</v>
      </c>
      <c r="K2304" s="1" t="s">
        <v>7</v>
      </c>
      <c r="L2304" s="11" t="str">
        <f t="shared" si="2442"/>
        <v>НЕТ</v>
      </c>
      <c r="M2304" s="10">
        <v>0</v>
      </c>
      <c r="N2304" s="10">
        <v>0</v>
      </c>
      <c r="O2304" s="10">
        <v>4.5209999999999999</v>
      </c>
      <c r="P2304" s="10">
        <f t="shared" si="2431"/>
        <v>4.5209999999999999</v>
      </c>
      <c r="Q2304" s="10">
        <f t="shared" si="2432"/>
        <v>23.829000000000001</v>
      </c>
      <c r="R2304" s="10">
        <v>27.305</v>
      </c>
      <c r="S2304" s="10">
        <v>0.21399999999999997</v>
      </c>
      <c r="T2304" s="10">
        <v>-1.1140000000000001</v>
      </c>
      <c r="U2304" s="10">
        <v>-1.8720000000000001</v>
      </c>
      <c r="V2304" s="10">
        <v>23.56</v>
      </c>
      <c r="W2304" s="10">
        <v>19.308</v>
      </c>
      <c r="X2304" s="10">
        <f t="shared" si="2434"/>
        <v>42.867999999999995</v>
      </c>
      <c r="Y2304" s="10">
        <f t="shared" si="2435"/>
        <v>0.1655740706830251</v>
      </c>
      <c r="Z2304" s="10">
        <f t="shared" si="2436"/>
        <v>-2.4150641025641022</v>
      </c>
      <c r="AA2304" s="10">
        <f t="shared" si="2437"/>
        <v>0.19189303904923599</v>
      </c>
      <c r="AB2304" s="10">
        <f t="shared" si="2438"/>
        <v>0.8726973081853141</v>
      </c>
      <c r="AC2304" s="10">
        <f t="shared" si="2439"/>
        <v>111.35046728971965</v>
      </c>
      <c r="AD2304" s="10">
        <f t="shared" si="2440"/>
        <v>-21.39048473967684</v>
      </c>
      <c r="AE2304" s="10">
        <f t="shared" si="2441"/>
        <v>0.55586917980778205</v>
      </c>
      <c r="AF2304" s="1" t="s">
        <v>474</v>
      </c>
    </row>
    <row r="2305" spans="1:32" x14ac:dyDescent="0.2">
      <c r="A2305" s="1" t="s">
        <v>1781</v>
      </c>
      <c r="B2305" s="1" t="s">
        <v>5</v>
      </c>
      <c r="C2305" s="1" t="s">
        <v>1639</v>
      </c>
      <c r="D2305" s="1" t="s">
        <v>1601</v>
      </c>
      <c r="E2305" s="1" t="s">
        <v>1608</v>
      </c>
      <c r="F2305" s="1" t="s">
        <v>1562</v>
      </c>
      <c r="G2305" s="4">
        <v>1</v>
      </c>
      <c r="H2305" s="28">
        <v>41974</v>
      </c>
      <c r="I2305" s="29">
        <f t="shared" si="2433"/>
        <v>2014</v>
      </c>
      <c r="J2305" s="1" t="s">
        <v>6373</v>
      </c>
      <c r="K2305" s="1" t="s">
        <v>7</v>
      </c>
      <c r="L2305" s="11" t="str">
        <f t="shared" si="2442"/>
        <v>НЕТ</v>
      </c>
      <c r="M2305" s="10">
        <v>0</v>
      </c>
      <c r="N2305" s="10">
        <v>0</v>
      </c>
      <c r="O2305" s="10">
        <v>7.9850000000000003</v>
      </c>
      <c r="P2305" s="10">
        <f t="shared" si="2431"/>
        <v>7.9850000000000003</v>
      </c>
      <c r="Q2305" s="10">
        <f t="shared" si="2432"/>
        <v>19.546000000000003</v>
      </c>
      <c r="R2305" s="10">
        <v>28.379000000000001</v>
      </c>
      <c r="S2305" s="10">
        <v>3.4539999999999997</v>
      </c>
      <c r="T2305" s="10">
        <v>1.88</v>
      </c>
      <c r="U2305" s="10">
        <v>1.1830000000000001</v>
      </c>
      <c r="V2305" s="10">
        <v>31.186999999999998</v>
      </c>
      <c r="W2305" s="10">
        <v>11.561000000000002</v>
      </c>
      <c r="X2305" s="10">
        <f t="shared" si="2434"/>
        <v>42.747999999999998</v>
      </c>
      <c r="Y2305" s="10">
        <f t="shared" si="2435"/>
        <v>0.28137002713273901</v>
      </c>
      <c r="Z2305" s="10">
        <f t="shared" si="2436"/>
        <v>6.7497886728655958</v>
      </c>
      <c r="AA2305" s="10">
        <f t="shared" si="2437"/>
        <v>0.25603616891653574</v>
      </c>
      <c r="AB2305" s="10">
        <f t="shared" si="2438"/>
        <v>0.6887487226470278</v>
      </c>
      <c r="AC2305" s="10">
        <f t="shared" si="2439"/>
        <v>5.6589461493920101</v>
      </c>
      <c r="AD2305" s="10">
        <f t="shared" si="2440"/>
        <v>10.3968085106383</v>
      </c>
      <c r="AE2305" s="10">
        <f t="shared" si="2441"/>
        <v>0.45723776550949763</v>
      </c>
      <c r="AF2305" s="1" t="s">
        <v>475</v>
      </c>
    </row>
    <row r="2306" spans="1:32" x14ac:dyDescent="0.2">
      <c r="A2306" s="1" t="s">
        <v>6252</v>
      </c>
      <c r="B2306" s="1" t="s">
        <v>5</v>
      </c>
      <c r="C2306" s="1" t="s">
        <v>1640</v>
      </c>
      <c r="D2306" s="1" t="s">
        <v>1601</v>
      </c>
      <c r="E2306" s="1" t="s">
        <v>1608</v>
      </c>
      <c r="F2306" s="1" t="s">
        <v>1562</v>
      </c>
      <c r="G2306" s="4">
        <v>1</v>
      </c>
      <c r="H2306" s="28">
        <v>41974</v>
      </c>
      <c r="I2306" s="29">
        <f t="shared" si="2433"/>
        <v>2014</v>
      </c>
      <c r="J2306" s="1" t="s">
        <v>6373</v>
      </c>
      <c r="K2306" s="1" t="s">
        <v>7</v>
      </c>
      <c r="L2306" s="11" t="str">
        <f t="shared" si="2442"/>
        <v>НЕТ</v>
      </c>
      <c r="M2306" s="10">
        <v>0</v>
      </c>
      <c r="N2306" s="10">
        <v>0</v>
      </c>
      <c r="O2306" s="10">
        <v>52.478000000000002</v>
      </c>
      <c r="P2306" s="10">
        <f t="shared" si="2431"/>
        <v>52.478000000000002</v>
      </c>
      <c r="Q2306" s="10">
        <f t="shared" si="2432"/>
        <v>97.216999999999999</v>
      </c>
      <c r="R2306" s="10">
        <v>131.96</v>
      </c>
      <c r="S2306" s="10">
        <v>3.1510000000000002</v>
      </c>
      <c r="T2306" s="10">
        <v>-0.33499999999999996</v>
      </c>
      <c r="U2306" s="10">
        <v>-4.2889999999999997</v>
      </c>
      <c r="V2306" s="10">
        <v>28.448</v>
      </c>
      <c r="W2306" s="10">
        <v>44.738999999999997</v>
      </c>
      <c r="X2306" s="10">
        <f t="shared" si="2434"/>
        <v>73.186999999999998</v>
      </c>
      <c r="Y2306" s="10">
        <f t="shared" si="2435"/>
        <v>0.39768111548954227</v>
      </c>
      <c r="Z2306" s="10">
        <f t="shared" si="2436"/>
        <v>-12.235486127302403</v>
      </c>
      <c r="AA2306" s="10">
        <f t="shared" si="2437"/>
        <v>1.8446991001124859</v>
      </c>
      <c r="AB2306" s="10">
        <f t="shared" si="2438"/>
        <v>0.73671567141558048</v>
      </c>
      <c r="AC2306" s="10">
        <f t="shared" si="2439"/>
        <v>30.852745160266579</v>
      </c>
      <c r="AD2306" s="10">
        <f t="shared" si="2440"/>
        <v>-290.20000000000005</v>
      </c>
      <c r="AE2306" s="10">
        <f t="shared" si="2441"/>
        <v>1.3283369997403911</v>
      </c>
      <c r="AF2306" s="1" t="s">
        <v>476</v>
      </c>
    </row>
    <row r="2307" spans="1:32" x14ac:dyDescent="0.2">
      <c r="A2307" s="1" t="s">
        <v>6381</v>
      </c>
      <c r="B2307" s="1" t="s">
        <v>5</v>
      </c>
      <c r="C2307" s="1" t="s">
        <v>1575</v>
      </c>
      <c r="D2307" s="1" t="s">
        <v>1601</v>
      </c>
      <c r="E2307" s="1" t="s">
        <v>5352</v>
      </c>
      <c r="F2307" s="1" t="s">
        <v>36</v>
      </c>
      <c r="G2307" s="4">
        <v>1</v>
      </c>
      <c r="H2307" s="28">
        <v>41985</v>
      </c>
      <c r="I2307" s="29">
        <f t="shared" si="2433"/>
        <v>2014</v>
      </c>
      <c r="J2307" s="1" t="s">
        <v>6373</v>
      </c>
      <c r="K2307" s="1" t="s">
        <v>7</v>
      </c>
      <c r="L2307" s="11" t="str">
        <f t="shared" si="2442"/>
        <v>НЕТ</v>
      </c>
      <c r="M2307" s="10">
        <v>0</v>
      </c>
      <c r="N2307" s="10">
        <v>0</v>
      </c>
      <c r="O2307" s="10">
        <v>0</v>
      </c>
      <c r="P2307" s="10">
        <f t="shared" ref="P2307:P2370" si="2443">IFERROR(O2307/G2307,"NA")</f>
        <v>0</v>
      </c>
      <c r="Q2307" s="10" t="str">
        <f t="shared" ref="Q2307:Q2370" si="2444">IFERROR(P2307+W2307,"NA")</f>
        <v>NA</v>
      </c>
      <c r="R2307" s="10" t="s">
        <v>1575</v>
      </c>
      <c r="S2307" s="10" t="s">
        <v>1575</v>
      </c>
      <c r="T2307" s="10" t="s">
        <v>1575</v>
      </c>
      <c r="U2307" s="10" t="s">
        <v>1575</v>
      </c>
      <c r="V2307" s="10" t="s">
        <v>1575</v>
      </c>
      <c r="W2307" s="10" t="s">
        <v>1575</v>
      </c>
      <c r="X2307" s="10" t="str">
        <f t="shared" si="2434"/>
        <v>NA</v>
      </c>
      <c r="Y2307" s="10" t="str">
        <f t="shared" si="2435"/>
        <v>NA</v>
      </c>
      <c r="Z2307" s="10" t="str">
        <f t="shared" si="2436"/>
        <v>NA</v>
      </c>
      <c r="AA2307" s="10" t="str">
        <f t="shared" si="2437"/>
        <v>NA</v>
      </c>
      <c r="AB2307" s="10" t="str">
        <f t="shared" si="2438"/>
        <v>NA</v>
      </c>
      <c r="AC2307" s="10" t="str">
        <f t="shared" si="2439"/>
        <v>NA</v>
      </c>
      <c r="AD2307" s="10" t="str">
        <f t="shared" si="2440"/>
        <v>NA</v>
      </c>
      <c r="AE2307" s="10" t="str">
        <f t="shared" si="2441"/>
        <v>NA</v>
      </c>
    </row>
    <row r="2308" spans="1:32" x14ac:dyDescent="0.2">
      <c r="A2308" s="1" t="s">
        <v>6382</v>
      </c>
      <c r="B2308" s="1" t="s">
        <v>5</v>
      </c>
      <c r="C2308" s="1" t="s">
        <v>1575</v>
      </c>
      <c r="D2308" s="1" t="s">
        <v>1601</v>
      </c>
      <c r="E2308" s="1" t="s">
        <v>1612</v>
      </c>
      <c r="F2308" s="1" t="s">
        <v>1485</v>
      </c>
      <c r="G2308" s="4">
        <v>0.19989999999999999</v>
      </c>
      <c r="H2308" s="28">
        <v>41913</v>
      </c>
      <c r="I2308" s="29">
        <f t="shared" si="2433"/>
        <v>2014</v>
      </c>
      <c r="J2308" s="1" t="s">
        <v>7</v>
      </c>
      <c r="K2308" s="1" t="s">
        <v>6373</v>
      </c>
      <c r="L2308" s="11" t="str">
        <f t="shared" si="2442"/>
        <v>НЕТ</v>
      </c>
      <c r="M2308" s="10">
        <v>0</v>
      </c>
      <c r="N2308" s="10">
        <v>0</v>
      </c>
      <c r="O2308" s="10">
        <v>6.7299999999999999E-2</v>
      </c>
      <c r="P2308" s="10">
        <f t="shared" si="2443"/>
        <v>0.33666833416708353</v>
      </c>
      <c r="Q2308" s="10" t="str">
        <f t="shared" si="2444"/>
        <v>NA</v>
      </c>
      <c r="R2308" s="10" t="s">
        <v>1575</v>
      </c>
      <c r="S2308" s="10" t="s">
        <v>1575</v>
      </c>
      <c r="T2308" s="10" t="s">
        <v>1575</v>
      </c>
      <c r="U2308" s="10" t="s">
        <v>1575</v>
      </c>
      <c r="V2308" s="10" t="s">
        <v>1575</v>
      </c>
      <c r="W2308" s="10" t="s">
        <v>1575</v>
      </c>
      <c r="X2308" s="10" t="str">
        <f t="shared" si="2434"/>
        <v>NA</v>
      </c>
      <c r="Y2308" s="10" t="str">
        <f t="shared" si="2435"/>
        <v>NA</v>
      </c>
      <c r="Z2308" s="10" t="str">
        <f t="shared" si="2436"/>
        <v>NA</v>
      </c>
      <c r="AA2308" s="10" t="str">
        <f t="shared" si="2437"/>
        <v>NA</v>
      </c>
      <c r="AB2308" s="10" t="str">
        <f t="shared" si="2438"/>
        <v>NA</v>
      </c>
      <c r="AC2308" s="10" t="str">
        <f t="shared" si="2439"/>
        <v>NA</v>
      </c>
      <c r="AD2308" s="10" t="str">
        <f t="shared" si="2440"/>
        <v>NA</v>
      </c>
      <c r="AE2308" s="10" t="str">
        <f t="shared" si="2441"/>
        <v>NA</v>
      </c>
      <c r="AF2308" s="1" t="s">
        <v>477</v>
      </c>
    </row>
    <row r="2309" spans="1:32" x14ac:dyDescent="0.2">
      <c r="A2309" s="1" t="s">
        <v>478</v>
      </c>
      <c r="B2309" s="1" t="s">
        <v>5</v>
      </c>
      <c r="C2309" s="1" t="s">
        <v>1575</v>
      </c>
      <c r="D2309" s="1" t="s">
        <v>1597</v>
      </c>
      <c r="E2309" s="1" t="s">
        <v>1666</v>
      </c>
      <c r="F2309" s="1" t="s">
        <v>480</v>
      </c>
      <c r="G2309" s="4">
        <v>0.5</v>
      </c>
      <c r="H2309" s="28">
        <v>42064</v>
      </c>
      <c r="I2309" s="29">
        <f t="shared" si="2433"/>
        <v>2015</v>
      </c>
      <c r="J2309" s="1" t="s">
        <v>6373</v>
      </c>
      <c r="K2309" s="1" t="s">
        <v>7</v>
      </c>
      <c r="L2309" s="11" t="str">
        <f t="shared" si="2442"/>
        <v>НЕТ</v>
      </c>
      <c r="M2309" s="10">
        <v>0</v>
      </c>
      <c r="N2309" s="10">
        <v>0</v>
      </c>
      <c r="O2309" s="10">
        <v>0.222</v>
      </c>
      <c r="P2309" s="10">
        <f t="shared" si="2443"/>
        <v>0.44400000000000001</v>
      </c>
      <c r="Q2309" s="10" t="str">
        <f t="shared" si="2444"/>
        <v>NA</v>
      </c>
      <c r="R2309" s="10" t="s">
        <v>1575</v>
      </c>
      <c r="S2309" s="10" t="s">
        <v>1575</v>
      </c>
      <c r="T2309" s="10" t="s">
        <v>1575</v>
      </c>
      <c r="U2309" s="10" t="s">
        <v>1575</v>
      </c>
      <c r="V2309" s="10" t="s">
        <v>1575</v>
      </c>
      <c r="W2309" s="10" t="s">
        <v>1575</v>
      </c>
      <c r="X2309" s="10" t="str">
        <f t="shared" si="2434"/>
        <v>NA</v>
      </c>
      <c r="Y2309" s="10" t="str">
        <f t="shared" si="2435"/>
        <v>NA</v>
      </c>
      <c r="Z2309" s="10" t="str">
        <f t="shared" si="2436"/>
        <v>NA</v>
      </c>
      <c r="AA2309" s="10" t="str">
        <f t="shared" si="2437"/>
        <v>NA</v>
      </c>
      <c r="AB2309" s="10" t="str">
        <f t="shared" si="2438"/>
        <v>NA</v>
      </c>
      <c r="AC2309" s="10" t="str">
        <f t="shared" si="2439"/>
        <v>NA</v>
      </c>
      <c r="AD2309" s="10" t="str">
        <f t="shared" si="2440"/>
        <v>NA</v>
      </c>
      <c r="AE2309" s="10" t="str">
        <f t="shared" si="2441"/>
        <v>NA</v>
      </c>
      <c r="AF2309" s="1" t="s">
        <v>479</v>
      </c>
    </row>
    <row r="2310" spans="1:32" x14ac:dyDescent="0.2">
      <c r="A2310" s="1" t="s">
        <v>481</v>
      </c>
      <c r="B2310" s="1" t="s">
        <v>5</v>
      </c>
      <c r="C2310" s="1" t="s">
        <v>1575</v>
      </c>
      <c r="D2310" s="1" t="s">
        <v>1601</v>
      </c>
      <c r="E2310" s="1" t="s">
        <v>5352</v>
      </c>
      <c r="F2310" s="1" t="s">
        <v>110</v>
      </c>
      <c r="G2310" s="4">
        <v>1</v>
      </c>
      <c r="H2310" s="28">
        <v>42064</v>
      </c>
      <c r="I2310" s="29">
        <f t="shared" si="2433"/>
        <v>2015</v>
      </c>
      <c r="J2310" s="1" t="s">
        <v>6373</v>
      </c>
      <c r="K2310" s="1" t="s">
        <v>7</v>
      </c>
      <c r="L2310" s="11" t="str">
        <f t="shared" si="2442"/>
        <v>НЕТ</v>
      </c>
      <c r="M2310" s="10">
        <v>0</v>
      </c>
      <c r="N2310" s="10">
        <v>0</v>
      </c>
      <c r="O2310" s="10">
        <v>6.3E-5</v>
      </c>
      <c r="P2310" s="10">
        <f t="shared" si="2443"/>
        <v>6.3E-5</v>
      </c>
      <c r="Q2310" s="10" t="str">
        <f t="shared" si="2444"/>
        <v>NA</v>
      </c>
      <c r="R2310" s="10" t="s">
        <v>1575</v>
      </c>
      <c r="S2310" s="10" t="s">
        <v>1575</v>
      </c>
      <c r="T2310" s="10" t="s">
        <v>1575</v>
      </c>
      <c r="U2310" s="10" t="s">
        <v>1575</v>
      </c>
      <c r="V2310" s="10" t="s">
        <v>1575</v>
      </c>
      <c r="W2310" s="10" t="s">
        <v>1575</v>
      </c>
      <c r="X2310" s="10" t="str">
        <f t="shared" si="2434"/>
        <v>NA</v>
      </c>
      <c r="Y2310" s="10" t="str">
        <f t="shared" si="2435"/>
        <v>NA</v>
      </c>
      <c r="Z2310" s="10" t="str">
        <f t="shared" si="2436"/>
        <v>NA</v>
      </c>
      <c r="AA2310" s="10" t="str">
        <f t="shared" si="2437"/>
        <v>NA</v>
      </c>
      <c r="AB2310" s="10" t="str">
        <f t="shared" si="2438"/>
        <v>NA</v>
      </c>
      <c r="AC2310" s="10" t="str">
        <f t="shared" si="2439"/>
        <v>NA</v>
      </c>
      <c r="AD2310" s="10" t="str">
        <f t="shared" si="2440"/>
        <v>NA</v>
      </c>
      <c r="AE2310" s="10" t="str">
        <f t="shared" si="2441"/>
        <v>NA</v>
      </c>
    </row>
    <row r="2311" spans="1:32" x14ac:dyDescent="0.2">
      <c r="A2311" s="1" t="s">
        <v>482</v>
      </c>
      <c r="B2311" s="1" t="s">
        <v>5</v>
      </c>
      <c r="C2311" s="1" t="s">
        <v>1575</v>
      </c>
      <c r="D2311" s="10" t="s">
        <v>1575</v>
      </c>
      <c r="E2311" s="10" t="s">
        <v>1575</v>
      </c>
      <c r="F2311" s="1" t="s">
        <v>214</v>
      </c>
      <c r="G2311" s="4">
        <v>1</v>
      </c>
      <c r="H2311" s="28">
        <v>42156</v>
      </c>
      <c r="I2311" s="29">
        <f t="shared" si="2433"/>
        <v>2015</v>
      </c>
      <c r="J2311" s="1" t="s">
        <v>6373</v>
      </c>
      <c r="K2311" s="1" t="s">
        <v>7</v>
      </c>
      <c r="L2311" s="11" t="str">
        <f t="shared" si="2442"/>
        <v>НЕТ</v>
      </c>
      <c r="M2311" s="10">
        <v>0</v>
      </c>
      <c r="N2311" s="10">
        <v>0</v>
      </c>
      <c r="O2311" s="10">
        <v>0.35299999999999998</v>
      </c>
      <c r="P2311" s="10">
        <f t="shared" si="2443"/>
        <v>0.35299999999999998</v>
      </c>
      <c r="Q2311" s="10" t="str">
        <f t="shared" si="2444"/>
        <v>NA</v>
      </c>
      <c r="R2311" s="10" t="s">
        <v>1575</v>
      </c>
      <c r="S2311" s="10" t="s">
        <v>1575</v>
      </c>
      <c r="T2311" s="10" t="s">
        <v>1575</v>
      </c>
      <c r="U2311" s="10" t="s">
        <v>1575</v>
      </c>
      <c r="V2311" s="10" t="s">
        <v>1575</v>
      </c>
      <c r="W2311" s="10" t="s">
        <v>1575</v>
      </c>
      <c r="X2311" s="10" t="str">
        <f t="shared" si="2434"/>
        <v>NA</v>
      </c>
      <c r="Y2311" s="10" t="str">
        <f t="shared" si="2435"/>
        <v>NA</v>
      </c>
      <c r="Z2311" s="10" t="str">
        <f t="shared" si="2436"/>
        <v>NA</v>
      </c>
      <c r="AA2311" s="10" t="str">
        <f t="shared" si="2437"/>
        <v>NA</v>
      </c>
      <c r="AB2311" s="10" t="str">
        <f t="shared" si="2438"/>
        <v>NA</v>
      </c>
      <c r="AC2311" s="10" t="str">
        <f t="shared" si="2439"/>
        <v>NA</v>
      </c>
      <c r="AD2311" s="10" t="str">
        <f t="shared" si="2440"/>
        <v>NA</v>
      </c>
      <c r="AE2311" s="10" t="str">
        <f t="shared" si="2441"/>
        <v>NA</v>
      </c>
    </row>
    <row r="2312" spans="1:32" x14ac:dyDescent="0.2">
      <c r="A2312" s="1" t="s">
        <v>483</v>
      </c>
      <c r="B2312" s="1" t="s">
        <v>5</v>
      </c>
      <c r="C2312" s="1" t="s">
        <v>1575</v>
      </c>
      <c r="D2312" s="10" t="s">
        <v>1575</v>
      </c>
      <c r="E2312" s="10" t="s">
        <v>1575</v>
      </c>
      <c r="F2312" s="1" t="s">
        <v>485</v>
      </c>
      <c r="G2312" s="4">
        <v>1</v>
      </c>
      <c r="H2312" s="28">
        <v>42064</v>
      </c>
      <c r="I2312" s="29">
        <f t="shared" si="2433"/>
        <v>2015</v>
      </c>
      <c r="J2312" s="1" t="s">
        <v>6373</v>
      </c>
      <c r="K2312" s="1" t="s">
        <v>7</v>
      </c>
      <c r="L2312" s="11" t="str">
        <f t="shared" si="2442"/>
        <v>НЕТ</v>
      </c>
      <c r="M2312" s="10">
        <v>0</v>
      </c>
      <c r="N2312" s="10">
        <v>0</v>
      </c>
      <c r="O2312" s="10">
        <v>5.9870000000000001</v>
      </c>
      <c r="P2312" s="10">
        <f t="shared" si="2443"/>
        <v>5.9870000000000001</v>
      </c>
      <c r="Q2312" s="10" t="str">
        <f t="shared" si="2444"/>
        <v>NA</v>
      </c>
      <c r="R2312" s="10" t="s">
        <v>1575</v>
      </c>
      <c r="S2312" s="10" t="s">
        <v>1575</v>
      </c>
      <c r="T2312" s="10" t="s">
        <v>1575</v>
      </c>
      <c r="U2312" s="10" t="s">
        <v>1575</v>
      </c>
      <c r="V2312" s="10" t="s">
        <v>1575</v>
      </c>
      <c r="W2312" s="10" t="s">
        <v>1575</v>
      </c>
      <c r="X2312" s="10" t="str">
        <f t="shared" si="2434"/>
        <v>NA</v>
      </c>
      <c r="Y2312" s="10" t="str">
        <f t="shared" si="2435"/>
        <v>NA</v>
      </c>
      <c r="Z2312" s="10" t="str">
        <f t="shared" si="2436"/>
        <v>NA</v>
      </c>
      <c r="AA2312" s="10" t="str">
        <f t="shared" si="2437"/>
        <v>NA</v>
      </c>
      <c r="AB2312" s="10" t="str">
        <f t="shared" si="2438"/>
        <v>NA</v>
      </c>
      <c r="AC2312" s="10" t="str">
        <f t="shared" si="2439"/>
        <v>NA</v>
      </c>
      <c r="AD2312" s="10" t="str">
        <f t="shared" si="2440"/>
        <v>NA</v>
      </c>
      <c r="AE2312" s="10" t="str">
        <f t="shared" si="2441"/>
        <v>NA</v>
      </c>
    </row>
    <row r="2313" spans="1:32" x14ac:dyDescent="0.2">
      <c r="A2313" s="1" t="s">
        <v>484</v>
      </c>
      <c r="B2313" s="1" t="s">
        <v>5</v>
      </c>
      <c r="C2313" s="1" t="s">
        <v>1575</v>
      </c>
      <c r="D2313" s="10" t="s">
        <v>1575</v>
      </c>
      <c r="E2313" s="10" t="s">
        <v>1575</v>
      </c>
      <c r="F2313" s="1" t="s">
        <v>485</v>
      </c>
      <c r="G2313" s="4">
        <v>1</v>
      </c>
      <c r="H2313" s="28">
        <v>42156</v>
      </c>
      <c r="I2313" s="29">
        <f t="shared" si="2433"/>
        <v>2015</v>
      </c>
      <c r="J2313" s="1" t="s">
        <v>6373</v>
      </c>
      <c r="K2313" s="1" t="s">
        <v>7</v>
      </c>
      <c r="L2313" s="11" t="str">
        <f t="shared" si="2442"/>
        <v>НЕТ</v>
      </c>
      <c r="M2313" s="10">
        <v>0</v>
      </c>
      <c r="N2313" s="10">
        <v>0</v>
      </c>
      <c r="O2313" s="10">
        <v>2.1389999999999998</v>
      </c>
      <c r="P2313" s="10">
        <f t="shared" si="2443"/>
        <v>2.1389999999999998</v>
      </c>
      <c r="Q2313" s="10" t="str">
        <f t="shared" si="2444"/>
        <v>NA</v>
      </c>
      <c r="R2313" s="10" t="s">
        <v>1575</v>
      </c>
      <c r="S2313" s="10" t="s">
        <v>1575</v>
      </c>
      <c r="T2313" s="10" t="s">
        <v>1575</v>
      </c>
      <c r="U2313" s="10" t="s">
        <v>1575</v>
      </c>
      <c r="V2313" s="10" t="s">
        <v>1575</v>
      </c>
      <c r="W2313" s="10" t="s">
        <v>1575</v>
      </c>
      <c r="X2313" s="10" t="str">
        <f t="shared" si="2434"/>
        <v>NA</v>
      </c>
      <c r="Y2313" s="10" t="str">
        <f t="shared" si="2435"/>
        <v>NA</v>
      </c>
      <c r="Z2313" s="10" t="str">
        <f t="shared" si="2436"/>
        <v>NA</v>
      </c>
      <c r="AA2313" s="10" t="str">
        <f t="shared" si="2437"/>
        <v>NA</v>
      </c>
      <c r="AB2313" s="10" t="str">
        <f t="shared" si="2438"/>
        <v>NA</v>
      </c>
      <c r="AC2313" s="10" t="str">
        <f t="shared" si="2439"/>
        <v>NA</v>
      </c>
      <c r="AD2313" s="10" t="str">
        <f t="shared" si="2440"/>
        <v>NA</v>
      </c>
      <c r="AE2313" s="10" t="str">
        <f t="shared" si="2441"/>
        <v>NA</v>
      </c>
    </row>
    <row r="2314" spans="1:32" x14ac:dyDescent="0.2">
      <c r="A2314" s="1" t="s">
        <v>6383</v>
      </c>
      <c r="B2314" s="1" t="s">
        <v>5</v>
      </c>
      <c r="C2314" s="1" t="s">
        <v>1575</v>
      </c>
      <c r="D2314" s="10" t="s">
        <v>1575</v>
      </c>
      <c r="E2314" s="10" t="s">
        <v>1575</v>
      </c>
      <c r="F2314" s="1" t="s">
        <v>486</v>
      </c>
      <c r="G2314" s="4">
        <v>0.73499999999999999</v>
      </c>
      <c r="H2314" s="28">
        <v>42339</v>
      </c>
      <c r="I2314" s="29">
        <f t="shared" si="2433"/>
        <v>2015</v>
      </c>
      <c r="J2314" s="1" t="s">
        <v>6373</v>
      </c>
      <c r="K2314" s="1" t="s">
        <v>7</v>
      </c>
      <c r="L2314" s="11" t="str">
        <f t="shared" si="2442"/>
        <v>НЕТ</v>
      </c>
      <c r="M2314" s="10">
        <v>0</v>
      </c>
      <c r="N2314" s="10">
        <v>0</v>
      </c>
      <c r="O2314" s="10">
        <v>2.7E-2</v>
      </c>
      <c r="P2314" s="10">
        <f t="shared" si="2443"/>
        <v>3.6734693877551024E-2</v>
      </c>
      <c r="Q2314" s="10" t="str">
        <f t="shared" si="2444"/>
        <v>NA</v>
      </c>
      <c r="R2314" s="10" t="s">
        <v>1575</v>
      </c>
      <c r="S2314" s="10" t="s">
        <v>1575</v>
      </c>
      <c r="T2314" s="10" t="s">
        <v>1575</v>
      </c>
      <c r="U2314" s="10" t="s">
        <v>1575</v>
      </c>
      <c r="V2314" s="10" t="s">
        <v>1575</v>
      </c>
      <c r="W2314" s="10" t="s">
        <v>1575</v>
      </c>
      <c r="X2314" s="10" t="str">
        <f t="shared" si="2434"/>
        <v>NA</v>
      </c>
      <c r="Y2314" s="10" t="str">
        <f t="shared" si="2435"/>
        <v>NA</v>
      </c>
      <c r="Z2314" s="10" t="str">
        <f t="shared" si="2436"/>
        <v>NA</v>
      </c>
      <c r="AA2314" s="10" t="str">
        <f t="shared" si="2437"/>
        <v>NA</v>
      </c>
      <c r="AB2314" s="10" t="str">
        <f t="shared" si="2438"/>
        <v>NA</v>
      </c>
      <c r="AC2314" s="10" t="str">
        <f t="shared" si="2439"/>
        <v>NA</v>
      </c>
      <c r="AD2314" s="10" t="str">
        <f t="shared" si="2440"/>
        <v>NA</v>
      </c>
      <c r="AE2314" s="10" t="str">
        <f t="shared" si="2441"/>
        <v>NA</v>
      </c>
    </row>
    <row r="2315" spans="1:32" x14ac:dyDescent="0.2">
      <c r="A2315" s="1" t="s">
        <v>6384</v>
      </c>
      <c r="B2315" s="1" t="s">
        <v>5</v>
      </c>
      <c r="C2315" s="1" t="s">
        <v>1575</v>
      </c>
      <c r="D2315" s="10" t="s">
        <v>1575</v>
      </c>
      <c r="E2315" s="10" t="s">
        <v>1575</v>
      </c>
      <c r="F2315" s="1" t="s">
        <v>485</v>
      </c>
      <c r="G2315" s="4">
        <v>0.77959999999999996</v>
      </c>
      <c r="H2315" s="28">
        <v>42339</v>
      </c>
      <c r="I2315" s="29">
        <f t="shared" si="2433"/>
        <v>2015</v>
      </c>
      <c r="J2315" s="1" t="s">
        <v>6373</v>
      </c>
      <c r="K2315" s="1" t="s">
        <v>7</v>
      </c>
      <c r="L2315" s="11" t="str">
        <f t="shared" si="2442"/>
        <v>НЕТ</v>
      </c>
      <c r="M2315" s="10">
        <v>0</v>
      </c>
      <c r="N2315" s="10">
        <v>0</v>
      </c>
      <c r="O2315" s="10">
        <v>9.4E-2</v>
      </c>
      <c r="P2315" s="10">
        <f t="shared" si="2443"/>
        <v>0.12057465366854798</v>
      </c>
      <c r="Q2315" s="10" t="str">
        <f t="shared" si="2444"/>
        <v>NA</v>
      </c>
      <c r="R2315" s="10" t="s">
        <v>1575</v>
      </c>
      <c r="S2315" s="10" t="s">
        <v>1575</v>
      </c>
      <c r="T2315" s="10" t="s">
        <v>1575</v>
      </c>
      <c r="U2315" s="10" t="s">
        <v>1575</v>
      </c>
      <c r="V2315" s="10" t="s">
        <v>1575</v>
      </c>
      <c r="W2315" s="10" t="s">
        <v>1575</v>
      </c>
      <c r="X2315" s="10" t="str">
        <f t="shared" si="2434"/>
        <v>NA</v>
      </c>
      <c r="Y2315" s="10" t="str">
        <f t="shared" si="2435"/>
        <v>NA</v>
      </c>
      <c r="Z2315" s="10" t="str">
        <f t="shared" si="2436"/>
        <v>NA</v>
      </c>
      <c r="AA2315" s="10" t="str">
        <f t="shared" si="2437"/>
        <v>NA</v>
      </c>
      <c r="AB2315" s="10" t="str">
        <f t="shared" si="2438"/>
        <v>NA</v>
      </c>
      <c r="AC2315" s="10" t="str">
        <f t="shared" si="2439"/>
        <v>NA</v>
      </c>
      <c r="AD2315" s="10" t="str">
        <f t="shared" si="2440"/>
        <v>NA</v>
      </c>
      <c r="AE2315" s="10" t="str">
        <f t="shared" si="2441"/>
        <v>NA</v>
      </c>
      <c r="AF2315" s="1" t="s">
        <v>487</v>
      </c>
    </row>
    <row r="2316" spans="1:32" x14ac:dyDescent="0.2">
      <c r="A2316" s="1" t="s">
        <v>6385</v>
      </c>
      <c r="B2316" s="1" t="s">
        <v>5</v>
      </c>
      <c r="C2316" s="1" t="s">
        <v>1575</v>
      </c>
      <c r="D2316" s="1" t="s">
        <v>1601</v>
      </c>
      <c r="E2316" s="1" t="s">
        <v>1602</v>
      </c>
      <c r="F2316" s="1" t="s">
        <v>1563</v>
      </c>
      <c r="G2316" s="4">
        <v>1</v>
      </c>
      <c r="H2316" s="28">
        <v>42339</v>
      </c>
      <c r="I2316" s="29">
        <f t="shared" si="2433"/>
        <v>2015</v>
      </c>
      <c r="J2316" s="1" t="s">
        <v>6373</v>
      </c>
      <c r="K2316" s="1" t="s">
        <v>7</v>
      </c>
      <c r="L2316" s="11" t="str">
        <f t="shared" si="2442"/>
        <v>НЕТ</v>
      </c>
      <c r="M2316" s="10">
        <v>0</v>
      </c>
      <c r="N2316" s="10">
        <v>0</v>
      </c>
      <c r="O2316" s="10">
        <v>0.42499999999999999</v>
      </c>
      <c r="P2316" s="10">
        <f t="shared" si="2443"/>
        <v>0.42499999999999999</v>
      </c>
      <c r="Q2316" s="10" t="str">
        <f t="shared" si="2444"/>
        <v>NA</v>
      </c>
      <c r="R2316" s="10" t="s">
        <v>1575</v>
      </c>
      <c r="S2316" s="10" t="s">
        <v>1575</v>
      </c>
      <c r="T2316" s="10" t="s">
        <v>1575</v>
      </c>
      <c r="U2316" s="10" t="s">
        <v>1575</v>
      </c>
      <c r="V2316" s="10" t="s">
        <v>1575</v>
      </c>
      <c r="W2316" s="10" t="s">
        <v>1575</v>
      </c>
      <c r="X2316" s="10" t="str">
        <f t="shared" si="2434"/>
        <v>NA</v>
      </c>
      <c r="Y2316" s="10" t="str">
        <f t="shared" si="2435"/>
        <v>NA</v>
      </c>
      <c r="Z2316" s="10" t="str">
        <f t="shared" si="2436"/>
        <v>NA</v>
      </c>
      <c r="AA2316" s="10" t="str">
        <f t="shared" si="2437"/>
        <v>NA</v>
      </c>
      <c r="AB2316" s="10" t="str">
        <f t="shared" si="2438"/>
        <v>NA</v>
      </c>
      <c r="AC2316" s="10" t="str">
        <f t="shared" si="2439"/>
        <v>NA</v>
      </c>
      <c r="AD2316" s="10" t="str">
        <f t="shared" si="2440"/>
        <v>NA</v>
      </c>
      <c r="AE2316" s="10" t="str">
        <f t="shared" si="2441"/>
        <v>NA</v>
      </c>
      <c r="AF2316" s="1" t="s">
        <v>488</v>
      </c>
    </row>
    <row r="2317" spans="1:32" x14ac:dyDescent="0.2">
      <c r="A2317" s="1" t="s">
        <v>6386</v>
      </c>
      <c r="B2317" s="1" t="s">
        <v>5</v>
      </c>
      <c r="C2317" s="1" t="s">
        <v>1575</v>
      </c>
      <c r="D2317" s="1" t="s">
        <v>1601</v>
      </c>
      <c r="E2317" s="1" t="s">
        <v>1602</v>
      </c>
      <c r="F2317" s="1" t="s">
        <v>1563</v>
      </c>
      <c r="G2317" s="4">
        <v>1</v>
      </c>
      <c r="H2317" s="28">
        <v>42186</v>
      </c>
      <c r="I2317" s="29">
        <f t="shared" si="2433"/>
        <v>2015</v>
      </c>
      <c r="J2317" s="1" t="s">
        <v>7</v>
      </c>
      <c r="K2317" s="1" t="s">
        <v>6373</v>
      </c>
      <c r="L2317" s="11" t="str">
        <f t="shared" si="2442"/>
        <v>НЕТ</v>
      </c>
      <c r="M2317" s="10">
        <v>0</v>
      </c>
      <c r="N2317" s="10">
        <v>0</v>
      </c>
      <c r="O2317" s="10">
        <v>6.0000000000000001E-3</v>
      </c>
      <c r="P2317" s="10">
        <f t="shared" si="2443"/>
        <v>6.0000000000000001E-3</v>
      </c>
      <c r="Q2317" s="10" t="str">
        <f t="shared" si="2444"/>
        <v>NA</v>
      </c>
      <c r="R2317" s="10" t="s">
        <v>1575</v>
      </c>
      <c r="S2317" s="10" t="s">
        <v>1575</v>
      </c>
      <c r="T2317" s="10" t="s">
        <v>1575</v>
      </c>
      <c r="U2317" s="10" t="s">
        <v>1575</v>
      </c>
      <c r="V2317" s="10" t="s">
        <v>1575</v>
      </c>
      <c r="W2317" s="10" t="s">
        <v>1575</v>
      </c>
      <c r="X2317" s="10" t="str">
        <f t="shared" si="2434"/>
        <v>NA</v>
      </c>
      <c r="Y2317" s="10" t="str">
        <f t="shared" si="2435"/>
        <v>NA</v>
      </c>
      <c r="Z2317" s="10" t="str">
        <f t="shared" si="2436"/>
        <v>NA</v>
      </c>
      <c r="AA2317" s="10" t="str">
        <f t="shared" si="2437"/>
        <v>NA</v>
      </c>
      <c r="AB2317" s="10" t="str">
        <f t="shared" si="2438"/>
        <v>NA</v>
      </c>
      <c r="AC2317" s="10" t="str">
        <f t="shared" si="2439"/>
        <v>NA</v>
      </c>
      <c r="AD2317" s="10" t="str">
        <f t="shared" si="2440"/>
        <v>NA</v>
      </c>
      <c r="AE2317" s="10" t="str">
        <f t="shared" si="2441"/>
        <v>NA</v>
      </c>
    </row>
    <row r="2318" spans="1:32" x14ac:dyDescent="0.2">
      <c r="A2318" s="1" t="s">
        <v>6387</v>
      </c>
      <c r="B2318" s="1" t="s">
        <v>5</v>
      </c>
      <c r="C2318" s="1" t="s">
        <v>1575</v>
      </c>
      <c r="D2318" s="1" t="s">
        <v>1601</v>
      </c>
      <c r="E2318" s="1" t="s">
        <v>1587</v>
      </c>
      <c r="F2318" s="1" t="s">
        <v>110</v>
      </c>
      <c r="G2318" s="4">
        <v>1</v>
      </c>
      <c r="H2318" s="28">
        <v>42339</v>
      </c>
      <c r="I2318" s="29">
        <f t="shared" si="2433"/>
        <v>2015</v>
      </c>
      <c r="J2318" s="1" t="s">
        <v>7</v>
      </c>
      <c r="K2318" s="1" t="s">
        <v>6373</v>
      </c>
      <c r="L2318" s="11" t="str">
        <f t="shared" si="2442"/>
        <v>НЕТ</v>
      </c>
      <c r="M2318" s="10">
        <v>0</v>
      </c>
      <c r="N2318" s="10">
        <v>0</v>
      </c>
      <c r="O2318" s="10">
        <v>1E-3</v>
      </c>
      <c r="P2318" s="10">
        <f t="shared" si="2443"/>
        <v>1E-3</v>
      </c>
      <c r="Q2318" s="10" t="str">
        <f t="shared" si="2444"/>
        <v>NA</v>
      </c>
      <c r="R2318" s="10" t="s">
        <v>1575</v>
      </c>
      <c r="S2318" s="10" t="s">
        <v>1575</v>
      </c>
      <c r="T2318" s="10" t="s">
        <v>1575</v>
      </c>
      <c r="U2318" s="10" t="s">
        <v>1575</v>
      </c>
      <c r="V2318" s="10" t="s">
        <v>1575</v>
      </c>
      <c r="W2318" s="10" t="s">
        <v>1575</v>
      </c>
      <c r="X2318" s="10" t="str">
        <f t="shared" si="2434"/>
        <v>NA</v>
      </c>
      <c r="Y2318" s="10" t="str">
        <f t="shared" si="2435"/>
        <v>NA</v>
      </c>
      <c r="Z2318" s="10" t="str">
        <f t="shared" si="2436"/>
        <v>NA</v>
      </c>
      <c r="AA2318" s="10" t="str">
        <f t="shared" si="2437"/>
        <v>NA</v>
      </c>
      <c r="AB2318" s="10" t="str">
        <f t="shared" si="2438"/>
        <v>NA</v>
      </c>
      <c r="AC2318" s="10" t="str">
        <f t="shared" si="2439"/>
        <v>NA</v>
      </c>
      <c r="AD2318" s="10" t="str">
        <f t="shared" si="2440"/>
        <v>NA</v>
      </c>
      <c r="AE2318" s="10" t="str">
        <f t="shared" si="2441"/>
        <v>NA</v>
      </c>
    </row>
    <row r="2319" spans="1:32" x14ac:dyDescent="0.2">
      <c r="A2319" s="1" t="s">
        <v>6388</v>
      </c>
      <c r="B2319" s="1" t="s">
        <v>5</v>
      </c>
      <c r="C2319" s="1" t="s">
        <v>1575</v>
      </c>
      <c r="D2319" s="1" t="s">
        <v>1601</v>
      </c>
      <c r="E2319" s="1" t="s">
        <v>1612</v>
      </c>
      <c r="F2319" s="1" t="s">
        <v>1485</v>
      </c>
      <c r="G2319" s="4">
        <v>1</v>
      </c>
      <c r="H2319" s="28">
        <v>42309</v>
      </c>
      <c r="I2319" s="29">
        <f t="shared" si="2433"/>
        <v>2015</v>
      </c>
      <c r="J2319" s="1" t="s">
        <v>7</v>
      </c>
      <c r="K2319" s="1" t="s">
        <v>6373</v>
      </c>
      <c r="L2319" s="11" t="str">
        <f t="shared" si="2442"/>
        <v>НЕТ</v>
      </c>
      <c r="M2319" s="10">
        <v>0</v>
      </c>
      <c r="N2319" s="10">
        <v>0</v>
      </c>
      <c r="O2319" s="10">
        <v>0.216</v>
      </c>
      <c r="P2319" s="10">
        <f t="shared" si="2443"/>
        <v>0.216</v>
      </c>
      <c r="Q2319" s="10" t="str">
        <f t="shared" si="2444"/>
        <v>NA</v>
      </c>
      <c r="R2319" s="10" t="s">
        <v>1575</v>
      </c>
      <c r="S2319" s="10" t="s">
        <v>1575</v>
      </c>
      <c r="T2319" s="10" t="s">
        <v>1575</v>
      </c>
      <c r="U2319" s="10" t="s">
        <v>1575</v>
      </c>
      <c r="V2319" s="10" t="s">
        <v>1575</v>
      </c>
      <c r="W2319" s="10" t="s">
        <v>1575</v>
      </c>
      <c r="X2319" s="10" t="str">
        <f t="shared" si="2434"/>
        <v>NA</v>
      </c>
      <c r="Y2319" s="10" t="str">
        <f t="shared" si="2435"/>
        <v>NA</v>
      </c>
      <c r="Z2319" s="10" t="str">
        <f t="shared" si="2436"/>
        <v>NA</v>
      </c>
      <c r="AA2319" s="10" t="str">
        <f t="shared" si="2437"/>
        <v>NA</v>
      </c>
      <c r="AB2319" s="10" t="str">
        <f t="shared" si="2438"/>
        <v>NA</v>
      </c>
      <c r="AC2319" s="10" t="str">
        <f t="shared" si="2439"/>
        <v>NA</v>
      </c>
      <c r="AD2319" s="10" t="str">
        <f t="shared" si="2440"/>
        <v>NA</v>
      </c>
      <c r="AE2319" s="10" t="str">
        <f t="shared" si="2441"/>
        <v>NA</v>
      </c>
    </row>
    <row r="2320" spans="1:32" x14ac:dyDescent="0.2">
      <c r="A2320" s="1" t="s">
        <v>489</v>
      </c>
      <c r="B2320" s="1" t="s">
        <v>5</v>
      </c>
      <c r="C2320" s="1" t="s">
        <v>1575</v>
      </c>
      <c r="D2320" s="10" t="s">
        <v>1575</v>
      </c>
      <c r="E2320" s="10" t="s">
        <v>1575</v>
      </c>
      <c r="F2320" s="1" t="s">
        <v>473</v>
      </c>
      <c r="G2320" s="4">
        <f>63.89%-63.55%</f>
        <v>3.4000000000000696E-3</v>
      </c>
      <c r="H2320" s="28">
        <v>42005</v>
      </c>
      <c r="I2320" s="29">
        <f t="shared" si="2433"/>
        <v>2015</v>
      </c>
      <c r="J2320" s="1" t="s">
        <v>6373</v>
      </c>
      <c r="K2320" s="1" t="s">
        <v>7</v>
      </c>
      <c r="L2320" s="11" t="str">
        <f t="shared" si="2442"/>
        <v>НЕТ</v>
      </c>
      <c r="M2320" s="10">
        <v>0</v>
      </c>
      <c r="N2320" s="10">
        <v>0</v>
      </c>
      <c r="O2320" s="10">
        <v>2E-3</v>
      </c>
      <c r="P2320" s="10">
        <f t="shared" si="2443"/>
        <v>0.58823529411763498</v>
      </c>
      <c r="Q2320" s="10" t="str">
        <f t="shared" si="2444"/>
        <v>NA</v>
      </c>
      <c r="R2320" s="10" t="s">
        <v>1575</v>
      </c>
      <c r="S2320" s="10" t="s">
        <v>1575</v>
      </c>
      <c r="T2320" s="10" t="s">
        <v>1575</v>
      </c>
      <c r="U2320" s="10" t="s">
        <v>1575</v>
      </c>
      <c r="V2320" s="10" t="s">
        <v>1575</v>
      </c>
      <c r="W2320" s="10" t="s">
        <v>1575</v>
      </c>
      <c r="X2320" s="10" t="str">
        <f t="shared" si="2434"/>
        <v>NA</v>
      </c>
      <c r="Y2320" s="10" t="str">
        <f t="shared" si="2435"/>
        <v>NA</v>
      </c>
      <c r="Z2320" s="10" t="str">
        <f t="shared" si="2436"/>
        <v>NA</v>
      </c>
      <c r="AA2320" s="10" t="str">
        <f t="shared" si="2437"/>
        <v>NA</v>
      </c>
      <c r="AB2320" s="10" t="str">
        <f t="shared" si="2438"/>
        <v>NA</v>
      </c>
      <c r="AC2320" s="10" t="str">
        <f t="shared" si="2439"/>
        <v>NA</v>
      </c>
      <c r="AD2320" s="10" t="str">
        <f t="shared" si="2440"/>
        <v>NA</v>
      </c>
      <c r="AE2320" s="10" t="str">
        <f t="shared" si="2441"/>
        <v>NA</v>
      </c>
    </row>
    <row r="2321" spans="1:32" x14ac:dyDescent="0.2">
      <c r="A2321" s="1" t="s">
        <v>490</v>
      </c>
      <c r="B2321" s="1" t="s">
        <v>5</v>
      </c>
      <c r="C2321" s="1" t="s">
        <v>1575</v>
      </c>
      <c r="D2321" s="10" t="s">
        <v>1575</v>
      </c>
      <c r="E2321" s="10" t="s">
        <v>1575</v>
      </c>
      <c r="F2321" s="1" t="s">
        <v>472</v>
      </c>
      <c r="G2321" s="4">
        <f>93.33%-66.67%</f>
        <v>0.26659999999999995</v>
      </c>
      <c r="H2321" s="28">
        <v>42005</v>
      </c>
      <c r="I2321" s="29">
        <f t="shared" ref="I2321:I2384" si="2445">YEAR(H2321)</f>
        <v>2015</v>
      </c>
      <c r="J2321" s="1" t="s">
        <v>6373</v>
      </c>
      <c r="K2321" s="1" t="s">
        <v>7</v>
      </c>
      <c r="L2321" s="11" t="str">
        <f t="shared" si="2442"/>
        <v>НЕТ</v>
      </c>
      <c r="M2321" s="10">
        <v>0</v>
      </c>
      <c r="N2321" s="10">
        <v>0</v>
      </c>
      <c r="O2321" s="10">
        <v>0.39400000000000002</v>
      </c>
      <c r="P2321" s="10">
        <f t="shared" si="2443"/>
        <v>1.477869467366842</v>
      </c>
      <c r="Q2321" s="10" t="str">
        <f t="shared" si="2444"/>
        <v>NA</v>
      </c>
      <c r="R2321" s="10" t="s">
        <v>1575</v>
      </c>
      <c r="S2321" s="10" t="s">
        <v>1575</v>
      </c>
      <c r="T2321" s="10" t="s">
        <v>1575</v>
      </c>
      <c r="U2321" s="10" t="s">
        <v>1575</v>
      </c>
      <c r="V2321" s="10" t="s">
        <v>1575</v>
      </c>
      <c r="W2321" s="10" t="s">
        <v>1575</v>
      </c>
      <c r="X2321" s="10" t="str">
        <f t="shared" si="2434"/>
        <v>NA</v>
      </c>
      <c r="Y2321" s="10" t="str">
        <f t="shared" si="2435"/>
        <v>NA</v>
      </c>
      <c r="Z2321" s="10" t="str">
        <f t="shared" si="2436"/>
        <v>NA</v>
      </c>
      <c r="AA2321" s="10" t="str">
        <f t="shared" si="2437"/>
        <v>NA</v>
      </c>
      <c r="AB2321" s="10" t="str">
        <f t="shared" si="2438"/>
        <v>NA</v>
      </c>
      <c r="AC2321" s="10" t="str">
        <f t="shared" si="2439"/>
        <v>NA</v>
      </c>
      <c r="AD2321" s="10" t="str">
        <f t="shared" si="2440"/>
        <v>NA</v>
      </c>
      <c r="AE2321" s="10" t="str">
        <f t="shared" si="2441"/>
        <v>NA</v>
      </c>
    </row>
    <row r="2322" spans="1:32" x14ac:dyDescent="0.2">
      <c r="A2322" s="1" t="s">
        <v>491</v>
      </c>
      <c r="B2322" s="1" t="s">
        <v>5</v>
      </c>
      <c r="C2322" s="1" t="s">
        <v>1575</v>
      </c>
      <c r="D2322" s="10" t="s">
        <v>1575</v>
      </c>
      <c r="E2322" s="10" t="s">
        <v>1575</v>
      </c>
      <c r="F2322" s="1" t="s">
        <v>472</v>
      </c>
      <c r="G2322" s="4">
        <f>100%-74.99%</f>
        <v>0.2501000000000001</v>
      </c>
      <c r="H2322" s="28">
        <v>42005</v>
      </c>
      <c r="I2322" s="29">
        <f t="shared" si="2445"/>
        <v>2015</v>
      </c>
      <c r="J2322" s="1" t="s">
        <v>6373</v>
      </c>
      <c r="K2322" s="1" t="s">
        <v>7</v>
      </c>
      <c r="L2322" s="11" t="str">
        <f t="shared" si="2442"/>
        <v>НЕТ</v>
      </c>
      <c r="M2322" s="10">
        <v>0</v>
      </c>
      <c r="N2322" s="10">
        <v>0</v>
      </c>
      <c r="O2322" s="10">
        <v>0.35299999999999998</v>
      </c>
      <c r="P2322" s="10">
        <f t="shared" si="2443"/>
        <v>1.4114354258296675</v>
      </c>
      <c r="Q2322" s="10" t="str">
        <f t="shared" si="2444"/>
        <v>NA</v>
      </c>
      <c r="R2322" s="10" t="s">
        <v>1575</v>
      </c>
      <c r="S2322" s="10" t="s">
        <v>1575</v>
      </c>
      <c r="T2322" s="10" t="s">
        <v>1575</v>
      </c>
      <c r="U2322" s="10" t="s">
        <v>1575</v>
      </c>
      <c r="V2322" s="10" t="s">
        <v>1575</v>
      </c>
      <c r="W2322" s="10" t="s">
        <v>1575</v>
      </c>
      <c r="X2322" s="10" t="str">
        <f t="shared" si="2434"/>
        <v>NA</v>
      </c>
      <c r="Y2322" s="10" t="str">
        <f t="shared" si="2435"/>
        <v>NA</v>
      </c>
      <c r="Z2322" s="10" t="str">
        <f t="shared" si="2436"/>
        <v>NA</v>
      </c>
      <c r="AA2322" s="10" t="str">
        <f t="shared" si="2437"/>
        <v>NA</v>
      </c>
      <c r="AB2322" s="10" t="str">
        <f t="shared" si="2438"/>
        <v>NA</v>
      </c>
      <c r="AC2322" s="10" t="str">
        <f t="shared" si="2439"/>
        <v>NA</v>
      </c>
      <c r="AD2322" s="10" t="str">
        <f t="shared" si="2440"/>
        <v>NA</v>
      </c>
      <c r="AE2322" s="10" t="str">
        <f t="shared" si="2441"/>
        <v>NA</v>
      </c>
    </row>
    <row r="2323" spans="1:32" x14ac:dyDescent="0.2">
      <c r="A2323" s="1" t="s">
        <v>6376</v>
      </c>
      <c r="B2323" s="1" t="s">
        <v>5</v>
      </c>
      <c r="C2323" s="1" t="s">
        <v>1575</v>
      </c>
      <c r="D2323" s="1" t="s">
        <v>1601</v>
      </c>
      <c r="E2323" s="1" t="s">
        <v>1602</v>
      </c>
      <c r="F2323" s="1" t="s">
        <v>1563</v>
      </c>
      <c r="G2323" s="4">
        <f>88.18%-77.18%</f>
        <v>0.10999999999999999</v>
      </c>
      <c r="H2323" s="28">
        <v>42401</v>
      </c>
      <c r="I2323" s="29">
        <f t="shared" si="2445"/>
        <v>2016</v>
      </c>
      <c r="J2323" s="1" t="s">
        <v>7</v>
      </c>
      <c r="K2323" s="1" t="s">
        <v>6373</v>
      </c>
      <c r="L2323" s="11" t="str">
        <f t="shared" si="2442"/>
        <v>НЕТ</v>
      </c>
      <c r="M2323" s="10">
        <v>0</v>
      </c>
      <c r="N2323" s="10">
        <v>0</v>
      </c>
      <c r="O2323" s="10">
        <v>0.19700000000000001</v>
      </c>
      <c r="P2323" s="10">
        <f t="shared" si="2443"/>
        <v>1.7909090909090912</v>
      </c>
      <c r="Q2323" s="10" t="str">
        <f t="shared" si="2444"/>
        <v>NA</v>
      </c>
      <c r="R2323" s="10" t="s">
        <v>1575</v>
      </c>
      <c r="S2323" s="10" t="s">
        <v>1575</v>
      </c>
      <c r="T2323" s="10" t="s">
        <v>1575</v>
      </c>
      <c r="U2323" s="10" t="s">
        <v>1575</v>
      </c>
      <c r="V2323" s="10" t="s">
        <v>1575</v>
      </c>
      <c r="W2323" s="10" t="s">
        <v>1575</v>
      </c>
      <c r="X2323" s="10" t="str">
        <f t="shared" si="2434"/>
        <v>NA</v>
      </c>
      <c r="Y2323" s="10" t="str">
        <f t="shared" si="2435"/>
        <v>NA</v>
      </c>
      <c r="Z2323" s="10" t="str">
        <f t="shared" si="2436"/>
        <v>NA</v>
      </c>
      <c r="AA2323" s="10" t="str">
        <f t="shared" si="2437"/>
        <v>NA</v>
      </c>
      <c r="AB2323" s="10" t="str">
        <f t="shared" si="2438"/>
        <v>NA</v>
      </c>
      <c r="AC2323" s="10" t="str">
        <f t="shared" si="2439"/>
        <v>NA</v>
      </c>
      <c r="AD2323" s="10" t="str">
        <f t="shared" si="2440"/>
        <v>NA</v>
      </c>
      <c r="AE2323" s="10" t="str">
        <f t="shared" si="2441"/>
        <v>NA</v>
      </c>
    </row>
    <row r="2324" spans="1:32" x14ac:dyDescent="0.2">
      <c r="A2324" s="1" t="s">
        <v>492</v>
      </c>
      <c r="B2324" s="1" t="s">
        <v>5</v>
      </c>
      <c r="C2324" s="1" t="s">
        <v>1575</v>
      </c>
      <c r="D2324" s="10" t="s">
        <v>1575</v>
      </c>
      <c r="E2324" s="10" t="s">
        <v>1575</v>
      </c>
      <c r="F2324" s="1" t="s">
        <v>360</v>
      </c>
      <c r="G2324" s="4">
        <v>1</v>
      </c>
      <c r="H2324" s="28">
        <v>41757</v>
      </c>
      <c r="I2324" s="29">
        <f t="shared" si="2445"/>
        <v>2014</v>
      </c>
      <c r="J2324" s="1" t="s">
        <v>6373</v>
      </c>
      <c r="K2324" s="1" t="s">
        <v>7</v>
      </c>
      <c r="L2324" s="11" t="str">
        <f t="shared" si="2442"/>
        <v>НЕТ</v>
      </c>
      <c r="M2324" s="10">
        <v>0</v>
      </c>
      <c r="N2324" s="10">
        <v>0</v>
      </c>
      <c r="O2324" s="10">
        <v>3.457E-3</v>
      </c>
      <c r="P2324" s="10">
        <f t="shared" si="2443"/>
        <v>3.457E-3</v>
      </c>
      <c r="Q2324" s="10" t="str">
        <f t="shared" si="2444"/>
        <v>NA</v>
      </c>
      <c r="R2324" s="10" t="s">
        <v>1575</v>
      </c>
      <c r="S2324" s="10" t="s">
        <v>1575</v>
      </c>
      <c r="T2324" s="10" t="s">
        <v>1575</v>
      </c>
      <c r="U2324" s="10" t="s">
        <v>1575</v>
      </c>
      <c r="V2324" s="10" t="s">
        <v>1575</v>
      </c>
      <c r="W2324" s="10" t="s">
        <v>1575</v>
      </c>
      <c r="X2324" s="10" t="str">
        <f t="shared" si="2434"/>
        <v>NA</v>
      </c>
      <c r="Y2324" s="10" t="str">
        <f t="shared" si="2435"/>
        <v>NA</v>
      </c>
      <c r="Z2324" s="10" t="str">
        <f t="shared" si="2436"/>
        <v>NA</v>
      </c>
      <c r="AA2324" s="10" t="str">
        <f t="shared" si="2437"/>
        <v>NA</v>
      </c>
      <c r="AB2324" s="10" t="str">
        <f t="shared" si="2438"/>
        <v>NA</v>
      </c>
      <c r="AC2324" s="10" t="str">
        <f t="shared" si="2439"/>
        <v>NA</v>
      </c>
      <c r="AD2324" s="10" t="str">
        <f t="shared" si="2440"/>
        <v>NA</v>
      </c>
      <c r="AE2324" s="10" t="str">
        <f t="shared" si="2441"/>
        <v>NA</v>
      </c>
    </row>
    <row r="2325" spans="1:32" x14ac:dyDescent="0.2">
      <c r="A2325" s="1" t="s">
        <v>493</v>
      </c>
      <c r="B2325" s="1" t="s">
        <v>5</v>
      </c>
      <c r="C2325" s="1" t="s">
        <v>1575</v>
      </c>
      <c r="D2325" s="10" t="s">
        <v>1575</v>
      </c>
      <c r="E2325" s="10" t="s">
        <v>1575</v>
      </c>
      <c r="F2325" s="1" t="s">
        <v>360</v>
      </c>
      <c r="G2325" s="4">
        <v>1</v>
      </c>
      <c r="H2325" s="28">
        <v>41757</v>
      </c>
      <c r="I2325" s="29">
        <f t="shared" si="2445"/>
        <v>2014</v>
      </c>
      <c r="J2325" s="1" t="s">
        <v>6373</v>
      </c>
      <c r="K2325" s="1" t="s">
        <v>7</v>
      </c>
      <c r="L2325" s="11" t="str">
        <f t="shared" si="2442"/>
        <v>НЕТ</v>
      </c>
      <c r="M2325" s="10">
        <v>0</v>
      </c>
      <c r="N2325" s="10">
        <v>0</v>
      </c>
      <c r="O2325" s="10">
        <v>2.2454999999999999E-2</v>
      </c>
      <c r="P2325" s="10">
        <f t="shared" si="2443"/>
        <v>2.2454999999999999E-2</v>
      </c>
      <c r="Q2325" s="10" t="str">
        <f t="shared" si="2444"/>
        <v>NA</v>
      </c>
      <c r="R2325" s="10" t="s">
        <v>1575</v>
      </c>
      <c r="S2325" s="10" t="s">
        <v>1575</v>
      </c>
      <c r="T2325" s="10" t="s">
        <v>1575</v>
      </c>
      <c r="U2325" s="10" t="s">
        <v>1575</v>
      </c>
      <c r="V2325" s="10" t="s">
        <v>1575</v>
      </c>
      <c r="W2325" s="10" t="s">
        <v>1575</v>
      </c>
      <c r="X2325" s="10" t="str">
        <f t="shared" si="2434"/>
        <v>NA</v>
      </c>
      <c r="Y2325" s="10" t="str">
        <f t="shared" si="2435"/>
        <v>NA</v>
      </c>
      <c r="Z2325" s="10" t="str">
        <f t="shared" si="2436"/>
        <v>NA</v>
      </c>
      <c r="AA2325" s="10" t="str">
        <f t="shared" si="2437"/>
        <v>NA</v>
      </c>
      <c r="AB2325" s="10" t="str">
        <f t="shared" si="2438"/>
        <v>NA</v>
      </c>
      <c r="AC2325" s="10" t="str">
        <f t="shared" si="2439"/>
        <v>NA</v>
      </c>
      <c r="AD2325" s="10" t="str">
        <f t="shared" si="2440"/>
        <v>NA</v>
      </c>
      <c r="AE2325" s="10" t="str">
        <f t="shared" si="2441"/>
        <v>NA</v>
      </c>
    </row>
    <row r="2326" spans="1:32" x14ac:dyDescent="0.2">
      <c r="A2326" s="1" t="s">
        <v>494</v>
      </c>
      <c r="B2326" s="1" t="s">
        <v>5</v>
      </c>
      <c r="C2326" s="1" t="s">
        <v>1575</v>
      </c>
      <c r="D2326" s="1" t="s">
        <v>1578</v>
      </c>
      <c r="E2326" s="1" t="s">
        <v>2007</v>
      </c>
      <c r="F2326" s="1" t="s">
        <v>3495</v>
      </c>
      <c r="G2326" s="4">
        <v>1</v>
      </c>
      <c r="H2326" s="28">
        <v>41609</v>
      </c>
      <c r="I2326" s="29">
        <f t="shared" si="2445"/>
        <v>2013</v>
      </c>
      <c r="J2326" s="1" t="s">
        <v>7</v>
      </c>
      <c r="K2326" s="1" t="s">
        <v>6373</v>
      </c>
      <c r="L2326" s="11" t="str">
        <f t="shared" si="2442"/>
        <v>НЕТ</v>
      </c>
      <c r="M2326" s="10">
        <v>0</v>
      </c>
      <c r="N2326" s="10">
        <v>0</v>
      </c>
      <c r="O2326" s="10">
        <v>0.11</v>
      </c>
      <c r="P2326" s="10">
        <f t="shared" si="2443"/>
        <v>0.11</v>
      </c>
      <c r="Q2326" s="10" t="str">
        <f t="shared" si="2444"/>
        <v>NA</v>
      </c>
      <c r="R2326" s="10" t="s">
        <v>1575</v>
      </c>
      <c r="S2326" s="10" t="s">
        <v>1575</v>
      </c>
      <c r="T2326" s="10" t="s">
        <v>1575</v>
      </c>
      <c r="U2326" s="10" t="s">
        <v>1575</v>
      </c>
      <c r="V2326" s="10" t="s">
        <v>1575</v>
      </c>
      <c r="W2326" s="10" t="s">
        <v>1575</v>
      </c>
      <c r="X2326" s="10" t="str">
        <f t="shared" si="2434"/>
        <v>NA</v>
      </c>
      <c r="Y2326" s="10" t="str">
        <f t="shared" si="2435"/>
        <v>NA</v>
      </c>
      <c r="Z2326" s="10" t="str">
        <f t="shared" si="2436"/>
        <v>NA</v>
      </c>
      <c r="AA2326" s="10" t="str">
        <f t="shared" si="2437"/>
        <v>NA</v>
      </c>
      <c r="AB2326" s="10" t="str">
        <f t="shared" si="2438"/>
        <v>NA</v>
      </c>
      <c r="AC2326" s="10" t="str">
        <f t="shared" si="2439"/>
        <v>NA</v>
      </c>
      <c r="AD2326" s="10" t="str">
        <f t="shared" si="2440"/>
        <v>NA</v>
      </c>
      <c r="AE2326" s="10" t="str">
        <f t="shared" si="2441"/>
        <v>NA</v>
      </c>
    </row>
    <row r="2327" spans="1:32" x14ac:dyDescent="0.2">
      <c r="A2327" s="1" t="s">
        <v>496</v>
      </c>
      <c r="B2327" s="1" t="s">
        <v>5</v>
      </c>
      <c r="C2327" s="1" t="s">
        <v>1575</v>
      </c>
      <c r="D2327" s="10" t="s">
        <v>1575</v>
      </c>
      <c r="E2327" s="10" t="s">
        <v>1575</v>
      </c>
      <c r="F2327" s="1" t="s">
        <v>497</v>
      </c>
      <c r="G2327" s="4">
        <v>0.75</v>
      </c>
      <c r="H2327" s="28">
        <v>41609</v>
      </c>
      <c r="I2327" s="29">
        <f t="shared" si="2445"/>
        <v>2013</v>
      </c>
      <c r="J2327" s="1" t="s">
        <v>7</v>
      </c>
      <c r="K2327" s="1" t="s">
        <v>6373</v>
      </c>
      <c r="L2327" s="11" t="str">
        <f t="shared" si="2442"/>
        <v>НЕТ</v>
      </c>
      <c r="M2327" s="10">
        <v>0</v>
      </c>
      <c r="N2327" s="10">
        <v>0</v>
      </c>
      <c r="O2327" s="10">
        <v>2.0933E-2</v>
      </c>
      <c r="P2327" s="10">
        <f t="shared" si="2443"/>
        <v>2.7910666666666667E-2</v>
      </c>
      <c r="Q2327" s="10" t="str">
        <f t="shared" si="2444"/>
        <v>NA</v>
      </c>
      <c r="R2327" s="10" t="s">
        <v>1575</v>
      </c>
      <c r="S2327" s="10" t="s">
        <v>1575</v>
      </c>
      <c r="T2327" s="10" t="s">
        <v>1575</v>
      </c>
      <c r="U2327" s="10" t="s">
        <v>1575</v>
      </c>
      <c r="V2327" s="10" t="s">
        <v>1575</v>
      </c>
      <c r="W2327" s="10" t="s">
        <v>1575</v>
      </c>
      <c r="X2327" s="10" t="str">
        <f t="shared" si="2434"/>
        <v>NA</v>
      </c>
      <c r="Y2327" s="10" t="str">
        <f t="shared" si="2435"/>
        <v>NA</v>
      </c>
      <c r="Z2327" s="10" t="str">
        <f t="shared" si="2436"/>
        <v>NA</v>
      </c>
      <c r="AA2327" s="10" t="str">
        <f t="shared" si="2437"/>
        <v>NA</v>
      </c>
      <c r="AB2327" s="10" t="str">
        <f t="shared" si="2438"/>
        <v>NA</v>
      </c>
      <c r="AC2327" s="10" t="str">
        <f t="shared" si="2439"/>
        <v>NA</v>
      </c>
      <c r="AD2327" s="10" t="str">
        <f t="shared" si="2440"/>
        <v>NA</v>
      </c>
      <c r="AE2327" s="10" t="str">
        <f t="shared" si="2441"/>
        <v>NA</v>
      </c>
    </row>
    <row r="2328" spans="1:32" x14ac:dyDescent="0.2">
      <c r="A2328" s="1" t="s">
        <v>498</v>
      </c>
      <c r="B2328" s="1" t="s">
        <v>5</v>
      </c>
      <c r="C2328" s="1" t="s">
        <v>1575</v>
      </c>
      <c r="D2328" s="1" t="s">
        <v>1601</v>
      </c>
      <c r="E2328" s="1" t="s">
        <v>1608</v>
      </c>
      <c r="F2328" s="1" t="s">
        <v>1562</v>
      </c>
      <c r="G2328" s="4">
        <v>1</v>
      </c>
      <c r="H2328" s="28">
        <v>41306</v>
      </c>
      <c r="I2328" s="29">
        <f t="shared" si="2445"/>
        <v>2013</v>
      </c>
      <c r="J2328" s="1" t="s">
        <v>7</v>
      </c>
      <c r="K2328" s="1" t="s">
        <v>6373</v>
      </c>
      <c r="L2328" s="11" t="str">
        <f t="shared" si="2442"/>
        <v>НЕТ</v>
      </c>
      <c r="M2328" s="10">
        <v>0</v>
      </c>
      <c r="N2328" s="10">
        <v>0</v>
      </c>
      <c r="O2328" s="10">
        <v>2.36</v>
      </c>
      <c r="P2328" s="10">
        <f t="shared" si="2443"/>
        <v>2.36</v>
      </c>
      <c r="Q2328" s="10" t="str">
        <f t="shared" si="2444"/>
        <v>NA</v>
      </c>
      <c r="R2328" s="10" t="s">
        <v>1575</v>
      </c>
      <c r="S2328" s="10" t="s">
        <v>1575</v>
      </c>
      <c r="T2328" s="10" t="s">
        <v>1575</v>
      </c>
      <c r="U2328" s="10" t="s">
        <v>1575</v>
      </c>
      <c r="V2328" s="10" t="s">
        <v>1575</v>
      </c>
      <c r="W2328" s="10" t="s">
        <v>1575</v>
      </c>
      <c r="X2328" s="10" t="str">
        <f t="shared" si="2434"/>
        <v>NA</v>
      </c>
      <c r="Y2328" s="10" t="str">
        <f t="shared" si="2435"/>
        <v>NA</v>
      </c>
      <c r="Z2328" s="10" t="str">
        <f t="shared" si="2436"/>
        <v>NA</v>
      </c>
      <c r="AA2328" s="10" t="str">
        <f t="shared" si="2437"/>
        <v>NA</v>
      </c>
      <c r="AB2328" s="10" t="str">
        <f t="shared" si="2438"/>
        <v>NA</v>
      </c>
      <c r="AC2328" s="10" t="str">
        <f t="shared" si="2439"/>
        <v>NA</v>
      </c>
      <c r="AD2328" s="10" t="str">
        <f t="shared" si="2440"/>
        <v>NA</v>
      </c>
      <c r="AE2328" s="10" t="str">
        <f t="shared" si="2441"/>
        <v>NA</v>
      </c>
      <c r="AF2328" s="1" t="s">
        <v>499</v>
      </c>
    </row>
    <row r="2329" spans="1:32" x14ac:dyDescent="0.2">
      <c r="A2329" s="1" t="s">
        <v>500</v>
      </c>
      <c r="B2329" s="1" t="s">
        <v>5</v>
      </c>
      <c r="C2329" s="1" t="s">
        <v>1575</v>
      </c>
      <c r="D2329" s="10" t="s">
        <v>1575</v>
      </c>
      <c r="E2329" s="10" t="s">
        <v>1575</v>
      </c>
      <c r="F2329" s="1" t="s">
        <v>360</v>
      </c>
      <c r="G2329" s="4">
        <v>1</v>
      </c>
      <c r="H2329" s="28">
        <v>40591</v>
      </c>
      <c r="I2329" s="29">
        <f t="shared" si="2445"/>
        <v>2011</v>
      </c>
      <c r="J2329" s="1" t="s">
        <v>6373</v>
      </c>
      <c r="K2329" s="1" t="s">
        <v>7</v>
      </c>
      <c r="L2329" s="11" t="str">
        <f t="shared" si="2442"/>
        <v>НЕТ</v>
      </c>
      <c r="M2329" s="10">
        <v>0</v>
      </c>
      <c r="N2329" s="10">
        <v>0</v>
      </c>
      <c r="O2329" s="10">
        <v>0.118197</v>
      </c>
      <c r="P2329" s="10">
        <f t="shared" si="2443"/>
        <v>0.118197</v>
      </c>
      <c r="Q2329" s="10" t="str">
        <f t="shared" si="2444"/>
        <v>NA</v>
      </c>
      <c r="R2329" s="10" t="s">
        <v>1575</v>
      </c>
      <c r="S2329" s="10" t="s">
        <v>1575</v>
      </c>
      <c r="T2329" s="10" t="s">
        <v>1575</v>
      </c>
      <c r="U2329" s="10" t="s">
        <v>1575</v>
      </c>
      <c r="V2329" s="10" t="s">
        <v>1575</v>
      </c>
      <c r="W2329" s="10" t="s">
        <v>1575</v>
      </c>
      <c r="X2329" s="10" t="str">
        <f t="shared" si="2434"/>
        <v>NA</v>
      </c>
      <c r="Y2329" s="10" t="str">
        <f t="shared" si="2435"/>
        <v>NA</v>
      </c>
      <c r="Z2329" s="10" t="str">
        <f t="shared" si="2436"/>
        <v>NA</v>
      </c>
      <c r="AA2329" s="10" t="str">
        <f t="shared" si="2437"/>
        <v>NA</v>
      </c>
      <c r="AB2329" s="10" t="str">
        <f t="shared" si="2438"/>
        <v>NA</v>
      </c>
      <c r="AC2329" s="10" t="str">
        <f t="shared" si="2439"/>
        <v>NA</v>
      </c>
      <c r="AD2329" s="10" t="str">
        <f t="shared" si="2440"/>
        <v>NA</v>
      </c>
      <c r="AE2329" s="10" t="str">
        <f t="shared" si="2441"/>
        <v>NA</v>
      </c>
    </row>
    <row r="2330" spans="1:32" x14ac:dyDescent="0.2">
      <c r="A2330" s="1" t="s">
        <v>501</v>
      </c>
      <c r="B2330" s="1" t="s">
        <v>5</v>
      </c>
      <c r="C2330" s="1" t="s">
        <v>1575</v>
      </c>
      <c r="D2330" s="10" t="s">
        <v>1575</v>
      </c>
      <c r="E2330" s="10" t="s">
        <v>1575</v>
      </c>
      <c r="F2330" s="1" t="s">
        <v>360</v>
      </c>
      <c r="G2330" s="4">
        <v>1</v>
      </c>
      <c r="H2330" s="28">
        <v>40591</v>
      </c>
      <c r="I2330" s="29">
        <f t="shared" si="2445"/>
        <v>2011</v>
      </c>
      <c r="J2330" s="1" t="s">
        <v>6373</v>
      </c>
      <c r="K2330" s="1" t="s">
        <v>7</v>
      </c>
      <c r="L2330" s="11" t="str">
        <f t="shared" si="2442"/>
        <v>НЕТ</v>
      </c>
      <c r="M2330" s="10">
        <v>0</v>
      </c>
      <c r="N2330" s="10">
        <v>0</v>
      </c>
      <c r="O2330" s="10">
        <v>0.311695</v>
      </c>
      <c r="P2330" s="10">
        <f t="shared" si="2443"/>
        <v>0.311695</v>
      </c>
      <c r="Q2330" s="10" t="str">
        <f t="shared" si="2444"/>
        <v>NA</v>
      </c>
      <c r="R2330" s="10" t="s">
        <v>1575</v>
      </c>
      <c r="S2330" s="10" t="s">
        <v>1575</v>
      </c>
      <c r="T2330" s="10" t="s">
        <v>1575</v>
      </c>
      <c r="U2330" s="10" t="s">
        <v>1575</v>
      </c>
      <c r="V2330" s="10" t="s">
        <v>1575</v>
      </c>
      <c r="W2330" s="10" t="s">
        <v>1575</v>
      </c>
      <c r="X2330" s="10" t="str">
        <f t="shared" si="2434"/>
        <v>NA</v>
      </c>
      <c r="Y2330" s="10" t="str">
        <f t="shared" si="2435"/>
        <v>NA</v>
      </c>
      <c r="Z2330" s="10" t="str">
        <f t="shared" si="2436"/>
        <v>NA</v>
      </c>
      <c r="AA2330" s="10" t="str">
        <f t="shared" si="2437"/>
        <v>NA</v>
      </c>
      <c r="AB2330" s="10" t="str">
        <f t="shared" si="2438"/>
        <v>NA</v>
      </c>
      <c r="AC2330" s="10" t="str">
        <f t="shared" si="2439"/>
        <v>NA</v>
      </c>
      <c r="AD2330" s="10" t="str">
        <f t="shared" si="2440"/>
        <v>NA</v>
      </c>
      <c r="AE2330" s="10" t="str">
        <f t="shared" si="2441"/>
        <v>NA</v>
      </c>
    </row>
    <row r="2331" spans="1:32" x14ac:dyDescent="0.2">
      <c r="A2331" s="1" t="s">
        <v>502</v>
      </c>
      <c r="B2331" s="1" t="s">
        <v>5</v>
      </c>
      <c r="C2331" s="1" t="s">
        <v>1575</v>
      </c>
      <c r="D2331" s="10" t="s">
        <v>1575</v>
      </c>
      <c r="E2331" s="10" t="s">
        <v>1575</v>
      </c>
      <c r="F2331" s="1" t="s">
        <v>360</v>
      </c>
      <c r="G2331" s="4">
        <v>1</v>
      </c>
      <c r="H2331" s="28">
        <v>40591</v>
      </c>
      <c r="I2331" s="29">
        <f t="shared" si="2445"/>
        <v>2011</v>
      </c>
      <c r="J2331" s="1" t="s">
        <v>6373</v>
      </c>
      <c r="K2331" s="1" t="s">
        <v>7</v>
      </c>
      <c r="L2331" s="11" t="str">
        <f t="shared" si="2442"/>
        <v>НЕТ</v>
      </c>
      <c r="M2331" s="10">
        <v>0</v>
      </c>
      <c r="N2331" s="10">
        <v>0</v>
      </c>
      <c r="O2331" s="10">
        <v>1.233241</v>
      </c>
      <c r="P2331" s="10">
        <f t="shared" si="2443"/>
        <v>1.233241</v>
      </c>
      <c r="Q2331" s="10" t="str">
        <f t="shared" si="2444"/>
        <v>NA</v>
      </c>
      <c r="R2331" s="10" t="s">
        <v>1575</v>
      </c>
      <c r="S2331" s="10" t="s">
        <v>1575</v>
      </c>
      <c r="T2331" s="10" t="s">
        <v>1575</v>
      </c>
      <c r="U2331" s="10" t="s">
        <v>1575</v>
      </c>
      <c r="V2331" s="10" t="s">
        <v>1575</v>
      </c>
      <c r="W2331" s="10" t="s">
        <v>1575</v>
      </c>
      <c r="X2331" s="10" t="str">
        <f t="shared" si="2434"/>
        <v>NA</v>
      </c>
      <c r="Y2331" s="10" t="str">
        <f t="shared" si="2435"/>
        <v>NA</v>
      </c>
      <c r="Z2331" s="10" t="str">
        <f t="shared" si="2436"/>
        <v>NA</v>
      </c>
      <c r="AA2331" s="10" t="str">
        <f t="shared" si="2437"/>
        <v>NA</v>
      </c>
      <c r="AB2331" s="10" t="str">
        <f t="shared" si="2438"/>
        <v>NA</v>
      </c>
      <c r="AC2331" s="10" t="str">
        <f t="shared" si="2439"/>
        <v>NA</v>
      </c>
      <c r="AD2331" s="10" t="str">
        <f t="shared" si="2440"/>
        <v>NA</v>
      </c>
      <c r="AE2331" s="10" t="str">
        <f t="shared" si="2441"/>
        <v>NA</v>
      </c>
    </row>
    <row r="2332" spans="1:32" x14ac:dyDescent="0.2">
      <c r="A2332" s="1" t="s">
        <v>503</v>
      </c>
      <c r="B2332" s="1" t="s">
        <v>5</v>
      </c>
      <c r="C2332" s="1" t="s">
        <v>1575</v>
      </c>
      <c r="D2332" s="10" t="s">
        <v>1575</v>
      </c>
      <c r="E2332" s="10" t="s">
        <v>1575</v>
      </c>
      <c r="F2332" s="1" t="s">
        <v>360</v>
      </c>
      <c r="G2332" s="4">
        <v>1</v>
      </c>
      <c r="H2332" s="28">
        <v>40591</v>
      </c>
      <c r="I2332" s="29">
        <f t="shared" si="2445"/>
        <v>2011</v>
      </c>
      <c r="J2332" s="1" t="s">
        <v>6373</v>
      </c>
      <c r="K2332" s="1" t="s">
        <v>7</v>
      </c>
      <c r="L2332" s="11" t="str">
        <f t="shared" si="2442"/>
        <v>НЕТ</v>
      </c>
      <c r="M2332" s="10">
        <v>0</v>
      </c>
      <c r="N2332" s="10">
        <v>0</v>
      </c>
      <c r="O2332" s="10">
        <v>6.3674999999999995E-2</v>
      </c>
      <c r="P2332" s="10">
        <f t="shared" si="2443"/>
        <v>6.3674999999999995E-2</v>
      </c>
      <c r="Q2332" s="10" t="str">
        <f t="shared" si="2444"/>
        <v>NA</v>
      </c>
      <c r="R2332" s="10" t="s">
        <v>1575</v>
      </c>
      <c r="S2332" s="10" t="s">
        <v>1575</v>
      </c>
      <c r="T2332" s="10" t="s">
        <v>1575</v>
      </c>
      <c r="U2332" s="10" t="s">
        <v>1575</v>
      </c>
      <c r="V2332" s="10" t="s">
        <v>1575</v>
      </c>
      <c r="W2332" s="10" t="s">
        <v>1575</v>
      </c>
      <c r="X2332" s="10" t="str">
        <f t="shared" si="2434"/>
        <v>NA</v>
      </c>
      <c r="Y2332" s="10" t="str">
        <f t="shared" si="2435"/>
        <v>NA</v>
      </c>
      <c r="Z2332" s="10" t="str">
        <f t="shared" si="2436"/>
        <v>NA</v>
      </c>
      <c r="AA2332" s="10" t="str">
        <f t="shared" si="2437"/>
        <v>NA</v>
      </c>
      <c r="AB2332" s="10" t="str">
        <f t="shared" si="2438"/>
        <v>NA</v>
      </c>
      <c r="AC2332" s="10" t="str">
        <f t="shared" si="2439"/>
        <v>NA</v>
      </c>
      <c r="AD2332" s="10" t="str">
        <f t="shared" si="2440"/>
        <v>NA</v>
      </c>
      <c r="AE2332" s="10" t="str">
        <f t="shared" si="2441"/>
        <v>NA</v>
      </c>
    </row>
    <row r="2333" spans="1:32" x14ac:dyDescent="0.2">
      <c r="A2333" s="1" t="s">
        <v>504</v>
      </c>
      <c r="B2333" s="1" t="s">
        <v>5</v>
      </c>
      <c r="C2333" s="1" t="s">
        <v>1575</v>
      </c>
      <c r="D2333" s="10" t="s">
        <v>1575</v>
      </c>
      <c r="E2333" s="10" t="s">
        <v>1575</v>
      </c>
      <c r="F2333" s="1" t="s">
        <v>360</v>
      </c>
      <c r="G2333" s="4">
        <v>1</v>
      </c>
      <c r="H2333" s="28">
        <v>40591</v>
      </c>
      <c r="I2333" s="29">
        <f t="shared" si="2445"/>
        <v>2011</v>
      </c>
      <c r="J2333" s="1" t="s">
        <v>6373</v>
      </c>
      <c r="K2333" s="1" t="s">
        <v>7</v>
      </c>
      <c r="L2333" s="11" t="str">
        <f t="shared" si="2442"/>
        <v>НЕТ</v>
      </c>
      <c r="M2333" s="10">
        <v>0</v>
      </c>
      <c r="N2333" s="10">
        <v>0</v>
      </c>
      <c r="O2333" s="10">
        <v>0.37393599999999999</v>
      </c>
      <c r="P2333" s="10">
        <f t="shared" si="2443"/>
        <v>0.37393599999999999</v>
      </c>
      <c r="Q2333" s="10" t="str">
        <f t="shared" si="2444"/>
        <v>NA</v>
      </c>
      <c r="R2333" s="10" t="s">
        <v>1575</v>
      </c>
      <c r="S2333" s="10" t="s">
        <v>1575</v>
      </c>
      <c r="T2333" s="10" t="s">
        <v>1575</v>
      </c>
      <c r="U2333" s="10" t="s">
        <v>1575</v>
      </c>
      <c r="V2333" s="10" t="s">
        <v>1575</v>
      </c>
      <c r="W2333" s="10" t="s">
        <v>1575</v>
      </c>
      <c r="X2333" s="10" t="str">
        <f t="shared" si="2434"/>
        <v>NA</v>
      </c>
      <c r="Y2333" s="10" t="str">
        <f t="shared" si="2435"/>
        <v>NA</v>
      </c>
      <c r="Z2333" s="10" t="str">
        <f t="shared" si="2436"/>
        <v>NA</v>
      </c>
      <c r="AA2333" s="10" t="str">
        <f t="shared" si="2437"/>
        <v>NA</v>
      </c>
      <c r="AB2333" s="10" t="str">
        <f t="shared" si="2438"/>
        <v>NA</v>
      </c>
      <c r="AC2333" s="10" t="str">
        <f t="shared" si="2439"/>
        <v>NA</v>
      </c>
      <c r="AD2333" s="10" t="str">
        <f t="shared" si="2440"/>
        <v>NA</v>
      </c>
      <c r="AE2333" s="10" t="str">
        <f t="shared" si="2441"/>
        <v>NA</v>
      </c>
    </row>
    <row r="2334" spans="1:32" x14ac:dyDescent="0.2">
      <c r="A2334" s="1" t="s">
        <v>496</v>
      </c>
      <c r="B2334" s="1" t="s">
        <v>5</v>
      </c>
      <c r="C2334" s="1" t="s">
        <v>1575</v>
      </c>
      <c r="D2334" s="10" t="s">
        <v>1575</v>
      </c>
      <c r="E2334" s="10" t="s">
        <v>1575</v>
      </c>
      <c r="F2334" s="1" t="s">
        <v>360</v>
      </c>
      <c r="G2334" s="4">
        <v>0.75</v>
      </c>
      <c r="H2334" s="28">
        <v>40591</v>
      </c>
      <c r="I2334" s="29">
        <f t="shared" si="2445"/>
        <v>2011</v>
      </c>
      <c r="J2334" s="1" t="s">
        <v>6373</v>
      </c>
      <c r="K2334" s="1" t="s">
        <v>7</v>
      </c>
      <c r="L2334" s="11" t="str">
        <f t="shared" si="2442"/>
        <v>НЕТ</v>
      </c>
      <c r="M2334" s="10">
        <v>0</v>
      </c>
      <c r="N2334" s="10">
        <v>0</v>
      </c>
      <c r="O2334" s="10">
        <v>2.7608000000000001E-2</v>
      </c>
      <c r="P2334" s="10">
        <f t="shared" si="2443"/>
        <v>3.6810666666666665E-2</v>
      </c>
      <c r="Q2334" s="10" t="str">
        <f t="shared" si="2444"/>
        <v>NA</v>
      </c>
      <c r="R2334" s="10" t="s">
        <v>1575</v>
      </c>
      <c r="S2334" s="10" t="s">
        <v>1575</v>
      </c>
      <c r="T2334" s="10" t="s">
        <v>1575</v>
      </c>
      <c r="U2334" s="10" t="s">
        <v>1575</v>
      </c>
      <c r="V2334" s="10" t="s">
        <v>1575</v>
      </c>
      <c r="W2334" s="10" t="s">
        <v>1575</v>
      </c>
      <c r="X2334" s="10" t="str">
        <f t="shared" si="2434"/>
        <v>NA</v>
      </c>
      <c r="Y2334" s="10" t="str">
        <f t="shared" si="2435"/>
        <v>NA</v>
      </c>
      <c r="Z2334" s="10" t="str">
        <f t="shared" si="2436"/>
        <v>NA</v>
      </c>
      <c r="AA2334" s="10" t="str">
        <f t="shared" si="2437"/>
        <v>NA</v>
      </c>
      <c r="AB2334" s="10" t="str">
        <f t="shared" si="2438"/>
        <v>NA</v>
      </c>
      <c r="AC2334" s="10" t="str">
        <f t="shared" si="2439"/>
        <v>NA</v>
      </c>
      <c r="AD2334" s="10" t="str">
        <f t="shared" si="2440"/>
        <v>NA</v>
      </c>
      <c r="AE2334" s="10" t="str">
        <f t="shared" si="2441"/>
        <v>NA</v>
      </c>
    </row>
    <row r="2335" spans="1:32" x14ac:dyDescent="0.2">
      <c r="A2335" s="1" t="s">
        <v>6389</v>
      </c>
      <c r="B2335" s="1" t="s">
        <v>5</v>
      </c>
      <c r="C2335" s="1" t="s">
        <v>1575</v>
      </c>
      <c r="D2335" s="1" t="s">
        <v>1601</v>
      </c>
      <c r="E2335" s="1" t="s">
        <v>5352</v>
      </c>
      <c r="F2335" s="1" t="s">
        <v>110</v>
      </c>
      <c r="G2335" s="4">
        <v>1</v>
      </c>
      <c r="H2335" s="28">
        <v>43035</v>
      </c>
      <c r="I2335" s="29">
        <f t="shared" si="2445"/>
        <v>2017</v>
      </c>
      <c r="K2335" s="1" t="s">
        <v>1480</v>
      </c>
      <c r="L2335" s="11" t="str">
        <f t="shared" si="2442"/>
        <v>НЕТ</v>
      </c>
      <c r="M2335" s="10">
        <v>0</v>
      </c>
      <c r="N2335" s="10">
        <v>0</v>
      </c>
      <c r="O2335" s="10">
        <v>9.8000000000000004E-2</v>
      </c>
      <c r="P2335" s="10">
        <f t="shared" si="2443"/>
        <v>9.8000000000000004E-2</v>
      </c>
      <c r="Q2335" s="10" t="str">
        <f t="shared" si="2444"/>
        <v>NA</v>
      </c>
      <c r="R2335" s="10" t="s">
        <v>1575</v>
      </c>
      <c r="S2335" s="10" t="s">
        <v>1575</v>
      </c>
      <c r="T2335" s="10" t="s">
        <v>1575</v>
      </c>
      <c r="U2335" s="10" t="s">
        <v>1575</v>
      </c>
      <c r="V2335" s="10">
        <v>0.11600000000000001</v>
      </c>
      <c r="W2335" s="10" t="s">
        <v>1575</v>
      </c>
      <c r="X2335" s="10" t="str">
        <f t="shared" si="2434"/>
        <v>NA</v>
      </c>
      <c r="Y2335" s="10" t="str">
        <f t="shared" si="2435"/>
        <v>NA</v>
      </c>
      <c r="Z2335" s="10" t="str">
        <f t="shared" si="2436"/>
        <v>NA</v>
      </c>
      <c r="AA2335" s="10">
        <f t="shared" si="2437"/>
        <v>0.84482758620689657</v>
      </c>
      <c r="AB2335" s="10" t="str">
        <f t="shared" si="2438"/>
        <v>NA</v>
      </c>
      <c r="AC2335" s="10" t="str">
        <f t="shared" si="2439"/>
        <v>NA</v>
      </c>
      <c r="AD2335" s="10" t="str">
        <f t="shared" si="2440"/>
        <v>NA</v>
      </c>
      <c r="AE2335" s="10" t="str">
        <f t="shared" si="2441"/>
        <v>NA</v>
      </c>
      <c r="AF2335" s="1" t="s">
        <v>1643</v>
      </c>
    </row>
    <row r="2336" spans="1:32" x14ac:dyDescent="0.2">
      <c r="A2336" s="1" t="s">
        <v>6390</v>
      </c>
      <c r="B2336" s="1" t="s">
        <v>5</v>
      </c>
      <c r="C2336" s="1" t="s">
        <v>1575</v>
      </c>
      <c r="D2336" s="10" t="s">
        <v>1575</v>
      </c>
      <c r="E2336" s="10" t="s">
        <v>1575</v>
      </c>
      <c r="F2336" s="1" t="s">
        <v>360</v>
      </c>
      <c r="G2336" s="4">
        <v>1</v>
      </c>
      <c r="H2336" s="28">
        <v>42086</v>
      </c>
      <c r="I2336" s="29">
        <f t="shared" si="2445"/>
        <v>2015</v>
      </c>
      <c r="J2336" s="1" t="s">
        <v>7</v>
      </c>
      <c r="K2336" s="1" t="s">
        <v>1480</v>
      </c>
      <c r="L2336" s="11" t="str">
        <f t="shared" si="2442"/>
        <v>НЕТ</v>
      </c>
      <c r="M2336" s="10">
        <v>0</v>
      </c>
      <c r="N2336" s="10">
        <v>0</v>
      </c>
      <c r="O2336" s="10">
        <v>0.21</v>
      </c>
      <c r="P2336" s="10">
        <f t="shared" si="2443"/>
        <v>0.21</v>
      </c>
      <c r="Q2336" s="10" t="str">
        <f t="shared" si="2444"/>
        <v>NA</v>
      </c>
      <c r="R2336" s="10" t="s">
        <v>1575</v>
      </c>
      <c r="S2336" s="10" t="s">
        <v>1575</v>
      </c>
      <c r="T2336" s="10" t="s">
        <v>1575</v>
      </c>
      <c r="U2336" s="10" t="s">
        <v>1575</v>
      </c>
      <c r="V2336" s="10" t="s">
        <v>1575</v>
      </c>
      <c r="W2336" s="10" t="s">
        <v>1575</v>
      </c>
      <c r="X2336" s="10" t="str">
        <f t="shared" si="2434"/>
        <v>NA</v>
      </c>
      <c r="Y2336" s="10" t="str">
        <f t="shared" si="2435"/>
        <v>NA</v>
      </c>
      <c r="Z2336" s="10" t="str">
        <f t="shared" si="2436"/>
        <v>NA</v>
      </c>
      <c r="AA2336" s="10" t="str">
        <f t="shared" si="2437"/>
        <v>NA</v>
      </c>
      <c r="AB2336" s="10" t="str">
        <f t="shared" si="2438"/>
        <v>NA</v>
      </c>
      <c r="AC2336" s="10" t="str">
        <f t="shared" si="2439"/>
        <v>NA</v>
      </c>
      <c r="AD2336" s="10" t="str">
        <f t="shared" si="2440"/>
        <v>NA</v>
      </c>
      <c r="AE2336" s="10" t="str">
        <f t="shared" si="2441"/>
        <v>NA</v>
      </c>
    </row>
    <row r="2337" spans="1:32" x14ac:dyDescent="0.2">
      <c r="A2337" s="1" t="s">
        <v>6391</v>
      </c>
      <c r="B2337" s="1" t="s">
        <v>5</v>
      </c>
      <c r="C2337" s="1" t="s">
        <v>1575</v>
      </c>
      <c r="D2337" s="10" t="s">
        <v>1575</v>
      </c>
      <c r="E2337" s="10" t="s">
        <v>1575</v>
      </c>
      <c r="F2337" s="1" t="s">
        <v>360</v>
      </c>
      <c r="G2337" s="4">
        <v>1</v>
      </c>
      <c r="H2337" s="28">
        <v>42087</v>
      </c>
      <c r="I2337" s="29">
        <f t="shared" si="2445"/>
        <v>2015</v>
      </c>
      <c r="J2337" s="1" t="s">
        <v>7</v>
      </c>
      <c r="K2337" s="1" t="s">
        <v>1480</v>
      </c>
      <c r="L2337" s="11" t="str">
        <f t="shared" si="2442"/>
        <v>НЕТ</v>
      </c>
      <c r="M2337" s="10">
        <v>0</v>
      </c>
      <c r="N2337" s="10">
        <v>0</v>
      </c>
      <c r="O2337" s="10">
        <v>2.5000000000000001E-2</v>
      </c>
      <c r="P2337" s="10">
        <f t="shared" si="2443"/>
        <v>2.5000000000000001E-2</v>
      </c>
      <c r="Q2337" s="10" t="str">
        <f t="shared" si="2444"/>
        <v>NA</v>
      </c>
      <c r="R2337" s="10" t="s">
        <v>1575</v>
      </c>
      <c r="S2337" s="10" t="s">
        <v>1575</v>
      </c>
      <c r="T2337" s="10" t="s">
        <v>1575</v>
      </c>
      <c r="U2337" s="10" t="s">
        <v>1575</v>
      </c>
      <c r="V2337" s="10" t="s">
        <v>1575</v>
      </c>
      <c r="W2337" s="10" t="s">
        <v>1575</v>
      </c>
      <c r="X2337" s="10" t="str">
        <f t="shared" ref="X2337:X2400" si="2446">IFERROR(V2337+W2337,"NA")</f>
        <v>NA</v>
      </c>
      <c r="Y2337" s="10" t="str">
        <f t="shared" ref="Y2337:Y2400" si="2447">IFERROR(P2337/R2337,"NA")</f>
        <v>NA</v>
      </c>
      <c r="Z2337" s="10" t="str">
        <f t="shared" ref="Z2337:Z2400" si="2448">IFERROR(P2337/U2337,"NA")</f>
        <v>NA</v>
      </c>
      <c r="AA2337" s="10" t="str">
        <f t="shared" ref="AA2337:AA2400" si="2449">IFERROR(P2337/V2337,"NA")</f>
        <v>NA</v>
      </c>
      <c r="AB2337" s="10" t="str">
        <f t="shared" ref="AB2337:AB2400" si="2450">IFERROR(Q2337/R2337,"NA")</f>
        <v>NA</v>
      </c>
      <c r="AC2337" s="10" t="str">
        <f t="shared" ref="AC2337:AC2400" si="2451">IFERROR(Q2337/S2337,"NA")</f>
        <v>NA</v>
      </c>
      <c r="AD2337" s="10" t="str">
        <f t="shared" ref="AD2337:AD2400" si="2452">IFERROR(Q2337/T2337,"NA")</f>
        <v>NA</v>
      </c>
      <c r="AE2337" s="10" t="str">
        <f t="shared" ref="AE2337:AE2400" si="2453">IFERROR(Q2337/X2337,"NA")</f>
        <v>NA</v>
      </c>
    </row>
    <row r="2338" spans="1:32" x14ac:dyDescent="0.2">
      <c r="A2338" s="1" t="s">
        <v>6285</v>
      </c>
      <c r="B2338" s="1" t="s">
        <v>5</v>
      </c>
      <c r="C2338" s="1" t="s">
        <v>1575</v>
      </c>
      <c r="D2338" s="10" t="s">
        <v>1575</v>
      </c>
      <c r="E2338" s="10" t="s">
        <v>1575</v>
      </c>
      <c r="F2338" s="1" t="s">
        <v>360</v>
      </c>
      <c r="G2338" s="4">
        <v>1</v>
      </c>
      <c r="H2338" s="28">
        <v>42278</v>
      </c>
      <c r="I2338" s="29">
        <f t="shared" si="2445"/>
        <v>2015</v>
      </c>
      <c r="J2338" s="1" t="s">
        <v>7</v>
      </c>
      <c r="K2338" s="1" t="s">
        <v>1480</v>
      </c>
      <c r="L2338" s="11" t="str">
        <f t="shared" si="2442"/>
        <v>НЕТ</v>
      </c>
      <c r="M2338" s="10">
        <v>0</v>
      </c>
      <c r="N2338" s="10">
        <v>0</v>
      </c>
      <c r="O2338" s="10">
        <v>8.0000000000000002E-3</v>
      </c>
      <c r="P2338" s="10">
        <f t="shared" si="2443"/>
        <v>8.0000000000000002E-3</v>
      </c>
      <c r="Q2338" s="10" t="str">
        <f t="shared" si="2444"/>
        <v>NA</v>
      </c>
      <c r="R2338" s="10" t="s">
        <v>1575</v>
      </c>
      <c r="S2338" s="10" t="s">
        <v>1575</v>
      </c>
      <c r="T2338" s="10" t="s">
        <v>1575</v>
      </c>
      <c r="U2338" s="10" t="s">
        <v>1575</v>
      </c>
      <c r="V2338" s="10" t="s">
        <v>1575</v>
      </c>
      <c r="W2338" s="10" t="s">
        <v>1575</v>
      </c>
      <c r="X2338" s="10" t="str">
        <f t="shared" si="2446"/>
        <v>NA</v>
      </c>
      <c r="Y2338" s="10" t="str">
        <f t="shared" si="2447"/>
        <v>NA</v>
      </c>
      <c r="Z2338" s="10" t="str">
        <f t="shared" si="2448"/>
        <v>NA</v>
      </c>
      <c r="AA2338" s="10" t="str">
        <f t="shared" si="2449"/>
        <v>NA</v>
      </c>
      <c r="AB2338" s="10" t="str">
        <f t="shared" si="2450"/>
        <v>NA</v>
      </c>
      <c r="AC2338" s="10" t="str">
        <f t="shared" si="2451"/>
        <v>NA</v>
      </c>
      <c r="AD2338" s="10" t="str">
        <f t="shared" si="2452"/>
        <v>NA</v>
      </c>
      <c r="AE2338" s="10" t="str">
        <f t="shared" si="2453"/>
        <v>NA</v>
      </c>
    </row>
    <row r="2339" spans="1:32" x14ac:dyDescent="0.2">
      <c r="A2339" s="1" t="s">
        <v>6392</v>
      </c>
      <c r="B2339" s="1" t="s">
        <v>5</v>
      </c>
      <c r="C2339" s="1" t="s">
        <v>1575</v>
      </c>
      <c r="D2339" s="1" t="s">
        <v>1601</v>
      </c>
      <c r="E2339" s="1" t="s">
        <v>1602</v>
      </c>
      <c r="F2339" s="1" t="s">
        <v>1563</v>
      </c>
      <c r="G2339" s="4" t="s">
        <v>7</v>
      </c>
      <c r="H2339" s="28">
        <v>40325</v>
      </c>
      <c r="I2339" s="29">
        <f t="shared" si="2445"/>
        <v>2010</v>
      </c>
      <c r="J2339" s="1" t="s">
        <v>375</v>
      </c>
      <c r="K2339" s="1" t="s">
        <v>1480</v>
      </c>
      <c r="L2339" s="11" t="str">
        <f t="shared" si="2442"/>
        <v>НЕТ</v>
      </c>
      <c r="M2339" s="10">
        <v>0</v>
      </c>
      <c r="N2339" s="10">
        <v>0</v>
      </c>
      <c r="O2339" s="10">
        <v>7.8315000000000001</v>
      </c>
      <c r="P2339" s="10" t="str">
        <f t="shared" si="2443"/>
        <v>NA</v>
      </c>
      <c r="Q2339" s="10" t="str">
        <f t="shared" si="2444"/>
        <v>NA</v>
      </c>
      <c r="R2339" s="10" t="s">
        <v>1575</v>
      </c>
      <c r="S2339" s="10" t="s">
        <v>1575</v>
      </c>
      <c r="T2339" s="10" t="s">
        <v>1575</v>
      </c>
      <c r="U2339" s="10" t="s">
        <v>1575</v>
      </c>
      <c r="V2339" s="10" t="s">
        <v>1575</v>
      </c>
      <c r="W2339" s="10" t="s">
        <v>1575</v>
      </c>
      <c r="X2339" s="10" t="str">
        <f t="shared" si="2446"/>
        <v>NA</v>
      </c>
      <c r="Y2339" s="10" t="str">
        <f t="shared" si="2447"/>
        <v>NA</v>
      </c>
      <c r="Z2339" s="10" t="str">
        <f t="shared" si="2448"/>
        <v>NA</v>
      </c>
      <c r="AA2339" s="10" t="str">
        <f t="shared" si="2449"/>
        <v>NA</v>
      </c>
      <c r="AB2339" s="10" t="str">
        <f t="shared" si="2450"/>
        <v>NA</v>
      </c>
      <c r="AC2339" s="10" t="str">
        <f t="shared" si="2451"/>
        <v>NA</v>
      </c>
      <c r="AD2339" s="10" t="str">
        <f t="shared" si="2452"/>
        <v>NA</v>
      </c>
      <c r="AE2339" s="10" t="str">
        <f t="shared" si="2453"/>
        <v>NA</v>
      </c>
    </row>
    <row r="2340" spans="1:32" x14ac:dyDescent="0.2">
      <c r="A2340" s="1" t="s">
        <v>505</v>
      </c>
      <c r="B2340" s="1" t="s">
        <v>5</v>
      </c>
      <c r="C2340" s="1" t="s">
        <v>1575</v>
      </c>
      <c r="D2340" s="10" t="s">
        <v>1575</v>
      </c>
      <c r="E2340" s="10" t="s">
        <v>1575</v>
      </c>
      <c r="F2340" s="1" t="s">
        <v>220</v>
      </c>
      <c r="G2340" s="4">
        <v>0.99980000000000002</v>
      </c>
      <c r="H2340" s="28">
        <v>40402</v>
      </c>
      <c r="I2340" s="29">
        <f t="shared" si="2445"/>
        <v>2010</v>
      </c>
      <c r="J2340" s="1" t="s">
        <v>1480</v>
      </c>
      <c r="K2340" s="1" t="s">
        <v>7</v>
      </c>
      <c r="L2340" s="11" t="str">
        <f t="shared" si="2442"/>
        <v>НЕТ</v>
      </c>
      <c r="M2340" s="10">
        <v>0</v>
      </c>
      <c r="N2340" s="10">
        <v>0</v>
      </c>
      <c r="O2340" s="10">
        <v>2.8167000000000001E-2</v>
      </c>
      <c r="P2340" s="10">
        <f t="shared" si="2443"/>
        <v>2.8172634526905382E-2</v>
      </c>
      <c r="Q2340" s="10" t="str">
        <f t="shared" si="2444"/>
        <v>NA</v>
      </c>
      <c r="R2340" s="10" t="s">
        <v>1575</v>
      </c>
      <c r="S2340" s="10" t="s">
        <v>1575</v>
      </c>
      <c r="T2340" s="10" t="s">
        <v>1575</v>
      </c>
      <c r="U2340" s="10" t="s">
        <v>1575</v>
      </c>
      <c r="V2340" s="10" t="s">
        <v>1575</v>
      </c>
      <c r="W2340" s="10" t="s">
        <v>1575</v>
      </c>
      <c r="X2340" s="10" t="str">
        <f t="shared" si="2446"/>
        <v>NA</v>
      </c>
      <c r="Y2340" s="10" t="str">
        <f t="shared" si="2447"/>
        <v>NA</v>
      </c>
      <c r="Z2340" s="10" t="str">
        <f t="shared" si="2448"/>
        <v>NA</v>
      </c>
      <c r="AA2340" s="10" t="str">
        <f t="shared" si="2449"/>
        <v>NA</v>
      </c>
      <c r="AB2340" s="10" t="str">
        <f t="shared" si="2450"/>
        <v>NA</v>
      </c>
      <c r="AC2340" s="10" t="str">
        <f t="shared" si="2451"/>
        <v>NA</v>
      </c>
      <c r="AD2340" s="10" t="str">
        <f t="shared" si="2452"/>
        <v>NA</v>
      </c>
      <c r="AE2340" s="10" t="str">
        <f t="shared" si="2453"/>
        <v>NA</v>
      </c>
    </row>
    <row r="2341" spans="1:32" x14ac:dyDescent="0.2">
      <c r="A2341" s="1" t="s">
        <v>506</v>
      </c>
      <c r="B2341" s="1" t="s">
        <v>5</v>
      </c>
      <c r="C2341" s="1" t="s">
        <v>1575</v>
      </c>
      <c r="D2341" s="10" t="s">
        <v>1575</v>
      </c>
      <c r="E2341" s="10" t="s">
        <v>1575</v>
      </c>
      <c r="F2341" s="1" t="s">
        <v>508</v>
      </c>
      <c r="G2341" s="4">
        <v>0.51</v>
      </c>
      <c r="H2341" s="28">
        <v>40514</v>
      </c>
      <c r="I2341" s="29">
        <f t="shared" si="2445"/>
        <v>2010</v>
      </c>
      <c r="J2341" s="1" t="s">
        <v>1480</v>
      </c>
      <c r="K2341" s="1" t="s">
        <v>7</v>
      </c>
      <c r="L2341" s="11" t="str">
        <f t="shared" si="2442"/>
        <v>НЕТ</v>
      </c>
      <c r="M2341" s="10">
        <v>0</v>
      </c>
      <c r="N2341" s="10">
        <v>0</v>
      </c>
      <c r="O2341" s="10">
        <v>5.0000000000000004E-6</v>
      </c>
      <c r="P2341" s="10">
        <f t="shared" si="2443"/>
        <v>9.8039215686274513E-6</v>
      </c>
      <c r="Q2341" s="10" t="str">
        <f t="shared" si="2444"/>
        <v>NA</v>
      </c>
      <c r="R2341" s="10" t="s">
        <v>1575</v>
      </c>
      <c r="S2341" s="10" t="s">
        <v>1575</v>
      </c>
      <c r="T2341" s="10" t="s">
        <v>1575</v>
      </c>
      <c r="U2341" s="10" t="s">
        <v>1575</v>
      </c>
      <c r="V2341" s="10" t="s">
        <v>1575</v>
      </c>
      <c r="W2341" s="10" t="s">
        <v>1575</v>
      </c>
      <c r="X2341" s="10" t="str">
        <f t="shared" si="2446"/>
        <v>NA</v>
      </c>
      <c r="Y2341" s="10" t="str">
        <f t="shared" si="2447"/>
        <v>NA</v>
      </c>
      <c r="Z2341" s="10" t="str">
        <f t="shared" si="2448"/>
        <v>NA</v>
      </c>
      <c r="AA2341" s="10" t="str">
        <f t="shared" si="2449"/>
        <v>NA</v>
      </c>
      <c r="AB2341" s="10" t="str">
        <f t="shared" si="2450"/>
        <v>NA</v>
      </c>
      <c r="AC2341" s="10" t="str">
        <f t="shared" si="2451"/>
        <v>NA</v>
      </c>
      <c r="AD2341" s="10" t="str">
        <f t="shared" si="2452"/>
        <v>NA</v>
      </c>
      <c r="AE2341" s="10" t="str">
        <f t="shared" si="2453"/>
        <v>NA</v>
      </c>
      <c r="AF2341" s="1" t="s">
        <v>507</v>
      </c>
    </row>
    <row r="2342" spans="1:32" x14ac:dyDescent="0.2">
      <c r="A2342" s="1" t="s">
        <v>509</v>
      </c>
      <c r="B2342" s="1" t="s">
        <v>5</v>
      </c>
      <c r="C2342" s="1" t="s">
        <v>1575</v>
      </c>
      <c r="D2342" s="1" t="s">
        <v>1601</v>
      </c>
      <c r="E2342" s="1" t="s">
        <v>5352</v>
      </c>
      <c r="F2342" s="1" t="s">
        <v>110</v>
      </c>
      <c r="G2342" s="4">
        <v>0.51</v>
      </c>
      <c r="H2342" s="28">
        <v>40414</v>
      </c>
      <c r="I2342" s="29">
        <f t="shared" si="2445"/>
        <v>2010</v>
      </c>
      <c r="J2342" s="1" t="s">
        <v>7</v>
      </c>
      <c r="K2342" s="1" t="s">
        <v>1480</v>
      </c>
      <c r="L2342" s="11" t="str">
        <f t="shared" si="2442"/>
        <v>НЕТ</v>
      </c>
      <c r="M2342" s="10">
        <v>0</v>
      </c>
      <c r="N2342" s="10">
        <v>0</v>
      </c>
      <c r="O2342" s="10">
        <v>1.0200000000000001E-3</v>
      </c>
      <c r="P2342" s="10">
        <f t="shared" si="2443"/>
        <v>2E-3</v>
      </c>
      <c r="Q2342" s="10" t="str">
        <f t="shared" si="2444"/>
        <v>NA</v>
      </c>
      <c r="R2342" s="10" t="s">
        <v>1575</v>
      </c>
      <c r="S2342" s="10" t="s">
        <v>1575</v>
      </c>
      <c r="T2342" s="10" t="s">
        <v>1575</v>
      </c>
      <c r="U2342" s="10" t="s">
        <v>1575</v>
      </c>
      <c r="V2342" s="10" t="s">
        <v>1575</v>
      </c>
      <c r="W2342" s="10" t="s">
        <v>1575</v>
      </c>
      <c r="X2342" s="10" t="str">
        <f t="shared" si="2446"/>
        <v>NA</v>
      </c>
      <c r="Y2342" s="10" t="str">
        <f t="shared" si="2447"/>
        <v>NA</v>
      </c>
      <c r="Z2342" s="10" t="str">
        <f t="shared" si="2448"/>
        <v>NA</v>
      </c>
      <c r="AA2342" s="10" t="str">
        <f t="shared" si="2449"/>
        <v>NA</v>
      </c>
      <c r="AB2342" s="10" t="str">
        <f t="shared" si="2450"/>
        <v>NA</v>
      </c>
      <c r="AC2342" s="10" t="str">
        <f t="shared" si="2451"/>
        <v>NA</v>
      </c>
      <c r="AD2342" s="10" t="str">
        <f t="shared" si="2452"/>
        <v>NA</v>
      </c>
      <c r="AE2342" s="10" t="str">
        <f t="shared" si="2453"/>
        <v>NA</v>
      </c>
      <c r="AF2342" s="1" t="s">
        <v>510</v>
      </c>
    </row>
    <row r="2343" spans="1:32" x14ac:dyDescent="0.2">
      <c r="A2343" s="1" t="s">
        <v>376</v>
      </c>
      <c r="B2343" s="1" t="s">
        <v>5</v>
      </c>
      <c r="C2343" s="1" t="s">
        <v>1575</v>
      </c>
      <c r="D2343" s="1" t="s">
        <v>1601</v>
      </c>
      <c r="E2343" s="1" t="s">
        <v>1608</v>
      </c>
      <c r="F2343" s="1" t="s">
        <v>1562</v>
      </c>
      <c r="G2343" s="4">
        <v>1</v>
      </c>
      <c r="H2343" s="28">
        <v>40169</v>
      </c>
      <c r="I2343" s="29">
        <f t="shared" si="2445"/>
        <v>2009</v>
      </c>
      <c r="J2343" s="1" t="s">
        <v>7</v>
      </c>
      <c r="K2343" s="1" t="s">
        <v>1480</v>
      </c>
      <c r="L2343" s="11" t="str">
        <f t="shared" si="2442"/>
        <v>НЕТ</v>
      </c>
      <c r="M2343" s="10">
        <v>0</v>
      </c>
      <c r="N2343" s="10">
        <v>0</v>
      </c>
      <c r="O2343" s="10">
        <v>6.8000000000000005E-2</v>
      </c>
      <c r="P2343" s="10">
        <f t="shared" si="2443"/>
        <v>6.8000000000000005E-2</v>
      </c>
      <c r="Q2343" s="10" t="str">
        <f t="shared" si="2444"/>
        <v>NA</v>
      </c>
      <c r="R2343" s="10" t="s">
        <v>1575</v>
      </c>
      <c r="S2343" s="10" t="s">
        <v>1575</v>
      </c>
      <c r="T2343" s="10" t="s">
        <v>1575</v>
      </c>
      <c r="U2343" s="10" t="s">
        <v>1575</v>
      </c>
      <c r="V2343" s="10" t="s">
        <v>1575</v>
      </c>
      <c r="W2343" s="10" t="s">
        <v>1575</v>
      </c>
      <c r="X2343" s="10" t="str">
        <f t="shared" si="2446"/>
        <v>NA</v>
      </c>
      <c r="Y2343" s="10" t="str">
        <f t="shared" si="2447"/>
        <v>NA</v>
      </c>
      <c r="Z2343" s="10" t="str">
        <f t="shared" si="2448"/>
        <v>NA</v>
      </c>
      <c r="AA2343" s="10" t="str">
        <f t="shared" si="2449"/>
        <v>NA</v>
      </c>
      <c r="AB2343" s="10" t="str">
        <f t="shared" si="2450"/>
        <v>NA</v>
      </c>
      <c r="AC2343" s="10" t="str">
        <f t="shared" si="2451"/>
        <v>NA</v>
      </c>
      <c r="AD2343" s="10" t="str">
        <f t="shared" si="2452"/>
        <v>NA</v>
      </c>
      <c r="AE2343" s="10" t="str">
        <f t="shared" si="2453"/>
        <v>NA</v>
      </c>
      <c r="AF2343" s="1" t="s">
        <v>507</v>
      </c>
    </row>
    <row r="2344" spans="1:32" x14ac:dyDescent="0.2">
      <c r="A2344" s="1" t="s">
        <v>6393</v>
      </c>
      <c r="B2344" s="1" t="s">
        <v>5</v>
      </c>
      <c r="C2344" s="1" t="s">
        <v>1575</v>
      </c>
      <c r="D2344" s="1" t="s">
        <v>1601</v>
      </c>
      <c r="E2344" s="1" t="s">
        <v>1602</v>
      </c>
      <c r="F2344" s="1" t="s">
        <v>1563</v>
      </c>
      <c r="G2344" s="4">
        <v>0.4995</v>
      </c>
      <c r="H2344" s="28">
        <v>42794</v>
      </c>
      <c r="I2344" s="29">
        <f t="shared" si="2445"/>
        <v>2017</v>
      </c>
      <c r="J2344" s="1" t="s">
        <v>400</v>
      </c>
      <c r="K2344" s="1" t="s">
        <v>7</v>
      </c>
      <c r="L2344" s="11" t="str">
        <f t="shared" si="2442"/>
        <v>НЕТ</v>
      </c>
      <c r="M2344" s="10">
        <v>0</v>
      </c>
      <c r="N2344" s="10">
        <v>0</v>
      </c>
      <c r="O2344" s="10">
        <v>0.06</v>
      </c>
      <c r="P2344" s="10">
        <f t="shared" si="2443"/>
        <v>0.12012012012012012</v>
      </c>
      <c r="Q2344" s="10" t="str">
        <f t="shared" si="2444"/>
        <v>NA</v>
      </c>
      <c r="R2344" s="10" t="s">
        <v>1575</v>
      </c>
      <c r="S2344" s="10" t="s">
        <v>1575</v>
      </c>
      <c r="T2344" s="10" t="s">
        <v>1575</v>
      </c>
      <c r="U2344" s="10" t="s">
        <v>1575</v>
      </c>
      <c r="V2344" s="10" t="s">
        <v>1575</v>
      </c>
      <c r="W2344" s="10" t="s">
        <v>1575</v>
      </c>
      <c r="X2344" s="10" t="str">
        <f t="shared" si="2446"/>
        <v>NA</v>
      </c>
      <c r="Y2344" s="10" t="str">
        <f t="shared" si="2447"/>
        <v>NA</v>
      </c>
      <c r="Z2344" s="10" t="str">
        <f t="shared" si="2448"/>
        <v>NA</v>
      </c>
      <c r="AA2344" s="10" t="str">
        <f t="shared" si="2449"/>
        <v>NA</v>
      </c>
      <c r="AB2344" s="10" t="str">
        <f t="shared" si="2450"/>
        <v>NA</v>
      </c>
      <c r="AC2344" s="10" t="str">
        <f t="shared" si="2451"/>
        <v>NA</v>
      </c>
      <c r="AD2344" s="10" t="str">
        <f t="shared" si="2452"/>
        <v>NA</v>
      </c>
      <c r="AE2344" s="10" t="str">
        <f t="shared" si="2453"/>
        <v>NA</v>
      </c>
      <c r="AF2344" s="1" t="s">
        <v>1764</v>
      </c>
    </row>
    <row r="2345" spans="1:32" x14ac:dyDescent="0.2">
      <c r="A2345" s="1" t="s">
        <v>6394</v>
      </c>
      <c r="B2345" s="1" t="s">
        <v>5</v>
      </c>
      <c r="C2345" s="1" t="s">
        <v>1575</v>
      </c>
      <c r="D2345" s="1" t="s">
        <v>1601</v>
      </c>
      <c r="E2345" s="1" t="s">
        <v>5352</v>
      </c>
      <c r="F2345" s="1" t="s">
        <v>1570</v>
      </c>
      <c r="G2345" s="4">
        <v>1.2E-2</v>
      </c>
      <c r="H2345" s="28">
        <v>41792</v>
      </c>
      <c r="I2345" s="29">
        <f t="shared" si="2445"/>
        <v>2014</v>
      </c>
      <c r="J2345" s="1" t="s">
        <v>400</v>
      </c>
      <c r="K2345" s="1" t="s">
        <v>6395</v>
      </c>
      <c r="L2345" s="11" t="str">
        <f t="shared" si="2442"/>
        <v>НЕТ</v>
      </c>
      <c r="M2345" s="10">
        <v>0</v>
      </c>
      <c r="N2345" s="10">
        <v>0</v>
      </c>
      <c r="O2345" s="10" t="s">
        <v>1575</v>
      </c>
      <c r="P2345" s="10" t="str">
        <f t="shared" si="2443"/>
        <v>NA</v>
      </c>
      <c r="Q2345" s="10" t="str">
        <f t="shared" si="2444"/>
        <v>NA</v>
      </c>
      <c r="R2345" s="10" t="s">
        <v>1575</v>
      </c>
      <c r="S2345" s="10" t="s">
        <v>1575</v>
      </c>
      <c r="T2345" s="10" t="s">
        <v>1575</v>
      </c>
      <c r="U2345" s="10" t="s">
        <v>1575</v>
      </c>
      <c r="V2345" s="10" t="s">
        <v>1575</v>
      </c>
      <c r="W2345" s="10" t="s">
        <v>1575</v>
      </c>
      <c r="X2345" s="10" t="str">
        <f t="shared" si="2446"/>
        <v>NA</v>
      </c>
      <c r="Y2345" s="10" t="str">
        <f t="shared" si="2447"/>
        <v>NA</v>
      </c>
      <c r="Z2345" s="10" t="str">
        <f t="shared" si="2448"/>
        <v>NA</v>
      </c>
      <c r="AA2345" s="10" t="str">
        <f t="shared" si="2449"/>
        <v>NA</v>
      </c>
      <c r="AB2345" s="10" t="str">
        <f t="shared" si="2450"/>
        <v>NA</v>
      </c>
      <c r="AC2345" s="10" t="str">
        <f t="shared" si="2451"/>
        <v>NA</v>
      </c>
      <c r="AD2345" s="10" t="str">
        <f t="shared" si="2452"/>
        <v>NA</v>
      </c>
      <c r="AE2345" s="10" t="str">
        <f t="shared" si="2453"/>
        <v>NA</v>
      </c>
      <c r="AF2345" s="1" t="s">
        <v>1765</v>
      </c>
    </row>
    <row r="2346" spans="1:32" x14ac:dyDescent="0.2">
      <c r="A2346" s="1" t="s">
        <v>6394</v>
      </c>
      <c r="B2346" s="1" t="s">
        <v>5</v>
      </c>
      <c r="C2346" s="1" t="s">
        <v>1575</v>
      </c>
      <c r="D2346" s="1" t="s">
        <v>1601</v>
      </c>
      <c r="E2346" s="1" t="s">
        <v>5352</v>
      </c>
      <c r="F2346" s="1" t="s">
        <v>1570</v>
      </c>
      <c r="G2346" s="4">
        <v>0.251</v>
      </c>
      <c r="H2346" s="28">
        <v>41793</v>
      </c>
      <c r="I2346" s="29">
        <f t="shared" si="2445"/>
        <v>2014</v>
      </c>
      <c r="J2346" s="1" t="s">
        <v>7</v>
      </c>
      <c r="K2346" s="1" t="s">
        <v>400</v>
      </c>
      <c r="L2346" s="11" t="str">
        <f t="shared" si="2442"/>
        <v>НЕТ</v>
      </c>
      <c r="M2346" s="10">
        <v>0</v>
      </c>
      <c r="N2346" s="10">
        <v>0</v>
      </c>
      <c r="O2346" s="10" t="s">
        <v>1575</v>
      </c>
      <c r="P2346" s="10" t="str">
        <f t="shared" si="2443"/>
        <v>NA</v>
      </c>
      <c r="Q2346" s="10" t="str">
        <f t="shared" si="2444"/>
        <v>NA</v>
      </c>
      <c r="R2346" s="10" t="s">
        <v>1575</v>
      </c>
      <c r="S2346" s="10" t="s">
        <v>1575</v>
      </c>
      <c r="T2346" s="10" t="s">
        <v>1575</v>
      </c>
      <c r="U2346" s="10" t="s">
        <v>1575</v>
      </c>
      <c r="V2346" s="10" t="s">
        <v>1575</v>
      </c>
      <c r="W2346" s="10" t="s">
        <v>1575</v>
      </c>
      <c r="X2346" s="10" t="str">
        <f t="shared" si="2446"/>
        <v>NA</v>
      </c>
      <c r="Y2346" s="10" t="str">
        <f t="shared" si="2447"/>
        <v>NA</v>
      </c>
      <c r="Z2346" s="10" t="str">
        <f t="shared" si="2448"/>
        <v>NA</v>
      </c>
      <c r="AA2346" s="10" t="str">
        <f t="shared" si="2449"/>
        <v>NA</v>
      </c>
      <c r="AB2346" s="10" t="str">
        <f t="shared" si="2450"/>
        <v>NA</v>
      </c>
      <c r="AC2346" s="10" t="str">
        <f t="shared" si="2451"/>
        <v>NA</v>
      </c>
      <c r="AD2346" s="10" t="str">
        <f t="shared" si="2452"/>
        <v>NA</v>
      </c>
      <c r="AE2346" s="10" t="str">
        <f t="shared" si="2453"/>
        <v>NA</v>
      </c>
      <c r="AF2346" s="1" t="s">
        <v>1766</v>
      </c>
    </row>
    <row r="2347" spans="1:32" x14ac:dyDescent="0.2">
      <c r="A2347" s="1" t="s">
        <v>6396</v>
      </c>
      <c r="B2347" s="1" t="s">
        <v>5</v>
      </c>
      <c r="C2347" s="1" t="s">
        <v>1575</v>
      </c>
      <c r="D2347" s="1" t="s">
        <v>1578</v>
      </c>
      <c r="E2347" s="1" t="s">
        <v>2315</v>
      </c>
      <c r="F2347" s="1" t="s">
        <v>2568</v>
      </c>
      <c r="G2347" s="4">
        <v>0.25</v>
      </c>
      <c r="H2347" s="28">
        <v>44491</v>
      </c>
      <c r="I2347" s="29">
        <f t="shared" si="2445"/>
        <v>2021</v>
      </c>
      <c r="J2347" s="1" t="s">
        <v>2566</v>
      </c>
      <c r="K2347" s="1" t="s">
        <v>7</v>
      </c>
      <c r="L2347" s="11" t="str">
        <f t="shared" si="2442"/>
        <v>НЕТ</v>
      </c>
      <c r="M2347" s="10">
        <v>0</v>
      </c>
      <c r="N2347" s="10">
        <v>0</v>
      </c>
      <c r="O2347" s="10" t="s">
        <v>1575</v>
      </c>
      <c r="P2347" s="10" t="str">
        <f t="shared" si="2443"/>
        <v>NA</v>
      </c>
      <c r="Q2347" s="10" t="str">
        <f t="shared" si="2444"/>
        <v>NA</v>
      </c>
      <c r="R2347" s="10" t="s">
        <v>1575</v>
      </c>
      <c r="S2347" s="10" t="s">
        <v>1575</v>
      </c>
      <c r="T2347" s="10" t="s">
        <v>1575</v>
      </c>
      <c r="U2347" s="10" t="s">
        <v>1575</v>
      </c>
      <c r="V2347" s="10" t="s">
        <v>1575</v>
      </c>
      <c r="W2347" s="10" t="s">
        <v>1575</v>
      </c>
      <c r="X2347" s="10" t="str">
        <f t="shared" si="2446"/>
        <v>NA</v>
      </c>
      <c r="Y2347" s="10" t="str">
        <f t="shared" si="2447"/>
        <v>NA</v>
      </c>
      <c r="Z2347" s="10" t="str">
        <f t="shared" si="2448"/>
        <v>NA</v>
      </c>
      <c r="AA2347" s="10" t="str">
        <f t="shared" si="2449"/>
        <v>NA</v>
      </c>
      <c r="AB2347" s="10" t="str">
        <f t="shared" si="2450"/>
        <v>NA</v>
      </c>
      <c r="AC2347" s="10" t="str">
        <f t="shared" si="2451"/>
        <v>NA</v>
      </c>
      <c r="AD2347" s="10" t="str">
        <f t="shared" si="2452"/>
        <v>NA</v>
      </c>
      <c r="AE2347" s="10" t="str">
        <f t="shared" si="2453"/>
        <v>NA</v>
      </c>
      <c r="AF2347" s="1" t="s">
        <v>2567</v>
      </c>
    </row>
    <row r="2348" spans="1:32" x14ac:dyDescent="0.2">
      <c r="A2348" s="1" t="s">
        <v>6397</v>
      </c>
      <c r="B2348" s="1" t="s">
        <v>5</v>
      </c>
      <c r="C2348" s="1" t="s">
        <v>1575</v>
      </c>
      <c r="D2348" s="1" t="s">
        <v>1578</v>
      </c>
      <c r="E2348" s="1" t="s">
        <v>2315</v>
      </c>
      <c r="F2348" s="1" t="s">
        <v>2578</v>
      </c>
      <c r="G2348" s="4">
        <v>7.7999999999999996E-3</v>
      </c>
      <c r="H2348" s="28">
        <v>43522</v>
      </c>
      <c r="I2348" s="29">
        <f t="shared" si="2445"/>
        <v>2019</v>
      </c>
      <c r="J2348" s="1" t="s">
        <v>2566</v>
      </c>
      <c r="K2348" s="1" t="s">
        <v>7</v>
      </c>
      <c r="L2348" s="11" t="str">
        <f t="shared" si="2442"/>
        <v>НЕТ</v>
      </c>
      <c r="M2348" s="10">
        <v>0</v>
      </c>
      <c r="N2348" s="10">
        <v>0</v>
      </c>
      <c r="O2348" s="10" t="s">
        <v>1575</v>
      </c>
      <c r="P2348" s="10" t="str">
        <f t="shared" si="2443"/>
        <v>NA</v>
      </c>
      <c r="Q2348" s="10" t="str">
        <f t="shared" si="2444"/>
        <v>NA</v>
      </c>
      <c r="R2348" s="10" t="s">
        <v>1575</v>
      </c>
      <c r="S2348" s="10" t="s">
        <v>1575</v>
      </c>
      <c r="T2348" s="10" t="s">
        <v>1575</v>
      </c>
      <c r="U2348" s="10" t="s">
        <v>1575</v>
      </c>
      <c r="V2348" s="10" t="s">
        <v>1575</v>
      </c>
      <c r="W2348" s="10" t="s">
        <v>1575</v>
      </c>
      <c r="X2348" s="10" t="str">
        <f t="shared" si="2446"/>
        <v>NA</v>
      </c>
      <c r="Y2348" s="10" t="str">
        <f t="shared" si="2447"/>
        <v>NA</v>
      </c>
      <c r="Z2348" s="10" t="str">
        <f t="shared" si="2448"/>
        <v>NA</v>
      </c>
      <c r="AA2348" s="10" t="str">
        <f t="shared" si="2449"/>
        <v>NA</v>
      </c>
      <c r="AB2348" s="10" t="str">
        <f t="shared" si="2450"/>
        <v>NA</v>
      </c>
      <c r="AC2348" s="10" t="str">
        <f t="shared" si="2451"/>
        <v>NA</v>
      </c>
      <c r="AD2348" s="10" t="str">
        <f t="shared" si="2452"/>
        <v>NA</v>
      </c>
      <c r="AE2348" s="10" t="str">
        <f t="shared" si="2453"/>
        <v>NA</v>
      </c>
      <c r="AF2348" s="1" t="s">
        <v>2570</v>
      </c>
    </row>
    <row r="2349" spans="1:32" x14ac:dyDescent="0.2">
      <c r="A2349" s="1" t="s">
        <v>6398</v>
      </c>
      <c r="B2349" s="1" t="s">
        <v>5</v>
      </c>
      <c r="C2349" s="1" t="s">
        <v>1575</v>
      </c>
      <c r="D2349" s="1" t="s">
        <v>1578</v>
      </c>
      <c r="E2349" s="1" t="s">
        <v>2315</v>
      </c>
      <c r="F2349" s="1" t="s">
        <v>2572</v>
      </c>
      <c r="G2349" s="4">
        <v>0.22500000000000001</v>
      </c>
      <c r="H2349" s="28">
        <v>43697</v>
      </c>
      <c r="I2349" s="29">
        <f t="shared" si="2445"/>
        <v>2019</v>
      </c>
      <c r="J2349" s="1" t="s">
        <v>2566</v>
      </c>
      <c r="K2349" s="1" t="s">
        <v>7</v>
      </c>
      <c r="L2349" s="11" t="str">
        <f t="shared" si="2442"/>
        <v>НЕТ</v>
      </c>
      <c r="M2349" s="10">
        <v>0</v>
      </c>
      <c r="N2349" s="10">
        <v>0</v>
      </c>
      <c r="O2349" s="10">
        <v>8.5</v>
      </c>
      <c r="P2349" s="10">
        <f t="shared" si="2443"/>
        <v>37.777777777777779</v>
      </c>
      <c r="Q2349" s="10" t="str">
        <f t="shared" si="2444"/>
        <v>NA</v>
      </c>
      <c r="R2349" s="10" t="s">
        <v>1575</v>
      </c>
      <c r="S2349" s="10" t="s">
        <v>1575</v>
      </c>
      <c r="T2349" s="10" t="s">
        <v>1575</v>
      </c>
      <c r="U2349" s="10" t="s">
        <v>1575</v>
      </c>
      <c r="V2349" s="10" t="s">
        <v>1575</v>
      </c>
      <c r="W2349" s="10" t="s">
        <v>1575</v>
      </c>
      <c r="X2349" s="10" t="str">
        <f t="shared" si="2446"/>
        <v>NA</v>
      </c>
      <c r="Y2349" s="10" t="str">
        <f t="shared" si="2447"/>
        <v>NA</v>
      </c>
      <c r="Z2349" s="10" t="str">
        <f t="shared" si="2448"/>
        <v>NA</v>
      </c>
      <c r="AA2349" s="10" t="str">
        <f t="shared" si="2449"/>
        <v>NA</v>
      </c>
      <c r="AB2349" s="10" t="str">
        <f t="shared" si="2450"/>
        <v>NA</v>
      </c>
      <c r="AC2349" s="10" t="str">
        <f t="shared" si="2451"/>
        <v>NA</v>
      </c>
      <c r="AD2349" s="10" t="str">
        <f t="shared" si="2452"/>
        <v>NA</v>
      </c>
      <c r="AE2349" s="10" t="str">
        <f t="shared" si="2453"/>
        <v>NA</v>
      </c>
      <c r="AF2349" s="1" t="s">
        <v>2571</v>
      </c>
    </row>
    <row r="2350" spans="1:32" x14ac:dyDescent="0.2">
      <c r="A2350" s="1" t="s">
        <v>6399</v>
      </c>
      <c r="B2350" s="1" t="s">
        <v>5</v>
      </c>
      <c r="C2350" s="1" t="s">
        <v>1575</v>
      </c>
      <c r="D2350" s="1" t="s">
        <v>1578</v>
      </c>
      <c r="E2350" s="1" t="s">
        <v>2315</v>
      </c>
      <c r="F2350" s="1" t="s">
        <v>2578</v>
      </c>
      <c r="G2350" s="4">
        <v>1</v>
      </c>
      <c r="H2350" s="28">
        <v>43585</v>
      </c>
      <c r="I2350" s="29">
        <f t="shared" si="2445"/>
        <v>2019</v>
      </c>
      <c r="J2350" s="1" t="s">
        <v>7</v>
      </c>
      <c r="K2350" s="1" t="s">
        <v>2566</v>
      </c>
      <c r="L2350" s="11" t="str">
        <f t="shared" si="2442"/>
        <v>НЕТ</v>
      </c>
      <c r="M2350" s="10">
        <v>0</v>
      </c>
      <c r="N2350" s="10">
        <v>0</v>
      </c>
      <c r="O2350" s="10">
        <v>0.47871000000000002</v>
      </c>
      <c r="P2350" s="10">
        <f t="shared" si="2443"/>
        <v>0.47871000000000002</v>
      </c>
      <c r="Q2350" s="10" t="str">
        <f t="shared" si="2444"/>
        <v>NA</v>
      </c>
      <c r="R2350" s="10" t="s">
        <v>1575</v>
      </c>
      <c r="S2350" s="10" t="s">
        <v>1575</v>
      </c>
      <c r="T2350" s="10" t="s">
        <v>1575</v>
      </c>
      <c r="U2350" s="10" t="s">
        <v>1575</v>
      </c>
      <c r="V2350" s="10" t="s">
        <v>1575</v>
      </c>
      <c r="W2350" s="10" t="s">
        <v>1575</v>
      </c>
      <c r="X2350" s="10" t="str">
        <f t="shared" si="2446"/>
        <v>NA</v>
      </c>
      <c r="Y2350" s="10" t="str">
        <f t="shared" si="2447"/>
        <v>NA</v>
      </c>
      <c r="Z2350" s="10" t="str">
        <f t="shared" si="2448"/>
        <v>NA</v>
      </c>
      <c r="AA2350" s="10" t="str">
        <f t="shared" si="2449"/>
        <v>NA</v>
      </c>
      <c r="AB2350" s="10" t="str">
        <f t="shared" si="2450"/>
        <v>NA</v>
      </c>
      <c r="AC2350" s="10" t="str">
        <f t="shared" si="2451"/>
        <v>NA</v>
      </c>
      <c r="AD2350" s="10" t="str">
        <f t="shared" si="2452"/>
        <v>NA</v>
      </c>
      <c r="AE2350" s="10" t="str">
        <f t="shared" si="2453"/>
        <v>NA</v>
      </c>
      <c r="AF2350" s="1" t="s">
        <v>2573</v>
      </c>
    </row>
    <row r="2351" spans="1:32" x14ac:dyDescent="0.2">
      <c r="A2351" s="1" t="s">
        <v>2575</v>
      </c>
      <c r="B2351" s="1" t="s">
        <v>1069</v>
      </c>
      <c r="C2351" s="1" t="s">
        <v>1575</v>
      </c>
      <c r="D2351" s="1" t="s">
        <v>1578</v>
      </c>
      <c r="E2351" s="1" t="s">
        <v>1579</v>
      </c>
      <c r="F2351" s="1" t="s">
        <v>429</v>
      </c>
      <c r="G2351" s="4">
        <v>1</v>
      </c>
      <c r="H2351" s="28">
        <v>43521</v>
      </c>
      <c r="I2351" s="29">
        <f t="shared" si="2445"/>
        <v>2019</v>
      </c>
      <c r="J2351" s="1" t="s">
        <v>2566</v>
      </c>
      <c r="K2351" s="1" t="s">
        <v>7</v>
      </c>
      <c r="L2351" s="11" t="str">
        <f t="shared" si="2442"/>
        <v>НЕТ</v>
      </c>
      <c r="M2351" s="10">
        <v>0</v>
      </c>
      <c r="N2351" s="10">
        <v>0</v>
      </c>
      <c r="O2351" s="10" t="s">
        <v>1575</v>
      </c>
      <c r="P2351" s="10" t="str">
        <f t="shared" si="2443"/>
        <v>NA</v>
      </c>
      <c r="Q2351" s="10" t="str">
        <f t="shared" si="2444"/>
        <v>NA</v>
      </c>
      <c r="R2351" s="10" t="s">
        <v>1575</v>
      </c>
      <c r="S2351" s="10" t="s">
        <v>1575</v>
      </c>
      <c r="T2351" s="10" t="s">
        <v>1575</v>
      </c>
      <c r="U2351" s="10" t="s">
        <v>1575</v>
      </c>
      <c r="V2351" s="10" t="s">
        <v>1575</v>
      </c>
      <c r="W2351" s="10" t="s">
        <v>1575</v>
      </c>
      <c r="X2351" s="10" t="str">
        <f t="shared" si="2446"/>
        <v>NA</v>
      </c>
      <c r="Y2351" s="10" t="str">
        <f t="shared" si="2447"/>
        <v>NA</v>
      </c>
      <c r="Z2351" s="10" t="str">
        <f t="shared" si="2448"/>
        <v>NA</v>
      </c>
      <c r="AA2351" s="10" t="str">
        <f t="shared" si="2449"/>
        <v>NA</v>
      </c>
      <c r="AB2351" s="10" t="str">
        <f t="shared" si="2450"/>
        <v>NA</v>
      </c>
      <c r="AC2351" s="10" t="str">
        <f t="shared" si="2451"/>
        <v>NA</v>
      </c>
      <c r="AD2351" s="10" t="str">
        <f t="shared" si="2452"/>
        <v>NA</v>
      </c>
      <c r="AE2351" s="10" t="str">
        <f t="shared" si="2453"/>
        <v>NA</v>
      </c>
      <c r="AF2351" s="1" t="s">
        <v>2574</v>
      </c>
    </row>
    <row r="2352" spans="1:32" x14ac:dyDescent="0.2">
      <c r="A2352" s="1" t="s">
        <v>2577</v>
      </c>
      <c r="B2352" s="1" t="s">
        <v>223</v>
      </c>
      <c r="C2352" s="1" t="s">
        <v>1575</v>
      </c>
      <c r="D2352" s="1" t="s">
        <v>1578</v>
      </c>
      <c r="E2352" s="1" t="s">
        <v>2315</v>
      </c>
      <c r="F2352" s="1" t="s">
        <v>511</v>
      </c>
      <c r="G2352" s="4">
        <v>1</v>
      </c>
      <c r="H2352" s="28">
        <v>43677</v>
      </c>
      <c r="I2352" s="29">
        <f t="shared" si="2445"/>
        <v>2019</v>
      </c>
      <c r="J2352" s="1" t="s">
        <v>2566</v>
      </c>
      <c r="K2352" s="1" t="s">
        <v>7</v>
      </c>
      <c r="L2352" s="11" t="str">
        <f t="shared" si="2442"/>
        <v>НЕТ</v>
      </c>
      <c r="M2352" s="10">
        <v>0</v>
      </c>
      <c r="N2352" s="10">
        <v>0</v>
      </c>
      <c r="O2352" s="10" t="s">
        <v>1575</v>
      </c>
      <c r="P2352" s="10" t="str">
        <f t="shared" si="2443"/>
        <v>NA</v>
      </c>
      <c r="Q2352" s="10" t="str">
        <f t="shared" si="2444"/>
        <v>NA</v>
      </c>
      <c r="R2352" s="10" t="s">
        <v>1575</v>
      </c>
      <c r="S2352" s="10" t="s">
        <v>1575</v>
      </c>
      <c r="T2352" s="10" t="s">
        <v>1575</v>
      </c>
      <c r="U2352" s="10" t="s">
        <v>1575</v>
      </c>
      <c r="V2352" s="10" t="s">
        <v>1575</v>
      </c>
      <c r="W2352" s="10" t="s">
        <v>1575</v>
      </c>
      <c r="X2352" s="10" t="str">
        <f t="shared" si="2446"/>
        <v>NA</v>
      </c>
      <c r="Y2352" s="10" t="str">
        <f t="shared" si="2447"/>
        <v>NA</v>
      </c>
      <c r="Z2352" s="10" t="str">
        <f t="shared" si="2448"/>
        <v>NA</v>
      </c>
      <c r="AA2352" s="10" t="str">
        <f t="shared" si="2449"/>
        <v>NA</v>
      </c>
      <c r="AB2352" s="10" t="str">
        <f t="shared" si="2450"/>
        <v>NA</v>
      </c>
      <c r="AC2352" s="10" t="str">
        <f t="shared" si="2451"/>
        <v>NA</v>
      </c>
      <c r="AD2352" s="10" t="str">
        <f t="shared" si="2452"/>
        <v>NA</v>
      </c>
      <c r="AE2352" s="10" t="str">
        <f t="shared" si="2453"/>
        <v>NA</v>
      </c>
      <c r="AF2352" s="1" t="s">
        <v>2576</v>
      </c>
    </row>
    <row r="2353" spans="1:32" x14ac:dyDescent="0.2">
      <c r="A2353" s="1" t="s">
        <v>6400</v>
      </c>
      <c r="B2353" s="1" t="s">
        <v>5</v>
      </c>
      <c r="C2353" s="1" t="s">
        <v>1575</v>
      </c>
      <c r="D2353" s="1" t="s">
        <v>1578</v>
      </c>
      <c r="E2353" s="1" t="s">
        <v>2315</v>
      </c>
      <c r="F2353" s="1" t="s">
        <v>2578</v>
      </c>
      <c r="G2353" s="4">
        <v>0.255</v>
      </c>
      <c r="H2353" s="28">
        <v>43158</v>
      </c>
      <c r="I2353" s="29">
        <f t="shared" si="2445"/>
        <v>2018</v>
      </c>
      <c r="J2353" s="1" t="s">
        <v>2566</v>
      </c>
      <c r="K2353" s="1" t="s">
        <v>7</v>
      </c>
      <c r="L2353" s="11" t="str">
        <f t="shared" si="2442"/>
        <v>НЕТ</v>
      </c>
      <c r="M2353" s="10">
        <v>0</v>
      </c>
      <c r="N2353" s="10">
        <v>0</v>
      </c>
      <c r="O2353" s="10" t="s">
        <v>1575</v>
      </c>
      <c r="P2353" s="10" t="str">
        <f t="shared" si="2443"/>
        <v>NA</v>
      </c>
      <c r="Q2353" s="10" t="str">
        <f t="shared" si="2444"/>
        <v>NA</v>
      </c>
      <c r="R2353" s="10" t="s">
        <v>1575</v>
      </c>
      <c r="S2353" s="10" t="s">
        <v>1575</v>
      </c>
      <c r="T2353" s="10" t="s">
        <v>1575</v>
      </c>
      <c r="U2353" s="10" t="s">
        <v>1575</v>
      </c>
      <c r="V2353" s="10" t="s">
        <v>1575</v>
      </c>
      <c r="W2353" s="10" t="s">
        <v>1575</v>
      </c>
      <c r="X2353" s="10" t="str">
        <f t="shared" si="2446"/>
        <v>NA</v>
      </c>
      <c r="Y2353" s="10" t="str">
        <f t="shared" si="2447"/>
        <v>NA</v>
      </c>
      <c r="Z2353" s="10" t="str">
        <f t="shared" si="2448"/>
        <v>NA</v>
      </c>
      <c r="AA2353" s="10" t="str">
        <f t="shared" si="2449"/>
        <v>NA</v>
      </c>
      <c r="AB2353" s="10" t="str">
        <f t="shared" si="2450"/>
        <v>NA</v>
      </c>
      <c r="AC2353" s="10" t="str">
        <f t="shared" si="2451"/>
        <v>NA</v>
      </c>
      <c r="AD2353" s="10" t="str">
        <f t="shared" si="2452"/>
        <v>NA</v>
      </c>
      <c r="AE2353" s="10" t="str">
        <f t="shared" si="2453"/>
        <v>NA</v>
      </c>
      <c r="AF2353" s="1" t="s">
        <v>2579</v>
      </c>
    </row>
    <row r="2354" spans="1:32" x14ac:dyDescent="0.2">
      <c r="A2354" s="1" t="s">
        <v>6401</v>
      </c>
      <c r="B2354" s="1" t="s">
        <v>5</v>
      </c>
      <c r="C2354" s="1" t="s">
        <v>1575</v>
      </c>
      <c r="D2354" s="1" t="s">
        <v>1578</v>
      </c>
      <c r="E2354" s="1" t="s">
        <v>2315</v>
      </c>
      <c r="F2354" s="1" t="s">
        <v>2569</v>
      </c>
      <c r="G2354" s="4">
        <v>1</v>
      </c>
      <c r="H2354" s="28">
        <v>43343</v>
      </c>
      <c r="I2354" s="29">
        <f t="shared" si="2445"/>
        <v>2018</v>
      </c>
      <c r="J2354" s="1" t="s">
        <v>2566</v>
      </c>
      <c r="K2354" s="1" t="s">
        <v>7</v>
      </c>
      <c r="L2354" s="11" t="str">
        <f t="shared" si="2442"/>
        <v>НЕТ</v>
      </c>
      <c r="M2354" s="10">
        <v>0</v>
      </c>
      <c r="N2354" s="10">
        <v>0</v>
      </c>
      <c r="O2354" s="10">
        <v>0.55700000000000005</v>
      </c>
      <c r="P2354" s="10">
        <f t="shared" si="2443"/>
        <v>0.55700000000000005</v>
      </c>
      <c r="Q2354" s="10">
        <f t="shared" si="2444"/>
        <v>3.746</v>
      </c>
      <c r="R2354" s="10" t="s">
        <v>1575</v>
      </c>
      <c r="S2354" s="10" t="s">
        <v>1575</v>
      </c>
      <c r="T2354" s="10" t="s">
        <v>1575</v>
      </c>
      <c r="U2354" s="10" t="s">
        <v>1575</v>
      </c>
      <c r="V2354" s="10">
        <v>1.8315999999999999E-2</v>
      </c>
      <c r="W2354" s="10">
        <f>3.212-0.023</f>
        <v>3.1890000000000001</v>
      </c>
      <c r="X2354" s="10">
        <f t="shared" si="2446"/>
        <v>3.2073160000000001</v>
      </c>
      <c r="Y2354" s="10" t="str">
        <f t="shared" si="2447"/>
        <v>NA</v>
      </c>
      <c r="Z2354" s="10" t="str">
        <f t="shared" si="2448"/>
        <v>NA</v>
      </c>
      <c r="AA2354" s="10">
        <f t="shared" si="2449"/>
        <v>30.410569993448355</v>
      </c>
      <c r="AB2354" s="10" t="str">
        <f t="shared" si="2450"/>
        <v>NA</v>
      </c>
      <c r="AC2354" s="10" t="str">
        <f t="shared" si="2451"/>
        <v>NA</v>
      </c>
      <c r="AD2354" s="10" t="str">
        <f t="shared" si="2452"/>
        <v>NA</v>
      </c>
      <c r="AE2354" s="10">
        <f t="shared" si="2453"/>
        <v>1.1679547634221261</v>
      </c>
      <c r="AF2354" s="1" t="s">
        <v>2580</v>
      </c>
    </row>
    <row r="2355" spans="1:32" x14ac:dyDescent="0.2">
      <c r="A2355" s="1" t="s">
        <v>6402</v>
      </c>
      <c r="B2355" s="1" t="s">
        <v>5</v>
      </c>
      <c r="C2355" s="1" t="s">
        <v>1575</v>
      </c>
      <c r="D2355" s="1" t="s">
        <v>1578</v>
      </c>
      <c r="E2355" s="1" t="s">
        <v>1579</v>
      </c>
      <c r="F2355" s="1" t="s">
        <v>429</v>
      </c>
      <c r="G2355" s="4">
        <v>1</v>
      </c>
      <c r="H2355" s="28">
        <v>43362</v>
      </c>
      <c r="I2355" s="29">
        <f t="shared" si="2445"/>
        <v>2018</v>
      </c>
      <c r="J2355" s="1" t="s">
        <v>2566</v>
      </c>
      <c r="K2355" s="1" t="s">
        <v>7</v>
      </c>
      <c r="L2355" s="11" t="str">
        <f t="shared" ref="L2355:L2419" si="2454">IF(OR(A2355=J2355,A2355=K2355),"ДА","НЕТ")</f>
        <v>НЕТ</v>
      </c>
      <c r="M2355" s="10">
        <v>0</v>
      </c>
      <c r="N2355" s="10">
        <v>0</v>
      </c>
      <c r="O2355" s="10">
        <v>0.21784999999999999</v>
      </c>
      <c r="P2355" s="10">
        <f t="shared" si="2443"/>
        <v>0.21784999999999999</v>
      </c>
      <c r="Q2355" s="10" t="str">
        <f t="shared" si="2444"/>
        <v>NA</v>
      </c>
      <c r="R2355" s="10" t="s">
        <v>1575</v>
      </c>
      <c r="S2355" s="10" t="s">
        <v>1575</v>
      </c>
      <c r="T2355" s="10" t="s">
        <v>1575</v>
      </c>
      <c r="U2355" s="10" t="s">
        <v>1575</v>
      </c>
      <c r="V2355" s="10" t="s">
        <v>1575</v>
      </c>
      <c r="W2355" s="10" t="s">
        <v>1575</v>
      </c>
      <c r="X2355" s="10" t="str">
        <f t="shared" si="2446"/>
        <v>NA</v>
      </c>
      <c r="Y2355" s="10" t="str">
        <f t="shared" si="2447"/>
        <v>NA</v>
      </c>
      <c r="Z2355" s="10" t="str">
        <f t="shared" si="2448"/>
        <v>NA</v>
      </c>
      <c r="AA2355" s="10" t="str">
        <f t="shared" si="2449"/>
        <v>NA</v>
      </c>
      <c r="AB2355" s="10" t="str">
        <f t="shared" si="2450"/>
        <v>NA</v>
      </c>
      <c r="AC2355" s="10" t="str">
        <f t="shared" si="2451"/>
        <v>NA</v>
      </c>
      <c r="AD2355" s="10" t="str">
        <f t="shared" si="2452"/>
        <v>NA</v>
      </c>
      <c r="AE2355" s="10" t="str">
        <f t="shared" si="2453"/>
        <v>NA</v>
      </c>
      <c r="AF2355" s="1" t="s">
        <v>2581</v>
      </c>
    </row>
    <row r="2356" spans="1:32" x14ac:dyDescent="0.2">
      <c r="A2356" s="1" t="s">
        <v>6403</v>
      </c>
      <c r="B2356" s="1" t="s">
        <v>5</v>
      </c>
      <c r="C2356" s="1" t="s">
        <v>1575</v>
      </c>
      <c r="D2356" s="1" t="s">
        <v>1584</v>
      </c>
      <c r="E2356" s="1" t="s">
        <v>3486</v>
      </c>
      <c r="F2356" s="1" t="s">
        <v>1312</v>
      </c>
      <c r="G2356" s="4">
        <v>1</v>
      </c>
      <c r="H2356" s="28">
        <v>43100</v>
      </c>
      <c r="I2356" s="29">
        <f t="shared" si="2445"/>
        <v>2017</v>
      </c>
      <c r="J2356" s="1" t="s">
        <v>2566</v>
      </c>
      <c r="K2356" s="1" t="s">
        <v>7</v>
      </c>
      <c r="L2356" s="11" t="str">
        <f t="shared" si="2454"/>
        <v>НЕТ</v>
      </c>
      <c r="M2356" s="10">
        <v>0</v>
      </c>
      <c r="N2356" s="10">
        <v>0</v>
      </c>
      <c r="O2356" s="10">
        <v>1E-8</v>
      </c>
      <c r="P2356" s="10">
        <f t="shared" si="2443"/>
        <v>1E-8</v>
      </c>
      <c r="Q2356" s="10">
        <f t="shared" si="2444"/>
        <v>-7.8999990000000006E-2</v>
      </c>
      <c r="R2356" s="10" t="s">
        <v>1575</v>
      </c>
      <c r="S2356" s="10" t="s">
        <v>1575</v>
      </c>
      <c r="T2356" s="10" t="s">
        <v>1575</v>
      </c>
      <c r="U2356" s="10" t="s">
        <v>1575</v>
      </c>
      <c r="V2356" s="10">
        <v>-0.10838200000000001</v>
      </c>
      <c r="W2356" s="10">
        <v>-7.9000000000000001E-2</v>
      </c>
      <c r="X2356" s="10">
        <f t="shared" si="2446"/>
        <v>-0.18738199999999999</v>
      </c>
      <c r="Y2356" s="10" t="str">
        <f t="shared" si="2447"/>
        <v>NA</v>
      </c>
      <c r="Z2356" s="10" t="str">
        <f t="shared" si="2448"/>
        <v>NA</v>
      </c>
      <c r="AA2356" s="10">
        <f t="shared" si="2449"/>
        <v>-9.2266243472163265E-8</v>
      </c>
      <c r="AB2356" s="10" t="str">
        <f t="shared" si="2450"/>
        <v>NA</v>
      </c>
      <c r="AC2356" s="10" t="str">
        <f t="shared" si="2451"/>
        <v>NA</v>
      </c>
      <c r="AD2356" s="10" t="str">
        <f t="shared" si="2452"/>
        <v>NA</v>
      </c>
      <c r="AE2356" s="10">
        <f t="shared" si="2453"/>
        <v>0.42159860605607802</v>
      </c>
      <c r="AF2356" s="1" t="s">
        <v>2582</v>
      </c>
    </row>
    <row r="2357" spans="1:32" x14ac:dyDescent="0.2">
      <c r="A2357" s="1" t="s">
        <v>6404</v>
      </c>
      <c r="B2357" s="1" t="s">
        <v>5</v>
      </c>
      <c r="C2357" s="1" t="s">
        <v>1575</v>
      </c>
      <c r="D2357" s="1" t="s">
        <v>1578</v>
      </c>
      <c r="E2357" s="1" t="s">
        <v>2315</v>
      </c>
      <c r="F2357" s="1" t="s">
        <v>2578</v>
      </c>
      <c r="G2357" s="4" t="s">
        <v>1575</v>
      </c>
      <c r="H2357" s="28">
        <v>43100</v>
      </c>
      <c r="I2357" s="29">
        <f t="shared" si="2445"/>
        <v>2017</v>
      </c>
      <c r="J2357" s="1" t="s">
        <v>2566</v>
      </c>
      <c r="K2357" s="1" t="s">
        <v>7</v>
      </c>
      <c r="L2357" s="11" t="str">
        <f t="shared" si="2454"/>
        <v>НЕТ</v>
      </c>
      <c r="M2357" s="10">
        <v>0</v>
      </c>
      <c r="N2357" s="10">
        <v>0</v>
      </c>
      <c r="O2357" s="10" t="s">
        <v>1575</v>
      </c>
      <c r="P2357" s="10" t="str">
        <f t="shared" si="2443"/>
        <v>NA</v>
      </c>
      <c r="Q2357" s="10" t="str">
        <f t="shared" si="2444"/>
        <v>NA</v>
      </c>
      <c r="R2357" s="10" t="s">
        <v>1575</v>
      </c>
      <c r="S2357" s="10" t="s">
        <v>1575</v>
      </c>
      <c r="T2357" s="10" t="s">
        <v>1575</v>
      </c>
      <c r="U2357" s="10" t="s">
        <v>1575</v>
      </c>
      <c r="V2357" s="10" t="s">
        <v>1575</v>
      </c>
      <c r="W2357" s="10" t="s">
        <v>1575</v>
      </c>
      <c r="X2357" s="10" t="str">
        <f t="shared" si="2446"/>
        <v>NA</v>
      </c>
      <c r="Y2357" s="10" t="str">
        <f t="shared" si="2447"/>
        <v>NA</v>
      </c>
      <c r="Z2357" s="10" t="str">
        <f t="shared" si="2448"/>
        <v>NA</v>
      </c>
      <c r="AA2357" s="10" t="str">
        <f t="shared" si="2449"/>
        <v>NA</v>
      </c>
      <c r="AB2357" s="10" t="str">
        <f t="shared" si="2450"/>
        <v>NA</v>
      </c>
      <c r="AC2357" s="10" t="str">
        <f t="shared" si="2451"/>
        <v>NA</v>
      </c>
      <c r="AD2357" s="10" t="str">
        <f t="shared" si="2452"/>
        <v>NA</v>
      </c>
      <c r="AE2357" s="10" t="str">
        <f t="shared" si="2453"/>
        <v>NA</v>
      </c>
      <c r="AF2357" s="1" t="s">
        <v>2584</v>
      </c>
    </row>
    <row r="2358" spans="1:32" x14ac:dyDescent="0.2">
      <c r="A2358" s="1" t="s">
        <v>6405</v>
      </c>
      <c r="B2358" s="1" t="s">
        <v>5</v>
      </c>
      <c r="C2358" s="1" t="s">
        <v>1575</v>
      </c>
      <c r="D2358" s="1" t="s">
        <v>1582</v>
      </c>
      <c r="E2358" s="1" t="s">
        <v>1587</v>
      </c>
      <c r="F2358" s="1" t="s">
        <v>2590</v>
      </c>
      <c r="G2358" s="4">
        <v>0.25</v>
      </c>
      <c r="H2358" s="28">
        <v>43100</v>
      </c>
      <c r="I2358" s="29">
        <f t="shared" si="2445"/>
        <v>2017</v>
      </c>
      <c r="J2358" s="1" t="s">
        <v>7</v>
      </c>
      <c r="K2358" s="1" t="s">
        <v>2566</v>
      </c>
      <c r="L2358" s="11" t="str">
        <f t="shared" si="2454"/>
        <v>НЕТ</v>
      </c>
      <c r="M2358" s="10">
        <v>0</v>
      </c>
      <c r="N2358" s="10">
        <v>0</v>
      </c>
      <c r="O2358" s="10">
        <v>4.2116000000000001E-2</v>
      </c>
      <c r="P2358" s="10">
        <f t="shared" si="2443"/>
        <v>0.168464</v>
      </c>
      <c r="Q2358" s="10" t="str">
        <f t="shared" si="2444"/>
        <v>NA</v>
      </c>
      <c r="R2358" s="10">
        <v>0.79408699999999999</v>
      </c>
      <c r="S2358" s="10" t="s">
        <v>1575</v>
      </c>
      <c r="T2358" s="10" t="s">
        <v>1575</v>
      </c>
      <c r="U2358" s="10">
        <v>8.9748999999999995E-2</v>
      </c>
      <c r="V2358" s="10">
        <v>0.44188899999999998</v>
      </c>
      <c r="W2358" s="10" t="s">
        <v>1575</v>
      </c>
      <c r="X2358" s="10" t="str">
        <f t="shared" si="2446"/>
        <v>NA</v>
      </c>
      <c r="Y2358" s="10">
        <f t="shared" si="2447"/>
        <v>0.21214803919469782</v>
      </c>
      <c r="Z2358" s="10">
        <f t="shared" si="2448"/>
        <v>1.8770571259846907</v>
      </c>
      <c r="AA2358" s="10">
        <f t="shared" si="2449"/>
        <v>0.38123601175860911</v>
      </c>
      <c r="AB2358" s="10" t="str">
        <f t="shared" si="2450"/>
        <v>NA</v>
      </c>
      <c r="AC2358" s="10" t="str">
        <f t="shared" si="2451"/>
        <v>NA</v>
      </c>
      <c r="AD2358" s="10" t="str">
        <f t="shared" si="2452"/>
        <v>NA</v>
      </c>
      <c r="AE2358" s="10" t="str">
        <f t="shared" si="2453"/>
        <v>NA</v>
      </c>
      <c r="AF2358" s="1" t="s">
        <v>2589</v>
      </c>
    </row>
    <row r="2359" spans="1:32" x14ac:dyDescent="0.2">
      <c r="A2359" s="1" t="s">
        <v>6406</v>
      </c>
      <c r="B2359" s="1" t="s">
        <v>5</v>
      </c>
      <c r="C2359" s="1" t="s">
        <v>1575</v>
      </c>
      <c r="D2359" s="1" t="s">
        <v>1578</v>
      </c>
      <c r="E2359" s="1" t="s">
        <v>2315</v>
      </c>
      <c r="F2359" s="1" t="s">
        <v>2583</v>
      </c>
      <c r="G2359" s="4">
        <f>98.82%</f>
        <v>0.98819999999999997</v>
      </c>
      <c r="H2359" s="28">
        <v>42735</v>
      </c>
      <c r="I2359" s="29">
        <f t="shared" si="2445"/>
        <v>2016</v>
      </c>
      <c r="J2359" s="1" t="s">
        <v>2566</v>
      </c>
      <c r="K2359" s="1" t="s">
        <v>7</v>
      </c>
      <c r="L2359" s="11" t="str">
        <f t="shared" si="2454"/>
        <v>НЕТ</v>
      </c>
      <c r="M2359" s="10">
        <v>0</v>
      </c>
      <c r="N2359" s="10">
        <v>0</v>
      </c>
      <c r="O2359" s="10">
        <v>0.14125599999999999</v>
      </c>
      <c r="P2359" s="10">
        <f t="shared" si="2443"/>
        <v>0.14294272414490994</v>
      </c>
      <c r="Q2359" s="10" t="str">
        <f t="shared" si="2444"/>
        <v>NA</v>
      </c>
      <c r="R2359" s="10" t="s">
        <v>1575</v>
      </c>
      <c r="S2359" s="10" t="s">
        <v>1575</v>
      </c>
      <c r="T2359" s="10" t="s">
        <v>1575</v>
      </c>
      <c r="U2359" s="10" t="s">
        <v>1575</v>
      </c>
      <c r="V2359" s="10" t="s">
        <v>1575</v>
      </c>
      <c r="W2359" s="10" t="s">
        <v>1575</v>
      </c>
      <c r="X2359" s="10" t="str">
        <f t="shared" si="2446"/>
        <v>NA</v>
      </c>
      <c r="Y2359" s="10" t="str">
        <f t="shared" si="2447"/>
        <v>NA</v>
      </c>
      <c r="Z2359" s="10" t="str">
        <f t="shared" si="2448"/>
        <v>NA</v>
      </c>
      <c r="AA2359" s="10" t="str">
        <f t="shared" si="2449"/>
        <v>NA</v>
      </c>
      <c r="AB2359" s="10" t="str">
        <f t="shared" si="2450"/>
        <v>NA</v>
      </c>
      <c r="AC2359" s="10" t="str">
        <f t="shared" si="2451"/>
        <v>NA</v>
      </c>
      <c r="AD2359" s="10" t="str">
        <f t="shared" si="2452"/>
        <v>NA</v>
      </c>
      <c r="AE2359" s="10" t="str">
        <f t="shared" si="2453"/>
        <v>NA</v>
      </c>
      <c r="AF2359" s="1" t="s">
        <v>2585</v>
      </c>
    </row>
    <row r="2360" spans="1:32" x14ac:dyDescent="0.2">
      <c r="A2360" s="1" t="s">
        <v>6407</v>
      </c>
      <c r="B2360" s="1" t="s">
        <v>5</v>
      </c>
      <c r="C2360" s="1" t="s">
        <v>1575</v>
      </c>
      <c r="D2360" s="1" t="s">
        <v>1578</v>
      </c>
      <c r="E2360" s="1" t="s">
        <v>2315</v>
      </c>
      <c r="F2360" s="1" t="s">
        <v>2583</v>
      </c>
      <c r="G2360" s="4">
        <f>100%-99%</f>
        <v>1.0000000000000009E-2</v>
      </c>
      <c r="H2360" s="28">
        <v>42735</v>
      </c>
      <c r="I2360" s="29">
        <f t="shared" si="2445"/>
        <v>2016</v>
      </c>
      <c r="J2360" s="1" t="s">
        <v>2566</v>
      </c>
      <c r="K2360" s="1" t="s">
        <v>7</v>
      </c>
      <c r="L2360" s="11" t="str">
        <f t="shared" si="2454"/>
        <v>НЕТ</v>
      </c>
      <c r="M2360" s="10">
        <v>0</v>
      </c>
      <c r="N2360" s="10">
        <v>0</v>
      </c>
      <c r="O2360" s="10">
        <v>1.5939999999999999E-3</v>
      </c>
      <c r="P2360" s="10">
        <f t="shared" si="2443"/>
        <v>0.15939999999999985</v>
      </c>
      <c r="Q2360" s="10" t="str">
        <f t="shared" si="2444"/>
        <v>NA</v>
      </c>
      <c r="R2360" s="10" t="s">
        <v>1575</v>
      </c>
      <c r="S2360" s="10" t="s">
        <v>1575</v>
      </c>
      <c r="T2360" s="10" t="s">
        <v>1575</v>
      </c>
      <c r="U2360" s="10" t="s">
        <v>1575</v>
      </c>
      <c r="V2360" s="10" t="s">
        <v>1575</v>
      </c>
      <c r="W2360" s="10" t="s">
        <v>1575</v>
      </c>
      <c r="X2360" s="10" t="str">
        <f t="shared" si="2446"/>
        <v>NA</v>
      </c>
      <c r="Y2360" s="10" t="str">
        <f t="shared" si="2447"/>
        <v>NA</v>
      </c>
      <c r="Z2360" s="10" t="str">
        <f t="shared" si="2448"/>
        <v>NA</v>
      </c>
      <c r="AA2360" s="10" t="str">
        <f t="shared" si="2449"/>
        <v>NA</v>
      </c>
      <c r="AB2360" s="10" t="str">
        <f t="shared" si="2450"/>
        <v>NA</v>
      </c>
      <c r="AC2360" s="10" t="str">
        <f t="shared" si="2451"/>
        <v>NA</v>
      </c>
      <c r="AD2360" s="10" t="str">
        <f t="shared" si="2452"/>
        <v>NA</v>
      </c>
      <c r="AE2360" s="10" t="str">
        <f t="shared" si="2453"/>
        <v>NA</v>
      </c>
      <c r="AF2360" s="1" t="s">
        <v>2586</v>
      </c>
    </row>
    <row r="2361" spans="1:32" x14ac:dyDescent="0.2">
      <c r="A2361" s="1" t="s">
        <v>6408</v>
      </c>
      <c r="B2361" s="1" t="s">
        <v>5</v>
      </c>
      <c r="C2361" s="1" t="s">
        <v>1575</v>
      </c>
      <c r="D2361" s="1" t="s">
        <v>1578</v>
      </c>
      <c r="E2361" s="1" t="s">
        <v>2315</v>
      </c>
      <c r="F2361" s="1" t="s">
        <v>2588</v>
      </c>
      <c r="G2361" s="4">
        <v>0.1</v>
      </c>
      <c r="H2361" s="28">
        <v>42735</v>
      </c>
      <c r="I2361" s="29">
        <f t="shared" si="2445"/>
        <v>2016</v>
      </c>
      <c r="J2361" s="1" t="s">
        <v>7</v>
      </c>
      <c r="K2361" s="1" t="s">
        <v>2566</v>
      </c>
      <c r="L2361" s="11" t="str">
        <f t="shared" si="2454"/>
        <v>НЕТ</v>
      </c>
      <c r="M2361" s="10">
        <v>0</v>
      </c>
      <c r="N2361" s="10">
        <v>0</v>
      </c>
      <c r="O2361" s="10">
        <v>3.7613000000000001E-2</v>
      </c>
      <c r="P2361" s="10">
        <f t="shared" si="2443"/>
        <v>0.37612999999999996</v>
      </c>
      <c r="Q2361" s="10">
        <f t="shared" si="2444"/>
        <v>0.37571499999999997</v>
      </c>
      <c r="R2361" s="10" t="s">
        <v>1575</v>
      </c>
      <c r="S2361" s="10" t="s">
        <v>1575</v>
      </c>
      <c r="T2361" s="10" t="s">
        <v>1575</v>
      </c>
      <c r="U2361" s="10" t="s">
        <v>1575</v>
      </c>
      <c r="V2361" s="10">
        <v>0.20453099999999999</v>
      </c>
      <c r="W2361" s="10">
        <f>0-0.000415</f>
        <v>-4.15E-4</v>
      </c>
      <c r="X2361" s="10">
        <f t="shared" si="2446"/>
        <v>0.20411599999999999</v>
      </c>
      <c r="Y2361" s="10" t="str">
        <f t="shared" si="2447"/>
        <v>NA</v>
      </c>
      <c r="Z2361" s="10" t="str">
        <f t="shared" si="2448"/>
        <v>NA</v>
      </c>
      <c r="AA2361" s="10">
        <f t="shared" si="2449"/>
        <v>1.8389877329109034</v>
      </c>
      <c r="AB2361" s="10" t="str">
        <f t="shared" si="2450"/>
        <v>NA</v>
      </c>
      <c r="AC2361" s="10" t="str">
        <f t="shared" si="2451"/>
        <v>NA</v>
      </c>
      <c r="AD2361" s="10" t="str">
        <f t="shared" si="2452"/>
        <v>NA</v>
      </c>
      <c r="AE2361" s="10">
        <f t="shared" si="2453"/>
        <v>1.8406935272100178</v>
      </c>
      <c r="AF2361" s="1" t="s">
        <v>2587</v>
      </c>
    </row>
    <row r="2362" spans="1:32" x14ac:dyDescent="0.2">
      <c r="A2362" s="1" t="s">
        <v>6408</v>
      </c>
      <c r="B2362" s="1" t="s">
        <v>5</v>
      </c>
      <c r="C2362" s="1" t="s">
        <v>1575</v>
      </c>
      <c r="D2362" s="1" t="s">
        <v>1578</v>
      </c>
      <c r="E2362" s="1" t="s">
        <v>2315</v>
      </c>
      <c r="F2362" s="1" t="s">
        <v>2588</v>
      </c>
      <c r="G2362" s="4">
        <v>0.92889999999999995</v>
      </c>
      <c r="H2362" s="28">
        <v>42521</v>
      </c>
      <c r="I2362" s="29">
        <f t="shared" si="2445"/>
        <v>2016</v>
      </c>
      <c r="J2362" s="1" t="s">
        <v>2566</v>
      </c>
      <c r="K2362" s="1" t="s">
        <v>7</v>
      </c>
      <c r="L2362" s="11" t="str">
        <f t="shared" si="2454"/>
        <v>НЕТ</v>
      </c>
      <c r="M2362" s="10">
        <v>0</v>
      </c>
      <c r="N2362" s="10">
        <v>0</v>
      </c>
      <c r="O2362" s="10">
        <v>0.34755900000000001</v>
      </c>
      <c r="P2362" s="10">
        <f t="shared" si="2443"/>
        <v>0.37416191193885245</v>
      </c>
      <c r="Q2362" s="10">
        <f t="shared" si="2444"/>
        <v>0.37374691193885246</v>
      </c>
      <c r="R2362" s="10" t="s">
        <v>1575</v>
      </c>
      <c r="S2362" s="10" t="s">
        <v>1575</v>
      </c>
      <c r="T2362" s="10" t="s">
        <v>1575</v>
      </c>
      <c r="U2362" s="10" t="s">
        <v>1575</v>
      </c>
      <c r="V2362" s="10">
        <v>0.20453099999999999</v>
      </c>
      <c r="W2362" s="10">
        <f>0-0.000415</f>
        <v>-4.15E-4</v>
      </c>
      <c r="X2362" s="10">
        <f t="shared" si="2446"/>
        <v>0.20411599999999999</v>
      </c>
      <c r="Y2362" s="10" t="str">
        <f t="shared" si="2447"/>
        <v>NA</v>
      </c>
      <c r="Z2362" s="10" t="str">
        <f t="shared" si="2448"/>
        <v>NA</v>
      </c>
      <c r="AA2362" s="10">
        <f t="shared" si="2449"/>
        <v>1.8293652890703731</v>
      </c>
      <c r="AB2362" s="10" t="str">
        <f t="shared" si="2450"/>
        <v>NA</v>
      </c>
      <c r="AC2362" s="10" t="str">
        <f t="shared" si="2451"/>
        <v>NA</v>
      </c>
      <c r="AD2362" s="10" t="str">
        <f t="shared" si="2452"/>
        <v>NA</v>
      </c>
      <c r="AE2362" s="10">
        <f t="shared" si="2453"/>
        <v>1.8310515194245061</v>
      </c>
      <c r="AF2362" s="1" t="s">
        <v>2598</v>
      </c>
    </row>
    <row r="2363" spans="1:32" x14ac:dyDescent="0.2">
      <c r="A2363" s="1" t="s">
        <v>6409</v>
      </c>
      <c r="B2363" s="1" t="s">
        <v>5</v>
      </c>
      <c r="C2363" s="1" t="s">
        <v>1575</v>
      </c>
      <c r="D2363" s="1" t="s">
        <v>1578</v>
      </c>
      <c r="E2363" s="1" t="s">
        <v>2315</v>
      </c>
      <c r="F2363" s="1" t="s">
        <v>2578</v>
      </c>
      <c r="G2363" s="4">
        <v>1</v>
      </c>
      <c r="H2363" s="28">
        <v>42433</v>
      </c>
      <c r="I2363" s="29">
        <f t="shared" si="2445"/>
        <v>2016</v>
      </c>
      <c r="J2363" s="1" t="s">
        <v>2566</v>
      </c>
      <c r="K2363" s="1" t="s">
        <v>7</v>
      </c>
      <c r="L2363" s="11" t="str">
        <f t="shared" si="2454"/>
        <v>НЕТ</v>
      </c>
      <c r="M2363" s="10">
        <v>0</v>
      </c>
      <c r="N2363" s="10">
        <v>0</v>
      </c>
      <c r="O2363" s="10">
        <v>0.18</v>
      </c>
      <c r="P2363" s="10">
        <f t="shared" si="2443"/>
        <v>0.18</v>
      </c>
      <c r="Q2363" s="10">
        <f t="shared" si="2444"/>
        <v>0.11021499999999999</v>
      </c>
      <c r="R2363" s="10" t="s">
        <v>1575</v>
      </c>
      <c r="S2363" s="10" t="s">
        <v>1575</v>
      </c>
      <c r="T2363" s="10" t="s">
        <v>1575</v>
      </c>
      <c r="U2363" s="10" t="s">
        <v>1575</v>
      </c>
      <c r="V2363" s="10">
        <v>0.160719</v>
      </c>
      <c r="W2363" s="10">
        <f>0-0.069785</f>
        <v>-6.9785E-2</v>
      </c>
      <c r="X2363" s="10">
        <f t="shared" si="2446"/>
        <v>9.0934000000000001E-2</v>
      </c>
      <c r="Y2363" s="10" t="str">
        <f t="shared" si="2447"/>
        <v>NA</v>
      </c>
      <c r="Z2363" s="10" t="str">
        <f t="shared" si="2448"/>
        <v>NA</v>
      </c>
      <c r="AA2363" s="10">
        <f t="shared" si="2449"/>
        <v>1.1199671476303361</v>
      </c>
      <c r="AB2363" s="10" t="str">
        <f t="shared" si="2450"/>
        <v>NA</v>
      </c>
      <c r="AC2363" s="10" t="str">
        <f t="shared" si="2451"/>
        <v>NA</v>
      </c>
      <c r="AD2363" s="10" t="str">
        <f t="shared" si="2452"/>
        <v>NA</v>
      </c>
      <c r="AE2363" s="10">
        <f t="shared" si="2453"/>
        <v>1.2120329029845822</v>
      </c>
      <c r="AF2363" s="1" t="s">
        <v>2595</v>
      </c>
    </row>
    <row r="2364" spans="1:32" x14ac:dyDescent="0.2">
      <c r="A2364" s="1" t="s">
        <v>6400</v>
      </c>
      <c r="B2364" s="1" t="s">
        <v>5</v>
      </c>
      <c r="C2364" s="1" t="s">
        <v>1575</v>
      </c>
      <c r="D2364" s="1" t="s">
        <v>1578</v>
      </c>
      <c r="E2364" s="1" t="s">
        <v>2315</v>
      </c>
      <c r="F2364" s="1" t="s">
        <v>2578</v>
      </c>
      <c r="G2364" s="4">
        <f>66.87%-29%</f>
        <v>0.37870000000000009</v>
      </c>
      <c r="H2364" s="28">
        <v>42502</v>
      </c>
      <c r="I2364" s="29">
        <f t="shared" si="2445"/>
        <v>2016</v>
      </c>
      <c r="J2364" s="1" t="s">
        <v>2566</v>
      </c>
      <c r="K2364" s="1" t="s">
        <v>7</v>
      </c>
      <c r="L2364" s="11" t="str">
        <f t="shared" si="2454"/>
        <v>НЕТ</v>
      </c>
      <c r="M2364" s="10">
        <v>0</v>
      </c>
      <c r="N2364" s="10">
        <v>0</v>
      </c>
      <c r="O2364" s="10">
        <v>9.1780000000000004E-3</v>
      </c>
      <c r="P2364" s="10">
        <f t="shared" si="2443"/>
        <v>2.4235542645893844E-2</v>
      </c>
      <c r="Q2364" s="10">
        <f t="shared" si="2444"/>
        <v>-1.2145457354106153E-2</v>
      </c>
      <c r="R2364" s="10" t="s">
        <v>1575</v>
      </c>
      <c r="S2364" s="10" t="s">
        <v>1575</v>
      </c>
      <c r="T2364" s="10" t="s">
        <v>1575</v>
      </c>
      <c r="U2364" s="10" t="s">
        <v>1575</v>
      </c>
      <c r="V2364" s="10">
        <v>0.14504500000000001</v>
      </c>
      <c r="W2364" s="10">
        <f>0.003199-0.03958</f>
        <v>-3.6380999999999997E-2</v>
      </c>
      <c r="X2364" s="10">
        <f t="shared" si="2446"/>
        <v>0.10866400000000001</v>
      </c>
      <c r="Y2364" s="10" t="str">
        <f t="shared" si="2447"/>
        <v>NA</v>
      </c>
      <c r="Z2364" s="10" t="str">
        <f t="shared" si="2448"/>
        <v>NA</v>
      </c>
      <c r="AA2364" s="10">
        <f t="shared" si="2449"/>
        <v>0.16708981795921157</v>
      </c>
      <c r="AB2364" s="10" t="str">
        <f t="shared" si="2450"/>
        <v>NA</v>
      </c>
      <c r="AC2364" s="10" t="str">
        <f t="shared" si="2451"/>
        <v>NA</v>
      </c>
      <c r="AD2364" s="10" t="str">
        <f t="shared" si="2452"/>
        <v>NA</v>
      </c>
      <c r="AE2364" s="10">
        <f t="shared" si="2453"/>
        <v>-0.11177075530172045</v>
      </c>
      <c r="AF2364" s="1" t="s">
        <v>2596</v>
      </c>
    </row>
    <row r="2365" spans="1:32" x14ac:dyDescent="0.2">
      <c r="A2365" s="1" t="s">
        <v>6410</v>
      </c>
      <c r="B2365" s="1" t="s">
        <v>5</v>
      </c>
      <c r="C2365" s="1" t="s">
        <v>1575</v>
      </c>
      <c r="D2365" s="1" t="s">
        <v>1578</v>
      </c>
      <c r="E2365" s="1" t="s">
        <v>1579</v>
      </c>
      <c r="F2365" s="1" t="s">
        <v>429</v>
      </c>
      <c r="G2365" s="4">
        <v>1</v>
      </c>
      <c r="H2365" s="28">
        <v>42660</v>
      </c>
      <c r="I2365" s="29">
        <f t="shared" si="2445"/>
        <v>2016</v>
      </c>
      <c r="J2365" s="1" t="s">
        <v>2566</v>
      </c>
      <c r="K2365" s="1" t="s">
        <v>7</v>
      </c>
      <c r="L2365" s="11" t="str">
        <f t="shared" si="2454"/>
        <v>НЕТ</v>
      </c>
      <c r="M2365" s="10">
        <v>0</v>
      </c>
      <c r="N2365" s="10">
        <v>0</v>
      </c>
      <c r="O2365" s="10">
        <v>0.21610199999999999</v>
      </c>
      <c r="P2365" s="10">
        <f t="shared" si="2443"/>
        <v>0.21610199999999999</v>
      </c>
      <c r="Q2365" s="10">
        <f t="shared" si="2444"/>
        <v>0.21608899999999998</v>
      </c>
      <c r="R2365" s="10" t="s">
        <v>1575</v>
      </c>
      <c r="S2365" s="10" t="s">
        <v>1575</v>
      </c>
      <c r="T2365" s="10" t="s">
        <v>1575</v>
      </c>
      <c r="U2365" s="10" t="s">
        <v>1575</v>
      </c>
      <c r="V2365" s="10">
        <v>0.48930600000000002</v>
      </c>
      <c r="W2365" s="10">
        <v>-1.2999999999999999E-5</v>
      </c>
      <c r="X2365" s="10">
        <f t="shared" si="2446"/>
        <v>0.48929300000000003</v>
      </c>
      <c r="Y2365" s="10" t="str">
        <f t="shared" si="2447"/>
        <v>NA</v>
      </c>
      <c r="Z2365" s="10" t="str">
        <f t="shared" si="2448"/>
        <v>NA</v>
      </c>
      <c r="AA2365" s="10">
        <f t="shared" si="2449"/>
        <v>0.44165001042292551</v>
      </c>
      <c r="AB2365" s="10" t="str">
        <f t="shared" si="2450"/>
        <v>NA</v>
      </c>
      <c r="AC2365" s="10" t="str">
        <f t="shared" si="2451"/>
        <v>NA</v>
      </c>
      <c r="AD2365" s="10" t="str">
        <f t="shared" si="2452"/>
        <v>NA</v>
      </c>
      <c r="AE2365" s="10">
        <f t="shared" si="2453"/>
        <v>0.44163517565139898</v>
      </c>
      <c r="AF2365" s="1" t="s">
        <v>2597</v>
      </c>
    </row>
    <row r="2366" spans="1:32" x14ac:dyDescent="0.2">
      <c r="A2366" s="1" t="s">
        <v>2566</v>
      </c>
      <c r="B2366" s="1" t="s">
        <v>5</v>
      </c>
      <c r="C2366" s="1" t="s">
        <v>1575</v>
      </c>
      <c r="D2366" s="1" t="s">
        <v>1578</v>
      </c>
      <c r="E2366" s="1" t="s">
        <v>1579</v>
      </c>
      <c r="F2366" s="1" t="s">
        <v>429</v>
      </c>
      <c r="G2366" s="4">
        <f>1333/120000000</f>
        <v>1.1108333333333333E-5</v>
      </c>
      <c r="H2366" s="28">
        <v>42735</v>
      </c>
      <c r="I2366" s="29">
        <f t="shared" si="2445"/>
        <v>2016</v>
      </c>
      <c r="J2366" s="1" t="s">
        <v>7</v>
      </c>
      <c r="K2366" s="1" t="s">
        <v>2566</v>
      </c>
      <c r="L2366" s="11" t="str">
        <f t="shared" si="2454"/>
        <v>ДА</v>
      </c>
      <c r="M2366" s="10">
        <v>0</v>
      </c>
      <c r="N2366" s="10">
        <v>0</v>
      </c>
      <c r="O2366" s="10" t="s">
        <v>1575</v>
      </c>
      <c r="P2366" s="10" t="str">
        <f t="shared" si="2443"/>
        <v>NA</v>
      </c>
      <c r="Q2366" s="10" t="str">
        <f t="shared" si="2444"/>
        <v>NA</v>
      </c>
      <c r="R2366" s="10">
        <v>848.13400000000001</v>
      </c>
      <c r="S2366" s="10">
        <v>420.28</v>
      </c>
      <c r="T2366" s="10">
        <v>291.75700000000001</v>
      </c>
      <c r="U2366" s="10">
        <v>232.90700000000001</v>
      </c>
      <c r="V2366" s="10">
        <v>1716.355</v>
      </c>
      <c r="W2366" s="10">
        <v>364.38700000000006</v>
      </c>
      <c r="X2366" s="10">
        <f t="shared" si="2446"/>
        <v>2080.7420000000002</v>
      </c>
      <c r="Y2366" s="10" t="str">
        <f t="shared" si="2447"/>
        <v>NA</v>
      </c>
      <c r="Z2366" s="10" t="str">
        <f t="shared" si="2448"/>
        <v>NA</v>
      </c>
      <c r="AA2366" s="10" t="str">
        <f t="shared" si="2449"/>
        <v>NA</v>
      </c>
      <c r="AB2366" s="10" t="str">
        <f t="shared" si="2450"/>
        <v>NA</v>
      </c>
      <c r="AC2366" s="10" t="str">
        <f t="shared" si="2451"/>
        <v>NA</v>
      </c>
      <c r="AD2366" s="10" t="str">
        <f t="shared" si="2452"/>
        <v>NA</v>
      </c>
      <c r="AE2366" s="10" t="str">
        <f t="shared" si="2453"/>
        <v>NA</v>
      </c>
      <c r="AF2366" s="1" t="s">
        <v>2613</v>
      </c>
    </row>
    <row r="2367" spans="1:32" x14ac:dyDescent="0.2">
      <c r="A2367" s="1" t="s">
        <v>6400</v>
      </c>
      <c r="B2367" s="1" t="s">
        <v>5</v>
      </c>
      <c r="C2367" s="1" t="s">
        <v>1575</v>
      </c>
      <c r="D2367" s="1" t="s">
        <v>1578</v>
      </c>
      <c r="E2367" s="1" t="s">
        <v>2315</v>
      </c>
      <c r="F2367" s="1" t="s">
        <v>2578</v>
      </c>
      <c r="G2367" s="4">
        <v>0.28999999999999998</v>
      </c>
      <c r="H2367" s="28">
        <v>42220</v>
      </c>
      <c r="I2367" s="29">
        <f t="shared" si="2445"/>
        <v>2015</v>
      </c>
      <c r="J2367" s="1" t="s">
        <v>2566</v>
      </c>
      <c r="K2367" s="1" t="s">
        <v>7</v>
      </c>
      <c r="L2367" s="11" t="str">
        <f t="shared" si="2454"/>
        <v>НЕТ</v>
      </c>
      <c r="M2367" s="10">
        <v>0</v>
      </c>
      <c r="N2367" s="10">
        <v>0</v>
      </c>
      <c r="O2367" s="10">
        <v>0.32</v>
      </c>
      <c r="P2367" s="10">
        <f t="shared" si="2443"/>
        <v>1.1034482758620692</v>
      </c>
      <c r="Q2367" s="10" t="str">
        <f t="shared" si="2444"/>
        <v>NA</v>
      </c>
      <c r="R2367" s="10" t="s">
        <v>1575</v>
      </c>
      <c r="S2367" s="10" t="s">
        <v>1575</v>
      </c>
      <c r="T2367" s="10" t="s">
        <v>1575</v>
      </c>
      <c r="U2367" s="10" t="s">
        <v>1575</v>
      </c>
      <c r="V2367" s="10">
        <v>6.1404E-2</v>
      </c>
      <c r="W2367" s="10" t="s">
        <v>1575</v>
      </c>
      <c r="X2367" s="10" t="str">
        <f t="shared" si="2446"/>
        <v>NA</v>
      </c>
      <c r="Y2367" s="10" t="str">
        <f t="shared" si="2447"/>
        <v>NA</v>
      </c>
      <c r="Z2367" s="10" t="str">
        <f t="shared" si="2448"/>
        <v>NA</v>
      </c>
      <c r="AA2367" s="10">
        <f t="shared" si="2449"/>
        <v>17.970299587356998</v>
      </c>
      <c r="AB2367" s="10" t="str">
        <f t="shared" si="2450"/>
        <v>NA</v>
      </c>
      <c r="AC2367" s="10" t="str">
        <f t="shared" si="2451"/>
        <v>NA</v>
      </c>
      <c r="AD2367" s="10" t="str">
        <f t="shared" si="2452"/>
        <v>NA</v>
      </c>
      <c r="AE2367" s="10" t="str">
        <f t="shared" si="2453"/>
        <v>NA</v>
      </c>
      <c r="AF2367" s="1" t="s">
        <v>2591</v>
      </c>
    </row>
    <row r="2368" spans="1:32" x14ac:dyDescent="0.2">
      <c r="A2368" s="1" t="s">
        <v>6411</v>
      </c>
      <c r="B2368" s="1" t="s">
        <v>5</v>
      </c>
      <c r="C2368" s="1" t="s">
        <v>1575</v>
      </c>
      <c r="D2368" s="1" t="s">
        <v>1578</v>
      </c>
      <c r="E2368" s="1" t="s">
        <v>1579</v>
      </c>
      <c r="F2368" s="1" t="s">
        <v>429</v>
      </c>
      <c r="G2368" s="4">
        <v>1</v>
      </c>
      <c r="H2368" s="28">
        <v>42026</v>
      </c>
      <c r="I2368" s="29">
        <f t="shared" si="2445"/>
        <v>2015</v>
      </c>
      <c r="J2368" s="1" t="s">
        <v>2566</v>
      </c>
      <c r="K2368" s="1" t="s">
        <v>7</v>
      </c>
      <c r="L2368" s="11" t="str">
        <f t="shared" si="2454"/>
        <v>НЕТ</v>
      </c>
      <c r="M2368" s="10">
        <v>0</v>
      </c>
      <c r="N2368" s="10">
        <v>0</v>
      </c>
      <c r="O2368" s="10">
        <v>0.131471</v>
      </c>
      <c r="P2368" s="10">
        <f t="shared" si="2443"/>
        <v>0.131471</v>
      </c>
      <c r="Q2368" s="10">
        <f t="shared" si="2444"/>
        <v>0.15779300000000002</v>
      </c>
      <c r="R2368" s="10" t="s">
        <v>1575</v>
      </c>
      <c r="S2368" s="10" t="s">
        <v>1575</v>
      </c>
      <c r="T2368" s="10" t="s">
        <v>1575</v>
      </c>
      <c r="U2368" s="10" t="s">
        <v>1575</v>
      </c>
      <c r="V2368" s="10">
        <v>0.115491</v>
      </c>
      <c r="W2368" s="10">
        <f>0.017577+0.008763-0.000018</f>
        <v>2.6321999999999998E-2</v>
      </c>
      <c r="X2368" s="10">
        <f t="shared" si="2446"/>
        <v>0.14181299999999999</v>
      </c>
      <c r="Y2368" s="10" t="str">
        <f t="shared" si="2447"/>
        <v>NA</v>
      </c>
      <c r="Z2368" s="10" t="str">
        <f t="shared" si="2448"/>
        <v>NA</v>
      </c>
      <c r="AA2368" s="10">
        <f t="shared" si="2449"/>
        <v>1.1383657601025188</v>
      </c>
      <c r="AB2368" s="10" t="str">
        <f t="shared" si="2450"/>
        <v>NA</v>
      </c>
      <c r="AC2368" s="10" t="str">
        <f t="shared" si="2451"/>
        <v>NA</v>
      </c>
      <c r="AD2368" s="10" t="str">
        <f t="shared" si="2452"/>
        <v>NA</v>
      </c>
      <c r="AE2368" s="10">
        <f t="shared" si="2453"/>
        <v>1.112683604465035</v>
      </c>
      <c r="AF2368" s="1" t="s">
        <v>2600</v>
      </c>
    </row>
    <row r="2369" spans="1:32" x14ac:dyDescent="0.2">
      <c r="A2369" s="1" t="s">
        <v>6396</v>
      </c>
      <c r="B2369" s="1" t="s">
        <v>5</v>
      </c>
      <c r="C2369" s="1" t="s">
        <v>1575</v>
      </c>
      <c r="D2369" s="1" t="s">
        <v>1578</v>
      </c>
      <c r="E2369" s="1" t="s">
        <v>2315</v>
      </c>
      <c r="F2369" s="1" t="s">
        <v>2568</v>
      </c>
      <c r="G2369" s="4">
        <v>0.75</v>
      </c>
      <c r="H2369" s="28">
        <v>42285</v>
      </c>
      <c r="I2369" s="29">
        <f t="shared" si="2445"/>
        <v>2015</v>
      </c>
      <c r="J2369" s="1" t="s">
        <v>2566</v>
      </c>
      <c r="K2369" s="1" t="s">
        <v>7</v>
      </c>
      <c r="L2369" s="11" t="str">
        <f t="shared" si="2454"/>
        <v>НЕТ</v>
      </c>
      <c r="M2369" s="10">
        <v>0</v>
      </c>
      <c r="N2369" s="10">
        <v>0</v>
      </c>
      <c r="O2369" s="10">
        <v>0.98398099999999999</v>
      </c>
      <c r="P2369" s="10">
        <f t="shared" si="2443"/>
        <v>1.3119746666666667</v>
      </c>
      <c r="Q2369" s="10">
        <f t="shared" si="2444"/>
        <v>1.8415476666666668</v>
      </c>
      <c r="R2369" s="10" t="s">
        <v>1575</v>
      </c>
      <c r="S2369" s="10" t="s">
        <v>1575</v>
      </c>
      <c r="T2369" s="10" t="s">
        <v>1575</v>
      </c>
      <c r="U2369" s="10" t="s">
        <v>1575</v>
      </c>
      <c r="V2369" s="10">
        <v>-5.2300000000000003E-3</v>
      </c>
      <c r="W2369" s="10">
        <f>0.425338-0.047741+0.151976</f>
        <v>0.52957300000000007</v>
      </c>
      <c r="X2369" s="10">
        <f t="shared" si="2446"/>
        <v>0.52434300000000011</v>
      </c>
      <c r="Y2369" s="10" t="str">
        <f t="shared" si="2447"/>
        <v>NA</v>
      </c>
      <c r="Z2369" s="10" t="str">
        <f t="shared" si="2448"/>
        <v>NA</v>
      </c>
      <c r="AA2369" s="10">
        <f t="shared" si="2449"/>
        <v>-250.85557680050988</v>
      </c>
      <c r="AB2369" s="10" t="str">
        <f t="shared" si="2450"/>
        <v>NA</v>
      </c>
      <c r="AC2369" s="10" t="str">
        <f t="shared" si="2451"/>
        <v>NA</v>
      </c>
      <c r="AD2369" s="10" t="str">
        <f t="shared" si="2452"/>
        <v>NA</v>
      </c>
      <c r="AE2369" s="10">
        <f t="shared" si="2453"/>
        <v>3.5121049897999335</v>
      </c>
      <c r="AF2369" s="1" t="s">
        <v>2601</v>
      </c>
    </row>
    <row r="2370" spans="1:32" x14ac:dyDescent="0.2">
      <c r="A2370" s="1" t="s">
        <v>6412</v>
      </c>
      <c r="B2370" s="1" t="s">
        <v>5</v>
      </c>
      <c r="C2370" s="1" t="s">
        <v>1575</v>
      </c>
      <c r="D2370" s="1" t="s">
        <v>1578</v>
      </c>
      <c r="E2370" s="1" t="s">
        <v>2315</v>
      </c>
      <c r="F2370" s="1" t="s">
        <v>2583</v>
      </c>
      <c r="G2370" s="4">
        <f>100%-89.2%</f>
        <v>0.10799999999999998</v>
      </c>
      <c r="H2370" s="28">
        <v>42369</v>
      </c>
      <c r="I2370" s="29">
        <f t="shared" si="2445"/>
        <v>2015</v>
      </c>
      <c r="J2370" s="1" t="s">
        <v>2566</v>
      </c>
      <c r="K2370" s="1" t="s">
        <v>7</v>
      </c>
      <c r="L2370" s="11" t="str">
        <f t="shared" si="2454"/>
        <v>НЕТ</v>
      </c>
      <c r="M2370" s="10">
        <v>0</v>
      </c>
      <c r="N2370" s="10">
        <v>0</v>
      </c>
      <c r="O2370" s="10">
        <v>0.98398099999999999</v>
      </c>
      <c r="P2370" s="10">
        <f t="shared" si="2443"/>
        <v>9.1109351851851859</v>
      </c>
      <c r="Q2370" s="10" t="str">
        <f t="shared" si="2444"/>
        <v>NA</v>
      </c>
      <c r="R2370" s="10" t="s">
        <v>1575</v>
      </c>
      <c r="S2370" s="10" t="s">
        <v>1575</v>
      </c>
      <c r="T2370" s="10" t="s">
        <v>1575</v>
      </c>
      <c r="U2370" s="10" t="s">
        <v>1575</v>
      </c>
      <c r="V2370" s="10" t="s">
        <v>1575</v>
      </c>
      <c r="W2370" s="10" t="s">
        <v>1575</v>
      </c>
      <c r="X2370" s="10" t="str">
        <f t="shared" si="2446"/>
        <v>NA</v>
      </c>
      <c r="Y2370" s="10" t="str">
        <f t="shared" si="2447"/>
        <v>NA</v>
      </c>
      <c r="Z2370" s="10" t="str">
        <f t="shared" si="2448"/>
        <v>NA</v>
      </c>
      <c r="AA2370" s="10" t="str">
        <f t="shared" si="2449"/>
        <v>NA</v>
      </c>
      <c r="AB2370" s="10" t="str">
        <f t="shared" si="2450"/>
        <v>NA</v>
      </c>
      <c r="AC2370" s="10" t="str">
        <f t="shared" si="2451"/>
        <v>NA</v>
      </c>
      <c r="AD2370" s="10" t="str">
        <f t="shared" si="2452"/>
        <v>NA</v>
      </c>
      <c r="AE2370" s="10" t="str">
        <f t="shared" si="2453"/>
        <v>NA</v>
      </c>
      <c r="AF2370" s="1" t="s">
        <v>2592</v>
      </c>
    </row>
    <row r="2371" spans="1:32" x14ac:dyDescent="0.2">
      <c r="A2371" s="1" t="s">
        <v>6407</v>
      </c>
      <c r="B2371" s="1" t="s">
        <v>5</v>
      </c>
      <c r="C2371" s="1" t="s">
        <v>1575</v>
      </c>
      <c r="D2371" s="1" t="s">
        <v>1578</v>
      </c>
      <c r="E2371" s="1" t="s">
        <v>2315</v>
      </c>
      <c r="F2371" s="1" t="s">
        <v>511</v>
      </c>
      <c r="G2371" s="4">
        <v>0.1</v>
      </c>
      <c r="H2371" s="28">
        <v>42369</v>
      </c>
      <c r="I2371" s="29">
        <f t="shared" si="2445"/>
        <v>2015</v>
      </c>
      <c r="J2371" s="1" t="s">
        <v>2566</v>
      </c>
      <c r="K2371" s="1" t="s">
        <v>7</v>
      </c>
      <c r="L2371" s="11" t="str">
        <f t="shared" si="2454"/>
        <v>НЕТ</v>
      </c>
      <c r="M2371" s="10">
        <v>0</v>
      </c>
      <c r="N2371" s="10">
        <v>0</v>
      </c>
      <c r="O2371" s="10">
        <v>0.12249599999999999</v>
      </c>
      <c r="P2371" s="10">
        <f t="shared" ref="P2371:P2434" si="2455">IFERROR(O2371/G2371,"NA")</f>
        <v>1.2249599999999998</v>
      </c>
      <c r="Q2371" s="10" t="str">
        <f t="shared" ref="Q2371:Q2434" si="2456">IFERROR(P2371+W2371,"NA")</f>
        <v>NA</v>
      </c>
      <c r="R2371" s="10" t="s">
        <v>1575</v>
      </c>
      <c r="S2371" s="10" t="s">
        <v>1575</v>
      </c>
      <c r="T2371" s="10" t="s">
        <v>1575</v>
      </c>
      <c r="U2371" s="10" t="s">
        <v>1575</v>
      </c>
      <c r="V2371" s="10" t="s">
        <v>1575</v>
      </c>
      <c r="W2371" s="10" t="s">
        <v>1575</v>
      </c>
      <c r="X2371" s="10" t="str">
        <f t="shared" si="2446"/>
        <v>NA</v>
      </c>
      <c r="Y2371" s="10" t="str">
        <f t="shared" si="2447"/>
        <v>NA</v>
      </c>
      <c r="Z2371" s="10" t="str">
        <f t="shared" si="2448"/>
        <v>NA</v>
      </c>
      <c r="AA2371" s="10" t="str">
        <f t="shared" si="2449"/>
        <v>NA</v>
      </c>
      <c r="AB2371" s="10" t="str">
        <f t="shared" si="2450"/>
        <v>NA</v>
      </c>
      <c r="AC2371" s="10" t="str">
        <f t="shared" si="2451"/>
        <v>NA</v>
      </c>
      <c r="AD2371" s="10" t="str">
        <f t="shared" si="2452"/>
        <v>NA</v>
      </c>
      <c r="AE2371" s="10" t="str">
        <f t="shared" si="2453"/>
        <v>NA</v>
      </c>
      <c r="AF2371" s="1" t="s">
        <v>2593</v>
      </c>
    </row>
    <row r="2372" spans="1:32" x14ac:dyDescent="0.2">
      <c r="A2372" s="1" t="s">
        <v>6407</v>
      </c>
      <c r="B2372" s="1" t="s">
        <v>5</v>
      </c>
      <c r="C2372" s="1" t="s">
        <v>1575</v>
      </c>
      <c r="D2372" s="1" t="s">
        <v>1578</v>
      </c>
      <c r="E2372" s="1" t="s">
        <v>2315</v>
      </c>
      <c r="F2372" s="1" t="s">
        <v>511</v>
      </c>
      <c r="G2372" s="4">
        <v>0.1</v>
      </c>
      <c r="H2372" s="28">
        <v>42369</v>
      </c>
      <c r="I2372" s="29">
        <f t="shared" si="2445"/>
        <v>2015</v>
      </c>
      <c r="J2372" s="1" t="s">
        <v>7</v>
      </c>
      <c r="K2372" s="1" t="s">
        <v>2566</v>
      </c>
      <c r="L2372" s="11" t="str">
        <f t="shared" si="2454"/>
        <v>НЕТ</v>
      </c>
      <c r="M2372" s="10">
        <v>0</v>
      </c>
      <c r="N2372" s="10">
        <v>0</v>
      </c>
      <c r="O2372" s="10">
        <v>0.12249599999999999</v>
      </c>
      <c r="P2372" s="10">
        <f t="shared" si="2455"/>
        <v>1.2249599999999998</v>
      </c>
      <c r="Q2372" s="10" t="str">
        <f t="shared" si="2456"/>
        <v>NA</v>
      </c>
      <c r="R2372" s="10" t="s">
        <v>1575</v>
      </c>
      <c r="S2372" s="10" t="s">
        <v>1575</v>
      </c>
      <c r="T2372" s="10" t="s">
        <v>1575</v>
      </c>
      <c r="U2372" s="10" t="s">
        <v>1575</v>
      </c>
      <c r="V2372" s="10" t="s">
        <v>1575</v>
      </c>
      <c r="W2372" s="10" t="s">
        <v>1575</v>
      </c>
      <c r="X2372" s="10" t="str">
        <f t="shared" si="2446"/>
        <v>NA</v>
      </c>
      <c r="Y2372" s="10" t="str">
        <f t="shared" si="2447"/>
        <v>NA</v>
      </c>
      <c r="Z2372" s="10" t="str">
        <f t="shared" si="2448"/>
        <v>NA</v>
      </c>
      <c r="AA2372" s="10" t="str">
        <f t="shared" si="2449"/>
        <v>NA</v>
      </c>
      <c r="AB2372" s="10" t="str">
        <f t="shared" si="2450"/>
        <v>NA</v>
      </c>
      <c r="AC2372" s="10" t="str">
        <f t="shared" si="2451"/>
        <v>NA</v>
      </c>
      <c r="AD2372" s="10" t="str">
        <f t="shared" si="2452"/>
        <v>NA</v>
      </c>
      <c r="AE2372" s="10" t="str">
        <f t="shared" si="2453"/>
        <v>NA</v>
      </c>
      <c r="AF2372" s="1" t="s">
        <v>2594</v>
      </c>
    </row>
    <row r="2373" spans="1:32" x14ac:dyDescent="0.2">
      <c r="A2373" s="1" t="s">
        <v>6413</v>
      </c>
      <c r="B2373" s="1" t="s">
        <v>5</v>
      </c>
      <c r="C2373" s="1" t="s">
        <v>1575</v>
      </c>
      <c r="D2373" s="1" t="s">
        <v>1578</v>
      </c>
      <c r="E2373" s="1" t="s">
        <v>2315</v>
      </c>
      <c r="F2373" s="1" t="s">
        <v>2569</v>
      </c>
      <c r="G2373" s="4">
        <v>1</v>
      </c>
      <c r="H2373" s="28">
        <v>42037</v>
      </c>
      <c r="I2373" s="29">
        <f t="shared" si="2445"/>
        <v>2015</v>
      </c>
      <c r="J2373" s="1" t="s">
        <v>2566</v>
      </c>
      <c r="K2373" s="1" t="s">
        <v>7</v>
      </c>
      <c r="L2373" s="11" t="str">
        <f t="shared" si="2454"/>
        <v>НЕТ</v>
      </c>
      <c r="M2373" s="10">
        <v>0</v>
      </c>
      <c r="N2373" s="10">
        <v>0</v>
      </c>
      <c r="O2373" s="10">
        <v>0.32224199999999997</v>
      </c>
      <c r="P2373" s="10">
        <f t="shared" si="2455"/>
        <v>0.32224199999999997</v>
      </c>
      <c r="Q2373" s="10">
        <f t="shared" si="2456"/>
        <v>1.2842829999999998</v>
      </c>
      <c r="R2373" s="10" t="s">
        <v>1575</v>
      </c>
      <c r="S2373" s="10" t="s">
        <v>1575</v>
      </c>
      <c r="T2373" s="10" t="s">
        <v>1575</v>
      </c>
      <c r="U2373" s="10" t="s">
        <v>1575</v>
      </c>
      <c r="V2373" s="10">
        <v>0.11272500000000001</v>
      </c>
      <c r="W2373" s="10">
        <f>0.966868-0.004827</f>
        <v>0.96204099999999992</v>
      </c>
      <c r="X2373" s="10">
        <f t="shared" si="2446"/>
        <v>1.0747659999999999</v>
      </c>
      <c r="Y2373" s="10" t="str">
        <f t="shared" si="2447"/>
        <v>NA</v>
      </c>
      <c r="Z2373" s="10" t="str">
        <f t="shared" si="2448"/>
        <v>NA</v>
      </c>
      <c r="AA2373" s="10">
        <f t="shared" si="2449"/>
        <v>2.8586560212907512</v>
      </c>
      <c r="AB2373" s="10" t="str">
        <f t="shared" si="2450"/>
        <v>NA</v>
      </c>
      <c r="AC2373" s="10" t="str">
        <f t="shared" si="2451"/>
        <v>NA</v>
      </c>
      <c r="AD2373" s="10" t="str">
        <f t="shared" si="2452"/>
        <v>NA</v>
      </c>
      <c r="AE2373" s="10">
        <f t="shared" si="2453"/>
        <v>1.1949419687634331</v>
      </c>
      <c r="AF2373" s="1" t="s">
        <v>2599</v>
      </c>
    </row>
    <row r="2374" spans="1:32" x14ac:dyDescent="0.2">
      <c r="A2374" s="1" t="s">
        <v>6412</v>
      </c>
      <c r="B2374" s="1" t="s">
        <v>5</v>
      </c>
      <c r="C2374" s="1" t="s">
        <v>1575</v>
      </c>
      <c r="D2374" s="1" t="s">
        <v>1578</v>
      </c>
      <c r="E2374" s="1" t="s">
        <v>2315</v>
      </c>
      <c r="F2374" s="1" t="s">
        <v>2583</v>
      </c>
      <c r="G2374" s="4" t="s">
        <v>1575</v>
      </c>
      <c r="H2374" s="28">
        <v>42369</v>
      </c>
      <c r="I2374" s="29">
        <f t="shared" si="2445"/>
        <v>2015</v>
      </c>
      <c r="J2374" s="1" t="s">
        <v>2566</v>
      </c>
      <c r="K2374" s="1" t="s">
        <v>7</v>
      </c>
      <c r="L2374" s="11" t="str">
        <f t="shared" si="2454"/>
        <v>НЕТ</v>
      </c>
      <c r="M2374" s="10">
        <v>0</v>
      </c>
      <c r="N2374" s="10">
        <v>0</v>
      </c>
      <c r="O2374" s="10">
        <v>4.5175E-2</v>
      </c>
      <c r="P2374" s="10" t="str">
        <f t="shared" si="2455"/>
        <v>NA</v>
      </c>
      <c r="Q2374" s="10" t="str">
        <f t="shared" si="2456"/>
        <v>NA</v>
      </c>
      <c r="R2374" s="10" t="s">
        <v>1575</v>
      </c>
      <c r="S2374" s="10" t="s">
        <v>1575</v>
      </c>
      <c r="T2374" s="10" t="s">
        <v>1575</v>
      </c>
      <c r="U2374" s="10" t="s">
        <v>1575</v>
      </c>
      <c r="V2374" s="10" t="s">
        <v>1575</v>
      </c>
      <c r="W2374" s="10" t="s">
        <v>1575</v>
      </c>
      <c r="X2374" s="10" t="str">
        <f t="shared" si="2446"/>
        <v>NA</v>
      </c>
      <c r="Y2374" s="10" t="str">
        <f t="shared" si="2447"/>
        <v>NA</v>
      </c>
      <c r="Z2374" s="10" t="str">
        <f t="shared" si="2448"/>
        <v>NA</v>
      </c>
      <c r="AA2374" s="10" t="str">
        <f t="shared" si="2449"/>
        <v>NA</v>
      </c>
      <c r="AB2374" s="10" t="str">
        <f t="shared" si="2450"/>
        <v>NA</v>
      </c>
      <c r="AC2374" s="10" t="str">
        <f t="shared" si="2451"/>
        <v>NA</v>
      </c>
      <c r="AD2374" s="10" t="str">
        <f t="shared" si="2452"/>
        <v>NA</v>
      </c>
      <c r="AE2374" s="10" t="str">
        <f t="shared" si="2453"/>
        <v>NA</v>
      </c>
      <c r="AF2374" s="1" t="s">
        <v>2605</v>
      </c>
    </row>
    <row r="2375" spans="1:32" x14ac:dyDescent="0.2">
      <c r="A2375" s="1" t="s">
        <v>2566</v>
      </c>
      <c r="B2375" s="1" t="s">
        <v>5</v>
      </c>
      <c r="C2375" s="1" t="s">
        <v>1575</v>
      </c>
      <c r="D2375" s="1" t="s">
        <v>1578</v>
      </c>
      <c r="E2375" s="1" t="s">
        <v>1579</v>
      </c>
      <c r="F2375" s="1" t="s">
        <v>429</v>
      </c>
      <c r="G2375" s="4">
        <f>40008/120000000</f>
        <v>3.3340000000000003E-4</v>
      </c>
      <c r="H2375" s="28">
        <v>42004</v>
      </c>
      <c r="I2375" s="29">
        <f t="shared" si="2445"/>
        <v>2014</v>
      </c>
      <c r="J2375" s="1" t="s">
        <v>2566</v>
      </c>
      <c r="K2375" s="1" t="s">
        <v>7</v>
      </c>
      <c r="L2375" s="11" t="str">
        <f t="shared" si="2454"/>
        <v>ДА</v>
      </c>
      <c r="M2375" s="10">
        <v>0</v>
      </c>
      <c r="N2375" s="10">
        <v>0</v>
      </c>
      <c r="O2375" s="10">
        <v>4.4033000000000003E-2</v>
      </c>
      <c r="P2375" s="10">
        <f t="shared" si="2455"/>
        <v>132.07258548290341</v>
      </c>
      <c r="Q2375" s="10">
        <f t="shared" si="2456"/>
        <v>416.70058548290342</v>
      </c>
      <c r="R2375" s="10">
        <v>774.38</v>
      </c>
      <c r="S2375" s="10">
        <v>343.15500000000003</v>
      </c>
      <c r="T2375" s="10">
        <v>231.33700000000005</v>
      </c>
      <c r="U2375" s="10">
        <v>59.5</v>
      </c>
      <c r="V2375" s="10">
        <v>1368.8630000000001</v>
      </c>
      <c r="W2375" s="10">
        <v>284.62799999999999</v>
      </c>
      <c r="X2375" s="10">
        <f t="shared" si="2446"/>
        <v>1653.491</v>
      </c>
      <c r="Y2375" s="10">
        <f t="shared" si="2447"/>
        <v>0.17055268147796096</v>
      </c>
      <c r="Z2375" s="10">
        <f t="shared" si="2448"/>
        <v>2.2197073190403933</v>
      </c>
      <c r="AA2375" s="10">
        <f t="shared" si="2449"/>
        <v>9.6483421264877051E-2</v>
      </c>
      <c r="AB2375" s="10">
        <f t="shared" si="2450"/>
        <v>0.53810866174604643</v>
      </c>
      <c r="AC2375" s="10">
        <f t="shared" si="2451"/>
        <v>1.2143217656245819</v>
      </c>
      <c r="AD2375" s="10">
        <f t="shared" si="2452"/>
        <v>1.8012708104752087</v>
      </c>
      <c r="AE2375" s="10">
        <f t="shared" si="2453"/>
        <v>0.2520126117909946</v>
      </c>
      <c r="AF2375" s="1" t="s">
        <v>2614</v>
      </c>
    </row>
    <row r="2376" spans="1:32" x14ac:dyDescent="0.2">
      <c r="A2376" s="1" t="s">
        <v>6414</v>
      </c>
      <c r="B2376" s="1" t="s">
        <v>5</v>
      </c>
      <c r="C2376" s="1" t="s">
        <v>1575</v>
      </c>
      <c r="D2376" s="1" t="s">
        <v>1578</v>
      </c>
      <c r="E2376" s="1" t="s">
        <v>2315</v>
      </c>
      <c r="F2376" s="1" t="s">
        <v>511</v>
      </c>
      <c r="G2376" s="4">
        <v>0.31</v>
      </c>
      <c r="H2376" s="28">
        <v>41719</v>
      </c>
      <c r="I2376" s="29">
        <f t="shared" si="2445"/>
        <v>2014</v>
      </c>
      <c r="J2376" s="1" t="s">
        <v>2566</v>
      </c>
      <c r="K2376" s="1" t="s">
        <v>7</v>
      </c>
      <c r="L2376" s="11" t="str">
        <f t="shared" si="2454"/>
        <v>НЕТ</v>
      </c>
      <c r="M2376" s="10">
        <v>0</v>
      </c>
      <c r="N2376" s="10">
        <v>0</v>
      </c>
      <c r="O2376" s="10">
        <v>2.3601E-2</v>
      </c>
      <c r="P2376" s="10">
        <f t="shared" si="2455"/>
        <v>7.6132258064516137E-2</v>
      </c>
      <c r="Q2376" s="10" t="str">
        <f t="shared" si="2456"/>
        <v>NA</v>
      </c>
      <c r="R2376" s="10" t="s">
        <v>1575</v>
      </c>
      <c r="S2376" s="10" t="s">
        <v>1575</v>
      </c>
      <c r="T2376" s="10" t="s">
        <v>1575</v>
      </c>
      <c r="U2376" s="10" t="s">
        <v>1575</v>
      </c>
      <c r="V2376" s="10">
        <v>5.9859000000000002E-2</v>
      </c>
      <c r="W2376" s="10" t="s">
        <v>1575</v>
      </c>
      <c r="X2376" s="10" t="str">
        <f t="shared" si="2446"/>
        <v>NA</v>
      </c>
      <c r="Y2376" s="10" t="str">
        <f t="shared" si="2447"/>
        <v>NA</v>
      </c>
      <c r="Z2376" s="10" t="str">
        <f t="shared" si="2448"/>
        <v>NA</v>
      </c>
      <c r="AA2376" s="10">
        <f t="shared" si="2449"/>
        <v>1.2718598383620865</v>
      </c>
      <c r="AB2376" s="10" t="str">
        <f t="shared" si="2450"/>
        <v>NA</v>
      </c>
      <c r="AC2376" s="10" t="str">
        <f t="shared" si="2451"/>
        <v>NA</v>
      </c>
      <c r="AD2376" s="10" t="str">
        <f t="shared" si="2452"/>
        <v>NA</v>
      </c>
      <c r="AE2376" s="10" t="str">
        <f t="shared" si="2453"/>
        <v>NA</v>
      </c>
      <c r="AF2376" s="1" t="s">
        <v>2602</v>
      </c>
    </row>
    <row r="2377" spans="1:32" x14ac:dyDescent="0.2">
      <c r="A2377" s="1" t="s">
        <v>6414</v>
      </c>
      <c r="B2377" s="1" t="s">
        <v>5</v>
      </c>
      <c r="C2377" s="1" t="s">
        <v>1575</v>
      </c>
      <c r="D2377" s="1" t="s">
        <v>1578</v>
      </c>
      <c r="E2377" s="1" t="s">
        <v>2315</v>
      </c>
      <c r="F2377" s="1" t="s">
        <v>511</v>
      </c>
      <c r="G2377" s="4">
        <v>0.68869999999999998</v>
      </c>
      <c r="H2377" s="28">
        <v>41877</v>
      </c>
      <c r="I2377" s="29">
        <f t="shared" si="2445"/>
        <v>2014</v>
      </c>
      <c r="J2377" s="1" t="s">
        <v>2566</v>
      </c>
      <c r="K2377" s="1" t="s">
        <v>7</v>
      </c>
      <c r="L2377" s="11" t="str">
        <f t="shared" si="2454"/>
        <v>НЕТ</v>
      </c>
      <c r="M2377" s="10">
        <v>0</v>
      </c>
      <c r="N2377" s="10">
        <v>0</v>
      </c>
      <c r="O2377" s="10">
        <v>5.2434000000000001E-2</v>
      </c>
      <c r="P2377" s="10">
        <f t="shared" si="2455"/>
        <v>7.6134746624074351E-2</v>
      </c>
      <c r="Q2377" s="10" t="str">
        <f t="shared" si="2456"/>
        <v>NA</v>
      </c>
      <c r="R2377" s="10" t="s">
        <v>1575</v>
      </c>
      <c r="S2377" s="10" t="s">
        <v>1575</v>
      </c>
      <c r="T2377" s="10" t="s">
        <v>1575</v>
      </c>
      <c r="U2377" s="10" t="s">
        <v>1575</v>
      </c>
      <c r="V2377" s="10">
        <v>5.9859000000000002E-2</v>
      </c>
      <c r="W2377" s="10" t="s">
        <v>1575</v>
      </c>
      <c r="X2377" s="10" t="str">
        <f t="shared" si="2446"/>
        <v>NA</v>
      </c>
      <c r="Y2377" s="10" t="str">
        <f t="shared" si="2447"/>
        <v>NA</v>
      </c>
      <c r="Z2377" s="10" t="str">
        <f t="shared" si="2448"/>
        <v>NA</v>
      </c>
      <c r="AA2377" s="10">
        <f t="shared" si="2449"/>
        <v>1.2719014120528969</v>
      </c>
      <c r="AB2377" s="10" t="str">
        <f t="shared" si="2450"/>
        <v>NA</v>
      </c>
      <c r="AC2377" s="10" t="str">
        <f t="shared" si="2451"/>
        <v>NA</v>
      </c>
      <c r="AD2377" s="10" t="str">
        <f t="shared" si="2452"/>
        <v>NA</v>
      </c>
      <c r="AE2377" s="10" t="str">
        <f t="shared" si="2453"/>
        <v>NA</v>
      </c>
      <c r="AF2377" s="1" t="s">
        <v>2603</v>
      </c>
    </row>
    <row r="2378" spans="1:32" x14ac:dyDescent="0.2">
      <c r="A2378" s="1" t="s">
        <v>6415</v>
      </c>
      <c r="B2378" s="1" t="s">
        <v>5</v>
      </c>
      <c r="C2378" s="1" t="s">
        <v>1575</v>
      </c>
      <c r="D2378" s="1" t="s">
        <v>1578</v>
      </c>
      <c r="E2378" s="1" t="s">
        <v>2315</v>
      </c>
      <c r="F2378" s="1" t="s">
        <v>511</v>
      </c>
      <c r="G2378" s="4" t="s">
        <v>2522</v>
      </c>
      <c r="H2378" s="28">
        <v>41877</v>
      </c>
      <c r="I2378" s="29">
        <f t="shared" si="2445"/>
        <v>2014</v>
      </c>
      <c r="J2378" s="1" t="s">
        <v>2566</v>
      </c>
      <c r="K2378" s="1" t="s">
        <v>7</v>
      </c>
      <c r="L2378" s="11" t="str">
        <f t="shared" si="2454"/>
        <v>НЕТ</v>
      </c>
      <c r="M2378" s="10">
        <v>0</v>
      </c>
      <c r="N2378" s="10">
        <v>0</v>
      </c>
      <c r="O2378" s="10">
        <v>5.31E-4</v>
      </c>
      <c r="P2378" s="10" t="str">
        <f t="shared" si="2455"/>
        <v>NA</v>
      </c>
      <c r="Q2378" s="10" t="str">
        <f t="shared" si="2456"/>
        <v>NA</v>
      </c>
      <c r="R2378" s="10" t="s">
        <v>1575</v>
      </c>
      <c r="S2378" s="10" t="s">
        <v>1575</v>
      </c>
      <c r="T2378" s="10" t="s">
        <v>1575</v>
      </c>
      <c r="U2378" s="10" t="s">
        <v>1575</v>
      </c>
      <c r="V2378" s="10" t="s">
        <v>1575</v>
      </c>
      <c r="W2378" s="10" t="s">
        <v>1575</v>
      </c>
      <c r="X2378" s="10" t="str">
        <f t="shared" si="2446"/>
        <v>NA</v>
      </c>
      <c r="Y2378" s="10" t="str">
        <f t="shared" si="2447"/>
        <v>NA</v>
      </c>
      <c r="Z2378" s="10" t="str">
        <f t="shared" si="2448"/>
        <v>NA</v>
      </c>
      <c r="AA2378" s="10" t="str">
        <f t="shared" si="2449"/>
        <v>NA</v>
      </c>
      <c r="AB2378" s="10" t="str">
        <f t="shared" si="2450"/>
        <v>NA</v>
      </c>
      <c r="AC2378" s="10" t="str">
        <f t="shared" si="2451"/>
        <v>NA</v>
      </c>
      <c r="AD2378" s="10" t="str">
        <f t="shared" si="2452"/>
        <v>NA</v>
      </c>
      <c r="AE2378" s="10" t="str">
        <f t="shared" si="2453"/>
        <v>NA</v>
      </c>
      <c r="AF2378" s="1" t="s">
        <v>2606</v>
      </c>
    </row>
    <row r="2379" spans="1:32" x14ac:dyDescent="0.2">
      <c r="A2379" s="1" t="s">
        <v>6405</v>
      </c>
      <c r="B2379" s="1" t="s">
        <v>5</v>
      </c>
      <c r="C2379" s="1" t="s">
        <v>1575</v>
      </c>
      <c r="D2379" s="1" t="s">
        <v>1582</v>
      </c>
      <c r="E2379" s="1" t="s">
        <v>1587</v>
      </c>
      <c r="F2379" s="1" t="s">
        <v>2590</v>
      </c>
      <c r="G2379" s="4">
        <v>0.105</v>
      </c>
      <c r="H2379" s="28">
        <v>41908</v>
      </c>
      <c r="I2379" s="29">
        <f t="shared" si="2445"/>
        <v>2014</v>
      </c>
      <c r="J2379" s="1" t="s">
        <v>2566</v>
      </c>
      <c r="K2379" s="1" t="s">
        <v>7</v>
      </c>
      <c r="L2379" s="11" t="str">
        <f t="shared" si="2454"/>
        <v>НЕТ</v>
      </c>
      <c r="M2379" s="10">
        <v>0</v>
      </c>
      <c r="N2379" s="10">
        <v>0</v>
      </c>
      <c r="O2379" s="10">
        <v>3.3867000000000001E-2</v>
      </c>
      <c r="P2379" s="10">
        <f t="shared" si="2455"/>
        <v>0.32254285714285719</v>
      </c>
      <c r="Q2379" s="10" t="str">
        <f t="shared" si="2456"/>
        <v>NA</v>
      </c>
      <c r="R2379" s="10">
        <v>0.15903900000000001</v>
      </c>
      <c r="S2379" s="10" t="s">
        <v>1575</v>
      </c>
      <c r="T2379" s="10" t="s">
        <v>1575</v>
      </c>
      <c r="U2379" s="10">
        <v>9.68E-4</v>
      </c>
      <c r="V2379" s="10">
        <v>0.348661</v>
      </c>
      <c r="W2379" s="10" t="s">
        <v>1575</v>
      </c>
      <c r="X2379" s="10" t="str">
        <f t="shared" si="2446"/>
        <v>NA</v>
      </c>
      <c r="Y2379" s="10">
        <f t="shared" si="2447"/>
        <v>2.0280739764639941</v>
      </c>
      <c r="Z2379" s="10">
        <f t="shared" si="2448"/>
        <v>333.20543093270368</v>
      </c>
      <c r="AA2379" s="10">
        <f t="shared" si="2449"/>
        <v>0.92509015101447301</v>
      </c>
      <c r="AB2379" s="10" t="str">
        <f t="shared" si="2450"/>
        <v>NA</v>
      </c>
      <c r="AC2379" s="10" t="str">
        <f t="shared" si="2451"/>
        <v>NA</v>
      </c>
      <c r="AD2379" s="10" t="str">
        <f t="shared" si="2452"/>
        <v>NA</v>
      </c>
      <c r="AE2379" s="10" t="str">
        <f t="shared" si="2453"/>
        <v>NA</v>
      </c>
      <c r="AF2379" s="1" t="s">
        <v>2604</v>
      </c>
    </row>
    <row r="2380" spans="1:32" x14ac:dyDescent="0.2">
      <c r="A2380" s="1" t="s">
        <v>6412</v>
      </c>
      <c r="B2380" s="1" t="s">
        <v>5</v>
      </c>
      <c r="C2380" s="1" t="s">
        <v>1575</v>
      </c>
      <c r="D2380" s="1" t="s">
        <v>1578</v>
      </c>
      <c r="E2380" s="1" t="s">
        <v>2315</v>
      </c>
      <c r="F2380" s="1" t="s">
        <v>2583</v>
      </c>
      <c r="G2380" s="4">
        <v>0.1</v>
      </c>
      <c r="H2380" s="28">
        <v>42004</v>
      </c>
      <c r="I2380" s="29">
        <f t="shared" si="2445"/>
        <v>2014</v>
      </c>
      <c r="J2380" s="1" t="s">
        <v>7</v>
      </c>
      <c r="K2380" s="1" t="s">
        <v>2566</v>
      </c>
      <c r="L2380" s="11" t="str">
        <f t="shared" si="2454"/>
        <v>НЕТ</v>
      </c>
      <c r="M2380" s="10">
        <v>0</v>
      </c>
      <c r="N2380" s="10">
        <v>0</v>
      </c>
      <c r="O2380" s="10">
        <v>4.1070000000000002E-2</v>
      </c>
      <c r="P2380" s="10">
        <f t="shared" si="2455"/>
        <v>0.41070000000000001</v>
      </c>
      <c r="Q2380" s="10" t="str">
        <f t="shared" si="2456"/>
        <v>NA</v>
      </c>
      <c r="R2380" s="10" t="s">
        <v>1575</v>
      </c>
      <c r="S2380" s="10" t="s">
        <v>1575</v>
      </c>
      <c r="T2380" s="10" t="s">
        <v>1575</v>
      </c>
      <c r="U2380" s="10" t="s">
        <v>1575</v>
      </c>
      <c r="V2380" s="10" t="s">
        <v>1575</v>
      </c>
      <c r="W2380" s="10" t="s">
        <v>1575</v>
      </c>
      <c r="X2380" s="10" t="str">
        <f t="shared" si="2446"/>
        <v>NA</v>
      </c>
      <c r="Y2380" s="10" t="str">
        <f t="shared" si="2447"/>
        <v>NA</v>
      </c>
      <c r="Z2380" s="10" t="str">
        <f t="shared" si="2448"/>
        <v>NA</v>
      </c>
      <c r="AA2380" s="10" t="str">
        <f t="shared" si="2449"/>
        <v>NA</v>
      </c>
      <c r="AB2380" s="10" t="str">
        <f t="shared" si="2450"/>
        <v>NA</v>
      </c>
      <c r="AC2380" s="10" t="str">
        <f t="shared" si="2451"/>
        <v>NA</v>
      </c>
      <c r="AD2380" s="10" t="str">
        <f t="shared" si="2452"/>
        <v>NA</v>
      </c>
      <c r="AE2380" s="10" t="str">
        <f t="shared" si="2453"/>
        <v>NA</v>
      </c>
      <c r="AF2380" s="1" t="s">
        <v>2608</v>
      </c>
    </row>
    <row r="2381" spans="1:32" x14ac:dyDescent="0.2">
      <c r="A2381" s="1" t="s">
        <v>6416</v>
      </c>
      <c r="B2381" s="1" t="s">
        <v>5</v>
      </c>
      <c r="C2381" s="1" t="s">
        <v>1575</v>
      </c>
      <c r="D2381" s="1" t="s">
        <v>1578</v>
      </c>
      <c r="E2381" s="1" t="s">
        <v>2315</v>
      </c>
      <c r="F2381" s="1" t="s">
        <v>2609</v>
      </c>
      <c r="G2381" s="4">
        <v>0.251</v>
      </c>
      <c r="H2381" s="28">
        <v>41639</v>
      </c>
      <c r="I2381" s="29">
        <f t="shared" si="2445"/>
        <v>2013</v>
      </c>
      <c r="J2381" s="1" t="s">
        <v>2566</v>
      </c>
      <c r="K2381" s="1" t="s">
        <v>7</v>
      </c>
      <c r="L2381" s="11" t="str">
        <f t="shared" si="2454"/>
        <v>НЕТ</v>
      </c>
      <c r="M2381" s="10">
        <v>0</v>
      </c>
      <c r="N2381" s="10">
        <v>0</v>
      </c>
      <c r="O2381" s="10">
        <v>0.251</v>
      </c>
      <c r="P2381" s="10">
        <f t="shared" si="2455"/>
        <v>1</v>
      </c>
      <c r="Q2381" s="10" t="str">
        <f t="shared" si="2456"/>
        <v>NA</v>
      </c>
      <c r="R2381" s="10" t="s">
        <v>1575</v>
      </c>
      <c r="S2381" s="10" t="s">
        <v>1575</v>
      </c>
      <c r="T2381" s="10" t="s">
        <v>1575</v>
      </c>
      <c r="U2381" s="10" t="s">
        <v>1575</v>
      </c>
      <c r="V2381" s="10" t="s">
        <v>1575</v>
      </c>
      <c r="W2381" s="10" t="s">
        <v>1575</v>
      </c>
      <c r="X2381" s="10" t="str">
        <f t="shared" si="2446"/>
        <v>NA</v>
      </c>
      <c r="Y2381" s="10" t="str">
        <f t="shared" si="2447"/>
        <v>NA</v>
      </c>
      <c r="Z2381" s="10" t="str">
        <f t="shared" si="2448"/>
        <v>NA</v>
      </c>
      <c r="AA2381" s="10" t="str">
        <f t="shared" si="2449"/>
        <v>NA</v>
      </c>
      <c r="AB2381" s="10" t="str">
        <f t="shared" si="2450"/>
        <v>NA</v>
      </c>
      <c r="AC2381" s="10" t="str">
        <f t="shared" si="2451"/>
        <v>NA</v>
      </c>
      <c r="AD2381" s="10" t="str">
        <f t="shared" si="2452"/>
        <v>NA</v>
      </c>
      <c r="AE2381" s="10" t="str">
        <f t="shared" si="2453"/>
        <v>NA</v>
      </c>
      <c r="AF2381" s="1" t="s">
        <v>2607</v>
      </c>
    </row>
    <row r="2382" spans="1:32" x14ac:dyDescent="0.2">
      <c r="A2382" s="1" t="s">
        <v>6417</v>
      </c>
      <c r="B2382" s="1" t="s">
        <v>5</v>
      </c>
      <c r="C2382" s="1" t="s">
        <v>1575</v>
      </c>
      <c r="D2382" s="1" t="s">
        <v>1578</v>
      </c>
      <c r="E2382" s="1" t="s">
        <v>2315</v>
      </c>
      <c r="F2382" s="1" t="s">
        <v>2611</v>
      </c>
      <c r="G2382" s="4">
        <f>100%-87.4%</f>
        <v>0.12599999999999989</v>
      </c>
      <c r="H2382" s="28">
        <v>41274</v>
      </c>
      <c r="I2382" s="29">
        <f t="shared" si="2445"/>
        <v>2012</v>
      </c>
      <c r="J2382" s="1" t="s">
        <v>2566</v>
      </c>
      <c r="K2382" s="1" t="s">
        <v>7</v>
      </c>
      <c r="L2382" s="11" t="str">
        <f t="shared" si="2454"/>
        <v>НЕТ</v>
      </c>
      <c r="M2382" s="10">
        <v>0</v>
      </c>
      <c r="N2382" s="10">
        <v>0</v>
      </c>
      <c r="O2382" s="10">
        <v>0.21910399999999999</v>
      </c>
      <c r="P2382" s="10">
        <f t="shared" si="2455"/>
        <v>1.7389206349206363</v>
      </c>
      <c r="Q2382" s="10" t="str">
        <f t="shared" si="2456"/>
        <v>NA</v>
      </c>
      <c r="R2382" s="10" t="s">
        <v>1575</v>
      </c>
      <c r="S2382" s="10" t="s">
        <v>1575</v>
      </c>
      <c r="T2382" s="10" t="s">
        <v>1575</v>
      </c>
      <c r="U2382" s="10" t="s">
        <v>1575</v>
      </c>
      <c r="V2382" s="10" t="s">
        <v>1575</v>
      </c>
      <c r="W2382" s="10" t="s">
        <v>1575</v>
      </c>
      <c r="X2382" s="10" t="str">
        <f t="shared" si="2446"/>
        <v>NA</v>
      </c>
      <c r="Y2382" s="10" t="str">
        <f t="shared" si="2447"/>
        <v>NA</v>
      </c>
      <c r="Z2382" s="10" t="str">
        <f t="shared" si="2448"/>
        <v>NA</v>
      </c>
      <c r="AA2382" s="10" t="str">
        <f t="shared" si="2449"/>
        <v>NA</v>
      </c>
      <c r="AB2382" s="10" t="str">
        <f t="shared" si="2450"/>
        <v>NA</v>
      </c>
      <c r="AC2382" s="10" t="str">
        <f t="shared" si="2451"/>
        <v>NA</v>
      </c>
      <c r="AD2382" s="10" t="str">
        <f t="shared" si="2452"/>
        <v>NA</v>
      </c>
      <c r="AE2382" s="10" t="str">
        <f t="shared" si="2453"/>
        <v>NA</v>
      </c>
      <c r="AF2382" s="1" t="s">
        <v>2610</v>
      </c>
    </row>
    <row r="2383" spans="1:32" x14ac:dyDescent="0.2">
      <c r="A2383" s="1" t="s">
        <v>2566</v>
      </c>
      <c r="B2383" s="1" t="s">
        <v>5</v>
      </c>
      <c r="C2383" s="1" t="s">
        <v>1575</v>
      </c>
      <c r="D2383" s="1" t="s">
        <v>1578</v>
      </c>
      <c r="E2383" s="1" t="s">
        <v>1579</v>
      </c>
      <c r="F2383" s="1" t="s">
        <v>429</v>
      </c>
      <c r="G2383" s="4">
        <f>144322/120000000</f>
        <v>1.2026833333333333E-3</v>
      </c>
      <c r="H2383" s="28">
        <v>41274</v>
      </c>
      <c r="I2383" s="29">
        <f t="shared" si="2445"/>
        <v>2012</v>
      </c>
      <c r="J2383" s="1" t="s">
        <v>2566</v>
      </c>
      <c r="K2383" s="1" t="s">
        <v>7</v>
      </c>
      <c r="L2383" s="11" t="str">
        <f t="shared" si="2454"/>
        <v>ДА</v>
      </c>
      <c r="M2383" s="10">
        <v>0</v>
      </c>
      <c r="N2383" s="10">
        <v>0</v>
      </c>
      <c r="O2383" s="10">
        <v>0.15809699999999999</v>
      </c>
      <c r="P2383" s="10">
        <f t="shared" si="2455"/>
        <v>131.45355524452265</v>
      </c>
      <c r="Q2383" s="10">
        <f t="shared" si="2456"/>
        <v>458.28355524452269</v>
      </c>
      <c r="R2383" s="10">
        <v>732.375</v>
      </c>
      <c r="S2383" s="10">
        <v>327.923</v>
      </c>
      <c r="T2383" s="10">
        <v>243.726</v>
      </c>
      <c r="U2383" s="10">
        <v>184.39</v>
      </c>
      <c r="V2383" s="10">
        <v>1173.33</v>
      </c>
      <c r="W2383" s="10">
        <v>326.83000000000004</v>
      </c>
      <c r="X2383" s="10">
        <f t="shared" si="2446"/>
        <v>1500.1599999999999</v>
      </c>
      <c r="Y2383" s="10">
        <f t="shared" si="2447"/>
        <v>0.17948940808263888</v>
      </c>
      <c r="Z2383" s="10">
        <f t="shared" si="2448"/>
        <v>0.71291043573145318</v>
      </c>
      <c r="AA2383" s="10">
        <f t="shared" si="2449"/>
        <v>0.1120345983180543</v>
      </c>
      <c r="AB2383" s="10">
        <f t="shared" si="2450"/>
        <v>0.62574986208502836</v>
      </c>
      <c r="AC2383" s="10">
        <f t="shared" si="2451"/>
        <v>1.3975340407489645</v>
      </c>
      <c r="AD2383" s="10">
        <f t="shared" si="2452"/>
        <v>1.8803228020175224</v>
      </c>
      <c r="AE2383" s="10">
        <f t="shared" si="2453"/>
        <v>0.30548978458599263</v>
      </c>
      <c r="AF2383" s="1" t="s">
        <v>2612</v>
      </c>
    </row>
    <row r="2384" spans="1:32" x14ac:dyDescent="0.2">
      <c r="A2384" s="1" t="s">
        <v>2566</v>
      </c>
      <c r="B2384" s="1" t="s">
        <v>5</v>
      </c>
      <c r="C2384" s="1" t="s">
        <v>1575</v>
      </c>
      <c r="D2384" s="1" t="s">
        <v>1578</v>
      </c>
      <c r="E2384" s="1" t="s">
        <v>1579</v>
      </c>
      <c r="F2384" s="1" t="s">
        <v>429</v>
      </c>
      <c r="G2384" s="4">
        <f>258200/120000000</f>
        <v>2.1516666666666667E-3</v>
      </c>
      <c r="H2384" s="28">
        <v>40908</v>
      </c>
      <c r="I2384" s="29">
        <f t="shared" si="2445"/>
        <v>2011</v>
      </c>
      <c r="J2384" s="1" t="s">
        <v>2566</v>
      </c>
      <c r="K2384" s="1" t="s">
        <v>7</v>
      </c>
      <c r="L2384" s="11" t="str">
        <f t="shared" si="2454"/>
        <v>ДА</v>
      </c>
      <c r="M2384" s="10">
        <v>0</v>
      </c>
      <c r="N2384" s="10">
        <v>0</v>
      </c>
      <c r="O2384" s="10">
        <v>0.30375000000000002</v>
      </c>
      <c r="P2384" s="10">
        <f t="shared" si="2455"/>
        <v>141.16963594113091</v>
      </c>
      <c r="Q2384" s="10">
        <f t="shared" si="2456"/>
        <v>502.08963594113084</v>
      </c>
      <c r="R2384" s="10">
        <v>670.27</v>
      </c>
      <c r="S2384" s="10">
        <v>322.67500000000001</v>
      </c>
      <c r="T2384" s="10">
        <v>243.90800000000002</v>
      </c>
      <c r="U2384" s="10">
        <v>191.21799999999999</v>
      </c>
      <c r="V2384" s="10">
        <v>996.52700000000004</v>
      </c>
      <c r="W2384" s="10">
        <v>360.9199999999999</v>
      </c>
      <c r="X2384" s="10">
        <f t="shared" si="2446"/>
        <v>1357.4469999999999</v>
      </c>
      <c r="Y2384" s="10">
        <f t="shared" si="2447"/>
        <v>0.2106160740315558</v>
      </c>
      <c r="Z2384" s="10">
        <f t="shared" si="2448"/>
        <v>0.73826541403597423</v>
      </c>
      <c r="AA2384" s="10">
        <f t="shared" si="2449"/>
        <v>0.14166162677090627</v>
      </c>
      <c r="AB2384" s="10">
        <f t="shared" si="2450"/>
        <v>0.74908564599509275</v>
      </c>
      <c r="AC2384" s="10">
        <f t="shared" si="2451"/>
        <v>1.5560227347675861</v>
      </c>
      <c r="AD2384" s="10">
        <f t="shared" si="2452"/>
        <v>2.0585205730895697</v>
      </c>
      <c r="AE2384" s="10">
        <f t="shared" si="2453"/>
        <v>0.36987789279517425</v>
      </c>
      <c r="AF2384" s="1" t="s">
        <v>2618</v>
      </c>
    </row>
    <row r="2385" spans="1:32" x14ac:dyDescent="0.2">
      <c r="A2385" s="1" t="s">
        <v>6416</v>
      </c>
      <c r="B2385" s="1" t="s">
        <v>5</v>
      </c>
      <c r="C2385" s="1" t="s">
        <v>1575</v>
      </c>
      <c r="D2385" s="1" t="s">
        <v>1578</v>
      </c>
      <c r="E2385" s="1" t="s">
        <v>2315</v>
      </c>
      <c r="F2385" s="1" t="s">
        <v>2609</v>
      </c>
      <c r="G2385" s="4">
        <v>0.749</v>
      </c>
      <c r="H2385" s="28">
        <v>40633</v>
      </c>
      <c r="I2385" s="29">
        <f t="shared" ref="I2385:I2451" si="2457">YEAR(H2385)</f>
        <v>2011</v>
      </c>
      <c r="J2385" s="1" t="s">
        <v>2566</v>
      </c>
      <c r="K2385" s="1" t="s">
        <v>7</v>
      </c>
      <c r="L2385" s="11" t="str">
        <f t="shared" si="2454"/>
        <v>НЕТ</v>
      </c>
      <c r="M2385" s="10">
        <v>0</v>
      </c>
      <c r="N2385" s="10">
        <v>0</v>
      </c>
      <c r="O2385" s="10">
        <v>0.26905800000000002</v>
      </c>
      <c r="P2385" s="10">
        <f t="shared" si="2455"/>
        <v>0.35922296395193593</v>
      </c>
      <c r="Q2385" s="10">
        <f t="shared" si="2456"/>
        <v>3.6840209639519355</v>
      </c>
      <c r="R2385" s="10" t="s">
        <v>1575</v>
      </c>
      <c r="S2385" s="10" t="s">
        <v>1575</v>
      </c>
      <c r="T2385" s="10" t="s">
        <v>1575</v>
      </c>
      <c r="U2385" s="10" t="s">
        <v>1575</v>
      </c>
      <c r="V2385" s="10">
        <f>2.916556-3.426592</f>
        <v>-0.51003599999999993</v>
      </c>
      <c r="W2385" s="10">
        <f>3.327517-0.001936-0.000783</f>
        <v>3.3247979999999995</v>
      </c>
      <c r="X2385" s="10">
        <f t="shared" si="2446"/>
        <v>2.8147619999999995</v>
      </c>
      <c r="Y2385" s="10" t="str">
        <f t="shared" si="2447"/>
        <v>NA</v>
      </c>
      <c r="Z2385" s="10" t="str">
        <f t="shared" si="2448"/>
        <v>NA</v>
      </c>
      <c r="AA2385" s="10">
        <f t="shared" si="2449"/>
        <v>-0.70430903691491575</v>
      </c>
      <c r="AB2385" s="10" t="str">
        <f t="shared" si="2450"/>
        <v>NA</v>
      </c>
      <c r="AC2385" s="10" t="str">
        <f t="shared" si="2451"/>
        <v>NA</v>
      </c>
      <c r="AD2385" s="10" t="str">
        <f t="shared" si="2452"/>
        <v>NA</v>
      </c>
      <c r="AE2385" s="10">
        <f t="shared" si="2453"/>
        <v>1.3088214790280444</v>
      </c>
      <c r="AF2385" s="1" t="s">
        <v>2616</v>
      </c>
    </row>
    <row r="2386" spans="1:32" x14ac:dyDescent="0.2">
      <c r="A2386" s="1" t="s">
        <v>6418</v>
      </c>
      <c r="B2386" s="1" t="s">
        <v>5</v>
      </c>
      <c r="C2386" s="1" t="s">
        <v>1575</v>
      </c>
      <c r="D2386" s="1" t="s">
        <v>1578</v>
      </c>
      <c r="E2386" s="1" t="s">
        <v>1579</v>
      </c>
      <c r="F2386" s="1" t="s">
        <v>429</v>
      </c>
      <c r="G2386" s="4">
        <v>1</v>
      </c>
      <c r="H2386" s="28">
        <v>40663</v>
      </c>
      <c r="I2386" s="29">
        <f t="shared" si="2457"/>
        <v>2011</v>
      </c>
      <c r="J2386" s="1" t="s">
        <v>2566</v>
      </c>
      <c r="K2386" s="1" t="s">
        <v>7</v>
      </c>
      <c r="L2386" s="11" t="str">
        <f t="shared" si="2454"/>
        <v>НЕТ</v>
      </c>
      <c r="M2386" s="10">
        <v>0</v>
      </c>
      <c r="N2386" s="10">
        <v>0</v>
      </c>
      <c r="O2386" s="10">
        <v>4.3930000000000002E-3</v>
      </c>
      <c r="P2386" s="10">
        <f t="shared" si="2455"/>
        <v>4.3930000000000002E-3</v>
      </c>
      <c r="Q2386" s="10">
        <f t="shared" si="2456"/>
        <v>0.10986700000000001</v>
      </c>
      <c r="R2386" s="10" t="s">
        <v>1575</v>
      </c>
      <c r="S2386" s="10" t="s">
        <v>1575</v>
      </c>
      <c r="T2386" s="10" t="s">
        <v>1575</v>
      </c>
      <c r="U2386" s="10" t="s">
        <v>1575</v>
      </c>
      <c r="V2386" s="10">
        <f>0.061878-0.10709</f>
        <v>-4.5212000000000002E-2</v>
      </c>
      <c r="W2386" s="10">
        <f>0.105968-0.000494</f>
        <v>0.10547400000000001</v>
      </c>
      <c r="X2386" s="10">
        <f t="shared" si="2446"/>
        <v>6.026200000000001E-2</v>
      </c>
      <c r="Y2386" s="10" t="str">
        <f t="shared" si="2447"/>
        <v>NA</v>
      </c>
      <c r="Z2386" s="10" t="str">
        <f t="shared" si="2448"/>
        <v>NA</v>
      </c>
      <c r="AA2386" s="10">
        <f t="shared" si="2449"/>
        <v>-9.71644696098381E-2</v>
      </c>
      <c r="AB2386" s="10" t="str">
        <f t="shared" si="2450"/>
        <v>NA</v>
      </c>
      <c r="AC2386" s="10" t="str">
        <f t="shared" si="2451"/>
        <v>NA</v>
      </c>
      <c r="AD2386" s="10" t="str">
        <f t="shared" si="2452"/>
        <v>NA</v>
      </c>
      <c r="AE2386" s="10">
        <f t="shared" si="2453"/>
        <v>1.8231555540805149</v>
      </c>
      <c r="AF2386" s="1" t="s">
        <v>2617</v>
      </c>
    </row>
    <row r="2387" spans="1:32" x14ac:dyDescent="0.2">
      <c r="A2387" s="1" t="s">
        <v>517</v>
      </c>
      <c r="B2387" s="1" t="s">
        <v>5</v>
      </c>
      <c r="C2387" s="1" t="s">
        <v>1575</v>
      </c>
      <c r="D2387" s="1" t="s">
        <v>1578</v>
      </c>
      <c r="E2387" s="1" t="s">
        <v>2315</v>
      </c>
      <c r="F2387" s="1" t="s">
        <v>2583</v>
      </c>
      <c r="G2387" s="4" t="s">
        <v>1575</v>
      </c>
      <c r="H2387" s="28">
        <v>40908</v>
      </c>
      <c r="I2387" s="29">
        <f t="shared" si="2457"/>
        <v>2011</v>
      </c>
      <c r="J2387" s="1" t="s">
        <v>2566</v>
      </c>
      <c r="K2387" s="1" t="s">
        <v>7</v>
      </c>
      <c r="L2387" s="11" t="str">
        <f t="shared" si="2454"/>
        <v>НЕТ</v>
      </c>
      <c r="M2387" s="10">
        <v>0</v>
      </c>
      <c r="N2387" s="10">
        <v>0</v>
      </c>
      <c r="O2387" s="10">
        <v>0.10498300000000001</v>
      </c>
      <c r="P2387" s="10" t="str">
        <f t="shared" si="2455"/>
        <v>NA</v>
      </c>
      <c r="Q2387" s="10" t="str">
        <f t="shared" si="2456"/>
        <v>NA</v>
      </c>
      <c r="R2387" s="10" t="s">
        <v>1575</v>
      </c>
      <c r="S2387" s="10" t="s">
        <v>1575</v>
      </c>
      <c r="T2387" s="10" t="s">
        <v>1575</v>
      </c>
      <c r="U2387" s="10" t="s">
        <v>1575</v>
      </c>
      <c r="V2387" s="10" t="s">
        <v>1575</v>
      </c>
      <c r="W2387" s="10" t="s">
        <v>1575</v>
      </c>
      <c r="X2387" s="10" t="str">
        <f t="shared" si="2446"/>
        <v>NA</v>
      </c>
      <c r="Y2387" s="10" t="str">
        <f t="shared" si="2447"/>
        <v>NA</v>
      </c>
      <c r="Z2387" s="10" t="str">
        <f t="shared" si="2448"/>
        <v>NA</v>
      </c>
      <c r="AA2387" s="10" t="str">
        <f t="shared" si="2449"/>
        <v>NA</v>
      </c>
      <c r="AB2387" s="10" t="str">
        <f t="shared" si="2450"/>
        <v>NA</v>
      </c>
      <c r="AC2387" s="10" t="str">
        <f t="shared" si="2451"/>
        <v>NA</v>
      </c>
      <c r="AD2387" s="10" t="str">
        <f t="shared" si="2452"/>
        <v>NA</v>
      </c>
      <c r="AE2387" s="10" t="str">
        <f t="shared" si="2453"/>
        <v>NA</v>
      </c>
      <c r="AF2387" s="1" t="s">
        <v>2615</v>
      </c>
    </row>
    <row r="2388" spans="1:32" x14ac:dyDescent="0.2">
      <c r="A2388" s="1" t="s">
        <v>6419</v>
      </c>
      <c r="B2388" s="1" t="s">
        <v>5</v>
      </c>
      <c r="C2388" s="1" t="s">
        <v>1575</v>
      </c>
      <c r="D2388" s="1" t="s">
        <v>1578</v>
      </c>
      <c r="E2388" s="1" t="s">
        <v>2315</v>
      </c>
      <c r="F2388" s="1" t="s">
        <v>2578</v>
      </c>
      <c r="G2388" s="4">
        <f>84.6%-76.19%</f>
        <v>8.4099999999999953E-2</v>
      </c>
      <c r="H2388" s="28">
        <v>40178</v>
      </c>
      <c r="I2388" s="29">
        <f t="shared" si="2457"/>
        <v>2009</v>
      </c>
      <c r="J2388" s="1" t="s">
        <v>2566</v>
      </c>
      <c r="K2388" s="1" t="s">
        <v>7</v>
      </c>
      <c r="L2388" s="11" t="str">
        <f t="shared" si="2454"/>
        <v>НЕТ</v>
      </c>
      <c r="M2388" s="10">
        <v>0</v>
      </c>
      <c r="N2388" s="10">
        <v>0</v>
      </c>
      <c r="O2388" s="10">
        <v>3.0099999999999998E-2</v>
      </c>
      <c r="P2388" s="10">
        <f t="shared" si="2455"/>
        <v>0.35790725326991696</v>
      </c>
      <c r="Q2388" s="10" t="str">
        <f t="shared" si="2456"/>
        <v>NA</v>
      </c>
      <c r="R2388" s="10" t="s">
        <v>1575</v>
      </c>
      <c r="S2388" s="10" t="s">
        <v>1575</v>
      </c>
      <c r="T2388" s="10" t="s">
        <v>1575</v>
      </c>
      <c r="U2388" s="10" t="s">
        <v>1575</v>
      </c>
      <c r="V2388" s="10">
        <f>0.05731-0.052481</f>
        <v>4.829E-3</v>
      </c>
      <c r="W2388" s="10" t="s">
        <v>1575</v>
      </c>
      <c r="X2388" s="10" t="str">
        <f t="shared" si="2446"/>
        <v>NA</v>
      </c>
      <c r="Y2388" s="10" t="str">
        <f t="shared" si="2447"/>
        <v>NA</v>
      </c>
      <c r="Z2388" s="10" t="str">
        <f t="shared" si="2448"/>
        <v>NA</v>
      </c>
      <c r="AA2388" s="10">
        <f t="shared" si="2449"/>
        <v>74.116225568423474</v>
      </c>
      <c r="AB2388" s="10" t="str">
        <f t="shared" si="2450"/>
        <v>NA</v>
      </c>
      <c r="AC2388" s="10" t="str">
        <f t="shared" si="2451"/>
        <v>NA</v>
      </c>
      <c r="AD2388" s="10" t="str">
        <f t="shared" si="2452"/>
        <v>NA</v>
      </c>
      <c r="AE2388" s="10" t="str">
        <f t="shared" si="2453"/>
        <v>NA</v>
      </c>
      <c r="AF2388" s="1" t="s">
        <v>2621</v>
      </c>
    </row>
    <row r="2389" spans="1:32" x14ac:dyDescent="0.2">
      <c r="A2389" s="1" t="s">
        <v>512</v>
      </c>
      <c r="B2389" s="1" t="s">
        <v>5</v>
      </c>
      <c r="C2389" s="1" t="s">
        <v>1575</v>
      </c>
      <c r="D2389" s="1" t="s">
        <v>1578</v>
      </c>
      <c r="E2389" s="1" t="s">
        <v>2315</v>
      </c>
      <c r="F2389" s="1" t="s">
        <v>2583</v>
      </c>
      <c r="G2389" s="4">
        <v>1</v>
      </c>
      <c r="H2389" s="28">
        <v>40147</v>
      </c>
      <c r="I2389" s="29">
        <f t="shared" si="2457"/>
        <v>2009</v>
      </c>
      <c r="J2389" s="1" t="s">
        <v>2566</v>
      </c>
      <c r="K2389" s="1" t="s">
        <v>7</v>
      </c>
      <c r="L2389" s="11" t="str">
        <f t="shared" si="2454"/>
        <v>НЕТ</v>
      </c>
      <c r="M2389" s="10">
        <v>0</v>
      </c>
      <c r="N2389" s="10">
        <v>0</v>
      </c>
      <c r="O2389" s="10">
        <v>1.462367</v>
      </c>
      <c r="P2389" s="10">
        <f t="shared" si="2455"/>
        <v>1.462367</v>
      </c>
      <c r="Q2389" s="10">
        <f t="shared" si="2456"/>
        <v>1.4878279999999999</v>
      </c>
      <c r="R2389" s="10" t="s">
        <v>1575</v>
      </c>
      <c r="S2389" s="10" t="s">
        <v>1575</v>
      </c>
      <c r="T2389" s="10" t="s">
        <v>1575</v>
      </c>
      <c r="U2389" s="10" t="s">
        <v>1575</v>
      </c>
      <c r="V2389" s="10">
        <f>1.768219-0.326036</f>
        <v>1.442183</v>
      </c>
      <c r="W2389" s="10">
        <f>0.129323-0.101102-0.00276</f>
        <v>2.5460999999999998E-2</v>
      </c>
      <c r="X2389" s="10">
        <f t="shared" si="2446"/>
        <v>1.4676439999999999</v>
      </c>
      <c r="Y2389" s="10" t="str">
        <f t="shared" si="2447"/>
        <v>NA</v>
      </c>
      <c r="Z2389" s="10" t="str">
        <f t="shared" si="2448"/>
        <v>NA</v>
      </c>
      <c r="AA2389" s="10">
        <f t="shared" si="2449"/>
        <v>1.0139954499532999</v>
      </c>
      <c r="AB2389" s="10" t="str">
        <f t="shared" si="2450"/>
        <v>NA</v>
      </c>
      <c r="AC2389" s="10" t="str">
        <f t="shared" si="2451"/>
        <v>NA</v>
      </c>
      <c r="AD2389" s="10" t="str">
        <f t="shared" si="2452"/>
        <v>NA</v>
      </c>
      <c r="AE2389" s="10">
        <f t="shared" si="2453"/>
        <v>1.0137526539133468</v>
      </c>
      <c r="AF2389" s="1" t="s">
        <v>2619</v>
      </c>
    </row>
    <row r="2390" spans="1:32" x14ac:dyDescent="0.2">
      <c r="A2390" s="1" t="s">
        <v>6420</v>
      </c>
      <c r="B2390" s="1" t="s">
        <v>5</v>
      </c>
      <c r="C2390" s="1" t="s">
        <v>1575</v>
      </c>
      <c r="D2390" s="1" t="s">
        <v>1578</v>
      </c>
      <c r="E2390" s="1" t="s">
        <v>1579</v>
      </c>
      <c r="F2390" s="1" t="s">
        <v>429</v>
      </c>
      <c r="G2390" s="4">
        <v>1</v>
      </c>
      <c r="H2390" s="28">
        <v>39813</v>
      </c>
      <c r="I2390" s="29">
        <f t="shared" si="2457"/>
        <v>2008</v>
      </c>
      <c r="J2390" s="1" t="s">
        <v>2566</v>
      </c>
      <c r="K2390" s="1" t="s">
        <v>7</v>
      </c>
      <c r="L2390" s="11" t="str">
        <f t="shared" si="2454"/>
        <v>НЕТ</v>
      </c>
      <c r="M2390" s="10">
        <v>0</v>
      </c>
      <c r="N2390" s="10">
        <v>0</v>
      </c>
      <c r="O2390" s="10">
        <v>4.8259999999999997E-2</v>
      </c>
      <c r="P2390" s="10">
        <f t="shared" si="2455"/>
        <v>4.8259999999999997E-2</v>
      </c>
      <c r="Q2390" s="10" t="str">
        <f t="shared" si="2456"/>
        <v>NA</v>
      </c>
      <c r="R2390" s="10" t="s">
        <v>1575</v>
      </c>
      <c r="S2390" s="10" t="s">
        <v>1575</v>
      </c>
      <c r="T2390" s="10" t="s">
        <v>1575</v>
      </c>
      <c r="U2390" s="10" t="s">
        <v>1575</v>
      </c>
      <c r="V2390" s="10">
        <f>0.294794-0.255794</f>
        <v>3.8999999999999979E-2</v>
      </c>
      <c r="W2390" s="10" t="s">
        <v>1575</v>
      </c>
      <c r="X2390" s="10" t="str">
        <f t="shared" si="2446"/>
        <v>NA</v>
      </c>
      <c r="Y2390" s="10" t="str">
        <f t="shared" si="2447"/>
        <v>NA</v>
      </c>
      <c r="Z2390" s="10" t="str">
        <f t="shared" si="2448"/>
        <v>NA</v>
      </c>
      <c r="AA2390" s="10">
        <f t="shared" si="2449"/>
        <v>1.2374358974358981</v>
      </c>
      <c r="AB2390" s="10" t="str">
        <f t="shared" si="2450"/>
        <v>NA</v>
      </c>
      <c r="AC2390" s="10" t="str">
        <f t="shared" si="2451"/>
        <v>NA</v>
      </c>
      <c r="AD2390" s="10" t="str">
        <f t="shared" si="2452"/>
        <v>NA</v>
      </c>
      <c r="AE2390" s="10" t="str">
        <f t="shared" si="2453"/>
        <v>NA</v>
      </c>
      <c r="AF2390" s="1" t="s">
        <v>2620</v>
      </c>
    </row>
    <row r="2391" spans="1:32" x14ac:dyDescent="0.2">
      <c r="A2391" s="1" t="s">
        <v>513</v>
      </c>
      <c r="B2391" s="1" t="s">
        <v>5</v>
      </c>
      <c r="C2391" s="1" t="s">
        <v>1575</v>
      </c>
      <c r="D2391" s="1" t="s">
        <v>1578</v>
      </c>
      <c r="E2391" s="1" t="s">
        <v>1579</v>
      </c>
      <c r="F2391" s="1" t="s">
        <v>429</v>
      </c>
      <c r="G2391" s="4">
        <v>1</v>
      </c>
      <c r="H2391" s="28">
        <v>39813</v>
      </c>
      <c r="I2391" s="29">
        <f t="shared" si="2457"/>
        <v>2008</v>
      </c>
      <c r="J2391" s="1" t="s">
        <v>2566</v>
      </c>
      <c r="K2391" s="1" t="s">
        <v>7</v>
      </c>
      <c r="L2391" s="11" t="str">
        <f t="shared" si="2454"/>
        <v>НЕТ</v>
      </c>
      <c r="M2391" s="10">
        <v>0</v>
      </c>
      <c r="N2391" s="10">
        <v>0</v>
      </c>
      <c r="O2391" s="10">
        <v>4.4810000000000003E-2</v>
      </c>
      <c r="P2391" s="10">
        <f t="shared" si="2455"/>
        <v>4.4810000000000003E-2</v>
      </c>
      <c r="Q2391" s="10" t="str">
        <f t="shared" si="2456"/>
        <v>NA</v>
      </c>
      <c r="R2391" s="10" t="s">
        <v>1575</v>
      </c>
      <c r="S2391" s="10" t="s">
        <v>1575</v>
      </c>
      <c r="T2391" s="10" t="s">
        <v>1575</v>
      </c>
      <c r="U2391" s="10" t="s">
        <v>1575</v>
      </c>
      <c r="V2391" s="10">
        <f>0.123459-0.103401</f>
        <v>2.0057999999999993E-2</v>
      </c>
      <c r="W2391" s="10" t="s">
        <v>1575</v>
      </c>
      <c r="X2391" s="10" t="str">
        <f t="shared" si="2446"/>
        <v>NA</v>
      </c>
      <c r="Y2391" s="10" t="str">
        <f t="shared" si="2447"/>
        <v>NA</v>
      </c>
      <c r="Z2391" s="10" t="str">
        <f t="shared" si="2448"/>
        <v>NA</v>
      </c>
      <c r="AA2391" s="10">
        <f t="shared" si="2449"/>
        <v>2.2340213381194545</v>
      </c>
      <c r="AB2391" s="10" t="str">
        <f t="shared" si="2450"/>
        <v>NA</v>
      </c>
      <c r="AC2391" s="10" t="str">
        <f t="shared" si="2451"/>
        <v>NA</v>
      </c>
      <c r="AD2391" s="10" t="str">
        <f t="shared" si="2452"/>
        <v>NA</v>
      </c>
      <c r="AE2391" s="10" t="str">
        <f t="shared" si="2453"/>
        <v>NA</v>
      </c>
      <c r="AF2391" s="1" t="s">
        <v>2620</v>
      </c>
    </row>
    <row r="2392" spans="1:32" x14ac:dyDescent="0.2">
      <c r="A2392" s="1" t="s">
        <v>514</v>
      </c>
      <c r="B2392" s="1" t="s">
        <v>5</v>
      </c>
      <c r="C2392" s="1" t="s">
        <v>1575</v>
      </c>
      <c r="D2392" s="1" t="s">
        <v>1578</v>
      </c>
      <c r="E2392" s="1" t="s">
        <v>1579</v>
      </c>
      <c r="F2392" s="1" t="s">
        <v>429</v>
      </c>
      <c r="G2392" s="4">
        <v>1</v>
      </c>
      <c r="H2392" s="28">
        <v>39813</v>
      </c>
      <c r="I2392" s="29">
        <f t="shared" si="2457"/>
        <v>2008</v>
      </c>
      <c r="J2392" s="1" t="s">
        <v>2566</v>
      </c>
      <c r="K2392" s="1" t="s">
        <v>7</v>
      </c>
      <c r="L2392" s="11" t="str">
        <f t="shared" si="2454"/>
        <v>НЕТ</v>
      </c>
      <c r="M2392" s="10">
        <v>0</v>
      </c>
      <c r="N2392" s="10">
        <v>0</v>
      </c>
      <c r="O2392" s="10">
        <v>3.3709999999999997E-2</v>
      </c>
      <c r="P2392" s="10">
        <f t="shared" si="2455"/>
        <v>3.3709999999999997E-2</v>
      </c>
      <c r="Q2392" s="10" t="str">
        <f t="shared" si="2456"/>
        <v>NA</v>
      </c>
      <c r="R2392" s="10" t="s">
        <v>1575</v>
      </c>
      <c r="S2392" s="10" t="s">
        <v>1575</v>
      </c>
      <c r="T2392" s="10" t="s">
        <v>1575</v>
      </c>
      <c r="U2392" s="10" t="s">
        <v>1575</v>
      </c>
      <c r="V2392" s="10">
        <f>0.127247-0.083279</f>
        <v>4.3967999999999993E-2</v>
      </c>
      <c r="W2392" s="10" t="s">
        <v>1575</v>
      </c>
      <c r="X2392" s="10" t="str">
        <f t="shared" si="2446"/>
        <v>NA</v>
      </c>
      <c r="Y2392" s="10" t="str">
        <f t="shared" si="2447"/>
        <v>NA</v>
      </c>
      <c r="Z2392" s="10" t="str">
        <f t="shared" si="2448"/>
        <v>NA</v>
      </c>
      <c r="AA2392" s="10">
        <f t="shared" si="2449"/>
        <v>0.76669395924308592</v>
      </c>
      <c r="AB2392" s="10" t="str">
        <f t="shared" si="2450"/>
        <v>NA</v>
      </c>
      <c r="AC2392" s="10" t="str">
        <f t="shared" si="2451"/>
        <v>NA</v>
      </c>
      <c r="AD2392" s="10" t="str">
        <f t="shared" si="2452"/>
        <v>NA</v>
      </c>
      <c r="AE2392" s="10" t="str">
        <f t="shared" si="2453"/>
        <v>NA</v>
      </c>
      <c r="AF2392" s="1" t="s">
        <v>2620</v>
      </c>
    </row>
    <row r="2393" spans="1:32" x14ac:dyDescent="0.2">
      <c r="A2393" s="1" t="s">
        <v>515</v>
      </c>
      <c r="B2393" s="1" t="s">
        <v>5</v>
      </c>
      <c r="C2393" s="1" t="s">
        <v>1575</v>
      </c>
      <c r="D2393" s="1" t="s">
        <v>1578</v>
      </c>
      <c r="E2393" s="1" t="s">
        <v>1579</v>
      </c>
      <c r="F2393" s="1" t="s">
        <v>429</v>
      </c>
      <c r="G2393" s="4">
        <v>0.80120000000000002</v>
      </c>
      <c r="H2393" s="28">
        <v>39813</v>
      </c>
      <c r="I2393" s="29">
        <f t="shared" si="2457"/>
        <v>2008</v>
      </c>
      <c r="J2393" s="1" t="s">
        <v>2566</v>
      </c>
      <c r="K2393" s="1" t="s">
        <v>7</v>
      </c>
      <c r="L2393" s="11" t="str">
        <f t="shared" si="2454"/>
        <v>НЕТ</v>
      </c>
      <c r="M2393" s="10">
        <v>0</v>
      </c>
      <c r="N2393" s="10">
        <v>0</v>
      </c>
      <c r="O2393" s="10">
        <v>6.2810000000000005E-2</v>
      </c>
      <c r="P2393" s="10">
        <f t="shared" si="2455"/>
        <v>7.8394907638542191E-2</v>
      </c>
      <c r="Q2393" s="10" t="str">
        <f t="shared" si="2456"/>
        <v>NA</v>
      </c>
      <c r="R2393" s="10" t="s">
        <v>1575</v>
      </c>
      <c r="S2393" s="10" t="s">
        <v>1575</v>
      </c>
      <c r="T2393" s="10" t="s">
        <v>1575</v>
      </c>
      <c r="U2393" s="10" t="s">
        <v>1575</v>
      </c>
      <c r="V2393" s="10">
        <f>0.19281-0.122844</f>
        <v>6.9966000000000014E-2</v>
      </c>
      <c r="W2393" s="10" t="s">
        <v>1575</v>
      </c>
      <c r="X2393" s="10" t="str">
        <f t="shared" si="2446"/>
        <v>NA</v>
      </c>
      <c r="Y2393" s="10" t="str">
        <f t="shared" si="2447"/>
        <v>NA</v>
      </c>
      <c r="Z2393" s="10" t="str">
        <f t="shared" si="2448"/>
        <v>NA</v>
      </c>
      <c r="AA2393" s="10">
        <f t="shared" si="2449"/>
        <v>1.1204714809842233</v>
      </c>
      <c r="AB2393" s="10" t="str">
        <f t="shared" si="2450"/>
        <v>NA</v>
      </c>
      <c r="AC2393" s="10" t="str">
        <f t="shared" si="2451"/>
        <v>NA</v>
      </c>
      <c r="AD2393" s="10" t="str">
        <f t="shared" si="2452"/>
        <v>NA</v>
      </c>
      <c r="AE2393" s="10" t="str">
        <f t="shared" si="2453"/>
        <v>NA</v>
      </c>
      <c r="AF2393" s="1" t="s">
        <v>2620</v>
      </c>
    </row>
    <row r="2394" spans="1:32" x14ac:dyDescent="0.2">
      <c r="A2394" s="1" t="s">
        <v>516</v>
      </c>
      <c r="B2394" s="1" t="s">
        <v>5</v>
      </c>
      <c r="C2394" s="1" t="s">
        <v>1575</v>
      </c>
      <c r="D2394" s="1" t="s">
        <v>1578</v>
      </c>
      <c r="E2394" s="1" t="s">
        <v>1579</v>
      </c>
      <c r="F2394" s="1" t="s">
        <v>429</v>
      </c>
      <c r="G2394" s="4">
        <v>0.5</v>
      </c>
      <c r="H2394" s="28">
        <v>39813</v>
      </c>
      <c r="I2394" s="29">
        <f t="shared" si="2457"/>
        <v>2008</v>
      </c>
      <c r="J2394" s="1" t="s">
        <v>2566</v>
      </c>
      <c r="K2394" s="1" t="s">
        <v>7</v>
      </c>
      <c r="L2394" s="11" t="str">
        <f t="shared" si="2454"/>
        <v>НЕТ</v>
      </c>
      <c r="M2394" s="10">
        <v>0</v>
      </c>
      <c r="N2394" s="10">
        <v>0</v>
      </c>
      <c r="O2394" s="10">
        <v>1.4196E-2</v>
      </c>
      <c r="P2394" s="10">
        <f t="shared" si="2455"/>
        <v>2.8392000000000001E-2</v>
      </c>
      <c r="Q2394" s="10" t="str">
        <f t="shared" si="2456"/>
        <v>NA</v>
      </c>
      <c r="R2394" s="10" t="s">
        <v>1575</v>
      </c>
      <c r="S2394" s="10" t="s">
        <v>1575</v>
      </c>
      <c r="T2394" s="10" t="s">
        <v>1575</v>
      </c>
      <c r="U2394" s="10" t="s">
        <v>1575</v>
      </c>
      <c r="V2394" s="10">
        <f>0.067594-0.085396</f>
        <v>-1.7801999999999998E-2</v>
      </c>
      <c r="W2394" s="10" t="s">
        <v>1575</v>
      </c>
      <c r="X2394" s="10" t="str">
        <f t="shared" si="2446"/>
        <v>NA</v>
      </c>
      <c r="Y2394" s="10" t="str">
        <f t="shared" si="2447"/>
        <v>NA</v>
      </c>
      <c r="Z2394" s="10" t="str">
        <f t="shared" si="2448"/>
        <v>NA</v>
      </c>
      <c r="AA2394" s="10">
        <f t="shared" si="2449"/>
        <v>-1.5948769801145941</v>
      </c>
      <c r="AB2394" s="10" t="str">
        <f t="shared" si="2450"/>
        <v>NA</v>
      </c>
      <c r="AC2394" s="10" t="str">
        <f t="shared" si="2451"/>
        <v>NA</v>
      </c>
      <c r="AD2394" s="10" t="str">
        <f t="shared" si="2452"/>
        <v>NA</v>
      </c>
      <c r="AE2394" s="10" t="str">
        <f t="shared" si="2453"/>
        <v>NA</v>
      </c>
      <c r="AF2394" s="1" t="s">
        <v>2620</v>
      </c>
    </row>
    <row r="2395" spans="1:32" x14ac:dyDescent="0.2">
      <c r="A2395" s="1" t="s">
        <v>6419</v>
      </c>
      <c r="B2395" s="1" t="s">
        <v>5</v>
      </c>
      <c r="C2395" s="1" t="s">
        <v>1575</v>
      </c>
      <c r="D2395" s="1" t="s">
        <v>1578</v>
      </c>
      <c r="E2395" s="1" t="s">
        <v>2315</v>
      </c>
      <c r="F2395" s="1" t="s">
        <v>2578</v>
      </c>
      <c r="G2395" s="4">
        <v>0.76190000000000002</v>
      </c>
      <c r="H2395" s="28">
        <v>39448</v>
      </c>
      <c r="I2395" s="29">
        <f t="shared" si="2457"/>
        <v>2008</v>
      </c>
      <c r="J2395" s="1" t="s">
        <v>2566</v>
      </c>
      <c r="K2395" s="1" t="s">
        <v>7</v>
      </c>
      <c r="L2395" s="11" t="str">
        <f t="shared" si="2454"/>
        <v>НЕТ</v>
      </c>
      <c r="M2395" s="10">
        <v>0</v>
      </c>
      <c r="N2395" s="10">
        <v>0</v>
      </c>
      <c r="O2395" s="10">
        <v>3.0099999999999998E-2</v>
      </c>
      <c r="P2395" s="10">
        <f t="shared" si="2455"/>
        <v>3.9506496915605718E-2</v>
      </c>
      <c r="Q2395" s="10" t="str">
        <f t="shared" si="2456"/>
        <v>NA</v>
      </c>
      <c r="R2395" s="10" t="s">
        <v>1575</v>
      </c>
      <c r="S2395" s="10" t="s">
        <v>1575</v>
      </c>
      <c r="T2395" s="10" t="s">
        <v>1575</v>
      </c>
      <c r="U2395" s="10" t="s">
        <v>1575</v>
      </c>
      <c r="V2395" s="10">
        <f>0.05731-0.052481</f>
        <v>4.829E-3</v>
      </c>
      <c r="W2395" s="10" t="s">
        <v>1575</v>
      </c>
      <c r="X2395" s="10" t="str">
        <f t="shared" si="2446"/>
        <v>NA</v>
      </c>
      <c r="Y2395" s="10" t="str">
        <f t="shared" si="2447"/>
        <v>NA</v>
      </c>
      <c r="Z2395" s="10" t="str">
        <f t="shared" si="2448"/>
        <v>NA</v>
      </c>
      <c r="AA2395" s="10">
        <f t="shared" si="2449"/>
        <v>8.1810927553542587</v>
      </c>
      <c r="AB2395" s="10" t="str">
        <f t="shared" si="2450"/>
        <v>NA</v>
      </c>
      <c r="AC2395" s="10" t="str">
        <f t="shared" si="2451"/>
        <v>NA</v>
      </c>
      <c r="AD2395" s="10" t="str">
        <f t="shared" si="2452"/>
        <v>NA</v>
      </c>
      <c r="AE2395" s="10" t="str">
        <f t="shared" si="2453"/>
        <v>NA</v>
      </c>
      <c r="AF2395" s="1" t="s">
        <v>2620</v>
      </c>
    </row>
    <row r="2396" spans="1:32" x14ac:dyDescent="0.2">
      <c r="A2396" s="1" t="s">
        <v>2145</v>
      </c>
      <c r="B2396" s="1" t="s">
        <v>5</v>
      </c>
      <c r="C2396" s="1" t="s">
        <v>2107</v>
      </c>
      <c r="D2396" s="1" t="s">
        <v>1578</v>
      </c>
      <c r="E2396" s="1" t="s">
        <v>2113</v>
      </c>
      <c r="F2396" s="1" t="s">
        <v>548</v>
      </c>
      <c r="G2396" s="4">
        <f>30382120/124750000</f>
        <v>0.24354404809619237</v>
      </c>
      <c r="H2396" s="28">
        <v>43281</v>
      </c>
      <c r="I2396" s="29">
        <f t="shared" si="2457"/>
        <v>2018</v>
      </c>
      <c r="J2396" s="1" t="s">
        <v>2145</v>
      </c>
      <c r="K2396" s="1" t="s">
        <v>7</v>
      </c>
      <c r="L2396" s="11" t="str">
        <f t="shared" si="2454"/>
        <v>ДА</v>
      </c>
      <c r="M2396" s="10">
        <v>0</v>
      </c>
      <c r="N2396" s="10">
        <v>0</v>
      </c>
      <c r="O2396" s="10">
        <v>10.328151</v>
      </c>
      <c r="P2396" s="10">
        <f t="shared" si="2455"/>
        <v>42.407733142058554</v>
      </c>
      <c r="Q2396" s="10">
        <f t="shared" si="2456"/>
        <v>72.632491142058555</v>
      </c>
      <c r="R2396" s="10">
        <v>282.81130899999999</v>
      </c>
      <c r="S2396" s="10">
        <v>5.8215220000000008</v>
      </c>
      <c r="T2396" s="10">
        <v>-3.1942829999999995</v>
      </c>
      <c r="U2396" s="10">
        <v>-6.0143089999999999</v>
      </c>
      <c r="V2396" s="10">
        <v>14.470332000000004</v>
      </c>
      <c r="W2396" s="10">
        <v>30.224758000000001</v>
      </c>
      <c r="X2396" s="10">
        <f t="shared" si="2446"/>
        <v>44.695090000000008</v>
      </c>
      <c r="Y2396" s="10">
        <f t="shared" si="2447"/>
        <v>0.14995062712311322</v>
      </c>
      <c r="Z2396" s="10">
        <f t="shared" si="2448"/>
        <v>-7.0511397306088783</v>
      </c>
      <c r="AA2396" s="10">
        <f t="shared" si="2449"/>
        <v>2.93066759919942</v>
      </c>
      <c r="AB2396" s="10">
        <f t="shared" si="2450"/>
        <v>0.2568231496784259</v>
      </c>
      <c r="AC2396" s="10">
        <f t="shared" si="2451"/>
        <v>12.476546707554922</v>
      </c>
      <c r="AD2396" s="10">
        <f t="shared" si="2452"/>
        <v>-22.738276834600619</v>
      </c>
      <c r="AE2396" s="10">
        <f t="shared" si="2453"/>
        <v>1.6250664478370789</v>
      </c>
      <c r="AF2396" s="1" t="s">
        <v>2147</v>
      </c>
    </row>
    <row r="2397" spans="1:32" x14ac:dyDescent="0.2">
      <c r="A2397" s="1" t="s">
        <v>2145</v>
      </c>
      <c r="B2397" s="1" t="s">
        <v>5</v>
      </c>
      <c r="C2397" s="1" t="s">
        <v>2107</v>
      </c>
      <c r="D2397" s="1" t="s">
        <v>1578</v>
      </c>
      <c r="E2397" s="1" t="s">
        <v>2113</v>
      </c>
      <c r="F2397" s="1" t="s">
        <v>548</v>
      </c>
      <c r="G2397" s="4">
        <f>25967277/124750000</f>
        <v>0.20815452505010021</v>
      </c>
      <c r="H2397" s="28">
        <v>43100</v>
      </c>
      <c r="I2397" s="29">
        <f t="shared" si="2457"/>
        <v>2017</v>
      </c>
      <c r="J2397" s="1" t="s">
        <v>2145</v>
      </c>
      <c r="K2397" s="1" t="s">
        <v>7</v>
      </c>
      <c r="L2397" s="11" t="str">
        <f t="shared" si="2454"/>
        <v>ДА</v>
      </c>
      <c r="M2397" s="10">
        <v>0</v>
      </c>
      <c r="N2397" s="10">
        <v>0</v>
      </c>
      <c r="O2397" s="10">
        <v>8.5465090000000004</v>
      </c>
      <c r="P2397" s="10">
        <f t="shared" si="2455"/>
        <v>41.058482864799416</v>
      </c>
      <c r="Q2397" s="10">
        <f t="shared" si="2456"/>
        <v>71.28324086479941</v>
      </c>
      <c r="R2397" s="10">
        <v>282.81130899999999</v>
      </c>
      <c r="S2397" s="10">
        <v>5.8215220000000008</v>
      </c>
      <c r="T2397" s="10">
        <v>-3.1942829999999995</v>
      </c>
      <c r="U2397" s="10">
        <v>-6.0143089999999999</v>
      </c>
      <c r="V2397" s="10">
        <v>14.470332000000004</v>
      </c>
      <c r="W2397" s="10">
        <v>30.224758000000001</v>
      </c>
      <c r="X2397" s="10">
        <f t="shared" si="2446"/>
        <v>44.695090000000008</v>
      </c>
      <c r="Y2397" s="10">
        <f t="shared" si="2447"/>
        <v>0.14517977732212758</v>
      </c>
      <c r="Z2397" s="10">
        <f t="shared" si="2448"/>
        <v>-6.8267996979868206</v>
      </c>
      <c r="AA2397" s="10">
        <f t="shared" si="2449"/>
        <v>2.8374250753057639</v>
      </c>
      <c r="AB2397" s="10">
        <f t="shared" si="2450"/>
        <v>0.25205229987744021</v>
      </c>
      <c r="AC2397" s="10">
        <f t="shared" si="2451"/>
        <v>12.244777373477142</v>
      </c>
      <c r="AD2397" s="10">
        <f t="shared" si="2452"/>
        <v>-22.315881487269419</v>
      </c>
      <c r="AE2397" s="10">
        <f t="shared" si="2453"/>
        <v>1.5948785619359844</v>
      </c>
      <c r="AF2397" s="1" t="s">
        <v>2146</v>
      </c>
    </row>
    <row r="2398" spans="1:32" x14ac:dyDescent="0.2">
      <c r="A2398" s="1" t="s">
        <v>2145</v>
      </c>
      <c r="B2398" s="1" t="s">
        <v>5</v>
      </c>
      <c r="C2398" s="1" t="s">
        <v>2107</v>
      </c>
      <c r="D2398" s="1" t="s">
        <v>1578</v>
      </c>
      <c r="E2398" s="1" t="s">
        <v>2113</v>
      </c>
      <c r="F2398" s="1" t="s">
        <v>548</v>
      </c>
      <c r="G2398" s="4">
        <f>2568079/124750000</f>
        <v>2.0585803607214428E-2</v>
      </c>
      <c r="H2398" s="28">
        <v>42735</v>
      </c>
      <c r="I2398" s="29">
        <f t="shared" si="2457"/>
        <v>2016</v>
      </c>
      <c r="J2398" s="1" t="s">
        <v>2145</v>
      </c>
      <c r="K2398" s="1" t="s">
        <v>7</v>
      </c>
      <c r="L2398" s="11" t="str">
        <f t="shared" si="2454"/>
        <v>ДА</v>
      </c>
      <c r="M2398" s="10">
        <v>0</v>
      </c>
      <c r="N2398" s="10">
        <v>0</v>
      </c>
      <c r="O2398" s="10">
        <v>0.78999699999999995</v>
      </c>
      <c r="P2398" s="10">
        <f t="shared" si="2455"/>
        <v>38.375815444151058</v>
      </c>
      <c r="Q2398" s="10">
        <f t="shared" si="2456"/>
        <v>67.654815444151069</v>
      </c>
      <c r="R2398" s="10">
        <v>311.23700000000002</v>
      </c>
      <c r="S2398" s="10">
        <v>9.5649999999999995</v>
      </c>
      <c r="T2398" s="10">
        <v>0.83699999999999974</v>
      </c>
      <c r="U2398" s="10">
        <v>-2.786</v>
      </c>
      <c r="V2398" s="10">
        <v>29.03</v>
      </c>
      <c r="W2398" s="10">
        <v>29.279000000000003</v>
      </c>
      <c r="X2398" s="10">
        <f t="shared" si="2446"/>
        <v>58.309000000000005</v>
      </c>
      <c r="Y2398" s="10">
        <f t="shared" si="2447"/>
        <v>0.12330094251053395</v>
      </c>
      <c r="Z2398" s="10">
        <f t="shared" si="2448"/>
        <v>-13.774520977800092</v>
      </c>
      <c r="AA2398" s="10">
        <f t="shared" si="2449"/>
        <v>1.3219364603565642</v>
      </c>
      <c r="AB2398" s="10">
        <f t="shared" si="2450"/>
        <v>0.21737394796939652</v>
      </c>
      <c r="AC2398" s="10">
        <f t="shared" si="2451"/>
        <v>7.0731641865291239</v>
      </c>
      <c r="AD2398" s="10">
        <f t="shared" si="2452"/>
        <v>80.830125978675142</v>
      </c>
      <c r="AE2398" s="10">
        <f t="shared" si="2453"/>
        <v>1.1602808390497361</v>
      </c>
      <c r="AF2398" s="1" t="s">
        <v>2148</v>
      </c>
    </row>
    <row r="2399" spans="1:32" x14ac:dyDescent="0.2">
      <c r="A2399" s="1" t="s">
        <v>6421</v>
      </c>
      <c r="B2399" s="1" t="s">
        <v>5</v>
      </c>
      <c r="C2399" s="1" t="s">
        <v>1575</v>
      </c>
      <c r="D2399" s="1" t="s">
        <v>1578</v>
      </c>
      <c r="E2399" s="1" t="s">
        <v>2113</v>
      </c>
      <c r="F2399" s="1" t="s">
        <v>548</v>
      </c>
      <c r="G2399" s="4">
        <f>31.8%+1.2%</f>
        <v>0.33</v>
      </c>
      <c r="H2399" s="28">
        <v>42348</v>
      </c>
      <c r="I2399" s="29">
        <f t="shared" si="2457"/>
        <v>2015</v>
      </c>
      <c r="J2399" s="1" t="s">
        <v>7</v>
      </c>
      <c r="K2399" s="1" t="s">
        <v>2145</v>
      </c>
      <c r="L2399" s="11" t="str">
        <f t="shared" si="2454"/>
        <v>НЕТ</v>
      </c>
      <c r="M2399" s="10">
        <v>0</v>
      </c>
      <c r="N2399" s="10">
        <v>0</v>
      </c>
      <c r="O2399" s="10">
        <v>1.831</v>
      </c>
      <c r="P2399" s="10">
        <f t="shared" si="2455"/>
        <v>5.5484848484848479</v>
      </c>
      <c r="Q2399" s="10">
        <f t="shared" si="2456"/>
        <v>290.17648484848485</v>
      </c>
      <c r="R2399" s="10">
        <v>774.38</v>
      </c>
      <c r="S2399" s="10">
        <v>343.15500000000003</v>
      </c>
      <c r="T2399" s="10">
        <v>231.33700000000005</v>
      </c>
      <c r="U2399" s="10">
        <v>59.5</v>
      </c>
      <c r="V2399" s="10">
        <v>1368.8630000000001</v>
      </c>
      <c r="W2399" s="10">
        <v>284.62799999999999</v>
      </c>
      <c r="X2399" s="10">
        <f t="shared" si="2446"/>
        <v>1653.491</v>
      </c>
      <c r="Y2399" s="10">
        <f t="shared" si="2447"/>
        <v>7.1650673422413392E-3</v>
      </c>
      <c r="Z2399" s="10">
        <f t="shared" si="2448"/>
        <v>9.3251846193022653E-2</v>
      </c>
      <c r="AA2399" s="10">
        <f t="shared" si="2449"/>
        <v>4.0533529275645899E-3</v>
      </c>
      <c r="AB2399" s="10">
        <f t="shared" si="2450"/>
        <v>0.37472104761032676</v>
      </c>
      <c r="AC2399" s="10">
        <f t="shared" si="2451"/>
        <v>0.84561345411981415</v>
      </c>
      <c r="AD2399" s="10">
        <f t="shared" si="2452"/>
        <v>1.2543453267245828</v>
      </c>
      <c r="AE2399" s="10">
        <f t="shared" si="2453"/>
        <v>0.1754932351300883</v>
      </c>
      <c r="AF2399" s="1" t="s">
        <v>2149</v>
      </c>
    </row>
    <row r="2400" spans="1:32" x14ac:dyDescent="0.2">
      <c r="A2400" s="1" t="s">
        <v>6421</v>
      </c>
      <c r="B2400" s="1" t="s">
        <v>5</v>
      </c>
      <c r="C2400" s="1" t="s">
        <v>1575</v>
      </c>
      <c r="D2400" s="1" t="s">
        <v>1578</v>
      </c>
      <c r="E2400" s="1" t="s">
        <v>2113</v>
      </c>
      <c r="F2400" s="1" t="s">
        <v>548</v>
      </c>
      <c r="G2400" s="4">
        <v>0.318</v>
      </c>
      <c r="H2400" s="28">
        <v>42117</v>
      </c>
      <c r="I2400" s="29">
        <f t="shared" si="2457"/>
        <v>2015</v>
      </c>
      <c r="J2400" s="1" t="s">
        <v>2145</v>
      </c>
      <c r="K2400" s="1" t="s">
        <v>7</v>
      </c>
      <c r="L2400" s="11" t="str">
        <f t="shared" si="2454"/>
        <v>НЕТ</v>
      </c>
      <c r="M2400" s="10">
        <v>0</v>
      </c>
      <c r="N2400" s="10">
        <v>0</v>
      </c>
      <c r="O2400" s="10">
        <v>1.7660880000000001</v>
      </c>
      <c r="P2400" s="10">
        <f t="shared" si="2455"/>
        <v>5.5537358490566042</v>
      </c>
      <c r="Q2400" s="10">
        <f t="shared" si="2456"/>
        <v>290.18173584905657</v>
      </c>
      <c r="R2400" s="10">
        <v>774.38</v>
      </c>
      <c r="S2400" s="10">
        <v>343.15500000000003</v>
      </c>
      <c r="T2400" s="10">
        <v>231.33700000000005</v>
      </c>
      <c r="U2400" s="10">
        <v>59.5</v>
      </c>
      <c r="V2400" s="10">
        <v>1368.8630000000001</v>
      </c>
      <c r="W2400" s="10">
        <v>284.62799999999999</v>
      </c>
      <c r="X2400" s="10">
        <f t="shared" si="2446"/>
        <v>1653.491</v>
      </c>
      <c r="Y2400" s="10">
        <f t="shared" si="2447"/>
        <v>7.1718482515775259E-3</v>
      </c>
      <c r="Z2400" s="10">
        <f t="shared" si="2448"/>
        <v>9.3340098303472341E-2</v>
      </c>
      <c r="AA2400" s="10">
        <f t="shared" si="2449"/>
        <v>4.0571889583227863E-3</v>
      </c>
      <c r="AB2400" s="10">
        <f t="shared" si="2450"/>
        <v>0.37472782851966291</v>
      </c>
      <c r="AC2400" s="10">
        <f t="shared" si="2451"/>
        <v>0.84562875624442757</v>
      </c>
      <c r="AD2400" s="10">
        <f t="shared" si="2452"/>
        <v>1.2543680252145419</v>
      </c>
      <c r="AE2400" s="10">
        <f t="shared" si="2453"/>
        <v>0.17549641083565412</v>
      </c>
      <c r="AF2400" s="1" t="s">
        <v>2149</v>
      </c>
    </row>
    <row r="2401" spans="1:32" x14ac:dyDescent="0.2">
      <c r="A2401" s="1" t="s">
        <v>6422</v>
      </c>
      <c r="B2401" s="1" t="s">
        <v>5</v>
      </c>
      <c r="C2401" s="1" t="s">
        <v>1575</v>
      </c>
      <c r="D2401" s="1" t="s">
        <v>1578</v>
      </c>
      <c r="E2401" s="1" t="s">
        <v>2113</v>
      </c>
      <c r="F2401" s="1" t="s">
        <v>548</v>
      </c>
      <c r="G2401" s="4">
        <v>0.01</v>
      </c>
      <c r="H2401" s="28">
        <v>41364</v>
      </c>
      <c r="I2401" s="29">
        <f t="shared" si="2457"/>
        <v>2013</v>
      </c>
      <c r="J2401" s="1" t="s">
        <v>2145</v>
      </c>
      <c r="K2401" s="1" t="s">
        <v>7</v>
      </c>
      <c r="L2401" s="11" t="str">
        <f t="shared" si="2454"/>
        <v>НЕТ</v>
      </c>
      <c r="M2401" s="10">
        <v>0</v>
      </c>
      <c r="N2401" s="10">
        <v>0</v>
      </c>
      <c r="O2401" s="10">
        <v>5.0500000000000002E-4</v>
      </c>
      <c r="P2401" s="10">
        <f t="shared" si="2455"/>
        <v>5.0500000000000003E-2</v>
      </c>
      <c r="Q2401" s="10">
        <f t="shared" si="2456"/>
        <v>326.88050000000004</v>
      </c>
      <c r="R2401" s="10">
        <v>732.375</v>
      </c>
      <c r="S2401" s="10">
        <v>327.923</v>
      </c>
      <c r="T2401" s="10">
        <v>243.726</v>
      </c>
      <c r="U2401" s="10">
        <v>184.39</v>
      </c>
      <c r="V2401" s="10">
        <v>1173.33</v>
      </c>
      <c r="W2401" s="10">
        <v>326.83000000000004</v>
      </c>
      <c r="X2401" s="10">
        <f t="shared" ref="X2401:X2467" si="2458">IFERROR(V2401+W2401,"NA")</f>
        <v>1500.1599999999999</v>
      </c>
      <c r="Y2401" s="10">
        <f t="shared" ref="Y2401:Y2467" si="2459">IFERROR(P2401/R2401,"NA")</f>
        <v>6.8953746373101211E-5</v>
      </c>
      <c r="Z2401" s="10">
        <f t="shared" ref="Z2401:Z2467" si="2460">IFERROR(P2401/U2401,"NA")</f>
        <v>2.7387602364553398E-4</v>
      </c>
      <c r="AA2401" s="10">
        <f t="shared" ref="AA2401:AA2467" si="2461">IFERROR(P2401/V2401,"NA")</f>
        <v>4.303989499970171E-5</v>
      </c>
      <c r="AB2401" s="10">
        <f t="shared" ref="AB2401:AB2467" si="2462">IFERROR(Q2401/R2401,"NA")</f>
        <v>0.44632940774876262</v>
      </c>
      <c r="AC2401" s="10">
        <f t="shared" ref="AC2401:AC2467" si="2463">IFERROR(Q2401/S2401,"NA")</f>
        <v>0.99682090002836043</v>
      </c>
      <c r="AD2401" s="10">
        <f t="shared" ref="AD2401:AD2467" si="2464">IFERROR(Q2401/T2401,"NA")</f>
        <v>1.3411802597999394</v>
      </c>
      <c r="AE2401" s="10">
        <f t="shared" ref="AE2401:AE2467" si="2465">IFERROR(Q2401/X2401,"NA")</f>
        <v>0.2178970909769625</v>
      </c>
      <c r="AF2401" s="1" t="s">
        <v>2152</v>
      </c>
    </row>
    <row r="2402" spans="1:32" x14ac:dyDescent="0.2">
      <c r="A2402" s="1" t="s">
        <v>2145</v>
      </c>
      <c r="B2402" s="1" t="s">
        <v>5</v>
      </c>
      <c r="C2402" s="1" t="s">
        <v>2107</v>
      </c>
      <c r="D2402" s="1" t="s">
        <v>1578</v>
      </c>
      <c r="E2402" s="1" t="s">
        <v>2113</v>
      </c>
      <c r="F2402" s="1" t="s">
        <v>548</v>
      </c>
      <c r="G2402" s="4">
        <f>78140/124750000</f>
        <v>6.2637274549098192E-4</v>
      </c>
      <c r="H2402" s="28">
        <v>41584</v>
      </c>
      <c r="I2402" s="29">
        <f t="shared" si="2457"/>
        <v>2013</v>
      </c>
      <c r="J2402" s="1" t="s">
        <v>7</v>
      </c>
      <c r="K2402" s="1" t="s">
        <v>2145</v>
      </c>
      <c r="L2402" s="11" t="str">
        <f t="shared" si="2454"/>
        <v>ДА</v>
      </c>
      <c r="M2402" s="10">
        <v>0</v>
      </c>
      <c r="N2402" s="10">
        <v>0</v>
      </c>
      <c r="O2402" s="10">
        <v>3.2271000000000001E-2</v>
      </c>
      <c r="P2402" s="10">
        <f t="shared" si="2455"/>
        <v>51.520440875351937</v>
      </c>
      <c r="Q2402" s="10">
        <f t="shared" si="2456"/>
        <v>78.111440875351931</v>
      </c>
      <c r="R2402" s="10">
        <v>147.023</v>
      </c>
      <c r="S2402" s="10">
        <v>8.4609999999999985</v>
      </c>
      <c r="T2402" s="10">
        <v>4.4849999999999994</v>
      </c>
      <c r="U2402" s="10">
        <v>1.052</v>
      </c>
      <c r="V2402" s="10">
        <v>24.438999999999993</v>
      </c>
      <c r="W2402" s="10">
        <v>26.590999999999998</v>
      </c>
      <c r="X2402" s="10">
        <f t="shared" si="2458"/>
        <v>51.029999999999987</v>
      </c>
      <c r="Y2402" s="10">
        <f t="shared" si="2459"/>
        <v>0.35042436132681237</v>
      </c>
      <c r="Z2402" s="10">
        <f t="shared" si="2460"/>
        <v>48.973803113452412</v>
      </c>
      <c r="AA2402" s="10">
        <f t="shared" si="2461"/>
        <v>2.1081239361410842</v>
      </c>
      <c r="AB2402" s="10">
        <f t="shared" si="2462"/>
        <v>0.53128721951906799</v>
      </c>
      <c r="AC2402" s="10">
        <f t="shared" si="2463"/>
        <v>9.2319395905155357</v>
      </c>
      <c r="AD2402" s="10">
        <f t="shared" si="2464"/>
        <v>17.416151811672673</v>
      </c>
      <c r="AE2402" s="10">
        <f t="shared" si="2465"/>
        <v>1.5306964702204968</v>
      </c>
      <c r="AF2402" s="1" t="s">
        <v>2150</v>
      </c>
    </row>
    <row r="2403" spans="1:32" x14ac:dyDescent="0.2">
      <c r="A2403" s="1" t="s">
        <v>2145</v>
      </c>
      <c r="B2403" s="1" t="s">
        <v>5</v>
      </c>
      <c r="C2403" s="1" t="s">
        <v>2107</v>
      </c>
      <c r="D2403" s="1" t="s">
        <v>1578</v>
      </c>
      <c r="E2403" s="1" t="s">
        <v>2113</v>
      </c>
      <c r="F2403" s="1" t="s">
        <v>548</v>
      </c>
      <c r="G2403" s="4">
        <f>78140/124750000</f>
        <v>6.2637274549098192E-4</v>
      </c>
      <c r="H2403" s="28">
        <v>41206</v>
      </c>
      <c r="I2403" s="29">
        <f t="shared" si="2457"/>
        <v>2012</v>
      </c>
      <c r="J2403" s="1" t="s">
        <v>2145</v>
      </c>
      <c r="K2403" s="1" t="s">
        <v>7</v>
      </c>
      <c r="L2403" s="11" t="str">
        <f t="shared" si="2454"/>
        <v>ДА</v>
      </c>
      <c r="M2403" s="10">
        <v>0</v>
      </c>
      <c r="N2403" s="10">
        <v>0</v>
      </c>
      <c r="O2403" s="10">
        <v>2.6485000000000002E-2</v>
      </c>
      <c r="P2403" s="10">
        <f t="shared" si="2455"/>
        <v>42.283129639109298</v>
      </c>
      <c r="Q2403" s="10">
        <f t="shared" si="2456"/>
        <v>62.479129639109303</v>
      </c>
      <c r="R2403" s="10">
        <v>102.31699999999999</v>
      </c>
      <c r="S2403" s="10">
        <v>6.3049999999999997</v>
      </c>
      <c r="T2403" s="10">
        <v>3.4550000000000001</v>
      </c>
      <c r="U2403" s="10">
        <v>1.1020000000000001</v>
      </c>
      <c r="V2403" s="10">
        <v>23.414999999999996</v>
      </c>
      <c r="W2403" s="10">
        <v>20.196000000000002</v>
      </c>
      <c r="X2403" s="10">
        <f t="shared" si="2458"/>
        <v>43.610999999999997</v>
      </c>
      <c r="Y2403" s="10">
        <f t="shared" si="2459"/>
        <v>0.41325615136398935</v>
      </c>
      <c r="Z2403" s="10">
        <f t="shared" si="2460"/>
        <v>38.369446133493007</v>
      </c>
      <c r="AA2403" s="10">
        <f t="shared" si="2461"/>
        <v>1.8058137791633271</v>
      </c>
      <c r="AB2403" s="10">
        <f t="shared" si="2462"/>
        <v>0.61064270491813977</v>
      </c>
      <c r="AC2403" s="10">
        <f t="shared" si="2463"/>
        <v>9.9094575161156708</v>
      </c>
      <c r="AD2403" s="10">
        <f t="shared" si="2464"/>
        <v>18.083684410740752</v>
      </c>
      <c r="AE2403" s="10">
        <f t="shared" si="2465"/>
        <v>1.4326461131161703</v>
      </c>
      <c r="AF2403" s="1" t="s">
        <v>2151</v>
      </c>
    </row>
    <row r="2404" spans="1:32" x14ac:dyDescent="0.2">
      <c r="A2404" s="1" t="s">
        <v>6423</v>
      </c>
      <c r="B2404" s="1" t="s">
        <v>5</v>
      </c>
      <c r="C2404" s="1" t="s">
        <v>1575</v>
      </c>
      <c r="D2404" s="1" t="s">
        <v>1578</v>
      </c>
      <c r="E2404" s="1" t="s">
        <v>2113</v>
      </c>
      <c r="F2404" s="1" t="s">
        <v>548</v>
      </c>
      <c r="G2404" s="4">
        <v>1</v>
      </c>
      <c r="H2404" s="28">
        <v>40709</v>
      </c>
      <c r="I2404" s="29">
        <f t="shared" si="2457"/>
        <v>2011</v>
      </c>
      <c r="J2404" s="1" t="s">
        <v>2145</v>
      </c>
      <c r="K2404" s="1" t="s">
        <v>7</v>
      </c>
      <c r="L2404" s="11" t="str">
        <f t="shared" si="2454"/>
        <v>НЕТ</v>
      </c>
      <c r="M2404" s="10">
        <v>0</v>
      </c>
      <c r="N2404" s="10">
        <v>0</v>
      </c>
      <c r="O2404" s="10">
        <v>20.852929</v>
      </c>
      <c r="P2404" s="10">
        <f t="shared" si="2455"/>
        <v>20.852929</v>
      </c>
      <c r="Q2404" s="10" t="str">
        <f t="shared" si="2456"/>
        <v>NA</v>
      </c>
      <c r="R2404" s="10" t="s">
        <v>1575</v>
      </c>
      <c r="S2404" s="10" t="s">
        <v>1575</v>
      </c>
      <c r="T2404" s="10" t="s">
        <v>1575</v>
      </c>
      <c r="U2404" s="10" t="s">
        <v>1575</v>
      </c>
      <c r="V2404" s="10">
        <v>3.546227</v>
      </c>
      <c r="W2404" s="10" t="s">
        <v>1575</v>
      </c>
      <c r="X2404" s="10" t="str">
        <f t="shared" si="2458"/>
        <v>NA</v>
      </c>
      <c r="Y2404" s="10" t="str">
        <f t="shared" si="2459"/>
        <v>NA</v>
      </c>
      <c r="Z2404" s="10" t="str">
        <f t="shared" si="2460"/>
        <v>NA</v>
      </c>
      <c r="AA2404" s="10">
        <f t="shared" si="2461"/>
        <v>5.880314204364244</v>
      </c>
      <c r="AB2404" s="10" t="str">
        <f t="shared" si="2462"/>
        <v>NA</v>
      </c>
      <c r="AC2404" s="10" t="str">
        <f t="shared" si="2463"/>
        <v>NA</v>
      </c>
      <c r="AD2404" s="10" t="str">
        <f t="shared" si="2464"/>
        <v>NA</v>
      </c>
      <c r="AE2404" s="10" t="str">
        <f t="shared" si="2465"/>
        <v>NA</v>
      </c>
      <c r="AF2404" s="1" t="s">
        <v>2153</v>
      </c>
    </row>
    <row r="2405" spans="1:32" x14ac:dyDescent="0.2">
      <c r="A2405" s="1" t="s">
        <v>2145</v>
      </c>
      <c r="B2405" s="1" t="s">
        <v>5</v>
      </c>
      <c r="C2405" s="1" t="s">
        <v>2107</v>
      </c>
      <c r="D2405" s="1" t="s">
        <v>1578</v>
      </c>
      <c r="E2405" s="1" t="s">
        <v>2113</v>
      </c>
      <c r="F2405" s="1" t="s">
        <v>548</v>
      </c>
      <c r="G2405" s="4">
        <f>1500/86000000</f>
        <v>1.7441860465116278E-5</v>
      </c>
      <c r="H2405" s="28">
        <v>40752</v>
      </c>
      <c r="I2405" s="29">
        <f t="shared" si="2457"/>
        <v>2011</v>
      </c>
      <c r="J2405" s="1" t="s">
        <v>2145</v>
      </c>
      <c r="K2405" s="1" t="s">
        <v>7</v>
      </c>
      <c r="L2405" s="11" t="str">
        <f t="shared" si="2454"/>
        <v>ДА</v>
      </c>
      <c r="M2405" s="10">
        <v>0</v>
      </c>
      <c r="N2405" s="10">
        <v>0</v>
      </c>
      <c r="O2405" s="10">
        <v>5.5400000000000002E-4</v>
      </c>
      <c r="P2405" s="10">
        <f t="shared" si="2455"/>
        <v>31.762666666666671</v>
      </c>
      <c r="Q2405" s="10">
        <f t="shared" si="2456"/>
        <v>39.63966666666667</v>
      </c>
      <c r="R2405" s="10" t="s">
        <v>1575</v>
      </c>
      <c r="S2405" s="10" t="s">
        <v>1575</v>
      </c>
      <c r="T2405" s="10" t="s">
        <v>1575</v>
      </c>
      <c r="U2405" s="10" t="s">
        <v>1575</v>
      </c>
      <c r="V2405" s="10">
        <v>6.0289999999999999</v>
      </c>
      <c r="W2405" s="10">
        <v>7.8769999999999998</v>
      </c>
      <c r="X2405" s="10">
        <f t="shared" si="2458"/>
        <v>13.905999999999999</v>
      </c>
      <c r="Y2405" s="10" t="str">
        <f t="shared" si="2459"/>
        <v>NA</v>
      </c>
      <c r="Z2405" s="10" t="str">
        <f t="shared" si="2460"/>
        <v>NA</v>
      </c>
      <c r="AA2405" s="10">
        <f t="shared" si="2461"/>
        <v>5.2683142588599559</v>
      </c>
      <c r="AB2405" s="10" t="str">
        <f t="shared" si="2462"/>
        <v>NA</v>
      </c>
      <c r="AC2405" s="10" t="str">
        <f t="shared" si="2463"/>
        <v>NA</v>
      </c>
      <c r="AD2405" s="10" t="str">
        <f t="shared" si="2464"/>
        <v>NA</v>
      </c>
      <c r="AE2405" s="10">
        <f t="shared" si="2465"/>
        <v>2.8505441296322935</v>
      </c>
      <c r="AF2405" s="1" t="s">
        <v>2156</v>
      </c>
    </row>
    <row r="2406" spans="1:32" x14ac:dyDescent="0.2">
      <c r="A2406" s="1" t="s">
        <v>2145</v>
      </c>
      <c r="B2406" s="1" t="s">
        <v>5</v>
      </c>
      <c r="C2406" s="1" t="s">
        <v>2107</v>
      </c>
      <c r="D2406" s="1" t="s">
        <v>1578</v>
      </c>
      <c r="E2406" s="1" t="s">
        <v>2113</v>
      </c>
      <c r="F2406" s="1" t="s">
        <v>548</v>
      </c>
      <c r="G2406" s="4">
        <f>1113849 /86000000</f>
        <v>1.2951732558139535E-2</v>
      </c>
      <c r="H2406" s="28">
        <v>40708</v>
      </c>
      <c r="I2406" s="29">
        <f t="shared" si="2457"/>
        <v>2011</v>
      </c>
      <c r="J2406" s="1" t="s">
        <v>2145</v>
      </c>
      <c r="K2406" s="1" t="s">
        <v>7</v>
      </c>
      <c r="L2406" s="11" t="str">
        <f t="shared" si="2454"/>
        <v>ДА</v>
      </c>
      <c r="M2406" s="10">
        <v>0</v>
      </c>
      <c r="N2406" s="10">
        <v>0</v>
      </c>
      <c r="O2406" s="10">
        <v>0.41100999999999999</v>
      </c>
      <c r="P2406" s="10">
        <f t="shared" si="2455"/>
        <v>31.733978304060962</v>
      </c>
      <c r="Q2406" s="10">
        <f t="shared" si="2456"/>
        <v>39.610978304060964</v>
      </c>
      <c r="R2406" s="10" t="s">
        <v>1575</v>
      </c>
      <c r="S2406" s="10" t="s">
        <v>1575</v>
      </c>
      <c r="T2406" s="10" t="s">
        <v>1575</v>
      </c>
      <c r="U2406" s="10" t="s">
        <v>1575</v>
      </c>
      <c r="V2406" s="10">
        <v>6.0289999999999999</v>
      </c>
      <c r="W2406" s="10">
        <v>7.8769999999999998</v>
      </c>
      <c r="X2406" s="10">
        <f t="shared" si="2458"/>
        <v>13.905999999999999</v>
      </c>
      <c r="Y2406" s="10" t="str">
        <f t="shared" si="2459"/>
        <v>NA</v>
      </c>
      <c r="Z2406" s="10" t="str">
        <f t="shared" si="2460"/>
        <v>NA</v>
      </c>
      <c r="AA2406" s="10">
        <f t="shared" si="2461"/>
        <v>5.2635558640008231</v>
      </c>
      <c r="AB2406" s="10" t="str">
        <f t="shared" si="2462"/>
        <v>NA</v>
      </c>
      <c r="AC2406" s="10" t="str">
        <f t="shared" si="2463"/>
        <v>NA</v>
      </c>
      <c r="AD2406" s="10" t="str">
        <f t="shared" si="2464"/>
        <v>NA</v>
      </c>
      <c r="AE2406" s="10">
        <f t="shared" si="2465"/>
        <v>2.8484811091658973</v>
      </c>
      <c r="AF2406" s="1" t="s">
        <v>2155</v>
      </c>
    </row>
    <row r="2407" spans="1:32" x14ac:dyDescent="0.2">
      <c r="A2407" s="1" t="s">
        <v>2145</v>
      </c>
      <c r="B2407" s="1" t="s">
        <v>5</v>
      </c>
      <c r="C2407" s="1" t="s">
        <v>2107</v>
      </c>
      <c r="D2407" s="1" t="s">
        <v>1578</v>
      </c>
      <c r="E2407" s="1" t="s">
        <v>2113</v>
      </c>
      <c r="F2407" s="1" t="s">
        <v>548</v>
      </c>
      <c r="G2407" s="4">
        <f>1113849 /86000000</f>
        <v>1.2951732558139535E-2</v>
      </c>
      <c r="H2407" s="28">
        <v>40701</v>
      </c>
      <c r="I2407" s="29">
        <f t="shared" si="2457"/>
        <v>2011</v>
      </c>
      <c r="J2407" s="1" t="s">
        <v>7</v>
      </c>
      <c r="K2407" s="1" t="s">
        <v>2145</v>
      </c>
      <c r="L2407" s="11" t="str">
        <f t="shared" si="2454"/>
        <v>ДА</v>
      </c>
      <c r="M2407" s="10">
        <v>0</v>
      </c>
      <c r="N2407" s="10">
        <v>0</v>
      </c>
      <c r="O2407" s="10">
        <v>0.43551499999999999</v>
      </c>
      <c r="P2407" s="10">
        <f t="shared" si="2455"/>
        <v>33.626003165599641</v>
      </c>
      <c r="Q2407" s="10">
        <f t="shared" si="2456"/>
        <v>41.503003165599644</v>
      </c>
      <c r="R2407" s="10" t="s">
        <v>1575</v>
      </c>
      <c r="S2407" s="10" t="s">
        <v>1575</v>
      </c>
      <c r="T2407" s="10" t="s">
        <v>1575</v>
      </c>
      <c r="U2407" s="10" t="s">
        <v>1575</v>
      </c>
      <c r="V2407" s="10">
        <v>6.0289999999999999</v>
      </c>
      <c r="W2407" s="10">
        <v>7.8769999999999998</v>
      </c>
      <c r="X2407" s="10">
        <f t="shared" si="2458"/>
        <v>13.905999999999999</v>
      </c>
      <c r="Y2407" s="10" t="str">
        <f t="shared" si="2459"/>
        <v>NA</v>
      </c>
      <c r="Z2407" s="10" t="str">
        <f t="shared" si="2460"/>
        <v>NA</v>
      </c>
      <c r="AA2407" s="10">
        <f t="shared" si="2461"/>
        <v>5.5773765409851785</v>
      </c>
      <c r="AB2407" s="10" t="str">
        <f t="shared" si="2462"/>
        <v>NA</v>
      </c>
      <c r="AC2407" s="10" t="str">
        <f t="shared" si="2463"/>
        <v>NA</v>
      </c>
      <c r="AD2407" s="10" t="str">
        <f t="shared" si="2464"/>
        <v>NA</v>
      </c>
      <c r="AE2407" s="10">
        <f t="shared" si="2465"/>
        <v>2.9845392755357145</v>
      </c>
      <c r="AF2407" s="1" t="s">
        <v>2155</v>
      </c>
    </row>
    <row r="2408" spans="1:32" x14ac:dyDescent="0.2">
      <c r="A2408" s="1" t="s">
        <v>2145</v>
      </c>
      <c r="B2408" s="1" t="s">
        <v>5</v>
      </c>
      <c r="C2408" s="1" t="s">
        <v>2107</v>
      </c>
      <c r="D2408" s="1" t="s">
        <v>1578</v>
      </c>
      <c r="E2408" s="1" t="s">
        <v>2113</v>
      </c>
      <c r="F2408" s="1" t="s">
        <v>548</v>
      </c>
      <c r="G2408" s="4">
        <f>1963646/86000000</f>
        <v>2.2833093023255813E-2</v>
      </c>
      <c r="H2408" s="28">
        <v>40564</v>
      </c>
      <c r="I2408" s="29">
        <f t="shared" si="2457"/>
        <v>2011</v>
      </c>
      <c r="J2408" s="1" t="s">
        <v>7</v>
      </c>
      <c r="K2408" s="1" t="s">
        <v>2145</v>
      </c>
      <c r="L2408" s="11" t="str">
        <f t="shared" si="2454"/>
        <v>ДА</v>
      </c>
      <c r="M2408" s="10">
        <v>0</v>
      </c>
      <c r="N2408" s="10">
        <v>0</v>
      </c>
      <c r="O2408" s="10">
        <v>0.78545799999999999</v>
      </c>
      <c r="P2408" s="10">
        <f t="shared" si="2455"/>
        <v>34.399982481567456</v>
      </c>
      <c r="Q2408" s="10">
        <f t="shared" si="2456"/>
        <v>42.276982481567458</v>
      </c>
      <c r="R2408" s="10" t="s">
        <v>1575</v>
      </c>
      <c r="S2408" s="10" t="s">
        <v>1575</v>
      </c>
      <c r="T2408" s="10" t="s">
        <v>1575</v>
      </c>
      <c r="U2408" s="10" t="s">
        <v>1575</v>
      </c>
      <c r="V2408" s="10">
        <v>6.0289999999999999</v>
      </c>
      <c r="W2408" s="10">
        <v>7.8769999999999998</v>
      </c>
      <c r="X2408" s="10">
        <f t="shared" si="2458"/>
        <v>13.905999999999999</v>
      </c>
      <c r="Y2408" s="10" t="str">
        <f t="shared" si="2459"/>
        <v>NA</v>
      </c>
      <c r="Z2408" s="10" t="str">
        <f t="shared" si="2460"/>
        <v>NA</v>
      </c>
      <c r="AA2408" s="10">
        <f t="shared" si="2461"/>
        <v>5.7057526093162148</v>
      </c>
      <c r="AB2408" s="10" t="str">
        <f t="shared" si="2462"/>
        <v>NA</v>
      </c>
      <c r="AC2408" s="10" t="str">
        <f t="shared" si="2463"/>
        <v>NA</v>
      </c>
      <c r="AD2408" s="10" t="str">
        <f t="shared" si="2464"/>
        <v>NA</v>
      </c>
      <c r="AE2408" s="10">
        <f t="shared" si="2465"/>
        <v>3.040197215703111</v>
      </c>
      <c r="AF2408" s="1" t="s">
        <v>2154</v>
      </c>
    </row>
    <row r="2409" spans="1:32" x14ac:dyDescent="0.2">
      <c r="A2409" s="1" t="s">
        <v>2140</v>
      </c>
      <c r="B2409" s="1" t="s">
        <v>5</v>
      </c>
      <c r="C2409" s="1" t="s">
        <v>1575</v>
      </c>
      <c r="D2409" s="1" t="s">
        <v>1578</v>
      </c>
      <c r="E2409" s="1" t="s">
        <v>2142</v>
      </c>
      <c r="F2409" s="1" t="s">
        <v>548</v>
      </c>
      <c r="G2409" s="4">
        <v>0.1157</v>
      </c>
      <c r="H2409" s="28">
        <v>40360</v>
      </c>
      <c r="I2409" s="29">
        <f t="shared" si="2457"/>
        <v>2010</v>
      </c>
      <c r="J2409" s="1" t="s">
        <v>2145</v>
      </c>
      <c r="K2409" s="1" t="s">
        <v>7</v>
      </c>
      <c r="L2409" s="11" t="str">
        <f t="shared" si="2454"/>
        <v>НЕТ</v>
      </c>
      <c r="M2409" s="10">
        <v>0</v>
      </c>
      <c r="N2409" s="10">
        <v>0</v>
      </c>
      <c r="O2409" s="10">
        <v>3.3649999999999999E-3</v>
      </c>
      <c r="P2409" s="10">
        <f t="shared" si="2455"/>
        <v>2.9083837510803803E-2</v>
      </c>
      <c r="Q2409" s="10" t="str">
        <f t="shared" si="2456"/>
        <v>NA</v>
      </c>
      <c r="R2409" s="10" t="s">
        <v>1575</v>
      </c>
      <c r="S2409" s="10" t="s">
        <v>1575</v>
      </c>
      <c r="T2409" s="10" t="s">
        <v>1575</v>
      </c>
      <c r="U2409" s="10" t="s">
        <v>1575</v>
      </c>
      <c r="V2409" s="10" t="s">
        <v>1575</v>
      </c>
      <c r="W2409" s="10" t="s">
        <v>1575</v>
      </c>
      <c r="X2409" s="10" t="str">
        <f t="shared" si="2458"/>
        <v>NA</v>
      </c>
      <c r="Y2409" s="10" t="str">
        <f t="shared" si="2459"/>
        <v>NA</v>
      </c>
      <c r="Z2409" s="10" t="str">
        <f t="shared" si="2460"/>
        <v>NA</v>
      </c>
      <c r="AA2409" s="10" t="str">
        <f t="shared" si="2461"/>
        <v>NA</v>
      </c>
      <c r="AB2409" s="10" t="str">
        <f t="shared" si="2462"/>
        <v>NA</v>
      </c>
      <c r="AC2409" s="10" t="str">
        <f t="shared" si="2463"/>
        <v>NA</v>
      </c>
      <c r="AD2409" s="10" t="str">
        <f t="shared" si="2464"/>
        <v>NA</v>
      </c>
      <c r="AE2409" s="10" t="str">
        <f t="shared" si="2465"/>
        <v>NA</v>
      </c>
      <c r="AF2409" s="1" t="s">
        <v>2157</v>
      </c>
    </row>
    <row r="2410" spans="1:32" x14ac:dyDescent="0.2">
      <c r="A2410" s="1" t="s">
        <v>2140</v>
      </c>
      <c r="B2410" s="1" t="s">
        <v>5</v>
      </c>
      <c r="C2410" s="1" t="s">
        <v>1575</v>
      </c>
      <c r="D2410" s="1" t="s">
        <v>1578</v>
      </c>
      <c r="E2410" s="1" t="s">
        <v>2142</v>
      </c>
      <c r="F2410" s="1" t="s">
        <v>548</v>
      </c>
      <c r="G2410" s="4">
        <v>3.6499999999999998E-2</v>
      </c>
      <c r="H2410" s="28">
        <v>40513</v>
      </c>
      <c r="I2410" s="29">
        <f t="shared" si="2457"/>
        <v>2010</v>
      </c>
      <c r="J2410" s="1" t="s">
        <v>2145</v>
      </c>
      <c r="K2410" s="1" t="s">
        <v>7</v>
      </c>
      <c r="L2410" s="11" t="str">
        <f t="shared" si="2454"/>
        <v>НЕТ</v>
      </c>
      <c r="M2410" s="10">
        <v>0</v>
      </c>
      <c r="N2410" s="10">
        <v>0</v>
      </c>
      <c r="O2410" s="10">
        <v>2.47E-3</v>
      </c>
      <c r="P2410" s="10">
        <f t="shared" si="2455"/>
        <v>6.7671232876712326E-2</v>
      </c>
      <c r="Q2410" s="10" t="str">
        <f t="shared" si="2456"/>
        <v>NA</v>
      </c>
      <c r="R2410" s="10" t="s">
        <v>1575</v>
      </c>
      <c r="S2410" s="10" t="s">
        <v>1575</v>
      </c>
      <c r="T2410" s="10" t="s">
        <v>1575</v>
      </c>
      <c r="U2410" s="10" t="s">
        <v>1575</v>
      </c>
      <c r="V2410" s="10" t="s">
        <v>1575</v>
      </c>
      <c r="W2410" s="10" t="s">
        <v>1575</v>
      </c>
      <c r="X2410" s="10" t="str">
        <f t="shared" si="2458"/>
        <v>NA</v>
      </c>
      <c r="Y2410" s="10" t="str">
        <f t="shared" si="2459"/>
        <v>NA</v>
      </c>
      <c r="Z2410" s="10" t="str">
        <f t="shared" si="2460"/>
        <v>NA</v>
      </c>
      <c r="AA2410" s="10" t="str">
        <f t="shared" si="2461"/>
        <v>NA</v>
      </c>
      <c r="AB2410" s="10" t="str">
        <f t="shared" si="2462"/>
        <v>NA</v>
      </c>
      <c r="AC2410" s="10" t="str">
        <f t="shared" si="2463"/>
        <v>NA</v>
      </c>
      <c r="AD2410" s="10" t="str">
        <f t="shared" si="2464"/>
        <v>NA</v>
      </c>
      <c r="AE2410" s="10" t="str">
        <f t="shared" si="2465"/>
        <v>NA</v>
      </c>
      <c r="AF2410" s="1" t="s">
        <v>2157</v>
      </c>
    </row>
    <row r="2411" spans="1:32" x14ac:dyDescent="0.2">
      <c r="A2411" s="1" t="s">
        <v>2140</v>
      </c>
      <c r="B2411" s="1" t="s">
        <v>5</v>
      </c>
      <c r="C2411" s="1" t="s">
        <v>1575</v>
      </c>
      <c r="D2411" s="1" t="s">
        <v>1578</v>
      </c>
      <c r="E2411" s="1" t="s">
        <v>2142</v>
      </c>
      <c r="F2411" s="1" t="s">
        <v>548</v>
      </c>
      <c r="G2411" s="4">
        <v>0.11</v>
      </c>
      <c r="H2411" s="28">
        <v>40117</v>
      </c>
      <c r="I2411" s="29">
        <f t="shared" si="2457"/>
        <v>2009</v>
      </c>
      <c r="J2411" s="1" t="s">
        <v>7</v>
      </c>
      <c r="K2411" s="1" t="s">
        <v>2145</v>
      </c>
      <c r="L2411" s="11" t="str">
        <f t="shared" si="2454"/>
        <v>НЕТ</v>
      </c>
      <c r="M2411" s="10">
        <v>0</v>
      </c>
      <c r="N2411" s="10">
        <v>0</v>
      </c>
      <c r="O2411" s="10">
        <v>2.3280000000000002E-3</v>
      </c>
      <c r="P2411" s="10">
        <f t="shared" si="2455"/>
        <v>2.1163636363636367E-2</v>
      </c>
      <c r="Q2411" s="10" t="str">
        <f t="shared" si="2456"/>
        <v>NA</v>
      </c>
      <c r="R2411" s="10" t="s">
        <v>1575</v>
      </c>
      <c r="S2411" s="10" t="s">
        <v>1575</v>
      </c>
      <c r="T2411" s="10" t="s">
        <v>1575</v>
      </c>
      <c r="U2411" s="10" t="s">
        <v>1575</v>
      </c>
      <c r="V2411" s="10" t="s">
        <v>1575</v>
      </c>
      <c r="W2411" s="10" t="s">
        <v>1575</v>
      </c>
      <c r="X2411" s="10" t="str">
        <f t="shared" si="2458"/>
        <v>NA</v>
      </c>
      <c r="Y2411" s="10" t="str">
        <f t="shared" si="2459"/>
        <v>NA</v>
      </c>
      <c r="Z2411" s="10" t="str">
        <f t="shared" si="2460"/>
        <v>NA</v>
      </c>
      <c r="AA2411" s="10" t="str">
        <f t="shared" si="2461"/>
        <v>NA</v>
      </c>
      <c r="AB2411" s="10" t="str">
        <f t="shared" si="2462"/>
        <v>NA</v>
      </c>
      <c r="AC2411" s="10" t="str">
        <f t="shared" si="2463"/>
        <v>NA</v>
      </c>
      <c r="AD2411" s="10" t="str">
        <f t="shared" si="2464"/>
        <v>NA</v>
      </c>
      <c r="AE2411" s="10" t="str">
        <f t="shared" si="2465"/>
        <v>NA</v>
      </c>
      <c r="AF2411" s="1" t="s">
        <v>2157</v>
      </c>
    </row>
    <row r="2412" spans="1:32" x14ac:dyDescent="0.2">
      <c r="A2412" s="1" t="s">
        <v>6424</v>
      </c>
      <c r="B2412" s="1" t="s">
        <v>5</v>
      </c>
      <c r="C2412" s="1" t="s">
        <v>1575</v>
      </c>
      <c r="D2412" s="1" t="s">
        <v>1578</v>
      </c>
      <c r="E2412" s="1" t="s">
        <v>2143</v>
      </c>
      <c r="F2412" s="1" t="s">
        <v>522</v>
      </c>
      <c r="G2412" s="4">
        <v>1</v>
      </c>
      <c r="H2412" s="28">
        <v>44946</v>
      </c>
      <c r="I2412" s="29">
        <f t="shared" si="2457"/>
        <v>2023</v>
      </c>
      <c r="J2412" s="1" t="s">
        <v>2663</v>
      </c>
      <c r="K2412" s="1" t="s">
        <v>6425</v>
      </c>
      <c r="L2412" s="11" t="str">
        <f t="shared" si="2454"/>
        <v>НЕТ</v>
      </c>
      <c r="M2412" s="10">
        <v>0</v>
      </c>
      <c r="N2412" s="10">
        <v>0</v>
      </c>
      <c r="O2412" s="10">
        <v>0.44805</v>
      </c>
      <c r="P2412" s="10">
        <f t="shared" si="2455"/>
        <v>0.44805</v>
      </c>
      <c r="Q2412" s="10">
        <f t="shared" si="2456"/>
        <v>0.45225900000000002</v>
      </c>
      <c r="R2412" s="10" t="s">
        <v>1575</v>
      </c>
      <c r="S2412" s="10" t="s">
        <v>1575</v>
      </c>
      <c r="T2412" s="10" t="s">
        <v>1575</v>
      </c>
      <c r="U2412" s="10" t="s">
        <v>1575</v>
      </c>
      <c r="V2412" s="10">
        <v>0.23585100000000001</v>
      </c>
      <c r="W2412" s="10">
        <f>0.010465-0.006256</f>
        <v>4.2090000000000001E-3</v>
      </c>
      <c r="X2412" s="10">
        <f t="shared" si="2458"/>
        <v>0.24006</v>
      </c>
      <c r="Y2412" s="10" t="str">
        <f t="shared" si="2459"/>
        <v>NA</v>
      </c>
      <c r="Z2412" s="10" t="str">
        <f t="shared" si="2460"/>
        <v>NA</v>
      </c>
      <c r="AA2412" s="10">
        <f t="shared" si="2461"/>
        <v>1.8997163463373061</v>
      </c>
      <c r="AB2412" s="10" t="str">
        <f t="shared" si="2462"/>
        <v>NA</v>
      </c>
      <c r="AC2412" s="10" t="str">
        <f t="shared" si="2463"/>
        <v>NA</v>
      </c>
      <c r="AD2412" s="10" t="str">
        <f t="shared" si="2464"/>
        <v>NA</v>
      </c>
      <c r="AE2412" s="10">
        <f t="shared" si="2465"/>
        <v>1.8839415146213447</v>
      </c>
      <c r="AF2412" s="1" t="s">
        <v>2664</v>
      </c>
    </row>
    <row r="2413" spans="1:32" x14ac:dyDescent="0.2">
      <c r="A2413" s="1" t="s">
        <v>6426</v>
      </c>
      <c r="B2413" s="1" t="s">
        <v>5</v>
      </c>
      <c r="C2413" s="1" t="s">
        <v>1575</v>
      </c>
      <c r="D2413" s="1" t="s">
        <v>1578</v>
      </c>
      <c r="E2413" s="1" t="s">
        <v>2143</v>
      </c>
      <c r="F2413" s="1" t="s">
        <v>522</v>
      </c>
      <c r="G2413" s="4" t="s">
        <v>11</v>
      </c>
      <c r="H2413" s="28">
        <v>45016</v>
      </c>
      <c r="I2413" s="29">
        <f t="shared" si="2457"/>
        <v>2023</v>
      </c>
      <c r="J2413" s="1" t="s">
        <v>2663</v>
      </c>
      <c r="K2413" s="1" t="s">
        <v>7</v>
      </c>
      <c r="L2413" s="11" t="str">
        <f t="shared" si="2454"/>
        <v>НЕТ</v>
      </c>
      <c r="M2413" s="10">
        <v>0</v>
      </c>
      <c r="N2413" s="10">
        <v>0</v>
      </c>
      <c r="O2413" s="10">
        <v>0.147259</v>
      </c>
      <c r="P2413" s="10" t="str">
        <f t="shared" si="2455"/>
        <v>NA</v>
      </c>
      <c r="Q2413" s="10" t="str">
        <f t="shared" si="2456"/>
        <v>NA</v>
      </c>
      <c r="R2413" s="10" t="s">
        <v>1575</v>
      </c>
      <c r="S2413" s="10" t="s">
        <v>1575</v>
      </c>
      <c r="T2413" s="10" t="s">
        <v>1575</v>
      </c>
      <c r="U2413" s="10" t="s">
        <v>1575</v>
      </c>
      <c r="V2413" s="10">
        <v>0.147259</v>
      </c>
      <c r="W2413" s="10">
        <f>0.006755-0.000788</f>
        <v>5.9670000000000001E-3</v>
      </c>
      <c r="X2413" s="10">
        <f t="shared" si="2458"/>
        <v>0.153226</v>
      </c>
      <c r="Y2413" s="10" t="str">
        <f t="shared" si="2459"/>
        <v>NA</v>
      </c>
      <c r="Z2413" s="10" t="str">
        <f t="shared" si="2460"/>
        <v>NA</v>
      </c>
      <c r="AA2413" s="10" t="str">
        <f t="shared" si="2461"/>
        <v>NA</v>
      </c>
      <c r="AB2413" s="10" t="str">
        <f t="shared" si="2462"/>
        <v>NA</v>
      </c>
      <c r="AC2413" s="10" t="str">
        <f t="shared" si="2463"/>
        <v>NA</v>
      </c>
      <c r="AD2413" s="10" t="str">
        <f t="shared" si="2464"/>
        <v>NA</v>
      </c>
      <c r="AE2413" s="10" t="str">
        <f t="shared" si="2465"/>
        <v>NA</v>
      </c>
      <c r="AF2413" s="1" t="s">
        <v>2665</v>
      </c>
    </row>
    <row r="2414" spans="1:32" x14ac:dyDescent="0.2">
      <c r="A2414" s="1" t="s">
        <v>6427</v>
      </c>
      <c r="B2414" s="1" t="s">
        <v>5</v>
      </c>
      <c r="C2414" s="1" t="s">
        <v>1575</v>
      </c>
      <c r="D2414" s="1" t="s">
        <v>1601</v>
      </c>
      <c r="E2414" s="1" t="s">
        <v>1608</v>
      </c>
      <c r="F2414" s="1" t="s">
        <v>1562</v>
      </c>
      <c r="G2414" s="4" t="s">
        <v>11</v>
      </c>
      <c r="H2414" s="28">
        <v>45016</v>
      </c>
      <c r="I2414" s="29">
        <f t="shared" si="2457"/>
        <v>2023</v>
      </c>
      <c r="J2414" s="1" t="s">
        <v>2663</v>
      </c>
      <c r="K2414" s="1" t="s">
        <v>7</v>
      </c>
      <c r="L2414" s="11" t="str">
        <f t="shared" si="2454"/>
        <v>НЕТ</v>
      </c>
      <c r="M2414" s="10">
        <v>0</v>
      </c>
      <c r="N2414" s="10">
        <v>0</v>
      </c>
      <c r="O2414" s="10">
        <v>2E-3</v>
      </c>
      <c r="P2414" s="10" t="str">
        <f t="shared" si="2455"/>
        <v>NA</v>
      </c>
      <c r="Q2414" s="10" t="str">
        <f t="shared" si="2456"/>
        <v>NA</v>
      </c>
      <c r="R2414" s="10" t="s">
        <v>1575</v>
      </c>
      <c r="S2414" s="10" t="s">
        <v>1575</v>
      </c>
      <c r="T2414" s="10" t="s">
        <v>1575</v>
      </c>
      <c r="U2414" s="10" t="s">
        <v>1575</v>
      </c>
      <c r="V2414" s="10">
        <v>2E-3</v>
      </c>
      <c r="W2414" s="10">
        <f>0.000001-0.000425</f>
        <v>-4.2399999999999995E-4</v>
      </c>
      <c r="X2414" s="10">
        <f t="shared" si="2458"/>
        <v>1.5760000000000001E-3</v>
      </c>
      <c r="Y2414" s="10" t="str">
        <f t="shared" si="2459"/>
        <v>NA</v>
      </c>
      <c r="Z2414" s="10" t="str">
        <f t="shared" si="2460"/>
        <v>NA</v>
      </c>
      <c r="AA2414" s="10" t="str">
        <f t="shared" si="2461"/>
        <v>NA</v>
      </c>
      <c r="AB2414" s="10" t="str">
        <f t="shared" si="2462"/>
        <v>NA</v>
      </c>
      <c r="AC2414" s="10" t="str">
        <f t="shared" si="2463"/>
        <v>NA</v>
      </c>
      <c r="AD2414" s="10" t="str">
        <f t="shared" si="2464"/>
        <v>NA</v>
      </c>
      <c r="AE2414" s="10" t="str">
        <f t="shared" si="2465"/>
        <v>NA</v>
      </c>
      <c r="AF2414" s="1" t="s">
        <v>2666</v>
      </c>
    </row>
    <row r="2415" spans="1:32" x14ac:dyDescent="0.2">
      <c r="A2415" s="1" t="s">
        <v>6428</v>
      </c>
      <c r="B2415" s="1" t="s">
        <v>86</v>
      </c>
      <c r="C2415" s="1" t="s">
        <v>1575</v>
      </c>
      <c r="D2415" s="1" t="s">
        <v>1578</v>
      </c>
      <c r="E2415" s="1" t="s">
        <v>2143</v>
      </c>
      <c r="F2415" s="1" t="s">
        <v>522</v>
      </c>
      <c r="G2415" s="4">
        <v>1</v>
      </c>
      <c r="H2415" s="28">
        <v>44926</v>
      </c>
      <c r="I2415" s="29">
        <f t="shared" si="2457"/>
        <v>2022</v>
      </c>
      <c r="J2415" s="1" t="s">
        <v>7</v>
      </c>
      <c r="K2415" s="1" t="s">
        <v>2663</v>
      </c>
      <c r="L2415" s="11" t="str">
        <f t="shared" si="2454"/>
        <v>НЕТ</v>
      </c>
      <c r="M2415" s="10">
        <v>0</v>
      </c>
      <c r="N2415" s="10">
        <v>0</v>
      </c>
      <c r="O2415" s="10">
        <v>0.58495399999999997</v>
      </c>
      <c r="P2415" s="10">
        <f t="shared" si="2455"/>
        <v>0.58495399999999997</v>
      </c>
      <c r="Q2415" s="10" t="str">
        <f t="shared" si="2456"/>
        <v>NA</v>
      </c>
      <c r="R2415" s="10" t="s">
        <v>1575</v>
      </c>
      <c r="S2415" s="10" t="s">
        <v>1575</v>
      </c>
      <c r="T2415" s="10" t="s">
        <v>1575</v>
      </c>
      <c r="U2415" s="10" t="s">
        <v>1575</v>
      </c>
      <c r="V2415" s="10" t="s">
        <v>1575</v>
      </c>
      <c r="W2415" s="10" t="s">
        <v>1575</v>
      </c>
      <c r="X2415" s="10" t="str">
        <f t="shared" si="2458"/>
        <v>NA</v>
      </c>
      <c r="Y2415" s="10" t="str">
        <f t="shared" si="2459"/>
        <v>NA</v>
      </c>
      <c r="Z2415" s="10" t="str">
        <f t="shared" si="2460"/>
        <v>NA</v>
      </c>
      <c r="AA2415" s="10" t="str">
        <f t="shared" si="2461"/>
        <v>NA</v>
      </c>
      <c r="AB2415" s="10" t="str">
        <f t="shared" si="2462"/>
        <v>NA</v>
      </c>
      <c r="AC2415" s="10" t="str">
        <f t="shared" si="2463"/>
        <v>NA</v>
      </c>
      <c r="AD2415" s="10" t="str">
        <f t="shared" si="2464"/>
        <v>NA</v>
      </c>
      <c r="AE2415" s="10" t="str">
        <f t="shared" si="2465"/>
        <v>NA</v>
      </c>
      <c r="AF2415" s="1" t="s">
        <v>2667</v>
      </c>
    </row>
    <row r="2416" spans="1:32" x14ac:dyDescent="0.2">
      <c r="A2416" s="1" t="s">
        <v>6429</v>
      </c>
      <c r="B2416" s="1" t="s">
        <v>5</v>
      </c>
      <c r="C2416" s="1" t="s">
        <v>1575</v>
      </c>
      <c r="D2416" s="1" t="s">
        <v>1578</v>
      </c>
      <c r="E2416" s="1" t="s">
        <v>2143</v>
      </c>
      <c r="F2416" s="1" t="s">
        <v>522</v>
      </c>
      <c r="G2416" s="4" t="s">
        <v>11</v>
      </c>
      <c r="H2416" s="28">
        <v>44865</v>
      </c>
      <c r="I2416" s="29">
        <f t="shared" si="2457"/>
        <v>2022</v>
      </c>
      <c r="J2416" s="1" t="s">
        <v>2663</v>
      </c>
      <c r="K2416" s="1" t="s">
        <v>7</v>
      </c>
      <c r="L2416" s="11" t="str">
        <f t="shared" si="2454"/>
        <v>НЕТ</v>
      </c>
      <c r="M2416" s="10">
        <v>0</v>
      </c>
      <c r="N2416" s="10">
        <v>0</v>
      </c>
      <c r="O2416" s="10">
        <v>0.43861600000000001</v>
      </c>
      <c r="P2416" s="10" t="str">
        <f t="shared" si="2455"/>
        <v>NA</v>
      </c>
      <c r="Q2416" s="10" t="str">
        <f t="shared" si="2456"/>
        <v>NA</v>
      </c>
      <c r="R2416" s="10" t="s">
        <v>1575</v>
      </c>
      <c r="S2416" s="10" t="s">
        <v>1575</v>
      </c>
      <c r="T2416" s="10" t="s">
        <v>1575</v>
      </c>
      <c r="U2416" s="10" t="s">
        <v>1575</v>
      </c>
      <c r="V2416" s="10">
        <v>0.43861600000000001</v>
      </c>
      <c r="W2416" s="10">
        <f>0.011124-0.018089</f>
        <v>-6.9650000000000007E-3</v>
      </c>
      <c r="X2416" s="10">
        <f t="shared" si="2458"/>
        <v>0.43165100000000001</v>
      </c>
      <c r="Y2416" s="10" t="str">
        <f t="shared" si="2459"/>
        <v>NA</v>
      </c>
      <c r="Z2416" s="10" t="str">
        <f t="shared" si="2460"/>
        <v>NA</v>
      </c>
      <c r="AA2416" s="10" t="str">
        <f t="shared" si="2461"/>
        <v>NA</v>
      </c>
      <c r="AB2416" s="10" t="str">
        <f t="shared" si="2462"/>
        <v>NA</v>
      </c>
      <c r="AC2416" s="10" t="str">
        <f t="shared" si="2463"/>
        <v>NA</v>
      </c>
      <c r="AD2416" s="10" t="str">
        <f t="shared" si="2464"/>
        <v>NA</v>
      </c>
      <c r="AE2416" s="10" t="str">
        <f t="shared" si="2465"/>
        <v>NA</v>
      </c>
      <c r="AF2416" s="1" t="s">
        <v>2668</v>
      </c>
    </row>
    <row r="2417" spans="1:32" x14ac:dyDescent="0.2">
      <c r="A2417" s="1" t="s">
        <v>6430</v>
      </c>
      <c r="B2417" s="1" t="s">
        <v>86</v>
      </c>
      <c r="C2417" s="1" t="s">
        <v>1575</v>
      </c>
      <c r="D2417" s="1" t="s">
        <v>1578</v>
      </c>
      <c r="E2417" s="1" t="s">
        <v>2143</v>
      </c>
      <c r="F2417" s="1" t="s">
        <v>522</v>
      </c>
      <c r="G2417" s="4" t="s">
        <v>11</v>
      </c>
      <c r="H2417" s="28">
        <v>44561</v>
      </c>
      <c r="I2417" s="29">
        <f t="shared" si="2457"/>
        <v>2021</v>
      </c>
      <c r="J2417" s="1" t="s">
        <v>2663</v>
      </c>
      <c r="K2417" s="1" t="s">
        <v>7</v>
      </c>
      <c r="L2417" s="11" t="str">
        <f t="shared" si="2454"/>
        <v>НЕТ</v>
      </c>
      <c r="M2417" s="10">
        <v>0</v>
      </c>
      <c r="N2417" s="10">
        <v>0</v>
      </c>
      <c r="O2417" s="10">
        <v>4.4298999999999998E-2</v>
      </c>
      <c r="P2417" s="10" t="str">
        <f t="shared" si="2455"/>
        <v>NA</v>
      </c>
      <c r="Q2417" s="10" t="str">
        <f t="shared" si="2456"/>
        <v>NA</v>
      </c>
      <c r="R2417" s="10" t="s">
        <v>1575</v>
      </c>
      <c r="S2417" s="10" t="s">
        <v>1575</v>
      </c>
      <c r="T2417" s="10" t="s">
        <v>1575</v>
      </c>
      <c r="U2417" s="10" t="s">
        <v>1575</v>
      </c>
      <c r="V2417" s="10">
        <f>0.041001+0.041595</f>
        <v>8.2596000000000003E-2</v>
      </c>
      <c r="W2417" s="10">
        <f>0-0.032875</f>
        <v>-3.2875000000000001E-2</v>
      </c>
      <c r="X2417" s="10">
        <f t="shared" si="2458"/>
        <v>4.9721000000000001E-2</v>
      </c>
      <c r="Y2417" s="10" t="str">
        <f t="shared" si="2459"/>
        <v>NA</v>
      </c>
      <c r="Z2417" s="10" t="str">
        <f t="shared" si="2460"/>
        <v>NA</v>
      </c>
      <c r="AA2417" s="10" t="str">
        <f t="shared" si="2461"/>
        <v>NA</v>
      </c>
      <c r="AB2417" s="10" t="str">
        <f t="shared" si="2462"/>
        <v>NA</v>
      </c>
      <c r="AC2417" s="10" t="str">
        <f t="shared" si="2463"/>
        <v>NA</v>
      </c>
      <c r="AD2417" s="10" t="str">
        <f t="shared" si="2464"/>
        <v>NA</v>
      </c>
      <c r="AE2417" s="10" t="str">
        <f t="shared" si="2465"/>
        <v>NA</v>
      </c>
      <c r="AF2417" s="1" t="s">
        <v>2669</v>
      </c>
    </row>
    <row r="2418" spans="1:32" x14ac:dyDescent="0.2">
      <c r="A2418" s="1" t="s">
        <v>6431</v>
      </c>
      <c r="B2418" s="1" t="s">
        <v>5</v>
      </c>
      <c r="C2418" s="1" t="s">
        <v>1575</v>
      </c>
      <c r="D2418" s="1" t="s">
        <v>1578</v>
      </c>
      <c r="E2418" s="1" t="s">
        <v>2143</v>
      </c>
      <c r="F2418" s="1" t="s">
        <v>522</v>
      </c>
      <c r="G2418" s="4">
        <v>0.6</v>
      </c>
      <c r="H2418" s="28">
        <v>44347</v>
      </c>
      <c r="I2418" s="29">
        <f t="shared" si="2457"/>
        <v>2021</v>
      </c>
      <c r="J2418" s="1" t="s">
        <v>2663</v>
      </c>
      <c r="K2418" s="1" t="s">
        <v>7</v>
      </c>
      <c r="L2418" s="11" t="str">
        <f t="shared" si="2454"/>
        <v>НЕТ</v>
      </c>
      <c r="M2418" s="10">
        <v>4.8196240000000001</v>
      </c>
      <c r="N2418" s="10">
        <v>0</v>
      </c>
      <c r="O2418" s="10">
        <f>0.089593+0.265494</f>
        <v>0.35508700000000004</v>
      </c>
      <c r="P2418" s="10">
        <f t="shared" si="2455"/>
        <v>0.59181166666666674</v>
      </c>
      <c r="Q2418" s="10">
        <f t="shared" si="2456"/>
        <v>0.58564666666666676</v>
      </c>
      <c r="R2418" s="10" t="s">
        <v>1575</v>
      </c>
      <c r="S2418" s="10" t="s">
        <v>1575</v>
      </c>
      <c r="T2418" s="10" t="s">
        <v>1575</v>
      </c>
      <c r="U2418" s="10" t="s">
        <v>1575</v>
      </c>
      <c r="V2418" s="10">
        <f>0.045387+0.105123</f>
        <v>0.15050999999999998</v>
      </c>
      <c r="W2418" s="10">
        <f>0-0.008925+0.00276</f>
        <v>-6.1650000000000003E-3</v>
      </c>
      <c r="X2418" s="10">
        <f t="shared" si="2458"/>
        <v>0.14434499999999997</v>
      </c>
      <c r="Y2418" s="10" t="str">
        <f t="shared" si="2459"/>
        <v>NA</v>
      </c>
      <c r="Z2418" s="10" t="str">
        <f t="shared" si="2460"/>
        <v>NA</v>
      </c>
      <c r="AA2418" s="10">
        <f t="shared" si="2461"/>
        <v>3.9320421677407933</v>
      </c>
      <c r="AB2418" s="10" t="str">
        <f t="shared" si="2462"/>
        <v>NA</v>
      </c>
      <c r="AC2418" s="10" t="str">
        <f t="shared" si="2463"/>
        <v>NA</v>
      </c>
      <c r="AD2418" s="10" t="str">
        <f t="shared" si="2464"/>
        <v>NA</v>
      </c>
      <c r="AE2418" s="10">
        <f t="shared" si="2465"/>
        <v>4.0572701975590899</v>
      </c>
      <c r="AF2418" s="1" t="s">
        <v>2670</v>
      </c>
    </row>
    <row r="2419" spans="1:32" x14ac:dyDescent="0.2">
      <c r="A2419" s="1" t="s">
        <v>2663</v>
      </c>
      <c r="B2419" s="1" t="s">
        <v>5</v>
      </c>
      <c r="C2419" s="1" t="s">
        <v>2671</v>
      </c>
      <c r="D2419" s="1" t="s">
        <v>1578</v>
      </c>
      <c r="E2419" s="1" t="s">
        <v>2143</v>
      </c>
      <c r="F2419" s="1" t="s">
        <v>522</v>
      </c>
      <c r="G2419" s="4">
        <f>0.014543/87.876649</f>
        <v>1.6549333828148137E-4</v>
      </c>
      <c r="H2419" s="28">
        <v>45107</v>
      </c>
      <c r="I2419" s="29">
        <f t="shared" si="2457"/>
        <v>2023</v>
      </c>
      <c r="J2419" s="1" t="s">
        <v>2663</v>
      </c>
      <c r="K2419" s="1" t="s">
        <v>7</v>
      </c>
      <c r="L2419" s="11" t="str">
        <f t="shared" si="2454"/>
        <v>ДА</v>
      </c>
      <c r="M2419" s="10">
        <v>0</v>
      </c>
      <c r="N2419" s="10">
        <v>0</v>
      </c>
      <c r="O2419" s="10">
        <v>9.2460000000000007E-3</v>
      </c>
      <c r="P2419" s="10">
        <f t="shared" si="2455"/>
        <v>55.869318342432784</v>
      </c>
      <c r="Q2419" s="10" t="str">
        <f t="shared" si="2456"/>
        <v>NA</v>
      </c>
      <c r="R2419" s="10" t="s">
        <v>1575</v>
      </c>
      <c r="S2419" s="10" t="s">
        <v>1575</v>
      </c>
      <c r="T2419" s="10" t="s">
        <v>1575</v>
      </c>
      <c r="U2419" s="10" t="s">
        <v>1575</v>
      </c>
      <c r="V2419" s="10" t="s">
        <v>1575</v>
      </c>
      <c r="W2419" s="10" t="s">
        <v>1575</v>
      </c>
      <c r="X2419" s="10" t="str">
        <f t="shared" si="2458"/>
        <v>NA</v>
      </c>
      <c r="Y2419" s="10" t="str">
        <f t="shared" si="2459"/>
        <v>NA</v>
      </c>
      <c r="Z2419" s="10" t="str">
        <f t="shared" si="2460"/>
        <v>NA</v>
      </c>
      <c r="AA2419" s="10" t="str">
        <f t="shared" si="2461"/>
        <v>NA</v>
      </c>
      <c r="AB2419" s="10" t="str">
        <f t="shared" si="2462"/>
        <v>NA</v>
      </c>
      <c r="AC2419" s="10" t="str">
        <f t="shared" si="2463"/>
        <v>NA</v>
      </c>
      <c r="AD2419" s="10" t="str">
        <f t="shared" si="2464"/>
        <v>NA</v>
      </c>
      <c r="AE2419" s="10" t="str">
        <f t="shared" si="2465"/>
        <v>NA</v>
      </c>
      <c r="AF2419" s="1" t="s">
        <v>2674</v>
      </c>
    </row>
    <row r="2420" spans="1:32" x14ac:dyDescent="0.2">
      <c r="A2420" s="1" t="s">
        <v>2663</v>
      </c>
      <c r="B2420" s="1" t="s">
        <v>5</v>
      </c>
      <c r="C2420" s="1" t="s">
        <v>2671</v>
      </c>
      <c r="D2420" s="1" t="s">
        <v>1578</v>
      </c>
      <c r="E2420" s="1" t="s">
        <v>2143</v>
      </c>
      <c r="F2420" s="1" t="s">
        <v>522</v>
      </c>
      <c r="G2420" s="4">
        <f>0.783912/87.876649</f>
        <v>8.9205950490897756E-3</v>
      </c>
      <c r="H2420" s="28">
        <v>44926</v>
      </c>
      <c r="I2420" s="29">
        <f t="shared" si="2457"/>
        <v>2022</v>
      </c>
      <c r="J2420" s="1" t="s">
        <v>2663</v>
      </c>
      <c r="K2420" s="1" t="s">
        <v>7</v>
      </c>
      <c r="L2420" s="11" t="str">
        <f t="shared" ref="L2420:L2519" si="2466">IF(OR(A2420=J2420,A2420=K2420),"ДА","НЕТ")</f>
        <v>ДА</v>
      </c>
      <c r="M2420" s="10">
        <v>0</v>
      </c>
      <c r="N2420" s="10">
        <v>0</v>
      </c>
      <c r="O2420" s="10">
        <v>0.45342500000000002</v>
      </c>
      <c r="P2420" s="10">
        <f t="shared" si="2455"/>
        <v>50.829008323415131</v>
      </c>
      <c r="Q2420" s="10" t="str">
        <f t="shared" si="2456"/>
        <v>NA</v>
      </c>
      <c r="R2420" s="10" t="s">
        <v>1575</v>
      </c>
      <c r="S2420" s="10" t="s">
        <v>1575</v>
      </c>
      <c r="T2420" s="10" t="s">
        <v>1575</v>
      </c>
      <c r="U2420" s="10" t="s">
        <v>1575</v>
      </c>
      <c r="V2420" s="10" t="s">
        <v>1575</v>
      </c>
      <c r="W2420" s="10" t="s">
        <v>1575</v>
      </c>
      <c r="X2420" s="10" t="str">
        <f t="shared" si="2458"/>
        <v>NA</v>
      </c>
      <c r="Y2420" s="10" t="str">
        <f t="shared" si="2459"/>
        <v>NA</v>
      </c>
      <c r="Z2420" s="10" t="str">
        <f t="shared" si="2460"/>
        <v>NA</v>
      </c>
      <c r="AA2420" s="10" t="str">
        <f t="shared" si="2461"/>
        <v>NA</v>
      </c>
      <c r="AB2420" s="10" t="str">
        <f t="shared" si="2462"/>
        <v>NA</v>
      </c>
      <c r="AC2420" s="10" t="str">
        <f t="shared" si="2463"/>
        <v>NA</v>
      </c>
      <c r="AD2420" s="10" t="str">
        <f t="shared" si="2464"/>
        <v>NA</v>
      </c>
      <c r="AE2420" s="10" t="str">
        <f t="shared" si="2465"/>
        <v>NA</v>
      </c>
      <c r="AF2420" s="1" t="s">
        <v>2675</v>
      </c>
    </row>
    <row r="2421" spans="1:32" x14ac:dyDescent="0.2">
      <c r="A2421" s="1" t="s">
        <v>2663</v>
      </c>
      <c r="B2421" s="1" t="s">
        <v>5</v>
      </c>
      <c r="C2421" s="1" t="s">
        <v>2671</v>
      </c>
      <c r="D2421" s="1" t="s">
        <v>1578</v>
      </c>
      <c r="E2421" s="1" t="s">
        <v>2143</v>
      </c>
      <c r="F2421" s="1" t="s">
        <v>522</v>
      </c>
      <c r="G2421" s="4">
        <f>1.03449/87.876649</f>
        <v>1.1772069278608927E-2</v>
      </c>
      <c r="H2421" s="28">
        <v>44561</v>
      </c>
      <c r="I2421" s="29">
        <f t="shared" si="2457"/>
        <v>2021</v>
      </c>
      <c r="J2421" s="1" t="s">
        <v>2663</v>
      </c>
      <c r="K2421" s="1" t="s">
        <v>7</v>
      </c>
      <c r="L2421" s="11" t="str">
        <f t="shared" si="2466"/>
        <v>ДА</v>
      </c>
      <c r="M2421" s="10">
        <v>0</v>
      </c>
      <c r="N2421" s="10">
        <v>0</v>
      </c>
      <c r="O2421" s="10">
        <v>0.420599</v>
      </c>
      <c r="P2421" s="10">
        <f t="shared" si="2455"/>
        <v>35.728552903122313</v>
      </c>
      <c r="Q2421" s="10">
        <f t="shared" si="2456"/>
        <v>43.910827903122311</v>
      </c>
      <c r="R2421" s="10">
        <v>15.90408</v>
      </c>
      <c r="S2421" s="10">
        <v>9.9344705999999992</v>
      </c>
      <c r="T2421" s="10">
        <v>9.1888629999999996</v>
      </c>
      <c r="U2421" s="10">
        <v>8.4933029999999992</v>
      </c>
      <c r="V2421" s="10">
        <v>18.707238</v>
      </c>
      <c r="W2421" s="10">
        <v>8.1822749999999989</v>
      </c>
      <c r="X2421" s="10">
        <f t="shared" si="2458"/>
        <v>26.889513000000001</v>
      </c>
      <c r="Y2421" s="10">
        <f t="shared" si="2459"/>
        <v>2.2465023379612221</v>
      </c>
      <c r="Z2421" s="10">
        <f t="shared" si="2460"/>
        <v>4.206673528911228</v>
      </c>
      <c r="AA2421" s="10">
        <f t="shared" si="2461"/>
        <v>1.9098785669547964</v>
      </c>
      <c r="AB2421" s="10">
        <f t="shared" si="2462"/>
        <v>2.7609788119226204</v>
      </c>
      <c r="AC2421" s="10">
        <f t="shared" si="2463"/>
        <v>4.4200470937145173</v>
      </c>
      <c r="AD2421" s="10">
        <f t="shared" si="2464"/>
        <v>4.7787009016373752</v>
      </c>
      <c r="AE2421" s="10">
        <f t="shared" si="2465"/>
        <v>1.6330094153479948</v>
      </c>
      <c r="AF2421" s="1" t="s">
        <v>2676</v>
      </c>
    </row>
    <row r="2422" spans="1:32" x14ac:dyDescent="0.2">
      <c r="A2422" s="1" t="s">
        <v>2663</v>
      </c>
      <c r="B2422" s="1" t="s">
        <v>5</v>
      </c>
      <c r="C2422" s="1" t="s">
        <v>2671</v>
      </c>
      <c r="D2422" s="1" t="s">
        <v>1578</v>
      </c>
      <c r="E2422" s="1" t="s">
        <v>2143</v>
      </c>
      <c r="F2422" s="1" t="s">
        <v>522</v>
      </c>
      <c r="G2422" s="4">
        <f>1.10783/87.876649</f>
        <v>1.2606648212086468E-2</v>
      </c>
      <c r="H2422" s="28">
        <v>44196</v>
      </c>
      <c r="I2422" s="29">
        <f t="shared" si="2457"/>
        <v>2020</v>
      </c>
      <c r="J2422" s="1" t="s">
        <v>2663</v>
      </c>
      <c r="K2422" s="1" t="s">
        <v>7</v>
      </c>
      <c r="L2422" s="11" t="str">
        <f t="shared" si="2466"/>
        <v>ДА</v>
      </c>
      <c r="M2422" s="10">
        <v>0</v>
      </c>
      <c r="N2422" s="10">
        <v>0</v>
      </c>
      <c r="O2422" s="10">
        <v>0.24960399999999999</v>
      </c>
      <c r="P2422" s="10">
        <f t="shared" si="2455"/>
        <v>19.799394398956515</v>
      </c>
      <c r="Q2422" s="10">
        <f t="shared" si="2456"/>
        <v>26.042609398956515</v>
      </c>
      <c r="R2422" s="10">
        <v>8.3359170000000002</v>
      </c>
      <c r="S2422" s="10">
        <v>3.929055</v>
      </c>
      <c r="T2422" s="10">
        <v>3.4303080000000001</v>
      </c>
      <c r="U2422" s="10">
        <v>3.17225</v>
      </c>
      <c r="V2422" s="10">
        <v>11.786016999999999</v>
      </c>
      <c r="W2422" s="10">
        <v>6.2432150000000011</v>
      </c>
      <c r="X2422" s="10">
        <f t="shared" si="2458"/>
        <v>18.029232</v>
      </c>
      <c r="Y2422" s="10">
        <f t="shared" si="2459"/>
        <v>2.3751909236808038</v>
      </c>
      <c r="Z2422" s="10">
        <f t="shared" si="2460"/>
        <v>6.2414356998838416</v>
      </c>
      <c r="AA2422" s="10">
        <f t="shared" si="2461"/>
        <v>1.6799054675516347</v>
      </c>
      <c r="AB2422" s="10">
        <f t="shared" si="2462"/>
        <v>3.1241445181083876</v>
      </c>
      <c r="AC2422" s="10">
        <f t="shared" si="2463"/>
        <v>6.6282119743695409</v>
      </c>
      <c r="AD2422" s="10">
        <f t="shared" si="2464"/>
        <v>7.5919157693584696</v>
      </c>
      <c r="AE2422" s="10">
        <f t="shared" si="2465"/>
        <v>1.4444658207824113</v>
      </c>
      <c r="AF2422" s="1" t="s">
        <v>2677</v>
      </c>
    </row>
    <row r="2423" spans="1:32" x14ac:dyDescent="0.2">
      <c r="A2423" s="1" t="s">
        <v>2663</v>
      </c>
      <c r="B2423" s="1" t="s">
        <v>5</v>
      </c>
      <c r="C2423" s="1" t="s">
        <v>2671</v>
      </c>
      <c r="D2423" s="1" t="s">
        <v>1578</v>
      </c>
      <c r="E2423" s="1" t="s">
        <v>2143</v>
      </c>
      <c r="F2423" s="1" t="s">
        <v>522</v>
      </c>
      <c r="G2423" s="4">
        <f>0.982941/87.876649</f>
        <v>1.1185462932251774E-2</v>
      </c>
      <c r="H2423" s="28">
        <v>43830</v>
      </c>
      <c r="I2423" s="29">
        <f t="shared" si="2457"/>
        <v>2019</v>
      </c>
      <c r="J2423" s="1" t="s">
        <v>2663</v>
      </c>
      <c r="K2423" s="1" t="s">
        <v>7</v>
      </c>
      <c r="L2423" s="11" t="str">
        <f t="shared" si="2466"/>
        <v>ДА</v>
      </c>
      <c r="M2423" s="10">
        <v>0</v>
      </c>
      <c r="N2423" s="10">
        <v>0</v>
      </c>
      <c r="O2423" s="10">
        <v>0.21912200000000001</v>
      </c>
      <c r="P2423" s="10">
        <f t="shared" si="2455"/>
        <v>19.589891033315329</v>
      </c>
      <c r="Q2423" s="10">
        <f t="shared" si="2456"/>
        <v>23.582616033315329</v>
      </c>
      <c r="R2423" s="10">
        <v>8.7983019999999996</v>
      </c>
      <c r="S2423" s="10">
        <v>4.0216780000000005</v>
      </c>
      <c r="T2423" s="10">
        <v>3.5866440000000002</v>
      </c>
      <c r="U2423" s="10">
        <v>3.2579790000000002</v>
      </c>
      <c r="V2423" s="10">
        <v>9.0646609999999992</v>
      </c>
      <c r="W2423" s="10">
        <v>3.9927250000000001</v>
      </c>
      <c r="X2423" s="10">
        <f t="shared" si="2458"/>
        <v>13.057385999999999</v>
      </c>
      <c r="Y2423" s="10">
        <f t="shared" si="2459"/>
        <v>2.2265536046972847</v>
      </c>
      <c r="Z2423" s="10">
        <f t="shared" si="2460"/>
        <v>6.0128966556614785</v>
      </c>
      <c r="AA2423" s="10">
        <f t="shared" si="2461"/>
        <v>2.1611278163976935</v>
      </c>
      <c r="AB2423" s="10">
        <f t="shared" si="2462"/>
        <v>2.6803599186883251</v>
      </c>
      <c r="AC2423" s="10">
        <f t="shared" si="2463"/>
        <v>5.8638747391798463</v>
      </c>
      <c r="AD2423" s="10">
        <f t="shared" si="2464"/>
        <v>6.5751203725029104</v>
      </c>
      <c r="AE2423" s="10">
        <f t="shared" si="2465"/>
        <v>1.8060748172195669</v>
      </c>
      <c r="AF2423" s="1" t="s">
        <v>2672</v>
      </c>
    </row>
    <row r="2424" spans="1:32" x14ac:dyDescent="0.2">
      <c r="A2424" s="1" t="s">
        <v>2663</v>
      </c>
      <c r="B2424" s="1" t="s">
        <v>5</v>
      </c>
      <c r="C2424" s="1" t="s">
        <v>2671</v>
      </c>
      <c r="D2424" s="1" t="s">
        <v>1578</v>
      </c>
      <c r="E2424" s="1" t="s">
        <v>2143</v>
      </c>
      <c r="F2424" s="1" t="s">
        <v>522</v>
      </c>
      <c r="G2424" s="4">
        <f>0.13802/87.876649</f>
        <v>1.5706106408313316E-3</v>
      </c>
      <c r="H2424" s="28">
        <v>43465</v>
      </c>
      <c r="I2424" s="29">
        <f t="shared" si="2457"/>
        <v>2018</v>
      </c>
      <c r="J2424" s="1" t="s">
        <v>2663</v>
      </c>
      <c r="K2424" s="1" t="s">
        <v>7</v>
      </c>
      <c r="L2424" s="11" t="str">
        <f t="shared" si="2466"/>
        <v>ДА</v>
      </c>
      <c r="M2424" s="10">
        <v>0</v>
      </c>
      <c r="N2424" s="10">
        <v>0</v>
      </c>
      <c r="O2424" s="10">
        <v>1.6560999999999999E-2</v>
      </c>
      <c r="P2424" s="10">
        <f t="shared" si="2455"/>
        <v>10.544306506948269</v>
      </c>
      <c r="Q2424" s="10">
        <f t="shared" si="2456"/>
        <v>14.217894506948269</v>
      </c>
      <c r="R2424" s="10">
        <v>3.2115719999999999</v>
      </c>
      <c r="S2424" s="10">
        <v>2.7015270000000005</v>
      </c>
      <c r="T2424" s="10">
        <v>2.5367610000000003</v>
      </c>
      <c r="U2424" s="10">
        <v>2.29094</v>
      </c>
      <c r="V2424" s="10">
        <v>6.002854000000001</v>
      </c>
      <c r="W2424" s="10">
        <v>3.6735880000000005</v>
      </c>
      <c r="X2424" s="10">
        <f t="shared" si="2458"/>
        <v>9.6764420000000015</v>
      </c>
      <c r="Y2424" s="10">
        <f t="shared" si="2459"/>
        <v>3.283222828866446</v>
      </c>
      <c r="Z2424" s="10">
        <f t="shared" si="2460"/>
        <v>4.602611376530275</v>
      </c>
      <c r="AA2424" s="10">
        <f t="shared" si="2461"/>
        <v>1.7565488860712366</v>
      </c>
      <c r="AB2424" s="10">
        <f t="shared" si="2462"/>
        <v>4.4270825959836086</v>
      </c>
      <c r="AC2424" s="10">
        <f t="shared" si="2463"/>
        <v>5.2629103862179676</v>
      </c>
      <c r="AD2424" s="10">
        <f t="shared" si="2464"/>
        <v>5.6047434137265073</v>
      </c>
      <c r="AE2424" s="10">
        <f t="shared" si="2465"/>
        <v>1.4693308250024406</v>
      </c>
      <c r="AF2424" s="1" t="s">
        <v>2673</v>
      </c>
    </row>
    <row r="2425" spans="1:32" x14ac:dyDescent="0.2">
      <c r="A2425" s="1" t="s">
        <v>5359</v>
      </c>
      <c r="B2425" s="1" t="s">
        <v>5</v>
      </c>
      <c r="C2425" s="1" t="s">
        <v>1575</v>
      </c>
      <c r="D2425" s="1" t="s">
        <v>1578</v>
      </c>
      <c r="E2425" s="16" t="s">
        <v>9279</v>
      </c>
      <c r="F2425" s="1" t="s">
        <v>5170</v>
      </c>
      <c r="G2425" s="4">
        <v>0.74990000000000001</v>
      </c>
      <c r="H2425" s="28">
        <v>44561</v>
      </c>
      <c r="I2425" s="29">
        <f t="shared" si="2457"/>
        <v>2021</v>
      </c>
      <c r="J2425" s="1" t="s">
        <v>7</v>
      </c>
      <c r="K2425" s="1" t="s">
        <v>5172</v>
      </c>
      <c r="L2425" s="11" t="str">
        <f t="shared" ref="L2425:L2426" si="2467">IF(OR(A2425=J2425,A2425=K2425),"ДА","НЕТ")</f>
        <v>НЕТ</v>
      </c>
      <c r="M2425" s="10">
        <v>0</v>
      </c>
      <c r="N2425" s="10">
        <v>0</v>
      </c>
      <c r="O2425" s="10" t="s">
        <v>1575</v>
      </c>
      <c r="P2425" s="10" t="str">
        <f t="shared" si="2455"/>
        <v>NA</v>
      </c>
      <c r="Q2425" s="10" t="str">
        <f t="shared" si="2456"/>
        <v>NA</v>
      </c>
      <c r="R2425" s="10" t="s">
        <v>1575</v>
      </c>
      <c r="S2425" s="10" t="s">
        <v>1575</v>
      </c>
      <c r="T2425" s="10" t="s">
        <v>1575</v>
      </c>
      <c r="U2425" s="10" t="s">
        <v>1575</v>
      </c>
      <c r="V2425" s="10" t="s">
        <v>1575</v>
      </c>
      <c r="W2425" s="10" t="s">
        <v>1575</v>
      </c>
      <c r="X2425" s="10" t="str">
        <f t="shared" si="2458"/>
        <v>NA</v>
      </c>
      <c r="Y2425" s="10" t="str">
        <f t="shared" si="2459"/>
        <v>NA</v>
      </c>
      <c r="Z2425" s="10" t="str">
        <f t="shared" si="2460"/>
        <v>NA</v>
      </c>
      <c r="AA2425" s="10" t="str">
        <f t="shared" si="2461"/>
        <v>NA</v>
      </c>
      <c r="AB2425" s="10" t="str">
        <f t="shared" si="2462"/>
        <v>NA</v>
      </c>
      <c r="AC2425" s="10" t="str">
        <f t="shared" si="2463"/>
        <v>NA</v>
      </c>
      <c r="AD2425" s="10" t="str">
        <f t="shared" si="2464"/>
        <v>NA</v>
      </c>
      <c r="AE2425" s="10" t="str">
        <f t="shared" si="2465"/>
        <v>NA</v>
      </c>
      <c r="AF2425" s="1" t="s">
        <v>5169</v>
      </c>
    </row>
    <row r="2426" spans="1:32" x14ac:dyDescent="0.2">
      <c r="A2426" s="1" t="s">
        <v>6432</v>
      </c>
      <c r="B2426" s="1" t="s">
        <v>5</v>
      </c>
      <c r="C2426" s="1" t="s">
        <v>1575</v>
      </c>
      <c r="D2426" s="1" t="s">
        <v>1578</v>
      </c>
      <c r="E2426" s="1" t="s">
        <v>2531</v>
      </c>
      <c r="F2426" s="1" t="s">
        <v>5171</v>
      </c>
      <c r="G2426" s="4">
        <v>0.26</v>
      </c>
      <c r="H2426" s="28">
        <v>44561</v>
      </c>
      <c r="I2426" s="29">
        <f t="shared" si="2457"/>
        <v>2021</v>
      </c>
      <c r="J2426" s="1" t="s">
        <v>7</v>
      </c>
      <c r="K2426" s="1" t="s">
        <v>5172</v>
      </c>
      <c r="L2426" s="11" t="str">
        <f t="shared" si="2467"/>
        <v>НЕТ</v>
      </c>
      <c r="M2426" s="10">
        <v>0</v>
      </c>
      <c r="N2426" s="10">
        <v>0</v>
      </c>
      <c r="O2426" s="10" t="s">
        <v>1575</v>
      </c>
      <c r="P2426" s="10" t="str">
        <f t="shared" si="2455"/>
        <v>NA</v>
      </c>
      <c r="Q2426" s="10" t="str">
        <f t="shared" si="2456"/>
        <v>NA</v>
      </c>
      <c r="R2426" s="10" t="s">
        <v>1575</v>
      </c>
      <c r="S2426" s="10" t="s">
        <v>1575</v>
      </c>
      <c r="T2426" s="10" t="s">
        <v>1575</v>
      </c>
      <c r="U2426" s="10" t="s">
        <v>1575</v>
      </c>
      <c r="V2426" s="10" t="s">
        <v>1575</v>
      </c>
      <c r="W2426" s="10" t="s">
        <v>1575</v>
      </c>
      <c r="X2426" s="10" t="str">
        <f t="shared" si="2458"/>
        <v>NA</v>
      </c>
      <c r="Y2426" s="10" t="str">
        <f t="shared" si="2459"/>
        <v>NA</v>
      </c>
      <c r="Z2426" s="10" t="str">
        <f t="shared" si="2460"/>
        <v>NA</v>
      </c>
      <c r="AA2426" s="10" t="str">
        <f t="shared" si="2461"/>
        <v>NA</v>
      </c>
      <c r="AB2426" s="10" t="str">
        <f t="shared" si="2462"/>
        <v>NA</v>
      </c>
      <c r="AC2426" s="10" t="str">
        <f t="shared" si="2463"/>
        <v>NA</v>
      </c>
      <c r="AD2426" s="10" t="str">
        <f t="shared" si="2464"/>
        <v>NA</v>
      </c>
      <c r="AE2426" s="10" t="str">
        <f t="shared" si="2465"/>
        <v>NA</v>
      </c>
      <c r="AF2426" s="1" t="s">
        <v>5169</v>
      </c>
    </row>
    <row r="2427" spans="1:32" x14ac:dyDescent="0.2">
      <c r="A2427" s="1" t="s">
        <v>5359</v>
      </c>
      <c r="B2427" s="1" t="s">
        <v>5</v>
      </c>
      <c r="C2427" s="1" t="s">
        <v>1575</v>
      </c>
      <c r="D2427" s="1" t="s">
        <v>1578</v>
      </c>
      <c r="E2427" s="16" t="s">
        <v>9279</v>
      </c>
      <c r="F2427" s="1" t="s">
        <v>5170</v>
      </c>
      <c r="G2427" s="4">
        <v>1</v>
      </c>
      <c r="H2427" s="28">
        <v>43830</v>
      </c>
      <c r="I2427" s="29">
        <f t="shared" si="2457"/>
        <v>2019</v>
      </c>
      <c r="J2427" s="1" t="s">
        <v>5172</v>
      </c>
      <c r="K2427" s="1" t="s">
        <v>7</v>
      </c>
      <c r="L2427" s="11" t="str">
        <f t="shared" ref="L2427" si="2468">IF(OR(A2427=J2427,A2427=K2427),"ДА","НЕТ")</f>
        <v>НЕТ</v>
      </c>
      <c r="M2427" s="10">
        <v>0</v>
      </c>
      <c r="N2427" s="10">
        <v>0</v>
      </c>
      <c r="O2427" s="10">
        <v>1.0000000000000001E-5</v>
      </c>
      <c r="P2427" s="10">
        <f t="shared" si="2455"/>
        <v>1.0000000000000001E-5</v>
      </c>
      <c r="Q2427" s="10">
        <f t="shared" si="2456"/>
        <v>1.7220000000000002E-3</v>
      </c>
      <c r="R2427" s="10" t="s">
        <v>1575</v>
      </c>
      <c r="S2427" s="10" t="s">
        <v>1575</v>
      </c>
      <c r="T2427" s="10" t="s">
        <v>1575</v>
      </c>
      <c r="U2427" s="10" t="s">
        <v>1575</v>
      </c>
      <c r="V2427" s="10">
        <f>-0.005398</f>
        <v>-5.398E-3</v>
      </c>
      <c r="W2427" s="10">
        <f>0.003305-0.001593</f>
        <v>1.7120000000000002E-3</v>
      </c>
      <c r="X2427" s="10">
        <f t="shared" ref="X2427" si="2469">IFERROR(V2427+W2427,"NA")</f>
        <v>-3.686E-3</v>
      </c>
      <c r="Y2427" s="10" t="str">
        <f t="shared" ref="Y2427" si="2470">IFERROR(P2427/R2427,"NA")</f>
        <v>NA</v>
      </c>
      <c r="Z2427" s="10" t="str">
        <f t="shared" ref="Z2427" si="2471">IFERROR(P2427/U2427,"NA")</f>
        <v>NA</v>
      </c>
      <c r="AA2427" s="10">
        <f t="shared" ref="AA2427" si="2472">IFERROR(P2427/V2427,"NA")</f>
        <v>-1.8525379770285293E-3</v>
      </c>
      <c r="AB2427" s="10" t="str">
        <f t="shared" ref="AB2427" si="2473">IFERROR(Q2427/R2427,"NA")</f>
        <v>NA</v>
      </c>
      <c r="AC2427" s="10" t="str">
        <f t="shared" ref="AC2427" si="2474">IFERROR(Q2427/S2427,"NA")</f>
        <v>NA</v>
      </c>
      <c r="AD2427" s="10" t="str">
        <f t="shared" ref="AD2427" si="2475">IFERROR(Q2427/T2427,"NA")</f>
        <v>NA</v>
      </c>
      <c r="AE2427" s="10">
        <f t="shared" ref="AE2427" si="2476">IFERROR(Q2427/X2427,"NA")</f>
        <v>-0.46717308735756924</v>
      </c>
      <c r="AF2427" s="1" t="s">
        <v>5173</v>
      </c>
    </row>
    <row r="2428" spans="1:32" x14ac:dyDescent="0.2">
      <c r="A2428" s="1" t="s">
        <v>6433</v>
      </c>
      <c r="B2428" s="1" t="s">
        <v>5</v>
      </c>
      <c r="C2428" s="1" t="s">
        <v>1575</v>
      </c>
      <c r="D2428" s="1" t="s">
        <v>1578</v>
      </c>
      <c r="E2428" s="1" t="s">
        <v>1579</v>
      </c>
      <c r="F2428" s="1" t="s">
        <v>2691</v>
      </c>
      <c r="G2428" s="4">
        <v>1</v>
      </c>
      <c r="H2428" s="28">
        <v>42735</v>
      </c>
      <c r="I2428" s="29">
        <f t="shared" si="2457"/>
        <v>2016</v>
      </c>
      <c r="J2428" s="1" t="s">
        <v>7</v>
      </c>
      <c r="K2428" s="1" t="s">
        <v>2686</v>
      </c>
      <c r="L2428" s="11" t="str">
        <f t="shared" si="2466"/>
        <v>НЕТ</v>
      </c>
      <c r="M2428" s="10">
        <v>0</v>
      </c>
      <c r="N2428" s="10">
        <v>0</v>
      </c>
      <c r="O2428" s="10">
        <f>0.304984-0.165</f>
        <v>0.13998399999999997</v>
      </c>
      <c r="P2428" s="10">
        <f t="shared" si="2455"/>
        <v>0.13998399999999997</v>
      </c>
      <c r="Q2428" s="10" t="str">
        <f t="shared" si="2456"/>
        <v>NA</v>
      </c>
      <c r="R2428" s="10" t="s">
        <v>1575</v>
      </c>
      <c r="S2428" s="10" t="s">
        <v>1575</v>
      </c>
      <c r="T2428" s="10" t="s">
        <v>1575</v>
      </c>
      <c r="U2428" s="10" t="s">
        <v>1575</v>
      </c>
      <c r="V2428" s="10" t="s">
        <v>1575</v>
      </c>
      <c r="W2428" s="10" t="s">
        <v>1575</v>
      </c>
      <c r="X2428" s="10" t="str">
        <f t="shared" si="2458"/>
        <v>NA</v>
      </c>
      <c r="Y2428" s="10" t="str">
        <f t="shared" si="2459"/>
        <v>NA</v>
      </c>
      <c r="Z2428" s="10" t="str">
        <f t="shared" si="2460"/>
        <v>NA</v>
      </c>
      <c r="AA2428" s="10" t="str">
        <f t="shared" si="2461"/>
        <v>NA</v>
      </c>
      <c r="AB2428" s="10" t="str">
        <f t="shared" si="2462"/>
        <v>NA</v>
      </c>
      <c r="AC2428" s="10" t="str">
        <f t="shared" si="2463"/>
        <v>NA</v>
      </c>
      <c r="AD2428" s="10" t="str">
        <f t="shared" si="2464"/>
        <v>NA</v>
      </c>
      <c r="AE2428" s="10" t="str">
        <f t="shared" si="2465"/>
        <v>NA</v>
      </c>
      <c r="AF2428" s="1" t="s">
        <v>2688</v>
      </c>
    </row>
    <row r="2429" spans="1:32" x14ac:dyDescent="0.2">
      <c r="A2429" s="1" t="s">
        <v>2689</v>
      </c>
      <c r="B2429" s="1" t="s">
        <v>5</v>
      </c>
      <c r="C2429" s="1" t="s">
        <v>1575</v>
      </c>
      <c r="D2429" s="1" t="s">
        <v>1578</v>
      </c>
      <c r="E2429" s="1" t="s">
        <v>1579</v>
      </c>
      <c r="F2429" s="1" t="s">
        <v>2690</v>
      </c>
      <c r="G2429" s="4">
        <v>1</v>
      </c>
      <c r="H2429" s="28">
        <v>42551</v>
      </c>
      <c r="I2429" s="29">
        <f t="shared" si="2457"/>
        <v>2016</v>
      </c>
      <c r="J2429" s="1" t="s">
        <v>7</v>
      </c>
      <c r="K2429" s="1" t="s">
        <v>2686</v>
      </c>
      <c r="L2429" s="11" t="str">
        <f t="shared" ref="L2429" si="2477">IF(OR(A2429=J2429,A2429=K2429),"ДА","НЕТ")</f>
        <v>НЕТ</v>
      </c>
      <c r="M2429" s="10">
        <v>0</v>
      </c>
      <c r="N2429" s="10">
        <v>0</v>
      </c>
      <c r="O2429" s="10">
        <v>0.16500000000000001</v>
      </c>
      <c r="P2429" s="10">
        <f t="shared" si="2455"/>
        <v>0.16500000000000001</v>
      </c>
      <c r="Q2429" s="10" t="str">
        <f t="shared" si="2456"/>
        <v>NA</v>
      </c>
      <c r="R2429" s="10" t="s">
        <v>1575</v>
      </c>
      <c r="S2429" s="10" t="s">
        <v>1575</v>
      </c>
      <c r="T2429" s="10" t="s">
        <v>1575</v>
      </c>
      <c r="U2429" s="10" t="s">
        <v>1575</v>
      </c>
      <c r="V2429" s="10" t="s">
        <v>1575</v>
      </c>
      <c r="W2429" s="10" t="s">
        <v>1575</v>
      </c>
      <c r="X2429" s="10" t="str">
        <f t="shared" si="2458"/>
        <v>NA</v>
      </c>
      <c r="Y2429" s="10" t="str">
        <f t="shared" si="2459"/>
        <v>NA</v>
      </c>
      <c r="Z2429" s="10" t="str">
        <f t="shared" si="2460"/>
        <v>NA</v>
      </c>
      <c r="AA2429" s="10" t="str">
        <f t="shared" si="2461"/>
        <v>NA</v>
      </c>
      <c r="AB2429" s="10" t="str">
        <f t="shared" si="2462"/>
        <v>NA</v>
      </c>
      <c r="AC2429" s="10" t="str">
        <f t="shared" si="2463"/>
        <v>NA</v>
      </c>
      <c r="AD2429" s="10" t="str">
        <f t="shared" si="2464"/>
        <v>NA</v>
      </c>
      <c r="AE2429" s="10" t="str">
        <f t="shared" si="2465"/>
        <v>NA</v>
      </c>
      <c r="AF2429" s="1" t="s">
        <v>2687</v>
      </c>
    </row>
    <row r="2430" spans="1:32" x14ac:dyDescent="0.2">
      <c r="A2430" s="1" t="s">
        <v>2693</v>
      </c>
      <c r="B2430" s="1" t="s">
        <v>5</v>
      </c>
      <c r="C2430" s="1" t="s">
        <v>1575</v>
      </c>
      <c r="D2430" s="1" t="s">
        <v>1578</v>
      </c>
      <c r="E2430" s="1" t="s">
        <v>1579</v>
      </c>
      <c r="F2430" s="1" t="s">
        <v>2692</v>
      </c>
      <c r="G2430" s="4" t="s">
        <v>11</v>
      </c>
      <c r="H2430" s="28">
        <v>42185</v>
      </c>
      <c r="I2430" s="29">
        <f t="shared" si="2457"/>
        <v>2015</v>
      </c>
      <c r="J2430" s="1" t="s">
        <v>7</v>
      </c>
      <c r="K2430" s="1" t="s">
        <v>2686</v>
      </c>
      <c r="L2430" s="11" t="str">
        <f t="shared" ref="L2430" si="2478">IF(OR(A2430=J2430,A2430=K2430),"ДА","НЕТ")</f>
        <v>НЕТ</v>
      </c>
      <c r="M2430" s="10">
        <v>0</v>
      </c>
      <c r="N2430" s="10">
        <v>0</v>
      </c>
      <c r="O2430" s="10">
        <v>0.27596599999999999</v>
      </c>
      <c r="P2430" s="10" t="str">
        <f t="shared" si="2455"/>
        <v>NA</v>
      </c>
      <c r="Q2430" s="10" t="str">
        <f t="shared" si="2456"/>
        <v>NA</v>
      </c>
      <c r="R2430" s="10" t="s">
        <v>1575</v>
      </c>
      <c r="S2430" s="10" t="s">
        <v>1575</v>
      </c>
      <c r="T2430" s="10" t="s">
        <v>1575</v>
      </c>
      <c r="U2430" s="10" t="s">
        <v>1575</v>
      </c>
      <c r="V2430" s="10" t="s">
        <v>1575</v>
      </c>
      <c r="W2430" s="10" t="s">
        <v>1575</v>
      </c>
      <c r="X2430" s="10" t="str">
        <f t="shared" si="2458"/>
        <v>NA</v>
      </c>
      <c r="Y2430" s="10" t="str">
        <f t="shared" si="2459"/>
        <v>NA</v>
      </c>
      <c r="Z2430" s="10" t="str">
        <f t="shared" si="2460"/>
        <v>NA</v>
      </c>
      <c r="AA2430" s="10" t="str">
        <f t="shared" si="2461"/>
        <v>NA</v>
      </c>
      <c r="AB2430" s="10" t="str">
        <f t="shared" si="2462"/>
        <v>NA</v>
      </c>
      <c r="AC2430" s="10" t="str">
        <f t="shared" si="2463"/>
        <v>NA</v>
      </c>
      <c r="AD2430" s="10" t="str">
        <f t="shared" si="2464"/>
        <v>NA</v>
      </c>
      <c r="AE2430" s="10" t="str">
        <f t="shared" si="2465"/>
        <v>NA</v>
      </c>
      <c r="AF2430" s="1" t="s">
        <v>2696</v>
      </c>
    </row>
    <row r="2431" spans="1:32" x14ac:dyDescent="0.2">
      <c r="A2431" s="1" t="s">
        <v>2694</v>
      </c>
      <c r="B2431" s="1" t="s">
        <v>5</v>
      </c>
      <c r="C2431" s="1" t="s">
        <v>1575</v>
      </c>
      <c r="D2431" s="1" t="s">
        <v>1578</v>
      </c>
      <c r="E2431" s="1" t="s">
        <v>1579</v>
      </c>
      <c r="F2431" s="1" t="s">
        <v>2692</v>
      </c>
      <c r="G2431" s="4" t="s">
        <v>11</v>
      </c>
      <c r="H2431" s="28">
        <v>42369</v>
      </c>
      <c r="I2431" s="29">
        <f t="shared" si="2457"/>
        <v>2015</v>
      </c>
      <c r="J2431" s="1" t="s">
        <v>7</v>
      </c>
      <c r="K2431" s="1" t="s">
        <v>2686</v>
      </c>
      <c r="L2431" s="11" t="str">
        <f t="shared" ref="L2431" si="2479">IF(OR(A2431=J2431,A2431=K2431),"ДА","НЕТ")</f>
        <v>НЕТ</v>
      </c>
      <c r="M2431" s="10">
        <v>0</v>
      </c>
      <c r="N2431" s="10">
        <v>0</v>
      </c>
      <c r="O2431" s="10">
        <f>0.435966-0.275966</f>
        <v>0.16000000000000003</v>
      </c>
      <c r="P2431" s="10" t="str">
        <f t="shared" si="2455"/>
        <v>NA</v>
      </c>
      <c r="Q2431" s="10" t="str">
        <f t="shared" si="2456"/>
        <v>NA</v>
      </c>
      <c r="R2431" s="10" t="s">
        <v>1575</v>
      </c>
      <c r="S2431" s="10" t="s">
        <v>1575</v>
      </c>
      <c r="T2431" s="10" t="s">
        <v>1575</v>
      </c>
      <c r="U2431" s="10" t="s">
        <v>1575</v>
      </c>
      <c r="V2431" s="10" t="s">
        <v>1575</v>
      </c>
      <c r="W2431" s="10" t="s">
        <v>1575</v>
      </c>
      <c r="X2431" s="10" t="str">
        <f t="shared" si="2458"/>
        <v>NA</v>
      </c>
      <c r="Y2431" s="10" t="str">
        <f t="shared" si="2459"/>
        <v>NA</v>
      </c>
      <c r="Z2431" s="10" t="str">
        <f t="shared" si="2460"/>
        <v>NA</v>
      </c>
      <c r="AA2431" s="10" t="str">
        <f t="shared" si="2461"/>
        <v>NA</v>
      </c>
      <c r="AB2431" s="10" t="str">
        <f t="shared" si="2462"/>
        <v>NA</v>
      </c>
      <c r="AC2431" s="10" t="str">
        <f t="shared" si="2463"/>
        <v>NA</v>
      </c>
      <c r="AD2431" s="10" t="str">
        <f t="shared" si="2464"/>
        <v>NA</v>
      </c>
      <c r="AE2431" s="10" t="str">
        <f t="shared" si="2465"/>
        <v>NA</v>
      </c>
      <c r="AF2431" s="1" t="s">
        <v>2695</v>
      </c>
    </row>
    <row r="2432" spans="1:32" x14ac:dyDescent="0.2">
      <c r="A2432" s="1" t="s">
        <v>2698</v>
      </c>
      <c r="B2432" s="1" t="s">
        <v>5</v>
      </c>
      <c r="C2432" s="1" t="s">
        <v>1575</v>
      </c>
      <c r="D2432" s="1" t="s">
        <v>1582</v>
      </c>
      <c r="E2432" s="1" t="s">
        <v>5352</v>
      </c>
      <c r="F2432" s="1" t="s">
        <v>1575</v>
      </c>
      <c r="G2432" s="4" t="s">
        <v>1575</v>
      </c>
      <c r="H2432" s="28">
        <v>40908</v>
      </c>
      <c r="I2432" s="29">
        <f t="shared" si="2457"/>
        <v>2011</v>
      </c>
      <c r="J2432" s="1" t="s">
        <v>7</v>
      </c>
      <c r="K2432" s="1" t="s">
        <v>2686</v>
      </c>
      <c r="L2432" s="11" t="str">
        <f t="shared" ref="L2432:L2433" si="2480">IF(OR(A2432=J2432,A2432=K2432),"ДА","НЕТ")</f>
        <v>НЕТ</v>
      </c>
      <c r="M2432" s="10">
        <v>0</v>
      </c>
      <c r="N2432" s="10">
        <v>0</v>
      </c>
      <c r="O2432" s="10">
        <v>5.1149999999999998E-3</v>
      </c>
      <c r="P2432" s="10" t="str">
        <f t="shared" si="2455"/>
        <v>NA</v>
      </c>
      <c r="Q2432" s="10" t="str">
        <f t="shared" si="2456"/>
        <v>NA</v>
      </c>
      <c r="R2432" s="10" t="s">
        <v>1575</v>
      </c>
      <c r="S2432" s="10" t="s">
        <v>1575</v>
      </c>
      <c r="T2432" s="10" t="s">
        <v>1575</v>
      </c>
      <c r="U2432" s="10" t="s">
        <v>1575</v>
      </c>
      <c r="V2432" s="10" t="s">
        <v>1575</v>
      </c>
      <c r="W2432" s="10" t="s">
        <v>1575</v>
      </c>
      <c r="X2432" s="10" t="str">
        <f t="shared" si="2458"/>
        <v>NA</v>
      </c>
      <c r="Y2432" s="10" t="str">
        <f t="shared" si="2459"/>
        <v>NA</v>
      </c>
      <c r="Z2432" s="10" t="str">
        <f t="shared" si="2460"/>
        <v>NA</v>
      </c>
      <c r="AA2432" s="10" t="str">
        <f t="shared" si="2461"/>
        <v>NA</v>
      </c>
      <c r="AB2432" s="10" t="str">
        <f t="shared" si="2462"/>
        <v>NA</v>
      </c>
      <c r="AC2432" s="10" t="str">
        <f t="shared" si="2463"/>
        <v>NA</v>
      </c>
      <c r="AD2432" s="10" t="str">
        <f t="shared" si="2464"/>
        <v>NA</v>
      </c>
      <c r="AE2432" s="10" t="str">
        <f t="shared" si="2465"/>
        <v>NA</v>
      </c>
      <c r="AF2432" s="1" t="s">
        <v>2697</v>
      </c>
    </row>
    <row r="2433" spans="1:32" x14ac:dyDescent="0.2">
      <c r="A2433" s="1" t="s">
        <v>6433</v>
      </c>
      <c r="B2433" s="1" t="s">
        <v>5</v>
      </c>
      <c r="C2433" s="1" t="s">
        <v>1575</v>
      </c>
      <c r="D2433" s="1" t="s">
        <v>1578</v>
      </c>
      <c r="E2433" s="1" t="s">
        <v>1579</v>
      </c>
      <c r="F2433" s="1" t="s">
        <v>2691</v>
      </c>
      <c r="G2433" s="4">
        <v>0.25</v>
      </c>
      <c r="H2433" s="28">
        <v>40543</v>
      </c>
      <c r="I2433" s="29">
        <f t="shared" si="2457"/>
        <v>2010</v>
      </c>
      <c r="J2433" s="1" t="s">
        <v>2686</v>
      </c>
      <c r="K2433" s="1" t="s">
        <v>7</v>
      </c>
      <c r="L2433" s="11" t="str">
        <f t="shared" si="2480"/>
        <v>НЕТ</v>
      </c>
      <c r="M2433" s="10">
        <v>0</v>
      </c>
      <c r="N2433" s="10">
        <v>0</v>
      </c>
      <c r="O2433" s="10">
        <v>0.22256999999999999</v>
      </c>
      <c r="P2433" s="10">
        <f t="shared" si="2455"/>
        <v>0.89027999999999996</v>
      </c>
      <c r="Q2433" s="10" t="str">
        <f t="shared" si="2456"/>
        <v>NA</v>
      </c>
      <c r="R2433" s="10" t="s">
        <v>1575</v>
      </c>
      <c r="S2433" s="10" t="s">
        <v>1575</v>
      </c>
      <c r="T2433" s="10" t="s">
        <v>1575</v>
      </c>
      <c r="U2433" s="10" t="s">
        <v>1575</v>
      </c>
      <c r="V2433" s="10" t="s">
        <v>1575</v>
      </c>
      <c r="W2433" s="10" t="s">
        <v>1575</v>
      </c>
      <c r="X2433" s="10" t="str">
        <f t="shared" si="2458"/>
        <v>NA</v>
      </c>
      <c r="Y2433" s="10" t="str">
        <f t="shared" si="2459"/>
        <v>NA</v>
      </c>
      <c r="Z2433" s="10" t="str">
        <f t="shared" si="2460"/>
        <v>NA</v>
      </c>
      <c r="AA2433" s="10" t="str">
        <f t="shared" si="2461"/>
        <v>NA</v>
      </c>
      <c r="AB2433" s="10" t="str">
        <f t="shared" si="2462"/>
        <v>NA</v>
      </c>
      <c r="AC2433" s="10" t="str">
        <f t="shared" si="2463"/>
        <v>NA</v>
      </c>
      <c r="AD2433" s="10" t="str">
        <f t="shared" si="2464"/>
        <v>NA</v>
      </c>
      <c r="AE2433" s="10" t="str">
        <f t="shared" si="2465"/>
        <v>NA</v>
      </c>
      <c r="AF2433" s="1" t="s">
        <v>2699</v>
      </c>
    </row>
    <row r="2434" spans="1:32" x14ac:dyDescent="0.2">
      <c r="A2434" s="1" t="s">
        <v>2701</v>
      </c>
      <c r="B2434" s="1" t="s">
        <v>5</v>
      </c>
      <c r="C2434" s="1" t="s">
        <v>1575</v>
      </c>
      <c r="D2434" s="1" t="s">
        <v>1578</v>
      </c>
      <c r="E2434" s="1" t="s">
        <v>1579</v>
      </c>
      <c r="F2434" s="1" t="s">
        <v>2690</v>
      </c>
      <c r="G2434" s="4" t="s">
        <v>1575</v>
      </c>
      <c r="H2434" s="28">
        <v>40543</v>
      </c>
      <c r="I2434" s="29">
        <f t="shared" si="2457"/>
        <v>2010</v>
      </c>
      <c r="J2434" s="1" t="s">
        <v>7</v>
      </c>
      <c r="K2434" s="1" t="s">
        <v>2686</v>
      </c>
      <c r="L2434" s="11" t="str">
        <f t="shared" ref="L2434" si="2481">IF(OR(A2434=J2434,A2434=K2434),"ДА","НЕТ")</f>
        <v>НЕТ</v>
      </c>
      <c r="M2434" s="10">
        <v>0</v>
      </c>
      <c r="N2434" s="10">
        <v>0</v>
      </c>
      <c r="O2434" s="10">
        <v>1.0000000000000001E-5</v>
      </c>
      <c r="P2434" s="10" t="str">
        <f t="shared" si="2455"/>
        <v>NA</v>
      </c>
      <c r="Q2434" s="10" t="str">
        <f t="shared" si="2456"/>
        <v>NA</v>
      </c>
      <c r="R2434" s="10" t="s">
        <v>1575</v>
      </c>
      <c r="S2434" s="10" t="s">
        <v>1575</v>
      </c>
      <c r="T2434" s="10" t="s">
        <v>1575</v>
      </c>
      <c r="U2434" s="10" t="s">
        <v>1575</v>
      </c>
      <c r="V2434" s="10" t="s">
        <v>1575</v>
      </c>
      <c r="W2434" s="10" t="s">
        <v>1575</v>
      </c>
      <c r="X2434" s="10" t="str">
        <f t="shared" si="2458"/>
        <v>NA</v>
      </c>
      <c r="Y2434" s="10" t="str">
        <f t="shared" si="2459"/>
        <v>NA</v>
      </c>
      <c r="Z2434" s="10" t="str">
        <f t="shared" si="2460"/>
        <v>NA</v>
      </c>
      <c r="AA2434" s="10" t="str">
        <f t="shared" si="2461"/>
        <v>NA</v>
      </c>
      <c r="AB2434" s="10" t="str">
        <f t="shared" si="2462"/>
        <v>NA</v>
      </c>
      <c r="AC2434" s="10" t="str">
        <f t="shared" si="2463"/>
        <v>NA</v>
      </c>
      <c r="AD2434" s="10" t="str">
        <f t="shared" si="2464"/>
        <v>NA</v>
      </c>
      <c r="AE2434" s="10" t="str">
        <f t="shared" si="2465"/>
        <v>NA</v>
      </c>
      <c r="AF2434" s="1" t="s">
        <v>2700</v>
      </c>
    </row>
    <row r="2435" spans="1:32" x14ac:dyDescent="0.2">
      <c r="A2435" s="1" t="s">
        <v>2679</v>
      </c>
      <c r="B2435" s="1" t="s">
        <v>86</v>
      </c>
      <c r="C2435" s="1" t="s">
        <v>1575</v>
      </c>
      <c r="D2435" s="1" t="s">
        <v>1578</v>
      </c>
      <c r="E2435" s="1" t="s">
        <v>2143</v>
      </c>
      <c r="F2435" s="1" t="s">
        <v>522</v>
      </c>
      <c r="G2435" s="4">
        <v>1</v>
      </c>
      <c r="H2435" s="28">
        <v>43027</v>
      </c>
      <c r="I2435" s="29">
        <f t="shared" si="2457"/>
        <v>2017</v>
      </c>
      <c r="J2435" s="1" t="s">
        <v>2663</v>
      </c>
      <c r="K2435" s="1" t="s">
        <v>7</v>
      </c>
      <c r="L2435" s="11" t="str">
        <f t="shared" si="2466"/>
        <v>НЕТ</v>
      </c>
      <c r="M2435" s="10">
        <v>0</v>
      </c>
      <c r="N2435" s="10">
        <v>0</v>
      </c>
      <c r="O2435" s="10">
        <v>0.20766999999999999</v>
      </c>
      <c r="P2435" s="10">
        <f t="shared" ref="P2435:P2498" si="2482">IFERROR(O2435/G2435,"NA")</f>
        <v>0.20766999999999999</v>
      </c>
      <c r="Q2435" s="10">
        <f t="shared" ref="Q2435:Q2498" si="2483">IFERROR(P2435+W2435,"NA")</f>
        <v>0.25498900000000002</v>
      </c>
      <c r="R2435" s="10" t="s">
        <v>1575</v>
      </c>
      <c r="S2435" s="10" t="s">
        <v>1575</v>
      </c>
      <c r="T2435" s="10" t="s">
        <v>1575</v>
      </c>
      <c r="U2435" s="10" t="s">
        <v>1575</v>
      </c>
      <c r="V2435" s="10">
        <v>0.175037</v>
      </c>
      <c r="W2435" s="10">
        <f>0.053704-0.006385</f>
        <v>4.7319E-2</v>
      </c>
      <c r="X2435" s="10">
        <f t="shared" si="2458"/>
        <v>0.222356</v>
      </c>
      <c r="Y2435" s="10" t="str">
        <f t="shared" si="2459"/>
        <v>NA</v>
      </c>
      <c r="Z2435" s="10" t="str">
        <f t="shared" si="2460"/>
        <v>NA</v>
      </c>
      <c r="AA2435" s="10">
        <f t="shared" si="2461"/>
        <v>1.186434868056468</v>
      </c>
      <c r="AB2435" s="10" t="str">
        <f t="shared" si="2462"/>
        <v>NA</v>
      </c>
      <c r="AC2435" s="10" t="str">
        <f t="shared" si="2463"/>
        <v>NA</v>
      </c>
      <c r="AD2435" s="10" t="str">
        <f t="shared" si="2464"/>
        <v>NA</v>
      </c>
      <c r="AE2435" s="10">
        <f t="shared" si="2465"/>
        <v>1.1467601503894655</v>
      </c>
      <c r="AF2435" s="1" t="s">
        <v>2678</v>
      </c>
    </row>
    <row r="2436" spans="1:32" x14ac:dyDescent="0.2">
      <c r="A2436" s="1" t="s">
        <v>2141</v>
      </c>
      <c r="B2436" s="1" t="s">
        <v>5</v>
      </c>
      <c r="C2436" s="1" t="s">
        <v>1575</v>
      </c>
      <c r="D2436" s="1" t="s">
        <v>1578</v>
      </c>
      <c r="E2436" s="1" t="s">
        <v>2143</v>
      </c>
      <c r="F2436" s="1" t="s">
        <v>522</v>
      </c>
      <c r="G2436" s="4">
        <v>1</v>
      </c>
      <c r="H2436" s="28">
        <v>42586</v>
      </c>
      <c r="I2436" s="29">
        <f t="shared" si="2457"/>
        <v>2016</v>
      </c>
      <c r="J2436" s="1" t="s">
        <v>7</v>
      </c>
      <c r="K2436" s="1" t="s">
        <v>2663</v>
      </c>
      <c r="L2436" s="11" t="str">
        <f t="shared" si="2466"/>
        <v>НЕТ</v>
      </c>
      <c r="M2436" s="10">
        <v>0</v>
      </c>
      <c r="N2436" s="10">
        <v>0</v>
      </c>
      <c r="O2436" s="10">
        <v>1.837194</v>
      </c>
      <c r="P2436" s="10">
        <f t="shared" si="2482"/>
        <v>1.837194</v>
      </c>
      <c r="Q2436" s="10">
        <f t="shared" si="2483"/>
        <v>4.0863310000000004</v>
      </c>
      <c r="R2436" s="10">
        <v>15.405234999999999</v>
      </c>
      <c r="S2436" s="10" t="s">
        <v>1575</v>
      </c>
      <c r="T2436" s="10">
        <f>2.6952543-1.239891-0.319575+0.040285-0.038111</f>
        <v>1.1379623000000001</v>
      </c>
      <c r="U2436" s="10">
        <v>0.52231700000000003</v>
      </c>
      <c r="V2436" s="10">
        <v>0.37999899999999998</v>
      </c>
      <c r="W2436" s="10">
        <f>2.311351-0.062214</f>
        <v>2.2491370000000002</v>
      </c>
      <c r="X2436" s="10">
        <f t="shared" si="2458"/>
        <v>2.6291359999999999</v>
      </c>
      <c r="Y2436" s="10">
        <f t="shared" si="2459"/>
        <v>0.11925777178991427</v>
      </c>
      <c r="Z2436" s="10">
        <f t="shared" si="2460"/>
        <v>3.5173926944748111</v>
      </c>
      <c r="AA2436" s="10">
        <f t="shared" si="2461"/>
        <v>4.8347337756151996</v>
      </c>
      <c r="AB2436" s="10">
        <f t="shared" si="2462"/>
        <v>0.26525599901591895</v>
      </c>
      <c r="AC2436" s="10" t="str">
        <f t="shared" si="2463"/>
        <v>NA</v>
      </c>
      <c r="AD2436" s="10">
        <f t="shared" si="2464"/>
        <v>3.5909194882818176</v>
      </c>
      <c r="AE2436" s="10">
        <f t="shared" si="2465"/>
        <v>1.554248620078992</v>
      </c>
      <c r="AF2436" s="1" t="s">
        <v>2680</v>
      </c>
    </row>
    <row r="2437" spans="1:32" x14ac:dyDescent="0.2">
      <c r="A2437" s="1" t="s">
        <v>2663</v>
      </c>
      <c r="B2437" s="1" t="s">
        <v>5</v>
      </c>
      <c r="C2437" s="1" t="s">
        <v>2671</v>
      </c>
      <c r="D2437" s="1" t="s">
        <v>1578</v>
      </c>
      <c r="E2437" s="1" t="s">
        <v>2143</v>
      </c>
      <c r="F2437" s="1" t="s">
        <v>522</v>
      </c>
      <c r="G2437" s="4">
        <f>0.2631/79.537651</f>
        <v>3.3078673646019545E-3</v>
      </c>
      <c r="H2437" s="28">
        <v>41670</v>
      </c>
      <c r="I2437" s="29">
        <f t="shared" si="2457"/>
        <v>2014</v>
      </c>
      <c r="J2437" s="1" t="s">
        <v>2663</v>
      </c>
      <c r="K2437" s="1" t="s">
        <v>7</v>
      </c>
      <c r="L2437" s="11" t="str">
        <f t="shared" ref="L2437" si="2484">IF(OR(A2437=J2437,A2437=K2437),"ДА","НЕТ")</f>
        <v>ДА</v>
      </c>
      <c r="M2437" s="10">
        <v>0</v>
      </c>
      <c r="N2437" s="10">
        <v>0</v>
      </c>
      <c r="O2437" s="10">
        <v>1.7375999999999999E-2</v>
      </c>
      <c r="P2437" s="10">
        <f t="shared" si="2482"/>
        <v>5.2529312952337506</v>
      </c>
      <c r="Q2437" s="10">
        <f t="shared" si="2483"/>
        <v>7.9439312952337504</v>
      </c>
      <c r="R2437" s="10">
        <v>18.044646</v>
      </c>
      <c r="S2437" s="10">
        <v>0.90861199999999998</v>
      </c>
      <c r="T2437" s="10">
        <v>0.88534299999999999</v>
      </c>
      <c r="U2437" s="10">
        <v>0.436415</v>
      </c>
      <c r="V2437" s="10">
        <v>0.2249999999999992</v>
      </c>
      <c r="W2437" s="10">
        <v>2.6909999999999998</v>
      </c>
      <c r="X2437" s="10">
        <f t="shared" si="2458"/>
        <v>2.915999999999999</v>
      </c>
      <c r="Y2437" s="10">
        <f t="shared" si="2459"/>
        <v>0.29110747283342386</v>
      </c>
      <c r="Z2437" s="10">
        <f t="shared" si="2460"/>
        <v>12.036550749249569</v>
      </c>
      <c r="AA2437" s="10">
        <f t="shared" si="2461"/>
        <v>23.346361312150087</v>
      </c>
      <c r="AB2437" s="10">
        <f t="shared" si="2462"/>
        <v>0.44023758045648281</v>
      </c>
      <c r="AC2437" s="10">
        <f t="shared" si="2463"/>
        <v>8.7429302003866898</v>
      </c>
      <c r="AD2437" s="10">
        <f t="shared" si="2464"/>
        <v>8.9727159928228382</v>
      </c>
      <c r="AE2437" s="10">
        <f t="shared" si="2465"/>
        <v>2.7242562740856493</v>
      </c>
      <c r="AF2437" s="1" t="s">
        <v>2681</v>
      </c>
    </row>
    <row r="2438" spans="1:32" x14ac:dyDescent="0.2">
      <c r="A2438" s="1" t="s">
        <v>2663</v>
      </c>
      <c r="B2438" s="1" t="s">
        <v>5</v>
      </c>
      <c r="C2438" s="1" t="s">
        <v>2671</v>
      </c>
      <c r="D2438" s="1" t="s">
        <v>1578</v>
      </c>
      <c r="E2438" s="1" t="s">
        <v>2143</v>
      </c>
      <c r="F2438" s="1" t="s">
        <v>522</v>
      </c>
      <c r="G2438" s="4">
        <f>0.3017/79.537651</f>
        <v>3.7931721166872281E-3</v>
      </c>
      <c r="H2438" s="28">
        <v>41729</v>
      </c>
      <c r="I2438" s="29">
        <f t="shared" si="2457"/>
        <v>2014</v>
      </c>
      <c r="J2438" s="1" t="s">
        <v>7</v>
      </c>
      <c r="K2438" s="1" t="s">
        <v>2663</v>
      </c>
      <c r="L2438" s="11" t="str">
        <f t="shared" ref="L2438" si="2485">IF(OR(A2438=J2438,A2438=K2438),"ДА","НЕТ")</f>
        <v>ДА</v>
      </c>
      <c r="M2438" s="10">
        <v>0</v>
      </c>
      <c r="N2438" s="10">
        <v>0</v>
      </c>
      <c r="O2438" s="10">
        <v>2.0147000000000002E-2</v>
      </c>
      <c r="P2438" s="10">
        <f t="shared" si="2482"/>
        <v>5.3113856635631427</v>
      </c>
      <c r="Q2438" s="10">
        <f t="shared" si="2483"/>
        <v>8.0023856635631425</v>
      </c>
      <c r="R2438" s="10">
        <v>18.044646</v>
      </c>
      <c r="S2438" s="10">
        <v>0.90861199999999998</v>
      </c>
      <c r="T2438" s="10">
        <v>0.88534299999999999</v>
      </c>
      <c r="U2438" s="10">
        <v>0.436415</v>
      </c>
      <c r="V2438" s="10">
        <v>0.2249999999999992</v>
      </c>
      <c r="W2438" s="10">
        <v>2.6909999999999998</v>
      </c>
      <c r="X2438" s="10">
        <f t="shared" si="2458"/>
        <v>2.915999999999999</v>
      </c>
      <c r="Y2438" s="10">
        <f t="shared" si="2459"/>
        <v>0.29434690287430093</v>
      </c>
      <c r="Z2438" s="10">
        <f t="shared" si="2460"/>
        <v>12.170492910562521</v>
      </c>
      <c r="AA2438" s="10">
        <f t="shared" si="2461"/>
        <v>23.606158504725162</v>
      </c>
      <c r="AB2438" s="10">
        <f t="shared" si="2462"/>
        <v>0.44347701049735982</v>
      </c>
      <c r="AC2438" s="10">
        <f t="shared" si="2463"/>
        <v>8.8072638965401548</v>
      </c>
      <c r="AD2438" s="10">
        <f t="shared" si="2464"/>
        <v>9.0387405373546095</v>
      </c>
      <c r="AE2438" s="10">
        <f t="shared" si="2465"/>
        <v>2.744302353759652</v>
      </c>
      <c r="AF2438" s="1" t="s">
        <v>2682</v>
      </c>
    </row>
    <row r="2439" spans="1:32" x14ac:dyDescent="0.2">
      <c r="A2439" s="1" t="s">
        <v>2663</v>
      </c>
      <c r="B2439" s="1" t="s">
        <v>5</v>
      </c>
      <c r="C2439" s="1" t="s">
        <v>2671</v>
      </c>
      <c r="D2439" s="1" t="s">
        <v>1578</v>
      </c>
      <c r="E2439" s="1" t="s">
        <v>2143</v>
      </c>
      <c r="F2439" s="1" t="s">
        <v>522</v>
      </c>
      <c r="G2439" s="4">
        <f>0.0386/79.537651</f>
        <v>4.8530475208527349E-4</v>
      </c>
      <c r="H2439" s="28">
        <v>41639</v>
      </c>
      <c r="I2439" s="29">
        <f t="shared" si="2457"/>
        <v>2013</v>
      </c>
      <c r="J2439" s="1" t="s">
        <v>2663</v>
      </c>
      <c r="K2439" s="1" t="s">
        <v>7</v>
      </c>
      <c r="L2439" s="11" t="str">
        <f t="shared" ref="L2439" si="2486">IF(OR(A2439=J2439,A2439=K2439),"ДА","НЕТ")</f>
        <v>ДА</v>
      </c>
      <c r="M2439" s="10">
        <v>0</v>
      </c>
      <c r="N2439" s="10">
        <v>0</v>
      </c>
      <c r="O2439" s="10">
        <v>1.103E-3</v>
      </c>
      <c r="P2439" s="10">
        <f t="shared" si="2482"/>
        <v>2.2727986801295335</v>
      </c>
      <c r="Q2439" s="10">
        <f t="shared" si="2483"/>
        <v>4.9637986801295337</v>
      </c>
      <c r="R2439" s="10">
        <v>18.044646</v>
      </c>
      <c r="S2439" s="10">
        <v>0.90861199999999998</v>
      </c>
      <c r="T2439" s="10">
        <v>0.88534299999999999</v>
      </c>
      <c r="U2439" s="10">
        <v>0.436415</v>
      </c>
      <c r="V2439" s="10">
        <v>0.2249999999999992</v>
      </c>
      <c r="W2439" s="10">
        <v>2.6909999999999998</v>
      </c>
      <c r="X2439" s="10">
        <f t="shared" si="2458"/>
        <v>2.915999999999999</v>
      </c>
      <c r="Y2439" s="10">
        <f t="shared" si="2459"/>
        <v>0.12595418497705821</v>
      </c>
      <c r="Z2439" s="10">
        <f t="shared" si="2460"/>
        <v>5.2078839639552568</v>
      </c>
      <c r="AA2439" s="10">
        <f t="shared" si="2461"/>
        <v>10.101327467242406</v>
      </c>
      <c r="AB2439" s="10">
        <f t="shared" si="2462"/>
        <v>0.27508429260011719</v>
      </c>
      <c r="AC2439" s="10">
        <f t="shared" si="2463"/>
        <v>5.4630564862994699</v>
      </c>
      <c r="AD2439" s="10">
        <f t="shared" si="2464"/>
        <v>5.6066390993428916</v>
      </c>
      <c r="AE2439" s="10">
        <f t="shared" si="2465"/>
        <v>1.702262921855122</v>
      </c>
      <c r="AF2439" s="1" t="s">
        <v>2683</v>
      </c>
    </row>
    <row r="2440" spans="1:32" x14ac:dyDescent="0.2">
      <c r="A2440" s="1" t="s">
        <v>2139</v>
      </c>
      <c r="B2440" s="1" t="s">
        <v>5</v>
      </c>
      <c r="C2440" s="1" t="s">
        <v>1575</v>
      </c>
      <c r="D2440" s="1" t="s">
        <v>1578</v>
      </c>
      <c r="E2440" s="1" t="s">
        <v>2143</v>
      </c>
      <c r="F2440" s="1" t="s">
        <v>522</v>
      </c>
      <c r="G2440" s="4">
        <v>1</v>
      </c>
      <c r="H2440" s="28">
        <v>41333</v>
      </c>
      <c r="I2440" s="29">
        <f t="shared" si="2457"/>
        <v>2013</v>
      </c>
      <c r="J2440" s="1" t="s">
        <v>7</v>
      </c>
      <c r="K2440" s="1" t="s">
        <v>2663</v>
      </c>
      <c r="L2440" s="11" t="str">
        <f t="shared" si="2466"/>
        <v>НЕТ</v>
      </c>
      <c r="M2440" s="10">
        <v>52</v>
      </c>
      <c r="N2440" s="10">
        <v>0</v>
      </c>
      <c r="O2440" s="10">
        <f>1.5344+0.06</f>
        <v>1.5944</v>
      </c>
      <c r="P2440" s="10">
        <f t="shared" si="2482"/>
        <v>1.5944</v>
      </c>
      <c r="Q2440" s="10">
        <f t="shared" si="2483"/>
        <v>1.5856220000000001</v>
      </c>
      <c r="R2440" s="10">
        <v>1.9886649999999999</v>
      </c>
      <c r="S2440" s="10" t="s">
        <v>1575</v>
      </c>
      <c r="T2440" s="10">
        <f>-0.542361+0.266415-0.0015-0.002785</f>
        <v>-0.28023099999999995</v>
      </c>
      <c r="U2440" s="10">
        <v>-1.0044109999999999</v>
      </c>
      <c r="V2440" s="10">
        <v>1.5484260000000001</v>
      </c>
      <c r="W2440" s="10">
        <f>0-0.008778</f>
        <v>-8.7779999999999993E-3</v>
      </c>
      <c r="X2440" s="10">
        <f t="shared" si="2458"/>
        <v>1.5396480000000001</v>
      </c>
      <c r="Y2440" s="10">
        <f t="shared" si="2459"/>
        <v>0.80174388345950687</v>
      </c>
      <c r="Z2440" s="10">
        <f t="shared" si="2460"/>
        <v>-1.5873979874772379</v>
      </c>
      <c r="AA2440" s="10">
        <f t="shared" si="2461"/>
        <v>1.0296907956854251</v>
      </c>
      <c r="AB2440" s="10">
        <f t="shared" si="2462"/>
        <v>0.79732986702134356</v>
      </c>
      <c r="AC2440" s="10" t="str">
        <f t="shared" si="2463"/>
        <v>NA</v>
      </c>
      <c r="AD2440" s="10">
        <f t="shared" si="2464"/>
        <v>-5.6582676434798449</v>
      </c>
      <c r="AE2440" s="10">
        <f t="shared" si="2465"/>
        <v>1.029860071912541</v>
      </c>
      <c r="AF2440" s="1" t="s">
        <v>2684</v>
      </c>
    </row>
    <row r="2441" spans="1:32" x14ac:dyDescent="0.2">
      <c r="A2441" s="1" t="s">
        <v>2663</v>
      </c>
      <c r="B2441" s="1" t="s">
        <v>5</v>
      </c>
      <c r="C2441" s="1" t="s">
        <v>2671</v>
      </c>
      <c r="D2441" s="1" t="s">
        <v>1578</v>
      </c>
      <c r="E2441" s="1" t="s">
        <v>2143</v>
      </c>
      <c r="F2441" s="1" t="s">
        <v>522</v>
      </c>
      <c r="G2441" s="4">
        <f>3.615254/79.537651</f>
        <v>4.5453366481743349E-2</v>
      </c>
      <c r="H2441" s="28">
        <v>39782</v>
      </c>
      <c r="I2441" s="29">
        <f t="shared" si="2457"/>
        <v>2008</v>
      </c>
      <c r="J2441" s="1" t="s">
        <v>2663</v>
      </c>
      <c r="K2441" s="1" t="s">
        <v>7</v>
      </c>
      <c r="L2441" s="11" t="str">
        <f t="shared" si="2466"/>
        <v>ДА</v>
      </c>
      <c r="M2441" s="10">
        <v>0</v>
      </c>
      <c r="N2441" s="10">
        <v>0</v>
      </c>
      <c r="O2441" s="10">
        <v>0.41575800000000002</v>
      </c>
      <c r="P2441" s="10">
        <f t="shared" si="2482"/>
        <v>9.1469132471627166</v>
      </c>
      <c r="Q2441" s="10" t="str">
        <f t="shared" si="2483"/>
        <v>NA</v>
      </c>
      <c r="R2441" s="10" t="s">
        <v>1575</v>
      </c>
      <c r="S2441" s="10" t="s">
        <v>1575</v>
      </c>
      <c r="T2441" s="10" t="s">
        <v>1575</v>
      </c>
      <c r="U2441" s="10" t="s">
        <v>1575</v>
      </c>
      <c r="V2441" s="10" t="s">
        <v>1575</v>
      </c>
      <c r="W2441" s="10" t="s">
        <v>1575</v>
      </c>
      <c r="X2441" s="10" t="str">
        <f t="shared" si="2458"/>
        <v>NA</v>
      </c>
      <c r="Y2441" s="10" t="str">
        <f t="shared" si="2459"/>
        <v>NA</v>
      </c>
      <c r="Z2441" s="10" t="str">
        <f t="shared" si="2460"/>
        <v>NA</v>
      </c>
      <c r="AA2441" s="10" t="str">
        <f t="shared" si="2461"/>
        <v>NA</v>
      </c>
      <c r="AB2441" s="10" t="str">
        <f t="shared" si="2462"/>
        <v>NA</v>
      </c>
      <c r="AC2441" s="10" t="str">
        <f t="shared" si="2463"/>
        <v>NA</v>
      </c>
      <c r="AD2441" s="10" t="str">
        <f t="shared" si="2464"/>
        <v>NA</v>
      </c>
      <c r="AE2441" s="10" t="str">
        <f t="shared" si="2465"/>
        <v>NA</v>
      </c>
      <c r="AF2441" s="1" t="s">
        <v>2685</v>
      </c>
    </row>
    <row r="2442" spans="1:32" x14ac:dyDescent="0.2">
      <c r="A2442" s="1" t="s">
        <v>6434</v>
      </c>
      <c r="B2442" s="1" t="s">
        <v>5</v>
      </c>
      <c r="C2442" s="1" t="s">
        <v>1575</v>
      </c>
      <c r="D2442" s="1" t="s">
        <v>1578</v>
      </c>
      <c r="E2442" s="1" t="s">
        <v>1579</v>
      </c>
      <c r="F2442" s="1" t="s">
        <v>429</v>
      </c>
      <c r="G2442" s="4">
        <v>1</v>
      </c>
      <c r="H2442" s="28">
        <v>44922</v>
      </c>
      <c r="I2442" s="29">
        <f t="shared" si="2457"/>
        <v>2022</v>
      </c>
      <c r="J2442" s="1" t="s">
        <v>2622</v>
      </c>
      <c r="K2442" s="1" t="s">
        <v>2624</v>
      </c>
      <c r="L2442" s="11" t="str">
        <f t="shared" si="2466"/>
        <v>НЕТ</v>
      </c>
      <c r="M2442" s="10">
        <v>0</v>
      </c>
      <c r="N2442" s="10">
        <v>0</v>
      </c>
      <c r="O2442" s="10">
        <v>4.0599999999999996</v>
      </c>
      <c r="P2442" s="10">
        <f t="shared" si="2482"/>
        <v>4.0599999999999996</v>
      </c>
      <c r="Q2442" s="10">
        <f t="shared" si="2483"/>
        <v>5.4949999999999992</v>
      </c>
      <c r="R2442" s="10" t="s">
        <v>1575</v>
      </c>
      <c r="S2442" s="10" t="s">
        <v>1575</v>
      </c>
      <c r="T2442" s="10" t="s">
        <v>1575</v>
      </c>
      <c r="U2442" s="10" t="s">
        <v>1575</v>
      </c>
      <c r="V2442" s="10">
        <v>4.0599999999999996</v>
      </c>
      <c r="W2442" s="10">
        <f>0.463+0.974+0.002-0.004</f>
        <v>1.4350000000000001</v>
      </c>
      <c r="X2442" s="10">
        <f t="shared" si="2458"/>
        <v>5.4949999999999992</v>
      </c>
      <c r="Y2442" s="10" t="str">
        <f t="shared" si="2459"/>
        <v>NA</v>
      </c>
      <c r="Z2442" s="10" t="str">
        <f t="shared" si="2460"/>
        <v>NA</v>
      </c>
      <c r="AA2442" s="10">
        <f t="shared" si="2461"/>
        <v>1</v>
      </c>
      <c r="AB2442" s="10" t="str">
        <f t="shared" si="2462"/>
        <v>NA</v>
      </c>
      <c r="AC2442" s="10" t="str">
        <f t="shared" si="2463"/>
        <v>NA</v>
      </c>
      <c r="AD2442" s="10" t="str">
        <f t="shared" si="2464"/>
        <v>NA</v>
      </c>
      <c r="AE2442" s="10">
        <f t="shared" si="2465"/>
        <v>1</v>
      </c>
      <c r="AF2442" s="1" t="s">
        <v>2623</v>
      </c>
    </row>
    <row r="2443" spans="1:32" x14ac:dyDescent="0.2">
      <c r="A2443" s="1" t="s">
        <v>6435</v>
      </c>
      <c r="B2443" s="1" t="s">
        <v>5</v>
      </c>
      <c r="C2443" s="1" t="s">
        <v>1575</v>
      </c>
      <c r="D2443" s="1" t="s">
        <v>1578</v>
      </c>
      <c r="E2443" s="1" t="s">
        <v>1579</v>
      </c>
      <c r="F2443" s="1" t="s">
        <v>429</v>
      </c>
      <c r="G2443" s="4">
        <v>1</v>
      </c>
      <c r="H2443" s="28">
        <v>44910</v>
      </c>
      <c r="I2443" s="29">
        <f t="shared" si="2457"/>
        <v>2022</v>
      </c>
      <c r="J2443" s="1" t="s">
        <v>2622</v>
      </c>
      <c r="K2443" s="1" t="s">
        <v>2624</v>
      </c>
      <c r="L2443" s="11" t="str">
        <f t="shared" si="2466"/>
        <v>НЕТ</v>
      </c>
      <c r="M2443" s="10">
        <v>0</v>
      </c>
      <c r="N2443" s="10">
        <v>0</v>
      </c>
      <c r="O2443" s="10">
        <v>6.37</v>
      </c>
      <c r="P2443" s="10">
        <f t="shared" si="2482"/>
        <v>6.37</v>
      </c>
      <c r="Q2443" s="10">
        <f t="shared" si="2483"/>
        <v>6.3790000000000004</v>
      </c>
      <c r="R2443" s="10" t="s">
        <v>1575</v>
      </c>
      <c r="S2443" s="10" t="s">
        <v>1575</v>
      </c>
      <c r="T2443" s="10" t="s">
        <v>1575</v>
      </c>
      <c r="U2443" s="10" t="s">
        <v>1575</v>
      </c>
      <c r="V2443" s="10">
        <v>6.37</v>
      </c>
      <c r="W2443" s="10">
        <f>0.007+0.013+0.048-0.059</f>
        <v>9.000000000000008E-3</v>
      </c>
      <c r="X2443" s="10">
        <f t="shared" si="2458"/>
        <v>6.3790000000000004</v>
      </c>
      <c r="Y2443" s="10" t="str">
        <f t="shared" si="2459"/>
        <v>NA</v>
      </c>
      <c r="Z2443" s="10" t="str">
        <f t="shared" si="2460"/>
        <v>NA</v>
      </c>
      <c r="AA2443" s="10">
        <f t="shared" si="2461"/>
        <v>1</v>
      </c>
      <c r="AB2443" s="10" t="str">
        <f t="shared" si="2462"/>
        <v>NA</v>
      </c>
      <c r="AC2443" s="10" t="str">
        <f t="shared" si="2463"/>
        <v>NA</v>
      </c>
      <c r="AD2443" s="10" t="str">
        <f t="shared" si="2464"/>
        <v>NA</v>
      </c>
      <c r="AE2443" s="10">
        <f t="shared" si="2465"/>
        <v>1</v>
      </c>
      <c r="AF2443" s="1" t="s">
        <v>2625</v>
      </c>
    </row>
    <row r="2444" spans="1:32" x14ac:dyDescent="0.2">
      <c r="A2444" s="1" t="s">
        <v>6436</v>
      </c>
      <c r="B2444" s="1" t="s">
        <v>5</v>
      </c>
      <c r="C2444" s="1" t="s">
        <v>1575</v>
      </c>
      <c r="D2444" s="1" t="s">
        <v>1578</v>
      </c>
      <c r="E2444" s="1" t="s">
        <v>1579</v>
      </c>
      <c r="F2444" s="1" t="s">
        <v>429</v>
      </c>
      <c r="G2444" s="4">
        <v>0.5</v>
      </c>
      <c r="H2444" s="28">
        <v>40602</v>
      </c>
      <c r="I2444" s="29">
        <f t="shared" si="2457"/>
        <v>2011</v>
      </c>
      <c r="J2444" s="1" t="s">
        <v>3032</v>
      </c>
      <c r="K2444" s="1" t="s">
        <v>7</v>
      </c>
      <c r="L2444" s="11" t="str">
        <f t="shared" si="2466"/>
        <v>НЕТ</v>
      </c>
      <c r="M2444" s="10">
        <v>0</v>
      </c>
      <c r="N2444" s="10">
        <v>0</v>
      </c>
      <c r="O2444" s="10">
        <v>3.5</v>
      </c>
      <c r="P2444" s="10">
        <f t="shared" si="2482"/>
        <v>7</v>
      </c>
      <c r="Q2444" s="10" t="str">
        <f t="shared" si="2483"/>
        <v>NA</v>
      </c>
      <c r="R2444" s="10" t="s">
        <v>1575</v>
      </c>
      <c r="S2444" s="10" t="s">
        <v>1575</v>
      </c>
      <c r="T2444" s="10" t="s">
        <v>1575</v>
      </c>
      <c r="U2444" s="10" t="s">
        <v>1575</v>
      </c>
      <c r="V2444" s="10" t="s">
        <v>1575</v>
      </c>
      <c r="W2444" s="10" t="s">
        <v>1575</v>
      </c>
      <c r="X2444" s="10" t="str">
        <f t="shared" si="2458"/>
        <v>NA</v>
      </c>
      <c r="Y2444" s="10" t="str">
        <f t="shared" si="2459"/>
        <v>NA</v>
      </c>
      <c r="Z2444" s="10" t="str">
        <f t="shared" si="2460"/>
        <v>NA</v>
      </c>
      <c r="AA2444" s="10" t="str">
        <f t="shared" si="2461"/>
        <v>NA</v>
      </c>
      <c r="AB2444" s="10" t="str">
        <f t="shared" si="2462"/>
        <v>NA</v>
      </c>
      <c r="AC2444" s="10" t="str">
        <f t="shared" si="2463"/>
        <v>NA</v>
      </c>
      <c r="AD2444" s="10" t="str">
        <f t="shared" si="2464"/>
        <v>NA</v>
      </c>
      <c r="AE2444" s="10" t="str">
        <f t="shared" si="2465"/>
        <v>NA</v>
      </c>
      <c r="AF2444" s="1" t="s">
        <v>3041</v>
      </c>
    </row>
    <row r="2445" spans="1:32" x14ac:dyDescent="0.2">
      <c r="A2445" s="1" t="s">
        <v>3032</v>
      </c>
      <c r="B2445" s="1" t="s">
        <v>5</v>
      </c>
      <c r="C2445" s="1" t="s">
        <v>3039</v>
      </c>
      <c r="D2445" s="1" t="s">
        <v>1578</v>
      </c>
      <c r="E2445" s="1" t="s">
        <v>1579</v>
      </c>
      <c r="F2445" s="1" t="s">
        <v>429</v>
      </c>
      <c r="G2445" s="4">
        <f>11991050/158093157</f>
        <v>7.5848001441327403E-2</v>
      </c>
      <c r="H2445" s="28">
        <v>40512</v>
      </c>
      <c r="I2445" s="29">
        <f t="shared" si="2457"/>
        <v>2010</v>
      </c>
      <c r="J2445" s="1" t="s">
        <v>3032</v>
      </c>
      <c r="K2445" s="1" t="s">
        <v>7</v>
      </c>
      <c r="L2445" s="11" t="str">
        <f t="shared" ref="L2445" si="2487">IF(OR(A2445=J2445,A2445=K2445),"ДА","НЕТ")</f>
        <v>ДА</v>
      </c>
      <c r="M2445" s="10">
        <v>0</v>
      </c>
      <c r="N2445" s="10">
        <v>0</v>
      </c>
      <c r="O2445" s="10">
        <v>0.56100000000000005</v>
      </c>
      <c r="P2445" s="10">
        <f t="shared" si="2482"/>
        <v>7.3963715501978573</v>
      </c>
      <c r="Q2445" s="10" t="str">
        <f t="shared" si="2483"/>
        <v>NA</v>
      </c>
      <c r="R2445" s="10" t="s">
        <v>1575</v>
      </c>
      <c r="S2445" s="10" t="s">
        <v>1575</v>
      </c>
      <c r="T2445" s="10" t="s">
        <v>1575</v>
      </c>
      <c r="U2445" s="10" t="s">
        <v>1575</v>
      </c>
      <c r="V2445" s="10" t="s">
        <v>1575</v>
      </c>
      <c r="W2445" s="10" t="s">
        <v>1575</v>
      </c>
      <c r="X2445" s="10" t="str">
        <f t="shared" si="2458"/>
        <v>NA</v>
      </c>
      <c r="Y2445" s="10" t="str">
        <f t="shared" si="2459"/>
        <v>NA</v>
      </c>
      <c r="Z2445" s="10" t="str">
        <f t="shared" si="2460"/>
        <v>NA</v>
      </c>
      <c r="AA2445" s="10" t="str">
        <f t="shared" si="2461"/>
        <v>NA</v>
      </c>
      <c r="AB2445" s="10" t="str">
        <f t="shared" si="2462"/>
        <v>NA</v>
      </c>
      <c r="AC2445" s="10" t="str">
        <f t="shared" si="2463"/>
        <v>NA</v>
      </c>
      <c r="AD2445" s="10" t="str">
        <f t="shared" si="2464"/>
        <v>NA</v>
      </c>
      <c r="AE2445" s="10" t="str">
        <f t="shared" si="2465"/>
        <v>NA</v>
      </c>
      <c r="AF2445" s="1" t="s">
        <v>3040</v>
      </c>
    </row>
    <row r="2446" spans="1:32" x14ac:dyDescent="0.2">
      <c r="A2446" s="1" t="s">
        <v>6437</v>
      </c>
      <c r="B2446" s="1" t="s">
        <v>5</v>
      </c>
      <c r="C2446" s="1" t="s">
        <v>1575</v>
      </c>
      <c r="D2446" s="1" t="s">
        <v>1578</v>
      </c>
      <c r="E2446" s="1" t="s">
        <v>1579</v>
      </c>
      <c r="F2446" s="1" t="s">
        <v>429</v>
      </c>
      <c r="G2446" s="4" t="s">
        <v>969</v>
      </c>
      <c r="H2446" s="28">
        <v>40268</v>
      </c>
      <c r="I2446" s="29">
        <f t="shared" si="2457"/>
        <v>2010</v>
      </c>
      <c r="J2446" s="1" t="s">
        <v>3032</v>
      </c>
      <c r="K2446" s="1" t="s">
        <v>7</v>
      </c>
      <c r="L2446" s="11" t="str">
        <f t="shared" si="2466"/>
        <v>НЕТ</v>
      </c>
      <c r="M2446" s="10">
        <v>0</v>
      </c>
      <c r="N2446" s="10">
        <v>0</v>
      </c>
      <c r="O2446" s="10">
        <v>0.188</v>
      </c>
      <c r="P2446" s="10" t="str">
        <f t="shared" si="2482"/>
        <v>NA</v>
      </c>
      <c r="Q2446" s="10" t="str">
        <f t="shared" si="2483"/>
        <v>NA</v>
      </c>
      <c r="R2446" s="10" t="s">
        <v>1575</v>
      </c>
      <c r="S2446" s="10" t="s">
        <v>1575</v>
      </c>
      <c r="T2446" s="10" t="s">
        <v>1575</v>
      </c>
      <c r="U2446" s="10" t="s">
        <v>1575</v>
      </c>
      <c r="V2446" s="10">
        <v>0.505</v>
      </c>
      <c r="W2446" s="10">
        <f>2.065+0.688-0.724-0.006</f>
        <v>2.0230000000000001</v>
      </c>
      <c r="X2446" s="10">
        <f t="shared" si="2458"/>
        <v>2.528</v>
      </c>
      <c r="Y2446" s="10" t="str">
        <f t="shared" si="2459"/>
        <v>NA</v>
      </c>
      <c r="Z2446" s="10" t="str">
        <f t="shared" si="2460"/>
        <v>NA</v>
      </c>
      <c r="AA2446" s="10" t="str">
        <f t="shared" si="2461"/>
        <v>NA</v>
      </c>
      <c r="AB2446" s="10" t="str">
        <f t="shared" si="2462"/>
        <v>NA</v>
      </c>
      <c r="AC2446" s="10" t="str">
        <f t="shared" si="2463"/>
        <v>NA</v>
      </c>
      <c r="AD2446" s="10" t="str">
        <f t="shared" si="2464"/>
        <v>NA</v>
      </c>
      <c r="AE2446" s="10" t="str">
        <f t="shared" si="2465"/>
        <v>NA</v>
      </c>
      <c r="AF2446" s="1" t="s">
        <v>3031</v>
      </c>
    </row>
    <row r="2447" spans="1:32" x14ac:dyDescent="0.2">
      <c r="A2447" s="1" t="s">
        <v>6438</v>
      </c>
      <c r="B2447" s="1" t="s">
        <v>5</v>
      </c>
      <c r="C2447" s="1" t="s">
        <v>1575</v>
      </c>
      <c r="D2447" s="1" t="s">
        <v>1578</v>
      </c>
      <c r="E2447" s="1" t="s">
        <v>1579</v>
      </c>
      <c r="F2447" s="1" t="s">
        <v>429</v>
      </c>
      <c r="G2447" s="4">
        <v>0.03</v>
      </c>
      <c r="H2447" s="28">
        <v>40329</v>
      </c>
      <c r="I2447" s="29">
        <f t="shared" si="2457"/>
        <v>2010</v>
      </c>
      <c r="J2447" s="1" t="s">
        <v>3032</v>
      </c>
      <c r="K2447" s="1" t="s">
        <v>7</v>
      </c>
      <c r="L2447" s="11" t="str">
        <f t="shared" ref="L2447:L2454" si="2488">IF(OR(A2447=J2447,A2447=K2447),"ДА","НЕТ")</f>
        <v>НЕТ</v>
      </c>
      <c r="M2447" s="10">
        <v>0</v>
      </c>
      <c r="N2447" s="10">
        <v>0</v>
      </c>
      <c r="O2447" s="10">
        <v>0</v>
      </c>
      <c r="P2447" s="10">
        <f t="shared" si="2482"/>
        <v>0</v>
      </c>
      <c r="Q2447" s="10" t="str">
        <f t="shared" si="2483"/>
        <v>NA</v>
      </c>
      <c r="R2447" s="10" t="s">
        <v>1575</v>
      </c>
      <c r="S2447" s="10" t="s">
        <v>1575</v>
      </c>
      <c r="T2447" s="10" t="s">
        <v>1575</v>
      </c>
      <c r="U2447" s="10" t="s">
        <v>1575</v>
      </c>
      <c r="V2447" s="10">
        <f>0.021/G2447</f>
        <v>0.70000000000000007</v>
      </c>
      <c r="W2447" s="10" t="s">
        <v>1575</v>
      </c>
      <c r="X2447" s="10" t="str">
        <f t="shared" si="2458"/>
        <v>NA</v>
      </c>
      <c r="Y2447" s="10" t="str">
        <f t="shared" si="2459"/>
        <v>NA</v>
      </c>
      <c r="Z2447" s="10" t="str">
        <f t="shared" si="2460"/>
        <v>NA</v>
      </c>
      <c r="AA2447" s="10">
        <f t="shared" si="2461"/>
        <v>0</v>
      </c>
      <c r="AB2447" s="10" t="str">
        <f t="shared" si="2462"/>
        <v>NA</v>
      </c>
      <c r="AC2447" s="10" t="str">
        <f t="shared" si="2463"/>
        <v>NA</v>
      </c>
      <c r="AD2447" s="10" t="str">
        <f t="shared" si="2464"/>
        <v>NA</v>
      </c>
      <c r="AE2447" s="10" t="str">
        <f t="shared" si="2465"/>
        <v>NA</v>
      </c>
      <c r="AF2447" s="1" t="s">
        <v>3033</v>
      </c>
    </row>
    <row r="2448" spans="1:32" x14ac:dyDescent="0.2">
      <c r="A2448" s="1" t="s">
        <v>6439</v>
      </c>
      <c r="B2448" s="1" t="s">
        <v>5</v>
      </c>
      <c r="C2448" s="1" t="s">
        <v>1575</v>
      </c>
      <c r="D2448" s="1" t="s">
        <v>1578</v>
      </c>
      <c r="E2448" s="1" t="s">
        <v>1579</v>
      </c>
      <c r="F2448" s="1" t="s">
        <v>429</v>
      </c>
      <c r="G2448" s="4">
        <v>1.2E-2</v>
      </c>
      <c r="H2448" s="28">
        <v>40298</v>
      </c>
      <c r="I2448" s="29">
        <f t="shared" si="2457"/>
        <v>2010</v>
      </c>
      <c r="J2448" s="1" t="s">
        <v>3032</v>
      </c>
      <c r="K2448" s="1" t="s">
        <v>7</v>
      </c>
      <c r="L2448" s="11" t="str">
        <f t="shared" si="2488"/>
        <v>НЕТ</v>
      </c>
      <c r="M2448" s="10">
        <v>0</v>
      </c>
      <c r="N2448" s="10">
        <v>0</v>
      </c>
      <c r="O2448" s="10">
        <v>0</v>
      </c>
      <c r="P2448" s="10">
        <f t="shared" si="2482"/>
        <v>0</v>
      </c>
      <c r="Q2448" s="10" t="str">
        <f t="shared" si="2483"/>
        <v>NA</v>
      </c>
      <c r="R2448" s="10" t="s">
        <v>1575</v>
      </c>
      <c r="S2448" s="10" t="s">
        <v>1575</v>
      </c>
      <c r="T2448" s="10" t="s">
        <v>1575</v>
      </c>
      <c r="U2448" s="10" t="s">
        <v>1575</v>
      </c>
      <c r="V2448" s="10">
        <f>0.002/G2448</f>
        <v>0.16666666666666666</v>
      </c>
      <c r="W2448" s="10" t="s">
        <v>1575</v>
      </c>
      <c r="X2448" s="10" t="str">
        <f t="shared" si="2458"/>
        <v>NA</v>
      </c>
      <c r="Y2448" s="10" t="str">
        <f t="shared" si="2459"/>
        <v>NA</v>
      </c>
      <c r="Z2448" s="10" t="str">
        <f t="shared" si="2460"/>
        <v>NA</v>
      </c>
      <c r="AA2448" s="10">
        <f t="shared" si="2461"/>
        <v>0</v>
      </c>
      <c r="AB2448" s="10" t="str">
        <f t="shared" si="2462"/>
        <v>NA</v>
      </c>
      <c r="AC2448" s="10" t="str">
        <f t="shared" si="2463"/>
        <v>NA</v>
      </c>
      <c r="AD2448" s="10" t="str">
        <f t="shared" si="2464"/>
        <v>NA</v>
      </c>
      <c r="AE2448" s="10" t="str">
        <f t="shared" si="2465"/>
        <v>NA</v>
      </c>
      <c r="AF2448" s="1" t="s">
        <v>3034</v>
      </c>
    </row>
    <row r="2449" spans="1:32" x14ac:dyDescent="0.2">
      <c r="A2449" s="1" t="s">
        <v>6440</v>
      </c>
      <c r="B2449" s="1" t="s">
        <v>5</v>
      </c>
      <c r="C2449" s="1" t="s">
        <v>1575</v>
      </c>
      <c r="D2449" s="1" t="s">
        <v>1578</v>
      </c>
      <c r="E2449" s="1" t="s">
        <v>1579</v>
      </c>
      <c r="F2449" s="1" t="s">
        <v>429</v>
      </c>
      <c r="G2449" s="4">
        <v>3.2000000000000001E-2</v>
      </c>
      <c r="H2449" s="28">
        <v>40359</v>
      </c>
      <c r="I2449" s="29">
        <f t="shared" si="2457"/>
        <v>2010</v>
      </c>
      <c r="J2449" s="1" t="s">
        <v>3032</v>
      </c>
      <c r="K2449" s="1" t="s">
        <v>7</v>
      </c>
      <c r="L2449" s="11" t="str">
        <f t="shared" si="2488"/>
        <v>НЕТ</v>
      </c>
      <c r="M2449" s="10">
        <v>0</v>
      </c>
      <c r="N2449" s="10">
        <v>0</v>
      </c>
      <c r="O2449" s="10">
        <v>2E-3</v>
      </c>
      <c r="P2449" s="10">
        <f t="shared" si="2482"/>
        <v>6.25E-2</v>
      </c>
      <c r="Q2449" s="10" t="str">
        <f t="shared" si="2483"/>
        <v>NA</v>
      </c>
      <c r="R2449" s="10" t="s">
        <v>1575</v>
      </c>
      <c r="S2449" s="10" t="s">
        <v>1575</v>
      </c>
      <c r="T2449" s="10" t="s">
        <v>1575</v>
      </c>
      <c r="U2449" s="10" t="s">
        <v>1575</v>
      </c>
      <c r="V2449" s="10">
        <f>0.004/G2449</f>
        <v>0.125</v>
      </c>
      <c r="W2449" s="10" t="s">
        <v>1575</v>
      </c>
      <c r="X2449" s="10" t="str">
        <f t="shared" si="2458"/>
        <v>NA</v>
      </c>
      <c r="Y2449" s="10" t="str">
        <f t="shared" si="2459"/>
        <v>NA</v>
      </c>
      <c r="Z2449" s="10" t="str">
        <f t="shared" si="2460"/>
        <v>NA</v>
      </c>
      <c r="AA2449" s="10">
        <f t="shared" si="2461"/>
        <v>0.5</v>
      </c>
      <c r="AB2449" s="10" t="str">
        <f t="shared" si="2462"/>
        <v>NA</v>
      </c>
      <c r="AC2449" s="10" t="str">
        <f t="shared" si="2463"/>
        <v>NA</v>
      </c>
      <c r="AD2449" s="10" t="str">
        <f t="shared" si="2464"/>
        <v>NA</v>
      </c>
      <c r="AE2449" s="10" t="str">
        <f t="shared" si="2465"/>
        <v>NA</v>
      </c>
      <c r="AF2449" s="1" t="s">
        <v>3035</v>
      </c>
    </row>
    <row r="2450" spans="1:32" x14ac:dyDescent="0.2">
      <c r="A2450" s="1" t="s">
        <v>6408</v>
      </c>
      <c r="B2450" s="1" t="s">
        <v>5</v>
      </c>
      <c r="C2450" s="1" t="s">
        <v>1575</v>
      </c>
      <c r="D2450" s="1" t="s">
        <v>1578</v>
      </c>
      <c r="E2450" s="1" t="s">
        <v>1579</v>
      </c>
      <c r="F2450" s="1" t="s">
        <v>429</v>
      </c>
      <c r="G2450" s="4">
        <v>2.5000000000000001E-2</v>
      </c>
      <c r="H2450" s="28">
        <v>40512</v>
      </c>
      <c r="I2450" s="29">
        <f t="shared" si="2457"/>
        <v>2010</v>
      </c>
      <c r="J2450" s="1" t="s">
        <v>3032</v>
      </c>
      <c r="K2450" s="1" t="s">
        <v>7</v>
      </c>
      <c r="L2450" s="11" t="str">
        <f t="shared" si="2488"/>
        <v>НЕТ</v>
      </c>
      <c r="M2450" s="10">
        <v>0</v>
      </c>
      <c r="N2450" s="10">
        <v>0</v>
      </c>
      <c r="O2450" s="10">
        <v>1E-3</v>
      </c>
      <c r="P2450" s="10">
        <f t="shared" si="2482"/>
        <v>0.04</v>
      </c>
      <c r="Q2450" s="10" t="str">
        <f t="shared" si="2483"/>
        <v>NA</v>
      </c>
      <c r="R2450" s="10" t="s">
        <v>1575</v>
      </c>
      <c r="S2450" s="10" t="s">
        <v>1575</v>
      </c>
      <c r="T2450" s="10" t="s">
        <v>1575</v>
      </c>
      <c r="U2450" s="10" t="s">
        <v>1575</v>
      </c>
      <c r="V2450" s="10">
        <f>0.003/G2450</f>
        <v>0.12</v>
      </c>
      <c r="W2450" s="10" t="s">
        <v>1575</v>
      </c>
      <c r="X2450" s="10" t="str">
        <f t="shared" si="2458"/>
        <v>NA</v>
      </c>
      <c r="Y2450" s="10" t="str">
        <f t="shared" si="2459"/>
        <v>NA</v>
      </c>
      <c r="Z2450" s="10" t="str">
        <f t="shared" si="2460"/>
        <v>NA</v>
      </c>
      <c r="AA2450" s="10">
        <f t="shared" si="2461"/>
        <v>0.33333333333333337</v>
      </c>
      <c r="AB2450" s="10" t="str">
        <f t="shared" si="2462"/>
        <v>NA</v>
      </c>
      <c r="AC2450" s="10" t="str">
        <f t="shared" si="2463"/>
        <v>NA</v>
      </c>
      <c r="AD2450" s="10" t="str">
        <f t="shared" si="2464"/>
        <v>NA</v>
      </c>
      <c r="AE2450" s="10" t="str">
        <f t="shared" si="2465"/>
        <v>NA</v>
      </c>
      <c r="AF2450" s="1" t="s">
        <v>3036</v>
      </c>
    </row>
    <row r="2451" spans="1:32" x14ac:dyDescent="0.2">
      <c r="A2451" s="1" t="s">
        <v>6441</v>
      </c>
      <c r="B2451" s="1" t="s">
        <v>5</v>
      </c>
      <c r="C2451" s="1" t="s">
        <v>1575</v>
      </c>
      <c r="D2451" s="1" t="s">
        <v>1578</v>
      </c>
      <c r="E2451" s="1" t="s">
        <v>1579</v>
      </c>
      <c r="F2451" s="1" t="s">
        <v>429</v>
      </c>
      <c r="G2451" s="4">
        <v>1.4E-2</v>
      </c>
      <c r="H2451" s="28">
        <v>40390</v>
      </c>
      <c r="I2451" s="29">
        <f t="shared" si="2457"/>
        <v>2010</v>
      </c>
      <c r="J2451" s="1" t="s">
        <v>3032</v>
      </c>
      <c r="K2451" s="1" t="s">
        <v>7</v>
      </c>
      <c r="L2451" s="11" t="str">
        <f t="shared" si="2488"/>
        <v>НЕТ</v>
      </c>
      <c r="M2451" s="10">
        <v>0</v>
      </c>
      <c r="N2451" s="10">
        <v>0</v>
      </c>
      <c r="O2451" s="10">
        <v>2E-3</v>
      </c>
      <c r="P2451" s="10">
        <f t="shared" si="2482"/>
        <v>0.14285714285714285</v>
      </c>
      <c r="Q2451" s="10" t="str">
        <f t="shared" si="2483"/>
        <v>NA</v>
      </c>
      <c r="R2451" s="10" t="s">
        <v>1575</v>
      </c>
      <c r="S2451" s="10" t="s">
        <v>1575</v>
      </c>
      <c r="T2451" s="10" t="s">
        <v>1575</v>
      </c>
      <c r="U2451" s="10" t="s">
        <v>1575</v>
      </c>
      <c r="V2451" s="10">
        <f>0.016/G2451</f>
        <v>1.1428571428571428</v>
      </c>
      <c r="W2451" s="10" t="s">
        <v>1575</v>
      </c>
      <c r="X2451" s="10" t="str">
        <f t="shared" si="2458"/>
        <v>NA</v>
      </c>
      <c r="Y2451" s="10" t="str">
        <f t="shared" si="2459"/>
        <v>NA</v>
      </c>
      <c r="Z2451" s="10" t="str">
        <f t="shared" si="2460"/>
        <v>NA</v>
      </c>
      <c r="AA2451" s="10">
        <f t="shared" si="2461"/>
        <v>0.125</v>
      </c>
      <c r="AB2451" s="10" t="str">
        <f t="shared" si="2462"/>
        <v>NA</v>
      </c>
      <c r="AC2451" s="10" t="str">
        <f t="shared" si="2463"/>
        <v>NA</v>
      </c>
      <c r="AD2451" s="10" t="str">
        <f t="shared" si="2464"/>
        <v>NA</v>
      </c>
      <c r="AE2451" s="10" t="str">
        <f t="shared" si="2465"/>
        <v>NA</v>
      </c>
      <c r="AF2451" s="1" t="s">
        <v>3036</v>
      </c>
    </row>
    <row r="2452" spans="1:32" x14ac:dyDescent="0.2">
      <c r="A2452" s="1" t="s">
        <v>6442</v>
      </c>
      <c r="B2452" s="1" t="s">
        <v>5</v>
      </c>
      <c r="C2452" s="1" t="s">
        <v>1575</v>
      </c>
      <c r="D2452" s="1" t="s">
        <v>1578</v>
      </c>
      <c r="E2452" s="1" t="s">
        <v>1579</v>
      </c>
      <c r="F2452" s="1" t="s">
        <v>429</v>
      </c>
      <c r="G2452" s="4">
        <v>0.08</v>
      </c>
      <c r="H2452" s="28">
        <v>39933</v>
      </c>
      <c r="I2452" s="29">
        <f t="shared" ref="I2452:I2515" si="2489">YEAR(H2452)</f>
        <v>2009</v>
      </c>
      <c r="J2452" s="1" t="s">
        <v>3032</v>
      </c>
      <c r="K2452" s="1" t="s">
        <v>7</v>
      </c>
      <c r="L2452" s="11" t="str">
        <f t="shared" si="2488"/>
        <v>НЕТ</v>
      </c>
      <c r="M2452" s="10">
        <v>0</v>
      </c>
      <c r="N2452" s="10">
        <v>0</v>
      </c>
      <c r="O2452" s="10">
        <v>1.0999999999999999E-2</v>
      </c>
      <c r="P2452" s="10">
        <f t="shared" si="2482"/>
        <v>0.13749999999999998</v>
      </c>
      <c r="Q2452" s="10" t="str">
        <f t="shared" si="2483"/>
        <v>NA</v>
      </c>
      <c r="R2452" s="10" t="s">
        <v>1575</v>
      </c>
      <c r="S2452" s="10" t="s">
        <v>1575</v>
      </c>
      <c r="T2452" s="10" t="s">
        <v>1575</v>
      </c>
      <c r="U2452" s="10" t="s">
        <v>1575</v>
      </c>
      <c r="V2452" s="10">
        <f>0.015/G2452</f>
        <v>0.1875</v>
      </c>
      <c r="W2452" s="10" t="s">
        <v>1575</v>
      </c>
      <c r="X2452" s="10" t="str">
        <f t="shared" si="2458"/>
        <v>NA</v>
      </c>
      <c r="Y2452" s="10" t="str">
        <f t="shared" si="2459"/>
        <v>NA</v>
      </c>
      <c r="Z2452" s="10" t="str">
        <f t="shared" si="2460"/>
        <v>NA</v>
      </c>
      <c r="AA2452" s="10">
        <f t="shared" si="2461"/>
        <v>0.73333333333333328</v>
      </c>
      <c r="AB2452" s="10" t="str">
        <f t="shared" si="2462"/>
        <v>NA</v>
      </c>
      <c r="AC2452" s="10" t="str">
        <f t="shared" si="2463"/>
        <v>NA</v>
      </c>
      <c r="AD2452" s="10" t="str">
        <f t="shared" si="2464"/>
        <v>NA</v>
      </c>
      <c r="AE2452" s="10" t="str">
        <f t="shared" si="2465"/>
        <v>NA</v>
      </c>
      <c r="AF2452" s="1" t="s">
        <v>3037</v>
      </c>
    </row>
    <row r="2453" spans="1:32" x14ac:dyDescent="0.2">
      <c r="A2453" s="1" t="s">
        <v>6441</v>
      </c>
      <c r="B2453" s="1" t="s">
        <v>5</v>
      </c>
      <c r="C2453" s="1" t="s">
        <v>1575</v>
      </c>
      <c r="D2453" s="1" t="s">
        <v>1578</v>
      </c>
      <c r="E2453" s="1" t="s">
        <v>1579</v>
      </c>
      <c r="F2453" s="1" t="s">
        <v>429</v>
      </c>
      <c r="G2453" s="4">
        <v>7.0000000000000001E-3</v>
      </c>
      <c r="H2453" s="28">
        <v>40086</v>
      </c>
      <c r="I2453" s="29">
        <f t="shared" si="2489"/>
        <v>2009</v>
      </c>
      <c r="J2453" s="1" t="s">
        <v>3032</v>
      </c>
      <c r="K2453" s="1" t="s">
        <v>7</v>
      </c>
      <c r="L2453" s="11" t="str">
        <f t="shared" si="2488"/>
        <v>НЕТ</v>
      </c>
      <c r="M2453" s="10">
        <v>0</v>
      </c>
      <c r="N2453" s="10">
        <v>0</v>
      </c>
      <c r="O2453" s="10">
        <v>0</v>
      </c>
      <c r="P2453" s="10">
        <f t="shared" si="2482"/>
        <v>0</v>
      </c>
      <c r="Q2453" s="10" t="str">
        <f t="shared" si="2483"/>
        <v>NA</v>
      </c>
      <c r="R2453" s="10" t="s">
        <v>1575</v>
      </c>
      <c r="S2453" s="10" t="s">
        <v>1575</v>
      </c>
      <c r="T2453" s="10" t="s">
        <v>1575</v>
      </c>
      <c r="U2453" s="10" t="s">
        <v>1575</v>
      </c>
      <c r="V2453" s="10">
        <f>0.001/G2453</f>
        <v>0.14285714285714285</v>
      </c>
      <c r="W2453" s="10" t="s">
        <v>1575</v>
      </c>
      <c r="X2453" s="10" t="str">
        <f t="shared" si="2458"/>
        <v>NA</v>
      </c>
      <c r="Y2453" s="10" t="str">
        <f t="shared" si="2459"/>
        <v>NA</v>
      </c>
      <c r="Z2453" s="10" t="str">
        <f t="shared" si="2460"/>
        <v>NA</v>
      </c>
      <c r="AA2453" s="10">
        <f t="shared" si="2461"/>
        <v>0</v>
      </c>
      <c r="AB2453" s="10" t="str">
        <f t="shared" si="2462"/>
        <v>NA</v>
      </c>
      <c r="AC2453" s="10" t="str">
        <f t="shared" si="2463"/>
        <v>NA</v>
      </c>
      <c r="AD2453" s="10" t="str">
        <f t="shared" si="2464"/>
        <v>NA</v>
      </c>
      <c r="AE2453" s="10" t="str">
        <f t="shared" si="2465"/>
        <v>NA</v>
      </c>
      <c r="AF2453" s="1" t="s">
        <v>3035</v>
      </c>
    </row>
    <row r="2454" spans="1:32" x14ac:dyDescent="0.2">
      <c r="A2454" s="1" t="s">
        <v>6443</v>
      </c>
      <c r="B2454" s="1" t="s">
        <v>5</v>
      </c>
      <c r="C2454" s="1" t="s">
        <v>1575</v>
      </c>
      <c r="D2454" s="1" t="s">
        <v>1578</v>
      </c>
      <c r="E2454" s="1" t="s">
        <v>1579</v>
      </c>
      <c r="F2454" s="1" t="s">
        <v>429</v>
      </c>
      <c r="G2454" s="4">
        <v>1E-3</v>
      </c>
      <c r="H2454" s="28">
        <v>40178</v>
      </c>
      <c r="I2454" s="29">
        <f t="shared" si="2489"/>
        <v>2009</v>
      </c>
      <c r="J2454" s="1" t="s">
        <v>3032</v>
      </c>
      <c r="K2454" s="1" t="s">
        <v>7</v>
      </c>
      <c r="L2454" s="11" t="str">
        <f t="shared" si="2488"/>
        <v>НЕТ</v>
      </c>
      <c r="M2454" s="10">
        <v>0</v>
      </c>
      <c r="N2454" s="10">
        <v>0</v>
      </c>
      <c r="O2454" s="10">
        <v>0</v>
      </c>
      <c r="P2454" s="10">
        <f t="shared" si="2482"/>
        <v>0</v>
      </c>
      <c r="Q2454" s="10" t="str">
        <f t="shared" si="2483"/>
        <v>NA</v>
      </c>
      <c r="R2454" s="10" t="s">
        <v>1575</v>
      </c>
      <c r="S2454" s="10" t="s">
        <v>1575</v>
      </c>
      <c r="T2454" s="10" t="s">
        <v>1575</v>
      </c>
      <c r="U2454" s="10" t="s">
        <v>1575</v>
      </c>
      <c r="V2454" s="10">
        <f>0/G2454</f>
        <v>0</v>
      </c>
      <c r="W2454" s="10" t="s">
        <v>1575</v>
      </c>
      <c r="X2454" s="10" t="str">
        <f t="shared" si="2458"/>
        <v>NA</v>
      </c>
      <c r="Y2454" s="10" t="str">
        <f t="shared" si="2459"/>
        <v>NA</v>
      </c>
      <c r="Z2454" s="10" t="str">
        <f t="shared" si="2460"/>
        <v>NA</v>
      </c>
      <c r="AA2454" s="10" t="str">
        <f t="shared" si="2461"/>
        <v>NA</v>
      </c>
      <c r="AB2454" s="10" t="str">
        <f t="shared" si="2462"/>
        <v>NA</v>
      </c>
      <c r="AC2454" s="10" t="str">
        <f t="shared" si="2463"/>
        <v>NA</v>
      </c>
      <c r="AD2454" s="10" t="str">
        <f t="shared" si="2464"/>
        <v>NA</v>
      </c>
      <c r="AE2454" s="10" t="str">
        <f t="shared" si="2465"/>
        <v>NA</v>
      </c>
      <c r="AF2454" s="1" t="s">
        <v>3033</v>
      </c>
    </row>
    <row r="2455" spans="1:32" x14ac:dyDescent="0.2">
      <c r="A2455" s="1" t="s">
        <v>6444</v>
      </c>
      <c r="B2455" s="1" t="s">
        <v>5</v>
      </c>
      <c r="C2455" s="1" t="s">
        <v>1575</v>
      </c>
      <c r="D2455" s="1" t="s">
        <v>1578</v>
      </c>
      <c r="E2455" s="1" t="s">
        <v>1579</v>
      </c>
      <c r="F2455" s="1" t="s">
        <v>429</v>
      </c>
      <c r="G2455" s="4">
        <v>1E-3</v>
      </c>
      <c r="H2455" s="28">
        <v>40086</v>
      </c>
      <c r="I2455" s="29">
        <f t="shared" si="2489"/>
        <v>2009</v>
      </c>
      <c r="J2455" s="1" t="s">
        <v>3032</v>
      </c>
      <c r="K2455" s="1" t="s">
        <v>7</v>
      </c>
      <c r="L2455" s="11" t="str">
        <f t="shared" ref="L2455" si="2490">IF(OR(A2455=J2455,A2455=K2455),"ДА","НЕТ")</f>
        <v>НЕТ</v>
      </c>
      <c r="M2455" s="10">
        <v>0</v>
      </c>
      <c r="N2455" s="10">
        <v>0</v>
      </c>
      <c r="O2455" s="10">
        <v>0</v>
      </c>
      <c r="P2455" s="10">
        <f t="shared" si="2482"/>
        <v>0</v>
      </c>
      <c r="Q2455" s="10" t="str">
        <f t="shared" si="2483"/>
        <v>NA</v>
      </c>
      <c r="R2455" s="10" t="s">
        <v>1575</v>
      </c>
      <c r="S2455" s="10" t="s">
        <v>1575</v>
      </c>
      <c r="T2455" s="10" t="s">
        <v>1575</v>
      </c>
      <c r="U2455" s="10" t="s">
        <v>1575</v>
      </c>
      <c r="V2455" s="10">
        <f t="shared" ref="V2455" si="2491">0.001/G2455</f>
        <v>1</v>
      </c>
      <c r="W2455" s="10" t="s">
        <v>1575</v>
      </c>
      <c r="X2455" s="10" t="str">
        <f t="shared" si="2458"/>
        <v>NA</v>
      </c>
      <c r="Y2455" s="10" t="str">
        <f t="shared" si="2459"/>
        <v>NA</v>
      </c>
      <c r="Z2455" s="10" t="str">
        <f t="shared" si="2460"/>
        <v>NA</v>
      </c>
      <c r="AA2455" s="10">
        <f t="shared" si="2461"/>
        <v>0</v>
      </c>
      <c r="AB2455" s="10" t="str">
        <f t="shared" si="2462"/>
        <v>NA</v>
      </c>
      <c r="AC2455" s="10" t="str">
        <f t="shared" si="2463"/>
        <v>NA</v>
      </c>
      <c r="AD2455" s="10" t="str">
        <f t="shared" si="2464"/>
        <v>NA</v>
      </c>
      <c r="AE2455" s="10" t="str">
        <f t="shared" si="2465"/>
        <v>NA</v>
      </c>
      <c r="AF2455" s="1" t="s">
        <v>3033</v>
      </c>
    </row>
    <row r="2456" spans="1:32" x14ac:dyDescent="0.2">
      <c r="A2456" s="1" t="s">
        <v>3032</v>
      </c>
      <c r="B2456" s="1" t="s">
        <v>5</v>
      </c>
      <c r="C2456" s="1" t="s">
        <v>3039</v>
      </c>
      <c r="D2456" s="1" t="s">
        <v>1578</v>
      </c>
      <c r="E2456" s="1" t="s">
        <v>1579</v>
      </c>
      <c r="F2456" s="1" t="s">
        <v>429</v>
      </c>
      <c r="G2456" s="4">
        <f>38093157/158093157</f>
        <v>0.24095386367671814</v>
      </c>
      <c r="H2456" s="28">
        <v>39660</v>
      </c>
      <c r="I2456" s="29">
        <f t="shared" si="2489"/>
        <v>2008</v>
      </c>
      <c r="J2456" s="1" t="s">
        <v>7</v>
      </c>
      <c r="K2456" s="1" t="s">
        <v>3032</v>
      </c>
      <c r="L2456" s="11" t="str">
        <f t="shared" ref="L2456:L2457" si="2492">IF(OR(A2456=J2456,A2456=K2456),"ДА","НЕТ")</f>
        <v>ДА</v>
      </c>
      <c r="M2456" s="10">
        <f>38093157*7.75/10^6</f>
        <v>295.22196674999998</v>
      </c>
      <c r="N2456" s="10">
        <v>0</v>
      </c>
      <c r="O2456" s="10">
        <f>M2456*23.4456/1000</f>
        <v>6.9216561436337987</v>
      </c>
      <c r="P2456" s="10">
        <f t="shared" si="2482"/>
        <v>28.726064143633796</v>
      </c>
      <c r="Q2456" s="10" t="str">
        <f t="shared" si="2483"/>
        <v>NA</v>
      </c>
      <c r="R2456" s="10" t="s">
        <v>1575</v>
      </c>
      <c r="S2456" s="10" t="s">
        <v>1575</v>
      </c>
      <c r="T2456" s="10" t="s">
        <v>1575</v>
      </c>
      <c r="U2456" s="10" t="s">
        <v>1575</v>
      </c>
      <c r="V2456" s="10" t="s">
        <v>1575</v>
      </c>
      <c r="W2456" s="10" t="s">
        <v>1575</v>
      </c>
      <c r="X2456" s="10" t="str">
        <f t="shared" si="2458"/>
        <v>NA</v>
      </c>
      <c r="Y2456" s="10" t="str">
        <f t="shared" si="2459"/>
        <v>NA</v>
      </c>
      <c r="Z2456" s="10" t="str">
        <f t="shared" si="2460"/>
        <v>NA</v>
      </c>
      <c r="AA2456" s="10" t="str">
        <f t="shared" si="2461"/>
        <v>NA</v>
      </c>
      <c r="AB2456" s="10" t="str">
        <f t="shared" si="2462"/>
        <v>NA</v>
      </c>
      <c r="AC2456" s="10" t="str">
        <f t="shared" si="2463"/>
        <v>NA</v>
      </c>
      <c r="AD2456" s="10" t="str">
        <f t="shared" si="2464"/>
        <v>NA</v>
      </c>
      <c r="AE2456" s="10" t="str">
        <f t="shared" si="2465"/>
        <v>NA</v>
      </c>
      <c r="AF2456" s="1" t="s">
        <v>3038</v>
      </c>
    </row>
    <row r="2457" spans="1:32" x14ac:dyDescent="0.2">
      <c r="A2457" s="1" t="s">
        <v>6445</v>
      </c>
      <c r="B2457" s="1" t="s">
        <v>5</v>
      </c>
      <c r="C2457" s="1" t="s">
        <v>1575</v>
      </c>
      <c r="D2457" s="1" t="s">
        <v>1578</v>
      </c>
      <c r="E2457" s="1" t="s">
        <v>1579</v>
      </c>
      <c r="F2457" s="1" t="s">
        <v>429</v>
      </c>
      <c r="G2457" s="4" t="s">
        <v>11</v>
      </c>
      <c r="H2457" s="28">
        <v>39721</v>
      </c>
      <c r="I2457" s="29">
        <f t="shared" si="2489"/>
        <v>2008</v>
      </c>
      <c r="J2457" s="1" t="s">
        <v>3032</v>
      </c>
      <c r="K2457" s="1" t="s">
        <v>7</v>
      </c>
      <c r="L2457" s="11" t="str">
        <f t="shared" si="2492"/>
        <v>НЕТ</v>
      </c>
      <c r="M2457" s="10">
        <v>0</v>
      </c>
      <c r="N2457" s="10">
        <v>0</v>
      </c>
      <c r="O2457" s="10">
        <v>0.92900000000000005</v>
      </c>
      <c r="P2457" s="10" t="str">
        <f t="shared" si="2482"/>
        <v>NA</v>
      </c>
      <c r="Q2457" s="10" t="str">
        <f t="shared" si="2483"/>
        <v>NA</v>
      </c>
      <c r="R2457" s="10" t="s">
        <v>1575</v>
      </c>
      <c r="S2457" s="10" t="s">
        <v>1575</v>
      </c>
      <c r="T2457" s="10" t="s">
        <v>1575</v>
      </c>
      <c r="U2457" s="10" t="s">
        <v>1575</v>
      </c>
      <c r="V2457" s="10">
        <v>1.0509999999999999</v>
      </c>
      <c r="W2457" s="10" t="s">
        <v>1575</v>
      </c>
      <c r="X2457" s="10" t="str">
        <f t="shared" si="2458"/>
        <v>NA</v>
      </c>
      <c r="Y2457" s="10" t="str">
        <f t="shared" si="2459"/>
        <v>NA</v>
      </c>
      <c r="Z2457" s="10" t="str">
        <f t="shared" si="2460"/>
        <v>NA</v>
      </c>
      <c r="AA2457" s="10" t="str">
        <f t="shared" si="2461"/>
        <v>NA</v>
      </c>
      <c r="AB2457" s="10" t="str">
        <f t="shared" si="2462"/>
        <v>NA</v>
      </c>
      <c r="AC2457" s="10" t="str">
        <f t="shared" si="2463"/>
        <v>NA</v>
      </c>
      <c r="AD2457" s="10" t="str">
        <f t="shared" si="2464"/>
        <v>NA</v>
      </c>
      <c r="AE2457" s="10" t="str">
        <f t="shared" si="2465"/>
        <v>NA</v>
      </c>
      <c r="AF2457" s="1" t="s">
        <v>3042</v>
      </c>
    </row>
    <row r="2458" spans="1:32" x14ac:dyDescent="0.2">
      <c r="A2458" s="1" t="s">
        <v>6446</v>
      </c>
      <c r="B2458" s="1" t="s">
        <v>5</v>
      </c>
      <c r="C2458" s="1" t="s">
        <v>1575</v>
      </c>
      <c r="D2458" s="1" t="s">
        <v>1578</v>
      </c>
      <c r="E2458" s="1" t="s">
        <v>1579</v>
      </c>
      <c r="F2458" s="1" t="s">
        <v>429</v>
      </c>
      <c r="G2458" s="4">
        <v>1</v>
      </c>
      <c r="H2458" s="28">
        <v>39782</v>
      </c>
      <c r="I2458" s="29">
        <f t="shared" si="2489"/>
        <v>2008</v>
      </c>
      <c r="J2458" s="1" t="s">
        <v>3032</v>
      </c>
      <c r="K2458" s="1" t="s">
        <v>7</v>
      </c>
      <c r="L2458" s="11" t="str">
        <f t="shared" ref="L2458" si="2493">IF(OR(A2458=J2458,A2458=K2458),"ДА","НЕТ")</f>
        <v>НЕТ</v>
      </c>
      <c r="M2458" s="10">
        <v>0</v>
      </c>
      <c r="N2458" s="10">
        <v>0</v>
      </c>
      <c r="O2458" s="10">
        <v>8.5000000000000006E-2</v>
      </c>
      <c r="P2458" s="10">
        <f t="shared" si="2482"/>
        <v>8.5000000000000006E-2</v>
      </c>
      <c r="Q2458" s="10" t="str">
        <f t="shared" si="2483"/>
        <v>NA</v>
      </c>
      <c r="R2458" s="10" t="s">
        <v>1575</v>
      </c>
      <c r="S2458" s="10" t="s">
        <v>1575</v>
      </c>
      <c r="T2458" s="10" t="s">
        <v>1575</v>
      </c>
      <c r="U2458" s="10" t="s">
        <v>1575</v>
      </c>
      <c r="V2458" s="10">
        <v>0.12</v>
      </c>
      <c r="W2458" s="10" t="s">
        <v>1575</v>
      </c>
      <c r="X2458" s="10" t="str">
        <f t="shared" si="2458"/>
        <v>NA</v>
      </c>
      <c r="Y2458" s="10" t="str">
        <f t="shared" si="2459"/>
        <v>NA</v>
      </c>
      <c r="Z2458" s="10" t="str">
        <f t="shared" si="2460"/>
        <v>NA</v>
      </c>
      <c r="AA2458" s="10">
        <f t="shared" si="2461"/>
        <v>0.70833333333333337</v>
      </c>
      <c r="AB2458" s="10" t="str">
        <f t="shared" si="2462"/>
        <v>NA</v>
      </c>
      <c r="AC2458" s="10" t="str">
        <f t="shared" si="2463"/>
        <v>NA</v>
      </c>
      <c r="AD2458" s="10" t="str">
        <f t="shared" si="2464"/>
        <v>NA</v>
      </c>
      <c r="AE2458" s="10" t="str">
        <f t="shared" si="2465"/>
        <v>NA</v>
      </c>
    </row>
    <row r="2459" spans="1:32" x14ac:dyDescent="0.2">
      <c r="A2459" s="1" t="s">
        <v>6447</v>
      </c>
      <c r="B2459" s="1" t="s">
        <v>5</v>
      </c>
      <c r="C2459" s="1" t="s">
        <v>1575</v>
      </c>
      <c r="D2459" s="1" t="s">
        <v>1578</v>
      </c>
      <c r="E2459" s="1" t="s">
        <v>1579</v>
      </c>
      <c r="F2459" s="1" t="s">
        <v>429</v>
      </c>
      <c r="G2459" s="4" t="s">
        <v>1575</v>
      </c>
      <c r="H2459" s="28">
        <v>39629</v>
      </c>
      <c r="I2459" s="29">
        <f t="shared" si="2489"/>
        <v>2008</v>
      </c>
      <c r="J2459" s="1" t="s">
        <v>7</v>
      </c>
      <c r="K2459" s="1" t="s">
        <v>3032</v>
      </c>
      <c r="L2459" s="11" t="str">
        <f t="shared" ref="L2459:L2460" si="2494">IF(OR(A2459=J2459,A2459=K2459),"ДА","НЕТ")</f>
        <v>НЕТ</v>
      </c>
      <c r="M2459" s="10">
        <v>0</v>
      </c>
      <c r="N2459" s="10">
        <v>0</v>
      </c>
      <c r="O2459" s="10">
        <v>1.6970000000000001</v>
      </c>
      <c r="P2459" s="10" t="str">
        <f t="shared" si="2482"/>
        <v>NA</v>
      </c>
      <c r="Q2459" s="10" t="str">
        <f t="shared" si="2483"/>
        <v>NA</v>
      </c>
      <c r="R2459" s="10" t="s">
        <v>1575</v>
      </c>
      <c r="S2459" s="10" t="s">
        <v>1575</v>
      </c>
      <c r="T2459" s="10" t="s">
        <v>1575</v>
      </c>
      <c r="U2459" s="10" t="s">
        <v>1575</v>
      </c>
      <c r="V2459" s="10">
        <v>0.41499999999999998</v>
      </c>
      <c r="W2459" s="10" t="s">
        <v>1575</v>
      </c>
      <c r="X2459" s="10" t="str">
        <f t="shared" si="2458"/>
        <v>NA</v>
      </c>
      <c r="Y2459" s="10" t="str">
        <f t="shared" si="2459"/>
        <v>NA</v>
      </c>
      <c r="Z2459" s="10" t="str">
        <f t="shared" si="2460"/>
        <v>NA</v>
      </c>
      <c r="AA2459" s="10" t="str">
        <f t="shared" si="2461"/>
        <v>NA</v>
      </c>
      <c r="AB2459" s="10" t="str">
        <f t="shared" si="2462"/>
        <v>NA</v>
      </c>
      <c r="AC2459" s="10" t="str">
        <f t="shared" si="2463"/>
        <v>NA</v>
      </c>
      <c r="AD2459" s="10" t="str">
        <f t="shared" si="2464"/>
        <v>NA</v>
      </c>
      <c r="AE2459" s="10" t="str">
        <f t="shared" si="2465"/>
        <v>NA</v>
      </c>
      <c r="AF2459" s="1" t="s">
        <v>3043</v>
      </c>
    </row>
    <row r="2460" spans="1:32" x14ac:dyDescent="0.2">
      <c r="A2460" s="1" t="s">
        <v>6448</v>
      </c>
      <c r="B2460" s="1" t="s">
        <v>5</v>
      </c>
      <c r="C2460" s="1" t="s">
        <v>1575</v>
      </c>
      <c r="D2460" s="1" t="s">
        <v>1578</v>
      </c>
      <c r="E2460" s="1" t="s">
        <v>1579</v>
      </c>
      <c r="F2460" s="1" t="s">
        <v>429</v>
      </c>
      <c r="G2460" s="4">
        <v>0.25</v>
      </c>
      <c r="H2460" s="28">
        <v>39538</v>
      </c>
      <c r="I2460" s="29">
        <f t="shared" si="2489"/>
        <v>2008</v>
      </c>
      <c r="J2460" s="1" t="s">
        <v>3032</v>
      </c>
      <c r="K2460" s="1" t="s">
        <v>7</v>
      </c>
      <c r="L2460" s="11" t="str">
        <f t="shared" si="2494"/>
        <v>НЕТ</v>
      </c>
      <c r="M2460" s="10">
        <v>0</v>
      </c>
      <c r="N2460" s="10">
        <v>0</v>
      </c>
      <c r="O2460" s="10">
        <v>0.10299999999999999</v>
      </c>
      <c r="P2460" s="10">
        <f t="shared" si="2482"/>
        <v>0.41199999999999998</v>
      </c>
      <c r="Q2460" s="10" t="str">
        <f t="shared" si="2483"/>
        <v>NA</v>
      </c>
      <c r="R2460" s="10" t="s">
        <v>1575</v>
      </c>
      <c r="S2460" s="10" t="s">
        <v>1575</v>
      </c>
      <c r="T2460" s="10" t="s">
        <v>1575</v>
      </c>
      <c r="U2460" s="10" t="s">
        <v>1575</v>
      </c>
      <c r="V2460" s="10">
        <f>0.279/G2460</f>
        <v>1.1160000000000001</v>
      </c>
      <c r="W2460" s="10" t="s">
        <v>1575</v>
      </c>
      <c r="X2460" s="10" t="str">
        <f t="shared" si="2458"/>
        <v>NA</v>
      </c>
      <c r="Y2460" s="10" t="str">
        <f t="shared" si="2459"/>
        <v>NA</v>
      </c>
      <c r="Z2460" s="10" t="str">
        <f t="shared" si="2460"/>
        <v>NA</v>
      </c>
      <c r="AA2460" s="10">
        <f t="shared" si="2461"/>
        <v>0.3691756272401433</v>
      </c>
      <c r="AB2460" s="10" t="str">
        <f t="shared" si="2462"/>
        <v>NA</v>
      </c>
      <c r="AC2460" s="10" t="str">
        <f t="shared" si="2463"/>
        <v>NA</v>
      </c>
      <c r="AD2460" s="10" t="str">
        <f t="shared" si="2464"/>
        <v>NA</v>
      </c>
      <c r="AE2460" s="10" t="str">
        <f t="shared" si="2465"/>
        <v>NA</v>
      </c>
      <c r="AF2460" s="1" t="s">
        <v>3044</v>
      </c>
    </row>
    <row r="2461" spans="1:32" x14ac:dyDescent="0.2">
      <c r="A2461" s="1" t="s">
        <v>6449</v>
      </c>
      <c r="B2461" s="1" t="s">
        <v>5</v>
      </c>
      <c r="C2461" s="1" t="s">
        <v>1575</v>
      </c>
      <c r="D2461" s="1" t="s">
        <v>1578</v>
      </c>
      <c r="E2461" s="1" t="s">
        <v>1579</v>
      </c>
      <c r="F2461" s="1" t="s">
        <v>429</v>
      </c>
      <c r="G2461" s="4">
        <v>0.4</v>
      </c>
      <c r="H2461" s="28">
        <v>39568</v>
      </c>
      <c r="I2461" s="29">
        <f t="shared" si="2489"/>
        <v>2008</v>
      </c>
      <c r="J2461" s="1" t="s">
        <v>3032</v>
      </c>
      <c r="K2461" s="1" t="s">
        <v>7</v>
      </c>
      <c r="L2461" s="11" t="str">
        <f t="shared" ref="L2461" si="2495">IF(OR(A2461=J2461,A2461=K2461),"ДА","НЕТ")</f>
        <v>НЕТ</v>
      </c>
      <c r="M2461" s="10">
        <v>0</v>
      </c>
      <c r="N2461" s="10">
        <v>0</v>
      </c>
      <c r="O2461" s="10">
        <v>4.7E-2</v>
      </c>
      <c r="P2461" s="10">
        <f t="shared" si="2482"/>
        <v>0.11749999999999999</v>
      </c>
      <c r="Q2461" s="10" t="str">
        <f t="shared" si="2483"/>
        <v>NA</v>
      </c>
      <c r="R2461" s="10" t="s">
        <v>1575</v>
      </c>
      <c r="S2461" s="10" t="s">
        <v>1575</v>
      </c>
      <c r="T2461" s="10" t="s">
        <v>1575</v>
      </c>
      <c r="U2461" s="10" t="s">
        <v>1575</v>
      </c>
      <c r="V2461" s="10">
        <f>0.1/G2461</f>
        <v>0.25</v>
      </c>
      <c r="W2461" s="10" t="s">
        <v>1575</v>
      </c>
      <c r="X2461" s="10" t="str">
        <f t="shared" si="2458"/>
        <v>NA</v>
      </c>
      <c r="Y2461" s="10" t="str">
        <f t="shared" si="2459"/>
        <v>NA</v>
      </c>
      <c r="Z2461" s="10" t="str">
        <f t="shared" si="2460"/>
        <v>NA</v>
      </c>
      <c r="AA2461" s="10">
        <f t="shared" si="2461"/>
        <v>0.47</v>
      </c>
      <c r="AB2461" s="10" t="str">
        <f t="shared" si="2462"/>
        <v>NA</v>
      </c>
      <c r="AC2461" s="10" t="str">
        <f t="shared" si="2463"/>
        <v>NA</v>
      </c>
      <c r="AD2461" s="10" t="str">
        <f t="shared" si="2464"/>
        <v>NA</v>
      </c>
      <c r="AE2461" s="10" t="str">
        <f t="shared" si="2465"/>
        <v>NA</v>
      </c>
      <c r="AF2461" s="1" t="s">
        <v>3045</v>
      </c>
    </row>
    <row r="2462" spans="1:32" x14ac:dyDescent="0.2">
      <c r="A2462" s="1" t="s">
        <v>6449</v>
      </c>
      <c r="B2462" s="1" t="s">
        <v>5</v>
      </c>
      <c r="C2462" s="1" t="s">
        <v>1575</v>
      </c>
      <c r="D2462" s="1" t="s">
        <v>1578</v>
      </c>
      <c r="E2462" s="1" t="s">
        <v>1579</v>
      </c>
      <c r="F2462" s="1" t="s">
        <v>429</v>
      </c>
      <c r="G2462" s="4">
        <v>8.0000000000000002E-3</v>
      </c>
      <c r="H2462" s="28">
        <v>39782</v>
      </c>
      <c r="I2462" s="29">
        <f t="shared" si="2489"/>
        <v>2008</v>
      </c>
      <c r="J2462" s="1" t="s">
        <v>3032</v>
      </c>
      <c r="K2462" s="1" t="s">
        <v>7</v>
      </c>
      <c r="L2462" s="11" t="str">
        <f t="shared" ref="L2462" si="2496">IF(OR(A2462=J2462,A2462=K2462),"ДА","НЕТ")</f>
        <v>НЕТ</v>
      </c>
      <c r="M2462" s="10">
        <v>0</v>
      </c>
      <c r="N2462" s="10">
        <v>0</v>
      </c>
      <c r="O2462" s="10">
        <v>3.0000000000000001E-3</v>
      </c>
      <c r="P2462" s="10">
        <f t="shared" si="2482"/>
        <v>0.375</v>
      </c>
      <c r="Q2462" s="10" t="str">
        <f t="shared" si="2483"/>
        <v>NA</v>
      </c>
      <c r="R2462" s="10" t="s">
        <v>1575</v>
      </c>
      <c r="S2462" s="10" t="s">
        <v>1575</v>
      </c>
      <c r="T2462" s="10" t="s">
        <v>1575</v>
      </c>
      <c r="U2462" s="10" t="s">
        <v>1575</v>
      </c>
      <c r="V2462" s="10">
        <f>0.003/G2462</f>
        <v>0.375</v>
      </c>
      <c r="W2462" s="10" t="s">
        <v>1575</v>
      </c>
      <c r="X2462" s="10" t="str">
        <f t="shared" si="2458"/>
        <v>NA</v>
      </c>
      <c r="Y2462" s="10" t="str">
        <f t="shared" si="2459"/>
        <v>NA</v>
      </c>
      <c r="Z2462" s="10" t="str">
        <f t="shared" si="2460"/>
        <v>NA</v>
      </c>
      <c r="AA2462" s="10">
        <f t="shared" si="2461"/>
        <v>1</v>
      </c>
      <c r="AB2462" s="10" t="str">
        <f t="shared" si="2462"/>
        <v>NA</v>
      </c>
      <c r="AC2462" s="10" t="str">
        <f t="shared" si="2463"/>
        <v>NA</v>
      </c>
      <c r="AD2462" s="10" t="str">
        <f t="shared" si="2464"/>
        <v>NA</v>
      </c>
      <c r="AE2462" s="10" t="str">
        <f t="shared" si="2465"/>
        <v>NA</v>
      </c>
      <c r="AF2462" s="1" t="s">
        <v>3046</v>
      </c>
    </row>
    <row r="2463" spans="1:32" x14ac:dyDescent="0.2">
      <c r="A2463" s="1" t="s">
        <v>6450</v>
      </c>
      <c r="B2463" s="1" t="s">
        <v>5</v>
      </c>
      <c r="C2463" s="1" t="s">
        <v>1575</v>
      </c>
      <c r="D2463" s="1" t="s">
        <v>1578</v>
      </c>
      <c r="E2463" s="1" t="s">
        <v>1579</v>
      </c>
      <c r="F2463" s="1" t="s">
        <v>429</v>
      </c>
      <c r="G2463" s="4">
        <v>0.26</v>
      </c>
      <c r="H2463" s="28">
        <v>39721</v>
      </c>
      <c r="I2463" s="29">
        <f t="shared" si="2489"/>
        <v>2008</v>
      </c>
      <c r="J2463" s="1" t="s">
        <v>3032</v>
      </c>
      <c r="K2463" s="1" t="s">
        <v>7</v>
      </c>
      <c r="L2463" s="11" t="str">
        <f t="shared" ref="L2463:L2464" si="2497">IF(OR(A2463=J2463,A2463=K2463),"ДА","НЕТ")</f>
        <v>НЕТ</v>
      </c>
      <c r="M2463" s="10">
        <v>0</v>
      </c>
      <c r="N2463" s="10">
        <v>0</v>
      </c>
      <c r="O2463" s="10">
        <v>8.0000000000000002E-3</v>
      </c>
      <c r="P2463" s="10">
        <f t="shared" si="2482"/>
        <v>3.0769230769230767E-2</v>
      </c>
      <c r="Q2463" s="10" t="str">
        <f t="shared" si="2483"/>
        <v>NA</v>
      </c>
      <c r="R2463" s="10" t="s">
        <v>1575</v>
      </c>
      <c r="S2463" s="10" t="s">
        <v>1575</v>
      </c>
      <c r="T2463" s="10" t="s">
        <v>1575</v>
      </c>
      <c r="U2463" s="10" t="s">
        <v>1575</v>
      </c>
      <c r="V2463" s="10">
        <f>0.035/G2463</f>
        <v>0.13461538461538464</v>
      </c>
      <c r="W2463" s="10" t="s">
        <v>1575</v>
      </c>
      <c r="X2463" s="10" t="str">
        <f t="shared" si="2458"/>
        <v>NA</v>
      </c>
      <c r="Y2463" s="10" t="str">
        <f t="shared" si="2459"/>
        <v>NA</v>
      </c>
      <c r="Z2463" s="10" t="str">
        <f t="shared" si="2460"/>
        <v>NA</v>
      </c>
      <c r="AA2463" s="10">
        <f t="shared" si="2461"/>
        <v>0.22857142857142851</v>
      </c>
      <c r="AB2463" s="10" t="str">
        <f t="shared" si="2462"/>
        <v>NA</v>
      </c>
      <c r="AC2463" s="10" t="str">
        <f t="shared" si="2463"/>
        <v>NA</v>
      </c>
      <c r="AD2463" s="10" t="str">
        <f t="shared" si="2464"/>
        <v>NA</v>
      </c>
      <c r="AE2463" s="10" t="str">
        <f t="shared" si="2465"/>
        <v>NA</v>
      </c>
      <c r="AF2463" s="1" t="s">
        <v>3047</v>
      </c>
    </row>
    <row r="2464" spans="1:32" x14ac:dyDescent="0.2">
      <c r="A2464" s="1" t="s">
        <v>6451</v>
      </c>
      <c r="B2464" s="1" t="s">
        <v>5</v>
      </c>
      <c r="C2464" s="1" t="s">
        <v>1575</v>
      </c>
      <c r="D2464" s="1" t="s">
        <v>1578</v>
      </c>
      <c r="E2464" s="1" t="s">
        <v>1579</v>
      </c>
      <c r="F2464" s="1" t="s">
        <v>429</v>
      </c>
      <c r="G2464" s="4">
        <v>0.13</v>
      </c>
      <c r="H2464" s="28">
        <v>39721</v>
      </c>
      <c r="I2464" s="29">
        <f t="shared" si="2489"/>
        <v>2008</v>
      </c>
      <c r="J2464" s="1" t="s">
        <v>3032</v>
      </c>
      <c r="K2464" s="1" t="s">
        <v>7</v>
      </c>
      <c r="L2464" s="11" t="str">
        <f t="shared" si="2497"/>
        <v>НЕТ</v>
      </c>
      <c r="M2464" s="10">
        <v>0</v>
      </c>
      <c r="N2464" s="10">
        <v>0</v>
      </c>
      <c r="O2464" s="10">
        <v>1E-3</v>
      </c>
      <c r="P2464" s="10">
        <f t="shared" si="2482"/>
        <v>7.6923076923076919E-3</v>
      </c>
      <c r="Q2464" s="10" t="str">
        <f t="shared" si="2483"/>
        <v>NA</v>
      </c>
      <c r="R2464" s="10" t="s">
        <v>1575</v>
      </c>
      <c r="S2464" s="10" t="s">
        <v>1575</v>
      </c>
      <c r="T2464" s="10" t="s">
        <v>1575</v>
      </c>
      <c r="U2464" s="10" t="s">
        <v>1575</v>
      </c>
      <c r="V2464" s="10">
        <f>0.006/G2464</f>
        <v>4.6153846153846156E-2</v>
      </c>
      <c r="W2464" s="10" t="s">
        <v>1575</v>
      </c>
      <c r="X2464" s="10" t="str">
        <f t="shared" si="2458"/>
        <v>NA</v>
      </c>
      <c r="Y2464" s="10" t="str">
        <f t="shared" si="2459"/>
        <v>NA</v>
      </c>
      <c r="Z2464" s="10" t="str">
        <f t="shared" si="2460"/>
        <v>NA</v>
      </c>
      <c r="AA2464" s="10">
        <f t="shared" si="2461"/>
        <v>0.16666666666666666</v>
      </c>
      <c r="AB2464" s="10" t="str">
        <f t="shared" si="2462"/>
        <v>NA</v>
      </c>
      <c r="AC2464" s="10" t="str">
        <f t="shared" si="2463"/>
        <v>NA</v>
      </c>
      <c r="AD2464" s="10" t="str">
        <f t="shared" si="2464"/>
        <v>NA</v>
      </c>
      <c r="AE2464" s="10" t="str">
        <f t="shared" si="2465"/>
        <v>NA</v>
      </c>
      <c r="AF2464" s="1" t="s">
        <v>3044</v>
      </c>
    </row>
    <row r="2465" spans="1:32" x14ac:dyDescent="0.2">
      <c r="A2465" s="1" t="s">
        <v>6452</v>
      </c>
      <c r="B2465" s="1" t="s">
        <v>5</v>
      </c>
      <c r="C2465" s="1" t="s">
        <v>1575</v>
      </c>
      <c r="D2465" s="1" t="s">
        <v>1578</v>
      </c>
      <c r="E2465" s="1" t="s">
        <v>1579</v>
      </c>
      <c r="F2465" s="1" t="s">
        <v>429</v>
      </c>
      <c r="G2465" s="4">
        <v>0.12</v>
      </c>
      <c r="H2465" s="28">
        <v>39691</v>
      </c>
      <c r="I2465" s="29">
        <f t="shared" si="2489"/>
        <v>2008</v>
      </c>
      <c r="J2465" s="1" t="s">
        <v>3032</v>
      </c>
      <c r="K2465" s="1" t="s">
        <v>7</v>
      </c>
      <c r="L2465" s="11" t="str">
        <f t="shared" ref="L2465:L2468" si="2498">IF(OR(A2465=J2465,A2465=K2465),"ДА","НЕТ")</f>
        <v>НЕТ</v>
      </c>
      <c r="M2465" s="10">
        <v>0</v>
      </c>
      <c r="N2465" s="10">
        <v>0</v>
      </c>
      <c r="O2465" s="10">
        <v>3.0000000000000001E-3</v>
      </c>
      <c r="P2465" s="10">
        <f t="shared" si="2482"/>
        <v>2.5000000000000001E-2</v>
      </c>
      <c r="Q2465" s="10" t="str">
        <f t="shared" si="2483"/>
        <v>NA</v>
      </c>
      <c r="R2465" s="10" t="s">
        <v>1575</v>
      </c>
      <c r="S2465" s="10" t="s">
        <v>1575</v>
      </c>
      <c r="T2465" s="10" t="s">
        <v>1575</v>
      </c>
      <c r="U2465" s="10" t="s">
        <v>1575</v>
      </c>
      <c r="V2465" s="10">
        <f>0.041/G2465</f>
        <v>0.34166666666666667</v>
      </c>
      <c r="W2465" s="10" t="s">
        <v>1575</v>
      </c>
      <c r="X2465" s="10" t="str">
        <f t="shared" si="2458"/>
        <v>NA</v>
      </c>
      <c r="Y2465" s="10" t="str">
        <f t="shared" si="2459"/>
        <v>NA</v>
      </c>
      <c r="Z2465" s="10" t="str">
        <f t="shared" si="2460"/>
        <v>NA</v>
      </c>
      <c r="AA2465" s="10">
        <f t="shared" si="2461"/>
        <v>7.3170731707317069E-2</v>
      </c>
      <c r="AB2465" s="10" t="str">
        <f t="shared" si="2462"/>
        <v>NA</v>
      </c>
      <c r="AC2465" s="10" t="str">
        <f t="shared" si="2463"/>
        <v>NA</v>
      </c>
      <c r="AD2465" s="10" t="str">
        <f t="shared" si="2464"/>
        <v>NA</v>
      </c>
      <c r="AE2465" s="10" t="str">
        <f t="shared" si="2465"/>
        <v>NA</v>
      </c>
      <c r="AF2465" s="1" t="s">
        <v>3035</v>
      </c>
    </row>
    <row r="2466" spans="1:32" x14ac:dyDescent="0.2">
      <c r="A2466" s="1" t="s">
        <v>6453</v>
      </c>
      <c r="B2466" s="1" t="s">
        <v>5</v>
      </c>
      <c r="C2466" s="1" t="s">
        <v>1575</v>
      </c>
      <c r="D2466" s="1" t="s">
        <v>1578</v>
      </c>
      <c r="E2466" s="1" t="s">
        <v>1579</v>
      </c>
      <c r="F2466" s="1" t="s">
        <v>429</v>
      </c>
      <c r="G2466" s="4">
        <v>0.16</v>
      </c>
      <c r="H2466" s="28">
        <v>39782</v>
      </c>
      <c r="I2466" s="29">
        <f t="shared" si="2489"/>
        <v>2008</v>
      </c>
      <c r="J2466" s="1" t="s">
        <v>3032</v>
      </c>
      <c r="K2466" s="1" t="s">
        <v>7</v>
      </c>
      <c r="L2466" s="11" t="str">
        <f t="shared" si="2498"/>
        <v>НЕТ</v>
      </c>
      <c r="M2466" s="10">
        <v>0</v>
      </c>
      <c r="N2466" s="10">
        <v>0</v>
      </c>
      <c r="O2466" s="10">
        <v>0</v>
      </c>
      <c r="P2466" s="10">
        <f t="shared" si="2482"/>
        <v>0</v>
      </c>
      <c r="Q2466" s="10" t="str">
        <f t="shared" si="2483"/>
        <v>NA</v>
      </c>
      <c r="R2466" s="10" t="s">
        <v>1575</v>
      </c>
      <c r="S2466" s="10" t="s">
        <v>1575</v>
      </c>
      <c r="T2466" s="10" t="s">
        <v>1575</v>
      </c>
      <c r="U2466" s="10" t="s">
        <v>1575</v>
      </c>
      <c r="V2466" s="10">
        <f>0.018/G2466</f>
        <v>0.11249999999999999</v>
      </c>
      <c r="W2466" s="10" t="s">
        <v>1575</v>
      </c>
      <c r="X2466" s="10" t="str">
        <f t="shared" si="2458"/>
        <v>NA</v>
      </c>
      <c r="Y2466" s="10" t="str">
        <f t="shared" si="2459"/>
        <v>NA</v>
      </c>
      <c r="Z2466" s="10" t="str">
        <f t="shared" si="2460"/>
        <v>NA</v>
      </c>
      <c r="AA2466" s="10">
        <f t="shared" si="2461"/>
        <v>0</v>
      </c>
      <c r="AB2466" s="10" t="str">
        <f t="shared" si="2462"/>
        <v>NA</v>
      </c>
      <c r="AC2466" s="10" t="str">
        <f t="shared" si="2463"/>
        <v>NA</v>
      </c>
      <c r="AD2466" s="10" t="str">
        <f t="shared" si="2464"/>
        <v>NA</v>
      </c>
      <c r="AE2466" s="10" t="str">
        <f t="shared" si="2465"/>
        <v>NA</v>
      </c>
      <c r="AF2466" s="1" t="s">
        <v>3048</v>
      </c>
    </row>
    <row r="2467" spans="1:32" x14ac:dyDescent="0.2">
      <c r="A2467" s="1" t="s">
        <v>6454</v>
      </c>
      <c r="B2467" s="1" t="s">
        <v>5</v>
      </c>
      <c r="C2467" s="1" t="s">
        <v>1575</v>
      </c>
      <c r="D2467" s="1" t="s">
        <v>1578</v>
      </c>
      <c r="E2467" s="1" t="s">
        <v>1579</v>
      </c>
      <c r="F2467" s="1" t="s">
        <v>429</v>
      </c>
      <c r="G2467" s="4">
        <v>0.25</v>
      </c>
      <c r="H2467" s="28">
        <v>39538</v>
      </c>
      <c r="I2467" s="29">
        <f t="shared" si="2489"/>
        <v>2008</v>
      </c>
      <c r="J2467" s="1" t="s">
        <v>7</v>
      </c>
      <c r="K2467" s="1" t="s">
        <v>3032</v>
      </c>
      <c r="L2467" s="11" t="str">
        <f t="shared" si="2498"/>
        <v>НЕТ</v>
      </c>
      <c r="M2467" s="10">
        <v>0</v>
      </c>
      <c r="N2467" s="10">
        <v>0</v>
      </c>
      <c r="O2467" s="10">
        <v>9.7000000000000003E-2</v>
      </c>
      <c r="P2467" s="10">
        <f t="shared" si="2482"/>
        <v>0.38800000000000001</v>
      </c>
      <c r="Q2467" s="10" t="str">
        <f t="shared" si="2483"/>
        <v>NA</v>
      </c>
      <c r="R2467" s="10" t="s">
        <v>1575</v>
      </c>
      <c r="S2467" s="10" t="s">
        <v>1575</v>
      </c>
      <c r="T2467" s="10" t="s">
        <v>1575</v>
      </c>
      <c r="U2467" s="10" t="s">
        <v>1575</v>
      </c>
      <c r="V2467" s="10">
        <f>0.086/G2467</f>
        <v>0.34399999999999997</v>
      </c>
      <c r="W2467" s="10" t="s">
        <v>1575</v>
      </c>
      <c r="X2467" s="10" t="str">
        <f t="shared" si="2458"/>
        <v>NA</v>
      </c>
      <c r="Y2467" s="10" t="str">
        <f t="shared" si="2459"/>
        <v>NA</v>
      </c>
      <c r="Z2467" s="10" t="str">
        <f t="shared" si="2460"/>
        <v>NA</v>
      </c>
      <c r="AA2467" s="10">
        <f t="shared" si="2461"/>
        <v>1.1279069767441863</v>
      </c>
      <c r="AB2467" s="10" t="str">
        <f t="shared" si="2462"/>
        <v>NA</v>
      </c>
      <c r="AC2467" s="10" t="str">
        <f t="shared" si="2463"/>
        <v>NA</v>
      </c>
      <c r="AD2467" s="10" t="str">
        <f t="shared" si="2464"/>
        <v>NA</v>
      </c>
      <c r="AE2467" s="10" t="str">
        <f t="shared" si="2465"/>
        <v>NA</v>
      </c>
      <c r="AF2467" s="1" t="s">
        <v>3049</v>
      </c>
    </row>
    <row r="2468" spans="1:32" x14ac:dyDescent="0.2">
      <c r="A2468" s="1" t="s">
        <v>6455</v>
      </c>
      <c r="B2468" s="1" t="s">
        <v>5</v>
      </c>
      <c r="C2468" s="1" t="s">
        <v>1575</v>
      </c>
      <c r="D2468" s="1" t="s">
        <v>1578</v>
      </c>
      <c r="E2468" s="1" t="s">
        <v>1579</v>
      </c>
      <c r="F2468" s="1" t="s">
        <v>429</v>
      </c>
      <c r="G2468" s="4">
        <v>0.25</v>
      </c>
      <c r="H2468" s="28">
        <v>39538</v>
      </c>
      <c r="I2468" s="29">
        <f t="shared" si="2489"/>
        <v>2008</v>
      </c>
      <c r="J2468" s="1" t="s">
        <v>7</v>
      </c>
      <c r="K2468" s="1" t="s">
        <v>3032</v>
      </c>
      <c r="L2468" s="11" t="str">
        <f t="shared" si="2498"/>
        <v>НЕТ</v>
      </c>
      <c r="M2468" s="10">
        <v>0</v>
      </c>
      <c r="N2468" s="10">
        <v>0</v>
      </c>
      <c r="O2468" s="10">
        <v>0.11</v>
      </c>
      <c r="P2468" s="10">
        <f t="shared" si="2482"/>
        <v>0.44</v>
      </c>
      <c r="Q2468" s="10" t="str">
        <f t="shared" si="2483"/>
        <v>NA</v>
      </c>
      <c r="R2468" s="10" t="s">
        <v>1575</v>
      </c>
      <c r="S2468" s="10" t="s">
        <v>1575</v>
      </c>
      <c r="T2468" s="10" t="s">
        <v>1575</v>
      </c>
      <c r="U2468" s="10" t="s">
        <v>1575</v>
      </c>
      <c r="V2468" s="10">
        <f>0.09/G2468</f>
        <v>0.36</v>
      </c>
      <c r="W2468" s="10" t="s">
        <v>1575</v>
      </c>
      <c r="X2468" s="10" t="str">
        <f t="shared" ref="X2468:X2531" si="2499">IFERROR(V2468+W2468,"NA")</f>
        <v>NA</v>
      </c>
      <c r="Y2468" s="10" t="str">
        <f t="shared" ref="Y2468:Y2531" si="2500">IFERROR(P2468/R2468,"NA")</f>
        <v>NA</v>
      </c>
      <c r="Z2468" s="10" t="str">
        <f t="shared" ref="Z2468:Z2531" si="2501">IFERROR(P2468/U2468,"NA")</f>
        <v>NA</v>
      </c>
      <c r="AA2468" s="10">
        <f t="shared" ref="AA2468:AA2531" si="2502">IFERROR(P2468/V2468,"NA")</f>
        <v>1.2222222222222223</v>
      </c>
      <c r="AB2468" s="10" t="str">
        <f t="shared" ref="AB2468:AB2531" si="2503">IFERROR(Q2468/R2468,"NA")</f>
        <v>NA</v>
      </c>
      <c r="AC2468" s="10" t="str">
        <f t="shared" ref="AC2468:AC2531" si="2504">IFERROR(Q2468/S2468,"NA")</f>
        <v>NA</v>
      </c>
      <c r="AD2468" s="10" t="str">
        <f t="shared" ref="AD2468:AD2531" si="2505">IFERROR(Q2468/T2468,"NA")</f>
        <v>NA</v>
      </c>
      <c r="AE2468" s="10" t="str">
        <f t="shared" ref="AE2468:AE2531" si="2506">IFERROR(Q2468/X2468,"NA")</f>
        <v>NA</v>
      </c>
      <c r="AF2468" s="1" t="s">
        <v>3050</v>
      </c>
    </row>
    <row r="2469" spans="1:32" x14ac:dyDescent="0.2">
      <c r="A2469" s="1" t="s">
        <v>6456</v>
      </c>
      <c r="B2469" s="1" t="s">
        <v>5</v>
      </c>
      <c r="C2469" s="1" t="s">
        <v>1575</v>
      </c>
      <c r="D2469" s="1" t="s">
        <v>1578</v>
      </c>
      <c r="E2469" s="1" t="s">
        <v>1579</v>
      </c>
      <c r="F2469" s="1" t="s">
        <v>429</v>
      </c>
      <c r="G2469" s="4">
        <v>0.75</v>
      </c>
      <c r="H2469" s="28">
        <v>39447</v>
      </c>
      <c r="I2469" s="29">
        <f t="shared" si="2489"/>
        <v>2007</v>
      </c>
      <c r="J2469" s="1" t="s">
        <v>3032</v>
      </c>
      <c r="K2469" s="1" t="s">
        <v>7</v>
      </c>
      <c r="L2469" s="11" t="str">
        <f t="shared" ref="L2469:L2470" si="2507">IF(OR(A2469=J2469,A2469=K2469),"ДА","НЕТ")</f>
        <v>НЕТ</v>
      </c>
      <c r="M2469" s="10">
        <v>0</v>
      </c>
      <c r="N2469" s="10">
        <v>0</v>
      </c>
      <c r="O2469" s="10">
        <v>2.5000000000000001E-2</v>
      </c>
      <c r="P2469" s="10">
        <f t="shared" si="2482"/>
        <v>3.3333333333333333E-2</v>
      </c>
      <c r="Q2469" s="10" t="str">
        <f t="shared" si="2483"/>
        <v>NA</v>
      </c>
      <c r="R2469" s="10" t="s">
        <v>1575</v>
      </c>
      <c r="S2469" s="10" t="s">
        <v>1575</v>
      </c>
      <c r="T2469" s="10" t="s">
        <v>1575</v>
      </c>
      <c r="U2469" s="10" t="s">
        <v>1575</v>
      </c>
      <c r="V2469" s="10" t="s">
        <v>1575</v>
      </c>
      <c r="W2469" s="10" t="s">
        <v>1575</v>
      </c>
      <c r="X2469" s="10" t="str">
        <f t="shared" si="2499"/>
        <v>NA</v>
      </c>
      <c r="Y2469" s="10" t="str">
        <f t="shared" si="2500"/>
        <v>NA</v>
      </c>
      <c r="Z2469" s="10" t="str">
        <f t="shared" si="2501"/>
        <v>NA</v>
      </c>
      <c r="AA2469" s="10" t="str">
        <f t="shared" si="2502"/>
        <v>NA</v>
      </c>
      <c r="AB2469" s="10" t="str">
        <f t="shared" si="2503"/>
        <v>NA</v>
      </c>
      <c r="AC2469" s="10" t="str">
        <f t="shared" si="2504"/>
        <v>NA</v>
      </c>
      <c r="AD2469" s="10" t="str">
        <f t="shared" si="2505"/>
        <v>NA</v>
      </c>
      <c r="AE2469" s="10" t="str">
        <f t="shared" si="2506"/>
        <v>NA</v>
      </c>
      <c r="AF2469" s="1" t="s">
        <v>3051</v>
      </c>
    </row>
    <row r="2470" spans="1:32" x14ac:dyDescent="0.2">
      <c r="A2470" s="1" t="s">
        <v>6457</v>
      </c>
      <c r="B2470" s="1" t="s">
        <v>5</v>
      </c>
      <c r="C2470" s="1" t="s">
        <v>1575</v>
      </c>
      <c r="D2470" s="1" t="s">
        <v>1578</v>
      </c>
      <c r="E2470" s="1" t="s">
        <v>1579</v>
      </c>
      <c r="F2470" s="1" t="s">
        <v>429</v>
      </c>
      <c r="G2470" s="4" t="s">
        <v>1575</v>
      </c>
      <c r="H2470" s="28">
        <v>39447</v>
      </c>
      <c r="I2470" s="29">
        <f t="shared" si="2489"/>
        <v>2007</v>
      </c>
      <c r="J2470" s="1" t="s">
        <v>7</v>
      </c>
      <c r="K2470" s="1" t="s">
        <v>3032</v>
      </c>
      <c r="L2470" s="11" t="str">
        <f t="shared" si="2507"/>
        <v>НЕТ</v>
      </c>
      <c r="M2470" s="10">
        <v>0</v>
      </c>
      <c r="N2470" s="10">
        <v>0</v>
      </c>
      <c r="O2470" s="10">
        <v>0</v>
      </c>
      <c r="P2470" s="10" t="str">
        <f t="shared" si="2482"/>
        <v>NA</v>
      </c>
      <c r="Q2470" s="10" t="str">
        <f t="shared" si="2483"/>
        <v>NA</v>
      </c>
      <c r="R2470" s="10" t="s">
        <v>1575</v>
      </c>
      <c r="S2470" s="10" t="s">
        <v>1575</v>
      </c>
      <c r="T2470" s="10" t="s">
        <v>1575</v>
      </c>
      <c r="U2470" s="10" t="s">
        <v>1575</v>
      </c>
      <c r="V2470" s="10">
        <v>-0.17699999999999999</v>
      </c>
      <c r="W2470" s="10" t="s">
        <v>1575</v>
      </c>
      <c r="X2470" s="10" t="str">
        <f t="shared" si="2499"/>
        <v>NA</v>
      </c>
      <c r="Y2470" s="10" t="str">
        <f t="shared" si="2500"/>
        <v>NA</v>
      </c>
      <c r="Z2470" s="10" t="str">
        <f t="shared" si="2501"/>
        <v>NA</v>
      </c>
      <c r="AA2470" s="10" t="str">
        <f t="shared" si="2502"/>
        <v>NA</v>
      </c>
      <c r="AB2470" s="10" t="str">
        <f t="shared" si="2503"/>
        <v>NA</v>
      </c>
      <c r="AC2470" s="10" t="str">
        <f t="shared" si="2504"/>
        <v>NA</v>
      </c>
      <c r="AD2470" s="10" t="str">
        <f t="shared" si="2505"/>
        <v>NA</v>
      </c>
      <c r="AE2470" s="10" t="str">
        <f t="shared" si="2506"/>
        <v>NA</v>
      </c>
      <c r="AF2470" s="1" t="s">
        <v>3052</v>
      </c>
    </row>
    <row r="2471" spans="1:32" x14ac:dyDescent="0.2">
      <c r="A2471" s="1" t="s">
        <v>6458</v>
      </c>
      <c r="B2471" s="1" t="s">
        <v>5</v>
      </c>
      <c r="C2471" s="1" t="s">
        <v>1575</v>
      </c>
      <c r="D2471" s="1" t="s">
        <v>1578</v>
      </c>
      <c r="E2471" s="1" t="s">
        <v>1579</v>
      </c>
      <c r="F2471" s="1" t="s">
        <v>429</v>
      </c>
      <c r="G2471" s="4" t="s">
        <v>1575</v>
      </c>
      <c r="H2471" s="28">
        <v>39263</v>
      </c>
      <c r="I2471" s="29">
        <f t="shared" si="2489"/>
        <v>2007</v>
      </c>
      <c r="J2471" s="1" t="s">
        <v>7</v>
      </c>
      <c r="K2471" s="1" t="s">
        <v>3032</v>
      </c>
      <c r="L2471" s="11" t="str">
        <f t="shared" ref="L2471" si="2508">IF(OR(A2471=J2471,A2471=K2471),"ДА","НЕТ")</f>
        <v>НЕТ</v>
      </c>
      <c r="M2471" s="10">
        <v>0</v>
      </c>
      <c r="N2471" s="10">
        <v>0</v>
      </c>
      <c r="O2471" s="10" t="s">
        <v>1575</v>
      </c>
      <c r="P2471" s="10" t="str">
        <f t="shared" si="2482"/>
        <v>NA</v>
      </c>
      <c r="Q2471" s="10" t="str">
        <f t="shared" si="2483"/>
        <v>NA</v>
      </c>
      <c r="R2471" s="10" t="s">
        <v>1575</v>
      </c>
      <c r="S2471" s="10" t="s">
        <v>1575</v>
      </c>
      <c r="T2471" s="10" t="s">
        <v>1575</v>
      </c>
      <c r="U2471" s="10" t="s">
        <v>1575</v>
      </c>
      <c r="V2471" s="10" t="s">
        <v>1575</v>
      </c>
      <c r="W2471" s="10" t="s">
        <v>1575</v>
      </c>
      <c r="X2471" s="10" t="str">
        <f t="shared" si="2499"/>
        <v>NA</v>
      </c>
      <c r="Y2471" s="10" t="str">
        <f t="shared" si="2500"/>
        <v>NA</v>
      </c>
      <c r="Z2471" s="10" t="str">
        <f t="shared" si="2501"/>
        <v>NA</v>
      </c>
      <c r="AA2471" s="10" t="str">
        <f t="shared" si="2502"/>
        <v>NA</v>
      </c>
      <c r="AB2471" s="10" t="str">
        <f t="shared" si="2503"/>
        <v>NA</v>
      </c>
      <c r="AC2471" s="10" t="str">
        <f t="shared" si="2504"/>
        <v>NA</v>
      </c>
      <c r="AD2471" s="10" t="str">
        <f t="shared" si="2505"/>
        <v>NA</v>
      </c>
      <c r="AE2471" s="10" t="str">
        <f t="shared" si="2506"/>
        <v>NA</v>
      </c>
      <c r="AF2471" s="1" t="s">
        <v>3053</v>
      </c>
    </row>
    <row r="2472" spans="1:32" x14ac:dyDescent="0.2">
      <c r="A2472" s="1" t="s">
        <v>6459</v>
      </c>
      <c r="B2472" s="1" t="s">
        <v>5</v>
      </c>
      <c r="C2472" s="1" t="s">
        <v>1575</v>
      </c>
      <c r="D2472" s="1" t="s">
        <v>1578</v>
      </c>
      <c r="E2472" s="1" t="s">
        <v>2144</v>
      </c>
      <c r="F2472" s="1" t="s">
        <v>519</v>
      </c>
      <c r="G2472" s="4">
        <v>1</v>
      </c>
      <c r="H2472" s="28">
        <v>44910</v>
      </c>
      <c r="I2472" s="29">
        <f t="shared" si="2489"/>
        <v>2022</v>
      </c>
      <c r="J2472" s="1" t="s">
        <v>7</v>
      </c>
      <c r="K2472" s="1" t="s">
        <v>2622</v>
      </c>
      <c r="L2472" s="11" t="str">
        <f t="shared" si="2466"/>
        <v>НЕТ</v>
      </c>
      <c r="M2472" s="10">
        <v>0</v>
      </c>
      <c r="N2472" s="10">
        <v>0</v>
      </c>
      <c r="O2472" s="10">
        <v>1.966</v>
      </c>
      <c r="P2472" s="10">
        <f t="shared" si="2482"/>
        <v>1.966</v>
      </c>
      <c r="Q2472" s="10">
        <f t="shared" si="2483"/>
        <v>1.778</v>
      </c>
      <c r="R2472" s="10" t="s">
        <v>1575</v>
      </c>
      <c r="S2472" s="10" t="s">
        <v>1575</v>
      </c>
      <c r="T2472" s="10" t="s">
        <v>1575</v>
      </c>
      <c r="U2472" s="10" t="s">
        <v>1575</v>
      </c>
      <c r="V2472" s="10">
        <v>1.966</v>
      </c>
      <c r="W2472" s="10">
        <f>0-0.188</f>
        <v>-0.188</v>
      </c>
      <c r="X2472" s="10">
        <f t="shared" si="2499"/>
        <v>1.778</v>
      </c>
      <c r="Y2472" s="10" t="str">
        <f t="shared" si="2500"/>
        <v>NA</v>
      </c>
      <c r="Z2472" s="10" t="str">
        <f t="shared" si="2501"/>
        <v>NA</v>
      </c>
      <c r="AA2472" s="10">
        <f t="shared" si="2502"/>
        <v>1</v>
      </c>
      <c r="AB2472" s="10" t="str">
        <f t="shared" si="2503"/>
        <v>NA</v>
      </c>
      <c r="AC2472" s="10" t="str">
        <f t="shared" si="2504"/>
        <v>NA</v>
      </c>
      <c r="AD2472" s="10" t="str">
        <f t="shared" si="2505"/>
        <v>NA</v>
      </c>
      <c r="AE2472" s="10">
        <f t="shared" si="2506"/>
        <v>1</v>
      </c>
      <c r="AF2472" s="1" t="s">
        <v>2626</v>
      </c>
    </row>
    <row r="2473" spans="1:32" x14ac:dyDescent="0.2">
      <c r="A2473" s="1" t="s">
        <v>6460</v>
      </c>
      <c r="B2473" s="1" t="s">
        <v>5</v>
      </c>
      <c r="C2473" s="1" t="s">
        <v>1575</v>
      </c>
      <c r="D2473" s="1" t="s">
        <v>1578</v>
      </c>
      <c r="E2473" s="1" t="s">
        <v>2144</v>
      </c>
      <c r="F2473" s="1" t="s">
        <v>521</v>
      </c>
      <c r="G2473" s="4">
        <v>1</v>
      </c>
      <c r="H2473" s="28">
        <v>44867</v>
      </c>
      <c r="I2473" s="29">
        <f t="shared" si="2489"/>
        <v>2022</v>
      </c>
      <c r="J2473" s="1" t="s">
        <v>2622</v>
      </c>
      <c r="K2473" s="1" t="s">
        <v>2624</v>
      </c>
      <c r="L2473" s="11" t="str">
        <f t="shared" si="2466"/>
        <v>НЕТ</v>
      </c>
      <c r="M2473" s="10">
        <v>0</v>
      </c>
      <c r="N2473" s="10">
        <v>0</v>
      </c>
      <c r="O2473" s="10">
        <v>3.4020000000000001</v>
      </c>
      <c r="P2473" s="10">
        <f t="shared" si="2482"/>
        <v>3.4020000000000001</v>
      </c>
      <c r="Q2473" s="10">
        <f t="shared" si="2483"/>
        <v>4.4889999999999999</v>
      </c>
      <c r="R2473" s="10" t="s">
        <v>1575</v>
      </c>
      <c r="S2473" s="10" t="s">
        <v>1575</v>
      </c>
      <c r="T2473" s="10" t="s">
        <v>1575</v>
      </c>
      <c r="U2473" s="10" t="s">
        <v>1575</v>
      </c>
      <c r="V2473" s="10">
        <v>3.4020000000000001</v>
      </c>
      <c r="W2473" s="10">
        <f>0.733+0.513-0.159</f>
        <v>1.087</v>
      </c>
      <c r="X2473" s="10">
        <f t="shared" si="2499"/>
        <v>4.4889999999999999</v>
      </c>
      <c r="Y2473" s="10" t="str">
        <f t="shared" si="2500"/>
        <v>NA</v>
      </c>
      <c r="Z2473" s="10" t="str">
        <f t="shared" si="2501"/>
        <v>NA</v>
      </c>
      <c r="AA2473" s="10">
        <f t="shared" si="2502"/>
        <v>1</v>
      </c>
      <c r="AB2473" s="10" t="str">
        <f t="shared" si="2503"/>
        <v>NA</v>
      </c>
      <c r="AC2473" s="10" t="str">
        <f t="shared" si="2504"/>
        <v>NA</v>
      </c>
      <c r="AD2473" s="10" t="str">
        <f t="shared" si="2505"/>
        <v>NA</v>
      </c>
      <c r="AE2473" s="10">
        <f t="shared" si="2506"/>
        <v>1</v>
      </c>
      <c r="AF2473" s="1" t="s">
        <v>2627</v>
      </c>
    </row>
    <row r="2474" spans="1:32" x14ac:dyDescent="0.2">
      <c r="A2474" s="1" t="s">
        <v>6461</v>
      </c>
      <c r="B2474" s="1" t="s">
        <v>5</v>
      </c>
      <c r="C2474" s="1" t="s">
        <v>1575</v>
      </c>
      <c r="D2474" s="1" t="s">
        <v>1578</v>
      </c>
      <c r="E2474" s="1" t="s">
        <v>2315</v>
      </c>
      <c r="F2474" s="1" t="s">
        <v>2583</v>
      </c>
      <c r="G2474" s="4">
        <v>1</v>
      </c>
      <c r="H2474" s="28">
        <v>44699</v>
      </c>
      <c r="I2474" s="29">
        <f t="shared" si="2489"/>
        <v>2022</v>
      </c>
      <c r="J2474" s="1" t="s">
        <v>2622</v>
      </c>
      <c r="K2474" s="1" t="s">
        <v>2628</v>
      </c>
      <c r="L2474" s="11" t="str">
        <f t="shared" si="2466"/>
        <v>НЕТ</v>
      </c>
      <c r="M2474" s="10">
        <v>0</v>
      </c>
      <c r="N2474" s="10">
        <v>0</v>
      </c>
      <c r="O2474" s="10">
        <v>0.63</v>
      </c>
      <c r="P2474" s="10">
        <f t="shared" si="2482"/>
        <v>0.63</v>
      </c>
      <c r="Q2474" s="10">
        <f t="shared" si="2483"/>
        <v>0.51300000000000001</v>
      </c>
      <c r="R2474" s="10" t="s">
        <v>1575</v>
      </c>
      <c r="S2474" s="10" t="s">
        <v>1575</v>
      </c>
      <c r="T2474" s="10" t="s">
        <v>1575</v>
      </c>
      <c r="U2474" s="10" t="s">
        <v>1575</v>
      </c>
      <c r="V2474" s="10">
        <v>0.63</v>
      </c>
      <c r="W2474" s="10">
        <f>0-0.117</f>
        <v>-0.11700000000000001</v>
      </c>
      <c r="X2474" s="10">
        <f t="shared" si="2499"/>
        <v>0.51300000000000001</v>
      </c>
      <c r="Y2474" s="10" t="str">
        <f t="shared" si="2500"/>
        <v>NA</v>
      </c>
      <c r="Z2474" s="10" t="str">
        <f t="shared" si="2501"/>
        <v>NA</v>
      </c>
      <c r="AA2474" s="10">
        <f t="shared" si="2502"/>
        <v>1</v>
      </c>
      <c r="AB2474" s="10" t="str">
        <f t="shared" si="2503"/>
        <v>NA</v>
      </c>
      <c r="AC2474" s="10" t="str">
        <f t="shared" si="2504"/>
        <v>NA</v>
      </c>
      <c r="AD2474" s="10" t="str">
        <f t="shared" si="2505"/>
        <v>NA</v>
      </c>
      <c r="AE2474" s="10">
        <f t="shared" si="2506"/>
        <v>1</v>
      </c>
      <c r="AF2474" s="1" t="s">
        <v>2629</v>
      </c>
    </row>
    <row r="2475" spans="1:32" x14ac:dyDescent="0.2">
      <c r="A2475" s="1" t="s">
        <v>6462</v>
      </c>
      <c r="B2475" s="1" t="s">
        <v>5</v>
      </c>
      <c r="C2475" s="1" t="s">
        <v>1575</v>
      </c>
      <c r="D2475" s="1" t="s">
        <v>1578</v>
      </c>
      <c r="E2475" s="1" t="s">
        <v>2144</v>
      </c>
      <c r="F2475" s="1" t="s">
        <v>521</v>
      </c>
      <c r="G2475" s="4">
        <v>0.25</v>
      </c>
      <c r="H2475" s="28">
        <v>44652</v>
      </c>
      <c r="I2475" s="29">
        <f t="shared" si="2489"/>
        <v>2022</v>
      </c>
      <c r="J2475" s="1" t="s">
        <v>2622</v>
      </c>
      <c r="K2475" s="1" t="s">
        <v>7</v>
      </c>
      <c r="L2475" s="11" t="str">
        <f t="shared" si="2466"/>
        <v>НЕТ</v>
      </c>
      <c r="M2475" s="10">
        <v>0</v>
      </c>
      <c r="N2475" s="10">
        <v>0</v>
      </c>
      <c r="O2475" s="10">
        <v>5.8999999999999997E-2</v>
      </c>
      <c r="P2475" s="10">
        <f t="shared" si="2482"/>
        <v>0.23599999999999999</v>
      </c>
      <c r="Q2475" s="10">
        <f t="shared" si="2483"/>
        <v>1.3149999999999999</v>
      </c>
      <c r="R2475" s="10">
        <v>7.83</v>
      </c>
      <c r="S2475" s="10">
        <v>-0.109</v>
      </c>
      <c r="T2475" s="10">
        <f>-0.109-0.115</f>
        <v>-0.224</v>
      </c>
      <c r="U2475" s="10">
        <v>-0.30099999999999999</v>
      </c>
      <c r="V2475" s="10">
        <v>0.129</v>
      </c>
      <c r="W2475" s="10">
        <f>0.17+0.028+0.865+0.034-0.018</f>
        <v>1.079</v>
      </c>
      <c r="X2475" s="10">
        <f t="shared" si="2499"/>
        <v>1.208</v>
      </c>
      <c r="Y2475" s="10">
        <f t="shared" si="2500"/>
        <v>3.0140485312899104E-2</v>
      </c>
      <c r="Z2475" s="10">
        <f t="shared" si="2501"/>
        <v>-0.78405315614617943</v>
      </c>
      <c r="AA2475" s="10">
        <f t="shared" si="2502"/>
        <v>1.8294573643410852</v>
      </c>
      <c r="AB2475" s="10">
        <f t="shared" si="2503"/>
        <v>0.16794380587484034</v>
      </c>
      <c r="AC2475" s="10">
        <f t="shared" si="2504"/>
        <v>-12.064220183486238</v>
      </c>
      <c r="AD2475" s="10">
        <f t="shared" si="2505"/>
        <v>-5.8705357142857135</v>
      </c>
      <c r="AE2475" s="10">
        <f t="shared" si="2506"/>
        <v>1.0885761589403973</v>
      </c>
      <c r="AF2475" s="1" t="s">
        <v>2631</v>
      </c>
    </row>
    <row r="2476" spans="1:32" x14ac:dyDescent="0.2">
      <c r="A2476" s="1" t="s">
        <v>6463</v>
      </c>
      <c r="B2476" s="1" t="s">
        <v>5</v>
      </c>
      <c r="C2476" s="1" t="s">
        <v>1575</v>
      </c>
      <c r="D2476" s="1" t="s">
        <v>1578</v>
      </c>
      <c r="E2476" s="1" t="s">
        <v>2144</v>
      </c>
      <c r="F2476" s="1" t="s">
        <v>519</v>
      </c>
      <c r="G2476" s="4">
        <v>0.5</v>
      </c>
      <c r="H2476" s="28">
        <v>44592</v>
      </c>
      <c r="I2476" s="29">
        <f t="shared" si="2489"/>
        <v>2022</v>
      </c>
      <c r="J2476" s="1" t="s">
        <v>2622</v>
      </c>
      <c r="K2476" s="1" t="s">
        <v>2630</v>
      </c>
      <c r="L2476" s="11" t="str">
        <f t="shared" si="2466"/>
        <v>НЕТ</v>
      </c>
      <c r="M2476" s="10">
        <v>0</v>
      </c>
      <c r="N2476" s="10">
        <v>0</v>
      </c>
      <c r="O2476" s="10">
        <v>3.5979999999999999</v>
      </c>
      <c r="P2476" s="10">
        <f t="shared" si="2482"/>
        <v>7.1959999999999997</v>
      </c>
      <c r="Q2476" s="10">
        <f t="shared" si="2483"/>
        <v>14.218</v>
      </c>
      <c r="R2476" s="10">
        <v>14.052</v>
      </c>
      <c r="S2476" s="10" t="s">
        <v>1575</v>
      </c>
      <c r="T2476" s="10">
        <v>1.494</v>
      </c>
      <c r="U2476" s="10">
        <v>1.337</v>
      </c>
      <c r="V2476" s="10">
        <v>7.1020000000000003</v>
      </c>
      <c r="W2476" s="10">
        <f>5.359+0.007+1.712-0.056</f>
        <v>7.0219999999999994</v>
      </c>
      <c r="X2476" s="10">
        <f t="shared" si="2499"/>
        <v>14.123999999999999</v>
      </c>
      <c r="Y2476" s="10">
        <f t="shared" si="2500"/>
        <v>0.51209792200398518</v>
      </c>
      <c r="Z2476" s="10">
        <f t="shared" si="2501"/>
        <v>5.3821989528795813</v>
      </c>
      <c r="AA2476" s="10">
        <f t="shared" si="2502"/>
        <v>1.0132357082511967</v>
      </c>
      <c r="AB2476" s="10">
        <f t="shared" si="2503"/>
        <v>1.0118132650156562</v>
      </c>
      <c r="AC2476" s="10" t="str">
        <f t="shared" si="2504"/>
        <v>NA</v>
      </c>
      <c r="AD2476" s="10">
        <f t="shared" si="2505"/>
        <v>9.5167336010709498</v>
      </c>
      <c r="AE2476" s="10">
        <f t="shared" si="2506"/>
        <v>1.0066553384310395</v>
      </c>
      <c r="AF2476" s="1" t="s">
        <v>2632</v>
      </c>
    </row>
    <row r="2477" spans="1:32" x14ac:dyDescent="0.2">
      <c r="A2477" s="1" t="s">
        <v>6464</v>
      </c>
      <c r="B2477" s="1" t="s">
        <v>5</v>
      </c>
      <c r="C2477" s="1" t="s">
        <v>1575</v>
      </c>
      <c r="D2477" s="1" t="s">
        <v>1578</v>
      </c>
      <c r="E2477" s="1" t="s">
        <v>2144</v>
      </c>
      <c r="F2477" s="1" t="s">
        <v>519</v>
      </c>
      <c r="G2477" s="4">
        <f>24.5%+17.8%</f>
        <v>0.42300000000000004</v>
      </c>
      <c r="H2477" s="28">
        <v>44592</v>
      </c>
      <c r="I2477" s="29">
        <f t="shared" si="2489"/>
        <v>2022</v>
      </c>
      <c r="J2477" s="1" t="s">
        <v>2622</v>
      </c>
      <c r="K2477" s="1" t="s">
        <v>2633</v>
      </c>
      <c r="L2477" s="11" t="str">
        <f t="shared" si="2466"/>
        <v>НЕТ</v>
      </c>
      <c r="M2477" s="10">
        <v>0</v>
      </c>
      <c r="N2477" s="10">
        <v>0</v>
      </c>
      <c r="O2477" s="10">
        <v>0.53100000000000003</v>
      </c>
      <c r="P2477" s="10">
        <f t="shared" si="2482"/>
        <v>1.2553191489361701</v>
      </c>
      <c r="Q2477" s="10">
        <f t="shared" si="2483"/>
        <v>1.51831914893617</v>
      </c>
      <c r="R2477" s="10" t="s">
        <v>1575</v>
      </c>
      <c r="S2477" s="10" t="s">
        <v>1575</v>
      </c>
      <c r="T2477" s="10" t="s">
        <v>1575</v>
      </c>
      <c r="U2477" s="10" t="s">
        <v>1575</v>
      </c>
      <c r="V2477" s="10">
        <v>1.252</v>
      </c>
      <c r="W2477" s="10">
        <f>0.283-0.02</f>
        <v>0.26299999999999996</v>
      </c>
      <c r="X2477" s="10">
        <f t="shared" si="2499"/>
        <v>1.5149999999999999</v>
      </c>
      <c r="Y2477" s="10" t="str">
        <f t="shared" si="2500"/>
        <v>NA</v>
      </c>
      <c r="Z2477" s="10" t="str">
        <f t="shared" si="2501"/>
        <v>NA</v>
      </c>
      <c r="AA2477" s="10">
        <f t="shared" si="2502"/>
        <v>1.0026510774250561</v>
      </c>
      <c r="AB2477" s="10" t="str">
        <f t="shared" si="2503"/>
        <v>NA</v>
      </c>
      <c r="AC2477" s="10" t="str">
        <f t="shared" si="2504"/>
        <v>NA</v>
      </c>
      <c r="AD2477" s="10" t="str">
        <f t="shared" si="2505"/>
        <v>NA</v>
      </c>
      <c r="AE2477" s="10">
        <f t="shared" si="2506"/>
        <v>1.0021908573836107</v>
      </c>
      <c r="AF2477" s="1" t="s">
        <v>2634</v>
      </c>
    </row>
    <row r="2478" spans="1:32" x14ac:dyDescent="0.2">
      <c r="A2478" s="1" t="s">
        <v>6464</v>
      </c>
      <c r="B2478" s="1" t="s">
        <v>5</v>
      </c>
      <c r="C2478" s="1" t="s">
        <v>1575</v>
      </c>
      <c r="D2478" s="1" t="s">
        <v>1578</v>
      </c>
      <c r="E2478" s="1" t="s">
        <v>2144</v>
      </c>
      <c r="F2478" s="1" t="s">
        <v>519</v>
      </c>
      <c r="G2478" s="4">
        <v>0.57699999999999996</v>
      </c>
      <c r="H2478" s="28">
        <v>44558</v>
      </c>
      <c r="I2478" s="29">
        <f t="shared" si="2489"/>
        <v>2021</v>
      </c>
      <c r="J2478" s="1" t="s">
        <v>2622</v>
      </c>
      <c r="K2478" s="1" t="s">
        <v>6465</v>
      </c>
      <c r="L2478" s="11" t="str">
        <f t="shared" si="2466"/>
        <v>НЕТ</v>
      </c>
      <c r="M2478" s="10">
        <v>0</v>
      </c>
      <c r="N2478" s="10">
        <v>0</v>
      </c>
      <c r="O2478" s="10">
        <v>0.72299999999999998</v>
      </c>
      <c r="P2478" s="10">
        <f t="shared" si="2482"/>
        <v>1.2530329289428077</v>
      </c>
      <c r="Q2478" s="10">
        <f t="shared" si="2483"/>
        <v>1.5160329289428076</v>
      </c>
      <c r="R2478" s="10" t="s">
        <v>1575</v>
      </c>
      <c r="S2478" s="10" t="s">
        <v>1575</v>
      </c>
      <c r="T2478" s="10" t="s">
        <v>1575</v>
      </c>
      <c r="U2478" s="10" t="s">
        <v>1575</v>
      </c>
      <c r="V2478" s="10">
        <v>1.252</v>
      </c>
      <c r="W2478" s="10">
        <f>0.283-0.02</f>
        <v>0.26299999999999996</v>
      </c>
      <c r="X2478" s="10">
        <f t="shared" si="2499"/>
        <v>1.5149999999999999</v>
      </c>
      <c r="Y2478" s="10" t="str">
        <f t="shared" si="2500"/>
        <v>NA</v>
      </c>
      <c r="Z2478" s="10" t="str">
        <f t="shared" si="2501"/>
        <v>NA</v>
      </c>
      <c r="AA2478" s="10">
        <f t="shared" si="2502"/>
        <v>1.0008250231172586</v>
      </c>
      <c r="AB2478" s="10" t="str">
        <f t="shared" si="2503"/>
        <v>NA</v>
      </c>
      <c r="AC2478" s="10" t="str">
        <f t="shared" si="2504"/>
        <v>NA</v>
      </c>
      <c r="AD2478" s="10" t="str">
        <f t="shared" si="2505"/>
        <v>NA</v>
      </c>
      <c r="AE2478" s="10">
        <f t="shared" si="2506"/>
        <v>1.0006818012823813</v>
      </c>
      <c r="AF2478" s="1" t="s">
        <v>2634</v>
      </c>
    </row>
    <row r="2479" spans="1:32" x14ac:dyDescent="0.2">
      <c r="A2479" s="1" t="s">
        <v>6466</v>
      </c>
      <c r="B2479" s="1" t="s">
        <v>5</v>
      </c>
      <c r="C2479" s="1" t="s">
        <v>1575</v>
      </c>
      <c r="D2479" s="1" t="s">
        <v>1578</v>
      </c>
      <c r="E2479" s="1" t="s">
        <v>2144</v>
      </c>
      <c r="F2479" s="1" t="s">
        <v>521</v>
      </c>
      <c r="G2479" s="4">
        <v>1</v>
      </c>
      <c r="H2479" s="28">
        <v>44316</v>
      </c>
      <c r="I2479" s="29">
        <f t="shared" si="2489"/>
        <v>2021</v>
      </c>
      <c r="J2479" s="1" t="s">
        <v>2622</v>
      </c>
      <c r="K2479" s="1" t="s">
        <v>2628</v>
      </c>
      <c r="L2479" s="11" t="str">
        <f t="shared" si="2466"/>
        <v>НЕТ</v>
      </c>
      <c r="M2479" s="10">
        <v>0</v>
      </c>
      <c r="N2479" s="10">
        <v>0</v>
      </c>
      <c r="O2479" s="10">
        <v>2.84</v>
      </c>
      <c r="P2479" s="10">
        <f t="shared" si="2482"/>
        <v>2.84</v>
      </c>
      <c r="Q2479" s="10">
        <f t="shared" si="2483"/>
        <v>2.71</v>
      </c>
      <c r="R2479" s="10" t="s">
        <v>1575</v>
      </c>
      <c r="S2479" s="10" t="s">
        <v>1575</v>
      </c>
      <c r="T2479" s="10" t="s">
        <v>1575</v>
      </c>
      <c r="U2479" s="10" t="s">
        <v>1575</v>
      </c>
      <c r="V2479" s="10">
        <v>2.84</v>
      </c>
      <c r="W2479" s="10">
        <f>0-0.13</f>
        <v>-0.13</v>
      </c>
      <c r="X2479" s="10">
        <f t="shared" si="2499"/>
        <v>2.71</v>
      </c>
      <c r="Y2479" s="10" t="str">
        <f t="shared" si="2500"/>
        <v>NA</v>
      </c>
      <c r="Z2479" s="10" t="str">
        <f t="shared" si="2501"/>
        <v>NA</v>
      </c>
      <c r="AA2479" s="10">
        <f t="shared" si="2502"/>
        <v>1</v>
      </c>
      <c r="AB2479" s="10" t="str">
        <f t="shared" si="2503"/>
        <v>NA</v>
      </c>
      <c r="AC2479" s="10" t="str">
        <f t="shared" si="2504"/>
        <v>NA</v>
      </c>
      <c r="AD2479" s="10" t="str">
        <f t="shared" si="2505"/>
        <v>NA</v>
      </c>
      <c r="AE2479" s="10">
        <f t="shared" si="2506"/>
        <v>1</v>
      </c>
      <c r="AF2479" s="1" t="s">
        <v>2635</v>
      </c>
    </row>
    <row r="2480" spans="1:32" x14ac:dyDescent="0.2">
      <c r="A2480" s="1" t="s">
        <v>6467</v>
      </c>
      <c r="B2480" s="1" t="s">
        <v>5</v>
      </c>
      <c r="C2480" s="1" t="s">
        <v>1575</v>
      </c>
      <c r="D2480" s="1" t="s">
        <v>1578</v>
      </c>
      <c r="E2480" s="1" t="s">
        <v>2315</v>
      </c>
      <c r="F2480" s="1" t="s">
        <v>2583</v>
      </c>
      <c r="G2480" s="4">
        <v>1</v>
      </c>
      <c r="H2480" s="28">
        <v>44105</v>
      </c>
      <c r="I2480" s="29">
        <f t="shared" si="2489"/>
        <v>2020</v>
      </c>
      <c r="J2480" s="1" t="s">
        <v>2622</v>
      </c>
      <c r="K2480" s="1" t="s">
        <v>2637</v>
      </c>
      <c r="L2480" s="11" t="str">
        <f t="shared" si="2466"/>
        <v>НЕТ</v>
      </c>
      <c r="M2480" s="10">
        <v>0</v>
      </c>
      <c r="N2480" s="10">
        <v>0</v>
      </c>
      <c r="O2480" s="10">
        <v>2.8130000000000002</v>
      </c>
      <c r="P2480" s="10">
        <f t="shared" si="2482"/>
        <v>2.8130000000000002</v>
      </c>
      <c r="Q2480" s="10" t="str">
        <f t="shared" si="2483"/>
        <v>NA</v>
      </c>
      <c r="R2480" s="10" t="s">
        <v>1575</v>
      </c>
      <c r="S2480" s="10" t="s">
        <v>1575</v>
      </c>
      <c r="T2480" s="10" t="s">
        <v>1575</v>
      </c>
      <c r="U2480" s="10" t="s">
        <v>1575</v>
      </c>
      <c r="V2480" s="10">
        <v>2.59</v>
      </c>
      <c r="W2480" s="10" t="s">
        <v>1575</v>
      </c>
      <c r="X2480" s="10" t="str">
        <f t="shared" si="2499"/>
        <v>NA</v>
      </c>
      <c r="Y2480" s="10" t="str">
        <f t="shared" si="2500"/>
        <v>NA</v>
      </c>
      <c r="Z2480" s="10" t="str">
        <f t="shared" si="2501"/>
        <v>NA</v>
      </c>
      <c r="AA2480" s="10">
        <f t="shared" si="2502"/>
        <v>1.0861003861003862</v>
      </c>
      <c r="AB2480" s="10" t="str">
        <f t="shared" si="2503"/>
        <v>NA</v>
      </c>
      <c r="AC2480" s="10" t="str">
        <f t="shared" si="2504"/>
        <v>NA</v>
      </c>
      <c r="AD2480" s="10" t="str">
        <f t="shared" si="2505"/>
        <v>NA</v>
      </c>
      <c r="AE2480" s="10" t="str">
        <f t="shared" si="2506"/>
        <v>NA</v>
      </c>
      <c r="AF2480" s="1" t="s">
        <v>2638</v>
      </c>
    </row>
    <row r="2481" spans="1:32" x14ac:dyDescent="0.2">
      <c r="A2481" s="1" t="s">
        <v>6468</v>
      </c>
      <c r="B2481" s="1" t="s">
        <v>5</v>
      </c>
      <c r="C2481" s="1" t="s">
        <v>1575</v>
      </c>
      <c r="D2481" s="1" t="s">
        <v>1578</v>
      </c>
      <c r="E2481" s="1" t="s">
        <v>2144</v>
      </c>
      <c r="F2481" s="1" t="s">
        <v>519</v>
      </c>
      <c r="G2481" s="4">
        <v>1</v>
      </c>
      <c r="H2481" s="28">
        <v>43742</v>
      </c>
      <c r="I2481" s="29">
        <f t="shared" si="2489"/>
        <v>2019</v>
      </c>
      <c r="J2481" s="1" t="s">
        <v>2622</v>
      </c>
      <c r="K2481" s="1" t="s">
        <v>7</v>
      </c>
      <c r="L2481" s="11" t="str">
        <f t="shared" si="2466"/>
        <v>НЕТ</v>
      </c>
      <c r="M2481" s="10">
        <v>0</v>
      </c>
      <c r="N2481" s="10">
        <v>0</v>
      </c>
      <c r="O2481" s="10">
        <v>1.6639999999999999</v>
      </c>
      <c r="P2481" s="10">
        <f t="shared" si="2482"/>
        <v>1.6639999999999999</v>
      </c>
      <c r="Q2481" s="10">
        <f t="shared" si="2483"/>
        <v>1.954</v>
      </c>
      <c r="R2481" s="10" t="s">
        <v>1575</v>
      </c>
      <c r="S2481" s="10" t="s">
        <v>1575</v>
      </c>
      <c r="T2481" s="10" t="s">
        <v>1575</v>
      </c>
      <c r="U2481" s="10" t="s">
        <v>1575</v>
      </c>
      <c r="V2481" s="10">
        <v>1.6639999999999999</v>
      </c>
      <c r="W2481" s="10">
        <f>0.29</f>
        <v>0.28999999999999998</v>
      </c>
      <c r="X2481" s="10">
        <f t="shared" si="2499"/>
        <v>1.954</v>
      </c>
      <c r="Y2481" s="10" t="str">
        <f t="shared" si="2500"/>
        <v>NA</v>
      </c>
      <c r="Z2481" s="10" t="str">
        <f t="shared" si="2501"/>
        <v>NA</v>
      </c>
      <c r="AA2481" s="10">
        <f t="shared" si="2502"/>
        <v>1</v>
      </c>
      <c r="AB2481" s="10" t="str">
        <f t="shared" si="2503"/>
        <v>NA</v>
      </c>
      <c r="AC2481" s="10" t="str">
        <f t="shared" si="2504"/>
        <v>NA</v>
      </c>
      <c r="AD2481" s="10" t="str">
        <f t="shared" si="2505"/>
        <v>NA</v>
      </c>
      <c r="AE2481" s="10">
        <f t="shared" si="2506"/>
        <v>1</v>
      </c>
      <c r="AF2481" s="1" t="s">
        <v>2641</v>
      </c>
    </row>
    <row r="2482" spans="1:32" x14ac:dyDescent="0.2">
      <c r="A2482" s="1" t="s">
        <v>6462</v>
      </c>
      <c r="B2482" s="1" t="s">
        <v>5</v>
      </c>
      <c r="C2482" s="1" t="s">
        <v>1575</v>
      </c>
      <c r="D2482" s="1" t="s">
        <v>1578</v>
      </c>
      <c r="E2482" s="1" t="s">
        <v>2144</v>
      </c>
      <c r="F2482" s="1" t="s">
        <v>521</v>
      </c>
      <c r="G2482" s="4">
        <v>0.75</v>
      </c>
      <c r="H2482" s="28">
        <v>43459</v>
      </c>
      <c r="I2482" s="29">
        <f t="shared" si="2489"/>
        <v>2018</v>
      </c>
      <c r="J2482" s="1" t="s">
        <v>2622</v>
      </c>
      <c r="K2482" s="1" t="s">
        <v>7</v>
      </c>
      <c r="L2482" s="11" t="str">
        <f t="shared" si="2466"/>
        <v>НЕТ</v>
      </c>
      <c r="M2482" s="10">
        <v>0</v>
      </c>
      <c r="N2482" s="10">
        <v>0</v>
      </c>
      <c r="O2482" s="10">
        <v>0.35</v>
      </c>
      <c r="P2482" s="10">
        <f t="shared" si="2482"/>
        <v>0.46666666666666662</v>
      </c>
      <c r="Q2482" s="10" t="str">
        <f t="shared" si="2483"/>
        <v>NA</v>
      </c>
      <c r="R2482" s="10" t="s">
        <v>1575</v>
      </c>
      <c r="S2482" s="10" t="s">
        <v>1575</v>
      </c>
      <c r="T2482" s="10" t="s">
        <v>1575</v>
      </c>
      <c r="U2482" s="10" t="s">
        <v>1575</v>
      </c>
      <c r="V2482" s="10" t="s">
        <v>1575</v>
      </c>
      <c r="W2482" s="10" t="s">
        <v>1575</v>
      </c>
      <c r="X2482" s="10" t="str">
        <f t="shared" si="2499"/>
        <v>NA</v>
      </c>
      <c r="Y2482" s="10" t="str">
        <f t="shared" si="2500"/>
        <v>NA</v>
      </c>
      <c r="Z2482" s="10" t="str">
        <f t="shared" si="2501"/>
        <v>NA</v>
      </c>
      <c r="AA2482" s="10" t="str">
        <f t="shared" si="2502"/>
        <v>NA</v>
      </c>
      <c r="AB2482" s="10" t="str">
        <f t="shared" si="2503"/>
        <v>NA</v>
      </c>
      <c r="AC2482" s="10" t="str">
        <f t="shared" si="2504"/>
        <v>NA</v>
      </c>
      <c r="AD2482" s="10" t="str">
        <f t="shared" si="2505"/>
        <v>NA</v>
      </c>
      <c r="AE2482" s="10" t="str">
        <f t="shared" si="2506"/>
        <v>NA</v>
      </c>
      <c r="AF2482" s="1" t="s">
        <v>2636</v>
      </c>
    </row>
    <row r="2483" spans="1:32" x14ac:dyDescent="0.2">
      <c r="A2483" s="1" t="s">
        <v>6469</v>
      </c>
      <c r="B2483" s="1" t="s">
        <v>5</v>
      </c>
      <c r="C2483" s="1" t="s">
        <v>1575</v>
      </c>
      <c r="D2483" s="1" t="s">
        <v>1578</v>
      </c>
      <c r="E2483" s="1" t="s">
        <v>2144</v>
      </c>
      <c r="F2483" s="1" t="s">
        <v>519</v>
      </c>
      <c r="G2483" s="4" t="s">
        <v>11</v>
      </c>
      <c r="H2483" s="28">
        <v>43455</v>
      </c>
      <c r="I2483" s="29">
        <f t="shared" si="2489"/>
        <v>2018</v>
      </c>
      <c r="J2483" s="1" t="s">
        <v>2622</v>
      </c>
      <c r="K2483" s="1" t="s">
        <v>2640</v>
      </c>
      <c r="L2483" s="11" t="str">
        <f t="shared" si="2466"/>
        <v>НЕТ</v>
      </c>
      <c r="M2483" s="10">
        <v>0</v>
      </c>
      <c r="N2483" s="10">
        <v>0</v>
      </c>
      <c r="O2483" s="10">
        <v>5.6390000000000002</v>
      </c>
      <c r="P2483" s="10" t="str">
        <f t="shared" si="2482"/>
        <v>NA</v>
      </c>
      <c r="Q2483" s="10" t="str">
        <f t="shared" si="2483"/>
        <v>NA</v>
      </c>
      <c r="R2483" s="10" t="s">
        <v>1575</v>
      </c>
      <c r="S2483" s="10" t="s">
        <v>1575</v>
      </c>
      <c r="T2483" s="10" t="s">
        <v>1575</v>
      </c>
      <c r="U2483" s="10" t="s">
        <v>1575</v>
      </c>
      <c r="V2483" s="10" t="s">
        <v>1575</v>
      </c>
      <c r="W2483" s="10" t="s">
        <v>1575</v>
      </c>
      <c r="X2483" s="10" t="str">
        <f t="shared" si="2499"/>
        <v>NA</v>
      </c>
      <c r="Y2483" s="10" t="str">
        <f t="shared" si="2500"/>
        <v>NA</v>
      </c>
      <c r="Z2483" s="10" t="str">
        <f t="shared" si="2501"/>
        <v>NA</v>
      </c>
      <c r="AA2483" s="10" t="str">
        <f t="shared" si="2502"/>
        <v>NA</v>
      </c>
      <c r="AB2483" s="10" t="str">
        <f t="shared" si="2503"/>
        <v>NA</v>
      </c>
      <c r="AC2483" s="10" t="str">
        <f t="shared" si="2504"/>
        <v>NA</v>
      </c>
      <c r="AD2483" s="10" t="str">
        <f t="shared" si="2505"/>
        <v>NA</v>
      </c>
      <c r="AE2483" s="10" t="str">
        <f t="shared" si="2506"/>
        <v>NA</v>
      </c>
      <c r="AF2483" s="1" t="s">
        <v>2639</v>
      </c>
    </row>
    <row r="2484" spans="1:32" x14ac:dyDescent="0.2">
      <c r="A2484" s="1" t="s">
        <v>6470</v>
      </c>
      <c r="B2484" s="1" t="s">
        <v>5</v>
      </c>
      <c r="C2484" s="1" t="s">
        <v>1575</v>
      </c>
      <c r="D2484" s="1" t="s">
        <v>1578</v>
      </c>
      <c r="E2484" s="1" t="s">
        <v>2144</v>
      </c>
      <c r="F2484" s="1" t="s">
        <v>519</v>
      </c>
      <c r="G2484" s="4">
        <v>1</v>
      </c>
      <c r="H2484" s="28">
        <v>43432</v>
      </c>
      <c r="I2484" s="29">
        <f t="shared" si="2489"/>
        <v>2018</v>
      </c>
      <c r="J2484" s="1" t="s">
        <v>2622</v>
      </c>
      <c r="K2484" s="1" t="s">
        <v>7</v>
      </c>
      <c r="L2484" s="11" t="str">
        <f t="shared" si="2466"/>
        <v>НЕТ</v>
      </c>
      <c r="M2484" s="10">
        <v>0</v>
      </c>
      <c r="N2484" s="10">
        <v>0</v>
      </c>
      <c r="O2484" s="10">
        <v>4.5880000000000001</v>
      </c>
      <c r="P2484" s="10">
        <f t="shared" si="2482"/>
        <v>4.5880000000000001</v>
      </c>
      <c r="Q2484" s="10">
        <f t="shared" si="2483"/>
        <v>4.9260000000000002</v>
      </c>
      <c r="R2484" s="10" t="s">
        <v>1575</v>
      </c>
      <c r="S2484" s="10" t="s">
        <v>1575</v>
      </c>
      <c r="T2484" s="10" t="s">
        <v>1575</v>
      </c>
      <c r="U2484" s="10" t="s">
        <v>1575</v>
      </c>
      <c r="V2484" s="10">
        <v>4.2149999999999999</v>
      </c>
      <c r="W2484" s="10">
        <f>0.31+0.028</f>
        <v>0.33800000000000002</v>
      </c>
      <c r="X2484" s="10">
        <f t="shared" si="2499"/>
        <v>4.5529999999999999</v>
      </c>
      <c r="Y2484" s="10" t="str">
        <f t="shared" si="2500"/>
        <v>NA</v>
      </c>
      <c r="Z2484" s="10" t="str">
        <f t="shared" si="2501"/>
        <v>NA</v>
      </c>
      <c r="AA2484" s="10">
        <f t="shared" si="2502"/>
        <v>1.0884934756820879</v>
      </c>
      <c r="AB2484" s="10" t="str">
        <f t="shared" si="2503"/>
        <v>NA</v>
      </c>
      <c r="AC2484" s="10" t="str">
        <f t="shared" si="2504"/>
        <v>NA</v>
      </c>
      <c r="AD2484" s="10" t="str">
        <f t="shared" si="2505"/>
        <v>NA</v>
      </c>
      <c r="AE2484" s="10">
        <f t="shared" si="2506"/>
        <v>1.0819240061497915</v>
      </c>
      <c r="AF2484" s="1" t="s">
        <v>2642</v>
      </c>
    </row>
    <row r="2485" spans="1:32" x14ac:dyDescent="0.2">
      <c r="A2485" s="1" t="s">
        <v>6471</v>
      </c>
      <c r="B2485" s="1" t="s">
        <v>5</v>
      </c>
      <c r="C2485" s="1" t="s">
        <v>1575</v>
      </c>
      <c r="D2485" s="1" t="s">
        <v>1578</v>
      </c>
      <c r="E2485" s="1" t="s">
        <v>2144</v>
      </c>
      <c r="F2485" s="1" t="s">
        <v>519</v>
      </c>
      <c r="G2485" s="4" t="s">
        <v>1575</v>
      </c>
      <c r="H2485" s="28">
        <v>43396</v>
      </c>
      <c r="I2485" s="29">
        <f t="shared" si="2489"/>
        <v>2018</v>
      </c>
      <c r="J2485" s="1" t="s">
        <v>2622</v>
      </c>
      <c r="K2485" s="1" t="s">
        <v>7</v>
      </c>
      <c r="L2485" s="11" t="str">
        <f t="shared" si="2466"/>
        <v>НЕТ</v>
      </c>
      <c r="M2485" s="10">
        <v>0</v>
      </c>
      <c r="N2485" s="10">
        <v>0</v>
      </c>
      <c r="O2485" s="10">
        <v>1.7989999999999999</v>
      </c>
      <c r="P2485" s="10" t="str">
        <f t="shared" si="2482"/>
        <v>NA</v>
      </c>
      <c r="Q2485" s="10" t="str">
        <f t="shared" si="2483"/>
        <v>NA</v>
      </c>
      <c r="R2485" s="10" t="s">
        <v>1575</v>
      </c>
      <c r="S2485" s="10" t="s">
        <v>1575</v>
      </c>
      <c r="T2485" s="10" t="s">
        <v>1575</v>
      </c>
      <c r="U2485" s="10" t="s">
        <v>1575</v>
      </c>
      <c r="V2485" s="10">
        <v>1.7989999999999999</v>
      </c>
      <c r="W2485" s="10">
        <v>0</v>
      </c>
      <c r="X2485" s="10">
        <f t="shared" si="2499"/>
        <v>1.7989999999999999</v>
      </c>
      <c r="Y2485" s="10" t="str">
        <f t="shared" si="2500"/>
        <v>NA</v>
      </c>
      <c r="Z2485" s="10" t="str">
        <f t="shared" si="2501"/>
        <v>NA</v>
      </c>
      <c r="AA2485" s="10" t="str">
        <f t="shared" si="2502"/>
        <v>NA</v>
      </c>
      <c r="AB2485" s="10" t="str">
        <f t="shared" si="2503"/>
        <v>NA</v>
      </c>
      <c r="AC2485" s="10" t="str">
        <f t="shared" si="2504"/>
        <v>NA</v>
      </c>
      <c r="AD2485" s="10" t="str">
        <f t="shared" si="2505"/>
        <v>NA</v>
      </c>
      <c r="AE2485" s="10" t="str">
        <f t="shared" si="2506"/>
        <v>NA</v>
      </c>
      <c r="AF2485" s="1" t="s">
        <v>2643</v>
      </c>
    </row>
    <row r="2486" spans="1:32" x14ac:dyDescent="0.2">
      <c r="A2486" s="1" t="s">
        <v>2646</v>
      </c>
      <c r="B2486" s="1" t="s">
        <v>5</v>
      </c>
      <c r="C2486" s="1" t="s">
        <v>1575</v>
      </c>
      <c r="D2486" s="1" t="s">
        <v>1578</v>
      </c>
      <c r="E2486" s="1" t="s">
        <v>1579</v>
      </c>
      <c r="F2486" s="1" t="s">
        <v>2644</v>
      </c>
      <c r="G2486" s="4">
        <v>1</v>
      </c>
      <c r="H2486" s="28">
        <v>42853</v>
      </c>
      <c r="I2486" s="29">
        <f t="shared" si="2489"/>
        <v>2017</v>
      </c>
      <c r="J2486" s="1" t="s">
        <v>2622</v>
      </c>
      <c r="K2486" s="1" t="s">
        <v>7</v>
      </c>
      <c r="L2486" s="11" t="str">
        <f t="shared" si="2466"/>
        <v>НЕТ</v>
      </c>
      <c r="M2486" s="10">
        <v>0</v>
      </c>
      <c r="N2486" s="10">
        <v>0</v>
      </c>
      <c r="O2486" s="10">
        <v>4.8719999999999999</v>
      </c>
      <c r="P2486" s="10">
        <f t="shared" si="2482"/>
        <v>4.8719999999999999</v>
      </c>
      <c r="Q2486" s="10">
        <f t="shared" si="2483"/>
        <v>6.4559999999999995</v>
      </c>
      <c r="R2486" s="10" t="s">
        <v>1575</v>
      </c>
      <c r="S2486" s="10" t="s">
        <v>1575</v>
      </c>
      <c r="T2486" s="10" t="s">
        <v>1575</v>
      </c>
      <c r="U2486" s="10" t="s">
        <v>1575</v>
      </c>
      <c r="V2486" s="10">
        <v>4.1746189999999999</v>
      </c>
      <c r="W2486" s="10">
        <f>0.626+0.958</f>
        <v>1.5840000000000001</v>
      </c>
      <c r="X2486" s="10">
        <f t="shared" si="2499"/>
        <v>5.7586189999999995</v>
      </c>
      <c r="Y2486" s="10" t="str">
        <f t="shared" si="2500"/>
        <v>NA</v>
      </c>
      <c r="Z2486" s="10" t="str">
        <f t="shared" si="2501"/>
        <v>NA</v>
      </c>
      <c r="AA2486" s="10">
        <f t="shared" si="2502"/>
        <v>1.1670526100705239</v>
      </c>
      <c r="AB2486" s="10" t="str">
        <f t="shared" si="2503"/>
        <v>NA</v>
      </c>
      <c r="AC2486" s="10" t="str">
        <f t="shared" si="2504"/>
        <v>NA</v>
      </c>
      <c r="AD2486" s="10" t="str">
        <f t="shared" si="2505"/>
        <v>NA</v>
      </c>
      <c r="AE2486" s="10">
        <f t="shared" si="2506"/>
        <v>1.1211021253533182</v>
      </c>
      <c r="AF2486" s="1" t="s">
        <v>2645</v>
      </c>
    </row>
    <row r="2487" spans="1:32" x14ac:dyDescent="0.2">
      <c r="A2487" s="1" t="s">
        <v>518</v>
      </c>
      <c r="B2487" s="1" t="s">
        <v>5</v>
      </c>
      <c r="C2487" s="1" t="s">
        <v>1575</v>
      </c>
      <c r="D2487" s="1" t="s">
        <v>1578</v>
      </c>
      <c r="E2487" s="1" t="s">
        <v>2144</v>
      </c>
      <c r="F2487" s="1" t="s">
        <v>519</v>
      </c>
      <c r="G2487" s="4">
        <v>1</v>
      </c>
      <c r="H2487" s="28">
        <v>41722</v>
      </c>
      <c r="I2487" s="29">
        <f t="shared" si="2489"/>
        <v>2014</v>
      </c>
      <c r="J2487" s="1" t="s">
        <v>2622</v>
      </c>
      <c r="K2487" s="1" t="s">
        <v>7</v>
      </c>
      <c r="L2487" s="11" t="str">
        <f t="shared" si="2466"/>
        <v>НЕТ</v>
      </c>
      <c r="M2487" s="10">
        <v>0</v>
      </c>
      <c r="N2487" s="10">
        <v>0</v>
      </c>
      <c r="O2487" s="10">
        <v>3.3061579999999999</v>
      </c>
      <c r="P2487" s="10">
        <f t="shared" si="2482"/>
        <v>3.3061579999999999</v>
      </c>
      <c r="Q2487" s="10" t="str">
        <f t="shared" si="2483"/>
        <v>NA</v>
      </c>
      <c r="R2487" s="10" t="s">
        <v>1575</v>
      </c>
      <c r="S2487" s="10" t="s">
        <v>1575</v>
      </c>
      <c r="T2487" s="10" t="s">
        <v>1575</v>
      </c>
      <c r="U2487" s="10" t="s">
        <v>1575</v>
      </c>
      <c r="V2487" s="10">
        <v>4.684552</v>
      </c>
      <c r="W2487" s="10" t="s">
        <v>1575</v>
      </c>
      <c r="X2487" s="10" t="str">
        <f t="shared" si="2499"/>
        <v>NA</v>
      </c>
      <c r="Y2487" s="10" t="str">
        <f t="shared" si="2500"/>
        <v>NA</v>
      </c>
      <c r="Z2487" s="10" t="str">
        <f t="shared" si="2501"/>
        <v>NA</v>
      </c>
      <c r="AA2487" s="10">
        <f t="shared" si="2502"/>
        <v>0.70575756230264919</v>
      </c>
      <c r="AB2487" s="10" t="str">
        <f t="shared" si="2503"/>
        <v>NA</v>
      </c>
      <c r="AC2487" s="10" t="str">
        <f t="shared" si="2504"/>
        <v>NA</v>
      </c>
      <c r="AD2487" s="10" t="str">
        <f t="shared" si="2505"/>
        <v>NA</v>
      </c>
      <c r="AE2487" s="10" t="str">
        <f t="shared" si="2506"/>
        <v>NA</v>
      </c>
      <c r="AF2487" s="1" t="s">
        <v>2647</v>
      </c>
    </row>
    <row r="2488" spans="1:32" x14ac:dyDescent="0.2">
      <c r="A2488" s="1" t="s">
        <v>520</v>
      </c>
      <c r="B2488" s="1" t="s">
        <v>5</v>
      </c>
      <c r="C2488" s="1" t="s">
        <v>1575</v>
      </c>
      <c r="D2488" s="1" t="s">
        <v>1578</v>
      </c>
      <c r="E2488" s="1" t="s">
        <v>2144</v>
      </c>
      <c r="F2488" s="1" t="s">
        <v>521</v>
      </c>
      <c r="G2488" s="4">
        <v>0.95</v>
      </c>
      <c r="H2488" s="28">
        <v>41378</v>
      </c>
      <c r="I2488" s="29">
        <f t="shared" si="2489"/>
        <v>2013</v>
      </c>
      <c r="J2488" s="1" t="s">
        <v>2622</v>
      </c>
      <c r="K2488" s="1" t="s">
        <v>7</v>
      </c>
      <c r="L2488" s="11" t="str">
        <f t="shared" si="2466"/>
        <v>НЕТ</v>
      </c>
      <c r="M2488" s="10">
        <v>1.1299999999999999</v>
      </c>
      <c r="N2488" s="10">
        <v>0</v>
      </c>
      <c r="O2488" s="10">
        <f>M2488*31.0834/1000</f>
        <v>3.5124241999999993E-2</v>
      </c>
      <c r="P2488" s="10">
        <f t="shared" si="2482"/>
        <v>3.6972886315789467E-2</v>
      </c>
      <c r="Q2488" s="10" t="str">
        <f t="shared" si="2483"/>
        <v>NA</v>
      </c>
      <c r="R2488" s="10" t="s">
        <v>1575</v>
      </c>
      <c r="S2488" s="10" t="s">
        <v>1575</v>
      </c>
      <c r="T2488" s="10" t="s">
        <v>1575</v>
      </c>
      <c r="U2488" s="10" t="s">
        <v>1575</v>
      </c>
      <c r="V2488" s="10" t="s">
        <v>1575</v>
      </c>
      <c r="W2488" s="10" t="s">
        <v>1575</v>
      </c>
      <c r="X2488" s="10" t="str">
        <f t="shared" si="2499"/>
        <v>NA</v>
      </c>
      <c r="Y2488" s="10" t="str">
        <f t="shared" si="2500"/>
        <v>NA</v>
      </c>
      <c r="Z2488" s="10" t="str">
        <f t="shared" si="2501"/>
        <v>NA</v>
      </c>
      <c r="AA2488" s="10" t="str">
        <f t="shared" si="2502"/>
        <v>NA</v>
      </c>
      <c r="AB2488" s="10" t="str">
        <f t="shared" si="2503"/>
        <v>NA</v>
      </c>
      <c r="AC2488" s="10" t="str">
        <f t="shared" si="2504"/>
        <v>NA</v>
      </c>
      <c r="AD2488" s="10" t="str">
        <f t="shared" si="2505"/>
        <v>NA</v>
      </c>
      <c r="AE2488" s="10" t="str">
        <f t="shared" si="2506"/>
        <v>NA</v>
      </c>
      <c r="AF2488" s="1" t="s">
        <v>2648</v>
      </c>
    </row>
    <row r="2489" spans="1:32" x14ac:dyDescent="0.2">
      <c r="A2489" s="1" t="s">
        <v>523</v>
      </c>
      <c r="B2489" s="1" t="s">
        <v>5</v>
      </c>
      <c r="C2489" s="1" t="s">
        <v>1575</v>
      </c>
      <c r="D2489" s="1" t="s">
        <v>1578</v>
      </c>
      <c r="E2489" s="1" t="s">
        <v>2144</v>
      </c>
      <c r="F2489" s="1" t="s">
        <v>521</v>
      </c>
      <c r="G2489" s="4">
        <v>1</v>
      </c>
      <c r="H2489" s="28">
        <v>41182</v>
      </c>
      <c r="I2489" s="29">
        <f t="shared" si="2489"/>
        <v>2012</v>
      </c>
      <c r="J2489" s="1" t="s">
        <v>2622</v>
      </c>
      <c r="K2489" s="1" t="s">
        <v>7</v>
      </c>
      <c r="L2489" s="11" t="str">
        <f t="shared" si="2466"/>
        <v>НЕТ</v>
      </c>
      <c r="M2489" s="10">
        <f>19.682+12.828</f>
        <v>32.51</v>
      </c>
      <c r="N2489" s="10">
        <v>0</v>
      </c>
      <c r="O2489" s="10">
        <f>M2489*30.9169/1000</f>
        <v>1.0051084189999999</v>
      </c>
      <c r="P2489" s="10">
        <f t="shared" si="2482"/>
        <v>1.0051084189999999</v>
      </c>
      <c r="Q2489" s="10" t="str">
        <f t="shared" si="2483"/>
        <v>NA</v>
      </c>
      <c r="R2489" s="10" t="s">
        <v>1575</v>
      </c>
      <c r="S2489" s="10" t="s">
        <v>1575</v>
      </c>
      <c r="T2489" s="10" t="s">
        <v>1575</v>
      </c>
      <c r="U2489" s="10" t="s">
        <v>1575</v>
      </c>
      <c r="V2489" s="10" t="s">
        <v>1575</v>
      </c>
      <c r="W2489" s="10" t="s">
        <v>1575</v>
      </c>
      <c r="X2489" s="10" t="str">
        <f t="shared" si="2499"/>
        <v>NA</v>
      </c>
      <c r="Y2489" s="10" t="str">
        <f t="shared" si="2500"/>
        <v>NA</v>
      </c>
      <c r="Z2489" s="10" t="str">
        <f t="shared" si="2501"/>
        <v>NA</v>
      </c>
      <c r="AA2489" s="10" t="str">
        <f t="shared" si="2502"/>
        <v>NA</v>
      </c>
      <c r="AB2489" s="10" t="str">
        <f t="shared" si="2503"/>
        <v>NA</v>
      </c>
      <c r="AC2489" s="10" t="str">
        <f t="shared" si="2504"/>
        <v>NA</v>
      </c>
      <c r="AD2489" s="10" t="str">
        <f t="shared" si="2505"/>
        <v>NA</v>
      </c>
      <c r="AE2489" s="10" t="str">
        <f t="shared" si="2506"/>
        <v>NA</v>
      </c>
      <c r="AF2489" s="1" t="s">
        <v>2650</v>
      </c>
    </row>
    <row r="2490" spans="1:32" x14ac:dyDescent="0.2">
      <c r="A2490" s="1" t="s">
        <v>524</v>
      </c>
      <c r="B2490" s="1" t="s">
        <v>5</v>
      </c>
      <c r="C2490" s="1" t="s">
        <v>1575</v>
      </c>
      <c r="D2490" s="1" t="s">
        <v>1578</v>
      </c>
      <c r="E2490" s="1" t="s">
        <v>2144</v>
      </c>
      <c r="F2490" s="1" t="s">
        <v>521</v>
      </c>
      <c r="G2490" s="4">
        <v>1.7600000000000001E-2</v>
      </c>
      <c r="H2490" s="28">
        <v>40999</v>
      </c>
      <c r="I2490" s="29">
        <f t="shared" si="2489"/>
        <v>2012</v>
      </c>
      <c r="J2490" s="1" t="s">
        <v>2622</v>
      </c>
      <c r="K2490" s="1" t="s">
        <v>7</v>
      </c>
      <c r="L2490" s="11" t="str">
        <f t="shared" si="2466"/>
        <v>НЕТ</v>
      </c>
      <c r="M2490" s="10">
        <v>9.4E-2</v>
      </c>
      <c r="N2490" s="10">
        <v>0</v>
      </c>
      <c r="O2490" s="10">
        <f>M2490*29.3282/1000</f>
        <v>2.7568508000000002E-3</v>
      </c>
      <c r="P2490" s="10">
        <f t="shared" si="2482"/>
        <v>0.15663925000000001</v>
      </c>
      <c r="Q2490" s="10" t="str">
        <f t="shared" si="2483"/>
        <v>NA</v>
      </c>
      <c r="R2490" s="10" t="s">
        <v>1575</v>
      </c>
      <c r="S2490" s="10" t="s">
        <v>1575</v>
      </c>
      <c r="T2490" s="10" t="s">
        <v>1575</v>
      </c>
      <c r="U2490" s="10" t="s">
        <v>1575</v>
      </c>
      <c r="V2490" s="10" t="s">
        <v>1575</v>
      </c>
      <c r="W2490" s="10" t="s">
        <v>1575</v>
      </c>
      <c r="X2490" s="10" t="str">
        <f t="shared" si="2499"/>
        <v>NA</v>
      </c>
      <c r="Y2490" s="10" t="str">
        <f t="shared" si="2500"/>
        <v>NA</v>
      </c>
      <c r="Z2490" s="10" t="str">
        <f t="shared" si="2501"/>
        <v>NA</v>
      </c>
      <c r="AA2490" s="10" t="str">
        <f t="shared" si="2502"/>
        <v>NA</v>
      </c>
      <c r="AB2490" s="10" t="str">
        <f t="shared" si="2503"/>
        <v>NA</v>
      </c>
      <c r="AC2490" s="10" t="str">
        <f t="shared" si="2504"/>
        <v>NA</v>
      </c>
      <c r="AD2490" s="10" t="str">
        <f t="shared" si="2505"/>
        <v>NA</v>
      </c>
      <c r="AE2490" s="10" t="str">
        <f t="shared" si="2506"/>
        <v>NA</v>
      </c>
      <c r="AF2490" s="1" t="s">
        <v>2651</v>
      </c>
    </row>
    <row r="2491" spans="1:32" x14ac:dyDescent="0.2">
      <c r="A2491" s="1" t="s">
        <v>525</v>
      </c>
      <c r="B2491" s="1" t="s">
        <v>5</v>
      </c>
      <c r="C2491" s="1" t="s">
        <v>1575</v>
      </c>
      <c r="D2491" s="1" t="s">
        <v>1578</v>
      </c>
      <c r="E2491" s="1" t="s">
        <v>2315</v>
      </c>
      <c r="F2491" s="1" t="s">
        <v>536</v>
      </c>
      <c r="G2491" s="4">
        <v>1.29E-2</v>
      </c>
      <c r="H2491" s="28">
        <v>40999</v>
      </c>
      <c r="I2491" s="29">
        <f t="shared" si="2489"/>
        <v>2012</v>
      </c>
      <c r="J2491" s="1" t="s">
        <v>2622</v>
      </c>
      <c r="K2491" s="1" t="s">
        <v>7</v>
      </c>
      <c r="L2491" s="11" t="str">
        <f t="shared" si="2466"/>
        <v>НЕТ</v>
      </c>
      <c r="M2491" s="10">
        <v>3.1E-2</v>
      </c>
      <c r="N2491" s="10">
        <v>0</v>
      </c>
      <c r="O2491" s="10">
        <f t="shared" ref="O2491:O2492" si="2509">M2491*29.3282/1000</f>
        <v>9.0917419999999997E-4</v>
      </c>
      <c r="P2491" s="10">
        <f t="shared" si="2482"/>
        <v>7.0478620155038751E-2</v>
      </c>
      <c r="Q2491" s="10" t="str">
        <f t="shared" si="2483"/>
        <v>NA</v>
      </c>
      <c r="R2491" s="10" t="s">
        <v>1575</v>
      </c>
      <c r="S2491" s="10" t="s">
        <v>1575</v>
      </c>
      <c r="T2491" s="10" t="s">
        <v>1575</v>
      </c>
      <c r="U2491" s="10" t="s">
        <v>1575</v>
      </c>
      <c r="V2491" s="10" t="s">
        <v>1575</v>
      </c>
      <c r="W2491" s="10" t="s">
        <v>1575</v>
      </c>
      <c r="X2491" s="10" t="str">
        <f t="shared" si="2499"/>
        <v>NA</v>
      </c>
      <c r="Y2491" s="10" t="str">
        <f t="shared" si="2500"/>
        <v>NA</v>
      </c>
      <c r="Z2491" s="10" t="str">
        <f t="shared" si="2501"/>
        <v>NA</v>
      </c>
      <c r="AA2491" s="10" t="str">
        <f t="shared" si="2502"/>
        <v>NA</v>
      </c>
      <c r="AB2491" s="10" t="str">
        <f t="shared" si="2503"/>
        <v>NA</v>
      </c>
      <c r="AC2491" s="10" t="str">
        <f t="shared" si="2504"/>
        <v>NA</v>
      </c>
      <c r="AD2491" s="10" t="str">
        <f t="shared" si="2505"/>
        <v>NA</v>
      </c>
      <c r="AE2491" s="10" t="str">
        <f t="shared" si="2506"/>
        <v>NA</v>
      </c>
      <c r="AF2491" s="1" t="s">
        <v>2651</v>
      </c>
    </row>
    <row r="2492" spans="1:32" x14ac:dyDescent="0.2">
      <c r="A2492" s="1" t="s">
        <v>526</v>
      </c>
      <c r="B2492" s="1" t="s">
        <v>5</v>
      </c>
      <c r="C2492" s="1" t="s">
        <v>1575</v>
      </c>
      <c r="D2492" s="1" t="s">
        <v>1578</v>
      </c>
      <c r="E2492" s="1" t="s">
        <v>2315</v>
      </c>
      <c r="F2492" s="1" t="s">
        <v>536</v>
      </c>
      <c r="G2492" s="4">
        <v>1.14E-2</v>
      </c>
      <c r="H2492" s="28">
        <v>40999</v>
      </c>
      <c r="I2492" s="29">
        <f t="shared" si="2489"/>
        <v>2012</v>
      </c>
      <c r="J2492" s="1" t="s">
        <v>2622</v>
      </c>
      <c r="K2492" s="1" t="s">
        <v>7</v>
      </c>
      <c r="L2492" s="11" t="str">
        <f t="shared" si="2466"/>
        <v>НЕТ</v>
      </c>
      <c r="M2492" s="10">
        <v>6.7000000000000004E-2</v>
      </c>
      <c r="N2492" s="10">
        <v>0</v>
      </c>
      <c r="O2492" s="10">
        <f t="shared" si="2509"/>
        <v>1.9649894E-3</v>
      </c>
      <c r="P2492" s="10">
        <f t="shared" si="2482"/>
        <v>0.17236749122807016</v>
      </c>
      <c r="Q2492" s="10" t="str">
        <f t="shared" si="2483"/>
        <v>NA</v>
      </c>
      <c r="R2492" s="10" t="s">
        <v>1575</v>
      </c>
      <c r="S2492" s="10" t="s">
        <v>1575</v>
      </c>
      <c r="T2492" s="10" t="s">
        <v>1575</v>
      </c>
      <c r="U2492" s="10" t="s">
        <v>1575</v>
      </c>
      <c r="V2492" s="10" t="s">
        <v>1575</v>
      </c>
      <c r="W2492" s="10" t="s">
        <v>1575</v>
      </c>
      <c r="X2492" s="10" t="str">
        <f t="shared" si="2499"/>
        <v>NA</v>
      </c>
      <c r="Y2492" s="10" t="str">
        <f t="shared" si="2500"/>
        <v>NA</v>
      </c>
      <c r="Z2492" s="10" t="str">
        <f t="shared" si="2501"/>
        <v>NA</v>
      </c>
      <c r="AA2492" s="10" t="str">
        <f t="shared" si="2502"/>
        <v>NA</v>
      </c>
      <c r="AB2492" s="10" t="str">
        <f t="shared" si="2503"/>
        <v>NA</v>
      </c>
      <c r="AC2492" s="10" t="str">
        <f t="shared" si="2504"/>
        <v>NA</v>
      </c>
      <c r="AD2492" s="10" t="str">
        <f t="shared" si="2505"/>
        <v>NA</v>
      </c>
      <c r="AE2492" s="10" t="str">
        <f t="shared" si="2506"/>
        <v>NA</v>
      </c>
      <c r="AF2492" s="1" t="s">
        <v>2651</v>
      </c>
    </row>
    <row r="2493" spans="1:32" x14ac:dyDescent="0.2">
      <c r="A2493" s="1" t="s">
        <v>527</v>
      </c>
      <c r="B2493" s="1" t="s">
        <v>5</v>
      </c>
      <c r="C2493" s="1" t="s">
        <v>1575</v>
      </c>
      <c r="D2493" s="1" t="s">
        <v>1578</v>
      </c>
      <c r="E2493" s="1" t="s">
        <v>2144</v>
      </c>
      <c r="F2493" s="1" t="s">
        <v>528</v>
      </c>
      <c r="G2493" s="4">
        <v>1</v>
      </c>
      <c r="H2493" s="28">
        <v>40682</v>
      </c>
      <c r="I2493" s="29">
        <f t="shared" si="2489"/>
        <v>2011</v>
      </c>
      <c r="J2493" s="1" t="s">
        <v>2622</v>
      </c>
      <c r="K2493" s="1" t="s">
        <v>2649</v>
      </c>
      <c r="L2493" s="11" t="str">
        <f t="shared" si="2466"/>
        <v>НЕТ</v>
      </c>
      <c r="M2493" s="10">
        <v>4.2679999999999998</v>
      </c>
      <c r="N2493" s="10">
        <v>0</v>
      </c>
      <c r="O2493" s="10">
        <f>M2493*28.429/1000</f>
        <v>0.121334972</v>
      </c>
      <c r="P2493" s="10">
        <f t="shared" si="2482"/>
        <v>0.121334972</v>
      </c>
      <c r="Q2493" s="10" t="str">
        <f t="shared" si="2483"/>
        <v>NA</v>
      </c>
      <c r="R2493" s="10" t="s">
        <v>1575</v>
      </c>
      <c r="S2493" s="10" t="s">
        <v>1575</v>
      </c>
      <c r="T2493" s="10" t="s">
        <v>1575</v>
      </c>
      <c r="U2493" s="10" t="s">
        <v>1575</v>
      </c>
      <c r="V2493" s="10" t="s">
        <v>1575</v>
      </c>
      <c r="W2493" s="10" t="s">
        <v>1575</v>
      </c>
      <c r="X2493" s="10" t="str">
        <f t="shared" si="2499"/>
        <v>NA</v>
      </c>
      <c r="Y2493" s="10" t="str">
        <f t="shared" si="2500"/>
        <v>NA</v>
      </c>
      <c r="Z2493" s="10" t="str">
        <f t="shared" si="2501"/>
        <v>NA</v>
      </c>
      <c r="AA2493" s="10" t="str">
        <f t="shared" si="2502"/>
        <v>NA</v>
      </c>
      <c r="AB2493" s="10" t="str">
        <f t="shared" si="2503"/>
        <v>NA</v>
      </c>
      <c r="AC2493" s="10" t="str">
        <f t="shared" si="2504"/>
        <v>NA</v>
      </c>
      <c r="AD2493" s="10" t="str">
        <f t="shared" si="2505"/>
        <v>NA</v>
      </c>
      <c r="AE2493" s="10" t="str">
        <f t="shared" si="2506"/>
        <v>NA</v>
      </c>
      <c r="AF2493" s="1" t="s">
        <v>2652</v>
      </c>
    </row>
    <row r="2494" spans="1:32" x14ac:dyDescent="0.2">
      <c r="A2494" s="1" t="s">
        <v>529</v>
      </c>
      <c r="B2494" s="1" t="s">
        <v>5</v>
      </c>
      <c r="C2494" s="1" t="s">
        <v>1575</v>
      </c>
      <c r="D2494" s="1" t="s">
        <v>1578</v>
      </c>
      <c r="E2494" s="1" t="s">
        <v>2144</v>
      </c>
      <c r="F2494" s="1" t="s">
        <v>528</v>
      </c>
      <c r="G2494" s="4">
        <v>1</v>
      </c>
      <c r="H2494" s="28">
        <v>40781</v>
      </c>
      <c r="I2494" s="29">
        <f t="shared" si="2489"/>
        <v>2011</v>
      </c>
      <c r="J2494" s="1" t="s">
        <v>2622</v>
      </c>
      <c r="K2494" s="1" t="s">
        <v>2649</v>
      </c>
      <c r="L2494" s="11" t="str">
        <f t="shared" si="2466"/>
        <v>НЕТ</v>
      </c>
      <c r="M2494" s="10">
        <v>10.387</v>
      </c>
      <c r="N2494" s="10">
        <v>0</v>
      </c>
      <c r="O2494" s="10">
        <f>M2494*28.0758/1000</f>
        <v>0.29162333460000001</v>
      </c>
      <c r="P2494" s="10">
        <f t="shared" si="2482"/>
        <v>0.29162333460000001</v>
      </c>
      <c r="Q2494" s="10" t="str">
        <f t="shared" si="2483"/>
        <v>NA</v>
      </c>
      <c r="R2494" s="10" t="s">
        <v>1575</v>
      </c>
      <c r="S2494" s="10" t="s">
        <v>1575</v>
      </c>
      <c r="T2494" s="10" t="s">
        <v>1575</v>
      </c>
      <c r="U2494" s="10" t="s">
        <v>1575</v>
      </c>
      <c r="V2494" s="10" t="s">
        <v>1575</v>
      </c>
      <c r="W2494" s="10" t="s">
        <v>1575</v>
      </c>
      <c r="X2494" s="10" t="str">
        <f t="shared" si="2499"/>
        <v>NA</v>
      </c>
      <c r="Y2494" s="10" t="str">
        <f t="shared" si="2500"/>
        <v>NA</v>
      </c>
      <c r="Z2494" s="10" t="str">
        <f t="shared" si="2501"/>
        <v>NA</v>
      </c>
      <c r="AA2494" s="10" t="str">
        <f t="shared" si="2502"/>
        <v>NA</v>
      </c>
      <c r="AB2494" s="10" t="str">
        <f t="shared" si="2503"/>
        <v>NA</v>
      </c>
      <c r="AC2494" s="10" t="str">
        <f t="shared" si="2504"/>
        <v>NA</v>
      </c>
      <c r="AD2494" s="10" t="str">
        <f t="shared" si="2505"/>
        <v>NA</v>
      </c>
      <c r="AE2494" s="10" t="str">
        <f t="shared" si="2506"/>
        <v>NA</v>
      </c>
      <c r="AF2494" s="1" t="s">
        <v>2653</v>
      </c>
    </row>
    <row r="2495" spans="1:32" x14ac:dyDescent="0.2">
      <c r="A2495" s="1" t="s">
        <v>530</v>
      </c>
      <c r="B2495" s="1" t="s">
        <v>5</v>
      </c>
      <c r="C2495" s="1" t="s">
        <v>1575</v>
      </c>
      <c r="D2495" s="1" t="s">
        <v>1578</v>
      </c>
      <c r="E2495" s="1" t="s">
        <v>2144</v>
      </c>
      <c r="F2495" s="1" t="s">
        <v>519</v>
      </c>
      <c r="G2495" s="4">
        <v>1</v>
      </c>
      <c r="H2495" s="28">
        <v>40675</v>
      </c>
      <c r="I2495" s="29">
        <f t="shared" si="2489"/>
        <v>2011</v>
      </c>
      <c r="J2495" s="1" t="s">
        <v>2622</v>
      </c>
      <c r="K2495" s="1" t="s">
        <v>7</v>
      </c>
      <c r="L2495" s="11" t="str">
        <f t="shared" si="2466"/>
        <v>НЕТ</v>
      </c>
      <c r="M2495" s="10">
        <f>44.235+23.66</f>
        <v>67.894999999999996</v>
      </c>
      <c r="N2495" s="10">
        <v>0</v>
      </c>
      <c r="O2495" s="10">
        <f>M2495*28.429/1000</f>
        <v>1.9301869549999999</v>
      </c>
      <c r="P2495" s="10">
        <f t="shared" si="2482"/>
        <v>1.9301869549999999</v>
      </c>
      <c r="Q2495" s="10">
        <f t="shared" si="2483"/>
        <v>7.5758167780000001</v>
      </c>
      <c r="R2495" s="10" t="s">
        <v>1575</v>
      </c>
      <c r="S2495" s="10" t="s">
        <v>1575</v>
      </c>
      <c r="T2495" s="10" t="s">
        <v>1575</v>
      </c>
      <c r="U2495" s="10" t="s">
        <v>1575</v>
      </c>
      <c r="V2495" s="10">
        <f>67.895*28.429/1000</f>
        <v>1.9301869549999999</v>
      </c>
      <c r="W2495" s="10">
        <f>(1.361+11.791+124.424+62.027-1.016)*28.429/1000</f>
        <v>5.6456298230000002</v>
      </c>
      <c r="X2495" s="10">
        <f t="shared" si="2499"/>
        <v>7.5758167780000001</v>
      </c>
      <c r="Y2495" s="10" t="str">
        <f t="shared" si="2500"/>
        <v>NA</v>
      </c>
      <c r="Z2495" s="10" t="str">
        <f t="shared" si="2501"/>
        <v>NA</v>
      </c>
      <c r="AA2495" s="10">
        <f t="shared" si="2502"/>
        <v>1</v>
      </c>
      <c r="AB2495" s="10" t="str">
        <f t="shared" si="2503"/>
        <v>NA</v>
      </c>
      <c r="AC2495" s="10" t="str">
        <f t="shared" si="2504"/>
        <v>NA</v>
      </c>
      <c r="AD2495" s="10" t="str">
        <f t="shared" si="2505"/>
        <v>NA</v>
      </c>
      <c r="AE2495" s="10">
        <f t="shared" si="2506"/>
        <v>1</v>
      </c>
      <c r="AF2495" s="1" t="s">
        <v>2654</v>
      </c>
    </row>
    <row r="2496" spans="1:32" x14ac:dyDescent="0.2">
      <c r="A2496" s="1" t="s">
        <v>531</v>
      </c>
      <c r="B2496" s="1" t="s">
        <v>5</v>
      </c>
      <c r="C2496" s="1" t="s">
        <v>1575</v>
      </c>
      <c r="D2496" s="1" t="s">
        <v>1578</v>
      </c>
      <c r="E2496" s="1" t="s">
        <v>2144</v>
      </c>
      <c r="F2496" s="1" t="s">
        <v>528</v>
      </c>
      <c r="G2496" s="4">
        <v>1</v>
      </c>
      <c r="H2496" s="28">
        <v>40543</v>
      </c>
      <c r="I2496" s="29">
        <f t="shared" si="2489"/>
        <v>2010</v>
      </c>
      <c r="J2496" s="1" t="s">
        <v>2622</v>
      </c>
      <c r="K2496" s="1" t="s">
        <v>2649</v>
      </c>
      <c r="L2496" s="11" t="str">
        <f t="shared" si="2466"/>
        <v>НЕТ</v>
      </c>
      <c r="M2496" s="10">
        <v>10.686</v>
      </c>
      <c r="N2496" s="10">
        <v>0</v>
      </c>
      <c r="O2496" s="10">
        <v>0.32500899999999999</v>
      </c>
      <c r="P2496" s="10">
        <f t="shared" si="2482"/>
        <v>0.32500899999999999</v>
      </c>
      <c r="Q2496" s="10" t="str">
        <f t="shared" si="2483"/>
        <v>NA</v>
      </c>
      <c r="R2496" s="10" t="s">
        <v>1575</v>
      </c>
      <c r="S2496" s="10" t="s">
        <v>1575</v>
      </c>
      <c r="T2496" s="10" t="s">
        <v>1575</v>
      </c>
      <c r="U2496" s="10" t="s">
        <v>1575</v>
      </c>
      <c r="V2496" s="10" t="s">
        <v>1575</v>
      </c>
      <c r="W2496" s="10" t="s">
        <v>1575</v>
      </c>
      <c r="X2496" s="10" t="str">
        <f t="shared" si="2499"/>
        <v>NA</v>
      </c>
      <c r="Y2496" s="10" t="str">
        <f t="shared" si="2500"/>
        <v>NA</v>
      </c>
      <c r="Z2496" s="10" t="str">
        <f t="shared" si="2501"/>
        <v>NA</v>
      </c>
      <c r="AA2496" s="10" t="str">
        <f t="shared" si="2502"/>
        <v>NA</v>
      </c>
      <c r="AB2496" s="10" t="str">
        <f t="shared" si="2503"/>
        <v>NA</v>
      </c>
      <c r="AC2496" s="10" t="str">
        <f t="shared" si="2504"/>
        <v>NA</v>
      </c>
      <c r="AD2496" s="10" t="str">
        <f t="shared" si="2505"/>
        <v>NA</v>
      </c>
      <c r="AE2496" s="10" t="str">
        <f t="shared" si="2506"/>
        <v>NA</v>
      </c>
      <c r="AF2496" s="1" t="s">
        <v>2655</v>
      </c>
    </row>
    <row r="2497" spans="1:32" x14ac:dyDescent="0.2">
      <c r="A2497" s="1" t="s">
        <v>533</v>
      </c>
      <c r="B2497" s="1" t="s">
        <v>5</v>
      </c>
      <c r="C2497" s="1" t="s">
        <v>1575</v>
      </c>
      <c r="D2497" s="1" t="s">
        <v>1578</v>
      </c>
      <c r="E2497" s="1" t="s">
        <v>2144</v>
      </c>
      <c r="F2497" s="1" t="s">
        <v>521</v>
      </c>
      <c r="G2497" s="4">
        <v>1</v>
      </c>
      <c r="H2497" s="28">
        <v>40436</v>
      </c>
      <c r="I2497" s="29">
        <f t="shared" si="2489"/>
        <v>2010</v>
      </c>
      <c r="J2497" s="1" t="s">
        <v>2622</v>
      </c>
      <c r="K2497" s="1" t="s">
        <v>7</v>
      </c>
      <c r="L2497" s="11" t="str">
        <f t="shared" si="2466"/>
        <v>НЕТ</v>
      </c>
      <c r="M2497" s="10">
        <v>4.1059999999999999</v>
      </c>
      <c r="N2497" s="10">
        <v>0</v>
      </c>
      <c r="O2497" s="10">
        <f>M2497*30.7049/1000</f>
        <v>0.1260743194</v>
      </c>
      <c r="P2497" s="10">
        <f t="shared" si="2482"/>
        <v>0.1260743194</v>
      </c>
      <c r="Q2497" s="10">
        <f t="shared" si="2483"/>
        <v>0.13227670920000001</v>
      </c>
      <c r="R2497" s="10" t="s">
        <v>1575</v>
      </c>
      <c r="S2497" s="10" t="s">
        <v>1575</v>
      </c>
      <c r="T2497" s="10" t="s">
        <v>1575</v>
      </c>
      <c r="U2497" s="10" t="s">
        <v>1575</v>
      </c>
      <c r="V2497" s="10">
        <f>(0.088+4.142+0.078-0.202)*30.7049/1000</f>
        <v>0.12607431940000002</v>
      </c>
      <c r="W2497" s="10">
        <f>0.202*30.7049/1000</f>
        <v>6.2023897999999994E-3</v>
      </c>
      <c r="X2497" s="10">
        <f t="shared" si="2499"/>
        <v>0.13227670920000001</v>
      </c>
      <c r="Y2497" s="10" t="str">
        <f t="shared" si="2500"/>
        <v>NA</v>
      </c>
      <c r="Z2497" s="10" t="str">
        <f t="shared" si="2501"/>
        <v>NA</v>
      </c>
      <c r="AA2497" s="10">
        <f t="shared" si="2502"/>
        <v>0.99999999999999978</v>
      </c>
      <c r="AB2497" s="10" t="str">
        <f t="shared" si="2503"/>
        <v>NA</v>
      </c>
      <c r="AC2497" s="10" t="str">
        <f t="shared" si="2504"/>
        <v>NA</v>
      </c>
      <c r="AD2497" s="10" t="str">
        <f t="shared" si="2505"/>
        <v>NA</v>
      </c>
      <c r="AE2497" s="10">
        <f t="shared" si="2506"/>
        <v>1</v>
      </c>
      <c r="AF2497" s="1" t="s">
        <v>2656</v>
      </c>
    </row>
    <row r="2498" spans="1:32" x14ac:dyDescent="0.2">
      <c r="A2498" s="1" t="s">
        <v>534</v>
      </c>
      <c r="B2498" s="1" t="s">
        <v>5</v>
      </c>
      <c r="C2498" s="1" t="s">
        <v>1575</v>
      </c>
      <c r="D2498" s="1" t="s">
        <v>1578</v>
      </c>
      <c r="E2498" s="1" t="s">
        <v>2144</v>
      </c>
      <c r="F2498" s="1" t="s">
        <v>519</v>
      </c>
      <c r="G2498" s="4">
        <v>1</v>
      </c>
      <c r="H2498" s="28">
        <v>40437</v>
      </c>
      <c r="I2498" s="29">
        <f t="shared" si="2489"/>
        <v>2010</v>
      </c>
      <c r="J2498" s="1" t="s">
        <v>2622</v>
      </c>
      <c r="K2498" s="1" t="s">
        <v>7</v>
      </c>
      <c r="L2498" s="11" t="str">
        <f t="shared" si="2466"/>
        <v>НЕТ</v>
      </c>
      <c r="M2498" s="10">
        <v>5.2110000000000003</v>
      </c>
      <c r="N2498" s="10">
        <v>0</v>
      </c>
      <c r="O2498" s="10">
        <f>M2498*30.7407/1000</f>
        <v>0.1601897877</v>
      </c>
      <c r="P2498" s="10">
        <f t="shared" si="2482"/>
        <v>0.1601897877</v>
      </c>
      <c r="Q2498" s="10">
        <f t="shared" si="2483"/>
        <v>0.17107199549999999</v>
      </c>
      <c r="R2498" s="10" t="s">
        <v>1575</v>
      </c>
      <c r="S2498" s="10" t="s">
        <v>1575</v>
      </c>
      <c r="T2498" s="10" t="s">
        <v>1575</v>
      </c>
      <c r="U2498" s="10" t="s">
        <v>1575</v>
      </c>
      <c r="V2498" s="10">
        <f>(0.1+2.275+3.19-0.354)*30.7407/1000</f>
        <v>0.16018978769999997</v>
      </c>
      <c r="W2498" s="10">
        <f>0.354*30.7407/1000</f>
        <v>1.08822078E-2</v>
      </c>
      <c r="X2498" s="10">
        <f t="shared" si="2499"/>
        <v>0.17107199549999996</v>
      </c>
      <c r="Y2498" s="10" t="str">
        <f t="shared" si="2500"/>
        <v>NA</v>
      </c>
      <c r="Z2498" s="10" t="str">
        <f t="shared" si="2501"/>
        <v>NA</v>
      </c>
      <c r="AA2498" s="10">
        <f t="shared" si="2502"/>
        <v>1.0000000000000002</v>
      </c>
      <c r="AB2498" s="10" t="str">
        <f t="shared" si="2503"/>
        <v>NA</v>
      </c>
      <c r="AC2498" s="10" t="str">
        <f t="shared" si="2504"/>
        <v>NA</v>
      </c>
      <c r="AD2498" s="10" t="str">
        <f t="shared" si="2505"/>
        <v>NA</v>
      </c>
      <c r="AE2498" s="10">
        <f t="shared" si="2506"/>
        <v>1.0000000000000002</v>
      </c>
      <c r="AF2498" s="1" t="s">
        <v>2657</v>
      </c>
    </row>
    <row r="2499" spans="1:32" x14ac:dyDescent="0.2">
      <c r="A2499" s="1" t="s">
        <v>532</v>
      </c>
      <c r="B2499" s="1" t="s">
        <v>5</v>
      </c>
      <c r="C2499" s="1" t="s">
        <v>1575</v>
      </c>
      <c r="D2499" s="1" t="s">
        <v>1578</v>
      </c>
      <c r="E2499" s="1" t="s">
        <v>2144</v>
      </c>
      <c r="F2499" s="1" t="s">
        <v>519</v>
      </c>
      <c r="G2499" s="4">
        <v>4.4699999999999997E-2</v>
      </c>
      <c r="H2499" s="28">
        <v>40268</v>
      </c>
      <c r="I2499" s="29">
        <f t="shared" si="2489"/>
        <v>2010</v>
      </c>
      <c r="J2499" s="1" t="s">
        <v>2622</v>
      </c>
      <c r="K2499" s="1" t="s">
        <v>7</v>
      </c>
      <c r="L2499" s="11" t="str">
        <f t="shared" si="2466"/>
        <v>НЕТ</v>
      </c>
      <c r="M2499" s="10">
        <v>0.55700000000000005</v>
      </c>
      <c r="N2499" s="10">
        <v>0</v>
      </c>
      <c r="O2499" s="10">
        <f>M2499*29.3638/1000</f>
        <v>1.6355636600000001E-2</v>
      </c>
      <c r="P2499" s="10">
        <f t="shared" ref="P2499:P2562" si="2510">IFERROR(O2499/G2499,"NA")</f>
        <v>0.36589791051454146</v>
      </c>
      <c r="Q2499" s="10" t="str">
        <f t="shared" ref="Q2499:Q2562" si="2511">IFERROR(P2499+W2499,"NA")</f>
        <v>NA</v>
      </c>
      <c r="R2499" s="10" t="s">
        <v>1575</v>
      </c>
      <c r="S2499" s="10" t="s">
        <v>1575</v>
      </c>
      <c r="T2499" s="10" t="s">
        <v>1575</v>
      </c>
      <c r="U2499" s="10" t="s">
        <v>1575</v>
      </c>
      <c r="V2499" s="10" t="s">
        <v>1575</v>
      </c>
      <c r="W2499" s="10" t="s">
        <v>1575</v>
      </c>
      <c r="X2499" s="10" t="str">
        <f t="shared" si="2499"/>
        <v>NA</v>
      </c>
      <c r="Y2499" s="10" t="str">
        <f t="shared" si="2500"/>
        <v>NA</v>
      </c>
      <c r="Z2499" s="10" t="str">
        <f t="shared" si="2501"/>
        <v>NA</v>
      </c>
      <c r="AA2499" s="10" t="str">
        <f t="shared" si="2502"/>
        <v>NA</v>
      </c>
      <c r="AB2499" s="10" t="str">
        <f t="shared" si="2503"/>
        <v>NA</v>
      </c>
      <c r="AC2499" s="10" t="str">
        <f t="shared" si="2504"/>
        <v>NA</v>
      </c>
      <c r="AD2499" s="10" t="str">
        <f t="shared" si="2505"/>
        <v>NA</v>
      </c>
      <c r="AE2499" s="10" t="str">
        <f t="shared" si="2506"/>
        <v>NA</v>
      </c>
      <c r="AF2499" s="1" t="s">
        <v>2658</v>
      </c>
    </row>
    <row r="2500" spans="1:32" x14ac:dyDescent="0.2">
      <c r="A2500" s="1" t="s">
        <v>535</v>
      </c>
      <c r="B2500" s="1" t="s">
        <v>5</v>
      </c>
      <c r="C2500" s="1" t="s">
        <v>1575</v>
      </c>
      <c r="D2500" s="1" t="s">
        <v>1578</v>
      </c>
      <c r="E2500" s="1" t="s">
        <v>2315</v>
      </c>
      <c r="F2500" s="1" t="s">
        <v>536</v>
      </c>
      <c r="G2500" s="4">
        <v>4.9099999999999998E-2</v>
      </c>
      <c r="H2500" s="28">
        <v>40178</v>
      </c>
      <c r="I2500" s="29">
        <f t="shared" si="2489"/>
        <v>2009</v>
      </c>
      <c r="J2500" s="1" t="s">
        <v>2622</v>
      </c>
      <c r="K2500" s="1" t="s">
        <v>7</v>
      </c>
      <c r="L2500" s="11" t="str">
        <f t="shared" si="2466"/>
        <v>НЕТ</v>
      </c>
      <c r="M2500" s="10">
        <v>0.185</v>
      </c>
      <c r="N2500" s="10">
        <v>0</v>
      </c>
      <c r="O2500" s="10">
        <f>M2500*30.2442/1000</f>
        <v>5.5951769999999998E-3</v>
      </c>
      <c r="P2500" s="10">
        <f t="shared" si="2510"/>
        <v>0.1139547250509165</v>
      </c>
      <c r="Q2500" s="10">
        <f t="shared" si="2511"/>
        <v>0.23538518805091652</v>
      </c>
      <c r="R2500" s="10" t="s">
        <v>1575</v>
      </c>
      <c r="S2500" s="10" t="s">
        <v>1575</v>
      </c>
      <c r="T2500" s="10" t="s">
        <v>1575</v>
      </c>
      <c r="U2500" s="10" t="s">
        <v>1575</v>
      </c>
      <c r="V2500" s="10">
        <f>(0.441+0.298+6.15+0.313+0.057-3.103-0.219-0.912)*30.2442/1000</f>
        <v>9.1488705000000031E-2</v>
      </c>
      <c r="W2500" s="10">
        <f>(3.103+0.912)*30.2442/1000</f>
        <v>0.12143046300000002</v>
      </c>
      <c r="X2500" s="10">
        <f t="shared" si="2499"/>
        <v>0.21291916800000005</v>
      </c>
      <c r="Y2500" s="10" t="str">
        <f t="shared" si="2500"/>
        <v>NA</v>
      </c>
      <c r="Z2500" s="10" t="str">
        <f t="shared" si="2501"/>
        <v>NA</v>
      </c>
      <c r="AA2500" s="10">
        <f t="shared" si="2502"/>
        <v>1.2455605864233892</v>
      </c>
      <c r="AB2500" s="10" t="str">
        <f t="shared" si="2503"/>
        <v>NA</v>
      </c>
      <c r="AC2500" s="10" t="str">
        <f t="shared" si="2504"/>
        <v>NA</v>
      </c>
      <c r="AD2500" s="10" t="str">
        <f t="shared" si="2505"/>
        <v>NA</v>
      </c>
      <c r="AE2500" s="10">
        <f t="shared" si="2506"/>
        <v>1.1055143144788</v>
      </c>
      <c r="AF2500" s="1" t="s">
        <v>2661</v>
      </c>
    </row>
    <row r="2501" spans="1:32" x14ac:dyDescent="0.2">
      <c r="A2501" s="1" t="s">
        <v>535</v>
      </c>
      <c r="B2501" s="1" t="s">
        <v>5</v>
      </c>
      <c r="C2501" s="1" t="s">
        <v>1575</v>
      </c>
      <c r="D2501" s="1" t="s">
        <v>1578</v>
      </c>
      <c r="E2501" s="1" t="s">
        <v>2315</v>
      </c>
      <c r="F2501" s="1" t="s">
        <v>536</v>
      </c>
      <c r="G2501" s="4">
        <v>0.57289999999999996</v>
      </c>
      <c r="H2501" s="28">
        <v>39875</v>
      </c>
      <c r="I2501" s="29">
        <f t="shared" si="2489"/>
        <v>2009</v>
      </c>
      <c r="J2501" s="1" t="s">
        <v>2622</v>
      </c>
      <c r="K2501" s="1" t="s">
        <v>7</v>
      </c>
      <c r="L2501" s="11" t="str">
        <f t="shared" si="2466"/>
        <v>НЕТ</v>
      </c>
      <c r="M2501" s="10">
        <v>1.867</v>
      </c>
      <c r="N2501" s="10">
        <v>0</v>
      </c>
      <c r="O2501" s="10">
        <f>M2501*36.1644/1000</f>
        <v>6.7518934799999999E-2</v>
      </c>
      <c r="P2501" s="10">
        <f t="shared" si="2510"/>
        <v>0.11785466015011346</v>
      </c>
      <c r="Q2501" s="10">
        <f t="shared" si="2511"/>
        <v>0.23928512315011347</v>
      </c>
      <c r="R2501" s="10" t="s">
        <v>1575</v>
      </c>
      <c r="S2501" s="10" t="s">
        <v>1575</v>
      </c>
      <c r="T2501" s="10" t="s">
        <v>1575</v>
      </c>
      <c r="U2501" s="10" t="s">
        <v>1575</v>
      </c>
      <c r="V2501" s="10">
        <f>(0.441+0.298+6.15+0.313+0.057-3.103-0.219-0.912)*30.2442/1000</f>
        <v>9.1488705000000031E-2</v>
      </c>
      <c r="W2501" s="10">
        <f>(3.103+0.912)*30.2442/1000</f>
        <v>0.12143046300000002</v>
      </c>
      <c r="X2501" s="10">
        <f t="shared" si="2499"/>
        <v>0.21291916800000005</v>
      </c>
      <c r="Y2501" s="10" t="str">
        <f t="shared" si="2500"/>
        <v>NA</v>
      </c>
      <c r="Z2501" s="10" t="str">
        <f t="shared" si="2501"/>
        <v>NA</v>
      </c>
      <c r="AA2501" s="10">
        <f t="shared" si="2502"/>
        <v>1.2881880899955183</v>
      </c>
      <c r="AB2501" s="10" t="str">
        <f t="shared" si="2503"/>
        <v>NA</v>
      </c>
      <c r="AC2501" s="10" t="str">
        <f t="shared" si="2504"/>
        <v>NA</v>
      </c>
      <c r="AD2501" s="10" t="str">
        <f t="shared" si="2505"/>
        <v>NA</v>
      </c>
      <c r="AE2501" s="10">
        <f t="shared" si="2506"/>
        <v>1.1238308199199492</v>
      </c>
      <c r="AF2501" s="1" t="s">
        <v>2659</v>
      </c>
    </row>
    <row r="2502" spans="1:32" x14ac:dyDescent="0.2">
      <c r="A2502" s="1" t="s">
        <v>537</v>
      </c>
      <c r="B2502" s="1" t="s">
        <v>5</v>
      </c>
      <c r="C2502" s="1" t="s">
        <v>1575</v>
      </c>
      <c r="D2502" s="1" t="s">
        <v>1578</v>
      </c>
      <c r="E2502" s="1" t="s">
        <v>2315</v>
      </c>
      <c r="F2502" s="1" t="s">
        <v>536</v>
      </c>
      <c r="G2502" s="4">
        <v>0.11700000000000001</v>
      </c>
      <c r="H2502" s="28">
        <v>40178</v>
      </c>
      <c r="I2502" s="29">
        <f t="shared" si="2489"/>
        <v>2009</v>
      </c>
      <c r="J2502" s="1" t="s">
        <v>2622</v>
      </c>
      <c r="K2502" s="1" t="s">
        <v>7</v>
      </c>
      <c r="L2502" s="11" t="str">
        <f t="shared" si="2466"/>
        <v>НЕТ</v>
      </c>
      <c r="M2502" s="10">
        <v>0.10199999999999999</v>
      </c>
      <c r="N2502" s="10">
        <v>0</v>
      </c>
      <c r="O2502" s="10">
        <f>M2502*30.2442/1000</f>
        <v>3.0849083999999996E-3</v>
      </c>
      <c r="P2502" s="10">
        <f t="shared" si="2510"/>
        <v>2.6366738461538457E-2</v>
      </c>
      <c r="Q2502" s="10" t="str">
        <f t="shared" si="2511"/>
        <v>NA</v>
      </c>
      <c r="R2502" s="10" t="s">
        <v>1575</v>
      </c>
      <c r="S2502" s="10" t="s">
        <v>1575</v>
      </c>
      <c r="T2502" s="10" t="s">
        <v>1575</v>
      </c>
      <c r="U2502" s="10" t="s">
        <v>1575</v>
      </c>
      <c r="V2502" s="10" t="s">
        <v>1575</v>
      </c>
      <c r="W2502" s="10" t="s">
        <v>1575</v>
      </c>
      <c r="X2502" s="10" t="str">
        <f t="shared" si="2499"/>
        <v>NA</v>
      </c>
      <c r="Y2502" s="10" t="str">
        <f t="shared" si="2500"/>
        <v>NA</v>
      </c>
      <c r="Z2502" s="10" t="str">
        <f t="shared" si="2501"/>
        <v>NA</v>
      </c>
      <c r="AA2502" s="10" t="str">
        <f t="shared" si="2502"/>
        <v>NA</v>
      </c>
      <c r="AB2502" s="10" t="str">
        <f t="shared" si="2503"/>
        <v>NA</v>
      </c>
      <c r="AC2502" s="10" t="str">
        <f t="shared" si="2504"/>
        <v>NA</v>
      </c>
      <c r="AD2502" s="10" t="str">
        <f t="shared" si="2505"/>
        <v>NA</v>
      </c>
      <c r="AE2502" s="10" t="str">
        <f t="shared" si="2506"/>
        <v>NA</v>
      </c>
      <c r="AF2502" s="1" t="s">
        <v>2660</v>
      </c>
    </row>
    <row r="2503" spans="1:32" x14ac:dyDescent="0.2">
      <c r="A2503" s="1" t="s">
        <v>538</v>
      </c>
      <c r="B2503" s="1" t="s">
        <v>5</v>
      </c>
      <c r="C2503" s="1" t="s">
        <v>1575</v>
      </c>
      <c r="D2503" s="1" t="s">
        <v>1578</v>
      </c>
      <c r="E2503" s="1" t="s">
        <v>2144</v>
      </c>
      <c r="F2503" s="1" t="s">
        <v>521</v>
      </c>
      <c r="G2503" s="4">
        <v>0.06</v>
      </c>
      <c r="H2503" s="28">
        <v>40178</v>
      </c>
      <c r="I2503" s="29">
        <f t="shared" si="2489"/>
        <v>2009</v>
      </c>
      <c r="J2503" s="1" t="s">
        <v>7</v>
      </c>
      <c r="K2503" s="1" t="s">
        <v>2622</v>
      </c>
      <c r="L2503" s="11" t="str">
        <f t="shared" si="2466"/>
        <v>НЕТ</v>
      </c>
      <c r="M2503" s="10">
        <v>0</v>
      </c>
      <c r="N2503" s="10">
        <v>0</v>
      </c>
      <c r="O2503" s="10">
        <v>1.2E-5</v>
      </c>
      <c r="P2503" s="10">
        <f t="shared" si="2510"/>
        <v>2.0000000000000001E-4</v>
      </c>
      <c r="Q2503" s="10" t="str">
        <f t="shared" si="2511"/>
        <v>NA</v>
      </c>
      <c r="R2503" s="10" t="s">
        <v>1575</v>
      </c>
      <c r="S2503" s="10" t="s">
        <v>1575</v>
      </c>
      <c r="T2503" s="10" t="s">
        <v>1575</v>
      </c>
      <c r="U2503" s="10" t="s">
        <v>1575</v>
      </c>
      <c r="V2503" s="10" t="s">
        <v>1575</v>
      </c>
      <c r="W2503" s="10" t="s">
        <v>1575</v>
      </c>
      <c r="X2503" s="10" t="str">
        <f t="shared" si="2499"/>
        <v>NA</v>
      </c>
      <c r="Y2503" s="10" t="str">
        <f t="shared" si="2500"/>
        <v>NA</v>
      </c>
      <c r="Z2503" s="10" t="str">
        <f t="shared" si="2501"/>
        <v>NA</v>
      </c>
      <c r="AA2503" s="10" t="str">
        <f t="shared" si="2502"/>
        <v>NA</v>
      </c>
      <c r="AB2503" s="10" t="str">
        <f t="shared" si="2503"/>
        <v>NA</v>
      </c>
      <c r="AC2503" s="10" t="str">
        <f t="shared" si="2504"/>
        <v>NA</v>
      </c>
      <c r="AD2503" s="10" t="str">
        <f t="shared" si="2505"/>
        <v>NA</v>
      </c>
      <c r="AE2503" s="10" t="str">
        <f t="shared" si="2506"/>
        <v>NA</v>
      </c>
      <c r="AF2503" s="1" t="s">
        <v>2662</v>
      </c>
    </row>
    <row r="2504" spans="1:32" x14ac:dyDescent="0.2">
      <c r="A2504" s="1" t="s">
        <v>6472</v>
      </c>
      <c r="B2504" s="1" t="s">
        <v>5</v>
      </c>
      <c r="C2504" s="1" t="s">
        <v>1575</v>
      </c>
      <c r="D2504" s="1" t="s">
        <v>1578</v>
      </c>
      <c r="E2504" s="1" t="s">
        <v>2112</v>
      </c>
      <c r="F2504" s="1" t="s">
        <v>2403</v>
      </c>
      <c r="G2504" s="4">
        <v>1</v>
      </c>
      <c r="H2504" s="28">
        <v>44620</v>
      </c>
      <c r="I2504" s="29">
        <f t="shared" si="2489"/>
        <v>2022</v>
      </c>
      <c r="J2504" s="1" t="s">
        <v>2398</v>
      </c>
      <c r="K2504" s="1" t="s">
        <v>7</v>
      </c>
      <c r="L2504" s="11" t="str">
        <f t="shared" si="2466"/>
        <v>НЕТ</v>
      </c>
      <c r="M2504" s="10">
        <v>0</v>
      </c>
      <c r="N2504" s="10">
        <v>0</v>
      </c>
      <c r="O2504" s="10">
        <v>0.7</v>
      </c>
      <c r="P2504" s="10">
        <f t="shared" si="2510"/>
        <v>0.7</v>
      </c>
      <c r="Q2504" s="10">
        <f t="shared" si="2511"/>
        <v>1.27</v>
      </c>
      <c r="R2504" s="10" t="s">
        <v>1575</v>
      </c>
      <c r="S2504" s="10" t="s">
        <v>1575</v>
      </c>
      <c r="T2504" s="10" t="s">
        <v>1575</v>
      </c>
      <c r="U2504" s="10" t="s">
        <v>1575</v>
      </c>
      <c r="V2504" s="10">
        <v>0.30199999999999999</v>
      </c>
      <c r="W2504" s="10">
        <f>0.066+0.501+0.005+0.104-0.106</f>
        <v>0.56999999999999995</v>
      </c>
      <c r="X2504" s="10">
        <f t="shared" si="2499"/>
        <v>0.87199999999999989</v>
      </c>
      <c r="Y2504" s="10" t="str">
        <f t="shared" si="2500"/>
        <v>NA</v>
      </c>
      <c r="Z2504" s="10" t="str">
        <f t="shared" si="2501"/>
        <v>NA</v>
      </c>
      <c r="AA2504" s="10">
        <f t="shared" si="2502"/>
        <v>2.3178807947019866</v>
      </c>
      <c r="AB2504" s="10" t="str">
        <f t="shared" si="2503"/>
        <v>NA</v>
      </c>
      <c r="AC2504" s="10" t="str">
        <f t="shared" si="2504"/>
        <v>NA</v>
      </c>
      <c r="AD2504" s="10" t="str">
        <f t="shared" si="2505"/>
        <v>NA</v>
      </c>
      <c r="AE2504" s="10">
        <f t="shared" si="2506"/>
        <v>1.4564220183486241</v>
      </c>
      <c r="AF2504" s="1" t="s">
        <v>2404</v>
      </c>
    </row>
    <row r="2505" spans="1:32" x14ac:dyDescent="0.2">
      <c r="A2505" s="1" t="s">
        <v>6473</v>
      </c>
      <c r="B2505" s="1" t="s">
        <v>5</v>
      </c>
      <c r="C2505" s="1" t="s">
        <v>1575</v>
      </c>
      <c r="D2505" s="1" t="s">
        <v>1578</v>
      </c>
      <c r="E2505" s="1" t="s">
        <v>2112</v>
      </c>
      <c r="F2505" s="1" t="s">
        <v>2403</v>
      </c>
      <c r="G2505" s="4">
        <v>1</v>
      </c>
      <c r="H2505" s="28">
        <v>44804</v>
      </c>
      <c r="I2505" s="29">
        <f t="shared" si="2489"/>
        <v>2022</v>
      </c>
      <c r="J2505" s="1" t="s">
        <v>2398</v>
      </c>
      <c r="K2505" s="1" t="s">
        <v>7</v>
      </c>
      <c r="L2505" s="11" t="str">
        <f t="shared" si="2466"/>
        <v>НЕТ</v>
      </c>
      <c r="M2505" s="10">
        <v>0</v>
      </c>
      <c r="N2505" s="10">
        <v>0</v>
      </c>
      <c r="O2505" s="10">
        <v>0.248</v>
      </c>
      <c r="P2505" s="10">
        <f t="shared" si="2510"/>
        <v>0.248</v>
      </c>
      <c r="Q2505" s="10">
        <f t="shared" si="2511"/>
        <v>0.51400000000000001</v>
      </c>
      <c r="R2505" s="10" t="s">
        <v>1575</v>
      </c>
      <c r="S2505" s="10" t="s">
        <v>1575</v>
      </c>
      <c r="T2505" s="10" t="s">
        <v>1575</v>
      </c>
      <c r="U2505" s="10" t="s">
        <v>1575</v>
      </c>
      <c r="V2505" s="10">
        <v>5.3999999999999999E-2</v>
      </c>
      <c r="W2505" s="10">
        <f>0.234+0.001+0.053-0.022</f>
        <v>0.26600000000000001</v>
      </c>
      <c r="X2505" s="10">
        <f t="shared" si="2499"/>
        <v>0.32</v>
      </c>
      <c r="Y2505" s="10" t="str">
        <f t="shared" si="2500"/>
        <v>NA</v>
      </c>
      <c r="Z2505" s="10" t="str">
        <f t="shared" si="2501"/>
        <v>NA</v>
      </c>
      <c r="AA2505" s="10">
        <f t="shared" si="2502"/>
        <v>4.5925925925925926</v>
      </c>
      <c r="AB2505" s="10" t="str">
        <f t="shared" si="2503"/>
        <v>NA</v>
      </c>
      <c r="AC2505" s="10" t="str">
        <f t="shared" si="2504"/>
        <v>NA</v>
      </c>
      <c r="AD2505" s="10" t="str">
        <f t="shared" si="2505"/>
        <v>NA</v>
      </c>
      <c r="AE2505" s="10">
        <f t="shared" si="2506"/>
        <v>1.60625</v>
      </c>
      <c r="AF2505" s="1" t="s">
        <v>2405</v>
      </c>
    </row>
    <row r="2506" spans="1:32" x14ac:dyDescent="0.2">
      <c r="A2506" s="1" t="s">
        <v>6474</v>
      </c>
      <c r="B2506" s="1" t="s">
        <v>5</v>
      </c>
      <c r="C2506" s="1" t="s">
        <v>1575</v>
      </c>
      <c r="D2506" s="1" t="s">
        <v>1578</v>
      </c>
      <c r="E2506" s="1" t="s">
        <v>2112</v>
      </c>
      <c r="F2506" s="1" t="s">
        <v>2400</v>
      </c>
      <c r="G2506" s="4">
        <v>1</v>
      </c>
      <c r="H2506" s="28">
        <v>44530</v>
      </c>
      <c r="I2506" s="29">
        <f t="shared" si="2489"/>
        <v>2021</v>
      </c>
      <c r="J2506" s="1" t="s">
        <v>2398</v>
      </c>
      <c r="K2506" s="1" t="s">
        <v>7</v>
      </c>
      <c r="L2506" s="11" t="str">
        <f t="shared" si="2466"/>
        <v>НЕТ</v>
      </c>
      <c r="M2506" s="10">
        <v>0</v>
      </c>
      <c r="N2506" s="10">
        <v>0</v>
      </c>
      <c r="O2506" s="10">
        <v>0.23799999999999999</v>
      </c>
      <c r="P2506" s="10">
        <f t="shared" si="2510"/>
        <v>0.23799999999999999</v>
      </c>
      <c r="Q2506" s="10" t="str">
        <f t="shared" si="2511"/>
        <v>NA</v>
      </c>
      <c r="R2506" s="10" t="s">
        <v>1575</v>
      </c>
      <c r="S2506" s="10" t="s">
        <v>1575</v>
      </c>
      <c r="T2506" s="10" t="s">
        <v>1575</v>
      </c>
      <c r="U2506" s="10" t="s">
        <v>1575</v>
      </c>
      <c r="V2506" s="10">
        <v>3.6999999999999998E-2</v>
      </c>
      <c r="W2506" s="10" t="s">
        <v>1575</v>
      </c>
      <c r="X2506" s="10" t="str">
        <f t="shared" si="2499"/>
        <v>NA</v>
      </c>
      <c r="Y2506" s="10" t="str">
        <f t="shared" si="2500"/>
        <v>NA</v>
      </c>
      <c r="Z2506" s="10" t="str">
        <f t="shared" si="2501"/>
        <v>NA</v>
      </c>
      <c r="AA2506" s="10">
        <f t="shared" si="2502"/>
        <v>6.4324324324324325</v>
      </c>
      <c r="AB2506" s="10" t="str">
        <f t="shared" si="2503"/>
        <v>NA</v>
      </c>
      <c r="AC2506" s="10" t="str">
        <f t="shared" si="2504"/>
        <v>NA</v>
      </c>
      <c r="AD2506" s="10" t="str">
        <f t="shared" si="2505"/>
        <v>NA</v>
      </c>
      <c r="AE2506" s="10" t="str">
        <f t="shared" si="2506"/>
        <v>NA</v>
      </c>
      <c r="AF2506" s="1" t="s">
        <v>2399</v>
      </c>
    </row>
    <row r="2507" spans="1:32" x14ac:dyDescent="0.2">
      <c r="A2507" s="1" t="s">
        <v>6475</v>
      </c>
      <c r="B2507" s="1" t="s">
        <v>5</v>
      </c>
      <c r="C2507" s="1" t="s">
        <v>1575</v>
      </c>
      <c r="D2507" s="1" t="s">
        <v>1578</v>
      </c>
      <c r="E2507" s="1" t="s">
        <v>2112</v>
      </c>
      <c r="F2507" s="1" t="s">
        <v>2402</v>
      </c>
      <c r="G2507" s="4">
        <v>1</v>
      </c>
      <c r="H2507" s="28">
        <v>44551</v>
      </c>
      <c r="I2507" s="29">
        <f t="shared" si="2489"/>
        <v>2021</v>
      </c>
      <c r="J2507" s="1" t="s">
        <v>7</v>
      </c>
      <c r="K2507" s="1" t="s">
        <v>2398</v>
      </c>
      <c r="L2507" s="11" t="str">
        <f t="shared" si="2466"/>
        <v>НЕТ</v>
      </c>
      <c r="M2507" s="10">
        <v>0</v>
      </c>
      <c r="N2507" s="10">
        <v>0</v>
      </c>
      <c r="O2507" s="10">
        <v>7.9569999999999999</v>
      </c>
      <c r="P2507" s="10">
        <f t="shared" si="2510"/>
        <v>7.9569999999999999</v>
      </c>
      <c r="Q2507" s="10">
        <f t="shared" si="2511"/>
        <v>19.036999999999999</v>
      </c>
      <c r="R2507" s="10">
        <v>15.327</v>
      </c>
      <c r="S2507" s="10" t="s">
        <v>1575</v>
      </c>
      <c r="T2507" s="10" t="s">
        <v>1575</v>
      </c>
      <c r="U2507" s="10">
        <v>-1.1419999999999999</v>
      </c>
      <c r="V2507" s="10">
        <v>-0.52800000000000002</v>
      </c>
      <c r="W2507" s="10">
        <f>0.217+1.589+0.242+9.637-0.414-0.191</f>
        <v>11.08</v>
      </c>
      <c r="X2507" s="10">
        <f t="shared" si="2499"/>
        <v>10.552</v>
      </c>
      <c r="Y2507" s="10">
        <f t="shared" si="2500"/>
        <v>0.51914921380570234</v>
      </c>
      <c r="Z2507" s="10">
        <f t="shared" si="2501"/>
        <v>-6.9676007005253942</v>
      </c>
      <c r="AA2507" s="10">
        <f t="shared" si="2502"/>
        <v>-15.070075757575756</v>
      </c>
      <c r="AB2507" s="10">
        <f t="shared" si="2503"/>
        <v>1.2420565015984864</v>
      </c>
      <c r="AC2507" s="10" t="str">
        <f t="shared" si="2504"/>
        <v>NA</v>
      </c>
      <c r="AD2507" s="10" t="str">
        <f t="shared" si="2505"/>
        <v>NA</v>
      </c>
      <c r="AE2507" s="10">
        <f t="shared" si="2506"/>
        <v>1.8041129643669447</v>
      </c>
      <c r="AF2507" s="1" t="s">
        <v>2401</v>
      </c>
    </row>
    <row r="2508" spans="1:32" x14ac:dyDescent="0.2">
      <c r="A2508" s="1" t="s">
        <v>6476</v>
      </c>
      <c r="B2508" s="1" t="s">
        <v>5</v>
      </c>
      <c r="C2508" s="1" t="s">
        <v>1575</v>
      </c>
      <c r="D2508" s="1" t="s">
        <v>1578</v>
      </c>
      <c r="E2508" s="1" t="s">
        <v>2112</v>
      </c>
      <c r="F2508" s="1" t="s">
        <v>2403</v>
      </c>
      <c r="G2508" s="4">
        <v>1</v>
      </c>
      <c r="H2508" s="28">
        <v>42400</v>
      </c>
      <c r="I2508" s="29">
        <f t="shared" si="2489"/>
        <v>2016</v>
      </c>
      <c r="J2508" s="1" t="s">
        <v>2398</v>
      </c>
      <c r="K2508" s="1" t="s">
        <v>7</v>
      </c>
      <c r="L2508" s="11" t="str">
        <f t="shared" si="2466"/>
        <v>НЕТ</v>
      </c>
      <c r="M2508" s="10">
        <v>0</v>
      </c>
      <c r="N2508" s="10">
        <v>0</v>
      </c>
      <c r="O2508" s="10" t="s">
        <v>1575</v>
      </c>
      <c r="P2508" s="10" t="str">
        <f t="shared" si="2510"/>
        <v>NA</v>
      </c>
      <c r="Q2508" s="10" t="str">
        <f t="shared" si="2511"/>
        <v>NA</v>
      </c>
      <c r="R2508" s="10" t="s">
        <v>1575</v>
      </c>
      <c r="S2508" s="10" t="s">
        <v>1575</v>
      </c>
      <c r="T2508" s="10" t="s">
        <v>1575</v>
      </c>
      <c r="U2508" s="10" t="s">
        <v>1575</v>
      </c>
      <c r="V2508" s="10">
        <f>7.464-2.451</f>
        <v>5.0129999999999999</v>
      </c>
      <c r="W2508" s="10">
        <f>1.143+0.813</f>
        <v>1.956</v>
      </c>
      <c r="X2508" s="10">
        <f t="shared" si="2499"/>
        <v>6.9689999999999994</v>
      </c>
      <c r="Y2508" s="10" t="str">
        <f t="shared" si="2500"/>
        <v>NA</v>
      </c>
      <c r="Z2508" s="10" t="str">
        <f t="shared" si="2501"/>
        <v>NA</v>
      </c>
      <c r="AA2508" s="10" t="str">
        <f t="shared" si="2502"/>
        <v>NA</v>
      </c>
      <c r="AB2508" s="10" t="str">
        <f t="shared" si="2503"/>
        <v>NA</v>
      </c>
      <c r="AC2508" s="10" t="str">
        <f t="shared" si="2504"/>
        <v>NA</v>
      </c>
      <c r="AD2508" s="10" t="str">
        <f t="shared" si="2505"/>
        <v>NA</v>
      </c>
      <c r="AE2508" s="10" t="str">
        <f t="shared" si="2506"/>
        <v>NA</v>
      </c>
      <c r="AF2508" s="1" t="s">
        <v>2406</v>
      </c>
    </row>
    <row r="2509" spans="1:32" x14ac:dyDescent="0.2">
      <c r="A2509" s="1" t="s">
        <v>6477</v>
      </c>
      <c r="B2509" s="1" t="s">
        <v>5</v>
      </c>
      <c r="C2509" s="1" t="s">
        <v>1575</v>
      </c>
      <c r="D2509" s="1" t="s">
        <v>1578</v>
      </c>
      <c r="E2509" s="1" t="s">
        <v>2112</v>
      </c>
      <c r="F2509" s="1" t="s">
        <v>2403</v>
      </c>
      <c r="G2509" s="4">
        <v>1</v>
      </c>
      <c r="H2509" s="28">
        <v>42733</v>
      </c>
      <c r="I2509" s="29">
        <f t="shared" si="2489"/>
        <v>2016</v>
      </c>
      <c r="J2509" s="1" t="s">
        <v>7</v>
      </c>
      <c r="K2509" s="1" t="s">
        <v>2398</v>
      </c>
      <c r="L2509" s="11" t="str">
        <f t="shared" si="2466"/>
        <v>НЕТ</v>
      </c>
      <c r="M2509" s="10">
        <v>0</v>
      </c>
      <c r="N2509" s="10">
        <v>0</v>
      </c>
      <c r="O2509" s="10">
        <v>0</v>
      </c>
      <c r="P2509" s="10">
        <f t="shared" si="2510"/>
        <v>0</v>
      </c>
      <c r="Q2509" s="10">
        <f t="shared" si="2511"/>
        <v>0</v>
      </c>
      <c r="R2509" s="10" t="s">
        <v>1575</v>
      </c>
      <c r="S2509" s="10" t="s">
        <v>1575</v>
      </c>
      <c r="T2509" s="10" t="s">
        <v>1575</v>
      </c>
      <c r="U2509" s="10" t="s">
        <v>1575</v>
      </c>
      <c r="V2509" s="10">
        <v>0.66200000000000003</v>
      </c>
      <c r="W2509" s="10">
        <v>0</v>
      </c>
      <c r="X2509" s="10">
        <f t="shared" si="2499"/>
        <v>0.66200000000000003</v>
      </c>
      <c r="Y2509" s="10" t="str">
        <f t="shared" si="2500"/>
        <v>NA</v>
      </c>
      <c r="Z2509" s="10" t="str">
        <f t="shared" si="2501"/>
        <v>NA</v>
      </c>
      <c r="AA2509" s="10">
        <f t="shared" si="2502"/>
        <v>0</v>
      </c>
      <c r="AB2509" s="10" t="str">
        <f t="shared" si="2503"/>
        <v>NA</v>
      </c>
      <c r="AC2509" s="10" t="str">
        <f t="shared" si="2504"/>
        <v>NA</v>
      </c>
      <c r="AD2509" s="10" t="str">
        <f t="shared" si="2505"/>
        <v>NA</v>
      </c>
      <c r="AE2509" s="10">
        <f t="shared" si="2506"/>
        <v>0</v>
      </c>
      <c r="AF2509" s="1" t="s">
        <v>2408</v>
      </c>
    </row>
    <row r="2510" spans="1:32" x14ac:dyDescent="0.2">
      <c r="A2510" s="1" t="s">
        <v>6478</v>
      </c>
      <c r="B2510" s="1" t="s">
        <v>5</v>
      </c>
      <c r="C2510" s="1" t="s">
        <v>1575</v>
      </c>
      <c r="D2510" s="1" t="s">
        <v>1578</v>
      </c>
      <c r="E2510" s="1" t="s">
        <v>2112</v>
      </c>
      <c r="F2510" s="1" t="s">
        <v>2403</v>
      </c>
      <c r="G2510" s="4">
        <v>1</v>
      </c>
      <c r="H2510" s="28">
        <v>42369</v>
      </c>
      <c r="I2510" s="29">
        <f t="shared" si="2489"/>
        <v>2015</v>
      </c>
      <c r="J2510" s="1" t="s">
        <v>7</v>
      </c>
      <c r="K2510" s="1" t="s">
        <v>2398</v>
      </c>
      <c r="L2510" s="11" t="str">
        <f t="shared" si="2466"/>
        <v>НЕТ</v>
      </c>
      <c r="M2510" s="10">
        <v>0</v>
      </c>
      <c r="N2510" s="10">
        <v>0</v>
      </c>
      <c r="O2510" s="10">
        <v>0</v>
      </c>
      <c r="P2510" s="10">
        <f t="shared" si="2510"/>
        <v>0</v>
      </c>
      <c r="Q2510" s="10">
        <f t="shared" si="2511"/>
        <v>-0.28900000000000003</v>
      </c>
      <c r="R2510" s="10" t="s">
        <v>1575</v>
      </c>
      <c r="S2510" s="10" t="s">
        <v>1575</v>
      </c>
      <c r="T2510" s="10" t="s">
        <v>1575</v>
      </c>
      <c r="U2510" s="10" t="s">
        <v>1575</v>
      </c>
      <c r="V2510" s="10">
        <v>0.44</v>
      </c>
      <c r="W2510" s="10">
        <f>0.171-0.46</f>
        <v>-0.28900000000000003</v>
      </c>
      <c r="X2510" s="10">
        <f t="shared" si="2499"/>
        <v>0.15099999999999997</v>
      </c>
      <c r="Y2510" s="10" t="str">
        <f t="shared" si="2500"/>
        <v>NA</v>
      </c>
      <c r="Z2510" s="10" t="str">
        <f t="shared" si="2501"/>
        <v>NA</v>
      </c>
      <c r="AA2510" s="10">
        <f t="shared" si="2502"/>
        <v>0</v>
      </c>
      <c r="AB2510" s="10" t="str">
        <f t="shared" si="2503"/>
        <v>NA</v>
      </c>
      <c r="AC2510" s="10" t="str">
        <f t="shared" si="2504"/>
        <v>NA</v>
      </c>
      <c r="AD2510" s="10" t="str">
        <f t="shared" si="2505"/>
        <v>NA</v>
      </c>
      <c r="AE2510" s="10">
        <f t="shared" si="2506"/>
        <v>-1.9139072847682126</v>
      </c>
      <c r="AF2510" s="1" t="s">
        <v>2409</v>
      </c>
    </row>
    <row r="2511" spans="1:32" x14ac:dyDescent="0.2">
      <c r="A2511" s="1" t="s">
        <v>6479</v>
      </c>
      <c r="B2511" s="1" t="s">
        <v>5</v>
      </c>
      <c r="C2511" s="1" t="s">
        <v>1575</v>
      </c>
      <c r="D2511" s="1" t="s">
        <v>1578</v>
      </c>
      <c r="E2511" s="1" t="s">
        <v>2112</v>
      </c>
      <c r="F2511" s="1" t="s">
        <v>539</v>
      </c>
      <c r="G2511" s="4">
        <v>1</v>
      </c>
      <c r="H2511" s="28">
        <v>42469</v>
      </c>
      <c r="I2511" s="29">
        <f t="shared" si="2489"/>
        <v>2016</v>
      </c>
      <c r="J2511" s="1" t="s">
        <v>6480</v>
      </c>
      <c r="K2511" s="1" t="s">
        <v>7</v>
      </c>
      <c r="L2511" s="11" t="str">
        <f t="shared" si="2466"/>
        <v>НЕТ</v>
      </c>
      <c r="M2511" s="10">
        <v>0</v>
      </c>
      <c r="N2511" s="10">
        <v>0</v>
      </c>
      <c r="O2511" s="10">
        <v>2.4140000000000001</v>
      </c>
      <c r="P2511" s="10">
        <f t="shared" si="2510"/>
        <v>2.4140000000000001</v>
      </c>
      <c r="Q2511" s="10">
        <f t="shared" si="2511"/>
        <v>2.952</v>
      </c>
      <c r="R2511" s="10" t="s">
        <v>1575</v>
      </c>
      <c r="S2511" s="10" t="s">
        <v>1575</v>
      </c>
      <c r="T2511" s="10" t="s">
        <v>1575</v>
      </c>
      <c r="U2511" s="10" t="s">
        <v>1575</v>
      </c>
      <c r="V2511" s="10">
        <v>0.44</v>
      </c>
      <c r="W2511" s="10">
        <f>0.008+0.761-0.231</f>
        <v>0.53800000000000003</v>
      </c>
      <c r="X2511" s="10">
        <f t="shared" si="2499"/>
        <v>0.97799999999999998</v>
      </c>
      <c r="Y2511" s="10" t="str">
        <f t="shared" si="2500"/>
        <v>NA</v>
      </c>
      <c r="Z2511" s="10" t="str">
        <f t="shared" si="2501"/>
        <v>NA</v>
      </c>
      <c r="AA2511" s="10">
        <f t="shared" si="2502"/>
        <v>5.4863636363636363</v>
      </c>
      <c r="AB2511" s="10" t="str">
        <f t="shared" si="2503"/>
        <v>NA</v>
      </c>
      <c r="AC2511" s="10" t="str">
        <f t="shared" si="2504"/>
        <v>NA</v>
      </c>
      <c r="AD2511" s="10" t="str">
        <f t="shared" si="2505"/>
        <v>NA</v>
      </c>
      <c r="AE2511" s="10">
        <f t="shared" si="2506"/>
        <v>3.01840490797546</v>
      </c>
      <c r="AF2511" s="1" t="s">
        <v>2407</v>
      </c>
    </row>
    <row r="2512" spans="1:32" x14ac:dyDescent="0.2">
      <c r="A2512" s="1" t="s">
        <v>6481</v>
      </c>
      <c r="B2512" s="1" t="s">
        <v>5</v>
      </c>
      <c r="C2512" s="1" t="s">
        <v>1575</v>
      </c>
      <c r="D2512" s="1" t="s">
        <v>1578</v>
      </c>
      <c r="E2512" s="1" t="s">
        <v>2112</v>
      </c>
      <c r="F2512" s="1" t="s">
        <v>2403</v>
      </c>
      <c r="G2512" s="4">
        <v>1</v>
      </c>
      <c r="H2512" s="28">
        <v>42004</v>
      </c>
      <c r="I2512" s="29">
        <f t="shared" si="2489"/>
        <v>2014</v>
      </c>
      <c r="J2512" s="1" t="s">
        <v>7</v>
      </c>
      <c r="K2512" s="1" t="s">
        <v>2398</v>
      </c>
      <c r="L2512" s="11" t="str">
        <f t="shared" si="2466"/>
        <v>НЕТ</v>
      </c>
      <c r="M2512" s="10">
        <v>0</v>
      </c>
      <c r="N2512" s="10">
        <v>0</v>
      </c>
      <c r="O2512" s="10">
        <v>0.999</v>
      </c>
      <c r="P2512" s="10">
        <f t="shared" si="2510"/>
        <v>0.999</v>
      </c>
      <c r="Q2512" s="10">
        <f t="shared" si="2511"/>
        <v>1.329</v>
      </c>
      <c r="R2512" s="10">
        <v>2.5009999999999999</v>
      </c>
      <c r="S2512" s="10" t="s">
        <v>1575</v>
      </c>
      <c r="T2512" s="10" t="s">
        <v>1575</v>
      </c>
      <c r="U2512" s="10">
        <v>-0.39900000000000002</v>
      </c>
      <c r="V2512" s="10">
        <v>0.19700000000000001</v>
      </c>
      <c r="W2512" s="10">
        <f>0.08+0.381-0.131</f>
        <v>0.33</v>
      </c>
      <c r="X2512" s="10">
        <f t="shared" si="2499"/>
        <v>0.52700000000000002</v>
      </c>
      <c r="Y2512" s="10">
        <f t="shared" si="2500"/>
        <v>0.39944022391043582</v>
      </c>
      <c r="Z2512" s="10">
        <f t="shared" si="2501"/>
        <v>-2.5037593984962405</v>
      </c>
      <c r="AA2512" s="10">
        <f t="shared" si="2502"/>
        <v>5.0710659898477157</v>
      </c>
      <c r="AB2512" s="10">
        <f t="shared" si="2503"/>
        <v>0.5313874450219912</v>
      </c>
      <c r="AC2512" s="10" t="str">
        <f t="shared" si="2504"/>
        <v>NA</v>
      </c>
      <c r="AD2512" s="10" t="str">
        <f t="shared" si="2505"/>
        <v>NA</v>
      </c>
      <c r="AE2512" s="10">
        <f t="shared" si="2506"/>
        <v>2.5218216318785576</v>
      </c>
      <c r="AF2512" s="1" t="s">
        <v>2414</v>
      </c>
    </row>
    <row r="2513" spans="1:32" x14ac:dyDescent="0.2">
      <c r="A2513" s="1" t="s">
        <v>2411</v>
      </c>
      <c r="B2513" s="1" t="s">
        <v>5</v>
      </c>
      <c r="C2513" s="1" t="s">
        <v>1575</v>
      </c>
      <c r="D2513" s="1" t="s">
        <v>1578</v>
      </c>
      <c r="E2513" s="1" t="s">
        <v>2112</v>
      </c>
      <c r="F2513" s="1" t="s">
        <v>2412</v>
      </c>
      <c r="G2513" s="4">
        <v>1</v>
      </c>
      <c r="H2513" s="28">
        <v>41981</v>
      </c>
      <c r="I2513" s="29">
        <f t="shared" si="2489"/>
        <v>2014</v>
      </c>
      <c r="J2513" s="1" t="s">
        <v>2398</v>
      </c>
      <c r="K2513" s="1" t="s">
        <v>7</v>
      </c>
      <c r="L2513" s="11" t="str">
        <f t="shared" si="2466"/>
        <v>НЕТ</v>
      </c>
      <c r="M2513" s="10">
        <v>0</v>
      </c>
      <c r="N2513" s="10">
        <v>0</v>
      </c>
      <c r="O2513" s="10">
        <v>3.7</v>
      </c>
      <c r="P2513" s="10">
        <f t="shared" si="2510"/>
        <v>3.7</v>
      </c>
      <c r="Q2513" s="10">
        <f t="shared" si="2511"/>
        <v>3.4860000000000002</v>
      </c>
      <c r="R2513" s="10" t="s">
        <v>1575</v>
      </c>
      <c r="S2513" s="10" t="s">
        <v>1575</v>
      </c>
      <c r="T2513" s="10" t="s">
        <v>1575</v>
      </c>
      <c r="U2513" s="10" t="s">
        <v>1575</v>
      </c>
      <c r="V2513" s="10">
        <v>4.9950000000000001</v>
      </c>
      <c r="W2513" s="10">
        <f>0.136-0.35</f>
        <v>-0.21399999999999997</v>
      </c>
      <c r="X2513" s="10">
        <f t="shared" si="2499"/>
        <v>4.7810000000000006</v>
      </c>
      <c r="Y2513" s="10" t="str">
        <f t="shared" si="2500"/>
        <v>NA</v>
      </c>
      <c r="Z2513" s="10" t="str">
        <f t="shared" si="2501"/>
        <v>NA</v>
      </c>
      <c r="AA2513" s="10">
        <f t="shared" si="2502"/>
        <v>0.74074074074074081</v>
      </c>
      <c r="AB2513" s="10" t="str">
        <f t="shared" si="2503"/>
        <v>NA</v>
      </c>
      <c r="AC2513" s="10" t="str">
        <f t="shared" si="2504"/>
        <v>NA</v>
      </c>
      <c r="AD2513" s="10" t="str">
        <f t="shared" si="2505"/>
        <v>NA</v>
      </c>
      <c r="AE2513" s="10">
        <f t="shared" si="2506"/>
        <v>0.72913616398243042</v>
      </c>
      <c r="AF2513" s="1" t="s">
        <v>2415</v>
      </c>
    </row>
    <row r="2514" spans="1:32" x14ac:dyDescent="0.2">
      <c r="A2514" s="1" t="s">
        <v>540</v>
      </c>
      <c r="B2514" s="1" t="s">
        <v>5</v>
      </c>
      <c r="C2514" s="1" t="s">
        <v>1575</v>
      </c>
      <c r="D2514" s="1" t="s">
        <v>1578</v>
      </c>
      <c r="E2514" s="1" t="s">
        <v>2112</v>
      </c>
      <c r="F2514" s="1" t="s">
        <v>2403</v>
      </c>
      <c r="G2514" s="4">
        <v>0.5</v>
      </c>
      <c r="H2514" s="28">
        <v>41731</v>
      </c>
      <c r="I2514" s="29">
        <f t="shared" si="2489"/>
        <v>2014</v>
      </c>
      <c r="J2514" s="1" t="s">
        <v>2398</v>
      </c>
      <c r="K2514" s="1" t="s">
        <v>7</v>
      </c>
      <c r="L2514" s="11" t="str">
        <f t="shared" si="2466"/>
        <v>НЕТ</v>
      </c>
      <c r="M2514" s="10">
        <v>3.5</v>
      </c>
      <c r="N2514" s="10">
        <v>0</v>
      </c>
      <c r="O2514" s="10">
        <v>0.126</v>
      </c>
      <c r="P2514" s="10">
        <f t="shared" si="2510"/>
        <v>0.252</v>
      </c>
      <c r="Q2514" s="10" t="str">
        <f t="shared" si="2511"/>
        <v>NA</v>
      </c>
      <c r="R2514" s="10" t="s">
        <v>1575</v>
      </c>
      <c r="S2514" s="10" t="s">
        <v>1575</v>
      </c>
      <c r="T2514" s="10" t="s">
        <v>1575</v>
      </c>
      <c r="U2514" s="10" t="s">
        <v>1575</v>
      </c>
      <c r="V2514" s="10" t="s">
        <v>1575</v>
      </c>
      <c r="W2514" s="10" t="s">
        <v>1575</v>
      </c>
      <c r="X2514" s="10" t="str">
        <f t="shared" si="2499"/>
        <v>NA</v>
      </c>
      <c r="Y2514" s="10" t="str">
        <f t="shared" si="2500"/>
        <v>NA</v>
      </c>
      <c r="Z2514" s="10" t="str">
        <f t="shared" si="2501"/>
        <v>NA</v>
      </c>
      <c r="AA2514" s="10" t="str">
        <f t="shared" si="2502"/>
        <v>NA</v>
      </c>
      <c r="AB2514" s="10" t="str">
        <f t="shared" si="2503"/>
        <v>NA</v>
      </c>
      <c r="AC2514" s="10" t="str">
        <f t="shared" si="2504"/>
        <v>NA</v>
      </c>
      <c r="AD2514" s="10" t="str">
        <f t="shared" si="2505"/>
        <v>NA</v>
      </c>
      <c r="AE2514" s="10" t="str">
        <f t="shared" si="2506"/>
        <v>NA</v>
      </c>
      <c r="AF2514" s="1" t="s">
        <v>2416</v>
      </c>
    </row>
    <row r="2515" spans="1:32" x14ac:dyDescent="0.2">
      <c r="A2515" s="1" t="s">
        <v>2398</v>
      </c>
      <c r="B2515" s="1" t="s">
        <v>5</v>
      </c>
      <c r="C2515" s="1" t="s">
        <v>2410</v>
      </c>
      <c r="D2515" s="1" t="s">
        <v>1578</v>
      </c>
      <c r="E2515" s="1" t="s">
        <v>2112</v>
      </c>
      <c r="F2515" s="1" t="s">
        <v>2403</v>
      </c>
      <c r="G2515" s="4"/>
      <c r="H2515" s="28">
        <v>41639</v>
      </c>
      <c r="I2515" s="29">
        <f t="shared" si="2489"/>
        <v>2013</v>
      </c>
      <c r="J2515" s="1" t="s">
        <v>6482</v>
      </c>
      <c r="K2515" s="1" t="s">
        <v>2398</v>
      </c>
      <c r="L2515" s="11" t="str">
        <f t="shared" si="2466"/>
        <v>ДА</v>
      </c>
      <c r="M2515" s="10">
        <v>0</v>
      </c>
      <c r="N2515" s="10">
        <v>0</v>
      </c>
      <c r="O2515" s="10">
        <v>0</v>
      </c>
      <c r="P2515" s="10" t="str">
        <f t="shared" si="2510"/>
        <v>NA</v>
      </c>
      <c r="Q2515" s="10" t="str">
        <f t="shared" si="2511"/>
        <v>NA</v>
      </c>
      <c r="R2515" s="10">
        <v>6.2309999999999999</v>
      </c>
      <c r="S2515" s="10">
        <v>-7.3159999999999998</v>
      </c>
      <c r="T2515" s="10">
        <v>-7.4559999999999995</v>
      </c>
      <c r="U2515" s="10">
        <v>-10.239000000000001</v>
      </c>
      <c r="V2515" s="10">
        <v>-10.308000000000003</v>
      </c>
      <c r="W2515" s="10">
        <v>7.8190000000000017</v>
      </c>
      <c r="X2515" s="10">
        <f t="shared" si="2499"/>
        <v>-2.4890000000000017</v>
      </c>
      <c r="Y2515" s="10" t="str">
        <f t="shared" si="2500"/>
        <v>NA</v>
      </c>
      <c r="Z2515" s="10" t="str">
        <f t="shared" si="2501"/>
        <v>NA</v>
      </c>
      <c r="AA2515" s="10" t="str">
        <f t="shared" si="2502"/>
        <v>NA</v>
      </c>
      <c r="AB2515" s="10" t="str">
        <f t="shared" si="2503"/>
        <v>NA</v>
      </c>
      <c r="AC2515" s="10" t="str">
        <f t="shared" si="2504"/>
        <v>NA</v>
      </c>
      <c r="AD2515" s="10" t="str">
        <f t="shared" si="2505"/>
        <v>NA</v>
      </c>
      <c r="AE2515" s="10" t="str">
        <f t="shared" si="2506"/>
        <v>NA</v>
      </c>
      <c r="AF2515" s="1" t="s">
        <v>2413</v>
      </c>
    </row>
    <row r="2516" spans="1:32" x14ac:dyDescent="0.2">
      <c r="A2516" s="1" t="s">
        <v>541</v>
      </c>
      <c r="B2516" s="1" t="s">
        <v>5</v>
      </c>
      <c r="C2516" s="1" t="s">
        <v>2417</v>
      </c>
      <c r="D2516" s="1" t="s">
        <v>1578</v>
      </c>
      <c r="E2516" s="1" t="s">
        <v>2422</v>
      </c>
      <c r="F2516" s="1" t="s">
        <v>542</v>
      </c>
      <c r="G2516" s="4">
        <v>0.52015</v>
      </c>
      <c r="H2516" s="28">
        <v>41547</v>
      </c>
      <c r="I2516" s="29">
        <f t="shared" ref="I2516:I2579" si="2512">YEAR(H2516)</f>
        <v>2013</v>
      </c>
      <c r="J2516" s="1" t="s">
        <v>7</v>
      </c>
      <c r="K2516" s="1" t="s">
        <v>2398</v>
      </c>
      <c r="L2516" s="11" t="str">
        <f t="shared" si="2466"/>
        <v>НЕТ</v>
      </c>
      <c r="M2516" s="10">
        <v>0</v>
      </c>
      <c r="N2516" s="10">
        <v>0</v>
      </c>
      <c r="O2516" s="10">
        <v>5</v>
      </c>
      <c r="P2516" s="10">
        <f t="shared" si="2510"/>
        <v>9.6126117466115542</v>
      </c>
      <c r="Q2516" s="10">
        <f t="shared" si="2511"/>
        <v>12.023611746611554</v>
      </c>
      <c r="R2516" s="10">
        <v>2.9929999999999999</v>
      </c>
      <c r="S2516" s="10">
        <v>1.5880000000000001</v>
      </c>
      <c r="T2516" s="10">
        <v>1.4490000000000001</v>
      </c>
      <c r="U2516" s="10">
        <v>0.26800000000000002</v>
      </c>
      <c r="V2516" s="10">
        <v>8.85</v>
      </c>
      <c r="W2516" s="10">
        <f>0.074+2.411-0.074</f>
        <v>2.411</v>
      </c>
      <c r="X2516" s="10">
        <f t="shared" si="2499"/>
        <v>11.260999999999999</v>
      </c>
      <c r="Y2516" s="10">
        <f t="shared" si="2500"/>
        <v>3.2116978772507698</v>
      </c>
      <c r="Z2516" s="10">
        <f t="shared" si="2501"/>
        <v>35.867954278401321</v>
      </c>
      <c r="AA2516" s="10">
        <f t="shared" si="2502"/>
        <v>1.0861708188261643</v>
      </c>
      <c r="AB2516" s="10">
        <f t="shared" si="2503"/>
        <v>4.0172441518915987</v>
      </c>
      <c r="AC2516" s="10">
        <f t="shared" si="2504"/>
        <v>7.5715439210400213</v>
      </c>
      <c r="AD2516" s="10">
        <f t="shared" si="2505"/>
        <v>8.2978687002150124</v>
      </c>
      <c r="AE2516" s="10">
        <f t="shared" si="2506"/>
        <v>1.0677214942377724</v>
      </c>
      <c r="AF2516" s="1" t="s">
        <v>2419</v>
      </c>
    </row>
    <row r="2517" spans="1:32" x14ac:dyDescent="0.2">
      <c r="A2517" s="1" t="s">
        <v>543</v>
      </c>
      <c r="B2517" s="1" t="s">
        <v>5</v>
      </c>
      <c r="C2517" s="1" t="s">
        <v>1575</v>
      </c>
      <c r="D2517" s="1" t="s">
        <v>1578</v>
      </c>
      <c r="E2517" s="1" t="s">
        <v>2112</v>
      </c>
      <c r="F2517" s="1" t="s">
        <v>2418</v>
      </c>
      <c r="G2517" s="4">
        <v>1</v>
      </c>
      <c r="H2517" s="28">
        <v>41639</v>
      </c>
      <c r="I2517" s="29">
        <f t="shared" si="2512"/>
        <v>2013</v>
      </c>
      <c r="J2517" s="1" t="s">
        <v>7</v>
      </c>
      <c r="K2517" s="1" t="s">
        <v>2398</v>
      </c>
      <c r="L2517" s="11" t="str">
        <f t="shared" si="2466"/>
        <v>НЕТ</v>
      </c>
      <c r="M2517" s="10">
        <v>0</v>
      </c>
      <c r="N2517" s="10">
        <v>0</v>
      </c>
      <c r="O2517" s="10">
        <v>3.4000000000000002E-2</v>
      </c>
      <c r="P2517" s="10">
        <f t="shared" si="2510"/>
        <v>3.4000000000000002E-2</v>
      </c>
      <c r="Q2517" s="10">
        <f t="shared" si="2511"/>
        <v>-2.0999999999999998E-2</v>
      </c>
      <c r="R2517" s="10" t="s">
        <v>1575</v>
      </c>
      <c r="S2517" s="10" t="s">
        <v>1575</v>
      </c>
      <c r="T2517" s="10" t="s">
        <v>1575</v>
      </c>
      <c r="U2517" s="10" t="s">
        <v>1575</v>
      </c>
      <c r="V2517" s="10">
        <v>3.6999999999999998E-2</v>
      </c>
      <c r="W2517" s="10">
        <f>0-0.055</f>
        <v>-5.5E-2</v>
      </c>
      <c r="X2517" s="10">
        <f t="shared" si="2499"/>
        <v>-1.8000000000000002E-2</v>
      </c>
      <c r="Y2517" s="10" t="str">
        <f t="shared" si="2500"/>
        <v>NA</v>
      </c>
      <c r="Z2517" s="10" t="str">
        <f t="shared" si="2501"/>
        <v>NA</v>
      </c>
      <c r="AA2517" s="10">
        <f t="shared" si="2502"/>
        <v>0.91891891891891908</v>
      </c>
      <c r="AB2517" s="10" t="str">
        <f t="shared" si="2503"/>
        <v>NA</v>
      </c>
      <c r="AC2517" s="10" t="str">
        <f t="shared" si="2504"/>
        <v>NA</v>
      </c>
      <c r="AD2517" s="10" t="str">
        <f t="shared" si="2505"/>
        <v>NA</v>
      </c>
      <c r="AE2517" s="10">
        <f t="shared" si="2506"/>
        <v>1.1666666666666665</v>
      </c>
      <c r="AF2517" s="1" t="s">
        <v>2420</v>
      </c>
    </row>
    <row r="2518" spans="1:32" x14ac:dyDescent="0.2">
      <c r="A2518" s="1" t="s">
        <v>6483</v>
      </c>
      <c r="B2518" s="1" t="s">
        <v>5</v>
      </c>
      <c r="C2518" s="1" t="s">
        <v>1575</v>
      </c>
      <c r="D2518" s="1" t="s">
        <v>1578</v>
      </c>
      <c r="E2518" s="1" t="s">
        <v>2112</v>
      </c>
      <c r="F2518" s="1" t="s">
        <v>2418</v>
      </c>
      <c r="G2518" s="4">
        <v>0.5</v>
      </c>
      <c r="H2518" s="28">
        <v>41121</v>
      </c>
      <c r="I2518" s="29">
        <f t="shared" si="2512"/>
        <v>2012</v>
      </c>
      <c r="J2518" s="1" t="s">
        <v>7</v>
      </c>
      <c r="K2518" s="1" t="s">
        <v>2398</v>
      </c>
      <c r="L2518" s="11" t="str">
        <f t="shared" si="2466"/>
        <v>НЕТ</v>
      </c>
      <c r="M2518" s="10">
        <v>7.4</v>
      </c>
      <c r="N2518" s="10">
        <v>0</v>
      </c>
      <c r="O2518" s="10">
        <v>0.24199999999999999</v>
      </c>
      <c r="P2518" s="10">
        <f t="shared" si="2510"/>
        <v>0.48399999999999999</v>
      </c>
      <c r="Q2518" s="10">
        <f t="shared" si="2511"/>
        <v>0.47199999999999998</v>
      </c>
      <c r="R2518" s="10">
        <v>0.11899999999999999</v>
      </c>
      <c r="S2518" s="10" t="s">
        <v>1575</v>
      </c>
      <c r="T2518" s="10" t="s">
        <v>1575</v>
      </c>
      <c r="U2518" s="10">
        <v>-1E-3</v>
      </c>
      <c r="V2518" s="10">
        <v>7.1999999999999995E-2</v>
      </c>
      <c r="W2518" s="10">
        <f>0.001-0.013</f>
        <v>-1.2E-2</v>
      </c>
      <c r="X2518" s="10">
        <f t="shared" si="2499"/>
        <v>0.06</v>
      </c>
      <c r="Y2518" s="10">
        <f t="shared" si="2500"/>
        <v>4.0672268907563023</v>
      </c>
      <c r="Z2518" s="10">
        <f t="shared" si="2501"/>
        <v>-484</v>
      </c>
      <c r="AA2518" s="10">
        <f t="shared" si="2502"/>
        <v>6.7222222222222223</v>
      </c>
      <c r="AB2518" s="10">
        <f t="shared" si="2503"/>
        <v>3.9663865546218489</v>
      </c>
      <c r="AC2518" s="10" t="str">
        <f t="shared" si="2504"/>
        <v>NA</v>
      </c>
      <c r="AD2518" s="10" t="str">
        <f t="shared" si="2505"/>
        <v>NA</v>
      </c>
      <c r="AE2518" s="10">
        <f t="shared" si="2506"/>
        <v>7.8666666666666663</v>
      </c>
      <c r="AF2518" s="1" t="s">
        <v>2421</v>
      </c>
    </row>
    <row r="2519" spans="1:32" x14ac:dyDescent="0.2">
      <c r="A2519" s="1" t="s">
        <v>546</v>
      </c>
      <c r="B2519" s="1" t="s">
        <v>5</v>
      </c>
      <c r="C2519" s="1" t="s">
        <v>1575</v>
      </c>
      <c r="D2519" s="1" t="s">
        <v>1580</v>
      </c>
      <c r="E2519" s="1" t="s">
        <v>1590</v>
      </c>
      <c r="F2519" s="1" t="s">
        <v>545</v>
      </c>
      <c r="G2519" s="4">
        <v>1</v>
      </c>
      <c r="H2519" s="28">
        <v>41260</v>
      </c>
      <c r="I2519" s="29">
        <f t="shared" si="2512"/>
        <v>2012</v>
      </c>
      <c r="J2519" s="1" t="s">
        <v>7</v>
      </c>
      <c r="K2519" s="1" t="s">
        <v>2398</v>
      </c>
      <c r="L2519" s="11" t="str">
        <f t="shared" si="2466"/>
        <v>НЕТ</v>
      </c>
      <c r="M2519" s="10">
        <v>0</v>
      </c>
      <c r="N2519" s="10">
        <v>0</v>
      </c>
      <c r="O2519" s="10">
        <f>0.81+0.89</f>
        <v>1.7000000000000002</v>
      </c>
      <c r="P2519" s="10">
        <f t="shared" si="2510"/>
        <v>1.7000000000000002</v>
      </c>
      <c r="Q2519" s="10" t="str">
        <f t="shared" si="2511"/>
        <v>NA</v>
      </c>
      <c r="R2519" s="10" t="s">
        <v>1575</v>
      </c>
      <c r="S2519" s="10" t="s">
        <v>1575</v>
      </c>
      <c r="T2519" s="10" t="s">
        <v>1575</v>
      </c>
      <c r="U2519" s="10" t="s">
        <v>1575</v>
      </c>
      <c r="V2519" s="10">
        <v>1.488</v>
      </c>
      <c r="W2519" s="10" t="s">
        <v>1575</v>
      </c>
      <c r="X2519" s="10" t="str">
        <f t="shared" si="2499"/>
        <v>NA</v>
      </c>
      <c r="Y2519" s="10" t="str">
        <f t="shared" si="2500"/>
        <v>NA</v>
      </c>
      <c r="Z2519" s="10" t="str">
        <f t="shared" si="2501"/>
        <v>NA</v>
      </c>
      <c r="AA2519" s="10">
        <f t="shared" si="2502"/>
        <v>1.14247311827957</v>
      </c>
      <c r="AB2519" s="10" t="str">
        <f t="shared" si="2503"/>
        <v>NA</v>
      </c>
      <c r="AC2519" s="10" t="str">
        <f t="shared" si="2504"/>
        <v>NA</v>
      </c>
      <c r="AD2519" s="10" t="str">
        <f t="shared" si="2505"/>
        <v>NA</v>
      </c>
      <c r="AE2519" s="10" t="str">
        <f t="shared" si="2506"/>
        <v>NA</v>
      </c>
      <c r="AF2519" s="1" t="s">
        <v>2423</v>
      </c>
    </row>
    <row r="2520" spans="1:32" x14ac:dyDescent="0.2">
      <c r="A2520" s="1" t="s">
        <v>544</v>
      </c>
      <c r="B2520" s="1" t="s">
        <v>1575</v>
      </c>
      <c r="C2520" s="1" t="s">
        <v>1575</v>
      </c>
      <c r="D2520" s="1" t="s">
        <v>1580</v>
      </c>
      <c r="E2520" s="1" t="s">
        <v>1593</v>
      </c>
      <c r="F2520" s="1" t="s">
        <v>545</v>
      </c>
      <c r="G2520" s="4" t="s">
        <v>11</v>
      </c>
      <c r="H2520" s="28">
        <v>40877</v>
      </c>
      <c r="I2520" s="29">
        <f t="shared" si="2512"/>
        <v>2011</v>
      </c>
      <c r="J2520" s="1" t="s">
        <v>7</v>
      </c>
      <c r="K2520" s="1" t="s">
        <v>2425</v>
      </c>
      <c r="L2520" s="11" t="str">
        <f t="shared" ref="L2520:L2583" si="2513">IF(OR(A2520=J2520,A2520=K2520),"ДА","НЕТ")</f>
        <v>НЕТ</v>
      </c>
      <c r="M2520" s="10">
        <v>127</v>
      </c>
      <c r="N2520" s="10">
        <v>0</v>
      </c>
      <c r="O2520" s="10">
        <v>3.984</v>
      </c>
      <c r="P2520" s="10" t="str">
        <f t="shared" si="2510"/>
        <v>NA</v>
      </c>
      <c r="Q2520" s="10" t="str">
        <f t="shared" si="2511"/>
        <v>NA</v>
      </c>
      <c r="R2520" s="10" t="s">
        <v>1575</v>
      </c>
      <c r="S2520" s="10" t="s">
        <v>1575</v>
      </c>
      <c r="T2520" s="10" t="s">
        <v>1575</v>
      </c>
      <c r="U2520" s="10" t="s">
        <v>1575</v>
      </c>
      <c r="V2520" s="10">
        <v>3.984</v>
      </c>
      <c r="W2520" s="10">
        <f>0-0.021-0.006</f>
        <v>-2.7000000000000003E-2</v>
      </c>
      <c r="X2520" s="10">
        <f t="shared" si="2499"/>
        <v>3.9569999999999999</v>
      </c>
      <c r="Y2520" s="10" t="str">
        <f t="shared" si="2500"/>
        <v>NA</v>
      </c>
      <c r="Z2520" s="10" t="str">
        <f t="shared" si="2501"/>
        <v>NA</v>
      </c>
      <c r="AA2520" s="10" t="str">
        <f t="shared" si="2502"/>
        <v>NA</v>
      </c>
      <c r="AB2520" s="10" t="str">
        <f t="shared" si="2503"/>
        <v>NA</v>
      </c>
      <c r="AC2520" s="10" t="str">
        <f t="shared" si="2504"/>
        <v>NA</v>
      </c>
      <c r="AD2520" s="10" t="str">
        <f t="shared" si="2505"/>
        <v>NA</v>
      </c>
      <c r="AE2520" s="10" t="str">
        <f t="shared" si="2506"/>
        <v>NA</v>
      </c>
      <c r="AF2520" s="1" t="s">
        <v>2424</v>
      </c>
    </row>
    <row r="2521" spans="1:32" x14ac:dyDescent="0.2">
      <c r="A2521" s="1" t="s">
        <v>6484</v>
      </c>
      <c r="B2521" s="1" t="s">
        <v>1575</v>
      </c>
      <c r="C2521" s="1" t="s">
        <v>1575</v>
      </c>
      <c r="D2521" s="1" t="s">
        <v>1578</v>
      </c>
      <c r="E2521" s="1" t="s">
        <v>2422</v>
      </c>
      <c r="F2521" s="1" t="s">
        <v>542</v>
      </c>
      <c r="G2521" s="4">
        <v>1</v>
      </c>
      <c r="H2521" s="28">
        <v>42684</v>
      </c>
      <c r="I2521" s="29">
        <f t="shared" si="2512"/>
        <v>2016</v>
      </c>
      <c r="J2521" s="1" t="s">
        <v>2426</v>
      </c>
      <c r="K2521" s="1" t="s">
        <v>7</v>
      </c>
      <c r="L2521" s="11" t="str">
        <f t="shared" si="2513"/>
        <v>НЕТ</v>
      </c>
      <c r="M2521" s="10">
        <v>40</v>
      </c>
      <c r="N2521" s="10">
        <v>0</v>
      </c>
      <c r="O2521" s="10">
        <f>M2521*63.16</f>
        <v>2526.3999999999996</v>
      </c>
      <c r="P2521" s="10">
        <f t="shared" si="2510"/>
        <v>2526.3999999999996</v>
      </c>
      <c r="Q2521" s="10" t="str">
        <f t="shared" si="2511"/>
        <v>NA</v>
      </c>
      <c r="R2521" s="10" t="s">
        <v>1575</v>
      </c>
      <c r="S2521" s="10" t="s">
        <v>1575</v>
      </c>
      <c r="T2521" s="10" t="s">
        <v>1575</v>
      </c>
      <c r="U2521" s="10" t="s">
        <v>1575</v>
      </c>
      <c r="V2521" s="10" t="s">
        <v>1575</v>
      </c>
      <c r="W2521" s="10" t="s">
        <v>1575</v>
      </c>
      <c r="X2521" s="10" t="str">
        <f t="shared" si="2499"/>
        <v>NA</v>
      </c>
      <c r="Y2521" s="10" t="str">
        <f t="shared" si="2500"/>
        <v>NA</v>
      </c>
      <c r="Z2521" s="10" t="str">
        <f t="shared" si="2501"/>
        <v>NA</v>
      </c>
      <c r="AA2521" s="10" t="str">
        <f t="shared" si="2502"/>
        <v>NA</v>
      </c>
      <c r="AB2521" s="10" t="str">
        <f t="shared" si="2503"/>
        <v>NA</v>
      </c>
      <c r="AC2521" s="10" t="str">
        <f t="shared" si="2504"/>
        <v>NA</v>
      </c>
      <c r="AD2521" s="10" t="str">
        <f t="shared" si="2505"/>
        <v>NA</v>
      </c>
      <c r="AE2521" s="10" t="str">
        <f t="shared" si="2506"/>
        <v>NA</v>
      </c>
      <c r="AF2521" s="1" t="s">
        <v>2427</v>
      </c>
    </row>
    <row r="2522" spans="1:32" x14ac:dyDescent="0.2">
      <c r="A2522" s="1" t="s">
        <v>6485</v>
      </c>
      <c r="B2522" s="1" t="s">
        <v>5</v>
      </c>
      <c r="C2522" s="1" t="s">
        <v>1575</v>
      </c>
      <c r="D2522" s="1" t="s">
        <v>1578</v>
      </c>
      <c r="E2522" s="1" t="s">
        <v>2113</v>
      </c>
      <c r="F2522" s="1" t="s">
        <v>548</v>
      </c>
      <c r="G2522" s="4">
        <v>0.7</v>
      </c>
      <c r="H2522" s="28">
        <v>44926</v>
      </c>
      <c r="I2522" s="29">
        <f t="shared" si="2512"/>
        <v>2022</v>
      </c>
      <c r="J2522" s="1" t="s">
        <v>2116</v>
      </c>
      <c r="K2522" s="1" t="s">
        <v>7</v>
      </c>
      <c r="L2522" s="11" t="str">
        <f t="shared" si="2513"/>
        <v>НЕТ</v>
      </c>
      <c r="M2522" s="10">
        <v>0</v>
      </c>
      <c r="N2522" s="10">
        <v>0</v>
      </c>
      <c r="O2522" s="10">
        <f>5.013+1.073</f>
        <v>6.0860000000000003</v>
      </c>
      <c r="P2522" s="10">
        <f t="shared" si="2510"/>
        <v>8.6942857142857157</v>
      </c>
      <c r="Q2522" s="10" t="str">
        <f t="shared" si="2511"/>
        <v>NA</v>
      </c>
      <c r="R2522" s="10" t="s">
        <v>1575</v>
      </c>
      <c r="S2522" s="10" t="s">
        <v>1575</v>
      </c>
      <c r="T2522" s="10" t="s">
        <v>1575</v>
      </c>
      <c r="U2522" s="10" t="s">
        <v>1575</v>
      </c>
      <c r="V2522" s="10">
        <v>1.0209999999999999</v>
      </c>
      <c r="W2522" s="10" t="s">
        <v>1575</v>
      </c>
      <c r="X2522" s="10" t="str">
        <f t="shared" si="2499"/>
        <v>NA</v>
      </c>
      <c r="Y2522" s="10" t="str">
        <f t="shared" si="2500"/>
        <v>NA</v>
      </c>
      <c r="Z2522" s="10" t="str">
        <f t="shared" si="2501"/>
        <v>NA</v>
      </c>
      <c r="AA2522" s="10">
        <f t="shared" si="2502"/>
        <v>8.5154610326010935</v>
      </c>
      <c r="AB2522" s="10" t="str">
        <f t="shared" si="2503"/>
        <v>NA</v>
      </c>
      <c r="AC2522" s="10" t="str">
        <f t="shared" si="2504"/>
        <v>NA</v>
      </c>
      <c r="AD2522" s="10" t="str">
        <f t="shared" si="2505"/>
        <v>NA</v>
      </c>
      <c r="AE2522" s="10" t="str">
        <f t="shared" si="2506"/>
        <v>NA</v>
      </c>
      <c r="AF2522" s="1" t="s">
        <v>2117</v>
      </c>
    </row>
    <row r="2523" spans="1:32" x14ac:dyDescent="0.2">
      <c r="A2523" s="1" t="s">
        <v>2118</v>
      </c>
      <c r="B2523" s="1" t="s">
        <v>5</v>
      </c>
      <c r="C2523" s="1" t="s">
        <v>1575</v>
      </c>
      <c r="D2523" s="1" t="s">
        <v>1578</v>
      </c>
      <c r="E2523" s="1" t="s">
        <v>2113</v>
      </c>
      <c r="F2523" s="1" t="s">
        <v>548</v>
      </c>
      <c r="G2523" s="4">
        <v>1</v>
      </c>
      <c r="H2523" s="28">
        <v>44926</v>
      </c>
      <c r="I2523" s="29">
        <f t="shared" si="2512"/>
        <v>2022</v>
      </c>
      <c r="J2523" s="1" t="s">
        <v>2116</v>
      </c>
      <c r="K2523" s="1" t="s">
        <v>7</v>
      </c>
      <c r="L2523" s="11" t="str">
        <f t="shared" si="2513"/>
        <v>НЕТ</v>
      </c>
      <c r="M2523" s="10">
        <v>0</v>
      </c>
      <c r="N2523" s="10">
        <v>0</v>
      </c>
      <c r="O2523" s="10">
        <v>0.64800000000000002</v>
      </c>
      <c r="P2523" s="10">
        <f t="shared" si="2510"/>
        <v>0.64800000000000002</v>
      </c>
      <c r="Q2523" s="10" t="str">
        <f t="shared" si="2511"/>
        <v>NA</v>
      </c>
      <c r="R2523" s="10" t="s">
        <v>1575</v>
      </c>
      <c r="S2523" s="10" t="s">
        <v>1575</v>
      </c>
      <c r="T2523" s="10" t="s">
        <v>1575</v>
      </c>
      <c r="U2523" s="10" t="s">
        <v>1575</v>
      </c>
      <c r="V2523" s="10">
        <v>0.14599999999999999</v>
      </c>
      <c r="W2523" s="10" t="s">
        <v>1575</v>
      </c>
      <c r="X2523" s="10" t="str">
        <f t="shared" si="2499"/>
        <v>NA</v>
      </c>
      <c r="Y2523" s="10" t="str">
        <f t="shared" si="2500"/>
        <v>NA</v>
      </c>
      <c r="Z2523" s="10" t="str">
        <f t="shared" si="2501"/>
        <v>NA</v>
      </c>
      <c r="AA2523" s="10">
        <f t="shared" si="2502"/>
        <v>4.4383561643835616</v>
      </c>
      <c r="AB2523" s="10" t="str">
        <f t="shared" si="2503"/>
        <v>NA</v>
      </c>
      <c r="AC2523" s="10" t="str">
        <f t="shared" si="2504"/>
        <v>NA</v>
      </c>
      <c r="AD2523" s="10" t="str">
        <f t="shared" si="2505"/>
        <v>NA</v>
      </c>
      <c r="AE2523" s="10" t="str">
        <f t="shared" si="2506"/>
        <v>NA</v>
      </c>
      <c r="AF2523" s="1" t="s">
        <v>2120</v>
      </c>
    </row>
    <row r="2524" spans="1:32" x14ac:dyDescent="0.2">
      <c r="A2524" s="1" t="s">
        <v>2118</v>
      </c>
      <c r="B2524" s="1" t="s">
        <v>5</v>
      </c>
      <c r="C2524" s="1" t="s">
        <v>1575</v>
      </c>
      <c r="D2524" s="1" t="s">
        <v>1578</v>
      </c>
      <c r="E2524" s="1" t="s">
        <v>2113</v>
      </c>
      <c r="F2524" s="1" t="s">
        <v>548</v>
      </c>
      <c r="G2524" s="4">
        <v>1</v>
      </c>
      <c r="H2524" s="28">
        <v>44561</v>
      </c>
      <c r="I2524" s="29">
        <f t="shared" si="2512"/>
        <v>2021</v>
      </c>
      <c r="J2524" s="1" t="s">
        <v>2116</v>
      </c>
      <c r="K2524" s="1" t="s">
        <v>7</v>
      </c>
      <c r="L2524" s="11" t="str">
        <f t="shared" si="2513"/>
        <v>НЕТ</v>
      </c>
      <c r="M2524" s="10">
        <v>0</v>
      </c>
      <c r="N2524" s="10">
        <v>0</v>
      </c>
      <c r="O2524" s="10">
        <v>1.286</v>
      </c>
      <c r="P2524" s="10">
        <f t="shared" si="2510"/>
        <v>1.286</v>
      </c>
      <c r="Q2524" s="10" t="str">
        <f t="shared" si="2511"/>
        <v>NA</v>
      </c>
      <c r="R2524" s="10" t="s">
        <v>1575</v>
      </c>
      <c r="S2524" s="10" t="s">
        <v>1575</v>
      </c>
      <c r="T2524" s="10" t="s">
        <v>1575</v>
      </c>
      <c r="U2524" s="10" t="s">
        <v>1575</v>
      </c>
      <c r="V2524" s="10">
        <v>0.16800000000000001</v>
      </c>
      <c r="W2524" s="10" t="s">
        <v>1575</v>
      </c>
      <c r="X2524" s="10" t="str">
        <f t="shared" si="2499"/>
        <v>NA</v>
      </c>
      <c r="Y2524" s="10" t="str">
        <f t="shared" si="2500"/>
        <v>NA</v>
      </c>
      <c r="Z2524" s="10" t="str">
        <f t="shared" si="2501"/>
        <v>NA</v>
      </c>
      <c r="AA2524" s="10">
        <f t="shared" si="2502"/>
        <v>7.6547619047619042</v>
      </c>
      <c r="AB2524" s="10" t="str">
        <f t="shared" si="2503"/>
        <v>NA</v>
      </c>
      <c r="AC2524" s="10" t="str">
        <f t="shared" si="2504"/>
        <v>NA</v>
      </c>
      <c r="AD2524" s="10" t="str">
        <f t="shared" si="2505"/>
        <v>NA</v>
      </c>
      <c r="AE2524" s="10" t="str">
        <f t="shared" si="2506"/>
        <v>NA</v>
      </c>
      <c r="AF2524" s="1" t="s">
        <v>2119</v>
      </c>
    </row>
    <row r="2525" spans="1:32" x14ac:dyDescent="0.2">
      <c r="A2525" s="1" t="s">
        <v>2118</v>
      </c>
      <c r="B2525" s="1" t="s">
        <v>5</v>
      </c>
      <c r="C2525" s="1" t="s">
        <v>1575</v>
      </c>
      <c r="D2525" s="1" t="s">
        <v>1578</v>
      </c>
      <c r="E2525" s="1" t="s">
        <v>2113</v>
      </c>
      <c r="F2525" s="1" t="s">
        <v>548</v>
      </c>
      <c r="G2525" s="4">
        <v>1</v>
      </c>
      <c r="H2525" s="28">
        <v>44196</v>
      </c>
      <c r="I2525" s="29">
        <f t="shared" si="2512"/>
        <v>2020</v>
      </c>
      <c r="J2525" s="1" t="s">
        <v>2116</v>
      </c>
      <c r="K2525" s="1" t="s">
        <v>7</v>
      </c>
      <c r="L2525" s="11" t="str">
        <f t="shared" si="2513"/>
        <v>НЕТ</v>
      </c>
      <c r="M2525" s="10">
        <v>0</v>
      </c>
      <c r="N2525" s="10">
        <v>0</v>
      </c>
      <c r="O2525" s="10">
        <f>2.754+0.841</f>
        <v>3.5949999999999998</v>
      </c>
      <c r="P2525" s="10">
        <f t="shared" si="2510"/>
        <v>3.5949999999999998</v>
      </c>
      <c r="Q2525" s="10" t="str">
        <f t="shared" si="2511"/>
        <v>NA</v>
      </c>
      <c r="R2525" s="10" t="s">
        <v>1575</v>
      </c>
      <c r="S2525" s="10" t="s">
        <v>1575</v>
      </c>
      <c r="T2525" s="10" t="s">
        <v>1575</v>
      </c>
      <c r="U2525" s="10" t="s">
        <v>1575</v>
      </c>
      <c r="V2525" s="10">
        <v>0.63200000000000001</v>
      </c>
      <c r="W2525" s="10" t="s">
        <v>1575</v>
      </c>
      <c r="X2525" s="10" t="str">
        <f t="shared" si="2499"/>
        <v>NA</v>
      </c>
      <c r="Y2525" s="10" t="str">
        <f t="shared" si="2500"/>
        <v>NA</v>
      </c>
      <c r="Z2525" s="10" t="str">
        <f t="shared" si="2501"/>
        <v>NA</v>
      </c>
      <c r="AA2525" s="10">
        <f t="shared" si="2502"/>
        <v>5.6882911392405058</v>
      </c>
      <c r="AB2525" s="10" t="str">
        <f t="shared" si="2503"/>
        <v>NA</v>
      </c>
      <c r="AC2525" s="10" t="str">
        <f t="shared" si="2504"/>
        <v>NA</v>
      </c>
      <c r="AD2525" s="10" t="str">
        <f t="shared" si="2505"/>
        <v>NA</v>
      </c>
      <c r="AE2525" s="10" t="str">
        <f t="shared" si="2506"/>
        <v>NA</v>
      </c>
      <c r="AF2525" s="1" t="s">
        <v>2121</v>
      </c>
    </row>
    <row r="2526" spans="1:32" x14ac:dyDescent="0.2">
      <c r="A2526" s="1" t="s">
        <v>6486</v>
      </c>
      <c r="B2526" s="1" t="s">
        <v>5</v>
      </c>
      <c r="C2526" s="1" t="s">
        <v>1575</v>
      </c>
      <c r="D2526" s="1" t="s">
        <v>1578</v>
      </c>
      <c r="E2526" s="1" t="s">
        <v>2113</v>
      </c>
      <c r="F2526" s="1" t="s">
        <v>548</v>
      </c>
      <c r="G2526" s="4" t="s">
        <v>11</v>
      </c>
      <c r="H2526" s="28">
        <v>43830</v>
      </c>
      <c r="I2526" s="29">
        <f t="shared" si="2512"/>
        <v>2019</v>
      </c>
      <c r="J2526" s="1" t="s">
        <v>2116</v>
      </c>
      <c r="K2526" s="1" t="s">
        <v>7</v>
      </c>
      <c r="L2526" s="11" t="str">
        <f t="shared" si="2513"/>
        <v>НЕТ</v>
      </c>
      <c r="M2526" s="10">
        <v>0</v>
      </c>
      <c r="N2526" s="10">
        <v>0</v>
      </c>
      <c r="O2526" s="10">
        <v>2.5419999999999998</v>
      </c>
      <c r="P2526" s="10" t="str">
        <f t="shared" si="2510"/>
        <v>NA</v>
      </c>
      <c r="Q2526" s="10" t="str">
        <f t="shared" si="2511"/>
        <v>NA</v>
      </c>
      <c r="R2526" s="10" t="s">
        <v>1575</v>
      </c>
      <c r="S2526" s="10" t="s">
        <v>1575</v>
      </c>
      <c r="T2526" s="10" t="s">
        <v>1575</v>
      </c>
      <c r="U2526" s="10" t="s">
        <v>1575</v>
      </c>
      <c r="V2526" s="10">
        <v>-7.0000000000000001E-3</v>
      </c>
      <c r="W2526" s="10" t="s">
        <v>1575</v>
      </c>
      <c r="X2526" s="10" t="str">
        <f t="shared" si="2499"/>
        <v>NA</v>
      </c>
      <c r="Y2526" s="10" t="str">
        <f t="shared" si="2500"/>
        <v>NA</v>
      </c>
      <c r="Z2526" s="10" t="str">
        <f t="shared" si="2501"/>
        <v>NA</v>
      </c>
      <c r="AA2526" s="10" t="str">
        <f t="shared" si="2502"/>
        <v>NA</v>
      </c>
      <c r="AB2526" s="10" t="str">
        <f t="shared" si="2503"/>
        <v>NA</v>
      </c>
      <c r="AC2526" s="10" t="str">
        <f t="shared" si="2504"/>
        <v>NA</v>
      </c>
      <c r="AD2526" s="10" t="str">
        <f t="shared" si="2505"/>
        <v>NA</v>
      </c>
      <c r="AE2526" s="10" t="str">
        <f t="shared" si="2506"/>
        <v>NA</v>
      </c>
      <c r="AF2526" s="1" t="s">
        <v>2122</v>
      </c>
    </row>
    <row r="2527" spans="1:32" x14ac:dyDescent="0.2">
      <c r="A2527" s="1" t="s">
        <v>2118</v>
      </c>
      <c r="B2527" s="1" t="s">
        <v>5</v>
      </c>
      <c r="C2527" s="1" t="s">
        <v>1575</v>
      </c>
      <c r="D2527" s="1" t="s">
        <v>1578</v>
      </c>
      <c r="E2527" s="1" t="s">
        <v>2113</v>
      </c>
      <c r="F2527" s="1" t="s">
        <v>548</v>
      </c>
      <c r="G2527" s="4" t="s">
        <v>11</v>
      </c>
      <c r="H2527" s="28">
        <v>43830</v>
      </c>
      <c r="I2527" s="29">
        <f t="shared" si="2512"/>
        <v>2019</v>
      </c>
      <c r="J2527" s="1" t="s">
        <v>2116</v>
      </c>
      <c r="K2527" s="1" t="s">
        <v>7</v>
      </c>
      <c r="L2527" s="11" t="str">
        <f t="shared" si="2513"/>
        <v>НЕТ</v>
      </c>
      <c r="M2527" s="10">
        <v>0</v>
      </c>
      <c r="N2527" s="10">
        <v>0</v>
      </c>
      <c r="O2527" s="10">
        <v>6.2430000000000003</v>
      </c>
      <c r="P2527" s="10" t="str">
        <f t="shared" si="2510"/>
        <v>NA</v>
      </c>
      <c r="Q2527" s="10" t="str">
        <f t="shared" si="2511"/>
        <v>NA</v>
      </c>
      <c r="R2527" s="10" t="s">
        <v>1575</v>
      </c>
      <c r="S2527" s="10" t="s">
        <v>1575</v>
      </c>
      <c r="T2527" s="10" t="s">
        <v>1575</v>
      </c>
      <c r="U2527" s="10" t="s">
        <v>1575</v>
      </c>
      <c r="V2527" s="10">
        <v>1.492</v>
      </c>
      <c r="W2527" s="10" t="s">
        <v>1575</v>
      </c>
      <c r="X2527" s="10" t="str">
        <f t="shared" si="2499"/>
        <v>NA</v>
      </c>
      <c r="Y2527" s="10" t="str">
        <f t="shared" si="2500"/>
        <v>NA</v>
      </c>
      <c r="Z2527" s="10" t="str">
        <f t="shared" si="2501"/>
        <v>NA</v>
      </c>
      <c r="AA2527" s="10" t="str">
        <f t="shared" si="2502"/>
        <v>NA</v>
      </c>
      <c r="AB2527" s="10" t="str">
        <f t="shared" si="2503"/>
        <v>NA</v>
      </c>
      <c r="AC2527" s="10" t="str">
        <f t="shared" si="2504"/>
        <v>NA</v>
      </c>
      <c r="AD2527" s="10" t="str">
        <f t="shared" si="2505"/>
        <v>NA</v>
      </c>
      <c r="AE2527" s="10" t="str">
        <f t="shared" si="2506"/>
        <v>NA</v>
      </c>
      <c r="AF2527" s="1" t="s">
        <v>2123</v>
      </c>
    </row>
    <row r="2528" spans="1:32" x14ac:dyDescent="0.2">
      <c r="A2528" s="1" t="s">
        <v>2118</v>
      </c>
      <c r="B2528" s="1" t="s">
        <v>5</v>
      </c>
      <c r="C2528" s="1" t="s">
        <v>1575</v>
      </c>
      <c r="D2528" s="1" t="s">
        <v>1578</v>
      </c>
      <c r="E2528" s="1" t="s">
        <v>2113</v>
      </c>
      <c r="F2528" s="1" t="s">
        <v>548</v>
      </c>
      <c r="G2528" s="4">
        <v>1</v>
      </c>
      <c r="H2528" s="28">
        <v>43465</v>
      </c>
      <c r="I2528" s="29">
        <f t="shared" si="2512"/>
        <v>2018</v>
      </c>
      <c r="J2528" s="1" t="s">
        <v>2116</v>
      </c>
      <c r="K2528" s="1" t="s">
        <v>7</v>
      </c>
      <c r="L2528" s="11" t="str">
        <f t="shared" si="2513"/>
        <v>НЕТ</v>
      </c>
      <c r="M2528" s="10">
        <v>0</v>
      </c>
      <c r="N2528" s="10">
        <v>0</v>
      </c>
      <c r="O2528" s="10">
        <v>6.1829999999999998</v>
      </c>
      <c r="P2528" s="10">
        <f t="shared" si="2510"/>
        <v>6.1829999999999998</v>
      </c>
      <c r="Q2528" s="10" t="str">
        <f t="shared" si="2511"/>
        <v>NA</v>
      </c>
      <c r="R2528" s="10" t="s">
        <v>1575</v>
      </c>
      <c r="S2528" s="10" t="s">
        <v>1575</v>
      </c>
      <c r="T2528" s="10" t="s">
        <v>1575</v>
      </c>
      <c r="U2528" s="10" t="s">
        <v>1575</v>
      </c>
      <c r="V2528" s="10">
        <v>1.8320000000000001</v>
      </c>
      <c r="W2528" s="10" t="s">
        <v>1575</v>
      </c>
      <c r="X2528" s="10" t="str">
        <f t="shared" si="2499"/>
        <v>NA</v>
      </c>
      <c r="Y2528" s="10" t="str">
        <f t="shared" si="2500"/>
        <v>NA</v>
      </c>
      <c r="Z2528" s="10" t="str">
        <f t="shared" si="2501"/>
        <v>NA</v>
      </c>
      <c r="AA2528" s="10">
        <f t="shared" si="2502"/>
        <v>3.3749999999999996</v>
      </c>
      <c r="AB2528" s="10" t="str">
        <f t="shared" si="2503"/>
        <v>NA</v>
      </c>
      <c r="AC2528" s="10" t="str">
        <f t="shared" si="2504"/>
        <v>NA</v>
      </c>
      <c r="AD2528" s="10" t="str">
        <f t="shared" si="2505"/>
        <v>NA</v>
      </c>
      <c r="AE2528" s="10" t="str">
        <f t="shared" si="2506"/>
        <v>NA</v>
      </c>
      <c r="AF2528" s="1" t="s">
        <v>2124</v>
      </c>
    </row>
    <row r="2529" spans="1:32" x14ac:dyDescent="0.2">
      <c r="A2529" s="1" t="s">
        <v>2118</v>
      </c>
      <c r="B2529" s="1" t="s">
        <v>5</v>
      </c>
      <c r="C2529" s="1" t="s">
        <v>1575</v>
      </c>
      <c r="D2529" s="1" t="s">
        <v>1578</v>
      </c>
      <c r="E2529" s="1" t="s">
        <v>2113</v>
      </c>
      <c r="F2529" s="1" t="s">
        <v>548</v>
      </c>
      <c r="G2529" s="4">
        <v>1</v>
      </c>
      <c r="H2529" s="28">
        <v>43100</v>
      </c>
      <c r="I2529" s="29">
        <f t="shared" si="2512"/>
        <v>2017</v>
      </c>
      <c r="J2529" s="1" t="s">
        <v>2116</v>
      </c>
      <c r="K2529" s="1" t="s">
        <v>7</v>
      </c>
      <c r="L2529" s="11" t="str">
        <f t="shared" si="2513"/>
        <v>НЕТ</v>
      </c>
      <c r="M2529" s="10">
        <v>0</v>
      </c>
      <c r="N2529" s="10">
        <v>0</v>
      </c>
      <c r="O2529" s="10">
        <v>15.571999999999999</v>
      </c>
      <c r="P2529" s="10">
        <f t="shared" si="2510"/>
        <v>15.571999999999999</v>
      </c>
      <c r="Q2529" s="10" t="str">
        <f t="shared" si="2511"/>
        <v>NA</v>
      </c>
      <c r="R2529" s="10" t="s">
        <v>1575</v>
      </c>
      <c r="S2529" s="10" t="s">
        <v>1575</v>
      </c>
      <c r="T2529" s="10" t="s">
        <v>1575</v>
      </c>
      <c r="U2529" s="10" t="s">
        <v>1575</v>
      </c>
      <c r="V2529" s="10">
        <v>5.3789999999999996</v>
      </c>
      <c r="W2529" s="10" t="s">
        <v>1575</v>
      </c>
      <c r="X2529" s="10" t="str">
        <f t="shared" si="2499"/>
        <v>NA</v>
      </c>
      <c r="Y2529" s="10" t="str">
        <f t="shared" si="2500"/>
        <v>NA</v>
      </c>
      <c r="Z2529" s="10" t="str">
        <f t="shared" si="2501"/>
        <v>NA</v>
      </c>
      <c r="AA2529" s="10">
        <f t="shared" si="2502"/>
        <v>2.8949618888269195</v>
      </c>
      <c r="AB2529" s="10" t="str">
        <f t="shared" si="2503"/>
        <v>NA</v>
      </c>
      <c r="AC2529" s="10" t="str">
        <f t="shared" si="2504"/>
        <v>NA</v>
      </c>
      <c r="AD2529" s="10" t="str">
        <f t="shared" si="2505"/>
        <v>NA</v>
      </c>
      <c r="AE2529" s="10" t="str">
        <f t="shared" si="2506"/>
        <v>NA</v>
      </c>
      <c r="AF2529" s="1" t="s">
        <v>2125</v>
      </c>
    </row>
    <row r="2530" spans="1:32" x14ac:dyDescent="0.2">
      <c r="A2530" s="1" t="s">
        <v>2118</v>
      </c>
      <c r="B2530" s="1" t="s">
        <v>5</v>
      </c>
      <c r="C2530" s="1" t="s">
        <v>1575</v>
      </c>
      <c r="D2530" s="1" t="s">
        <v>1578</v>
      </c>
      <c r="E2530" s="1" t="s">
        <v>2113</v>
      </c>
      <c r="F2530" s="1" t="s">
        <v>548</v>
      </c>
      <c r="G2530" s="4">
        <v>1</v>
      </c>
      <c r="H2530" s="28">
        <v>42735</v>
      </c>
      <c r="I2530" s="29">
        <f t="shared" si="2512"/>
        <v>2016</v>
      </c>
      <c r="J2530" s="1" t="s">
        <v>2116</v>
      </c>
      <c r="K2530" s="1" t="s">
        <v>7</v>
      </c>
      <c r="L2530" s="11" t="str">
        <f t="shared" si="2513"/>
        <v>НЕТ</v>
      </c>
      <c r="M2530" s="10">
        <v>0</v>
      </c>
      <c r="N2530" s="10">
        <v>0</v>
      </c>
      <c r="O2530" s="10">
        <v>6.6989999999999998</v>
      </c>
      <c r="P2530" s="10">
        <f t="shared" si="2510"/>
        <v>6.6989999999999998</v>
      </c>
      <c r="Q2530" s="10" t="str">
        <f t="shared" si="2511"/>
        <v>NA</v>
      </c>
      <c r="R2530" s="10" t="s">
        <v>1575</v>
      </c>
      <c r="S2530" s="10" t="s">
        <v>1575</v>
      </c>
      <c r="T2530" s="10" t="s">
        <v>1575</v>
      </c>
      <c r="U2530" s="10" t="s">
        <v>1575</v>
      </c>
      <c r="V2530" s="10">
        <v>1.897</v>
      </c>
      <c r="W2530" s="10" t="s">
        <v>1575</v>
      </c>
      <c r="X2530" s="10" t="str">
        <f t="shared" si="2499"/>
        <v>NA</v>
      </c>
      <c r="Y2530" s="10" t="str">
        <f t="shared" si="2500"/>
        <v>NA</v>
      </c>
      <c r="Z2530" s="10" t="str">
        <f t="shared" si="2501"/>
        <v>NA</v>
      </c>
      <c r="AA2530" s="10">
        <f t="shared" si="2502"/>
        <v>3.5313653136531364</v>
      </c>
      <c r="AB2530" s="10" t="str">
        <f t="shared" si="2503"/>
        <v>NA</v>
      </c>
      <c r="AC2530" s="10" t="str">
        <f t="shared" si="2504"/>
        <v>NA</v>
      </c>
      <c r="AD2530" s="10" t="str">
        <f t="shared" si="2505"/>
        <v>NA</v>
      </c>
      <c r="AE2530" s="10" t="str">
        <f t="shared" si="2506"/>
        <v>NA</v>
      </c>
      <c r="AF2530" s="1" t="s">
        <v>2126</v>
      </c>
    </row>
    <row r="2531" spans="1:32" x14ac:dyDescent="0.2">
      <c r="A2531" s="1" t="s">
        <v>2118</v>
      </c>
      <c r="B2531" s="1" t="s">
        <v>5</v>
      </c>
      <c r="C2531" s="1" t="s">
        <v>1575</v>
      </c>
      <c r="D2531" s="1" t="s">
        <v>1578</v>
      </c>
      <c r="E2531" s="1" t="s">
        <v>2113</v>
      </c>
      <c r="F2531" s="1" t="s">
        <v>548</v>
      </c>
      <c r="G2531" s="4">
        <v>1</v>
      </c>
      <c r="H2531" s="28">
        <v>42369</v>
      </c>
      <c r="I2531" s="29">
        <f t="shared" si="2512"/>
        <v>2015</v>
      </c>
      <c r="J2531" s="1" t="s">
        <v>2116</v>
      </c>
      <c r="K2531" s="1" t="s">
        <v>7</v>
      </c>
      <c r="L2531" s="11" t="str">
        <f t="shared" si="2513"/>
        <v>НЕТ</v>
      </c>
      <c r="M2531" s="10">
        <v>0</v>
      </c>
      <c r="N2531" s="10">
        <v>0</v>
      </c>
      <c r="O2531" s="10">
        <v>5.9480000000000004</v>
      </c>
      <c r="P2531" s="10">
        <f t="shared" si="2510"/>
        <v>5.9480000000000004</v>
      </c>
      <c r="Q2531" s="10" t="str">
        <f t="shared" si="2511"/>
        <v>NA</v>
      </c>
      <c r="R2531" s="10" t="s">
        <v>1575</v>
      </c>
      <c r="S2531" s="10" t="s">
        <v>1575</v>
      </c>
      <c r="T2531" s="10" t="s">
        <v>1575</v>
      </c>
      <c r="U2531" s="10" t="s">
        <v>1575</v>
      </c>
      <c r="V2531" s="10">
        <v>-3.8119999999999998</v>
      </c>
      <c r="W2531" s="10" t="s">
        <v>1575</v>
      </c>
      <c r="X2531" s="10" t="str">
        <f t="shared" si="2499"/>
        <v>NA</v>
      </c>
      <c r="Y2531" s="10" t="str">
        <f t="shared" si="2500"/>
        <v>NA</v>
      </c>
      <c r="Z2531" s="10" t="str">
        <f t="shared" si="2501"/>
        <v>NA</v>
      </c>
      <c r="AA2531" s="10">
        <f t="shared" si="2502"/>
        <v>-1.5603357817418679</v>
      </c>
      <c r="AB2531" s="10" t="str">
        <f t="shared" si="2503"/>
        <v>NA</v>
      </c>
      <c r="AC2531" s="10" t="str">
        <f t="shared" si="2504"/>
        <v>NA</v>
      </c>
      <c r="AD2531" s="10" t="str">
        <f t="shared" si="2505"/>
        <v>NA</v>
      </c>
      <c r="AE2531" s="10" t="str">
        <f t="shared" si="2506"/>
        <v>NA</v>
      </c>
      <c r="AF2531" s="1" t="s">
        <v>2127</v>
      </c>
    </row>
    <row r="2532" spans="1:32" x14ac:dyDescent="0.2">
      <c r="A2532" s="1" t="s">
        <v>6487</v>
      </c>
      <c r="B2532" s="1" t="s">
        <v>5</v>
      </c>
      <c r="C2532" s="1" t="s">
        <v>1575</v>
      </c>
      <c r="D2532" s="1" t="s">
        <v>1578</v>
      </c>
      <c r="E2532" s="1" t="s">
        <v>2113</v>
      </c>
      <c r="F2532" s="1" t="s">
        <v>548</v>
      </c>
      <c r="G2532" s="4">
        <v>1</v>
      </c>
      <c r="H2532" s="28">
        <v>41943</v>
      </c>
      <c r="I2532" s="29">
        <f t="shared" si="2512"/>
        <v>2014</v>
      </c>
      <c r="J2532" s="1" t="s">
        <v>2116</v>
      </c>
      <c r="K2532" s="1" t="s">
        <v>7</v>
      </c>
      <c r="L2532" s="11" t="str">
        <f t="shared" si="2513"/>
        <v>НЕТ</v>
      </c>
      <c r="M2532" s="10">
        <v>0</v>
      </c>
      <c r="N2532" s="10">
        <v>0</v>
      </c>
      <c r="O2532" s="10">
        <v>0.497</v>
      </c>
      <c r="P2532" s="10">
        <f t="shared" si="2510"/>
        <v>0.497</v>
      </c>
      <c r="Q2532" s="10" t="str">
        <f t="shared" si="2511"/>
        <v>NA</v>
      </c>
      <c r="R2532" s="10" t="s">
        <v>1575</v>
      </c>
      <c r="S2532" s="10" t="s">
        <v>1575</v>
      </c>
      <c r="T2532" s="10" t="s">
        <v>1575</v>
      </c>
      <c r="U2532" s="10" t="s">
        <v>1575</v>
      </c>
      <c r="V2532" s="10">
        <v>-0.313</v>
      </c>
      <c r="W2532" s="10" t="s">
        <v>1575</v>
      </c>
      <c r="X2532" s="10" t="str">
        <f t="shared" ref="X2532:X2595" si="2514">IFERROR(V2532+W2532,"NA")</f>
        <v>NA</v>
      </c>
      <c r="Y2532" s="10" t="str">
        <f t="shared" ref="Y2532:Y2595" si="2515">IFERROR(P2532/R2532,"NA")</f>
        <v>NA</v>
      </c>
      <c r="Z2532" s="10" t="str">
        <f t="shared" ref="Z2532:Z2595" si="2516">IFERROR(P2532/U2532,"NA")</f>
        <v>NA</v>
      </c>
      <c r="AA2532" s="10">
        <f t="shared" ref="AA2532:AA2595" si="2517">IFERROR(P2532/V2532,"NA")</f>
        <v>-1.5878594249201279</v>
      </c>
      <c r="AB2532" s="10" t="str">
        <f t="shared" ref="AB2532:AB2595" si="2518">IFERROR(Q2532/R2532,"NA")</f>
        <v>NA</v>
      </c>
      <c r="AC2532" s="10" t="str">
        <f t="shared" ref="AC2532:AC2595" si="2519">IFERROR(Q2532/S2532,"NA")</f>
        <v>NA</v>
      </c>
      <c r="AD2532" s="10" t="str">
        <f t="shared" ref="AD2532:AD2595" si="2520">IFERROR(Q2532/T2532,"NA")</f>
        <v>NA</v>
      </c>
      <c r="AE2532" s="10" t="str">
        <f t="shared" ref="AE2532:AE2595" si="2521">IFERROR(Q2532/X2532,"NA")</f>
        <v>NA</v>
      </c>
      <c r="AF2532" s="1" t="s">
        <v>2128</v>
      </c>
    </row>
    <row r="2533" spans="1:32" x14ac:dyDescent="0.2">
      <c r="A2533" s="1" t="s">
        <v>2118</v>
      </c>
      <c r="B2533" s="1" t="s">
        <v>5</v>
      </c>
      <c r="C2533" s="1" t="s">
        <v>1575</v>
      </c>
      <c r="D2533" s="1" t="s">
        <v>1578</v>
      </c>
      <c r="E2533" s="1" t="s">
        <v>2113</v>
      </c>
      <c r="F2533" s="1" t="s">
        <v>548</v>
      </c>
      <c r="G2533" s="4">
        <v>1</v>
      </c>
      <c r="H2533" s="28">
        <v>42004</v>
      </c>
      <c r="I2533" s="29">
        <f t="shared" si="2512"/>
        <v>2014</v>
      </c>
      <c r="J2533" s="1" t="s">
        <v>2116</v>
      </c>
      <c r="K2533" s="1" t="s">
        <v>7</v>
      </c>
      <c r="L2533" s="11" t="str">
        <f t="shared" si="2513"/>
        <v>НЕТ</v>
      </c>
      <c r="M2533" s="10">
        <v>0</v>
      </c>
      <c r="N2533" s="10">
        <v>0</v>
      </c>
      <c r="O2533" s="10">
        <v>1.546</v>
      </c>
      <c r="P2533" s="10">
        <f t="shared" si="2510"/>
        <v>1.546</v>
      </c>
      <c r="Q2533" s="10" t="str">
        <f t="shared" si="2511"/>
        <v>NA</v>
      </c>
      <c r="R2533" s="10" t="s">
        <v>1575</v>
      </c>
      <c r="S2533" s="10" t="s">
        <v>1575</v>
      </c>
      <c r="T2533" s="10" t="s">
        <v>1575</v>
      </c>
      <c r="U2533" s="10" t="s">
        <v>1575</v>
      </c>
      <c r="V2533" s="10">
        <v>1.052</v>
      </c>
      <c r="W2533" s="10" t="s">
        <v>1575</v>
      </c>
      <c r="X2533" s="10" t="str">
        <f t="shared" si="2514"/>
        <v>NA</v>
      </c>
      <c r="Y2533" s="10" t="str">
        <f t="shared" si="2515"/>
        <v>NA</v>
      </c>
      <c r="Z2533" s="10" t="str">
        <f t="shared" si="2516"/>
        <v>NA</v>
      </c>
      <c r="AA2533" s="10">
        <f t="shared" si="2517"/>
        <v>1.4695817490494296</v>
      </c>
      <c r="AB2533" s="10" t="str">
        <f t="shared" si="2518"/>
        <v>NA</v>
      </c>
      <c r="AC2533" s="10" t="str">
        <f t="shared" si="2519"/>
        <v>NA</v>
      </c>
      <c r="AD2533" s="10" t="str">
        <f t="shared" si="2520"/>
        <v>NA</v>
      </c>
      <c r="AE2533" s="10" t="str">
        <f t="shared" si="2521"/>
        <v>NA</v>
      </c>
      <c r="AF2533" s="1" t="s">
        <v>2129</v>
      </c>
    </row>
    <row r="2534" spans="1:32" x14ac:dyDescent="0.2">
      <c r="A2534" s="1" t="s">
        <v>2118</v>
      </c>
      <c r="B2534" s="1" t="s">
        <v>5</v>
      </c>
      <c r="C2534" s="1" t="s">
        <v>1575</v>
      </c>
      <c r="D2534" s="1" t="s">
        <v>1578</v>
      </c>
      <c r="E2534" s="1" t="s">
        <v>2113</v>
      </c>
      <c r="F2534" s="1" t="s">
        <v>548</v>
      </c>
      <c r="G2534" s="4">
        <v>1</v>
      </c>
      <c r="H2534" s="28">
        <v>41639</v>
      </c>
      <c r="I2534" s="29">
        <f t="shared" si="2512"/>
        <v>2013</v>
      </c>
      <c r="J2534" s="1" t="s">
        <v>2116</v>
      </c>
      <c r="K2534" s="1" t="s">
        <v>7</v>
      </c>
      <c r="L2534" s="11" t="str">
        <f t="shared" si="2513"/>
        <v>НЕТ</v>
      </c>
      <c r="M2534" s="10">
        <v>21.75</v>
      </c>
      <c r="N2534" s="10">
        <v>0</v>
      </c>
      <c r="O2534" s="10">
        <f>M2534*31.9063052845528/1000</f>
        <v>0.69396213993902334</v>
      </c>
      <c r="P2534" s="10">
        <f t="shared" si="2510"/>
        <v>0.69396213993902334</v>
      </c>
      <c r="Q2534" s="10" t="str">
        <f t="shared" si="2511"/>
        <v>NA</v>
      </c>
      <c r="R2534" s="10" t="s">
        <v>1575</v>
      </c>
      <c r="S2534" s="10" t="s">
        <v>1575</v>
      </c>
      <c r="T2534" s="10" t="s">
        <v>1575</v>
      </c>
      <c r="U2534" s="10" t="s">
        <v>1575</v>
      </c>
      <c r="V2534" s="10">
        <f>0.012722*31.9063052845528</f>
        <v>0.40591201583008074</v>
      </c>
      <c r="W2534" s="10" t="s">
        <v>1575</v>
      </c>
      <c r="X2534" s="10" t="str">
        <f t="shared" si="2514"/>
        <v>NA</v>
      </c>
      <c r="Y2534" s="10" t="str">
        <f t="shared" si="2515"/>
        <v>NA</v>
      </c>
      <c r="Z2534" s="10" t="str">
        <f t="shared" si="2516"/>
        <v>NA</v>
      </c>
      <c r="AA2534" s="10">
        <f t="shared" si="2517"/>
        <v>1.7096368495519569</v>
      </c>
      <c r="AB2534" s="10" t="str">
        <f t="shared" si="2518"/>
        <v>NA</v>
      </c>
      <c r="AC2534" s="10" t="str">
        <f t="shared" si="2519"/>
        <v>NA</v>
      </c>
      <c r="AD2534" s="10" t="str">
        <f t="shared" si="2520"/>
        <v>NA</v>
      </c>
      <c r="AE2534" s="10" t="str">
        <f t="shared" si="2521"/>
        <v>NA</v>
      </c>
      <c r="AF2534" s="1" t="s">
        <v>2130</v>
      </c>
    </row>
    <row r="2535" spans="1:32" x14ac:dyDescent="0.2">
      <c r="A2535" s="1" t="s">
        <v>2118</v>
      </c>
      <c r="B2535" s="1" t="s">
        <v>5</v>
      </c>
      <c r="C2535" s="1" t="s">
        <v>1575</v>
      </c>
      <c r="D2535" s="1" t="s">
        <v>1578</v>
      </c>
      <c r="E2535" s="1" t="s">
        <v>2113</v>
      </c>
      <c r="F2535" s="1" t="s">
        <v>548</v>
      </c>
      <c r="G2535" s="4">
        <v>1</v>
      </c>
      <c r="H2535" s="28">
        <v>41274</v>
      </c>
      <c r="I2535" s="29">
        <f t="shared" si="2512"/>
        <v>2012</v>
      </c>
      <c r="J2535" s="1" t="s">
        <v>2116</v>
      </c>
      <c r="K2535" s="1" t="s">
        <v>7</v>
      </c>
      <c r="L2535" s="11" t="str">
        <f t="shared" si="2513"/>
        <v>НЕТ</v>
      </c>
      <c r="M2535" s="10">
        <v>79.492999999999995</v>
      </c>
      <c r="N2535" s="10">
        <v>0</v>
      </c>
      <c r="O2535" s="10">
        <f>M2535*31.0741718875502/1000</f>
        <v>2.4701791458570277</v>
      </c>
      <c r="P2535" s="10">
        <f t="shared" si="2510"/>
        <v>2.4701791458570277</v>
      </c>
      <c r="Q2535" s="10" t="str">
        <f t="shared" si="2511"/>
        <v>NA</v>
      </c>
      <c r="R2535" s="10" t="s">
        <v>1575</v>
      </c>
      <c r="S2535" s="10" t="s">
        <v>1575</v>
      </c>
      <c r="T2535" s="10" t="s">
        <v>1575</v>
      </c>
      <c r="U2535" s="10" t="s">
        <v>1575</v>
      </c>
      <c r="V2535" s="10">
        <f>0.041667*31.0741718875502</f>
        <v>1.2947675200385542</v>
      </c>
      <c r="W2535" s="10" t="s">
        <v>1575</v>
      </c>
      <c r="X2535" s="10" t="str">
        <f t="shared" si="2514"/>
        <v>NA</v>
      </c>
      <c r="Y2535" s="10" t="str">
        <f t="shared" si="2515"/>
        <v>NA</v>
      </c>
      <c r="Z2535" s="10" t="str">
        <f t="shared" si="2516"/>
        <v>NA</v>
      </c>
      <c r="AA2535" s="10">
        <f t="shared" si="2517"/>
        <v>1.9078167374660999</v>
      </c>
      <c r="AB2535" s="10" t="str">
        <f t="shared" si="2518"/>
        <v>NA</v>
      </c>
      <c r="AC2535" s="10" t="str">
        <f t="shared" si="2519"/>
        <v>NA</v>
      </c>
      <c r="AD2535" s="10" t="str">
        <f t="shared" si="2520"/>
        <v>NA</v>
      </c>
      <c r="AE2535" s="10" t="str">
        <f t="shared" si="2521"/>
        <v>NA</v>
      </c>
      <c r="AF2535" s="1" t="s">
        <v>2131</v>
      </c>
    </row>
    <row r="2536" spans="1:32" x14ac:dyDescent="0.2">
      <c r="A2536" s="1" t="s">
        <v>6488</v>
      </c>
      <c r="B2536" s="1" t="s">
        <v>5</v>
      </c>
      <c r="C2536" s="1" t="s">
        <v>1575</v>
      </c>
      <c r="D2536" s="1" t="s">
        <v>1578</v>
      </c>
      <c r="E2536" s="1" t="s">
        <v>2113</v>
      </c>
      <c r="F2536" s="1" t="s">
        <v>548</v>
      </c>
      <c r="G2536" s="4">
        <v>1</v>
      </c>
      <c r="H2536" s="28">
        <v>40724</v>
      </c>
      <c r="I2536" s="29">
        <f t="shared" si="2512"/>
        <v>2011</v>
      </c>
      <c r="J2536" s="1" t="s">
        <v>2116</v>
      </c>
      <c r="K2536" s="1" t="s">
        <v>7</v>
      </c>
      <c r="L2536" s="11" t="str">
        <f t="shared" si="2513"/>
        <v>НЕТ</v>
      </c>
      <c r="M2536" s="10">
        <v>12.589</v>
      </c>
      <c r="N2536" s="10">
        <v>0</v>
      </c>
      <c r="O2536" s="10">
        <f>M2536*28.0758/1000</f>
        <v>0.35344624620000004</v>
      </c>
      <c r="P2536" s="10">
        <f t="shared" si="2510"/>
        <v>0.35344624620000004</v>
      </c>
      <c r="Q2536" s="10" t="str">
        <f t="shared" si="2511"/>
        <v>NA</v>
      </c>
      <c r="R2536" s="10" t="s">
        <v>1575</v>
      </c>
      <c r="S2536" s="10" t="s">
        <v>1575</v>
      </c>
      <c r="T2536" s="10" t="s">
        <v>1575</v>
      </c>
      <c r="U2536" s="10" t="s">
        <v>1575</v>
      </c>
      <c r="V2536" s="10">
        <f>0.005676*28.0758</f>
        <v>0.1593582408</v>
      </c>
      <c r="W2536" s="10" t="s">
        <v>1575</v>
      </c>
      <c r="X2536" s="10" t="str">
        <f t="shared" si="2514"/>
        <v>NA</v>
      </c>
      <c r="Y2536" s="10" t="str">
        <f t="shared" si="2515"/>
        <v>NA</v>
      </c>
      <c r="Z2536" s="10" t="str">
        <f t="shared" si="2516"/>
        <v>NA</v>
      </c>
      <c r="AA2536" s="10">
        <f t="shared" si="2517"/>
        <v>2.2179351656095845</v>
      </c>
      <c r="AB2536" s="10" t="str">
        <f t="shared" si="2518"/>
        <v>NA</v>
      </c>
      <c r="AC2536" s="10" t="str">
        <f t="shared" si="2519"/>
        <v>NA</v>
      </c>
      <c r="AD2536" s="10" t="str">
        <f t="shared" si="2520"/>
        <v>NA</v>
      </c>
      <c r="AE2536" s="10" t="str">
        <f t="shared" si="2521"/>
        <v>NA</v>
      </c>
      <c r="AF2536" s="1" t="s">
        <v>2132</v>
      </c>
    </row>
    <row r="2537" spans="1:32" x14ac:dyDescent="0.2">
      <c r="A2537" s="1" t="s">
        <v>2118</v>
      </c>
      <c r="B2537" s="1" t="s">
        <v>5</v>
      </c>
      <c r="C2537" s="1" t="s">
        <v>1575</v>
      </c>
      <c r="D2537" s="1" t="s">
        <v>1578</v>
      </c>
      <c r="E2537" s="1" t="s">
        <v>2113</v>
      </c>
      <c r="F2537" s="1" t="s">
        <v>548</v>
      </c>
      <c r="G2537" s="4">
        <v>1</v>
      </c>
      <c r="H2537" s="28">
        <v>40908</v>
      </c>
      <c r="I2537" s="29">
        <f t="shared" si="2512"/>
        <v>2011</v>
      </c>
      <c r="J2537" s="1" t="s">
        <v>2116</v>
      </c>
      <c r="K2537" s="1" t="s">
        <v>7</v>
      </c>
      <c r="L2537" s="11" t="str">
        <f t="shared" si="2513"/>
        <v>НЕТ</v>
      </c>
      <c r="M2537" s="10">
        <v>50.3</v>
      </c>
      <c r="N2537" s="10">
        <v>0</v>
      </c>
      <c r="O2537" s="10">
        <f>M2537*29.3948277108434/1000</f>
        <v>1.4785598338554229</v>
      </c>
      <c r="P2537" s="10">
        <f t="shared" si="2510"/>
        <v>1.4785598338554229</v>
      </c>
      <c r="Q2537" s="10" t="str">
        <f t="shared" si="2511"/>
        <v>NA</v>
      </c>
      <c r="R2537" s="10" t="s">
        <v>1575</v>
      </c>
      <c r="S2537" s="10" t="s">
        <v>1575</v>
      </c>
      <c r="T2537" s="10" t="s">
        <v>1575</v>
      </c>
      <c r="U2537" s="10" t="s">
        <v>1575</v>
      </c>
      <c r="V2537" s="10">
        <f>0.009929*29.3948277108434</f>
        <v>0.29186124434096417</v>
      </c>
      <c r="W2537" s="10" t="s">
        <v>1575</v>
      </c>
      <c r="X2537" s="10" t="str">
        <f t="shared" si="2514"/>
        <v>NA</v>
      </c>
      <c r="Y2537" s="10" t="str">
        <f t="shared" si="2515"/>
        <v>NA</v>
      </c>
      <c r="Z2537" s="10" t="str">
        <f t="shared" si="2516"/>
        <v>NA</v>
      </c>
      <c r="AA2537" s="10">
        <f t="shared" si="2517"/>
        <v>5.0659683754658058</v>
      </c>
      <c r="AB2537" s="10" t="str">
        <f t="shared" si="2518"/>
        <v>NA</v>
      </c>
      <c r="AC2537" s="10" t="str">
        <f t="shared" si="2519"/>
        <v>NA</v>
      </c>
      <c r="AD2537" s="10" t="str">
        <f t="shared" si="2520"/>
        <v>NA</v>
      </c>
      <c r="AE2537" s="10" t="str">
        <f t="shared" si="2521"/>
        <v>NA</v>
      </c>
      <c r="AF2537" s="1" t="s">
        <v>2133</v>
      </c>
    </row>
    <row r="2538" spans="1:32" x14ac:dyDescent="0.2">
      <c r="A2538" s="5" t="s">
        <v>2136</v>
      </c>
      <c r="B2538" s="1" t="s">
        <v>1575</v>
      </c>
      <c r="C2538" s="1" t="s">
        <v>1575</v>
      </c>
      <c r="D2538" s="1" t="s">
        <v>1578</v>
      </c>
      <c r="E2538" s="1" t="s">
        <v>2113</v>
      </c>
      <c r="F2538" s="1" t="s">
        <v>548</v>
      </c>
      <c r="G2538" s="4">
        <v>0.4</v>
      </c>
      <c r="H2538" s="28">
        <v>40816</v>
      </c>
      <c r="I2538" s="29">
        <f t="shared" si="2512"/>
        <v>2011</v>
      </c>
      <c r="J2538" s="1" t="s">
        <v>2116</v>
      </c>
      <c r="K2538" s="1" t="s">
        <v>7</v>
      </c>
      <c r="L2538" s="11" t="str">
        <f t="shared" si="2513"/>
        <v>НЕТ</v>
      </c>
      <c r="M2538" s="10">
        <v>20</v>
      </c>
      <c r="N2538" s="10">
        <v>0</v>
      </c>
      <c r="O2538" s="10">
        <f>M2538*31.8751/1000</f>
        <v>0.6375019999999999</v>
      </c>
      <c r="P2538" s="10">
        <f t="shared" si="2510"/>
        <v>1.5937549999999996</v>
      </c>
      <c r="Q2538" s="10">
        <f t="shared" si="2511"/>
        <v>406.39375499999994</v>
      </c>
      <c r="R2538" s="10" t="s">
        <v>1575</v>
      </c>
      <c r="S2538" s="10" t="s">
        <v>1575</v>
      </c>
      <c r="T2538" s="10" t="s">
        <v>1575</v>
      </c>
      <c r="U2538" s="10" t="s">
        <v>1575</v>
      </c>
      <c r="V2538" s="10">
        <v>806.43700000000001</v>
      </c>
      <c r="W2538" s="10">
        <v>404.79999999999995</v>
      </c>
      <c r="X2538" s="10">
        <f t="shared" si="2514"/>
        <v>1211.2370000000001</v>
      </c>
      <c r="Y2538" s="10" t="str">
        <f t="shared" si="2515"/>
        <v>NA</v>
      </c>
      <c r="Z2538" s="10" t="str">
        <f t="shared" si="2516"/>
        <v>NA</v>
      </c>
      <c r="AA2538" s="10">
        <f t="shared" si="2517"/>
        <v>1.976292010411228E-3</v>
      </c>
      <c r="AB2538" s="10" t="str">
        <f t="shared" si="2518"/>
        <v>NA</v>
      </c>
      <c r="AC2538" s="10" t="str">
        <f t="shared" si="2519"/>
        <v>NA</v>
      </c>
      <c r="AD2538" s="10" t="str">
        <f t="shared" si="2520"/>
        <v>NA</v>
      </c>
      <c r="AE2538" s="10">
        <f t="shared" si="2521"/>
        <v>0.33551960103596562</v>
      </c>
      <c r="AF2538" s="1" t="s">
        <v>2137</v>
      </c>
    </row>
    <row r="2539" spans="1:32" x14ac:dyDescent="0.2">
      <c r="A2539" s="5" t="s">
        <v>547</v>
      </c>
      <c r="B2539" s="1" t="s">
        <v>5</v>
      </c>
      <c r="C2539" s="1" t="s">
        <v>1575</v>
      </c>
      <c r="D2539" s="1" t="s">
        <v>1578</v>
      </c>
      <c r="E2539" s="1" t="s">
        <v>2113</v>
      </c>
      <c r="F2539" s="1" t="s">
        <v>548</v>
      </c>
      <c r="G2539" s="4">
        <v>1</v>
      </c>
      <c r="H2539" s="28">
        <v>40543</v>
      </c>
      <c r="I2539" s="29">
        <f t="shared" si="2512"/>
        <v>2010</v>
      </c>
      <c r="J2539" s="1" t="s">
        <v>2116</v>
      </c>
      <c r="K2539" s="1" t="s">
        <v>7</v>
      </c>
      <c r="L2539" s="11" t="str">
        <f t="shared" si="2513"/>
        <v>НЕТ</v>
      </c>
      <c r="M2539" s="10">
        <v>0</v>
      </c>
      <c r="N2539" s="10">
        <v>0</v>
      </c>
      <c r="O2539" s="10">
        <f>51.5-16.5</f>
        <v>35</v>
      </c>
      <c r="P2539" s="10">
        <f t="shared" si="2510"/>
        <v>35</v>
      </c>
      <c r="Q2539" s="10" t="str">
        <f t="shared" si="2511"/>
        <v>NA</v>
      </c>
      <c r="R2539" s="10">
        <v>54.9</v>
      </c>
      <c r="S2539" s="10">
        <v>3.7</v>
      </c>
      <c r="T2539" s="10" t="s">
        <v>1575</v>
      </c>
      <c r="U2539" s="10" t="s">
        <v>1575</v>
      </c>
      <c r="V2539" s="10" t="s">
        <v>1575</v>
      </c>
      <c r="W2539" s="10" t="s">
        <v>1575</v>
      </c>
      <c r="X2539" s="10" t="str">
        <f t="shared" si="2514"/>
        <v>NA</v>
      </c>
      <c r="Y2539" s="10">
        <f t="shared" si="2515"/>
        <v>0.63752276867030966</v>
      </c>
      <c r="Z2539" s="10" t="str">
        <f t="shared" si="2516"/>
        <v>NA</v>
      </c>
      <c r="AA2539" s="10" t="str">
        <f t="shared" si="2517"/>
        <v>NA</v>
      </c>
      <c r="AB2539" s="10" t="str">
        <f t="shared" si="2518"/>
        <v>NA</v>
      </c>
      <c r="AC2539" s="10" t="str">
        <f t="shared" si="2519"/>
        <v>NA</v>
      </c>
      <c r="AD2539" s="10" t="str">
        <f t="shared" si="2520"/>
        <v>NA</v>
      </c>
      <c r="AE2539" s="10" t="str">
        <f t="shared" si="2521"/>
        <v>NA</v>
      </c>
      <c r="AF2539" s="1" t="s">
        <v>2134</v>
      </c>
    </row>
    <row r="2540" spans="1:32" x14ac:dyDescent="0.2">
      <c r="A2540" s="5" t="s">
        <v>2136</v>
      </c>
      <c r="B2540" s="1" t="s">
        <v>1575</v>
      </c>
      <c r="C2540" s="1" t="s">
        <v>1575</v>
      </c>
      <c r="D2540" s="1" t="s">
        <v>1578</v>
      </c>
      <c r="E2540" s="1" t="s">
        <v>2113</v>
      </c>
      <c r="F2540" s="1" t="s">
        <v>548</v>
      </c>
      <c r="G2540" s="4">
        <v>0.2</v>
      </c>
      <c r="H2540" s="28">
        <v>40298</v>
      </c>
      <c r="I2540" s="29">
        <f t="shared" si="2512"/>
        <v>2010</v>
      </c>
      <c r="J2540" s="1" t="s">
        <v>2116</v>
      </c>
      <c r="K2540" s="1" t="s">
        <v>7</v>
      </c>
      <c r="L2540" s="11" t="str">
        <f t="shared" si="2513"/>
        <v>НЕТ</v>
      </c>
      <c r="M2540" s="10">
        <v>0</v>
      </c>
      <c r="N2540" s="10">
        <v>0</v>
      </c>
      <c r="O2540" s="10" t="s">
        <v>1575</v>
      </c>
      <c r="P2540" s="10" t="str">
        <f t="shared" si="2510"/>
        <v>NA</v>
      </c>
      <c r="Q2540" s="10" t="str">
        <f t="shared" si="2511"/>
        <v>NA</v>
      </c>
      <c r="R2540" s="10" t="s">
        <v>1575</v>
      </c>
      <c r="S2540" s="10" t="s">
        <v>1575</v>
      </c>
      <c r="T2540" s="10" t="s">
        <v>1575</v>
      </c>
      <c r="U2540" s="10" t="s">
        <v>1575</v>
      </c>
      <c r="V2540" s="10">
        <f>0.385*30.4769</f>
        <v>11.7336065</v>
      </c>
      <c r="W2540" s="10" t="s">
        <v>1575</v>
      </c>
      <c r="X2540" s="10" t="str">
        <f t="shared" si="2514"/>
        <v>NA</v>
      </c>
      <c r="Y2540" s="10" t="str">
        <f t="shared" si="2515"/>
        <v>NA</v>
      </c>
      <c r="Z2540" s="10" t="str">
        <f t="shared" si="2516"/>
        <v>NA</v>
      </c>
      <c r="AA2540" s="10" t="str">
        <f t="shared" si="2517"/>
        <v>NA</v>
      </c>
      <c r="AB2540" s="10" t="str">
        <f t="shared" si="2518"/>
        <v>NA</v>
      </c>
      <c r="AC2540" s="10" t="str">
        <f t="shared" si="2519"/>
        <v>NA</v>
      </c>
      <c r="AD2540" s="10" t="str">
        <f t="shared" si="2520"/>
        <v>NA</v>
      </c>
      <c r="AE2540" s="10" t="str">
        <f t="shared" si="2521"/>
        <v>NA</v>
      </c>
      <c r="AF2540" s="1" t="s">
        <v>2135</v>
      </c>
    </row>
    <row r="2541" spans="1:32" x14ac:dyDescent="0.2">
      <c r="A2541" s="5" t="s">
        <v>6489</v>
      </c>
      <c r="B2541" s="1" t="s">
        <v>5</v>
      </c>
      <c r="C2541" s="1" t="s">
        <v>1575</v>
      </c>
      <c r="D2541" s="1" t="s">
        <v>1578</v>
      </c>
      <c r="E2541" s="1" t="s">
        <v>2113</v>
      </c>
      <c r="F2541" s="1" t="s">
        <v>548</v>
      </c>
      <c r="G2541" s="4">
        <v>1</v>
      </c>
      <c r="H2541" s="28">
        <v>40451</v>
      </c>
      <c r="I2541" s="29">
        <f t="shared" si="2512"/>
        <v>2010</v>
      </c>
      <c r="J2541" s="1" t="s">
        <v>2116</v>
      </c>
      <c r="K2541" s="1" t="s">
        <v>7</v>
      </c>
      <c r="L2541" s="11" t="str">
        <f t="shared" si="2513"/>
        <v>НЕТ</v>
      </c>
      <c r="M2541" s="10">
        <v>0</v>
      </c>
      <c r="N2541" s="10">
        <v>0</v>
      </c>
      <c r="O2541" s="10" t="s">
        <v>1575</v>
      </c>
      <c r="P2541" s="10" t="str">
        <f t="shared" si="2510"/>
        <v>NA</v>
      </c>
      <c r="Q2541" s="10" t="str">
        <f t="shared" si="2511"/>
        <v>NA</v>
      </c>
      <c r="R2541" s="10" t="s">
        <v>1575</v>
      </c>
      <c r="S2541" s="10" t="s">
        <v>1575</v>
      </c>
      <c r="T2541" s="10" t="s">
        <v>1575</v>
      </c>
      <c r="U2541" s="10" t="s">
        <v>1575</v>
      </c>
      <c r="V2541" s="10" t="s">
        <v>1575</v>
      </c>
      <c r="W2541" s="10" t="s">
        <v>1575</v>
      </c>
      <c r="X2541" s="10" t="str">
        <f t="shared" si="2514"/>
        <v>NA</v>
      </c>
      <c r="Y2541" s="10" t="str">
        <f t="shared" si="2515"/>
        <v>NA</v>
      </c>
      <c r="Z2541" s="10" t="str">
        <f t="shared" si="2516"/>
        <v>NA</v>
      </c>
      <c r="AA2541" s="10" t="str">
        <f t="shared" si="2517"/>
        <v>NA</v>
      </c>
      <c r="AB2541" s="10" t="str">
        <f t="shared" si="2518"/>
        <v>NA</v>
      </c>
      <c r="AC2541" s="10" t="str">
        <f t="shared" si="2519"/>
        <v>NA</v>
      </c>
      <c r="AD2541" s="10" t="str">
        <f t="shared" si="2520"/>
        <v>NA</v>
      </c>
      <c r="AE2541" s="10" t="str">
        <f t="shared" si="2521"/>
        <v>NA</v>
      </c>
      <c r="AF2541" s="1" t="s">
        <v>2138</v>
      </c>
    </row>
    <row r="2542" spans="1:32" x14ac:dyDescent="0.2">
      <c r="A2542" s="1" t="s">
        <v>6490</v>
      </c>
      <c r="B2542" s="1" t="s">
        <v>5</v>
      </c>
      <c r="C2542" s="1" t="s">
        <v>1575</v>
      </c>
      <c r="D2542" s="1" t="s">
        <v>1578</v>
      </c>
      <c r="E2542" s="1" t="s">
        <v>1579</v>
      </c>
      <c r="F2542" s="1" t="s">
        <v>2105</v>
      </c>
      <c r="G2542" s="4">
        <v>1</v>
      </c>
      <c r="H2542" s="28">
        <v>44778</v>
      </c>
      <c r="I2542" s="29">
        <f t="shared" si="2512"/>
        <v>2022</v>
      </c>
      <c r="J2542" s="1" t="s">
        <v>2104</v>
      </c>
      <c r="K2542" s="1" t="s">
        <v>7</v>
      </c>
      <c r="L2542" s="11" t="str">
        <f t="shared" si="2513"/>
        <v>НЕТ</v>
      </c>
      <c r="M2542" s="10">
        <v>0</v>
      </c>
      <c r="N2542" s="10">
        <v>0</v>
      </c>
      <c r="O2542" s="10">
        <v>1.5</v>
      </c>
      <c r="P2542" s="10">
        <f t="shared" si="2510"/>
        <v>1.5</v>
      </c>
      <c r="Q2542" s="10" t="str">
        <f t="shared" si="2511"/>
        <v>NA</v>
      </c>
      <c r="R2542" s="10" t="s">
        <v>1575</v>
      </c>
      <c r="S2542" s="10" t="s">
        <v>1575</v>
      </c>
      <c r="T2542" s="10" t="s">
        <v>1575</v>
      </c>
      <c r="U2542" s="10" t="s">
        <v>1575</v>
      </c>
      <c r="V2542" s="10">
        <v>1.991303</v>
      </c>
      <c r="W2542" s="10" t="s">
        <v>1575</v>
      </c>
      <c r="X2542" s="10" t="str">
        <f t="shared" si="2514"/>
        <v>NA</v>
      </c>
      <c r="Y2542" s="10" t="str">
        <f t="shared" si="2515"/>
        <v>NA</v>
      </c>
      <c r="Z2542" s="10" t="str">
        <f t="shared" si="2516"/>
        <v>NA</v>
      </c>
      <c r="AA2542" s="10">
        <f t="shared" si="2517"/>
        <v>0.75327561902934914</v>
      </c>
      <c r="AB2542" s="10" t="str">
        <f t="shared" si="2518"/>
        <v>NA</v>
      </c>
      <c r="AC2542" s="10" t="str">
        <f t="shared" si="2519"/>
        <v>NA</v>
      </c>
      <c r="AD2542" s="10" t="str">
        <f t="shared" si="2520"/>
        <v>NA</v>
      </c>
      <c r="AE2542" s="10" t="str">
        <f t="shared" si="2521"/>
        <v>NA</v>
      </c>
      <c r="AF2542" s="1" t="s">
        <v>2106</v>
      </c>
    </row>
    <row r="2543" spans="1:32" x14ac:dyDescent="0.2">
      <c r="A2543" s="1" t="s">
        <v>2109</v>
      </c>
      <c r="B2543" s="1" t="s">
        <v>179</v>
      </c>
      <c r="C2543" s="1" t="s">
        <v>2107</v>
      </c>
      <c r="D2543" s="1" t="s">
        <v>1578</v>
      </c>
      <c r="E2543" s="1" t="s">
        <v>2113</v>
      </c>
      <c r="F2543" s="1" t="s">
        <v>548</v>
      </c>
      <c r="G2543" s="4">
        <v>1</v>
      </c>
      <c r="H2543" s="28">
        <v>44399</v>
      </c>
      <c r="I2543" s="29">
        <f t="shared" si="2512"/>
        <v>2021</v>
      </c>
      <c r="J2543" s="1" t="s">
        <v>2104</v>
      </c>
      <c r="K2543" s="1" t="s">
        <v>7</v>
      </c>
      <c r="L2543" s="11" t="str">
        <f t="shared" si="2513"/>
        <v>НЕТ</v>
      </c>
      <c r="M2543" s="10">
        <v>0</v>
      </c>
      <c r="N2543" s="10">
        <v>0</v>
      </c>
      <c r="O2543" s="10">
        <v>96.116726</v>
      </c>
      <c r="P2543" s="10">
        <f t="shared" si="2510"/>
        <v>96.116726</v>
      </c>
      <c r="Q2543" s="10" t="str">
        <f t="shared" si="2511"/>
        <v>NA</v>
      </c>
      <c r="R2543" s="10" t="s">
        <v>1575</v>
      </c>
      <c r="S2543" s="10" t="s">
        <v>1575</v>
      </c>
      <c r="T2543" s="10" t="s">
        <v>1575</v>
      </c>
      <c r="U2543" s="10" t="s">
        <v>1575</v>
      </c>
      <c r="V2543" s="10">
        <v>30.354908999999999</v>
      </c>
      <c r="W2543" s="10" t="s">
        <v>1575</v>
      </c>
      <c r="X2543" s="10" t="str">
        <f t="shared" si="2514"/>
        <v>NA</v>
      </c>
      <c r="Y2543" s="10" t="str">
        <f t="shared" si="2515"/>
        <v>NA</v>
      </c>
      <c r="Z2543" s="10" t="str">
        <f t="shared" si="2516"/>
        <v>NA</v>
      </c>
      <c r="AA2543" s="10">
        <f t="shared" si="2517"/>
        <v>3.1664310375629854</v>
      </c>
      <c r="AB2543" s="10" t="str">
        <f t="shared" si="2518"/>
        <v>NA</v>
      </c>
      <c r="AC2543" s="10" t="str">
        <f t="shared" si="2519"/>
        <v>NA</v>
      </c>
      <c r="AD2543" s="10" t="str">
        <f t="shared" si="2520"/>
        <v>NA</v>
      </c>
      <c r="AE2543" s="10" t="str">
        <f t="shared" si="2521"/>
        <v>NA</v>
      </c>
      <c r="AF2543" s="1" t="s">
        <v>2108</v>
      </c>
    </row>
    <row r="2544" spans="1:32" x14ac:dyDescent="0.2">
      <c r="A2544" s="1" t="s">
        <v>6491</v>
      </c>
      <c r="B2544" s="1" t="s">
        <v>5</v>
      </c>
      <c r="C2544" s="1" t="s">
        <v>1575</v>
      </c>
      <c r="D2544" s="1" t="s">
        <v>1578</v>
      </c>
      <c r="E2544" s="1" t="s">
        <v>2112</v>
      </c>
      <c r="F2544" s="1" t="s">
        <v>2111</v>
      </c>
      <c r="G2544" s="4">
        <v>1</v>
      </c>
      <c r="H2544" s="28">
        <v>43431</v>
      </c>
      <c r="I2544" s="29">
        <f t="shared" si="2512"/>
        <v>2018</v>
      </c>
      <c r="J2544" s="1" t="s">
        <v>2104</v>
      </c>
      <c r="K2544" s="1" t="s">
        <v>7</v>
      </c>
      <c r="L2544" s="11" t="str">
        <f t="shared" si="2513"/>
        <v>НЕТ</v>
      </c>
      <c r="M2544" s="10">
        <v>0</v>
      </c>
      <c r="N2544" s="10">
        <v>0</v>
      </c>
      <c r="O2544" s="10">
        <v>5.2976039999999998</v>
      </c>
      <c r="P2544" s="10">
        <f t="shared" si="2510"/>
        <v>5.2976039999999998</v>
      </c>
      <c r="Q2544" s="10" t="str">
        <f t="shared" si="2511"/>
        <v>NA</v>
      </c>
      <c r="R2544" s="10" t="s">
        <v>1575</v>
      </c>
      <c r="S2544" s="10" t="s">
        <v>1575</v>
      </c>
      <c r="T2544" s="10" t="s">
        <v>1575</v>
      </c>
      <c r="U2544" s="10" t="s">
        <v>1575</v>
      </c>
      <c r="V2544" s="10">
        <v>-20.214220000000001</v>
      </c>
      <c r="W2544" s="10" t="s">
        <v>1575</v>
      </c>
      <c r="X2544" s="10" t="str">
        <f t="shared" si="2514"/>
        <v>NA</v>
      </c>
      <c r="Y2544" s="10" t="str">
        <f t="shared" si="2515"/>
        <v>NA</v>
      </c>
      <c r="Z2544" s="10" t="str">
        <f t="shared" si="2516"/>
        <v>NA</v>
      </c>
      <c r="AA2544" s="10">
        <f t="shared" si="2517"/>
        <v>-0.26207313465471332</v>
      </c>
      <c r="AB2544" s="10" t="str">
        <f t="shared" si="2518"/>
        <v>NA</v>
      </c>
      <c r="AC2544" s="10" t="str">
        <f t="shared" si="2519"/>
        <v>NA</v>
      </c>
      <c r="AD2544" s="10" t="str">
        <f t="shared" si="2520"/>
        <v>NA</v>
      </c>
      <c r="AE2544" s="10" t="str">
        <f t="shared" si="2521"/>
        <v>NA</v>
      </c>
      <c r="AF2544" s="1" t="s">
        <v>2110</v>
      </c>
    </row>
    <row r="2545" spans="1:32" x14ac:dyDescent="0.2">
      <c r="A2545" s="1" t="s">
        <v>6492</v>
      </c>
      <c r="B2545" s="1" t="s">
        <v>5</v>
      </c>
      <c r="C2545" s="1" t="s">
        <v>1575</v>
      </c>
      <c r="D2545" s="1" t="s">
        <v>1578</v>
      </c>
      <c r="E2545" s="1" t="s">
        <v>2315</v>
      </c>
      <c r="F2545" s="1" t="s">
        <v>549</v>
      </c>
      <c r="G2545" s="4">
        <v>1</v>
      </c>
      <c r="H2545" s="28">
        <v>41590</v>
      </c>
      <c r="I2545" s="29">
        <f t="shared" si="2512"/>
        <v>2013</v>
      </c>
      <c r="J2545" s="1" t="s">
        <v>2104</v>
      </c>
      <c r="K2545" s="1" t="s">
        <v>7</v>
      </c>
      <c r="L2545" s="11" t="str">
        <f t="shared" si="2513"/>
        <v>НЕТ</v>
      </c>
      <c r="M2545" s="10">
        <v>0</v>
      </c>
      <c r="N2545" s="10">
        <v>0</v>
      </c>
      <c r="O2545" s="10">
        <v>1.73</v>
      </c>
      <c r="P2545" s="10">
        <f t="shared" si="2510"/>
        <v>1.73</v>
      </c>
      <c r="Q2545" s="10" t="str">
        <f t="shared" si="2511"/>
        <v>NA</v>
      </c>
      <c r="R2545" s="10" t="s">
        <v>1575</v>
      </c>
      <c r="S2545" s="10" t="s">
        <v>1575</v>
      </c>
      <c r="T2545" s="10" t="s">
        <v>1575</v>
      </c>
      <c r="U2545" s="10" t="s">
        <v>1575</v>
      </c>
      <c r="V2545" s="10">
        <f>0.362507</f>
        <v>0.36250700000000002</v>
      </c>
      <c r="W2545" s="10" t="s">
        <v>1575</v>
      </c>
      <c r="X2545" s="10" t="str">
        <f t="shared" si="2514"/>
        <v>NA</v>
      </c>
      <c r="Y2545" s="10" t="str">
        <f t="shared" si="2515"/>
        <v>NA</v>
      </c>
      <c r="Z2545" s="10" t="str">
        <f t="shared" si="2516"/>
        <v>NA</v>
      </c>
      <c r="AA2545" s="10">
        <f t="shared" si="2517"/>
        <v>4.772321637926991</v>
      </c>
      <c r="AB2545" s="10" t="str">
        <f t="shared" si="2518"/>
        <v>NA</v>
      </c>
      <c r="AC2545" s="10" t="str">
        <f t="shared" si="2519"/>
        <v>NA</v>
      </c>
      <c r="AD2545" s="10" t="str">
        <f t="shared" si="2520"/>
        <v>NA</v>
      </c>
      <c r="AE2545" s="10" t="str">
        <f t="shared" si="2521"/>
        <v>NA</v>
      </c>
      <c r="AF2545" s="1" t="s">
        <v>2114</v>
      </c>
    </row>
    <row r="2546" spans="1:32" x14ac:dyDescent="0.2">
      <c r="A2546" s="1" t="s">
        <v>6493</v>
      </c>
      <c r="B2546" s="1" t="s">
        <v>5</v>
      </c>
      <c r="C2546" s="1" t="s">
        <v>1575</v>
      </c>
      <c r="D2546" s="1" t="s">
        <v>1601</v>
      </c>
      <c r="E2546" s="1" t="s">
        <v>1602</v>
      </c>
      <c r="F2546" s="1" t="s">
        <v>550</v>
      </c>
      <c r="G2546" s="4">
        <v>1</v>
      </c>
      <c r="H2546" s="28">
        <v>41610</v>
      </c>
      <c r="I2546" s="29">
        <f t="shared" si="2512"/>
        <v>2013</v>
      </c>
      <c r="J2546" s="1" t="s">
        <v>2104</v>
      </c>
      <c r="K2546" s="1" t="s">
        <v>7</v>
      </c>
      <c r="L2546" s="11" t="str">
        <f t="shared" si="2513"/>
        <v>НЕТ</v>
      </c>
      <c r="M2546" s="10">
        <v>0</v>
      </c>
      <c r="N2546" s="10">
        <v>0</v>
      </c>
      <c r="O2546" s="10">
        <v>2E-3</v>
      </c>
      <c r="P2546" s="10">
        <f t="shared" si="2510"/>
        <v>2E-3</v>
      </c>
      <c r="Q2546" s="10" t="str">
        <f t="shared" si="2511"/>
        <v>NA</v>
      </c>
      <c r="R2546" s="10" t="s">
        <v>1575</v>
      </c>
      <c r="S2546" s="10" t="s">
        <v>1575</v>
      </c>
      <c r="T2546" s="10" t="s">
        <v>1575</v>
      </c>
      <c r="U2546" s="10" t="s">
        <v>1575</v>
      </c>
      <c r="V2546" s="10">
        <v>4.6210000000000001E-3</v>
      </c>
      <c r="W2546" s="10" t="s">
        <v>1575</v>
      </c>
      <c r="X2546" s="10" t="str">
        <f t="shared" si="2514"/>
        <v>NA</v>
      </c>
      <c r="Y2546" s="10" t="str">
        <f t="shared" si="2515"/>
        <v>NA</v>
      </c>
      <c r="Z2546" s="10" t="str">
        <f t="shared" si="2516"/>
        <v>NA</v>
      </c>
      <c r="AA2546" s="10">
        <f t="shared" si="2517"/>
        <v>0.43280675178532785</v>
      </c>
      <c r="AB2546" s="10" t="str">
        <f t="shared" si="2518"/>
        <v>NA</v>
      </c>
      <c r="AC2546" s="10" t="str">
        <f t="shared" si="2519"/>
        <v>NA</v>
      </c>
      <c r="AD2546" s="10" t="str">
        <f t="shared" si="2520"/>
        <v>NA</v>
      </c>
      <c r="AE2546" s="10" t="str">
        <f t="shared" si="2521"/>
        <v>NA</v>
      </c>
      <c r="AF2546" s="1" t="s">
        <v>2115</v>
      </c>
    </row>
    <row r="2547" spans="1:32" x14ac:dyDescent="0.2">
      <c r="A2547" s="1" t="s">
        <v>6494</v>
      </c>
      <c r="B2547" s="1" t="s">
        <v>2255</v>
      </c>
      <c r="C2547" s="1" t="s">
        <v>1575</v>
      </c>
      <c r="D2547" s="1" t="s">
        <v>1578</v>
      </c>
      <c r="E2547" s="1" t="s">
        <v>2113</v>
      </c>
      <c r="F2547" s="1" t="s">
        <v>548</v>
      </c>
      <c r="G2547" s="4">
        <v>1</v>
      </c>
      <c r="H2547" s="28">
        <v>44439</v>
      </c>
      <c r="I2547" s="29">
        <f t="shared" si="2512"/>
        <v>2021</v>
      </c>
      <c r="J2547" s="1" t="s">
        <v>6495</v>
      </c>
      <c r="K2547" s="1" t="s">
        <v>7</v>
      </c>
      <c r="L2547" s="11" t="str">
        <f t="shared" si="2513"/>
        <v>НЕТ</v>
      </c>
      <c r="M2547" s="10">
        <v>0</v>
      </c>
      <c r="N2547" s="10">
        <v>225</v>
      </c>
      <c r="O2547" s="10">
        <f>19.596144</f>
        <v>19.596143999999999</v>
      </c>
      <c r="P2547" s="10">
        <f t="shared" si="2510"/>
        <v>19.596143999999999</v>
      </c>
      <c r="Q2547" s="10" t="str">
        <f t="shared" si="2511"/>
        <v>NA</v>
      </c>
      <c r="R2547" s="10" t="s">
        <v>1575</v>
      </c>
      <c r="S2547" s="10" t="s">
        <v>1575</v>
      </c>
      <c r="T2547" s="10" t="s">
        <v>1575</v>
      </c>
      <c r="U2547" s="10" t="s">
        <v>1575</v>
      </c>
      <c r="V2547" s="10">
        <f>12.661963</f>
        <v>12.661963</v>
      </c>
      <c r="W2547" s="10" t="s">
        <v>1575</v>
      </c>
      <c r="X2547" s="10" t="str">
        <f t="shared" si="2514"/>
        <v>NA</v>
      </c>
      <c r="Y2547" s="10" t="str">
        <f t="shared" si="2515"/>
        <v>NA</v>
      </c>
      <c r="Z2547" s="10" t="str">
        <f t="shared" si="2516"/>
        <v>NA</v>
      </c>
      <c r="AA2547" s="10">
        <f t="shared" si="2517"/>
        <v>1.5476387034143124</v>
      </c>
      <c r="AB2547" s="10" t="str">
        <f t="shared" si="2518"/>
        <v>NA</v>
      </c>
      <c r="AC2547" s="10" t="str">
        <f t="shared" si="2519"/>
        <v>NA</v>
      </c>
      <c r="AD2547" s="10" t="str">
        <f t="shared" si="2520"/>
        <v>NA</v>
      </c>
      <c r="AE2547" s="10" t="str">
        <f t="shared" si="2521"/>
        <v>NA</v>
      </c>
      <c r="AF2547" s="1" t="s">
        <v>2256</v>
      </c>
    </row>
    <row r="2548" spans="1:32" x14ac:dyDescent="0.2">
      <c r="A2548" s="1" t="s">
        <v>6496</v>
      </c>
      <c r="B2548" s="1" t="s">
        <v>5</v>
      </c>
      <c r="C2548" s="1" t="s">
        <v>1575</v>
      </c>
      <c r="D2548" s="1" t="s">
        <v>1578</v>
      </c>
      <c r="E2548" s="1" t="s">
        <v>2113</v>
      </c>
      <c r="F2548" s="1" t="s">
        <v>548</v>
      </c>
      <c r="G2548" s="4">
        <v>1</v>
      </c>
      <c r="H2548" s="28">
        <v>44469</v>
      </c>
      <c r="I2548" s="29">
        <f t="shared" si="2512"/>
        <v>2021</v>
      </c>
      <c r="J2548" s="1" t="s">
        <v>6497</v>
      </c>
      <c r="K2548" s="1" t="s">
        <v>7</v>
      </c>
      <c r="L2548" s="11" t="str">
        <f t="shared" si="2513"/>
        <v>НЕТ</v>
      </c>
      <c r="M2548" s="10">
        <v>0</v>
      </c>
      <c r="N2548" s="10">
        <v>0</v>
      </c>
      <c r="O2548" s="10">
        <v>2.454904</v>
      </c>
      <c r="P2548" s="10">
        <f t="shared" si="2510"/>
        <v>2.454904</v>
      </c>
      <c r="Q2548" s="10" t="str">
        <f t="shared" si="2511"/>
        <v>NA</v>
      </c>
      <c r="R2548" s="10" t="s">
        <v>1575</v>
      </c>
      <c r="S2548" s="10" t="s">
        <v>1575</v>
      </c>
      <c r="T2548" s="10" t="s">
        <v>1575</v>
      </c>
      <c r="U2548" s="10" t="s">
        <v>1575</v>
      </c>
      <c r="V2548" s="10">
        <v>1.005455</v>
      </c>
      <c r="W2548" s="10" t="s">
        <v>1575</v>
      </c>
      <c r="X2548" s="10" t="str">
        <f t="shared" si="2514"/>
        <v>NA</v>
      </c>
      <c r="Y2548" s="10" t="str">
        <f t="shared" si="2515"/>
        <v>NA</v>
      </c>
      <c r="Z2548" s="10" t="str">
        <f t="shared" si="2516"/>
        <v>NA</v>
      </c>
      <c r="AA2548" s="10">
        <f t="shared" si="2517"/>
        <v>2.4415851529904371</v>
      </c>
      <c r="AB2548" s="10" t="str">
        <f t="shared" si="2518"/>
        <v>NA</v>
      </c>
      <c r="AC2548" s="10" t="str">
        <f t="shared" si="2519"/>
        <v>NA</v>
      </c>
      <c r="AD2548" s="10" t="str">
        <f t="shared" si="2520"/>
        <v>NA</v>
      </c>
      <c r="AE2548" s="10" t="str">
        <f t="shared" si="2521"/>
        <v>NA</v>
      </c>
      <c r="AF2548" s="1" t="s">
        <v>2257</v>
      </c>
    </row>
    <row r="2549" spans="1:32" x14ac:dyDescent="0.2">
      <c r="A2549" s="1" t="s">
        <v>6498</v>
      </c>
      <c r="B2549" s="1" t="s">
        <v>2259</v>
      </c>
      <c r="C2549" s="1" t="s">
        <v>1575</v>
      </c>
      <c r="D2549" s="1" t="s">
        <v>1578</v>
      </c>
      <c r="E2549" s="1" t="s">
        <v>2113</v>
      </c>
      <c r="F2549" s="1" t="s">
        <v>548</v>
      </c>
      <c r="G2549" s="4">
        <v>1</v>
      </c>
      <c r="H2549" s="28">
        <v>42704</v>
      </c>
      <c r="I2549" s="29">
        <f t="shared" si="2512"/>
        <v>2016</v>
      </c>
      <c r="J2549" s="1" t="s">
        <v>6497</v>
      </c>
      <c r="K2549" s="1" t="s">
        <v>7</v>
      </c>
      <c r="L2549" s="11" t="str">
        <f t="shared" si="2513"/>
        <v>НЕТ</v>
      </c>
      <c r="M2549" s="10">
        <v>0</v>
      </c>
      <c r="N2549" s="10">
        <v>0</v>
      </c>
      <c r="O2549" s="10">
        <v>11.296151999999999</v>
      </c>
      <c r="P2549" s="10">
        <f t="shared" si="2510"/>
        <v>11.296151999999999</v>
      </c>
      <c r="Q2549" s="10" t="str">
        <f t="shared" si="2511"/>
        <v>NA</v>
      </c>
      <c r="R2549" s="10" t="s">
        <v>1575</v>
      </c>
      <c r="S2549" s="10" t="s">
        <v>1575</v>
      </c>
      <c r="T2549" s="10" t="s">
        <v>1575</v>
      </c>
      <c r="U2549" s="10" t="s">
        <v>1575</v>
      </c>
      <c r="V2549" s="10">
        <v>11.296151999999999</v>
      </c>
      <c r="W2549" s="10" t="s">
        <v>1575</v>
      </c>
      <c r="X2549" s="10" t="str">
        <f t="shared" si="2514"/>
        <v>NA</v>
      </c>
      <c r="Y2549" s="10" t="str">
        <f t="shared" si="2515"/>
        <v>NA</v>
      </c>
      <c r="Z2549" s="10" t="str">
        <f t="shared" si="2516"/>
        <v>NA</v>
      </c>
      <c r="AA2549" s="10">
        <f t="shared" si="2517"/>
        <v>1</v>
      </c>
      <c r="AB2549" s="10" t="str">
        <f t="shared" si="2518"/>
        <v>NA</v>
      </c>
      <c r="AC2549" s="10" t="str">
        <f t="shared" si="2519"/>
        <v>NA</v>
      </c>
      <c r="AD2549" s="10" t="str">
        <f t="shared" si="2520"/>
        <v>NA</v>
      </c>
      <c r="AE2549" s="10" t="str">
        <f t="shared" si="2521"/>
        <v>NA</v>
      </c>
      <c r="AF2549" s="1" t="s">
        <v>2258</v>
      </c>
    </row>
    <row r="2550" spans="1:32" x14ac:dyDescent="0.2">
      <c r="A2550" s="1" t="s">
        <v>2262</v>
      </c>
      <c r="B2550" s="1" t="s">
        <v>5</v>
      </c>
      <c r="C2550" s="1" t="s">
        <v>1575</v>
      </c>
      <c r="D2550" s="1" t="s">
        <v>1578</v>
      </c>
      <c r="E2550" s="1" t="s">
        <v>2113</v>
      </c>
      <c r="F2550" s="1" t="s">
        <v>548</v>
      </c>
      <c r="G2550" s="4" t="s">
        <v>11</v>
      </c>
      <c r="H2550" s="28">
        <v>43100</v>
      </c>
      <c r="I2550" s="29">
        <f t="shared" si="2512"/>
        <v>2017</v>
      </c>
      <c r="J2550" s="1" t="s">
        <v>2116</v>
      </c>
      <c r="K2550" s="1" t="s">
        <v>2261</v>
      </c>
      <c r="L2550" s="11" t="str">
        <f t="shared" si="2513"/>
        <v>НЕТ</v>
      </c>
      <c r="M2550" s="10">
        <v>0</v>
      </c>
      <c r="N2550" s="10">
        <v>0</v>
      </c>
      <c r="O2550" s="10">
        <v>7.2221760000000002</v>
      </c>
      <c r="P2550" s="10" t="str">
        <f t="shared" si="2510"/>
        <v>NA</v>
      </c>
      <c r="Q2550" s="10" t="str">
        <f t="shared" si="2511"/>
        <v>NA</v>
      </c>
      <c r="R2550" s="10" t="s">
        <v>1575</v>
      </c>
      <c r="S2550" s="10" t="s">
        <v>1575</v>
      </c>
      <c r="T2550" s="10" t="s">
        <v>1575</v>
      </c>
      <c r="U2550" s="10" t="s">
        <v>1575</v>
      </c>
      <c r="V2550" s="10">
        <v>2.0319729999999998</v>
      </c>
      <c r="W2550" s="10" t="s">
        <v>1575</v>
      </c>
      <c r="X2550" s="10" t="str">
        <f t="shared" si="2514"/>
        <v>NA</v>
      </c>
      <c r="Y2550" s="10" t="str">
        <f t="shared" si="2515"/>
        <v>NA</v>
      </c>
      <c r="Z2550" s="10" t="str">
        <f t="shared" si="2516"/>
        <v>NA</v>
      </c>
      <c r="AA2550" s="10" t="str">
        <f t="shared" si="2517"/>
        <v>NA</v>
      </c>
      <c r="AB2550" s="10" t="str">
        <f t="shared" si="2518"/>
        <v>NA</v>
      </c>
      <c r="AC2550" s="10" t="str">
        <f t="shared" si="2519"/>
        <v>NA</v>
      </c>
      <c r="AD2550" s="10" t="str">
        <f t="shared" si="2520"/>
        <v>NA</v>
      </c>
      <c r="AE2550" s="10" t="str">
        <f t="shared" si="2521"/>
        <v>NA</v>
      </c>
      <c r="AF2550" s="1" t="s">
        <v>2263</v>
      </c>
    </row>
    <row r="2551" spans="1:32" x14ac:dyDescent="0.2">
      <c r="A2551" s="1" t="s">
        <v>2265</v>
      </c>
      <c r="B2551" s="1" t="s">
        <v>5</v>
      </c>
      <c r="C2551" s="1" t="s">
        <v>2266</v>
      </c>
      <c r="D2551" s="1" t="s">
        <v>1578</v>
      </c>
      <c r="E2551" s="1" t="s">
        <v>2267</v>
      </c>
      <c r="F2551" s="1" t="s">
        <v>2268</v>
      </c>
      <c r="G2551" s="4">
        <f>19121920/790000000</f>
        <v>2.4204962025316457E-2</v>
      </c>
      <c r="H2551" s="28">
        <v>45107</v>
      </c>
      <c r="I2551" s="29">
        <f t="shared" si="2512"/>
        <v>2023</v>
      </c>
      <c r="J2551" s="1" t="s">
        <v>2265</v>
      </c>
      <c r="K2551" s="1" t="s">
        <v>7</v>
      </c>
      <c r="L2551" s="11" t="str">
        <f t="shared" si="2513"/>
        <v>ДА</v>
      </c>
      <c r="M2551" s="10">
        <v>0</v>
      </c>
      <c r="N2551" s="10">
        <v>0</v>
      </c>
      <c r="O2551" s="10">
        <v>1.3480000000000001</v>
      </c>
      <c r="P2551" s="10">
        <f t="shared" si="2510"/>
        <v>55.691060311935203</v>
      </c>
      <c r="Q2551" s="10" t="str">
        <f t="shared" si="2511"/>
        <v>NA</v>
      </c>
      <c r="R2551" s="10" t="s">
        <v>1575</v>
      </c>
      <c r="S2551" s="10" t="s">
        <v>1575</v>
      </c>
      <c r="T2551" s="10" t="s">
        <v>1575</v>
      </c>
      <c r="U2551" s="10" t="s">
        <v>1575</v>
      </c>
      <c r="V2551" s="10" t="s">
        <v>1575</v>
      </c>
      <c r="W2551" s="10" t="s">
        <v>1575</v>
      </c>
      <c r="X2551" s="10" t="str">
        <f t="shared" si="2514"/>
        <v>NA</v>
      </c>
      <c r="Y2551" s="10" t="str">
        <f t="shared" si="2515"/>
        <v>NA</v>
      </c>
      <c r="Z2551" s="10" t="str">
        <f t="shared" si="2516"/>
        <v>NA</v>
      </c>
      <c r="AA2551" s="10" t="str">
        <f t="shared" si="2517"/>
        <v>NA</v>
      </c>
      <c r="AB2551" s="10" t="str">
        <f t="shared" si="2518"/>
        <v>NA</v>
      </c>
      <c r="AC2551" s="10" t="str">
        <f t="shared" si="2519"/>
        <v>NA</v>
      </c>
      <c r="AD2551" s="10" t="str">
        <f t="shared" si="2520"/>
        <v>NA</v>
      </c>
      <c r="AE2551" s="10" t="str">
        <f t="shared" si="2521"/>
        <v>NA</v>
      </c>
      <c r="AF2551" s="1" t="s">
        <v>2264</v>
      </c>
    </row>
    <row r="2552" spans="1:32" x14ac:dyDescent="0.2">
      <c r="A2552" s="1" t="s">
        <v>2265</v>
      </c>
      <c r="B2552" s="1" t="s">
        <v>5</v>
      </c>
      <c r="C2552" s="1" t="s">
        <v>2266</v>
      </c>
      <c r="D2552" s="1" t="s">
        <v>1578</v>
      </c>
      <c r="E2552" s="1" t="s">
        <v>2267</v>
      </c>
      <c r="F2552" s="1" t="s">
        <v>2268</v>
      </c>
      <c r="G2552" s="4">
        <f>17435310/790000000</f>
        <v>2.2070012658227847E-2</v>
      </c>
      <c r="H2552" s="28">
        <v>44742</v>
      </c>
      <c r="I2552" s="29">
        <f t="shared" si="2512"/>
        <v>2022</v>
      </c>
      <c r="J2552" s="1" t="s">
        <v>2265</v>
      </c>
      <c r="K2552" s="1" t="s">
        <v>7</v>
      </c>
      <c r="L2552" s="11" t="str">
        <f t="shared" si="2513"/>
        <v>ДА</v>
      </c>
      <c r="M2552" s="10">
        <v>0</v>
      </c>
      <c r="N2552" s="10">
        <v>0</v>
      </c>
      <c r="O2552" s="10">
        <v>1.7170000000000001</v>
      </c>
      <c r="P2552" s="10">
        <f t="shared" si="2510"/>
        <v>77.797871101804333</v>
      </c>
      <c r="Q2552" s="10">
        <f t="shared" si="2511"/>
        <v>143.87487110180433</v>
      </c>
      <c r="R2552" s="10">
        <v>164.3</v>
      </c>
      <c r="S2552" s="10">
        <v>29.273</v>
      </c>
      <c r="T2552" s="10">
        <v>18.227</v>
      </c>
      <c r="U2552" s="10">
        <v>10.901999999999999</v>
      </c>
      <c r="V2552" s="10">
        <v>8.4999999999999964E-2</v>
      </c>
      <c r="W2552" s="10">
        <v>66.076999999999998</v>
      </c>
      <c r="X2552" s="10">
        <f t="shared" si="2514"/>
        <v>66.161999999999992</v>
      </c>
      <c r="Y2552" s="10">
        <f t="shared" si="2515"/>
        <v>0.4735110840036782</v>
      </c>
      <c r="Z2552" s="10">
        <f t="shared" si="2516"/>
        <v>7.1361099891583502</v>
      </c>
      <c r="AA2552" s="10">
        <f t="shared" si="2517"/>
        <v>915.26907178593376</v>
      </c>
      <c r="AB2552" s="10">
        <f t="shared" si="2518"/>
        <v>0.87568393853806648</v>
      </c>
      <c r="AC2552" s="10">
        <f t="shared" si="2519"/>
        <v>4.9149342773820361</v>
      </c>
      <c r="AD2552" s="10">
        <f t="shared" si="2520"/>
        <v>7.8935025567457249</v>
      </c>
      <c r="AE2552" s="10">
        <f t="shared" si="2521"/>
        <v>2.1745846724978741</v>
      </c>
      <c r="AF2552" s="1" t="s">
        <v>2264</v>
      </c>
    </row>
    <row r="2553" spans="1:32" x14ac:dyDescent="0.2">
      <c r="A2553" s="1" t="s">
        <v>2265</v>
      </c>
      <c r="B2553" s="1" t="s">
        <v>5</v>
      </c>
      <c r="C2553" s="1" t="s">
        <v>2266</v>
      </c>
      <c r="D2553" s="1" t="s">
        <v>1578</v>
      </c>
      <c r="E2553" s="1" t="s">
        <v>2267</v>
      </c>
      <c r="F2553" s="1" t="s">
        <v>2268</v>
      </c>
      <c r="G2553" s="4">
        <f>1212210/790000000</f>
        <v>1.5344430379746836E-3</v>
      </c>
      <c r="H2553" s="28">
        <v>44196</v>
      </c>
      <c r="I2553" s="29">
        <f t="shared" si="2512"/>
        <v>2020</v>
      </c>
      <c r="J2553" s="1" t="s">
        <v>2265</v>
      </c>
      <c r="K2553" s="1" t="s">
        <v>7</v>
      </c>
      <c r="L2553" s="11" t="str">
        <f t="shared" si="2513"/>
        <v>ДА</v>
      </c>
      <c r="M2553" s="10">
        <v>0</v>
      </c>
      <c r="N2553" s="10">
        <v>0</v>
      </c>
      <c r="O2553" s="10">
        <v>9.1999999999999998E-2</v>
      </c>
      <c r="P2553" s="10">
        <f t="shared" si="2510"/>
        <v>59.956608178450921</v>
      </c>
      <c r="Q2553" s="10">
        <f t="shared" si="2511"/>
        <v>114.85060817845093</v>
      </c>
      <c r="R2553" s="10">
        <v>142.88200000000001</v>
      </c>
      <c r="S2553" s="10">
        <v>24.978000000000002</v>
      </c>
      <c r="T2553" s="10">
        <v>14.565000000000001</v>
      </c>
      <c r="U2553" s="10">
        <v>6.7489999999999997</v>
      </c>
      <c r="V2553" s="10">
        <v>-2.6319999999999997</v>
      </c>
      <c r="W2553" s="10">
        <v>54.893999999999998</v>
      </c>
      <c r="X2553" s="10">
        <f t="shared" si="2514"/>
        <v>52.262</v>
      </c>
      <c r="Y2553" s="10">
        <f t="shared" si="2515"/>
        <v>0.41962324280490837</v>
      </c>
      <c r="Z2553" s="10">
        <f t="shared" si="2516"/>
        <v>8.8837765859313862</v>
      </c>
      <c r="AA2553" s="10">
        <f t="shared" si="2517"/>
        <v>-22.779866329198683</v>
      </c>
      <c r="AB2553" s="10">
        <f t="shared" si="2518"/>
        <v>0.80381439354467965</v>
      </c>
      <c r="AC2553" s="10">
        <f t="shared" si="2519"/>
        <v>4.5980706292918132</v>
      </c>
      <c r="AD2553" s="10">
        <f t="shared" si="2520"/>
        <v>7.8853833284209349</v>
      </c>
      <c r="AE2553" s="10">
        <f t="shared" si="2521"/>
        <v>2.1975930538144528</v>
      </c>
      <c r="AF2553" s="1" t="s">
        <v>2269</v>
      </c>
    </row>
    <row r="2554" spans="1:32" x14ac:dyDescent="0.2">
      <c r="A2554" s="1" t="s">
        <v>2265</v>
      </c>
      <c r="B2554" s="1" t="s">
        <v>5</v>
      </c>
      <c r="C2554" s="1" t="s">
        <v>2266</v>
      </c>
      <c r="D2554" s="1" t="s">
        <v>1578</v>
      </c>
      <c r="E2554" s="1" t="s">
        <v>2267</v>
      </c>
      <c r="F2554" s="1" t="s">
        <v>2268</v>
      </c>
      <c r="G2554" s="4">
        <f>1556610/790000000</f>
        <v>1.9703924050632911E-3</v>
      </c>
      <c r="H2554" s="28">
        <v>43830</v>
      </c>
      <c r="I2554" s="29">
        <f t="shared" si="2512"/>
        <v>2019</v>
      </c>
      <c r="J2554" s="1" t="s">
        <v>2265</v>
      </c>
      <c r="K2554" s="1" t="s">
        <v>7</v>
      </c>
      <c r="L2554" s="11" t="str">
        <f t="shared" si="2513"/>
        <v>ДА</v>
      </c>
      <c r="M2554" s="10">
        <v>0</v>
      </c>
      <c r="N2554" s="10">
        <v>0</v>
      </c>
      <c r="O2554" s="10">
        <v>0.13900000000000001</v>
      </c>
      <c r="P2554" s="10">
        <f t="shared" si="2510"/>
        <v>70.54432388331054</v>
      </c>
      <c r="Q2554" s="10">
        <f t="shared" si="2511"/>
        <v>122.90932388331055</v>
      </c>
      <c r="R2554" s="10">
        <v>128.76400000000001</v>
      </c>
      <c r="S2554" s="10">
        <v>22.898000000000003</v>
      </c>
      <c r="T2554" s="10">
        <v>12.893000000000001</v>
      </c>
      <c r="U2554" s="10">
        <v>6.5419999999999998</v>
      </c>
      <c r="V2554" s="10">
        <v>-1.6669999999999998</v>
      </c>
      <c r="W2554" s="10">
        <v>52.365000000000002</v>
      </c>
      <c r="X2554" s="10">
        <f t="shared" si="2514"/>
        <v>50.698</v>
      </c>
      <c r="Y2554" s="10">
        <f t="shared" si="2515"/>
        <v>0.54785750585031945</v>
      </c>
      <c r="Z2554" s="10">
        <f t="shared" si="2516"/>
        <v>10.783296221845085</v>
      </c>
      <c r="AA2554" s="10">
        <f t="shared" si="2517"/>
        <v>-42.318130703845561</v>
      </c>
      <c r="AB2554" s="10">
        <f t="shared" si="2518"/>
        <v>0.95453173156558158</v>
      </c>
      <c r="AC2554" s="10">
        <f t="shared" si="2519"/>
        <v>5.3676881772779517</v>
      </c>
      <c r="AD2554" s="10">
        <f t="shared" si="2520"/>
        <v>9.5330275252703434</v>
      </c>
      <c r="AE2554" s="10">
        <f t="shared" si="2521"/>
        <v>2.4243426542133921</v>
      </c>
      <c r="AF2554" s="1" t="s">
        <v>2270</v>
      </c>
    </row>
    <row r="2555" spans="1:32" x14ac:dyDescent="0.2">
      <c r="A2555" s="1" t="s">
        <v>2265</v>
      </c>
      <c r="B2555" s="1" t="s">
        <v>5</v>
      </c>
      <c r="C2555" s="1" t="s">
        <v>2266</v>
      </c>
      <c r="D2555" s="1" t="s">
        <v>1578</v>
      </c>
      <c r="E2555" s="1" t="s">
        <v>2267</v>
      </c>
      <c r="F2555" s="1" t="s">
        <v>2268</v>
      </c>
      <c r="G2555" s="4">
        <f>2127840/790000000</f>
        <v>2.6934683544303797E-3</v>
      </c>
      <c r="H2555" s="28">
        <v>43465</v>
      </c>
      <c r="I2555" s="29">
        <f t="shared" si="2512"/>
        <v>2018</v>
      </c>
      <c r="J2555" s="1" t="s">
        <v>2265</v>
      </c>
      <c r="K2555" s="1" t="s">
        <v>7</v>
      </c>
      <c r="L2555" s="11" t="str">
        <f t="shared" si="2513"/>
        <v>ДА</v>
      </c>
      <c r="M2555" s="10">
        <v>0</v>
      </c>
      <c r="N2555" s="10">
        <v>0</v>
      </c>
      <c r="O2555" s="10">
        <v>0.19500000000000001</v>
      </c>
      <c r="P2555" s="10">
        <f t="shared" si="2510"/>
        <v>72.397360703812325</v>
      </c>
      <c r="Q2555" s="10">
        <f t="shared" si="2511"/>
        <v>121.23036070381232</v>
      </c>
      <c r="R2555" s="10">
        <v>110.874</v>
      </c>
      <c r="S2555" s="10">
        <v>20.332000000000001</v>
      </c>
      <c r="T2555" s="10">
        <v>11.231999999999999</v>
      </c>
      <c r="U2555" s="10">
        <v>5.694</v>
      </c>
      <c r="V2555" s="10">
        <v>-0.94200000000000017</v>
      </c>
      <c r="W2555" s="10">
        <v>48.833000000000006</v>
      </c>
      <c r="X2555" s="10">
        <f t="shared" si="2514"/>
        <v>47.891000000000005</v>
      </c>
      <c r="Y2555" s="10">
        <f t="shared" si="2515"/>
        <v>0.65296968363919705</v>
      </c>
      <c r="Z2555" s="10">
        <f t="shared" si="2516"/>
        <v>12.714675220198863</v>
      </c>
      <c r="AA2555" s="10">
        <f t="shared" si="2517"/>
        <v>-76.854947668590569</v>
      </c>
      <c r="AB2555" s="10">
        <f t="shared" si="2518"/>
        <v>1.0934065759674254</v>
      </c>
      <c r="AC2555" s="10">
        <f t="shared" si="2519"/>
        <v>5.9625398732939363</v>
      </c>
      <c r="AD2555" s="10">
        <f t="shared" si="2520"/>
        <v>10.793301344712637</v>
      </c>
      <c r="AE2555" s="10">
        <f t="shared" si="2521"/>
        <v>2.5313808586960453</v>
      </c>
      <c r="AF2555" s="1" t="s">
        <v>2271</v>
      </c>
    </row>
    <row r="2556" spans="1:32" x14ac:dyDescent="0.2">
      <c r="A2556" s="1" t="s">
        <v>2265</v>
      </c>
      <c r="B2556" s="1" t="s">
        <v>5</v>
      </c>
      <c r="C2556" s="1" t="s">
        <v>2266</v>
      </c>
      <c r="D2556" s="1" t="s">
        <v>1578</v>
      </c>
      <c r="E2556" s="1" t="s">
        <v>2267</v>
      </c>
      <c r="F2556" s="1" t="s">
        <v>2268</v>
      </c>
      <c r="G2556" s="4">
        <f>381578/790000000</f>
        <v>4.8301012658227848E-4</v>
      </c>
      <c r="H2556" s="28">
        <v>43830</v>
      </c>
      <c r="I2556" s="29">
        <f t="shared" si="2512"/>
        <v>2019</v>
      </c>
      <c r="J2556" s="1" t="s">
        <v>2265</v>
      </c>
      <c r="K2556" s="1" t="s">
        <v>7</v>
      </c>
      <c r="L2556" s="11" t="str">
        <f t="shared" si="2513"/>
        <v>ДА</v>
      </c>
      <c r="M2556" s="10">
        <v>0</v>
      </c>
      <c r="N2556" s="10">
        <v>0</v>
      </c>
      <c r="O2556" s="10">
        <v>3.5999999999999997E-2</v>
      </c>
      <c r="P2556" s="10">
        <f t="shared" si="2510"/>
        <v>74.532598839555732</v>
      </c>
      <c r="Q2556" s="10">
        <f t="shared" si="2511"/>
        <v>126.89759883955574</v>
      </c>
      <c r="R2556" s="10">
        <v>128.76400000000001</v>
      </c>
      <c r="S2556" s="10">
        <v>22.898000000000003</v>
      </c>
      <c r="T2556" s="10">
        <v>12.893000000000001</v>
      </c>
      <c r="U2556" s="10">
        <v>6.5419999999999998</v>
      </c>
      <c r="V2556" s="10">
        <v>-1.6669999999999998</v>
      </c>
      <c r="W2556" s="10">
        <v>52.365000000000002</v>
      </c>
      <c r="X2556" s="10">
        <f t="shared" si="2514"/>
        <v>50.698</v>
      </c>
      <c r="Y2556" s="10">
        <f t="shared" si="2515"/>
        <v>0.57883103071942255</v>
      </c>
      <c r="Z2556" s="10">
        <f t="shared" si="2516"/>
        <v>11.392937762084337</v>
      </c>
      <c r="AA2556" s="10">
        <f t="shared" si="2517"/>
        <v>-44.710617180297383</v>
      </c>
      <c r="AB2556" s="10">
        <f t="shared" si="2518"/>
        <v>0.98550525643468467</v>
      </c>
      <c r="AC2556" s="10">
        <f t="shared" si="2519"/>
        <v>5.5418638675672867</v>
      </c>
      <c r="AD2556" s="10">
        <f t="shared" si="2520"/>
        <v>9.8423639835225103</v>
      </c>
      <c r="AE2556" s="10">
        <f t="shared" si="2521"/>
        <v>2.503009957780499</v>
      </c>
      <c r="AF2556" s="1" t="s">
        <v>2272</v>
      </c>
    </row>
    <row r="2557" spans="1:32" x14ac:dyDescent="0.2">
      <c r="A2557" s="1" t="s">
        <v>2265</v>
      </c>
      <c r="B2557" s="1" t="s">
        <v>5</v>
      </c>
      <c r="C2557" s="1" t="s">
        <v>2266</v>
      </c>
      <c r="D2557" s="1" t="s">
        <v>1578</v>
      </c>
      <c r="E2557" s="1" t="s">
        <v>2267</v>
      </c>
      <c r="F2557" s="1" t="s">
        <v>2268</v>
      </c>
      <c r="G2557" s="4">
        <f>443310/790000000</f>
        <v>5.6115189873417722E-4</v>
      </c>
      <c r="H2557" s="28">
        <v>43465</v>
      </c>
      <c r="I2557" s="29">
        <f t="shared" si="2512"/>
        <v>2018</v>
      </c>
      <c r="J2557" s="1" t="s">
        <v>2265</v>
      </c>
      <c r="K2557" s="1" t="s">
        <v>7</v>
      </c>
      <c r="L2557" s="11" t="str">
        <f t="shared" si="2513"/>
        <v>ДА</v>
      </c>
      <c r="M2557" s="10">
        <v>0</v>
      </c>
      <c r="N2557" s="10">
        <v>0</v>
      </c>
      <c r="O2557" s="10">
        <v>3.7999999999999999E-2</v>
      </c>
      <c r="P2557" s="10">
        <f t="shared" si="2510"/>
        <v>67.717849811644214</v>
      </c>
      <c r="Q2557" s="10">
        <f t="shared" si="2511"/>
        <v>116.55084981164421</v>
      </c>
      <c r="R2557" s="10">
        <v>110.874</v>
      </c>
      <c r="S2557" s="10">
        <v>20.332000000000001</v>
      </c>
      <c r="T2557" s="10">
        <v>11.231999999999999</v>
      </c>
      <c r="U2557" s="10">
        <v>5.694</v>
      </c>
      <c r="V2557" s="10">
        <v>-0.94200000000000017</v>
      </c>
      <c r="W2557" s="10">
        <v>48.833000000000006</v>
      </c>
      <c r="X2557" s="10">
        <f t="shared" si="2514"/>
        <v>47.891000000000005</v>
      </c>
      <c r="Y2557" s="10">
        <f t="shared" si="2515"/>
        <v>0.61076401872074804</v>
      </c>
      <c r="Z2557" s="10">
        <f t="shared" si="2516"/>
        <v>11.892843310791045</v>
      </c>
      <c r="AA2557" s="10">
        <f t="shared" si="2517"/>
        <v>-71.887314025099997</v>
      </c>
      <c r="AB2557" s="10">
        <f t="shared" si="2518"/>
        <v>1.0512009110489764</v>
      </c>
      <c r="AC2557" s="10">
        <f t="shared" si="2519"/>
        <v>5.7323849012219261</v>
      </c>
      <c r="AD2557" s="10">
        <f t="shared" si="2520"/>
        <v>10.376678223971174</v>
      </c>
      <c r="AE2557" s="10">
        <f t="shared" si="2521"/>
        <v>2.4336691614634107</v>
      </c>
      <c r="AF2557" s="1" t="s">
        <v>2273</v>
      </c>
    </row>
    <row r="2558" spans="1:32" x14ac:dyDescent="0.2">
      <c r="A2558" s="1" t="s">
        <v>2265</v>
      </c>
      <c r="B2558" s="1" t="s">
        <v>5</v>
      </c>
      <c r="C2558" s="1" t="s">
        <v>2266</v>
      </c>
      <c r="D2558" s="1" t="s">
        <v>1578</v>
      </c>
      <c r="E2558" s="1" t="s">
        <v>2267</v>
      </c>
      <c r="F2558" s="1" t="s">
        <v>2268</v>
      </c>
      <c r="G2558" s="4">
        <f>3680480/790000000</f>
        <v>4.6588354430379744E-3</v>
      </c>
      <c r="H2558" s="28">
        <v>43100</v>
      </c>
      <c r="I2558" s="29">
        <f t="shared" si="2512"/>
        <v>2017</v>
      </c>
      <c r="J2558" s="1" t="s">
        <v>2265</v>
      </c>
      <c r="K2558" s="1" t="s">
        <v>7</v>
      </c>
      <c r="L2558" s="11" t="str">
        <f t="shared" si="2513"/>
        <v>ДА</v>
      </c>
      <c r="M2558" s="10">
        <v>0</v>
      </c>
      <c r="N2558" s="10">
        <v>0</v>
      </c>
      <c r="O2558" s="10">
        <v>0.375</v>
      </c>
      <c r="P2558" s="10">
        <f t="shared" si="2510"/>
        <v>80.492218406294839</v>
      </c>
      <c r="Q2558" s="10">
        <f t="shared" si="2511"/>
        <v>90.957218406294842</v>
      </c>
      <c r="R2558" s="10">
        <v>97.003</v>
      </c>
      <c r="S2558" s="10">
        <v>9.8420000000000005</v>
      </c>
      <c r="T2558" s="10">
        <v>8.0240000000000009</v>
      </c>
      <c r="U2558" s="10">
        <v>4.8440000000000003</v>
      </c>
      <c r="V2558" s="10">
        <v>-0.52200000000000024</v>
      </c>
      <c r="W2558" s="10">
        <v>10.465</v>
      </c>
      <c r="X2558" s="10">
        <f t="shared" si="2514"/>
        <v>9.9429999999999996</v>
      </c>
      <c r="Y2558" s="10">
        <f t="shared" si="2515"/>
        <v>0.8297910209611542</v>
      </c>
      <c r="Z2558" s="10">
        <f t="shared" si="2516"/>
        <v>16.616890670168214</v>
      </c>
      <c r="AA2558" s="10">
        <f t="shared" si="2517"/>
        <v>-154.19965211933871</v>
      </c>
      <c r="AB2558" s="10">
        <f t="shared" si="2518"/>
        <v>0.93767428230358696</v>
      </c>
      <c r="AC2558" s="10">
        <f t="shared" si="2519"/>
        <v>9.2417413540230484</v>
      </c>
      <c r="AD2558" s="10">
        <f t="shared" si="2520"/>
        <v>11.335645364692775</v>
      </c>
      <c r="AE2558" s="10">
        <f t="shared" si="2521"/>
        <v>9.1478646692441767</v>
      </c>
      <c r="AF2558" s="1" t="s">
        <v>2274</v>
      </c>
    </row>
    <row r="2559" spans="1:32" x14ac:dyDescent="0.2">
      <c r="A2559" s="1" t="s">
        <v>2265</v>
      </c>
      <c r="B2559" s="1" t="s">
        <v>5</v>
      </c>
      <c r="C2559" s="1" t="s">
        <v>2266</v>
      </c>
      <c r="D2559" s="1" t="s">
        <v>1578</v>
      </c>
      <c r="E2559" s="1" t="s">
        <v>2267</v>
      </c>
      <c r="F2559" s="1" t="s">
        <v>2268</v>
      </c>
      <c r="G2559" s="4">
        <f>185/739</f>
        <v>0.25033829499323412</v>
      </c>
      <c r="H2559" s="28">
        <v>41547</v>
      </c>
      <c r="I2559" s="29">
        <f t="shared" si="2512"/>
        <v>2013</v>
      </c>
      <c r="J2559" s="1" t="s">
        <v>2265</v>
      </c>
      <c r="K2559" s="1" t="s">
        <v>2275</v>
      </c>
      <c r="L2559" s="11" t="str">
        <f t="shared" si="2513"/>
        <v>ДА</v>
      </c>
      <c r="M2559" s="10">
        <v>0</v>
      </c>
      <c r="N2559" s="10">
        <v>0</v>
      </c>
      <c r="O2559" s="10">
        <f>4.542514</f>
        <v>4.5425139999999997</v>
      </c>
      <c r="P2559" s="10">
        <f t="shared" si="2510"/>
        <v>18.145501870270266</v>
      </c>
      <c r="Q2559" s="10">
        <f t="shared" si="2511"/>
        <v>19.542131870270268</v>
      </c>
      <c r="R2559" s="10">
        <v>27.623985083000001</v>
      </c>
      <c r="S2559" s="10">
        <v>1.6822983259888469</v>
      </c>
      <c r="T2559" s="10">
        <v>1.1019530815059695</v>
      </c>
      <c r="U2559" s="10">
        <v>0.45611800000000002</v>
      </c>
      <c r="V2559" s="10">
        <v>1.7125810000000019</v>
      </c>
      <c r="W2559" s="10">
        <v>1.39663</v>
      </c>
      <c r="X2559" s="10">
        <f t="shared" si="2514"/>
        <v>3.1092110000000019</v>
      </c>
      <c r="Y2559" s="10">
        <f t="shared" si="2515"/>
        <v>0.6568748794118463</v>
      </c>
      <c r="Z2559" s="10">
        <f t="shared" si="2516"/>
        <v>39.782472672138056</v>
      </c>
      <c r="AA2559" s="10">
        <f t="shared" si="2517"/>
        <v>10.595412345617664</v>
      </c>
      <c r="AB2559" s="10">
        <f t="shared" si="2518"/>
        <v>0.70743347896957254</v>
      </c>
      <c r="AC2559" s="10">
        <f t="shared" si="2519"/>
        <v>11.616329617865782</v>
      </c>
      <c r="AD2559" s="10">
        <f t="shared" si="2520"/>
        <v>17.734087048028645</v>
      </c>
      <c r="AE2559" s="10">
        <f t="shared" si="2521"/>
        <v>6.285238238984185</v>
      </c>
      <c r="AF2559" s="1" t="s">
        <v>2276</v>
      </c>
    </row>
    <row r="2560" spans="1:32" x14ac:dyDescent="0.2">
      <c r="A2560" s="1" t="s">
        <v>6499</v>
      </c>
      <c r="B2560" s="1" t="s">
        <v>5</v>
      </c>
      <c r="C2560" s="1" t="s">
        <v>1575</v>
      </c>
      <c r="D2560" s="1" t="s">
        <v>1578</v>
      </c>
      <c r="E2560" s="1" t="s">
        <v>2267</v>
      </c>
      <c r="F2560" s="1" t="s">
        <v>2268</v>
      </c>
      <c r="G2560" s="4">
        <v>1</v>
      </c>
      <c r="H2560" s="28">
        <v>41114</v>
      </c>
      <c r="I2560" s="29">
        <f t="shared" si="2512"/>
        <v>2012</v>
      </c>
      <c r="J2560" s="1" t="s">
        <v>2265</v>
      </c>
      <c r="K2560" s="1" t="s">
        <v>7</v>
      </c>
      <c r="L2560" s="11" t="str">
        <f t="shared" si="2513"/>
        <v>НЕТ</v>
      </c>
      <c r="M2560" s="10">
        <v>15.25</v>
      </c>
      <c r="N2560" s="10">
        <v>0</v>
      </c>
      <c r="O2560" s="10">
        <f>M2560*32.82/1000</f>
        <v>0.50050499999999998</v>
      </c>
      <c r="P2560" s="10">
        <f t="shared" si="2510"/>
        <v>0.50050499999999998</v>
      </c>
      <c r="Q2560" s="10" t="str">
        <f t="shared" si="2511"/>
        <v>NA</v>
      </c>
      <c r="R2560" s="10" t="s">
        <v>1575</v>
      </c>
      <c r="S2560" s="10" t="s">
        <v>1575</v>
      </c>
      <c r="T2560" s="10" t="s">
        <v>1575</v>
      </c>
      <c r="U2560" s="10" t="s">
        <v>1575</v>
      </c>
      <c r="V2560" s="10">
        <f>0.01525*32.82</f>
        <v>0.50050499999999998</v>
      </c>
      <c r="W2560" s="10" t="s">
        <v>1575</v>
      </c>
      <c r="X2560" s="10" t="str">
        <f t="shared" si="2514"/>
        <v>NA</v>
      </c>
      <c r="Y2560" s="10" t="str">
        <f t="shared" si="2515"/>
        <v>NA</v>
      </c>
      <c r="Z2560" s="10" t="str">
        <f t="shared" si="2516"/>
        <v>NA</v>
      </c>
      <c r="AA2560" s="10">
        <f t="shared" si="2517"/>
        <v>1</v>
      </c>
      <c r="AB2560" s="10" t="str">
        <f t="shared" si="2518"/>
        <v>NA</v>
      </c>
      <c r="AC2560" s="10" t="str">
        <f t="shared" si="2519"/>
        <v>NA</v>
      </c>
      <c r="AD2560" s="10" t="str">
        <f t="shared" si="2520"/>
        <v>NA</v>
      </c>
      <c r="AE2560" s="10" t="str">
        <f t="shared" si="2521"/>
        <v>NA</v>
      </c>
      <c r="AF2560" s="1" t="s">
        <v>2277</v>
      </c>
    </row>
    <row r="2561" spans="1:32" x14ac:dyDescent="0.2">
      <c r="A2561" s="1" t="s">
        <v>6500</v>
      </c>
      <c r="B2561" s="1" t="s">
        <v>5</v>
      </c>
      <c r="C2561" s="1" t="s">
        <v>1575</v>
      </c>
      <c r="D2561" s="1" t="s">
        <v>1813</v>
      </c>
      <c r="E2561" s="1" t="s">
        <v>1819</v>
      </c>
      <c r="F2561" s="1" t="s">
        <v>255</v>
      </c>
      <c r="G2561" s="4">
        <v>0.1</v>
      </c>
      <c r="H2561" s="28">
        <v>44926</v>
      </c>
      <c r="I2561" s="29">
        <f t="shared" si="2512"/>
        <v>2022</v>
      </c>
      <c r="J2561" s="1" t="s">
        <v>7</v>
      </c>
      <c r="K2561" s="1" t="s">
        <v>2283</v>
      </c>
      <c r="L2561" s="11" t="str">
        <f t="shared" si="2513"/>
        <v>НЕТ</v>
      </c>
      <c r="M2561" s="10">
        <v>0</v>
      </c>
      <c r="N2561" s="10">
        <v>0</v>
      </c>
      <c r="O2561" s="10">
        <v>4.5140000000000002</v>
      </c>
      <c r="P2561" s="10">
        <f t="shared" si="2510"/>
        <v>45.14</v>
      </c>
      <c r="Q2561" s="10" t="str">
        <f t="shared" si="2511"/>
        <v>NA</v>
      </c>
      <c r="R2561" s="10" t="s">
        <v>1575</v>
      </c>
      <c r="S2561" s="10" t="s">
        <v>1575</v>
      </c>
      <c r="T2561" s="10" t="s">
        <v>1575</v>
      </c>
      <c r="U2561" s="10" t="s">
        <v>1575</v>
      </c>
      <c r="V2561" s="10">
        <f>0.563/0.4</f>
        <v>1.4074999999999998</v>
      </c>
      <c r="W2561" s="10" t="s">
        <v>1575</v>
      </c>
      <c r="X2561" s="10" t="str">
        <f t="shared" si="2514"/>
        <v>NA</v>
      </c>
      <c r="Y2561" s="10" t="str">
        <f t="shared" si="2515"/>
        <v>NA</v>
      </c>
      <c r="Z2561" s="10" t="str">
        <f t="shared" si="2516"/>
        <v>NA</v>
      </c>
      <c r="AA2561" s="10">
        <f t="shared" si="2517"/>
        <v>32.071047957371235</v>
      </c>
      <c r="AB2561" s="10" t="str">
        <f t="shared" si="2518"/>
        <v>NA</v>
      </c>
      <c r="AC2561" s="10" t="str">
        <f t="shared" si="2519"/>
        <v>NA</v>
      </c>
      <c r="AD2561" s="10" t="str">
        <f t="shared" si="2520"/>
        <v>NA</v>
      </c>
      <c r="AE2561" s="10" t="str">
        <f t="shared" si="2521"/>
        <v>NA</v>
      </c>
      <c r="AF2561" s="1" t="s">
        <v>2285</v>
      </c>
    </row>
    <row r="2562" spans="1:32" x14ac:dyDescent="0.2">
      <c r="A2562" s="1" t="s">
        <v>6500</v>
      </c>
      <c r="B2562" s="1" t="s">
        <v>5</v>
      </c>
      <c r="C2562" s="1" t="s">
        <v>1575</v>
      </c>
      <c r="D2562" s="1" t="s">
        <v>1813</v>
      </c>
      <c r="E2562" s="1" t="s">
        <v>1819</v>
      </c>
      <c r="F2562" s="1" t="s">
        <v>255</v>
      </c>
      <c r="G2562" s="4">
        <v>0.4</v>
      </c>
      <c r="H2562" s="28">
        <v>44316</v>
      </c>
      <c r="I2562" s="29">
        <f t="shared" si="2512"/>
        <v>2021</v>
      </c>
      <c r="J2562" s="1" t="s">
        <v>7</v>
      </c>
      <c r="K2562" s="1" t="s">
        <v>2283</v>
      </c>
      <c r="L2562" s="11" t="str">
        <f t="shared" si="2513"/>
        <v>НЕТ</v>
      </c>
      <c r="M2562" s="10">
        <v>0</v>
      </c>
      <c r="N2562" s="10">
        <v>0</v>
      </c>
      <c r="O2562" s="10">
        <v>4.1340000000000003</v>
      </c>
      <c r="P2562" s="10">
        <f t="shared" si="2510"/>
        <v>10.335000000000001</v>
      </c>
      <c r="Q2562" s="10" t="str">
        <f t="shared" si="2511"/>
        <v>NA</v>
      </c>
      <c r="R2562" s="10" t="s">
        <v>1575</v>
      </c>
      <c r="S2562" s="10" t="s">
        <v>1575</v>
      </c>
      <c r="T2562" s="10" t="s">
        <v>1575</v>
      </c>
      <c r="U2562" s="10" t="s">
        <v>1575</v>
      </c>
      <c r="V2562" s="10">
        <f>0.563/0.4</f>
        <v>1.4074999999999998</v>
      </c>
      <c r="W2562" s="10" t="s">
        <v>1575</v>
      </c>
      <c r="X2562" s="10" t="str">
        <f t="shared" si="2514"/>
        <v>NA</v>
      </c>
      <c r="Y2562" s="10" t="str">
        <f t="shared" si="2515"/>
        <v>NA</v>
      </c>
      <c r="Z2562" s="10" t="str">
        <f t="shared" si="2516"/>
        <v>NA</v>
      </c>
      <c r="AA2562" s="10">
        <f t="shared" si="2517"/>
        <v>7.342806394316165</v>
      </c>
      <c r="AB2562" s="10" t="str">
        <f t="shared" si="2518"/>
        <v>NA</v>
      </c>
      <c r="AC2562" s="10" t="str">
        <f t="shared" si="2519"/>
        <v>NA</v>
      </c>
      <c r="AD2562" s="10" t="str">
        <f t="shared" si="2520"/>
        <v>NA</v>
      </c>
      <c r="AE2562" s="10" t="str">
        <f t="shared" si="2521"/>
        <v>NA</v>
      </c>
      <c r="AF2562" s="1" t="s">
        <v>2284</v>
      </c>
    </row>
    <row r="2563" spans="1:32" x14ac:dyDescent="0.2">
      <c r="A2563" s="1" t="s">
        <v>6501</v>
      </c>
      <c r="B2563" s="1" t="s">
        <v>5</v>
      </c>
      <c r="C2563" s="1" t="s">
        <v>1575</v>
      </c>
      <c r="D2563" s="1" t="s">
        <v>1580</v>
      </c>
      <c r="E2563" s="1" t="s">
        <v>1827</v>
      </c>
      <c r="F2563" s="1" t="s">
        <v>2281</v>
      </c>
      <c r="G2563" s="4">
        <v>1</v>
      </c>
      <c r="H2563" s="28">
        <v>44482</v>
      </c>
      <c r="I2563" s="29">
        <f t="shared" si="2512"/>
        <v>2021</v>
      </c>
      <c r="J2563" s="1" t="s">
        <v>2283</v>
      </c>
      <c r="K2563" s="1" t="s">
        <v>7</v>
      </c>
      <c r="L2563" s="11" t="str">
        <f t="shared" si="2513"/>
        <v>НЕТ</v>
      </c>
      <c r="M2563" s="10">
        <v>0</v>
      </c>
      <c r="N2563" s="10">
        <v>0</v>
      </c>
      <c r="O2563" s="10">
        <v>1.7949999999999999</v>
      </c>
      <c r="P2563" s="10">
        <f t="shared" ref="P2563:P2626" si="2522">IFERROR(O2563/G2563,"NA")</f>
        <v>1.7949999999999999</v>
      </c>
      <c r="Q2563" s="10" t="str">
        <f t="shared" ref="Q2563:Q2626" si="2523">IFERROR(P2563+W2563,"NA")</f>
        <v>NA</v>
      </c>
      <c r="R2563" s="10" t="s">
        <v>1575</v>
      </c>
      <c r="S2563" s="10" t="s">
        <v>1575</v>
      </c>
      <c r="T2563" s="10" t="s">
        <v>1575</v>
      </c>
      <c r="U2563" s="10" t="s">
        <v>1575</v>
      </c>
      <c r="V2563" s="10">
        <v>0.76300000000000001</v>
      </c>
      <c r="W2563" s="10" t="s">
        <v>1575</v>
      </c>
      <c r="X2563" s="10" t="str">
        <f t="shared" si="2514"/>
        <v>NA</v>
      </c>
      <c r="Y2563" s="10" t="str">
        <f t="shared" si="2515"/>
        <v>NA</v>
      </c>
      <c r="Z2563" s="10" t="str">
        <f t="shared" si="2516"/>
        <v>NA</v>
      </c>
      <c r="AA2563" s="10">
        <f t="shared" si="2517"/>
        <v>2.3525557011795541</v>
      </c>
      <c r="AB2563" s="10" t="str">
        <f t="shared" si="2518"/>
        <v>NA</v>
      </c>
      <c r="AC2563" s="10" t="str">
        <f t="shared" si="2519"/>
        <v>NA</v>
      </c>
      <c r="AD2563" s="10" t="str">
        <f t="shared" si="2520"/>
        <v>NA</v>
      </c>
      <c r="AE2563" s="10" t="str">
        <f t="shared" si="2521"/>
        <v>NA</v>
      </c>
      <c r="AF2563" s="1" t="s">
        <v>2282</v>
      </c>
    </row>
    <row r="2564" spans="1:32" x14ac:dyDescent="0.2">
      <c r="A2564" s="1" t="s">
        <v>2288</v>
      </c>
      <c r="B2564" s="1" t="s">
        <v>5</v>
      </c>
      <c r="C2564" s="1" t="s">
        <v>1575</v>
      </c>
      <c r="D2564" s="1" t="s">
        <v>1578</v>
      </c>
      <c r="E2564" s="1" t="s">
        <v>2286</v>
      </c>
      <c r="F2564" s="1" t="s">
        <v>2287</v>
      </c>
      <c r="G2564" s="4">
        <v>1</v>
      </c>
      <c r="H2564" s="28">
        <v>43220</v>
      </c>
      <c r="I2564" s="29">
        <f t="shared" si="2512"/>
        <v>2018</v>
      </c>
      <c r="J2564" s="1" t="s">
        <v>6502</v>
      </c>
      <c r="K2564" s="1" t="s">
        <v>7</v>
      </c>
      <c r="L2564" s="11" t="str">
        <f t="shared" si="2513"/>
        <v>НЕТ</v>
      </c>
      <c r="M2564" s="10">
        <v>0</v>
      </c>
      <c r="N2564" s="10">
        <v>0</v>
      </c>
      <c r="O2564" s="10">
        <v>45.52</v>
      </c>
      <c r="P2564" s="10">
        <f t="shared" si="2522"/>
        <v>45.52</v>
      </c>
      <c r="Q2564" s="10" t="str">
        <f t="shared" si="2523"/>
        <v>NA</v>
      </c>
      <c r="R2564" s="10">
        <v>106</v>
      </c>
      <c r="S2564" s="10" t="s">
        <v>1575</v>
      </c>
      <c r="T2564" s="10" t="s">
        <v>1575</v>
      </c>
      <c r="U2564" s="10" t="s">
        <v>1575</v>
      </c>
      <c r="V2564" s="10">
        <v>9.5510000000000002</v>
      </c>
      <c r="W2564" s="10" t="s">
        <v>1575</v>
      </c>
      <c r="X2564" s="10" t="str">
        <f t="shared" si="2514"/>
        <v>NA</v>
      </c>
      <c r="Y2564" s="10">
        <f t="shared" si="2515"/>
        <v>0.42943396226415098</v>
      </c>
      <c r="Z2564" s="10" t="str">
        <f t="shared" si="2516"/>
        <v>NA</v>
      </c>
      <c r="AA2564" s="10">
        <f t="shared" si="2517"/>
        <v>4.7659930897288243</v>
      </c>
      <c r="AB2564" s="10" t="str">
        <f t="shared" si="2518"/>
        <v>NA</v>
      </c>
      <c r="AC2564" s="10" t="str">
        <f t="shared" si="2519"/>
        <v>NA</v>
      </c>
      <c r="AD2564" s="10" t="str">
        <f t="shared" si="2520"/>
        <v>NA</v>
      </c>
      <c r="AE2564" s="10" t="str">
        <f t="shared" si="2521"/>
        <v>NA</v>
      </c>
      <c r="AF2564" s="1" t="s">
        <v>2290</v>
      </c>
    </row>
    <row r="2565" spans="1:32" x14ac:dyDescent="0.2">
      <c r="A2565" s="1" t="s">
        <v>6503</v>
      </c>
      <c r="B2565" s="1" t="s">
        <v>5</v>
      </c>
      <c r="C2565" s="1" t="s">
        <v>1575</v>
      </c>
      <c r="D2565" s="1" t="s">
        <v>1578</v>
      </c>
      <c r="E2565" s="1" t="s">
        <v>2286</v>
      </c>
      <c r="F2565" s="1" t="s">
        <v>2287</v>
      </c>
      <c r="G2565" s="4" t="s">
        <v>11</v>
      </c>
      <c r="H2565" s="28">
        <v>43343</v>
      </c>
      <c r="I2565" s="29">
        <f t="shared" si="2512"/>
        <v>2018</v>
      </c>
      <c r="J2565" s="1" t="s">
        <v>6502</v>
      </c>
      <c r="K2565" s="1" t="s">
        <v>7</v>
      </c>
      <c r="L2565" s="11" t="str">
        <f t="shared" si="2513"/>
        <v>НЕТ</v>
      </c>
      <c r="M2565" s="10">
        <v>0</v>
      </c>
      <c r="N2565" s="10">
        <v>0</v>
      </c>
      <c r="O2565" s="10">
        <f>14.397+0.117</f>
        <v>14.514000000000001</v>
      </c>
      <c r="P2565" s="10" t="str">
        <f t="shared" si="2522"/>
        <v>NA</v>
      </c>
      <c r="Q2565" s="10" t="str">
        <f t="shared" si="2523"/>
        <v>NA</v>
      </c>
      <c r="R2565" s="10" t="s">
        <v>1575</v>
      </c>
      <c r="S2565" s="10" t="s">
        <v>1575</v>
      </c>
      <c r="T2565" s="10" t="s">
        <v>1575</v>
      </c>
      <c r="U2565" s="10" t="s">
        <v>1575</v>
      </c>
      <c r="V2565" s="10">
        <v>1.0880000000000001</v>
      </c>
      <c r="W2565" s="10" t="s">
        <v>1575</v>
      </c>
      <c r="X2565" s="10" t="str">
        <f t="shared" si="2514"/>
        <v>NA</v>
      </c>
      <c r="Y2565" s="10" t="str">
        <f t="shared" si="2515"/>
        <v>NA</v>
      </c>
      <c r="Z2565" s="10" t="str">
        <f t="shared" si="2516"/>
        <v>NA</v>
      </c>
      <c r="AA2565" s="10" t="str">
        <f t="shared" si="2517"/>
        <v>NA</v>
      </c>
      <c r="AB2565" s="10" t="str">
        <f t="shared" si="2518"/>
        <v>NA</v>
      </c>
      <c r="AC2565" s="10" t="str">
        <f t="shared" si="2519"/>
        <v>NA</v>
      </c>
      <c r="AD2565" s="10" t="str">
        <f t="shared" si="2520"/>
        <v>NA</v>
      </c>
      <c r="AE2565" s="10" t="str">
        <f t="shared" si="2521"/>
        <v>NA</v>
      </c>
      <c r="AF2565" s="1" t="s">
        <v>2289</v>
      </c>
    </row>
    <row r="2566" spans="1:32" x14ac:dyDescent="0.2">
      <c r="A2566" s="1" t="s">
        <v>2265</v>
      </c>
      <c r="B2566" s="1" t="s">
        <v>5</v>
      </c>
      <c r="C2566" s="1" t="s">
        <v>2266</v>
      </c>
      <c r="D2566" s="1" t="s">
        <v>1578</v>
      </c>
      <c r="E2566" s="1" t="s">
        <v>2267</v>
      </c>
      <c r="F2566" s="1" t="s">
        <v>2268</v>
      </c>
      <c r="G2566" s="4">
        <f>615/(790000000/250000)</f>
        <v>0.19462025316455697</v>
      </c>
      <c r="H2566" s="28">
        <v>40328</v>
      </c>
      <c r="I2566" s="29">
        <f t="shared" si="2512"/>
        <v>2010</v>
      </c>
      <c r="J2566" s="1" t="s">
        <v>6504</v>
      </c>
      <c r="K2566" s="1" t="s">
        <v>7</v>
      </c>
      <c r="L2566" s="11" t="str">
        <f t="shared" si="2513"/>
        <v>НЕТ</v>
      </c>
      <c r="M2566" s="10">
        <v>5.1411999999999999E-2</v>
      </c>
      <c r="N2566" s="10">
        <v>0</v>
      </c>
      <c r="O2566" s="10">
        <v>1.5610000000000001E-3</v>
      </c>
      <c r="P2566" s="10">
        <f t="shared" si="2522"/>
        <v>8.0207479674796744E-3</v>
      </c>
      <c r="Q2566" s="10" t="str">
        <f t="shared" si="2523"/>
        <v>NA</v>
      </c>
      <c r="R2566" s="10" t="s">
        <v>1575</v>
      </c>
      <c r="S2566" s="10" t="s">
        <v>1575</v>
      </c>
      <c r="T2566" s="10" t="s">
        <v>1575</v>
      </c>
      <c r="U2566" s="10" t="s">
        <v>1575</v>
      </c>
      <c r="V2566" s="10" t="s">
        <v>1575</v>
      </c>
      <c r="W2566" s="10" t="s">
        <v>1575</v>
      </c>
      <c r="X2566" s="10" t="str">
        <f t="shared" si="2514"/>
        <v>NA</v>
      </c>
      <c r="Y2566" s="10" t="str">
        <f t="shared" si="2515"/>
        <v>NA</v>
      </c>
      <c r="Z2566" s="10" t="str">
        <f t="shared" si="2516"/>
        <v>NA</v>
      </c>
      <c r="AA2566" s="10" t="str">
        <f t="shared" si="2517"/>
        <v>NA</v>
      </c>
      <c r="AB2566" s="10" t="str">
        <f t="shared" si="2518"/>
        <v>NA</v>
      </c>
      <c r="AC2566" s="10" t="str">
        <f t="shared" si="2519"/>
        <v>NA</v>
      </c>
      <c r="AD2566" s="10" t="str">
        <f t="shared" si="2520"/>
        <v>NA</v>
      </c>
      <c r="AE2566" s="10" t="str">
        <f t="shared" si="2521"/>
        <v>NA</v>
      </c>
      <c r="AF2566" s="1" t="s">
        <v>2278</v>
      </c>
    </row>
    <row r="2567" spans="1:32" x14ac:dyDescent="0.2">
      <c r="A2567" s="1" t="s">
        <v>2265</v>
      </c>
      <c r="B2567" s="1" t="s">
        <v>5</v>
      </c>
      <c r="C2567" s="1" t="s">
        <v>2266</v>
      </c>
      <c r="D2567" s="1" t="s">
        <v>1578</v>
      </c>
      <c r="E2567" s="1" t="s">
        <v>2267</v>
      </c>
      <c r="F2567" s="1" t="s">
        <v>2268</v>
      </c>
      <c r="G2567" s="4" t="s">
        <v>2280</v>
      </c>
      <c r="H2567" s="28">
        <v>40543</v>
      </c>
      <c r="I2567" s="29">
        <f t="shared" si="2512"/>
        <v>2010</v>
      </c>
      <c r="J2567" s="1" t="s">
        <v>2275</v>
      </c>
      <c r="K2567" s="1" t="s">
        <v>7</v>
      </c>
      <c r="L2567" s="11" t="str">
        <f t="shared" si="2513"/>
        <v>НЕТ</v>
      </c>
      <c r="M2567" s="10">
        <v>108.672</v>
      </c>
      <c r="N2567" s="10">
        <v>0</v>
      </c>
      <c r="O2567" s="10">
        <v>3.4</v>
      </c>
      <c r="P2567" s="10" t="str">
        <f t="shared" si="2522"/>
        <v>NA</v>
      </c>
      <c r="Q2567" s="10" t="str">
        <f t="shared" si="2523"/>
        <v>NA</v>
      </c>
      <c r="R2567" s="10" t="s">
        <v>1575</v>
      </c>
      <c r="S2567" s="10" t="s">
        <v>1575</v>
      </c>
      <c r="T2567" s="10" t="s">
        <v>1575</v>
      </c>
      <c r="U2567" s="10" t="s">
        <v>1575</v>
      </c>
      <c r="V2567" s="10" t="s">
        <v>1575</v>
      </c>
      <c r="W2567" s="10" t="s">
        <v>1575</v>
      </c>
      <c r="X2567" s="10" t="str">
        <f t="shared" si="2514"/>
        <v>NA</v>
      </c>
      <c r="Y2567" s="10" t="str">
        <f t="shared" si="2515"/>
        <v>NA</v>
      </c>
      <c r="Z2567" s="10" t="str">
        <f t="shared" si="2516"/>
        <v>NA</v>
      </c>
      <c r="AA2567" s="10" t="str">
        <f t="shared" si="2517"/>
        <v>NA</v>
      </c>
      <c r="AB2567" s="10" t="str">
        <f t="shared" si="2518"/>
        <v>NA</v>
      </c>
      <c r="AC2567" s="10" t="str">
        <f t="shared" si="2519"/>
        <v>NA</v>
      </c>
      <c r="AD2567" s="10" t="str">
        <f t="shared" si="2520"/>
        <v>NA</v>
      </c>
      <c r="AE2567" s="10" t="str">
        <f t="shared" si="2521"/>
        <v>NA</v>
      </c>
      <c r="AF2567" s="1" t="s">
        <v>2279</v>
      </c>
    </row>
    <row r="2568" spans="1:32" x14ac:dyDescent="0.2">
      <c r="A2568" s="1" t="s">
        <v>6505</v>
      </c>
      <c r="B2568" s="1" t="s">
        <v>5</v>
      </c>
      <c r="C2568" s="1" t="s">
        <v>1575</v>
      </c>
      <c r="D2568" s="1" t="s">
        <v>1578</v>
      </c>
      <c r="E2568" s="1" t="s">
        <v>2293</v>
      </c>
      <c r="F2568" s="1" t="s">
        <v>2294</v>
      </c>
      <c r="G2568" s="4">
        <v>1</v>
      </c>
      <c r="H2568" s="28">
        <v>42300</v>
      </c>
      <c r="I2568" s="29">
        <f t="shared" si="2512"/>
        <v>2015</v>
      </c>
      <c r="J2568" s="1" t="s">
        <v>2291</v>
      </c>
      <c r="K2568" s="1" t="s">
        <v>7</v>
      </c>
      <c r="L2568" s="11" t="str">
        <f t="shared" si="2513"/>
        <v>НЕТ</v>
      </c>
      <c r="M2568" s="10">
        <v>0</v>
      </c>
      <c r="N2568" s="10">
        <v>0</v>
      </c>
      <c r="O2568" s="10">
        <v>9.4532000000000005E-2</v>
      </c>
      <c r="P2568" s="10">
        <f t="shared" si="2522"/>
        <v>9.4532000000000005E-2</v>
      </c>
      <c r="Q2568" s="10" t="str">
        <f t="shared" si="2523"/>
        <v>NA</v>
      </c>
      <c r="R2568" s="10" t="s">
        <v>1575</v>
      </c>
      <c r="S2568" s="10" t="s">
        <v>1575</v>
      </c>
      <c r="T2568" s="10" t="s">
        <v>1575</v>
      </c>
      <c r="U2568" s="10" t="s">
        <v>1575</v>
      </c>
      <c r="V2568" s="10">
        <v>9.4408000000000006E-2</v>
      </c>
      <c r="W2568" s="10" t="s">
        <v>1575</v>
      </c>
      <c r="X2568" s="10" t="str">
        <f t="shared" si="2514"/>
        <v>NA</v>
      </c>
      <c r="Y2568" s="10" t="str">
        <f t="shared" si="2515"/>
        <v>NA</v>
      </c>
      <c r="Z2568" s="10" t="str">
        <f t="shared" si="2516"/>
        <v>NA</v>
      </c>
      <c r="AA2568" s="10">
        <f t="shared" si="2517"/>
        <v>1.0013134480128802</v>
      </c>
      <c r="AB2568" s="10" t="str">
        <f t="shared" si="2518"/>
        <v>NA</v>
      </c>
      <c r="AC2568" s="10" t="str">
        <f t="shared" si="2519"/>
        <v>NA</v>
      </c>
      <c r="AD2568" s="10" t="str">
        <f t="shared" si="2520"/>
        <v>NA</v>
      </c>
      <c r="AE2568" s="10" t="str">
        <f t="shared" si="2521"/>
        <v>NA</v>
      </c>
      <c r="AF2568" s="1" t="s">
        <v>2292</v>
      </c>
    </row>
    <row r="2569" spans="1:32" x14ac:dyDescent="0.2">
      <c r="A2569" s="1" t="s">
        <v>6506</v>
      </c>
      <c r="B2569" s="1" t="s">
        <v>5</v>
      </c>
      <c r="C2569" s="1" t="s">
        <v>1575</v>
      </c>
      <c r="D2569" s="1" t="s">
        <v>1578</v>
      </c>
      <c r="E2569" s="1" t="s">
        <v>2296</v>
      </c>
      <c r="F2569" s="1" t="s">
        <v>2294</v>
      </c>
      <c r="G2569" s="4">
        <v>1</v>
      </c>
      <c r="H2569" s="28">
        <v>41864</v>
      </c>
      <c r="I2569" s="29">
        <f t="shared" si="2512"/>
        <v>2014</v>
      </c>
      <c r="J2569" s="1" t="s">
        <v>6507</v>
      </c>
      <c r="K2569" s="1" t="s">
        <v>7</v>
      </c>
      <c r="L2569" s="11" t="str">
        <f t="shared" si="2513"/>
        <v>НЕТ</v>
      </c>
      <c r="M2569" s="10">
        <v>0</v>
      </c>
      <c r="N2569" s="10">
        <v>0</v>
      </c>
      <c r="O2569" s="10">
        <v>0.43001</v>
      </c>
      <c r="P2569" s="10">
        <f t="shared" si="2522"/>
        <v>0.43001</v>
      </c>
      <c r="Q2569" s="10" t="str">
        <f t="shared" si="2523"/>
        <v>NA</v>
      </c>
      <c r="R2569" s="10" t="s">
        <v>1575</v>
      </c>
      <c r="S2569" s="10" t="s">
        <v>1575</v>
      </c>
      <c r="T2569" s="10" t="s">
        <v>1575</v>
      </c>
      <c r="U2569" s="10" t="s">
        <v>1575</v>
      </c>
      <c r="V2569" s="10">
        <v>0.55567999999999995</v>
      </c>
      <c r="W2569" s="10" t="s">
        <v>1575</v>
      </c>
      <c r="X2569" s="10" t="str">
        <f t="shared" si="2514"/>
        <v>NA</v>
      </c>
      <c r="Y2569" s="10" t="str">
        <f t="shared" si="2515"/>
        <v>NA</v>
      </c>
      <c r="Z2569" s="10" t="str">
        <f t="shared" si="2516"/>
        <v>NA</v>
      </c>
      <c r="AA2569" s="10">
        <f t="shared" si="2517"/>
        <v>0.77384465879642972</v>
      </c>
      <c r="AB2569" s="10" t="str">
        <f t="shared" si="2518"/>
        <v>NA</v>
      </c>
      <c r="AC2569" s="10" t="str">
        <f t="shared" si="2519"/>
        <v>NA</v>
      </c>
      <c r="AD2569" s="10" t="str">
        <f t="shared" si="2520"/>
        <v>NA</v>
      </c>
      <c r="AE2569" s="10" t="str">
        <f t="shared" si="2521"/>
        <v>NA</v>
      </c>
      <c r="AF2569" s="1" t="s">
        <v>2295</v>
      </c>
    </row>
    <row r="2570" spans="1:32" x14ac:dyDescent="0.2">
      <c r="A2570" s="1" t="s">
        <v>552</v>
      </c>
      <c r="B2570" s="1" t="s">
        <v>122</v>
      </c>
      <c r="C2570" s="1" t="s">
        <v>1575</v>
      </c>
      <c r="D2570" s="1" t="s">
        <v>1578</v>
      </c>
      <c r="E2570" s="1" t="s">
        <v>1599</v>
      </c>
      <c r="F2570" s="1" t="s">
        <v>551</v>
      </c>
      <c r="G2570" s="4">
        <v>0.5</v>
      </c>
      <c r="H2570" s="28">
        <v>42522</v>
      </c>
      <c r="I2570" s="29">
        <f t="shared" si="2512"/>
        <v>2016</v>
      </c>
      <c r="J2570" s="1" t="s">
        <v>7</v>
      </c>
      <c r="K2570" s="1" t="s">
        <v>2388</v>
      </c>
      <c r="L2570" s="11" t="str">
        <f t="shared" si="2513"/>
        <v>НЕТ</v>
      </c>
      <c r="M2570" s="10">
        <v>0</v>
      </c>
      <c r="N2570" s="10">
        <v>0</v>
      </c>
      <c r="O2570" s="10">
        <v>2.3345000000000001E-2</v>
      </c>
      <c r="P2570" s="10">
        <f t="shared" si="2522"/>
        <v>4.6690000000000002E-2</v>
      </c>
      <c r="Q2570" s="10" t="str">
        <f t="shared" si="2523"/>
        <v>NA</v>
      </c>
      <c r="R2570" s="10" t="s">
        <v>1575</v>
      </c>
      <c r="S2570" s="10" t="s">
        <v>1575</v>
      </c>
      <c r="T2570" s="10" t="s">
        <v>1575</v>
      </c>
      <c r="U2570" s="10" t="s">
        <v>1575</v>
      </c>
      <c r="V2570" s="10" t="s">
        <v>1575</v>
      </c>
      <c r="W2570" s="10" t="s">
        <v>1575</v>
      </c>
      <c r="X2570" s="10" t="str">
        <f t="shared" si="2514"/>
        <v>NA</v>
      </c>
      <c r="Y2570" s="10" t="str">
        <f t="shared" si="2515"/>
        <v>NA</v>
      </c>
      <c r="Z2570" s="10" t="str">
        <f t="shared" si="2516"/>
        <v>NA</v>
      </c>
      <c r="AA2570" s="10" t="str">
        <f t="shared" si="2517"/>
        <v>NA</v>
      </c>
      <c r="AB2570" s="10" t="str">
        <f t="shared" si="2518"/>
        <v>NA</v>
      </c>
      <c r="AC2570" s="10" t="str">
        <f t="shared" si="2519"/>
        <v>NA</v>
      </c>
      <c r="AD2570" s="10" t="str">
        <f t="shared" si="2520"/>
        <v>NA</v>
      </c>
      <c r="AE2570" s="10" t="str">
        <f t="shared" si="2521"/>
        <v>NA</v>
      </c>
      <c r="AF2570" s="1" t="s">
        <v>2382</v>
      </c>
    </row>
    <row r="2571" spans="1:32" x14ac:dyDescent="0.2">
      <c r="A2571" s="1" t="s">
        <v>553</v>
      </c>
      <c r="B2571" s="1" t="s">
        <v>5</v>
      </c>
      <c r="C2571" s="1" t="s">
        <v>1575</v>
      </c>
      <c r="D2571" s="1" t="s">
        <v>1578</v>
      </c>
      <c r="E2571" s="1" t="s">
        <v>1599</v>
      </c>
      <c r="F2571" s="1" t="s">
        <v>551</v>
      </c>
      <c r="G2571" s="4">
        <v>1</v>
      </c>
      <c r="H2571" s="28">
        <v>41893</v>
      </c>
      <c r="I2571" s="29">
        <f t="shared" si="2512"/>
        <v>2014</v>
      </c>
      <c r="J2571" s="1" t="s">
        <v>554</v>
      </c>
      <c r="K2571" s="1" t="s">
        <v>2388</v>
      </c>
      <c r="L2571" s="11" t="str">
        <f t="shared" si="2513"/>
        <v>НЕТ</v>
      </c>
      <c r="M2571" s="10">
        <v>0.92049999999999998</v>
      </c>
      <c r="N2571" s="10">
        <v>0</v>
      </c>
      <c r="O2571" s="10">
        <v>3.4214000000000001E-2</v>
      </c>
      <c r="P2571" s="10">
        <f t="shared" si="2522"/>
        <v>3.4214000000000001E-2</v>
      </c>
      <c r="Q2571" s="10" t="str">
        <f t="shared" si="2523"/>
        <v>NA</v>
      </c>
      <c r="R2571" s="10" t="s">
        <v>1575</v>
      </c>
      <c r="S2571" s="10" t="s">
        <v>1575</v>
      </c>
      <c r="T2571" s="10" t="s">
        <v>1575</v>
      </c>
      <c r="U2571" s="10" t="s">
        <v>1575</v>
      </c>
      <c r="V2571" s="10" t="s">
        <v>1575</v>
      </c>
      <c r="W2571" s="10" t="s">
        <v>1575</v>
      </c>
      <c r="X2571" s="10" t="str">
        <f t="shared" si="2514"/>
        <v>NA</v>
      </c>
      <c r="Y2571" s="10" t="str">
        <f t="shared" si="2515"/>
        <v>NA</v>
      </c>
      <c r="Z2571" s="10" t="str">
        <f t="shared" si="2516"/>
        <v>NA</v>
      </c>
      <c r="AA2571" s="10" t="str">
        <f t="shared" si="2517"/>
        <v>NA</v>
      </c>
      <c r="AB2571" s="10" t="str">
        <f t="shared" si="2518"/>
        <v>NA</v>
      </c>
      <c r="AC2571" s="10" t="str">
        <f t="shared" si="2519"/>
        <v>NA</v>
      </c>
      <c r="AD2571" s="10" t="str">
        <f t="shared" si="2520"/>
        <v>NA</v>
      </c>
      <c r="AE2571" s="10" t="str">
        <f t="shared" si="2521"/>
        <v>NA</v>
      </c>
      <c r="AF2571" s="1" t="s">
        <v>2384</v>
      </c>
    </row>
    <row r="2572" spans="1:32" x14ac:dyDescent="0.2">
      <c r="A2572" s="1" t="s">
        <v>2386</v>
      </c>
      <c r="B2572" s="1" t="s">
        <v>555</v>
      </c>
      <c r="C2572" s="1" t="s">
        <v>1575</v>
      </c>
      <c r="D2572" s="1" t="s">
        <v>1578</v>
      </c>
      <c r="E2572" s="1" t="s">
        <v>1599</v>
      </c>
      <c r="F2572" s="1" t="s">
        <v>551</v>
      </c>
      <c r="G2572" s="4">
        <v>1</v>
      </c>
      <c r="H2572" s="28">
        <v>41729</v>
      </c>
      <c r="I2572" s="29">
        <f t="shared" si="2512"/>
        <v>2014</v>
      </c>
      <c r="J2572" s="1" t="s">
        <v>7</v>
      </c>
      <c r="K2572" s="1" t="s">
        <v>2388</v>
      </c>
      <c r="L2572" s="11" t="str">
        <f t="shared" si="2513"/>
        <v>НЕТ</v>
      </c>
      <c r="M2572" s="10">
        <v>1.5</v>
      </c>
      <c r="N2572" s="10">
        <v>0</v>
      </c>
      <c r="O2572" s="10">
        <v>5.3531000000000002E-2</v>
      </c>
      <c r="P2572" s="10">
        <f t="shared" si="2522"/>
        <v>5.3531000000000002E-2</v>
      </c>
      <c r="Q2572" s="10" t="str">
        <f t="shared" si="2523"/>
        <v>NA</v>
      </c>
      <c r="R2572" s="10" t="s">
        <v>1575</v>
      </c>
      <c r="S2572" s="10" t="s">
        <v>1575</v>
      </c>
      <c r="T2572" s="10" t="s">
        <v>1575</v>
      </c>
      <c r="U2572" s="10" t="s">
        <v>1575</v>
      </c>
      <c r="V2572" s="10">
        <v>3.1329999999999999E-3</v>
      </c>
      <c r="W2572" s="10" t="s">
        <v>1575</v>
      </c>
      <c r="X2572" s="10" t="str">
        <f t="shared" si="2514"/>
        <v>NA</v>
      </c>
      <c r="Y2572" s="10" t="str">
        <f t="shared" si="2515"/>
        <v>NA</v>
      </c>
      <c r="Z2572" s="10" t="str">
        <f t="shared" si="2516"/>
        <v>NA</v>
      </c>
      <c r="AA2572" s="10">
        <f t="shared" si="2517"/>
        <v>17.08617938078519</v>
      </c>
      <c r="AB2572" s="10" t="str">
        <f t="shared" si="2518"/>
        <v>NA</v>
      </c>
      <c r="AC2572" s="10" t="str">
        <f t="shared" si="2519"/>
        <v>NA</v>
      </c>
      <c r="AD2572" s="10" t="str">
        <f t="shared" si="2520"/>
        <v>NA</v>
      </c>
      <c r="AE2572" s="10" t="str">
        <f t="shared" si="2521"/>
        <v>NA</v>
      </c>
      <c r="AF2572" s="1" t="s">
        <v>2383</v>
      </c>
    </row>
    <row r="2573" spans="1:32" x14ac:dyDescent="0.2">
      <c r="A2573" s="1" t="s">
        <v>6508</v>
      </c>
      <c r="B2573" s="1" t="s">
        <v>557</v>
      </c>
      <c r="C2573" s="1" t="s">
        <v>1575</v>
      </c>
      <c r="D2573" s="1" t="s">
        <v>1578</v>
      </c>
      <c r="E2573" s="1" t="s">
        <v>1599</v>
      </c>
      <c r="F2573" s="1" t="s">
        <v>551</v>
      </c>
      <c r="G2573" s="4" t="s">
        <v>556</v>
      </c>
      <c r="H2573" s="28">
        <v>41639</v>
      </c>
      <c r="I2573" s="29">
        <f t="shared" si="2512"/>
        <v>2013</v>
      </c>
      <c r="J2573" s="1" t="s">
        <v>7</v>
      </c>
      <c r="K2573" s="1" t="s">
        <v>2388</v>
      </c>
      <c r="L2573" s="11" t="str">
        <f t="shared" si="2513"/>
        <v>НЕТ</v>
      </c>
      <c r="M2573" s="10">
        <v>3.0000000000000001E-6</v>
      </c>
      <c r="N2573" s="10">
        <v>0</v>
      </c>
      <c r="O2573" s="10">
        <v>9.8189999999999994E-8</v>
      </c>
      <c r="P2573" s="10" t="str">
        <f t="shared" si="2522"/>
        <v>NA</v>
      </c>
      <c r="Q2573" s="10" t="str">
        <f t="shared" si="2523"/>
        <v>NA</v>
      </c>
      <c r="R2573" s="10">
        <v>0.446075</v>
      </c>
      <c r="S2573" s="10" t="s">
        <v>1575</v>
      </c>
      <c r="T2573" s="10">
        <f>-0.034154-0.058871</f>
        <v>-9.3024999999999997E-2</v>
      </c>
      <c r="U2573" s="10">
        <v>-0.22020700000000001</v>
      </c>
      <c r="V2573" s="10">
        <v>-1.2926999999999999E-2</v>
      </c>
      <c r="W2573" s="10" t="s">
        <v>1575</v>
      </c>
      <c r="X2573" s="10" t="str">
        <f t="shared" si="2514"/>
        <v>NA</v>
      </c>
      <c r="Y2573" s="10" t="str">
        <f t="shared" si="2515"/>
        <v>NA</v>
      </c>
      <c r="Z2573" s="10" t="str">
        <f t="shared" si="2516"/>
        <v>NA</v>
      </c>
      <c r="AA2573" s="10" t="str">
        <f t="shared" si="2517"/>
        <v>NA</v>
      </c>
      <c r="AB2573" s="10" t="str">
        <f t="shared" si="2518"/>
        <v>NA</v>
      </c>
      <c r="AC2573" s="10" t="str">
        <f t="shared" si="2519"/>
        <v>NA</v>
      </c>
      <c r="AD2573" s="10" t="str">
        <f t="shared" si="2520"/>
        <v>NA</v>
      </c>
      <c r="AE2573" s="10" t="str">
        <f t="shared" si="2521"/>
        <v>NA</v>
      </c>
      <c r="AF2573" s="1" t="s">
        <v>2385</v>
      </c>
    </row>
    <row r="2574" spans="1:32" x14ac:dyDescent="0.2">
      <c r="A2574" s="1" t="s">
        <v>558</v>
      </c>
      <c r="B2574" s="1" t="s">
        <v>179</v>
      </c>
      <c r="C2574" s="1" t="s">
        <v>1575</v>
      </c>
      <c r="D2574" s="1" t="s">
        <v>1578</v>
      </c>
      <c r="E2574" s="1" t="s">
        <v>1599</v>
      </c>
      <c r="F2574" s="1" t="s">
        <v>551</v>
      </c>
      <c r="G2574" s="4">
        <v>0.5</v>
      </c>
      <c r="H2574" s="28">
        <v>41073</v>
      </c>
      <c r="I2574" s="29">
        <f t="shared" si="2512"/>
        <v>2012</v>
      </c>
      <c r="J2574" s="1" t="s">
        <v>2388</v>
      </c>
      <c r="K2574" s="1" t="s">
        <v>7</v>
      </c>
      <c r="L2574" s="11" t="str">
        <f t="shared" si="2513"/>
        <v>НЕТ</v>
      </c>
      <c r="M2574" s="10">
        <v>0</v>
      </c>
      <c r="N2574" s="10">
        <v>0</v>
      </c>
      <c r="O2574" s="10">
        <v>9.2267000000000002E-2</v>
      </c>
      <c r="P2574" s="10">
        <f t="shared" si="2522"/>
        <v>0.184534</v>
      </c>
      <c r="Q2574" s="10">
        <f t="shared" si="2523"/>
        <v>0.16841200000000001</v>
      </c>
      <c r="R2574" s="10" t="s">
        <v>1575</v>
      </c>
      <c r="S2574" s="10" t="s">
        <v>1575</v>
      </c>
      <c r="T2574" s="10" t="s">
        <v>1575</v>
      </c>
      <c r="U2574" s="10" t="s">
        <v>1575</v>
      </c>
      <c r="V2574" s="10">
        <v>0.126636</v>
      </c>
      <c r="W2574" s="10">
        <f>0-0.016122</f>
        <v>-1.6122000000000001E-2</v>
      </c>
      <c r="X2574" s="10">
        <f t="shared" si="2514"/>
        <v>0.110514</v>
      </c>
      <c r="Y2574" s="10" t="str">
        <f t="shared" si="2515"/>
        <v>NA</v>
      </c>
      <c r="Z2574" s="10" t="str">
        <f t="shared" si="2516"/>
        <v>NA</v>
      </c>
      <c r="AA2574" s="10">
        <f t="shared" si="2517"/>
        <v>1.4572001642502923</v>
      </c>
      <c r="AB2574" s="10" t="str">
        <f t="shared" si="2518"/>
        <v>NA</v>
      </c>
      <c r="AC2574" s="10" t="str">
        <f t="shared" si="2519"/>
        <v>NA</v>
      </c>
      <c r="AD2574" s="10" t="str">
        <f t="shared" si="2520"/>
        <v>NA</v>
      </c>
      <c r="AE2574" s="10">
        <f t="shared" si="2521"/>
        <v>1.5238974247606638</v>
      </c>
      <c r="AF2574" s="1" t="s">
        <v>2387</v>
      </c>
    </row>
    <row r="2575" spans="1:32" x14ac:dyDescent="0.2">
      <c r="A2575" s="1" t="s">
        <v>552</v>
      </c>
      <c r="B2575" s="1" t="s">
        <v>122</v>
      </c>
      <c r="C2575" s="1" t="s">
        <v>1575</v>
      </c>
      <c r="D2575" s="1" t="s">
        <v>1578</v>
      </c>
      <c r="E2575" s="1" t="s">
        <v>1599</v>
      </c>
      <c r="F2575" s="1" t="s">
        <v>551</v>
      </c>
      <c r="G2575" s="4">
        <v>0.5</v>
      </c>
      <c r="H2575" s="28">
        <v>40596</v>
      </c>
      <c r="I2575" s="29">
        <f t="shared" si="2512"/>
        <v>2011</v>
      </c>
      <c r="J2575" s="1" t="s">
        <v>2388</v>
      </c>
      <c r="K2575" s="1" t="s">
        <v>7</v>
      </c>
      <c r="L2575" s="11" t="str">
        <f t="shared" si="2513"/>
        <v>НЕТ</v>
      </c>
      <c r="M2575" s="10">
        <v>0</v>
      </c>
      <c r="N2575" s="10">
        <v>0</v>
      </c>
      <c r="O2575" s="10">
        <v>4.7320000000000003E-8</v>
      </c>
      <c r="P2575" s="10">
        <f t="shared" si="2522"/>
        <v>9.4640000000000006E-8</v>
      </c>
      <c r="Q2575" s="10" t="str">
        <f t="shared" si="2523"/>
        <v>NA</v>
      </c>
      <c r="R2575" s="10" t="s">
        <v>1575</v>
      </c>
      <c r="S2575" s="10" t="s">
        <v>1575</v>
      </c>
      <c r="T2575" s="10" t="s">
        <v>1575</v>
      </c>
      <c r="U2575" s="10" t="s">
        <v>1575</v>
      </c>
      <c r="V2575" s="10" t="s">
        <v>1575</v>
      </c>
      <c r="W2575" s="10" t="s">
        <v>1575</v>
      </c>
      <c r="X2575" s="10" t="str">
        <f t="shared" si="2514"/>
        <v>NA</v>
      </c>
      <c r="Y2575" s="10" t="str">
        <f t="shared" si="2515"/>
        <v>NA</v>
      </c>
      <c r="Z2575" s="10" t="str">
        <f t="shared" si="2516"/>
        <v>NA</v>
      </c>
      <c r="AA2575" s="10" t="str">
        <f t="shared" si="2517"/>
        <v>NA</v>
      </c>
      <c r="AB2575" s="10" t="str">
        <f t="shared" si="2518"/>
        <v>NA</v>
      </c>
      <c r="AC2575" s="10" t="str">
        <f t="shared" si="2519"/>
        <v>NA</v>
      </c>
      <c r="AD2575" s="10" t="str">
        <f t="shared" si="2520"/>
        <v>NA</v>
      </c>
      <c r="AE2575" s="10" t="str">
        <f t="shared" si="2521"/>
        <v>NA</v>
      </c>
      <c r="AF2575" s="1" t="s">
        <v>2381</v>
      </c>
    </row>
    <row r="2576" spans="1:32" x14ac:dyDescent="0.2">
      <c r="A2576" s="1" t="s">
        <v>2391</v>
      </c>
      <c r="B2576" s="1" t="s">
        <v>51</v>
      </c>
      <c r="C2576" s="1" t="s">
        <v>1575</v>
      </c>
      <c r="D2576" s="1" t="s">
        <v>1578</v>
      </c>
      <c r="E2576" s="1" t="s">
        <v>1599</v>
      </c>
      <c r="F2576" s="1" t="s">
        <v>551</v>
      </c>
      <c r="G2576" s="4">
        <v>1.2999999999999999E-2</v>
      </c>
      <c r="H2576" s="28">
        <v>40582</v>
      </c>
      <c r="I2576" s="29">
        <f t="shared" si="2512"/>
        <v>2011</v>
      </c>
      <c r="J2576" s="1" t="s">
        <v>2388</v>
      </c>
      <c r="K2576" s="1" t="s">
        <v>2389</v>
      </c>
      <c r="L2576" s="11" t="str">
        <f t="shared" si="2513"/>
        <v>НЕТ</v>
      </c>
      <c r="M2576" s="10">
        <v>1.595</v>
      </c>
      <c r="N2576" s="10">
        <v>0</v>
      </c>
      <c r="O2576" s="10">
        <v>45.722999999999999</v>
      </c>
      <c r="P2576" s="10">
        <f t="shared" si="2522"/>
        <v>3517.1538461538462</v>
      </c>
      <c r="Q2576" s="10" t="str">
        <f t="shared" si="2523"/>
        <v>NA</v>
      </c>
      <c r="R2576" s="10" t="s">
        <v>1575</v>
      </c>
      <c r="S2576" s="10" t="s">
        <v>1575</v>
      </c>
      <c r="T2576" s="10" t="s">
        <v>1575</v>
      </c>
      <c r="U2576" s="10" t="s">
        <v>1575</v>
      </c>
      <c r="V2576" s="10" t="s">
        <v>1575</v>
      </c>
      <c r="W2576" s="10" t="s">
        <v>1575</v>
      </c>
      <c r="X2576" s="10" t="str">
        <f t="shared" si="2514"/>
        <v>NA</v>
      </c>
      <c r="Y2576" s="10" t="str">
        <f t="shared" si="2515"/>
        <v>NA</v>
      </c>
      <c r="Z2576" s="10" t="str">
        <f t="shared" si="2516"/>
        <v>NA</v>
      </c>
      <c r="AA2576" s="10" t="str">
        <f t="shared" si="2517"/>
        <v>NA</v>
      </c>
      <c r="AB2576" s="10" t="str">
        <f t="shared" si="2518"/>
        <v>NA</v>
      </c>
      <c r="AC2576" s="10" t="str">
        <f t="shared" si="2519"/>
        <v>NA</v>
      </c>
      <c r="AD2576" s="10" t="str">
        <f t="shared" si="2520"/>
        <v>NA</v>
      </c>
      <c r="AE2576" s="10" t="str">
        <f t="shared" si="2521"/>
        <v>NA</v>
      </c>
      <c r="AF2576" s="1" t="s">
        <v>2390</v>
      </c>
    </row>
    <row r="2577" spans="1:32" x14ac:dyDescent="0.2">
      <c r="A2577" s="1" t="s">
        <v>559</v>
      </c>
      <c r="B2577" s="1" t="s">
        <v>51</v>
      </c>
      <c r="C2577" s="1" t="s">
        <v>1575</v>
      </c>
      <c r="D2577" s="1" t="s">
        <v>1578</v>
      </c>
      <c r="E2577" s="1" t="s">
        <v>1599</v>
      </c>
      <c r="F2577" s="1" t="s">
        <v>551</v>
      </c>
      <c r="G2577" s="4">
        <v>1</v>
      </c>
      <c r="H2577" s="28">
        <v>40540</v>
      </c>
      <c r="I2577" s="29">
        <f t="shared" si="2512"/>
        <v>2010</v>
      </c>
      <c r="J2577" s="1" t="s">
        <v>2388</v>
      </c>
      <c r="K2577" s="1" t="s">
        <v>7</v>
      </c>
      <c r="L2577" s="11" t="str">
        <f t="shared" si="2513"/>
        <v>НЕТ</v>
      </c>
      <c r="M2577" s="10">
        <v>1.595</v>
      </c>
      <c r="N2577" s="10">
        <v>0</v>
      </c>
      <c r="O2577" s="10">
        <v>48.585999999999999</v>
      </c>
      <c r="P2577" s="10">
        <f t="shared" si="2522"/>
        <v>48.585999999999999</v>
      </c>
      <c r="Q2577" s="10" t="str">
        <f t="shared" si="2523"/>
        <v>NA</v>
      </c>
      <c r="R2577" s="10" t="s">
        <v>1575</v>
      </c>
      <c r="S2577" s="10" t="s">
        <v>1575</v>
      </c>
      <c r="T2577" s="10" t="s">
        <v>1575</v>
      </c>
      <c r="U2577" s="10" t="s">
        <v>1575</v>
      </c>
      <c r="V2577" s="10">
        <v>1.5570000000000001E-2</v>
      </c>
      <c r="W2577" s="10" t="s">
        <v>1575</v>
      </c>
      <c r="X2577" s="10" t="str">
        <f t="shared" si="2514"/>
        <v>NA</v>
      </c>
      <c r="Y2577" s="10" t="str">
        <f t="shared" si="2515"/>
        <v>NA</v>
      </c>
      <c r="Z2577" s="10" t="str">
        <f t="shared" si="2516"/>
        <v>NA</v>
      </c>
      <c r="AA2577" s="10">
        <f t="shared" si="2517"/>
        <v>3120.4881181759793</v>
      </c>
      <c r="AB2577" s="10" t="str">
        <f t="shared" si="2518"/>
        <v>NA</v>
      </c>
      <c r="AC2577" s="10" t="str">
        <f t="shared" si="2519"/>
        <v>NA</v>
      </c>
      <c r="AD2577" s="10" t="str">
        <f t="shared" si="2520"/>
        <v>NA</v>
      </c>
      <c r="AE2577" s="10" t="str">
        <f t="shared" si="2521"/>
        <v>NA</v>
      </c>
      <c r="AF2577" s="1" t="s">
        <v>2392</v>
      </c>
    </row>
    <row r="2578" spans="1:32" x14ac:dyDescent="0.2">
      <c r="A2578" s="1" t="s">
        <v>2394</v>
      </c>
      <c r="B2578" s="1" t="s">
        <v>5</v>
      </c>
      <c r="C2578" s="1" t="s">
        <v>1575</v>
      </c>
      <c r="D2578" s="1" t="s">
        <v>1578</v>
      </c>
      <c r="E2578" s="1" t="s">
        <v>1599</v>
      </c>
      <c r="F2578" s="1" t="s">
        <v>551</v>
      </c>
      <c r="G2578" s="4">
        <v>0.3</v>
      </c>
      <c r="H2578" s="28">
        <v>40511</v>
      </c>
      <c r="I2578" s="29">
        <f t="shared" si="2512"/>
        <v>2010</v>
      </c>
      <c r="J2578" s="1" t="s">
        <v>2388</v>
      </c>
      <c r="K2578" s="1" t="s">
        <v>7</v>
      </c>
      <c r="L2578" s="11" t="str">
        <f t="shared" si="2513"/>
        <v>НЕТ</v>
      </c>
      <c r="M2578" s="10">
        <v>0</v>
      </c>
      <c r="N2578" s="10">
        <v>0</v>
      </c>
      <c r="O2578" s="10">
        <v>0.19639699999999999</v>
      </c>
      <c r="P2578" s="10">
        <f t="shared" si="2522"/>
        <v>0.65465666666666666</v>
      </c>
      <c r="Q2578" s="10" t="str">
        <f t="shared" si="2523"/>
        <v>NA</v>
      </c>
      <c r="R2578" s="10" t="s">
        <v>1575</v>
      </c>
      <c r="S2578" s="10" t="s">
        <v>1575</v>
      </c>
      <c r="T2578" s="10" t="s">
        <v>1575</v>
      </c>
      <c r="U2578" s="10" t="s">
        <v>1575</v>
      </c>
      <c r="V2578" s="10">
        <v>1.0155700000000001</v>
      </c>
      <c r="W2578" s="10" t="s">
        <v>1575</v>
      </c>
      <c r="X2578" s="10" t="str">
        <f t="shared" si="2514"/>
        <v>NA</v>
      </c>
      <c r="Y2578" s="10" t="str">
        <f t="shared" si="2515"/>
        <v>NA</v>
      </c>
      <c r="Z2578" s="10" t="str">
        <f t="shared" si="2516"/>
        <v>NA</v>
      </c>
      <c r="AA2578" s="10">
        <f t="shared" si="2517"/>
        <v>0.64461993428977482</v>
      </c>
      <c r="AB2578" s="10" t="str">
        <f t="shared" si="2518"/>
        <v>NA</v>
      </c>
      <c r="AC2578" s="10" t="str">
        <f t="shared" si="2519"/>
        <v>NA</v>
      </c>
      <c r="AD2578" s="10" t="str">
        <f t="shared" si="2520"/>
        <v>NA</v>
      </c>
      <c r="AE2578" s="10" t="str">
        <f t="shared" si="2521"/>
        <v>NA</v>
      </c>
      <c r="AF2578" s="1" t="s">
        <v>2393</v>
      </c>
    </row>
    <row r="2579" spans="1:32" x14ac:dyDescent="0.2">
      <c r="A2579" s="1" t="s">
        <v>2314</v>
      </c>
      <c r="B2579" s="1" t="s">
        <v>5</v>
      </c>
      <c r="C2579" s="1" t="s">
        <v>1575</v>
      </c>
      <c r="D2579" s="1" t="s">
        <v>1578</v>
      </c>
      <c r="E2579" s="1" t="s">
        <v>2315</v>
      </c>
      <c r="F2579" s="1" t="s">
        <v>2316</v>
      </c>
      <c r="G2579" s="4" t="s">
        <v>11</v>
      </c>
      <c r="H2579" s="28">
        <v>44286</v>
      </c>
      <c r="I2579" s="29">
        <f t="shared" si="2512"/>
        <v>2021</v>
      </c>
      <c r="J2579" s="1" t="s">
        <v>7</v>
      </c>
      <c r="K2579" s="1" t="s">
        <v>2311</v>
      </c>
      <c r="L2579" s="11" t="str">
        <f t="shared" si="2513"/>
        <v>НЕТ</v>
      </c>
      <c r="M2579" s="10">
        <v>0</v>
      </c>
      <c r="N2579" s="10">
        <v>0</v>
      </c>
      <c r="O2579" s="10" t="s">
        <v>1575</v>
      </c>
      <c r="P2579" s="10" t="str">
        <f t="shared" si="2522"/>
        <v>NA</v>
      </c>
      <c r="Q2579" s="10" t="str">
        <f t="shared" si="2523"/>
        <v>NA</v>
      </c>
      <c r="R2579" s="10">
        <v>1.1240000000000001</v>
      </c>
      <c r="S2579" s="10" t="s">
        <v>1575</v>
      </c>
      <c r="T2579" s="10">
        <f>1.124-1.413</f>
        <v>-0.28899999999999992</v>
      </c>
      <c r="U2579" s="10">
        <v>-0.34200000000000003</v>
      </c>
      <c r="V2579" s="10">
        <v>-9.7000000000000003E-2</v>
      </c>
      <c r="W2579" s="10">
        <f>0.39-0.002</f>
        <v>0.38800000000000001</v>
      </c>
      <c r="X2579" s="10">
        <f t="shared" si="2514"/>
        <v>0.29100000000000004</v>
      </c>
      <c r="Y2579" s="10" t="str">
        <f t="shared" si="2515"/>
        <v>NA</v>
      </c>
      <c r="Z2579" s="10" t="str">
        <f t="shared" si="2516"/>
        <v>NA</v>
      </c>
      <c r="AA2579" s="10" t="str">
        <f t="shared" si="2517"/>
        <v>NA</v>
      </c>
      <c r="AB2579" s="10" t="str">
        <f t="shared" si="2518"/>
        <v>NA</v>
      </c>
      <c r="AC2579" s="10" t="str">
        <f t="shared" si="2519"/>
        <v>NA</v>
      </c>
      <c r="AD2579" s="10" t="str">
        <f t="shared" si="2520"/>
        <v>NA</v>
      </c>
      <c r="AE2579" s="10" t="str">
        <f t="shared" si="2521"/>
        <v>NA</v>
      </c>
      <c r="AF2579" s="1" t="s">
        <v>2317</v>
      </c>
    </row>
    <row r="2580" spans="1:32" x14ac:dyDescent="0.2">
      <c r="A2580" s="1" t="s">
        <v>6509</v>
      </c>
      <c r="B2580" s="1" t="s">
        <v>5</v>
      </c>
      <c r="C2580" s="1" t="s">
        <v>1575</v>
      </c>
      <c r="D2580" s="1" t="s">
        <v>1578</v>
      </c>
      <c r="E2580" s="1" t="s">
        <v>1591</v>
      </c>
      <c r="F2580" s="1" t="s">
        <v>2313</v>
      </c>
      <c r="G2580" s="4">
        <v>0.88500000000000001</v>
      </c>
      <c r="H2580" s="28">
        <v>44286</v>
      </c>
      <c r="I2580" s="29">
        <f t="shared" ref="I2580:I2643" si="2524">YEAR(H2580)</f>
        <v>2021</v>
      </c>
      <c r="J2580" s="1" t="s">
        <v>2311</v>
      </c>
      <c r="K2580" s="1" t="s">
        <v>7</v>
      </c>
      <c r="L2580" s="11" t="str">
        <f t="shared" si="2513"/>
        <v>НЕТ</v>
      </c>
      <c r="M2580" s="10">
        <v>0</v>
      </c>
      <c r="N2580" s="10">
        <v>0</v>
      </c>
      <c r="O2580" s="10">
        <v>0.51300000000000001</v>
      </c>
      <c r="P2580" s="10">
        <f t="shared" si="2522"/>
        <v>0.57966101694915251</v>
      </c>
      <c r="Q2580" s="10" t="str">
        <f t="shared" si="2523"/>
        <v>NA</v>
      </c>
      <c r="R2580" s="10" t="s">
        <v>1575</v>
      </c>
      <c r="S2580" s="10" t="s">
        <v>1575</v>
      </c>
      <c r="T2580" s="10" t="s">
        <v>1575</v>
      </c>
      <c r="U2580" s="10" t="s">
        <v>1575</v>
      </c>
      <c r="V2580" s="10">
        <v>0.39100000000000001</v>
      </c>
      <c r="W2580" s="10" t="s">
        <v>1575</v>
      </c>
      <c r="X2580" s="10" t="str">
        <f t="shared" si="2514"/>
        <v>NA</v>
      </c>
      <c r="Y2580" s="10" t="str">
        <f t="shared" si="2515"/>
        <v>NA</v>
      </c>
      <c r="Z2580" s="10" t="str">
        <f t="shared" si="2516"/>
        <v>NA</v>
      </c>
      <c r="AA2580" s="10">
        <f t="shared" si="2517"/>
        <v>1.4825089947548657</v>
      </c>
      <c r="AB2580" s="10" t="str">
        <f t="shared" si="2518"/>
        <v>NA</v>
      </c>
      <c r="AC2580" s="10" t="str">
        <f t="shared" si="2519"/>
        <v>NA</v>
      </c>
      <c r="AD2580" s="10" t="str">
        <f t="shared" si="2520"/>
        <v>NA</v>
      </c>
      <c r="AE2580" s="10" t="str">
        <f t="shared" si="2521"/>
        <v>NA</v>
      </c>
      <c r="AF2580" s="1" t="s">
        <v>2312</v>
      </c>
    </row>
    <row r="2581" spans="1:32" x14ac:dyDescent="0.2">
      <c r="A2581" s="1" t="s">
        <v>2311</v>
      </c>
      <c r="B2581" s="1" t="s">
        <v>5</v>
      </c>
      <c r="C2581" s="1" t="s">
        <v>2318</v>
      </c>
      <c r="D2581" s="1" t="s">
        <v>1578</v>
      </c>
      <c r="E2581" s="1" t="s">
        <v>1591</v>
      </c>
      <c r="F2581" s="1" t="s">
        <v>2319</v>
      </c>
      <c r="G2581" s="4">
        <f>2000000/15800000</f>
        <v>0.12658227848101267</v>
      </c>
      <c r="H2581" s="28">
        <v>44377</v>
      </c>
      <c r="I2581" s="29">
        <f t="shared" si="2524"/>
        <v>2021</v>
      </c>
      <c r="J2581" s="1" t="s">
        <v>7</v>
      </c>
      <c r="K2581" s="1" t="s">
        <v>2311</v>
      </c>
      <c r="L2581" s="11" t="str">
        <f t="shared" si="2513"/>
        <v>ДА</v>
      </c>
      <c r="M2581" s="10">
        <v>0</v>
      </c>
      <c r="N2581" s="10">
        <v>0</v>
      </c>
      <c r="O2581" s="10">
        <f>2000*2800/1000000</f>
        <v>5.6</v>
      </c>
      <c r="P2581" s="10">
        <f t="shared" si="2522"/>
        <v>44.239999999999995</v>
      </c>
      <c r="Q2581" s="10">
        <f t="shared" si="2523"/>
        <v>61.106999999999992</v>
      </c>
      <c r="R2581" s="10">
        <v>63.292000000000002</v>
      </c>
      <c r="S2581" s="10">
        <v>9.2070000000000007</v>
      </c>
      <c r="T2581" s="10">
        <v>6.8420000000000005</v>
      </c>
      <c r="U2581" s="10">
        <v>2.4590000000000001</v>
      </c>
      <c r="V2581" s="10">
        <v>20.344999999999999</v>
      </c>
      <c r="W2581" s="10">
        <v>16.866999999999997</v>
      </c>
      <c r="X2581" s="10">
        <f t="shared" si="2514"/>
        <v>37.211999999999996</v>
      </c>
      <c r="Y2581" s="10">
        <f t="shared" si="2515"/>
        <v>0.69898249383808375</v>
      </c>
      <c r="Z2581" s="10">
        <f t="shared" si="2516"/>
        <v>17.99105327368849</v>
      </c>
      <c r="AA2581" s="10">
        <f t="shared" si="2517"/>
        <v>2.1744900466945194</v>
      </c>
      <c r="AB2581" s="10">
        <f t="shared" si="2518"/>
        <v>0.96547746950641455</v>
      </c>
      <c r="AC2581" s="10">
        <f t="shared" si="2519"/>
        <v>6.6370153144346675</v>
      </c>
      <c r="AD2581" s="10">
        <f t="shared" si="2520"/>
        <v>8.9311604793919894</v>
      </c>
      <c r="AE2581" s="10">
        <f t="shared" si="2521"/>
        <v>1.6421315704611414</v>
      </c>
      <c r="AF2581" s="1" t="s">
        <v>2320</v>
      </c>
    </row>
    <row r="2582" spans="1:32" x14ac:dyDescent="0.2">
      <c r="A2582" s="1" t="s">
        <v>6510</v>
      </c>
      <c r="B2582" s="1" t="s">
        <v>5</v>
      </c>
      <c r="C2582" s="1" t="s">
        <v>1575</v>
      </c>
      <c r="D2582" s="1" t="s">
        <v>1578</v>
      </c>
      <c r="E2582" s="1" t="s">
        <v>1591</v>
      </c>
      <c r="F2582" s="1" t="s">
        <v>2326</v>
      </c>
      <c r="G2582" s="4" t="s">
        <v>2327</v>
      </c>
      <c r="H2582" s="28">
        <v>44196</v>
      </c>
      <c r="I2582" s="29">
        <f t="shared" si="2524"/>
        <v>2020</v>
      </c>
      <c r="J2582" s="1" t="s">
        <v>2311</v>
      </c>
      <c r="K2582" s="1" t="s">
        <v>7</v>
      </c>
      <c r="L2582" s="11" t="str">
        <f t="shared" si="2513"/>
        <v>НЕТ</v>
      </c>
      <c r="M2582" s="10">
        <v>0</v>
      </c>
      <c r="N2582" s="10">
        <v>0</v>
      </c>
      <c r="O2582" s="10">
        <v>0.55600000000000005</v>
      </c>
      <c r="P2582" s="10" t="str">
        <f t="shared" si="2522"/>
        <v>NA</v>
      </c>
      <c r="Q2582" s="10" t="str">
        <f t="shared" si="2523"/>
        <v>NA</v>
      </c>
      <c r="R2582" s="10" t="s">
        <v>1575</v>
      </c>
      <c r="S2582" s="10" t="s">
        <v>1575</v>
      </c>
      <c r="T2582" s="10" t="s">
        <v>1575</v>
      </c>
      <c r="U2582" s="10" t="s">
        <v>1575</v>
      </c>
      <c r="V2582" s="10" t="s">
        <v>1575</v>
      </c>
      <c r="W2582" s="10" t="s">
        <v>1575</v>
      </c>
      <c r="X2582" s="10" t="str">
        <f t="shared" si="2514"/>
        <v>NA</v>
      </c>
      <c r="Y2582" s="10" t="str">
        <f t="shared" si="2515"/>
        <v>NA</v>
      </c>
      <c r="Z2582" s="10" t="str">
        <f t="shared" si="2516"/>
        <v>NA</v>
      </c>
      <c r="AA2582" s="10" t="str">
        <f t="shared" si="2517"/>
        <v>NA</v>
      </c>
      <c r="AB2582" s="10" t="str">
        <f t="shared" si="2518"/>
        <v>NA</v>
      </c>
      <c r="AC2582" s="10" t="str">
        <f t="shared" si="2519"/>
        <v>NA</v>
      </c>
      <c r="AD2582" s="10" t="str">
        <f t="shared" si="2520"/>
        <v>NA</v>
      </c>
      <c r="AE2582" s="10" t="str">
        <f t="shared" si="2521"/>
        <v>NA</v>
      </c>
      <c r="AF2582" s="1" t="s">
        <v>2328</v>
      </c>
    </row>
    <row r="2583" spans="1:32" x14ac:dyDescent="0.2">
      <c r="A2583" s="1" t="s">
        <v>2311</v>
      </c>
      <c r="B2583" s="1" t="s">
        <v>5</v>
      </c>
      <c r="C2583" s="1" t="s">
        <v>2318</v>
      </c>
      <c r="D2583" s="1" t="s">
        <v>1578</v>
      </c>
      <c r="E2583" s="1" t="s">
        <v>1591</v>
      </c>
      <c r="F2583" s="1" t="s">
        <v>2319</v>
      </c>
      <c r="G2583" s="4">
        <f>3600000/19400000</f>
        <v>0.18556701030927836</v>
      </c>
      <c r="H2583" s="28">
        <v>43830</v>
      </c>
      <c r="I2583" s="29">
        <f t="shared" si="2524"/>
        <v>2019</v>
      </c>
      <c r="J2583" s="1" t="s">
        <v>7</v>
      </c>
      <c r="K2583" s="1" t="s">
        <v>2311</v>
      </c>
      <c r="L2583" s="11" t="str">
        <f t="shared" si="2513"/>
        <v>ДА</v>
      </c>
      <c r="M2583" s="10">
        <v>0</v>
      </c>
      <c r="N2583" s="10">
        <v>0</v>
      </c>
      <c r="O2583" s="10" t="s">
        <v>1575</v>
      </c>
      <c r="P2583" s="10" t="str">
        <f t="shared" si="2522"/>
        <v>NA</v>
      </c>
      <c r="Q2583" s="10" t="str">
        <f t="shared" si="2523"/>
        <v>NA</v>
      </c>
      <c r="R2583" s="10">
        <v>51.27</v>
      </c>
      <c r="S2583" s="10">
        <v>6.5599999999999987</v>
      </c>
      <c r="T2583" s="10">
        <v>4.456999999999999</v>
      </c>
      <c r="U2583" s="10">
        <v>1.4330000000000001</v>
      </c>
      <c r="V2583" s="10">
        <v>20.033000000000001</v>
      </c>
      <c r="W2583" s="10">
        <v>19.146000000000001</v>
      </c>
      <c r="X2583" s="10">
        <f t="shared" si="2514"/>
        <v>39.179000000000002</v>
      </c>
      <c r="Y2583" s="10" t="str">
        <f t="shared" si="2515"/>
        <v>NA</v>
      </c>
      <c r="Z2583" s="10" t="str">
        <f t="shared" si="2516"/>
        <v>NA</v>
      </c>
      <c r="AA2583" s="10" t="str">
        <f t="shared" si="2517"/>
        <v>NA</v>
      </c>
      <c r="AB2583" s="10" t="str">
        <f t="shared" si="2518"/>
        <v>NA</v>
      </c>
      <c r="AC2583" s="10" t="str">
        <f t="shared" si="2519"/>
        <v>NA</v>
      </c>
      <c r="AD2583" s="10" t="str">
        <f t="shared" si="2520"/>
        <v>NA</v>
      </c>
      <c r="AE2583" s="10" t="str">
        <f t="shared" si="2521"/>
        <v>NA</v>
      </c>
      <c r="AF2583" s="1" t="s">
        <v>2321</v>
      </c>
    </row>
    <row r="2584" spans="1:32" x14ac:dyDescent="0.2">
      <c r="A2584" s="1" t="s">
        <v>2311</v>
      </c>
      <c r="B2584" s="1" t="s">
        <v>5</v>
      </c>
      <c r="C2584" s="1" t="s">
        <v>2318</v>
      </c>
      <c r="D2584" s="1" t="s">
        <v>1578</v>
      </c>
      <c r="E2584" s="1" t="s">
        <v>1591</v>
      </c>
      <c r="F2584" s="1" t="s">
        <v>2319</v>
      </c>
      <c r="G2584" s="4">
        <f>5554000/(19400000+5554000)</f>
        <v>0.22256952793139376</v>
      </c>
      <c r="H2584" s="28">
        <v>43465</v>
      </c>
      <c r="I2584" s="29">
        <f t="shared" si="2524"/>
        <v>2018</v>
      </c>
      <c r="J2584" s="1" t="s">
        <v>7</v>
      </c>
      <c r="K2584" s="1" t="s">
        <v>2311</v>
      </c>
      <c r="L2584" s="11" t="str">
        <f t="shared" ref="L2584:L2650" si="2525">IF(OR(A2584=J2584,A2584=K2584),"ДА","НЕТ")</f>
        <v>ДА</v>
      </c>
      <c r="M2584" s="10">
        <v>0</v>
      </c>
      <c r="N2584" s="10">
        <v>0</v>
      </c>
      <c r="O2584" s="10" t="s">
        <v>1575</v>
      </c>
      <c r="P2584" s="10" t="str">
        <f t="shared" si="2522"/>
        <v>NA</v>
      </c>
      <c r="Q2584" s="10" t="str">
        <f t="shared" si="2523"/>
        <v>NA</v>
      </c>
      <c r="R2584" s="10">
        <v>43.411000000000001</v>
      </c>
      <c r="S2584" s="10">
        <v>4.2510000000000003</v>
      </c>
      <c r="T2584" s="10">
        <v>3.2730000000000001</v>
      </c>
      <c r="U2584" s="10">
        <v>0.93799999999999994</v>
      </c>
      <c r="V2584" s="10">
        <v>19.303000000000001</v>
      </c>
      <c r="W2584" s="10">
        <v>13.463000000000001</v>
      </c>
      <c r="X2584" s="10">
        <f t="shared" si="2514"/>
        <v>32.766000000000005</v>
      </c>
      <c r="Y2584" s="10" t="str">
        <f t="shared" si="2515"/>
        <v>NA</v>
      </c>
      <c r="Z2584" s="10" t="str">
        <f t="shared" si="2516"/>
        <v>NA</v>
      </c>
      <c r="AA2584" s="10" t="str">
        <f t="shared" si="2517"/>
        <v>NA</v>
      </c>
      <c r="AB2584" s="10" t="str">
        <f t="shared" si="2518"/>
        <v>NA</v>
      </c>
      <c r="AC2584" s="10" t="str">
        <f t="shared" si="2519"/>
        <v>NA</v>
      </c>
      <c r="AD2584" s="10" t="str">
        <f t="shared" si="2520"/>
        <v>NA</v>
      </c>
      <c r="AE2584" s="10" t="str">
        <f t="shared" si="2521"/>
        <v>NA</v>
      </c>
      <c r="AF2584" s="1" t="s">
        <v>2322</v>
      </c>
    </row>
    <row r="2585" spans="1:32" x14ac:dyDescent="0.2">
      <c r="A2585" s="1" t="s">
        <v>2311</v>
      </c>
      <c r="B2585" s="1" t="s">
        <v>5</v>
      </c>
      <c r="C2585" s="1" t="s">
        <v>2318</v>
      </c>
      <c r="D2585" s="1" t="s">
        <v>1578</v>
      </c>
      <c r="E2585" s="1" t="s">
        <v>1591</v>
      </c>
      <c r="F2585" s="1" t="s">
        <v>2319</v>
      </c>
      <c r="G2585" s="4">
        <f>2378000/(19400000+5554000)</f>
        <v>9.5295343431914717E-2</v>
      </c>
      <c r="H2585" s="28">
        <v>43465</v>
      </c>
      <c r="I2585" s="29">
        <f t="shared" si="2524"/>
        <v>2018</v>
      </c>
      <c r="J2585" s="1" t="s">
        <v>7</v>
      </c>
      <c r="K2585" s="1" t="s">
        <v>2311</v>
      </c>
      <c r="L2585" s="11" t="str">
        <f t="shared" si="2525"/>
        <v>ДА</v>
      </c>
      <c r="M2585" s="10">
        <v>0</v>
      </c>
      <c r="N2585" s="10">
        <v>0</v>
      </c>
      <c r="O2585" s="10">
        <v>1.4350000000000001</v>
      </c>
      <c r="P2585" s="10">
        <f t="shared" si="2522"/>
        <v>15.058448275862071</v>
      </c>
      <c r="Q2585" s="10">
        <f t="shared" si="2523"/>
        <v>28.52144827586207</v>
      </c>
      <c r="R2585" s="10">
        <v>43.411000000000001</v>
      </c>
      <c r="S2585" s="10">
        <v>4.2510000000000003</v>
      </c>
      <c r="T2585" s="10">
        <v>3.2730000000000001</v>
      </c>
      <c r="U2585" s="10">
        <v>0.93799999999999994</v>
      </c>
      <c r="V2585" s="10">
        <v>19.303000000000001</v>
      </c>
      <c r="W2585" s="10">
        <v>13.463000000000001</v>
      </c>
      <c r="X2585" s="10">
        <f t="shared" si="2514"/>
        <v>32.766000000000005</v>
      </c>
      <c r="Y2585" s="10">
        <f t="shared" si="2515"/>
        <v>0.34688093515150703</v>
      </c>
      <c r="Z2585" s="10">
        <f t="shared" si="2516"/>
        <v>16.053782810087498</v>
      </c>
      <c r="AA2585" s="10">
        <f t="shared" si="2517"/>
        <v>0.78010922011407924</v>
      </c>
      <c r="AB2585" s="10">
        <f t="shared" si="2518"/>
        <v>0.65700970435746864</v>
      </c>
      <c r="AC2585" s="10">
        <f t="shared" si="2519"/>
        <v>6.7093503354180353</v>
      </c>
      <c r="AD2585" s="10">
        <f t="shared" si="2520"/>
        <v>8.7141607931139831</v>
      </c>
      <c r="AE2585" s="10">
        <f t="shared" si="2521"/>
        <v>0.87045865457675842</v>
      </c>
      <c r="AF2585" s="1" t="s">
        <v>2323</v>
      </c>
    </row>
    <row r="2586" spans="1:32" x14ac:dyDescent="0.2">
      <c r="A2586" s="1" t="s">
        <v>6511</v>
      </c>
      <c r="B2586" s="1" t="s">
        <v>5</v>
      </c>
      <c r="C2586" s="1" t="s">
        <v>2318</v>
      </c>
      <c r="D2586" s="1" t="s">
        <v>1578</v>
      </c>
      <c r="E2586" s="1" t="s">
        <v>1591</v>
      </c>
      <c r="F2586" s="1" t="s">
        <v>2325</v>
      </c>
      <c r="G2586" s="4">
        <v>0.79500000000000004</v>
      </c>
      <c r="H2586" s="28">
        <v>43343</v>
      </c>
      <c r="I2586" s="29">
        <f t="shared" si="2524"/>
        <v>2018</v>
      </c>
      <c r="J2586" s="1" t="s">
        <v>2311</v>
      </c>
      <c r="K2586" s="1" t="s">
        <v>7</v>
      </c>
      <c r="L2586" s="11" t="str">
        <f t="shared" si="2525"/>
        <v>НЕТ</v>
      </c>
      <c r="M2586" s="10">
        <v>0</v>
      </c>
      <c r="N2586" s="10">
        <v>0</v>
      </c>
      <c r="O2586" s="10">
        <v>2.1779999999999999</v>
      </c>
      <c r="P2586" s="10">
        <f t="shared" si="2522"/>
        <v>2.7396226415094338</v>
      </c>
      <c r="Q2586" s="10" t="str">
        <f t="shared" si="2523"/>
        <v>NA</v>
      </c>
      <c r="R2586" s="10" t="s">
        <v>1575</v>
      </c>
      <c r="S2586" s="10" t="s">
        <v>1575</v>
      </c>
      <c r="T2586" s="10" t="s">
        <v>1575</v>
      </c>
      <c r="U2586" s="10" t="s">
        <v>1575</v>
      </c>
      <c r="V2586" s="10">
        <v>2.1869999999999998</v>
      </c>
      <c r="W2586" s="10" t="s">
        <v>1575</v>
      </c>
      <c r="X2586" s="10" t="str">
        <f t="shared" si="2514"/>
        <v>NA</v>
      </c>
      <c r="Y2586" s="10" t="str">
        <f t="shared" si="2515"/>
        <v>NA</v>
      </c>
      <c r="Z2586" s="10" t="str">
        <f t="shared" si="2516"/>
        <v>NA</v>
      </c>
      <c r="AA2586" s="10">
        <f t="shared" si="2517"/>
        <v>1.2526852498900019</v>
      </c>
      <c r="AB2586" s="10" t="str">
        <f t="shared" si="2518"/>
        <v>NA</v>
      </c>
      <c r="AC2586" s="10" t="str">
        <f t="shared" si="2519"/>
        <v>NA</v>
      </c>
      <c r="AD2586" s="10" t="str">
        <f t="shared" si="2520"/>
        <v>NA</v>
      </c>
      <c r="AE2586" s="10" t="str">
        <f t="shared" si="2521"/>
        <v>NA</v>
      </c>
      <c r="AF2586" s="1" t="s">
        <v>2329</v>
      </c>
    </row>
    <row r="2587" spans="1:32" x14ac:dyDescent="0.2">
      <c r="A2587" s="1" t="s">
        <v>6512</v>
      </c>
      <c r="B2587" s="1" t="s">
        <v>5</v>
      </c>
      <c r="C2587" s="1" t="s">
        <v>1575</v>
      </c>
      <c r="D2587" s="1" t="s">
        <v>1578</v>
      </c>
      <c r="E2587" s="1" t="s">
        <v>1591</v>
      </c>
      <c r="F2587" s="1" t="s">
        <v>2330</v>
      </c>
      <c r="G2587" s="4">
        <f>100%-49%</f>
        <v>0.51</v>
      </c>
      <c r="H2587" s="28">
        <v>43131</v>
      </c>
      <c r="I2587" s="29">
        <f t="shared" si="2524"/>
        <v>2018</v>
      </c>
      <c r="J2587" s="1" t="s">
        <v>2311</v>
      </c>
      <c r="K2587" s="1" t="s">
        <v>7</v>
      </c>
      <c r="L2587" s="11" t="str">
        <f t="shared" si="2525"/>
        <v>НЕТ</v>
      </c>
      <c r="M2587" s="10">
        <v>0</v>
      </c>
      <c r="N2587" s="10">
        <v>0</v>
      </c>
      <c r="O2587" s="10">
        <v>0.63</v>
      </c>
      <c r="P2587" s="10">
        <f t="shared" si="2522"/>
        <v>1.2352941176470589</v>
      </c>
      <c r="Q2587" s="10" t="str">
        <f t="shared" si="2523"/>
        <v>NA</v>
      </c>
      <c r="R2587" s="10">
        <v>9.2759999999999998</v>
      </c>
      <c r="S2587" s="10" t="s">
        <v>1575</v>
      </c>
      <c r="T2587" s="10">
        <v>0.59799999999999998</v>
      </c>
      <c r="U2587" s="10" t="s">
        <v>1575</v>
      </c>
      <c r="V2587" s="10">
        <v>-0.20699999999999999</v>
      </c>
      <c r="W2587" s="10" t="s">
        <v>1575</v>
      </c>
      <c r="X2587" s="10" t="str">
        <f t="shared" si="2514"/>
        <v>NA</v>
      </c>
      <c r="Y2587" s="10">
        <f t="shared" si="2515"/>
        <v>0.13317099155315426</v>
      </c>
      <c r="Z2587" s="10" t="str">
        <f t="shared" si="2516"/>
        <v>NA</v>
      </c>
      <c r="AA2587" s="10">
        <f t="shared" si="2517"/>
        <v>-5.9676044330775797</v>
      </c>
      <c r="AB2587" s="10" t="str">
        <f t="shared" si="2518"/>
        <v>NA</v>
      </c>
      <c r="AC2587" s="10" t="str">
        <f t="shared" si="2519"/>
        <v>NA</v>
      </c>
      <c r="AD2587" s="10" t="str">
        <f t="shared" si="2520"/>
        <v>NA</v>
      </c>
      <c r="AE2587" s="10" t="str">
        <f t="shared" si="2521"/>
        <v>NA</v>
      </c>
      <c r="AF2587" s="1" t="s">
        <v>2331</v>
      </c>
    </row>
    <row r="2588" spans="1:32" x14ac:dyDescent="0.2">
      <c r="A2588" s="1" t="s">
        <v>2311</v>
      </c>
      <c r="B2588" s="1" t="s">
        <v>5</v>
      </c>
      <c r="C2588" s="1" t="s">
        <v>2318</v>
      </c>
      <c r="D2588" s="1" t="s">
        <v>1578</v>
      </c>
      <c r="E2588" s="1" t="s">
        <v>1591</v>
      </c>
      <c r="F2588" s="1" t="s">
        <v>2319</v>
      </c>
      <c r="G2588" s="4">
        <f>8622000/(19400000+5554000+8622000)</f>
        <v>0.25679056468906364</v>
      </c>
      <c r="H2588" s="28">
        <v>43100</v>
      </c>
      <c r="I2588" s="29">
        <f t="shared" si="2524"/>
        <v>2017</v>
      </c>
      <c r="J2588" s="1" t="s">
        <v>7</v>
      </c>
      <c r="K2588" s="1" t="s">
        <v>2311</v>
      </c>
      <c r="L2588" s="11" t="str">
        <f t="shared" si="2525"/>
        <v>ДА</v>
      </c>
      <c r="M2588" s="10">
        <v>0</v>
      </c>
      <c r="N2588" s="10">
        <v>0</v>
      </c>
      <c r="O2588" s="10" t="s">
        <v>1575</v>
      </c>
      <c r="P2588" s="10" t="str">
        <f t="shared" si="2522"/>
        <v>NA</v>
      </c>
      <c r="Q2588" s="10" t="str">
        <f t="shared" si="2523"/>
        <v>NA</v>
      </c>
      <c r="R2588" s="10">
        <v>37.302999999999997</v>
      </c>
      <c r="S2588" s="10">
        <v>3.6159999999999997</v>
      </c>
      <c r="T2588" s="10">
        <v>2.8479999999999999</v>
      </c>
      <c r="U2588" s="10">
        <v>0.65500000000000003</v>
      </c>
      <c r="V2588" s="10">
        <v>19.448</v>
      </c>
      <c r="W2588" s="10">
        <v>9.9419999999999984</v>
      </c>
      <c r="X2588" s="10">
        <f t="shared" si="2514"/>
        <v>29.39</v>
      </c>
      <c r="Y2588" s="10" t="str">
        <f t="shared" si="2515"/>
        <v>NA</v>
      </c>
      <c r="Z2588" s="10" t="str">
        <f t="shared" si="2516"/>
        <v>NA</v>
      </c>
      <c r="AA2588" s="10" t="str">
        <f t="shared" si="2517"/>
        <v>NA</v>
      </c>
      <c r="AB2588" s="10" t="str">
        <f t="shared" si="2518"/>
        <v>NA</v>
      </c>
      <c r="AC2588" s="10" t="str">
        <f t="shared" si="2519"/>
        <v>NA</v>
      </c>
      <c r="AD2588" s="10" t="str">
        <f t="shared" si="2520"/>
        <v>NA</v>
      </c>
      <c r="AE2588" s="10" t="str">
        <f t="shared" si="2521"/>
        <v>NA</v>
      </c>
      <c r="AF2588" s="1" t="s">
        <v>2324</v>
      </c>
    </row>
    <row r="2589" spans="1:32" x14ac:dyDescent="0.2">
      <c r="A2589" s="1" t="s">
        <v>2311</v>
      </c>
      <c r="B2589" s="1" t="s">
        <v>5</v>
      </c>
      <c r="C2589" s="1" t="s">
        <v>2318</v>
      </c>
      <c r="D2589" s="1" t="s">
        <v>1578</v>
      </c>
      <c r="E2589" s="1" t="s">
        <v>1591</v>
      </c>
      <c r="F2589" s="1" t="s">
        <v>2319</v>
      </c>
      <c r="G2589" s="4">
        <f>1459000/(19400000+5554000+8622000)</f>
        <v>4.3453657374314988E-2</v>
      </c>
      <c r="H2589" s="28">
        <v>43100</v>
      </c>
      <c r="I2589" s="29">
        <f t="shared" si="2524"/>
        <v>2017</v>
      </c>
      <c r="J2589" s="1" t="s">
        <v>7</v>
      </c>
      <c r="K2589" s="1" t="s">
        <v>2311</v>
      </c>
      <c r="L2589" s="11" t="str">
        <f t="shared" si="2525"/>
        <v>ДА</v>
      </c>
      <c r="M2589" s="10">
        <v>0</v>
      </c>
      <c r="N2589" s="10">
        <v>0</v>
      </c>
      <c r="O2589" s="10">
        <v>0.91300000000000003</v>
      </c>
      <c r="P2589" s="10">
        <f t="shared" si="2522"/>
        <v>21.01088965044551</v>
      </c>
      <c r="Q2589" s="10">
        <f t="shared" si="2523"/>
        <v>30.952889650445506</v>
      </c>
      <c r="R2589" s="10">
        <v>37.302999999999997</v>
      </c>
      <c r="S2589" s="10">
        <v>3.6159999999999997</v>
      </c>
      <c r="T2589" s="10">
        <v>2.8479999999999999</v>
      </c>
      <c r="U2589" s="10">
        <v>0.65500000000000003</v>
      </c>
      <c r="V2589" s="10">
        <v>19.448</v>
      </c>
      <c r="W2589" s="10">
        <v>9.9419999999999984</v>
      </c>
      <c r="X2589" s="10">
        <f t="shared" si="2514"/>
        <v>29.39</v>
      </c>
      <c r="Y2589" s="10">
        <f t="shared" si="2515"/>
        <v>0.56324932714380915</v>
      </c>
      <c r="Z2589" s="10">
        <f t="shared" si="2516"/>
        <v>32.077694122817569</v>
      </c>
      <c r="AA2589" s="10">
        <f t="shared" si="2517"/>
        <v>1.0803624871681154</v>
      </c>
      <c r="AB2589" s="10">
        <f t="shared" si="2518"/>
        <v>0.82976944616908854</v>
      </c>
      <c r="AC2589" s="10">
        <f t="shared" si="2519"/>
        <v>8.5599805449240893</v>
      </c>
      <c r="AD2589" s="10">
        <f t="shared" si="2520"/>
        <v>10.868289905353057</v>
      </c>
      <c r="AE2589" s="10">
        <f t="shared" si="2521"/>
        <v>1.053177599538806</v>
      </c>
      <c r="AF2589" s="1" t="s">
        <v>2332</v>
      </c>
    </row>
    <row r="2590" spans="1:32" x14ac:dyDescent="0.2">
      <c r="A2590" s="1" t="s">
        <v>6512</v>
      </c>
      <c r="B2590" s="1" t="s">
        <v>5</v>
      </c>
      <c r="C2590" s="1" t="s">
        <v>1575</v>
      </c>
      <c r="D2590" s="1" t="s">
        <v>1578</v>
      </c>
      <c r="E2590" s="1" t="s">
        <v>1591</v>
      </c>
      <c r="F2590" s="1" t="s">
        <v>2330</v>
      </c>
      <c r="G2590" s="4">
        <v>0.19</v>
      </c>
      <c r="H2590" s="28">
        <v>42766</v>
      </c>
      <c r="I2590" s="29">
        <f t="shared" si="2524"/>
        <v>2017</v>
      </c>
      <c r="J2590" s="1" t="s">
        <v>2311</v>
      </c>
      <c r="K2590" s="1" t="s">
        <v>7</v>
      </c>
      <c r="L2590" s="11" t="str">
        <f t="shared" si="2525"/>
        <v>НЕТ</v>
      </c>
      <c r="M2590" s="10">
        <v>0</v>
      </c>
      <c r="N2590" s="10">
        <v>0</v>
      </c>
      <c r="O2590" s="10">
        <v>0.38</v>
      </c>
      <c r="P2590" s="10">
        <f t="shared" si="2522"/>
        <v>2</v>
      </c>
      <c r="Q2590" s="10" t="str">
        <f t="shared" si="2523"/>
        <v>NA</v>
      </c>
      <c r="R2590" s="10" t="s">
        <v>1575</v>
      </c>
      <c r="S2590" s="10" t="s">
        <v>1575</v>
      </c>
      <c r="T2590" s="10" t="s">
        <v>1575</v>
      </c>
      <c r="U2590" s="10" t="s">
        <v>1575</v>
      </c>
      <c r="V2590" s="10" t="s">
        <v>1575</v>
      </c>
      <c r="W2590" s="10" t="s">
        <v>1575</v>
      </c>
      <c r="X2590" s="10" t="str">
        <f t="shared" si="2514"/>
        <v>NA</v>
      </c>
      <c r="Y2590" s="10" t="str">
        <f t="shared" si="2515"/>
        <v>NA</v>
      </c>
      <c r="Z2590" s="10" t="str">
        <f t="shared" si="2516"/>
        <v>NA</v>
      </c>
      <c r="AA2590" s="10" t="str">
        <f t="shared" si="2517"/>
        <v>NA</v>
      </c>
      <c r="AB2590" s="10" t="str">
        <f t="shared" si="2518"/>
        <v>NA</v>
      </c>
      <c r="AC2590" s="10" t="str">
        <f t="shared" si="2519"/>
        <v>NA</v>
      </c>
      <c r="AD2590" s="10" t="str">
        <f t="shared" si="2520"/>
        <v>NA</v>
      </c>
      <c r="AE2590" s="10" t="str">
        <f t="shared" si="2521"/>
        <v>NA</v>
      </c>
      <c r="AF2590" s="1" t="s">
        <v>2335</v>
      </c>
    </row>
    <row r="2591" spans="1:32" x14ac:dyDescent="0.2">
      <c r="A2591" s="1" t="s">
        <v>2311</v>
      </c>
      <c r="B2591" s="1" t="s">
        <v>5</v>
      </c>
      <c r="C2591" s="1" t="s">
        <v>2318</v>
      </c>
      <c r="D2591" s="1" t="s">
        <v>1578</v>
      </c>
      <c r="E2591" s="1" t="s">
        <v>1591</v>
      </c>
      <c r="F2591" s="1" t="s">
        <v>2319</v>
      </c>
      <c r="G2591" s="4">
        <f>7696000/(19400000+5554000+8622000)</f>
        <v>0.22921134143435787</v>
      </c>
      <c r="H2591" s="28">
        <v>42735</v>
      </c>
      <c r="I2591" s="29">
        <f t="shared" si="2524"/>
        <v>2016</v>
      </c>
      <c r="J2591" s="1" t="s">
        <v>7</v>
      </c>
      <c r="K2591" s="1" t="s">
        <v>2311</v>
      </c>
      <c r="L2591" s="11" t="str">
        <f t="shared" si="2525"/>
        <v>ДА</v>
      </c>
      <c r="M2591" s="10">
        <v>0</v>
      </c>
      <c r="N2591" s="10">
        <v>0</v>
      </c>
      <c r="O2591" s="10" t="s">
        <v>1575</v>
      </c>
      <c r="P2591" s="10" t="str">
        <f t="shared" si="2522"/>
        <v>NA</v>
      </c>
      <c r="Q2591" s="10" t="str">
        <f t="shared" si="2523"/>
        <v>NA</v>
      </c>
      <c r="R2591" s="10">
        <v>35.902999999999999</v>
      </c>
      <c r="S2591" s="10">
        <v>3.2119999999999997</v>
      </c>
      <c r="T2591" s="10">
        <v>2.4859999999999998</v>
      </c>
      <c r="U2591" s="10">
        <v>0.27500000000000002</v>
      </c>
      <c r="V2591" s="10">
        <v>19.452999999999999</v>
      </c>
      <c r="W2591" s="10">
        <v>8.1820000000000004</v>
      </c>
      <c r="X2591" s="10">
        <f t="shared" si="2514"/>
        <v>27.634999999999998</v>
      </c>
      <c r="Y2591" s="10" t="str">
        <f t="shared" si="2515"/>
        <v>NA</v>
      </c>
      <c r="Z2591" s="10" t="str">
        <f t="shared" si="2516"/>
        <v>NA</v>
      </c>
      <c r="AA2591" s="10" t="str">
        <f t="shared" si="2517"/>
        <v>NA</v>
      </c>
      <c r="AB2591" s="10" t="str">
        <f t="shared" si="2518"/>
        <v>NA</v>
      </c>
      <c r="AC2591" s="10" t="str">
        <f t="shared" si="2519"/>
        <v>NA</v>
      </c>
      <c r="AD2591" s="10" t="str">
        <f t="shared" si="2520"/>
        <v>NA</v>
      </c>
      <c r="AE2591" s="10" t="str">
        <f t="shared" si="2521"/>
        <v>NA</v>
      </c>
      <c r="AF2591" s="1" t="s">
        <v>2333</v>
      </c>
    </row>
    <row r="2592" spans="1:32" x14ac:dyDescent="0.2">
      <c r="A2592" s="1" t="s">
        <v>2311</v>
      </c>
      <c r="B2592" s="1" t="s">
        <v>5</v>
      </c>
      <c r="C2592" s="1" t="s">
        <v>2318</v>
      </c>
      <c r="D2592" s="1" t="s">
        <v>1578</v>
      </c>
      <c r="E2592" s="1" t="s">
        <v>1591</v>
      </c>
      <c r="F2592" s="1" t="s">
        <v>2319</v>
      </c>
      <c r="G2592" s="4">
        <f>301000/(19400000+5554000+8622000)</f>
        <v>8.9647367167024067E-3</v>
      </c>
      <c r="H2592" s="28">
        <v>42735</v>
      </c>
      <c r="I2592" s="29">
        <f t="shared" si="2524"/>
        <v>2016</v>
      </c>
      <c r="J2592" s="1" t="s">
        <v>7</v>
      </c>
      <c r="K2592" s="1" t="s">
        <v>2311</v>
      </c>
      <c r="L2592" s="11" t="str">
        <f t="shared" si="2525"/>
        <v>ДА</v>
      </c>
      <c r="M2592" s="10">
        <v>0</v>
      </c>
      <c r="N2592" s="10">
        <v>0</v>
      </c>
      <c r="O2592" s="10">
        <v>0.17899999999999999</v>
      </c>
      <c r="P2592" s="10">
        <f t="shared" si="2522"/>
        <v>19.96712292358804</v>
      </c>
      <c r="Q2592" s="10">
        <f t="shared" si="2523"/>
        <v>28.149122923588038</v>
      </c>
      <c r="R2592" s="10">
        <v>35.902999999999999</v>
      </c>
      <c r="S2592" s="10">
        <v>3.2119999999999997</v>
      </c>
      <c r="T2592" s="10">
        <v>2.4859999999999998</v>
      </c>
      <c r="U2592" s="10">
        <v>0.27500000000000002</v>
      </c>
      <c r="V2592" s="10">
        <v>19.452999999999999</v>
      </c>
      <c r="W2592" s="10">
        <v>8.1820000000000004</v>
      </c>
      <c r="X2592" s="10">
        <f t="shared" si="2514"/>
        <v>27.634999999999998</v>
      </c>
      <c r="Y2592" s="10">
        <f t="shared" si="2515"/>
        <v>0.55614079390546867</v>
      </c>
      <c r="Z2592" s="10">
        <f t="shared" si="2516"/>
        <v>72.607719722138313</v>
      </c>
      <c r="AA2592" s="10">
        <f t="shared" si="2517"/>
        <v>1.0264289787481644</v>
      </c>
      <c r="AB2592" s="10">
        <f t="shared" si="2518"/>
        <v>0.78403261353056952</v>
      </c>
      <c r="AC2592" s="10">
        <f t="shared" si="2519"/>
        <v>8.7637369002453429</v>
      </c>
      <c r="AD2592" s="10">
        <f t="shared" si="2520"/>
        <v>11.323058295892213</v>
      </c>
      <c r="AE2592" s="10">
        <f t="shared" si="2521"/>
        <v>1.0186040500665112</v>
      </c>
      <c r="AF2592" s="1" t="s">
        <v>2334</v>
      </c>
    </row>
    <row r="2593" spans="1:32" x14ac:dyDescent="0.2">
      <c r="A2593" s="1" t="s">
        <v>2311</v>
      </c>
      <c r="B2593" s="1" t="s">
        <v>5</v>
      </c>
      <c r="C2593" s="1" t="s">
        <v>2318</v>
      </c>
      <c r="D2593" s="1" t="s">
        <v>1578</v>
      </c>
      <c r="E2593" s="1" t="s">
        <v>1591</v>
      </c>
      <c r="F2593" s="1" t="s">
        <v>2319</v>
      </c>
      <c r="G2593" s="4">
        <f>150000/(19400000+5554000+8622000)</f>
        <v>4.4674767691208006E-3</v>
      </c>
      <c r="H2593" s="28">
        <v>42369</v>
      </c>
      <c r="I2593" s="29">
        <f t="shared" si="2524"/>
        <v>2015</v>
      </c>
      <c r="J2593" s="1" t="s">
        <v>7</v>
      </c>
      <c r="K2593" s="1" t="s">
        <v>2311</v>
      </c>
      <c r="L2593" s="11" t="str">
        <f t="shared" si="2525"/>
        <v>ДА</v>
      </c>
      <c r="M2593" s="10">
        <v>0</v>
      </c>
      <c r="N2593" s="10">
        <v>0</v>
      </c>
      <c r="O2593" s="10">
        <v>0.17699999999999999</v>
      </c>
      <c r="P2593" s="10">
        <f t="shared" si="2522"/>
        <v>39.619679999999995</v>
      </c>
      <c r="Q2593" s="10">
        <f t="shared" si="2523"/>
        <v>46.762679999999996</v>
      </c>
      <c r="R2593" s="10">
        <v>30.706</v>
      </c>
      <c r="S2593" s="10">
        <v>2.8849999999999998</v>
      </c>
      <c r="T2593" s="10">
        <v>2.109</v>
      </c>
      <c r="U2593" s="10">
        <v>0.24099999999999999</v>
      </c>
      <c r="V2593" s="10">
        <v>19.261000000000003</v>
      </c>
      <c r="W2593" s="10">
        <v>7.1429999999999998</v>
      </c>
      <c r="X2593" s="10">
        <f t="shared" si="2514"/>
        <v>26.404000000000003</v>
      </c>
      <c r="Y2593" s="10">
        <f t="shared" si="2515"/>
        <v>1.2902911483097765</v>
      </c>
      <c r="Z2593" s="10">
        <f t="shared" si="2516"/>
        <v>164.39701244813276</v>
      </c>
      <c r="AA2593" s="10">
        <f t="shared" si="2517"/>
        <v>2.0569897720782926</v>
      </c>
      <c r="AB2593" s="10">
        <f t="shared" si="2518"/>
        <v>1.5229166938057708</v>
      </c>
      <c r="AC2593" s="10">
        <f t="shared" si="2519"/>
        <v>16.208901213171576</v>
      </c>
      <c r="AD2593" s="10">
        <f t="shared" si="2520"/>
        <v>22.172916073968704</v>
      </c>
      <c r="AE2593" s="10">
        <f t="shared" si="2521"/>
        <v>1.7710452961672469</v>
      </c>
      <c r="AF2593" s="1" t="s">
        <v>2337</v>
      </c>
    </row>
    <row r="2594" spans="1:32" x14ac:dyDescent="0.2">
      <c r="A2594" s="1" t="s">
        <v>560</v>
      </c>
      <c r="B2594" s="1" t="s">
        <v>99</v>
      </c>
      <c r="C2594" s="1" t="s">
        <v>1575</v>
      </c>
      <c r="D2594" s="1" t="s">
        <v>1578</v>
      </c>
      <c r="E2594" s="1" t="s">
        <v>1591</v>
      </c>
      <c r="F2594" s="1" t="s">
        <v>561</v>
      </c>
      <c r="G2594" s="4" t="s">
        <v>11</v>
      </c>
      <c r="H2594" s="28">
        <v>42369</v>
      </c>
      <c r="I2594" s="29">
        <f t="shared" si="2524"/>
        <v>2015</v>
      </c>
      <c r="J2594" s="1" t="s">
        <v>2311</v>
      </c>
      <c r="K2594" s="1" t="s">
        <v>7</v>
      </c>
      <c r="L2594" s="11" t="str">
        <f t="shared" si="2525"/>
        <v>НЕТ</v>
      </c>
      <c r="M2594" s="10">
        <v>0</v>
      </c>
      <c r="N2594" s="10">
        <v>0</v>
      </c>
      <c r="O2594" s="10">
        <v>1E-4</v>
      </c>
      <c r="P2594" s="10" t="str">
        <f t="shared" si="2522"/>
        <v>NA</v>
      </c>
      <c r="Q2594" s="10" t="str">
        <f t="shared" si="2523"/>
        <v>NA</v>
      </c>
      <c r="R2594" s="10" t="s">
        <v>1575</v>
      </c>
      <c r="S2594" s="10" t="s">
        <v>1575</v>
      </c>
      <c r="T2594" s="10" t="s">
        <v>1575</v>
      </c>
      <c r="U2594" s="10" t="s">
        <v>1575</v>
      </c>
      <c r="V2594" s="10" t="s">
        <v>1575</v>
      </c>
      <c r="W2594" s="10" t="s">
        <v>1575</v>
      </c>
      <c r="X2594" s="10" t="str">
        <f t="shared" si="2514"/>
        <v>NA</v>
      </c>
      <c r="Y2594" s="10" t="str">
        <f t="shared" si="2515"/>
        <v>NA</v>
      </c>
      <c r="Z2594" s="10" t="str">
        <f t="shared" si="2516"/>
        <v>NA</v>
      </c>
      <c r="AA2594" s="10" t="str">
        <f t="shared" si="2517"/>
        <v>NA</v>
      </c>
      <c r="AB2594" s="10" t="str">
        <f t="shared" si="2518"/>
        <v>NA</v>
      </c>
      <c r="AC2594" s="10" t="str">
        <f t="shared" si="2519"/>
        <v>NA</v>
      </c>
      <c r="AD2594" s="10" t="str">
        <f t="shared" si="2520"/>
        <v>NA</v>
      </c>
      <c r="AE2594" s="10" t="str">
        <f t="shared" si="2521"/>
        <v>NA</v>
      </c>
      <c r="AF2594" s="1" t="s">
        <v>2336</v>
      </c>
    </row>
    <row r="2595" spans="1:32" x14ac:dyDescent="0.2">
      <c r="A2595" s="1" t="s">
        <v>6513</v>
      </c>
      <c r="B2595" s="1" t="s">
        <v>5</v>
      </c>
      <c r="C2595" s="1" t="s">
        <v>1575</v>
      </c>
      <c r="D2595" s="1" t="s">
        <v>1578</v>
      </c>
      <c r="E2595" s="1" t="s">
        <v>1591</v>
      </c>
      <c r="F2595" s="1" t="s">
        <v>2330</v>
      </c>
      <c r="G2595" s="4">
        <v>0.3</v>
      </c>
      <c r="H2595" s="28">
        <v>42185</v>
      </c>
      <c r="I2595" s="29">
        <f t="shared" si="2524"/>
        <v>2015</v>
      </c>
      <c r="J2595" s="1" t="s">
        <v>2311</v>
      </c>
      <c r="K2595" s="1" t="s">
        <v>7</v>
      </c>
      <c r="L2595" s="11" t="str">
        <f t="shared" si="2525"/>
        <v>НЕТ</v>
      </c>
      <c r="M2595" s="10">
        <v>0</v>
      </c>
      <c r="N2595" s="10">
        <v>0</v>
      </c>
      <c r="O2595" s="10">
        <v>0.7</v>
      </c>
      <c r="P2595" s="10">
        <f t="shared" si="2522"/>
        <v>2.3333333333333335</v>
      </c>
      <c r="Q2595" s="10" t="str">
        <f t="shared" si="2523"/>
        <v>NA</v>
      </c>
      <c r="R2595" s="10" t="s">
        <v>1575</v>
      </c>
      <c r="S2595" s="10" t="s">
        <v>1575</v>
      </c>
      <c r="T2595" s="10" t="s">
        <v>1575</v>
      </c>
      <c r="U2595" s="10" t="s">
        <v>1575</v>
      </c>
      <c r="V2595" s="10" t="s">
        <v>1575</v>
      </c>
      <c r="W2595" s="10" t="s">
        <v>1575</v>
      </c>
      <c r="X2595" s="10" t="str">
        <f t="shared" si="2514"/>
        <v>NA</v>
      </c>
      <c r="Y2595" s="10" t="str">
        <f t="shared" si="2515"/>
        <v>NA</v>
      </c>
      <c r="Z2595" s="10" t="str">
        <f t="shared" si="2516"/>
        <v>NA</v>
      </c>
      <c r="AA2595" s="10" t="str">
        <f t="shared" si="2517"/>
        <v>NA</v>
      </c>
      <c r="AB2595" s="10" t="str">
        <f t="shared" si="2518"/>
        <v>NA</v>
      </c>
      <c r="AC2595" s="10" t="str">
        <f t="shared" si="2519"/>
        <v>NA</v>
      </c>
      <c r="AD2595" s="10" t="str">
        <f t="shared" si="2520"/>
        <v>NA</v>
      </c>
      <c r="AE2595" s="10" t="str">
        <f t="shared" si="2521"/>
        <v>NA</v>
      </c>
      <c r="AF2595" s="1" t="s">
        <v>2340</v>
      </c>
    </row>
    <row r="2596" spans="1:32" x14ac:dyDescent="0.2">
      <c r="A2596" s="1" t="s">
        <v>2311</v>
      </c>
      <c r="B2596" s="1" t="s">
        <v>5</v>
      </c>
      <c r="C2596" s="1" t="s">
        <v>2318</v>
      </c>
      <c r="D2596" s="1" t="s">
        <v>1578</v>
      </c>
      <c r="E2596" s="1" t="s">
        <v>1591</v>
      </c>
      <c r="F2596" s="1" t="s">
        <v>2319</v>
      </c>
      <c r="G2596" s="4">
        <f>720000/(19400000+5554000+8622000)</f>
        <v>2.1443888491779844E-2</v>
      </c>
      <c r="H2596" s="28">
        <v>42004</v>
      </c>
      <c r="I2596" s="29">
        <f t="shared" si="2524"/>
        <v>2014</v>
      </c>
      <c r="J2596" s="1" t="s">
        <v>7</v>
      </c>
      <c r="K2596" s="1" t="s">
        <v>2311</v>
      </c>
      <c r="L2596" s="11" t="str">
        <f t="shared" si="2525"/>
        <v>ДА</v>
      </c>
      <c r="M2596" s="10">
        <v>0</v>
      </c>
      <c r="N2596" s="10">
        <v>0</v>
      </c>
      <c r="O2596" s="10">
        <v>0.41799999999999998</v>
      </c>
      <c r="P2596" s="10">
        <f t="shared" si="2522"/>
        <v>19.49273333333333</v>
      </c>
      <c r="Q2596" s="10">
        <f t="shared" si="2523"/>
        <v>28.250733333333329</v>
      </c>
      <c r="R2596" s="10">
        <v>28.163</v>
      </c>
      <c r="S2596" s="10">
        <v>2.9729999999999999</v>
      </c>
      <c r="T2596" s="10">
        <v>2.274</v>
      </c>
      <c r="U2596" s="10">
        <v>1.0900000000000001</v>
      </c>
      <c r="V2596" s="10">
        <v>19.143999999999998</v>
      </c>
      <c r="W2596" s="10">
        <v>8.7580000000000009</v>
      </c>
      <c r="X2596" s="10">
        <f t="shared" ref="X2596:X2659" si="2526">IFERROR(V2596+W2596,"NA")</f>
        <v>27.902000000000001</v>
      </c>
      <c r="Y2596" s="10">
        <f t="shared" ref="Y2596:Y2659" si="2527">IFERROR(P2596/R2596,"NA")</f>
        <v>0.69213980518173956</v>
      </c>
      <c r="Z2596" s="10">
        <f t="shared" ref="Z2596:Z2659" si="2528">IFERROR(P2596/U2596,"NA")</f>
        <v>17.883241590214062</v>
      </c>
      <c r="AA2596" s="10">
        <f t="shared" ref="AA2596:AA2659" si="2529">IFERROR(P2596/V2596,"NA")</f>
        <v>1.0182163253935088</v>
      </c>
      <c r="AB2596" s="10">
        <f t="shared" ref="AB2596:AB2659" si="2530">IFERROR(Q2596/R2596,"NA")</f>
        <v>1.0031151984281976</v>
      </c>
      <c r="AC2596" s="10">
        <f t="shared" ref="AC2596:AC2659" si="2531">IFERROR(Q2596/S2596,"NA")</f>
        <v>9.5024330081847737</v>
      </c>
      <c r="AD2596" s="10">
        <f t="shared" ref="AD2596:AD2659" si="2532">IFERROR(Q2596/T2596,"NA")</f>
        <v>12.423365581940779</v>
      </c>
      <c r="AE2596" s="10">
        <f t="shared" ref="AE2596:AE2659" si="2533">IFERROR(Q2596/X2596,"NA")</f>
        <v>1.0124985066781351</v>
      </c>
      <c r="AF2596" s="1" t="s">
        <v>2338</v>
      </c>
    </row>
    <row r="2597" spans="1:32" x14ac:dyDescent="0.2">
      <c r="A2597" s="1" t="s">
        <v>6514</v>
      </c>
      <c r="B2597" s="1" t="s">
        <v>5</v>
      </c>
      <c r="C2597" s="1" t="s">
        <v>1575</v>
      </c>
      <c r="D2597" s="1" t="s">
        <v>1578</v>
      </c>
      <c r="E2597" s="1" t="s">
        <v>1591</v>
      </c>
      <c r="F2597" s="1" t="s">
        <v>563</v>
      </c>
      <c r="G2597" s="4" t="s">
        <v>11</v>
      </c>
      <c r="H2597" s="28">
        <v>41974</v>
      </c>
      <c r="I2597" s="29">
        <f t="shared" si="2524"/>
        <v>2014</v>
      </c>
      <c r="J2597" s="1" t="s">
        <v>2311</v>
      </c>
      <c r="K2597" s="1" t="s">
        <v>7</v>
      </c>
      <c r="L2597" s="11" t="str">
        <f t="shared" si="2525"/>
        <v>НЕТ</v>
      </c>
      <c r="M2597" s="10">
        <v>0</v>
      </c>
      <c r="N2597" s="10">
        <v>0</v>
      </c>
      <c r="O2597" s="10">
        <v>1.0999999999999999E-2</v>
      </c>
      <c r="P2597" s="10" t="str">
        <f t="shared" si="2522"/>
        <v>NA</v>
      </c>
      <c r="Q2597" s="10" t="str">
        <f t="shared" si="2523"/>
        <v>NA</v>
      </c>
      <c r="R2597" s="10" t="s">
        <v>1575</v>
      </c>
      <c r="S2597" s="10" t="s">
        <v>1575</v>
      </c>
      <c r="T2597" s="10" t="s">
        <v>1575</v>
      </c>
      <c r="U2597" s="10" t="s">
        <v>1575</v>
      </c>
      <c r="V2597" s="10">
        <v>-1.0999999999999999E-2</v>
      </c>
      <c r="W2597" s="10" t="s">
        <v>1575</v>
      </c>
      <c r="X2597" s="10" t="str">
        <f t="shared" si="2526"/>
        <v>NA</v>
      </c>
      <c r="Y2597" s="10" t="str">
        <f t="shared" si="2527"/>
        <v>NA</v>
      </c>
      <c r="Z2597" s="10" t="str">
        <f t="shared" si="2528"/>
        <v>NA</v>
      </c>
      <c r="AA2597" s="10" t="str">
        <f t="shared" si="2529"/>
        <v>NA</v>
      </c>
      <c r="AB2597" s="10" t="str">
        <f t="shared" si="2530"/>
        <v>NA</v>
      </c>
      <c r="AC2597" s="10" t="str">
        <f t="shared" si="2531"/>
        <v>NA</v>
      </c>
      <c r="AD2597" s="10" t="str">
        <f t="shared" si="2532"/>
        <v>NA</v>
      </c>
      <c r="AE2597" s="10" t="str">
        <f t="shared" si="2533"/>
        <v>NA</v>
      </c>
      <c r="AF2597" s="1" t="s">
        <v>2339</v>
      </c>
    </row>
    <row r="2598" spans="1:32" x14ac:dyDescent="0.2">
      <c r="A2598" s="1" t="s">
        <v>2311</v>
      </c>
      <c r="B2598" s="1" t="s">
        <v>5</v>
      </c>
      <c r="C2598" s="1" t="s">
        <v>2318</v>
      </c>
      <c r="D2598" s="1" t="s">
        <v>1578</v>
      </c>
      <c r="E2598" s="1" t="s">
        <v>1591</v>
      </c>
      <c r="F2598" s="1" t="s">
        <v>2319</v>
      </c>
      <c r="G2598" s="4">
        <f>1003000/(19400000+5554000+8622000)</f>
        <v>2.9872527996187753E-2</v>
      </c>
      <c r="H2598" s="28">
        <v>41639</v>
      </c>
      <c r="I2598" s="29">
        <f t="shared" si="2524"/>
        <v>2013</v>
      </c>
      <c r="J2598" s="1" t="s">
        <v>7</v>
      </c>
      <c r="K2598" s="1" t="s">
        <v>2311</v>
      </c>
      <c r="L2598" s="11" t="str">
        <f t="shared" si="2525"/>
        <v>ДА</v>
      </c>
      <c r="M2598" s="10">
        <v>0</v>
      </c>
      <c r="N2598" s="10">
        <v>0</v>
      </c>
      <c r="O2598" s="10">
        <v>0.53500000000000003</v>
      </c>
      <c r="P2598" s="10">
        <f t="shared" si="2522"/>
        <v>17.909431704885346</v>
      </c>
      <c r="Q2598" s="10">
        <f t="shared" si="2523"/>
        <v>24.664431704885345</v>
      </c>
      <c r="R2598" s="10">
        <v>26.378</v>
      </c>
      <c r="S2598" s="10">
        <v>3.6739999999999999</v>
      </c>
      <c r="T2598" s="10">
        <v>3.1269999999999998</v>
      </c>
      <c r="U2598" s="10">
        <v>1.5409999999999999</v>
      </c>
      <c r="V2598" s="10">
        <v>18.369</v>
      </c>
      <c r="W2598" s="10">
        <v>6.7550000000000008</v>
      </c>
      <c r="X2598" s="10">
        <f t="shared" si="2526"/>
        <v>25.124000000000002</v>
      </c>
      <c r="Y2598" s="10">
        <f t="shared" si="2527"/>
        <v>0.67895335904486109</v>
      </c>
      <c r="Z2598" s="10">
        <f t="shared" si="2528"/>
        <v>11.621954383442795</v>
      </c>
      <c r="AA2598" s="10">
        <f t="shared" si="2529"/>
        <v>0.97498131117019693</v>
      </c>
      <c r="AB2598" s="10">
        <f t="shared" si="2530"/>
        <v>0.93503797501271302</v>
      </c>
      <c r="AC2598" s="10">
        <f t="shared" si="2531"/>
        <v>6.7132367188038504</v>
      </c>
      <c r="AD2598" s="10">
        <f t="shared" si="2532"/>
        <v>7.8875701006988637</v>
      </c>
      <c r="AE2598" s="10">
        <f t="shared" si="2533"/>
        <v>0.98170799653261198</v>
      </c>
      <c r="AF2598" s="1" t="s">
        <v>2343</v>
      </c>
    </row>
    <row r="2599" spans="1:32" x14ac:dyDescent="0.2">
      <c r="A2599" s="1" t="s">
        <v>562</v>
      </c>
      <c r="B2599" s="1" t="s">
        <v>5</v>
      </c>
      <c r="C2599" s="1" t="s">
        <v>1575</v>
      </c>
      <c r="D2599" s="1" t="s">
        <v>1578</v>
      </c>
      <c r="E2599" s="1" t="s">
        <v>1591</v>
      </c>
      <c r="F2599" s="1" t="s">
        <v>563</v>
      </c>
      <c r="G2599" s="4">
        <v>1</v>
      </c>
      <c r="H2599" s="28">
        <v>41455</v>
      </c>
      <c r="I2599" s="29">
        <f t="shared" si="2524"/>
        <v>2013</v>
      </c>
      <c r="J2599" s="1" t="s">
        <v>2311</v>
      </c>
      <c r="K2599" s="1" t="s">
        <v>7</v>
      </c>
      <c r="L2599" s="11" t="str">
        <f t="shared" si="2525"/>
        <v>НЕТ</v>
      </c>
      <c r="M2599" s="10">
        <v>0</v>
      </c>
      <c r="N2599" s="10">
        <v>0</v>
      </c>
      <c r="O2599" s="10">
        <v>2.1000000000000001E-2</v>
      </c>
      <c r="P2599" s="10">
        <f t="shared" si="2522"/>
        <v>2.1000000000000001E-2</v>
      </c>
      <c r="Q2599" s="10">
        <f t="shared" si="2523"/>
        <v>1.4000000000000002E-2</v>
      </c>
      <c r="R2599" s="10" t="s">
        <v>1575</v>
      </c>
      <c r="S2599" s="10" t="s">
        <v>1575</v>
      </c>
      <c r="T2599" s="10" t="s">
        <v>1575</v>
      </c>
      <c r="U2599" s="10" t="s">
        <v>1575</v>
      </c>
      <c r="V2599" s="10">
        <v>0</v>
      </c>
      <c r="W2599" s="10">
        <f>0-0.007</f>
        <v>-7.0000000000000001E-3</v>
      </c>
      <c r="X2599" s="10">
        <f t="shared" si="2526"/>
        <v>-7.0000000000000001E-3</v>
      </c>
      <c r="Y2599" s="10" t="str">
        <f t="shared" si="2527"/>
        <v>NA</v>
      </c>
      <c r="Z2599" s="10" t="str">
        <f t="shared" si="2528"/>
        <v>NA</v>
      </c>
      <c r="AA2599" s="10" t="str">
        <f t="shared" si="2529"/>
        <v>NA</v>
      </c>
      <c r="AB2599" s="10" t="str">
        <f t="shared" si="2530"/>
        <v>NA</v>
      </c>
      <c r="AC2599" s="10" t="str">
        <f t="shared" si="2531"/>
        <v>NA</v>
      </c>
      <c r="AD2599" s="10" t="str">
        <f t="shared" si="2532"/>
        <v>NA</v>
      </c>
      <c r="AE2599" s="10">
        <f t="shared" si="2533"/>
        <v>-2.0000000000000004</v>
      </c>
      <c r="AF2599" s="1" t="s">
        <v>2341</v>
      </c>
    </row>
    <row r="2600" spans="1:32" x14ac:dyDescent="0.2">
      <c r="A2600" s="1" t="s">
        <v>564</v>
      </c>
      <c r="B2600" s="1" t="s">
        <v>5</v>
      </c>
      <c r="C2600" s="1" t="s">
        <v>1575</v>
      </c>
      <c r="D2600" s="1" t="s">
        <v>1578</v>
      </c>
      <c r="E2600" s="1" t="s">
        <v>1591</v>
      </c>
      <c r="F2600" s="1" t="s">
        <v>563</v>
      </c>
      <c r="G2600" s="4">
        <v>1</v>
      </c>
      <c r="H2600" s="28">
        <v>41639</v>
      </c>
      <c r="I2600" s="29">
        <f t="shared" si="2524"/>
        <v>2013</v>
      </c>
      <c r="J2600" s="1" t="s">
        <v>2311</v>
      </c>
      <c r="K2600" s="1" t="s">
        <v>7</v>
      </c>
      <c r="L2600" s="11" t="str">
        <f t="shared" si="2525"/>
        <v>НЕТ</v>
      </c>
      <c r="M2600" s="10">
        <v>0</v>
      </c>
      <c r="N2600" s="10">
        <v>0</v>
      </c>
      <c r="O2600" s="10">
        <v>2.8000000000000001E-2</v>
      </c>
      <c r="P2600" s="10">
        <f t="shared" si="2522"/>
        <v>2.8000000000000001E-2</v>
      </c>
      <c r="Q2600" s="10">
        <f t="shared" si="2523"/>
        <v>0.191</v>
      </c>
      <c r="R2600" s="10" t="s">
        <v>1575</v>
      </c>
      <c r="S2600" s="10" t="s">
        <v>1575</v>
      </c>
      <c r="T2600" s="10" t="s">
        <v>1575</v>
      </c>
      <c r="U2600" s="10" t="s">
        <v>1575</v>
      </c>
      <c r="V2600" s="10">
        <v>2.8000000000000001E-2</v>
      </c>
      <c r="W2600" s="10">
        <f>0.2-0.037</f>
        <v>0.16300000000000001</v>
      </c>
      <c r="X2600" s="10">
        <f t="shared" si="2526"/>
        <v>0.191</v>
      </c>
      <c r="Y2600" s="10" t="str">
        <f t="shared" si="2527"/>
        <v>NA</v>
      </c>
      <c r="Z2600" s="10" t="str">
        <f t="shared" si="2528"/>
        <v>NA</v>
      </c>
      <c r="AA2600" s="10">
        <f t="shared" si="2529"/>
        <v>1</v>
      </c>
      <c r="AB2600" s="10" t="str">
        <f t="shared" si="2530"/>
        <v>NA</v>
      </c>
      <c r="AC2600" s="10" t="str">
        <f t="shared" si="2531"/>
        <v>NA</v>
      </c>
      <c r="AD2600" s="10" t="str">
        <f t="shared" si="2532"/>
        <v>NA</v>
      </c>
      <c r="AE2600" s="10">
        <f t="shared" si="2533"/>
        <v>1</v>
      </c>
      <c r="AF2600" s="1" t="s">
        <v>2342</v>
      </c>
    </row>
    <row r="2601" spans="1:32" x14ac:dyDescent="0.2">
      <c r="A2601" s="1" t="s">
        <v>2345</v>
      </c>
      <c r="B2601" s="1" t="s">
        <v>1575</v>
      </c>
      <c r="C2601" s="1" t="s">
        <v>1575</v>
      </c>
      <c r="D2601" s="1" t="s">
        <v>1578</v>
      </c>
      <c r="E2601" s="1" t="s">
        <v>1591</v>
      </c>
      <c r="F2601" s="1" t="s">
        <v>563</v>
      </c>
      <c r="G2601" s="4">
        <v>1</v>
      </c>
      <c r="H2601" s="28">
        <v>40908</v>
      </c>
      <c r="I2601" s="29">
        <f t="shared" si="2524"/>
        <v>2011</v>
      </c>
      <c r="J2601" s="1" t="s">
        <v>2311</v>
      </c>
      <c r="K2601" s="1" t="s">
        <v>7</v>
      </c>
      <c r="L2601" s="11" t="str">
        <f t="shared" si="2525"/>
        <v>НЕТ</v>
      </c>
      <c r="M2601" s="10">
        <v>0</v>
      </c>
      <c r="N2601" s="10">
        <v>0</v>
      </c>
      <c r="O2601" s="10">
        <v>1.2999999999999999E-3</v>
      </c>
      <c r="P2601" s="10">
        <f t="shared" si="2522"/>
        <v>1.2999999999999999E-3</v>
      </c>
      <c r="Q2601" s="10" t="str">
        <f t="shared" si="2523"/>
        <v>NA</v>
      </c>
      <c r="R2601" s="10" t="s">
        <v>1575</v>
      </c>
      <c r="S2601" s="10" t="s">
        <v>1575</v>
      </c>
      <c r="T2601" s="10" t="s">
        <v>1575</v>
      </c>
      <c r="U2601" s="10" t="s">
        <v>1575</v>
      </c>
      <c r="V2601" s="10">
        <v>-1.383E-2</v>
      </c>
      <c r="W2601" s="10" t="s">
        <v>1575</v>
      </c>
      <c r="X2601" s="10" t="str">
        <f t="shared" si="2526"/>
        <v>NA</v>
      </c>
      <c r="Y2601" s="10" t="str">
        <f t="shared" si="2527"/>
        <v>NA</v>
      </c>
      <c r="Z2601" s="10" t="str">
        <f t="shared" si="2528"/>
        <v>NA</v>
      </c>
      <c r="AA2601" s="10">
        <f t="shared" si="2529"/>
        <v>-9.3998553868402016E-2</v>
      </c>
      <c r="AB2601" s="10" t="str">
        <f t="shared" si="2530"/>
        <v>NA</v>
      </c>
      <c r="AC2601" s="10" t="str">
        <f t="shared" si="2531"/>
        <v>NA</v>
      </c>
      <c r="AD2601" s="10" t="str">
        <f t="shared" si="2532"/>
        <v>NA</v>
      </c>
      <c r="AE2601" s="10" t="str">
        <f t="shared" si="2533"/>
        <v>NA</v>
      </c>
      <c r="AF2601" s="1" t="s">
        <v>2344</v>
      </c>
    </row>
    <row r="2602" spans="1:32" x14ac:dyDescent="0.2">
      <c r="A2602" s="1" t="s">
        <v>2348</v>
      </c>
      <c r="B2602" s="1" t="s">
        <v>1575</v>
      </c>
      <c r="C2602" s="1" t="s">
        <v>1575</v>
      </c>
      <c r="D2602" s="1" t="s">
        <v>1575</v>
      </c>
      <c r="E2602" s="1" t="s">
        <v>1575</v>
      </c>
      <c r="F2602" s="1" t="s">
        <v>1575</v>
      </c>
      <c r="G2602" s="4">
        <v>1</v>
      </c>
      <c r="H2602" s="28">
        <v>40633</v>
      </c>
      <c r="I2602" s="29">
        <f t="shared" si="2524"/>
        <v>2011</v>
      </c>
      <c r="J2602" s="1" t="s">
        <v>7</v>
      </c>
      <c r="K2602" s="1" t="s">
        <v>2311</v>
      </c>
      <c r="L2602" s="11" t="str">
        <f t="shared" si="2525"/>
        <v>НЕТ</v>
      </c>
      <c r="M2602" s="10">
        <v>0</v>
      </c>
      <c r="N2602" s="10">
        <v>0</v>
      </c>
      <c r="O2602" s="10" t="s">
        <v>1575</v>
      </c>
      <c r="P2602" s="10" t="str">
        <f t="shared" si="2522"/>
        <v>NA</v>
      </c>
      <c r="Q2602" s="10" t="str">
        <f t="shared" si="2523"/>
        <v>NA</v>
      </c>
      <c r="R2602" s="10" t="s">
        <v>1575</v>
      </c>
      <c r="S2602" s="10" t="s">
        <v>1575</v>
      </c>
      <c r="T2602" s="10" t="s">
        <v>1575</v>
      </c>
      <c r="U2602" s="10" t="s">
        <v>1575</v>
      </c>
      <c r="V2602" s="10">
        <v>1.1400000000000001E-4</v>
      </c>
      <c r="W2602" s="10" t="s">
        <v>1575</v>
      </c>
      <c r="X2602" s="10" t="str">
        <f t="shared" si="2526"/>
        <v>NA</v>
      </c>
      <c r="Y2602" s="10" t="str">
        <f t="shared" si="2527"/>
        <v>NA</v>
      </c>
      <c r="Z2602" s="10" t="str">
        <f t="shared" si="2528"/>
        <v>NA</v>
      </c>
      <c r="AA2602" s="10" t="str">
        <f t="shared" si="2529"/>
        <v>NA</v>
      </c>
      <c r="AB2602" s="10" t="str">
        <f t="shared" si="2530"/>
        <v>NA</v>
      </c>
      <c r="AC2602" s="10" t="str">
        <f t="shared" si="2531"/>
        <v>NA</v>
      </c>
      <c r="AD2602" s="10" t="str">
        <f t="shared" si="2532"/>
        <v>NA</v>
      </c>
      <c r="AE2602" s="10" t="str">
        <f t="shared" si="2533"/>
        <v>NA</v>
      </c>
      <c r="AF2602" s="1" t="s">
        <v>2346</v>
      </c>
    </row>
    <row r="2603" spans="1:32" x14ac:dyDescent="0.2">
      <c r="A2603" s="1" t="s">
        <v>6515</v>
      </c>
      <c r="B2603" s="1" t="s">
        <v>5</v>
      </c>
      <c r="C2603" s="1" t="s">
        <v>1575</v>
      </c>
      <c r="D2603" s="1" t="s">
        <v>1578</v>
      </c>
      <c r="E2603" s="1" t="s">
        <v>1579</v>
      </c>
      <c r="F2603" s="1" t="s">
        <v>2349</v>
      </c>
      <c r="G2603" s="4">
        <v>1</v>
      </c>
      <c r="H2603" s="28">
        <v>40786</v>
      </c>
      <c r="I2603" s="29">
        <f t="shared" si="2524"/>
        <v>2011</v>
      </c>
      <c r="J2603" s="1" t="s">
        <v>7</v>
      </c>
      <c r="K2603" s="1" t="s">
        <v>2311</v>
      </c>
      <c r="L2603" s="11" t="str">
        <f t="shared" si="2525"/>
        <v>НЕТ</v>
      </c>
      <c r="M2603" s="10">
        <v>0</v>
      </c>
      <c r="N2603" s="10">
        <v>0</v>
      </c>
      <c r="O2603" s="10">
        <v>6.6500000000000004E-2</v>
      </c>
      <c r="P2603" s="10">
        <f t="shared" si="2522"/>
        <v>6.6500000000000004E-2</v>
      </c>
      <c r="Q2603" s="10">
        <f t="shared" si="2523"/>
        <v>6.5603000000000009E-2</v>
      </c>
      <c r="R2603" s="10" t="s">
        <v>1575</v>
      </c>
      <c r="S2603" s="10" t="s">
        <v>1575</v>
      </c>
      <c r="T2603" s="10" t="s">
        <v>1575</v>
      </c>
      <c r="U2603" s="10" t="s">
        <v>1575</v>
      </c>
      <c r="V2603" s="10">
        <v>0.13814299999999999</v>
      </c>
      <c r="W2603" s="10">
        <f>0-0.000897</f>
        <v>-8.9700000000000001E-4</v>
      </c>
      <c r="X2603" s="10">
        <f t="shared" si="2526"/>
        <v>0.13724599999999998</v>
      </c>
      <c r="Y2603" s="10" t="str">
        <f t="shared" si="2527"/>
        <v>NA</v>
      </c>
      <c r="Z2603" s="10" t="str">
        <f t="shared" si="2528"/>
        <v>NA</v>
      </c>
      <c r="AA2603" s="10">
        <f t="shared" si="2529"/>
        <v>0.48138523124588295</v>
      </c>
      <c r="AB2603" s="10" t="str">
        <f t="shared" si="2530"/>
        <v>NA</v>
      </c>
      <c r="AC2603" s="10" t="str">
        <f t="shared" si="2531"/>
        <v>NA</v>
      </c>
      <c r="AD2603" s="10" t="str">
        <f t="shared" si="2532"/>
        <v>NA</v>
      </c>
      <c r="AE2603" s="10">
        <f t="shared" si="2533"/>
        <v>0.47799571572213412</v>
      </c>
      <c r="AF2603" s="1" t="s">
        <v>2347</v>
      </c>
    </row>
    <row r="2604" spans="1:32" x14ac:dyDescent="0.2">
      <c r="A2604" s="1" t="s">
        <v>6516</v>
      </c>
      <c r="B2604" s="1" t="s">
        <v>5</v>
      </c>
      <c r="C2604" s="1" t="s">
        <v>1575</v>
      </c>
      <c r="D2604" s="1" t="s">
        <v>1578</v>
      </c>
      <c r="E2604" s="1" t="s">
        <v>1579</v>
      </c>
      <c r="F2604" s="1" t="s">
        <v>2350</v>
      </c>
      <c r="G2604" s="4">
        <v>1</v>
      </c>
      <c r="H2604" s="28">
        <v>40298</v>
      </c>
      <c r="I2604" s="29">
        <f t="shared" si="2524"/>
        <v>2010</v>
      </c>
      <c r="J2604" s="1" t="s">
        <v>2311</v>
      </c>
      <c r="K2604" s="1" t="s">
        <v>7</v>
      </c>
      <c r="L2604" s="11" t="str">
        <f t="shared" si="2525"/>
        <v>НЕТ</v>
      </c>
      <c r="M2604" s="10">
        <v>0</v>
      </c>
      <c r="N2604" s="10">
        <v>0</v>
      </c>
      <c r="O2604" s="10">
        <v>0.01</v>
      </c>
      <c r="P2604" s="10">
        <f t="shared" si="2522"/>
        <v>0.01</v>
      </c>
      <c r="Q2604" s="10" t="str">
        <f t="shared" si="2523"/>
        <v>NA</v>
      </c>
      <c r="R2604" s="10" t="s">
        <v>1575</v>
      </c>
      <c r="S2604" s="10" t="s">
        <v>1575</v>
      </c>
      <c r="T2604" s="10" t="s">
        <v>1575</v>
      </c>
      <c r="U2604" s="10" t="s">
        <v>1575</v>
      </c>
      <c r="V2604" s="10">
        <v>9.8750000000000001E-3</v>
      </c>
      <c r="W2604" s="10" t="s">
        <v>1575</v>
      </c>
      <c r="X2604" s="10" t="str">
        <f t="shared" si="2526"/>
        <v>NA</v>
      </c>
      <c r="Y2604" s="10" t="str">
        <f t="shared" si="2527"/>
        <v>NA</v>
      </c>
      <c r="Z2604" s="10" t="str">
        <f t="shared" si="2528"/>
        <v>NA</v>
      </c>
      <c r="AA2604" s="10">
        <f t="shared" si="2529"/>
        <v>1.0126582278481013</v>
      </c>
      <c r="AB2604" s="10" t="str">
        <f t="shared" si="2530"/>
        <v>NA</v>
      </c>
      <c r="AC2604" s="10" t="str">
        <f t="shared" si="2531"/>
        <v>NA</v>
      </c>
      <c r="AD2604" s="10" t="str">
        <f t="shared" si="2532"/>
        <v>NA</v>
      </c>
      <c r="AE2604" s="10" t="str">
        <f t="shared" si="2533"/>
        <v>NA</v>
      </c>
      <c r="AF2604" s="1" t="s">
        <v>2351</v>
      </c>
    </row>
    <row r="2605" spans="1:32" x14ac:dyDescent="0.2">
      <c r="A2605" s="1" t="s">
        <v>565</v>
      </c>
      <c r="B2605" s="1" t="s">
        <v>5</v>
      </c>
      <c r="C2605" s="1" t="s">
        <v>1575</v>
      </c>
      <c r="D2605" s="1" t="s">
        <v>1575</v>
      </c>
      <c r="E2605" s="1" t="s">
        <v>1575</v>
      </c>
      <c r="F2605" s="1" t="s">
        <v>1575</v>
      </c>
      <c r="G2605" s="4">
        <v>1</v>
      </c>
      <c r="H2605" s="28">
        <v>39873</v>
      </c>
      <c r="I2605" s="29">
        <f t="shared" si="2524"/>
        <v>2009</v>
      </c>
      <c r="J2605" s="1" t="s">
        <v>2311</v>
      </c>
      <c r="K2605" s="1" t="s">
        <v>7</v>
      </c>
      <c r="L2605" s="11" t="str">
        <f t="shared" si="2525"/>
        <v>НЕТ</v>
      </c>
      <c r="M2605" s="10">
        <v>0</v>
      </c>
      <c r="N2605" s="10">
        <v>0</v>
      </c>
      <c r="O2605" s="10">
        <v>1.4499999999999999E-3</v>
      </c>
      <c r="P2605" s="10">
        <f t="shared" si="2522"/>
        <v>1.4499999999999999E-3</v>
      </c>
      <c r="Q2605" s="10">
        <f t="shared" si="2523"/>
        <v>1.441E-3</v>
      </c>
      <c r="R2605" s="10" t="s">
        <v>1575</v>
      </c>
      <c r="S2605" s="10" t="s">
        <v>1575</v>
      </c>
      <c r="T2605" s="10" t="s">
        <v>1575</v>
      </c>
      <c r="U2605" s="10" t="s">
        <v>1575</v>
      </c>
      <c r="V2605" s="10">
        <v>0.38703599999999999</v>
      </c>
      <c r="W2605" s="10">
        <f>0-0.000009</f>
        <v>-9.0000000000000002E-6</v>
      </c>
      <c r="X2605" s="10">
        <f t="shared" si="2526"/>
        <v>0.38702700000000001</v>
      </c>
      <c r="Y2605" s="10" t="str">
        <f t="shared" si="2527"/>
        <v>NA</v>
      </c>
      <c r="Z2605" s="10" t="str">
        <f t="shared" si="2528"/>
        <v>NA</v>
      </c>
      <c r="AA2605" s="10">
        <f t="shared" si="2529"/>
        <v>3.7464215215122104E-3</v>
      </c>
      <c r="AB2605" s="10" t="str">
        <f t="shared" si="2530"/>
        <v>NA</v>
      </c>
      <c r="AC2605" s="10" t="str">
        <f t="shared" si="2531"/>
        <v>NA</v>
      </c>
      <c r="AD2605" s="10" t="str">
        <f t="shared" si="2532"/>
        <v>NA</v>
      </c>
      <c r="AE2605" s="10">
        <f t="shared" si="2533"/>
        <v>3.7232544499479362E-3</v>
      </c>
      <c r="AF2605" s="1" t="s">
        <v>2352</v>
      </c>
    </row>
    <row r="2606" spans="1:32" x14ac:dyDescent="0.2">
      <c r="A2606" s="1" t="s">
        <v>562</v>
      </c>
      <c r="B2606" s="1" t="s">
        <v>5</v>
      </c>
      <c r="C2606" s="1" t="s">
        <v>1575</v>
      </c>
      <c r="D2606" s="1" t="s">
        <v>1578</v>
      </c>
      <c r="E2606" s="1" t="s">
        <v>1591</v>
      </c>
      <c r="F2606" s="1" t="s">
        <v>563</v>
      </c>
      <c r="G2606" s="4">
        <v>1</v>
      </c>
      <c r="H2606" s="28">
        <v>40178</v>
      </c>
      <c r="I2606" s="29">
        <f t="shared" si="2524"/>
        <v>2009</v>
      </c>
      <c r="J2606" s="1" t="s">
        <v>7</v>
      </c>
      <c r="K2606" s="1" t="s">
        <v>2311</v>
      </c>
      <c r="L2606" s="11" t="str">
        <f t="shared" si="2525"/>
        <v>НЕТ</v>
      </c>
      <c r="M2606" s="10">
        <v>0</v>
      </c>
      <c r="N2606" s="10">
        <v>0</v>
      </c>
      <c r="O2606" s="10">
        <v>5.04E-2</v>
      </c>
      <c r="P2606" s="10">
        <f t="shared" si="2522"/>
        <v>5.04E-2</v>
      </c>
      <c r="Q2606" s="10" t="str">
        <f t="shared" si="2523"/>
        <v>NA</v>
      </c>
      <c r="R2606" s="10" t="s">
        <v>1575</v>
      </c>
      <c r="S2606" s="10" t="s">
        <v>1575</v>
      </c>
      <c r="T2606" s="10" t="s">
        <v>1575</v>
      </c>
      <c r="U2606" s="10" t="s">
        <v>1575</v>
      </c>
      <c r="V2606" s="10" t="s">
        <v>1575</v>
      </c>
      <c r="W2606" s="10" t="s">
        <v>1575</v>
      </c>
      <c r="X2606" s="10" t="str">
        <f t="shared" si="2526"/>
        <v>NA</v>
      </c>
      <c r="Y2606" s="10" t="str">
        <f t="shared" si="2527"/>
        <v>NA</v>
      </c>
      <c r="Z2606" s="10" t="str">
        <f t="shared" si="2528"/>
        <v>NA</v>
      </c>
      <c r="AA2606" s="10" t="str">
        <f t="shared" si="2529"/>
        <v>NA</v>
      </c>
      <c r="AB2606" s="10" t="str">
        <f t="shared" si="2530"/>
        <v>NA</v>
      </c>
      <c r="AC2606" s="10" t="str">
        <f t="shared" si="2531"/>
        <v>NA</v>
      </c>
      <c r="AD2606" s="10" t="str">
        <f t="shared" si="2532"/>
        <v>NA</v>
      </c>
      <c r="AE2606" s="10" t="str">
        <f t="shared" si="2533"/>
        <v>NA</v>
      </c>
      <c r="AF2606" s="1" t="s">
        <v>2353</v>
      </c>
    </row>
    <row r="2607" spans="1:32" x14ac:dyDescent="0.2">
      <c r="A2607" s="1" t="s">
        <v>6517</v>
      </c>
      <c r="B2607" s="1" t="s">
        <v>5</v>
      </c>
      <c r="C2607" s="1" t="s">
        <v>1575</v>
      </c>
      <c r="D2607" s="1" t="s">
        <v>1575</v>
      </c>
      <c r="E2607" s="1" t="s">
        <v>1575</v>
      </c>
      <c r="F2607" s="1" t="s">
        <v>1575</v>
      </c>
      <c r="G2607" s="4">
        <v>0.73</v>
      </c>
      <c r="H2607" s="28">
        <v>40178</v>
      </c>
      <c r="I2607" s="29">
        <f t="shared" si="2524"/>
        <v>2009</v>
      </c>
      <c r="J2607" s="1" t="s">
        <v>7</v>
      </c>
      <c r="K2607" s="1" t="s">
        <v>2311</v>
      </c>
      <c r="L2607" s="11" t="str">
        <f t="shared" si="2525"/>
        <v>НЕТ</v>
      </c>
      <c r="M2607" s="10">
        <v>0</v>
      </c>
      <c r="N2607" s="10">
        <v>0</v>
      </c>
      <c r="O2607" s="10">
        <v>7.0328000000000002E-2</v>
      </c>
      <c r="P2607" s="10">
        <f t="shared" si="2522"/>
        <v>9.6339726027397266E-2</v>
      </c>
      <c r="Q2607" s="10" t="str">
        <f t="shared" si="2523"/>
        <v>NA</v>
      </c>
      <c r="R2607" s="10" t="s">
        <v>1575</v>
      </c>
      <c r="S2607" s="10" t="s">
        <v>1575</v>
      </c>
      <c r="T2607" s="10" t="s">
        <v>1575</v>
      </c>
      <c r="U2607" s="10" t="s">
        <v>1575</v>
      </c>
      <c r="V2607" s="10">
        <v>9.0703000000000006E-2</v>
      </c>
      <c r="W2607" s="10" t="s">
        <v>1575</v>
      </c>
      <c r="X2607" s="10" t="str">
        <f t="shared" si="2526"/>
        <v>NA</v>
      </c>
      <c r="Y2607" s="10" t="str">
        <f t="shared" si="2527"/>
        <v>NA</v>
      </c>
      <c r="Z2607" s="10" t="str">
        <f t="shared" si="2528"/>
        <v>NA</v>
      </c>
      <c r="AA2607" s="10">
        <f t="shared" si="2529"/>
        <v>1.0621448687187554</v>
      </c>
      <c r="AB2607" s="10" t="str">
        <f t="shared" si="2530"/>
        <v>NA</v>
      </c>
      <c r="AC2607" s="10" t="str">
        <f t="shared" si="2531"/>
        <v>NA</v>
      </c>
      <c r="AD2607" s="10" t="str">
        <f t="shared" si="2532"/>
        <v>NA</v>
      </c>
      <c r="AE2607" s="10" t="str">
        <f t="shared" si="2533"/>
        <v>NA</v>
      </c>
      <c r="AF2607" s="1" t="s">
        <v>2353</v>
      </c>
    </row>
    <row r="2608" spans="1:32" x14ac:dyDescent="0.2">
      <c r="A2608" s="1" t="s">
        <v>6518</v>
      </c>
      <c r="B2608" s="1" t="s">
        <v>5</v>
      </c>
      <c r="C2608" s="1" t="s">
        <v>1575</v>
      </c>
      <c r="D2608" s="1" t="s">
        <v>1578</v>
      </c>
      <c r="E2608" s="1" t="s">
        <v>1591</v>
      </c>
      <c r="F2608" s="1" t="s">
        <v>2319</v>
      </c>
      <c r="G2608" s="4">
        <v>0.1</v>
      </c>
      <c r="H2608" s="28">
        <v>39994</v>
      </c>
      <c r="I2608" s="29">
        <f t="shared" si="2524"/>
        <v>2009</v>
      </c>
      <c r="J2608" s="1" t="s">
        <v>7</v>
      </c>
      <c r="K2608" s="1" t="s">
        <v>2311</v>
      </c>
      <c r="L2608" s="11" t="str">
        <f t="shared" si="2525"/>
        <v>НЕТ</v>
      </c>
      <c r="M2608" s="10">
        <v>0</v>
      </c>
      <c r="N2608" s="10">
        <v>0</v>
      </c>
      <c r="O2608" s="10">
        <v>3.7234000000000003E-2</v>
      </c>
      <c r="P2608" s="10">
        <f t="shared" si="2522"/>
        <v>0.37234</v>
      </c>
      <c r="Q2608" s="10" t="str">
        <f t="shared" si="2523"/>
        <v>NA</v>
      </c>
      <c r="R2608" s="10" t="s">
        <v>1575</v>
      </c>
      <c r="S2608" s="10" t="s">
        <v>1575</v>
      </c>
      <c r="T2608" s="10" t="s">
        <v>1575</v>
      </c>
      <c r="U2608" s="10" t="s">
        <v>1575</v>
      </c>
      <c r="V2608" s="10" t="s">
        <v>1575</v>
      </c>
      <c r="W2608" s="10" t="s">
        <v>1575</v>
      </c>
      <c r="X2608" s="10" t="str">
        <f t="shared" si="2526"/>
        <v>NA</v>
      </c>
      <c r="Y2608" s="10" t="str">
        <f t="shared" si="2527"/>
        <v>NA</v>
      </c>
      <c r="Z2608" s="10" t="str">
        <f t="shared" si="2528"/>
        <v>NA</v>
      </c>
      <c r="AA2608" s="10" t="str">
        <f t="shared" si="2529"/>
        <v>NA</v>
      </c>
      <c r="AB2608" s="10" t="str">
        <f t="shared" si="2530"/>
        <v>NA</v>
      </c>
      <c r="AC2608" s="10" t="str">
        <f t="shared" si="2531"/>
        <v>NA</v>
      </c>
      <c r="AD2608" s="10" t="str">
        <f t="shared" si="2532"/>
        <v>NA</v>
      </c>
      <c r="AE2608" s="10" t="str">
        <f t="shared" si="2533"/>
        <v>NA</v>
      </c>
      <c r="AF2608" s="1" t="s">
        <v>2355</v>
      </c>
    </row>
    <row r="2609" spans="1:32" x14ac:dyDescent="0.2">
      <c r="A2609" s="1" t="s">
        <v>6519</v>
      </c>
      <c r="B2609" s="1" t="s">
        <v>5</v>
      </c>
      <c r="C2609" s="1" t="s">
        <v>1575</v>
      </c>
      <c r="D2609" s="1" t="s">
        <v>1578</v>
      </c>
      <c r="E2609" s="1" t="s">
        <v>9259</v>
      </c>
      <c r="F2609" s="1" t="s">
        <v>2356</v>
      </c>
      <c r="G2609" s="4">
        <v>4.8000000000000001E-2</v>
      </c>
      <c r="H2609" s="28">
        <v>39994</v>
      </c>
      <c r="I2609" s="29">
        <f t="shared" si="2524"/>
        <v>2009</v>
      </c>
      <c r="J2609" s="1" t="s">
        <v>7</v>
      </c>
      <c r="K2609" s="1" t="s">
        <v>2311</v>
      </c>
      <c r="L2609" s="11" t="str">
        <f t="shared" si="2525"/>
        <v>НЕТ</v>
      </c>
      <c r="M2609" s="10">
        <v>0</v>
      </c>
      <c r="N2609" s="10">
        <v>0</v>
      </c>
      <c r="O2609" s="10">
        <v>5.9899999999999997E-3</v>
      </c>
      <c r="P2609" s="10">
        <f t="shared" si="2522"/>
        <v>0.12479166666666666</v>
      </c>
      <c r="Q2609" s="10" t="str">
        <f t="shared" si="2523"/>
        <v>NA</v>
      </c>
      <c r="R2609" s="10" t="s">
        <v>1575</v>
      </c>
      <c r="S2609" s="10" t="s">
        <v>1575</v>
      </c>
      <c r="T2609" s="10" t="s">
        <v>1575</v>
      </c>
      <c r="U2609" s="10" t="s">
        <v>1575</v>
      </c>
      <c r="V2609" s="10" t="s">
        <v>1575</v>
      </c>
      <c r="W2609" s="10" t="s">
        <v>1575</v>
      </c>
      <c r="X2609" s="10" t="str">
        <f t="shared" si="2526"/>
        <v>NA</v>
      </c>
      <c r="Y2609" s="10" t="str">
        <f t="shared" si="2527"/>
        <v>NA</v>
      </c>
      <c r="Z2609" s="10" t="str">
        <f t="shared" si="2528"/>
        <v>NA</v>
      </c>
      <c r="AA2609" s="10" t="str">
        <f t="shared" si="2529"/>
        <v>NA</v>
      </c>
      <c r="AB2609" s="10" t="str">
        <f t="shared" si="2530"/>
        <v>NA</v>
      </c>
      <c r="AC2609" s="10" t="str">
        <f t="shared" si="2531"/>
        <v>NA</v>
      </c>
      <c r="AD2609" s="10" t="str">
        <f t="shared" si="2532"/>
        <v>NA</v>
      </c>
      <c r="AE2609" s="10" t="str">
        <f t="shared" si="2533"/>
        <v>NA</v>
      </c>
      <c r="AF2609" s="1" t="s">
        <v>2355</v>
      </c>
    </row>
    <row r="2610" spans="1:32" x14ac:dyDescent="0.2">
      <c r="A2610" s="1" t="s">
        <v>6520</v>
      </c>
      <c r="B2610" s="1" t="s">
        <v>5</v>
      </c>
      <c r="C2610" s="1" t="s">
        <v>1575</v>
      </c>
      <c r="D2610" s="1" t="s">
        <v>1575</v>
      </c>
      <c r="E2610" s="1" t="s">
        <v>1575</v>
      </c>
      <c r="F2610" s="1" t="s">
        <v>1575</v>
      </c>
      <c r="G2610" s="4">
        <v>1</v>
      </c>
      <c r="H2610" s="28">
        <v>39965</v>
      </c>
      <c r="I2610" s="29">
        <f t="shared" si="2524"/>
        <v>2009</v>
      </c>
      <c r="J2610" s="1" t="s">
        <v>7</v>
      </c>
      <c r="K2610" s="1" t="s">
        <v>2311</v>
      </c>
      <c r="L2610" s="11" t="str">
        <f t="shared" si="2525"/>
        <v>НЕТ</v>
      </c>
      <c r="M2610" s="10">
        <v>0</v>
      </c>
      <c r="N2610" s="10">
        <v>0</v>
      </c>
      <c r="O2610" s="10">
        <v>0.01</v>
      </c>
      <c r="P2610" s="10">
        <f t="shared" si="2522"/>
        <v>0.01</v>
      </c>
      <c r="Q2610" s="10" t="str">
        <f t="shared" si="2523"/>
        <v>NA</v>
      </c>
      <c r="R2610" s="10" t="s">
        <v>1575</v>
      </c>
      <c r="S2610" s="10" t="s">
        <v>1575</v>
      </c>
      <c r="T2610" s="10" t="s">
        <v>1575</v>
      </c>
      <c r="U2610" s="10" t="s">
        <v>1575</v>
      </c>
      <c r="V2610" s="10">
        <f>-0.028029-0.017232</f>
        <v>-4.5260999999999996E-2</v>
      </c>
      <c r="W2610" s="10" t="s">
        <v>1575</v>
      </c>
      <c r="X2610" s="10" t="str">
        <f t="shared" si="2526"/>
        <v>NA</v>
      </c>
      <c r="Y2610" s="10" t="str">
        <f t="shared" si="2527"/>
        <v>NA</v>
      </c>
      <c r="Z2610" s="10" t="str">
        <f t="shared" si="2528"/>
        <v>NA</v>
      </c>
      <c r="AA2610" s="10">
        <f t="shared" si="2529"/>
        <v>-0.22094076578069421</v>
      </c>
      <c r="AB2610" s="10" t="str">
        <f t="shared" si="2530"/>
        <v>NA</v>
      </c>
      <c r="AC2610" s="10" t="str">
        <f t="shared" si="2531"/>
        <v>NA</v>
      </c>
      <c r="AD2610" s="10" t="str">
        <f t="shared" si="2532"/>
        <v>NA</v>
      </c>
      <c r="AE2610" s="10" t="str">
        <f t="shared" si="2533"/>
        <v>NA</v>
      </c>
      <c r="AF2610" s="1" t="s">
        <v>2354</v>
      </c>
    </row>
    <row r="2611" spans="1:32" x14ac:dyDescent="0.2">
      <c r="A2611" s="1" t="s">
        <v>6521</v>
      </c>
      <c r="B2611" s="1" t="s">
        <v>5</v>
      </c>
      <c r="C2611" s="1" t="s">
        <v>1575</v>
      </c>
      <c r="D2611" s="1" t="s">
        <v>1578</v>
      </c>
      <c r="E2611" s="1" t="s">
        <v>1599</v>
      </c>
      <c r="F2611" s="1" t="s">
        <v>551</v>
      </c>
      <c r="G2611" s="4">
        <v>1</v>
      </c>
      <c r="H2611" s="28">
        <v>44599</v>
      </c>
      <c r="I2611" s="29">
        <f t="shared" si="2524"/>
        <v>2022</v>
      </c>
      <c r="J2611" s="1" t="s">
        <v>2359</v>
      </c>
      <c r="K2611" s="1" t="s">
        <v>7</v>
      </c>
      <c r="L2611" s="11" t="str">
        <f t="shared" si="2525"/>
        <v>НЕТ</v>
      </c>
      <c r="M2611" s="10">
        <v>0</v>
      </c>
      <c r="N2611" s="10">
        <v>0</v>
      </c>
      <c r="O2611" s="10">
        <v>9.9900000000000006E-3</v>
      </c>
      <c r="P2611" s="10">
        <f t="shared" si="2522"/>
        <v>9.9900000000000006E-3</v>
      </c>
      <c r="Q2611" s="10">
        <f t="shared" si="2523"/>
        <v>0.13218400000000002</v>
      </c>
      <c r="R2611" s="10" t="s">
        <v>1575</v>
      </c>
      <c r="S2611" s="10" t="s">
        <v>1575</v>
      </c>
      <c r="T2611" s="10" t="s">
        <v>1575</v>
      </c>
      <c r="U2611" s="10" t="s">
        <v>1575</v>
      </c>
      <c r="V2611" s="10">
        <v>-8.0099000000000004E-2</v>
      </c>
      <c r="W2611" s="10">
        <f>0.126036-0.003842</f>
        <v>0.12219400000000001</v>
      </c>
      <c r="X2611" s="10">
        <f t="shared" si="2526"/>
        <v>4.2095000000000007E-2</v>
      </c>
      <c r="Y2611" s="10" t="str">
        <f t="shared" si="2527"/>
        <v>NA</v>
      </c>
      <c r="Z2611" s="10" t="str">
        <f t="shared" si="2528"/>
        <v>NA</v>
      </c>
      <c r="AA2611" s="10">
        <f t="shared" si="2529"/>
        <v>-0.12472065818549545</v>
      </c>
      <c r="AB2611" s="10" t="str">
        <f t="shared" si="2530"/>
        <v>NA</v>
      </c>
      <c r="AC2611" s="10" t="str">
        <f t="shared" si="2531"/>
        <v>NA</v>
      </c>
      <c r="AD2611" s="10" t="str">
        <f t="shared" si="2532"/>
        <v>NA</v>
      </c>
      <c r="AE2611" s="10">
        <f t="shared" si="2533"/>
        <v>3.1401354080057016</v>
      </c>
      <c r="AF2611" s="1" t="s">
        <v>2365</v>
      </c>
    </row>
    <row r="2612" spans="1:32" x14ac:dyDescent="0.2">
      <c r="A2612" s="1" t="s">
        <v>6522</v>
      </c>
      <c r="B2612" s="1" t="s">
        <v>5</v>
      </c>
      <c r="C2612" s="1" t="s">
        <v>1575</v>
      </c>
      <c r="D2612" s="1" t="s">
        <v>1578</v>
      </c>
      <c r="E2612" s="1" t="s">
        <v>1591</v>
      </c>
      <c r="F2612" s="1" t="s">
        <v>2367</v>
      </c>
      <c r="G2612" s="4">
        <v>1</v>
      </c>
      <c r="H2612" s="28">
        <v>44147</v>
      </c>
      <c r="I2612" s="29">
        <f t="shared" si="2524"/>
        <v>2020</v>
      </c>
      <c r="J2612" s="1" t="s">
        <v>2359</v>
      </c>
      <c r="K2612" s="1" t="s">
        <v>7</v>
      </c>
      <c r="L2612" s="11" t="str">
        <f t="shared" si="2525"/>
        <v>НЕТ</v>
      </c>
      <c r="M2612" s="10">
        <v>0</v>
      </c>
      <c r="N2612" s="10">
        <v>0</v>
      </c>
      <c r="O2612" s="10">
        <v>1.090873</v>
      </c>
      <c r="P2612" s="10">
        <f t="shared" si="2522"/>
        <v>1.090873</v>
      </c>
      <c r="Q2612" s="10">
        <f t="shared" si="2523"/>
        <v>2.9720680000000002</v>
      </c>
      <c r="R2612" s="10" t="s">
        <v>1575</v>
      </c>
      <c r="S2612" s="10" t="s">
        <v>1575</v>
      </c>
      <c r="T2612" s="10" t="s">
        <v>1575</v>
      </c>
      <c r="U2612" s="10" t="s">
        <v>1575</v>
      </c>
      <c r="V2612" s="10">
        <f>1.63774-0.550045</f>
        <v>1.0876950000000001</v>
      </c>
      <c r="W2612" s="10">
        <f>(0.253679-0.015983)+(1.693845-0.050346)</f>
        <v>1.881195</v>
      </c>
      <c r="X2612" s="10">
        <f t="shared" si="2526"/>
        <v>2.96889</v>
      </c>
      <c r="Y2612" s="10" t="str">
        <f t="shared" si="2527"/>
        <v>NA</v>
      </c>
      <c r="Z2612" s="10" t="str">
        <f t="shared" si="2528"/>
        <v>NA</v>
      </c>
      <c r="AA2612" s="10">
        <f t="shared" si="2529"/>
        <v>1.0029217749461015</v>
      </c>
      <c r="AB2612" s="10" t="str">
        <f t="shared" si="2530"/>
        <v>NA</v>
      </c>
      <c r="AC2612" s="10" t="str">
        <f t="shared" si="2531"/>
        <v>NA</v>
      </c>
      <c r="AD2612" s="10" t="str">
        <f t="shared" si="2532"/>
        <v>NA</v>
      </c>
      <c r="AE2612" s="10">
        <f t="shared" si="2533"/>
        <v>1.0010704337311251</v>
      </c>
      <c r="AF2612" s="1" t="s">
        <v>2368</v>
      </c>
    </row>
    <row r="2613" spans="1:32" x14ac:dyDescent="0.2">
      <c r="A2613" s="1" t="s">
        <v>6523</v>
      </c>
      <c r="B2613" s="1" t="s">
        <v>5</v>
      </c>
      <c r="C2613" s="1" t="s">
        <v>1575</v>
      </c>
      <c r="D2613" s="1" t="s">
        <v>1578</v>
      </c>
      <c r="E2613" s="1" t="s">
        <v>1591</v>
      </c>
      <c r="F2613" s="1" t="s">
        <v>2361</v>
      </c>
      <c r="G2613" s="4">
        <v>1</v>
      </c>
      <c r="H2613" s="28">
        <v>44187</v>
      </c>
      <c r="I2613" s="29">
        <f t="shared" si="2524"/>
        <v>2020</v>
      </c>
      <c r="J2613" s="1" t="s">
        <v>2359</v>
      </c>
      <c r="K2613" s="1" t="s">
        <v>7</v>
      </c>
      <c r="L2613" s="11" t="str">
        <f t="shared" si="2525"/>
        <v>НЕТ</v>
      </c>
      <c r="M2613" s="10">
        <v>0</v>
      </c>
      <c r="N2613" s="10">
        <v>0</v>
      </c>
      <c r="O2613" s="10">
        <v>0.87500999999999995</v>
      </c>
      <c r="P2613" s="10">
        <f t="shared" si="2522"/>
        <v>0.87500999999999995</v>
      </c>
      <c r="Q2613" s="10">
        <f t="shared" si="2523"/>
        <v>0.8762049999999999</v>
      </c>
      <c r="R2613" s="10" t="s">
        <v>1575</v>
      </c>
      <c r="S2613" s="10" t="s">
        <v>1575</v>
      </c>
      <c r="T2613" s="10" t="s">
        <v>1575</v>
      </c>
      <c r="U2613" s="10" t="s">
        <v>1575</v>
      </c>
      <c r="V2613" s="10">
        <v>0.87500999999999995</v>
      </c>
      <c r="W2613" s="10">
        <f>0.0012-0.000005</f>
        <v>1.1949999999999999E-3</v>
      </c>
      <c r="X2613" s="10">
        <f t="shared" si="2526"/>
        <v>0.8762049999999999</v>
      </c>
      <c r="Y2613" s="10" t="str">
        <f t="shared" si="2527"/>
        <v>NA</v>
      </c>
      <c r="Z2613" s="10" t="str">
        <f t="shared" si="2528"/>
        <v>NA</v>
      </c>
      <c r="AA2613" s="10">
        <f t="shared" si="2529"/>
        <v>1</v>
      </c>
      <c r="AB2613" s="10" t="str">
        <f t="shared" si="2530"/>
        <v>NA</v>
      </c>
      <c r="AC2613" s="10" t="str">
        <f t="shared" si="2531"/>
        <v>NA</v>
      </c>
      <c r="AD2613" s="10" t="str">
        <f t="shared" si="2532"/>
        <v>NA</v>
      </c>
      <c r="AE2613" s="10">
        <f t="shared" si="2533"/>
        <v>1</v>
      </c>
      <c r="AF2613" s="1" t="s">
        <v>2369</v>
      </c>
    </row>
    <row r="2614" spans="1:32" x14ac:dyDescent="0.2">
      <c r="A2614" s="1" t="s">
        <v>2372</v>
      </c>
      <c r="B2614" s="1" t="s">
        <v>5</v>
      </c>
      <c r="C2614" s="1" t="s">
        <v>1575</v>
      </c>
      <c r="D2614" s="1" t="s">
        <v>1578</v>
      </c>
      <c r="E2614" s="1" t="s">
        <v>1591</v>
      </c>
      <c r="F2614" s="1" t="s">
        <v>2370</v>
      </c>
      <c r="G2614" s="4">
        <v>1</v>
      </c>
      <c r="H2614" s="28">
        <v>43194</v>
      </c>
      <c r="I2614" s="29">
        <f t="shared" si="2524"/>
        <v>2018</v>
      </c>
      <c r="J2614" s="1" t="s">
        <v>2359</v>
      </c>
      <c r="K2614" s="1" t="s">
        <v>7</v>
      </c>
      <c r="L2614" s="11" t="str">
        <f t="shared" si="2525"/>
        <v>НЕТ</v>
      </c>
      <c r="M2614" s="10">
        <v>0</v>
      </c>
      <c r="N2614" s="10">
        <v>0</v>
      </c>
      <c r="O2614" s="10" t="s">
        <v>1575</v>
      </c>
      <c r="P2614" s="10" t="str">
        <f t="shared" si="2522"/>
        <v>NA</v>
      </c>
      <c r="Q2614" s="10" t="str">
        <f t="shared" si="2523"/>
        <v>NA</v>
      </c>
      <c r="R2614" s="10" t="s">
        <v>1575</v>
      </c>
      <c r="S2614" s="10" t="s">
        <v>1575</v>
      </c>
      <c r="T2614" s="10" t="s">
        <v>1575</v>
      </c>
      <c r="U2614" s="10" t="s">
        <v>1575</v>
      </c>
      <c r="V2614" s="10" t="s">
        <v>1575</v>
      </c>
      <c r="W2614" s="10" t="s">
        <v>1575</v>
      </c>
      <c r="X2614" s="10" t="str">
        <f t="shared" si="2526"/>
        <v>NA</v>
      </c>
      <c r="Y2614" s="10" t="str">
        <f t="shared" si="2527"/>
        <v>NA</v>
      </c>
      <c r="Z2614" s="10" t="str">
        <f t="shared" si="2528"/>
        <v>NA</v>
      </c>
      <c r="AA2614" s="10" t="str">
        <f t="shared" si="2529"/>
        <v>NA</v>
      </c>
      <c r="AB2614" s="10" t="str">
        <f t="shared" si="2530"/>
        <v>NA</v>
      </c>
      <c r="AC2614" s="10" t="str">
        <f t="shared" si="2531"/>
        <v>NA</v>
      </c>
      <c r="AD2614" s="10" t="str">
        <f t="shared" si="2532"/>
        <v>NA</v>
      </c>
      <c r="AE2614" s="10" t="str">
        <f t="shared" si="2533"/>
        <v>NA</v>
      </c>
      <c r="AF2614" s="1" t="s">
        <v>2371</v>
      </c>
    </row>
    <row r="2615" spans="1:32" x14ac:dyDescent="0.2">
      <c r="A2615" s="1" t="s">
        <v>2364</v>
      </c>
      <c r="B2615" s="1" t="s">
        <v>5</v>
      </c>
      <c r="C2615" s="1" t="s">
        <v>1575</v>
      </c>
      <c r="D2615" s="1" t="s">
        <v>1582</v>
      </c>
      <c r="E2615" s="1" t="s">
        <v>2162</v>
      </c>
      <c r="F2615" s="1" t="s">
        <v>2366</v>
      </c>
      <c r="G2615" s="4">
        <v>0.5</v>
      </c>
      <c r="H2615" s="28">
        <v>42710</v>
      </c>
      <c r="I2615" s="29">
        <f t="shared" si="2524"/>
        <v>2016</v>
      </c>
      <c r="J2615" s="1" t="s">
        <v>7</v>
      </c>
      <c r="K2615" s="1" t="s">
        <v>2359</v>
      </c>
      <c r="L2615" s="11" t="str">
        <f t="shared" si="2525"/>
        <v>НЕТ</v>
      </c>
      <c r="M2615" s="10">
        <v>0</v>
      </c>
      <c r="N2615" s="10">
        <v>0</v>
      </c>
      <c r="O2615" s="10" t="s">
        <v>1575</v>
      </c>
      <c r="P2615" s="10" t="str">
        <f t="shared" si="2522"/>
        <v>NA</v>
      </c>
      <c r="Q2615" s="10" t="str">
        <f t="shared" si="2523"/>
        <v>NA</v>
      </c>
      <c r="R2615" s="10">
        <v>0</v>
      </c>
      <c r="S2615" s="10" t="s">
        <v>1575</v>
      </c>
      <c r="T2615" s="10" t="s">
        <v>1575</v>
      </c>
      <c r="U2615" s="10">
        <v>-9.77E-4</v>
      </c>
      <c r="V2615" s="10">
        <f>0.000042-0.002972</f>
        <v>-2.9299999999999999E-3</v>
      </c>
      <c r="W2615" s="10" t="s">
        <v>1575</v>
      </c>
      <c r="X2615" s="10" t="str">
        <f t="shared" si="2526"/>
        <v>NA</v>
      </c>
      <c r="Y2615" s="10" t="str">
        <f t="shared" si="2527"/>
        <v>NA</v>
      </c>
      <c r="Z2615" s="10" t="str">
        <f t="shared" si="2528"/>
        <v>NA</v>
      </c>
      <c r="AA2615" s="10" t="str">
        <f t="shared" si="2529"/>
        <v>NA</v>
      </c>
      <c r="AB2615" s="10" t="str">
        <f t="shared" si="2530"/>
        <v>NA</v>
      </c>
      <c r="AC2615" s="10" t="str">
        <f t="shared" si="2531"/>
        <v>NA</v>
      </c>
      <c r="AD2615" s="10" t="str">
        <f t="shared" si="2532"/>
        <v>NA</v>
      </c>
      <c r="AE2615" s="10" t="str">
        <f t="shared" si="2533"/>
        <v>NA</v>
      </c>
      <c r="AF2615" s="1" t="s">
        <v>2363</v>
      </c>
    </row>
    <row r="2616" spans="1:32" x14ac:dyDescent="0.2">
      <c r="A2616" s="1" t="s">
        <v>2358</v>
      </c>
      <c r="B2616" s="1" t="s">
        <v>5</v>
      </c>
      <c r="C2616" s="1" t="s">
        <v>1575</v>
      </c>
      <c r="D2616" s="1" t="s">
        <v>1578</v>
      </c>
      <c r="E2616" s="1" t="s">
        <v>1591</v>
      </c>
      <c r="F2616" s="1" t="s">
        <v>2361</v>
      </c>
      <c r="G2616" s="4">
        <v>1</v>
      </c>
      <c r="H2616" s="28">
        <v>42352</v>
      </c>
      <c r="I2616" s="29">
        <f t="shared" si="2524"/>
        <v>2015</v>
      </c>
      <c r="J2616" s="1" t="s">
        <v>2360</v>
      </c>
      <c r="K2616" s="1" t="s">
        <v>7</v>
      </c>
      <c r="L2616" s="11" t="str">
        <f t="shared" si="2525"/>
        <v>НЕТ</v>
      </c>
      <c r="M2616" s="10">
        <v>9.7910000000000004</v>
      </c>
      <c r="N2616" s="10">
        <v>0</v>
      </c>
      <c r="O2616" s="10">
        <f>M2616*72.88/1000</f>
        <v>0.71356808000000005</v>
      </c>
      <c r="P2616" s="10">
        <f t="shared" si="2522"/>
        <v>0.71356808000000005</v>
      </c>
      <c r="Q2616" s="10">
        <f t="shared" si="2523"/>
        <v>0.7058428000000001</v>
      </c>
      <c r="R2616" s="10" t="s">
        <v>1575</v>
      </c>
      <c r="S2616" s="10" t="s">
        <v>1575</v>
      </c>
      <c r="T2616" s="10" t="s">
        <v>1575</v>
      </c>
      <c r="U2616" s="10" t="s">
        <v>1575</v>
      </c>
      <c r="V2616" s="10">
        <f>9.498*72.88/1000</f>
        <v>0.69221423999999987</v>
      </c>
      <c r="W2616" s="10">
        <f>(0.007-0.113)*72.88/1000</f>
        <v>-7.7252799999999993E-3</v>
      </c>
      <c r="X2616" s="10">
        <f t="shared" si="2526"/>
        <v>0.68448895999999992</v>
      </c>
      <c r="Y2616" s="10" t="str">
        <f t="shared" si="2527"/>
        <v>NA</v>
      </c>
      <c r="Z2616" s="10" t="str">
        <f t="shared" si="2528"/>
        <v>NA</v>
      </c>
      <c r="AA2616" s="10">
        <f t="shared" si="2529"/>
        <v>1.0308485997052013</v>
      </c>
      <c r="AB2616" s="10" t="str">
        <f t="shared" si="2530"/>
        <v>NA</v>
      </c>
      <c r="AC2616" s="10" t="str">
        <f t="shared" si="2531"/>
        <v>NA</v>
      </c>
      <c r="AD2616" s="10" t="str">
        <f t="shared" si="2532"/>
        <v>NA</v>
      </c>
      <c r="AE2616" s="10">
        <f t="shared" si="2533"/>
        <v>1.0311967632027259</v>
      </c>
      <c r="AF2616" s="1" t="s">
        <v>2357</v>
      </c>
    </row>
    <row r="2617" spans="1:32" x14ac:dyDescent="0.2">
      <c r="A2617" s="1" t="s">
        <v>6524</v>
      </c>
      <c r="B2617" s="1" t="s">
        <v>5</v>
      </c>
      <c r="C2617" s="1" t="s">
        <v>1575</v>
      </c>
      <c r="D2617" s="1" t="s">
        <v>1578</v>
      </c>
      <c r="E2617" s="1" t="s">
        <v>1591</v>
      </c>
      <c r="F2617" s="1" t="s">
        <v>2375</v>
      </c>
      <c r="G2617" s="4">
        <v>0.51</v>
      </c>
      <c r="H2617" s="28">
        <v>42138</v>
      </c>
      <c r="I2617" s="29">
        <f t="shared" si="2524"/>
        <v>2015</v>
      </c>
      <c r="J2617" s="1" t="s">
        <v>2359</v>
      </c>
      <c r="K2617" s="1" t="s">
        <v>7</v>
      </c>
      <c r="L2617" s="11" t="str">
        <f t="shared" si="2525"/>
        <v>НЕТ</v>
      </c>
      <c r="M2617" s="10">
        <v>1.0089999999999999</v>
      </c>
      <c r="N2617" s="10">
        <v>0</v>
      </c>
      <c r="O2617" s="10">
        <f>M2617*55.524/1000</f>
        <v>5.6023715999999994E-2</v>
      </c>
      <c r="P2617" s="10">
        <f t="shared" si="2522"/>
        <v>0.10985042352941175</v>
      </c>
      <c r="Q2617" s="10">
        <f t="shared" si="2523"/>
        <v>0.18325315152941174</v>
      </c>
      <c r="R2617" s="10">
        <f>0.284*61.32/1000</f>
        <v>1.7414880000000001E-2</v>
      </c>
      <c r="S2617" s="10" t="s">
        <v>1575</v>
      </c>
      <c r="T2617" s="10" t="s">
        <v>1575</v>
      </c>
      <c r="U2617" s="10">
        <f>0.119*61.32/1000</f>
        <v>7.2970799999999992E-3</v>
      </c>
      <c r="V2617" s="10">
        <f>3.606*55.524/1000</f>
        <v>0.20021954399999997</v>
      </c>
      <c r="W2617" s="10">
        <f>(0.991+0.345-0.014)*55.524/1000</f>
        <v>7.3402728E-2</v>
      </c>
      <c r="X2617" s="10">
        <f t="shared" si="2526"/>
        <v>0.273622272</v>
      </c>
      <c r="Y2617" s="10">
        <f t="shared" si="2527"/>
        <v>6.3078484336045815</v>
      </c>
      <c r="Z2617" s="10">
        <f t="shared" si="2528"/>
        <v>15.054024833140348</v>
      </c>
      <c r="AA2617" s="10">
        <f t="shared" si="2529"/>
        <v>0.54864985372962272</v>
      </c>
      <c r="AB2617" s="10">
        <f t="shared" si="2530"/>
        <v>10.522791516761053</v>
      </c>
      <c r="AC2617" s="10" t="str">
        <f t="shared" si="2531"/>
        <v>NA</v>
      </c>
      <c r="AD2617" s="10" t="str">
        <f t="shared" si="2532"/>
        <v>NA</v>
      </c>
      <c r="AE2617" s="10">
        <f t="shared" si="2533"/>
        <v>0.6697303921568627</v>
      </c>
      <c r="AF2617" s="1" t="s">
        <v>2362</v>
      </c>
    </row>
    <row r="2618" spans="1:32" x14ac:dyDescent="0.2">
      <c r="A2618" s="1" t="s">
        <v>6525</v>
      </c>
      <c r="B2618" s="1" t="s">
        <v>5</v>
      </c>
      <c r="C2618" s="1" t="s">
        <v>1575</v>
      </c>
      <c r="D2618" s="1" t="s">
        <v>1578</v>
      </c>
      <c r="E2618" s="1" t="s">
        <v>1591</v>
      </c>
      <c r="F2618" s="1" t="s">
        <v>2376</v>
      </c>
      <c r="G2618" s="4" t="s">
        <v>2373</v>
      </c>
      <c r="H2618" s="28">
        <v>42348</v>
      </c>
      <c r="I2618" s="29">
        <f t="shared" si="2524"/>
        <v>2015</v>
      </c>
      <c r="J2618" s="1" t="s">
        <v>7</v>
      </c>
      <c r="K2618" s="1" t="s">
        <v>2359</v>
      </c>
      <c r="L2618" s="11" t="str">
        <f t="shared" si="2525"/>
        <v>НЕТ</v>
      </c>
      <c r="M2618" s="10">
        <v>0</v>
      </c>
      <c r="N2618" s="10">
        <v>0</v>
      </c>
      <c r="O2618" s="10" t="s">
        <v>1575</v>
      </c>
      <c r="P2618" s="10" t="str">
        <f t="shared" si="2522"/>
        <v>NA</v>
      </c>
      <c r="Q2618" s="10" t="str">
        <f t="shared" si="2523"/>
        <v>NA</v>
      </c>
      <c r="R2618" s="10" t="s">
        <v>1575</v>
      </c>
      <c r="S2618" s="10" t="s">
        <v>1575</v>
      </c>
      <c r="T2618" s="10" t="s">
        <v>1575</v>
      </c>
      <c r="U2618" s="10" t="s">
        <v>1575</v>
      </c>
      <c r="V2618" s="10" t="s">
        <v>1575</v>
      </c>
      <c r="W2618" s="10" t="s">
        <v>1575</v>
      </c>
      <c r="X2618" s="10" t="str">
        <f t="shared" si="2526"/>
        <v>NA</v>
      </c>
      <c r="Y2618" s="10" t="str">
        <f t="shared" si="2527"/>
        <v>NA</v>
      </c>
      <c r="Z2618" s="10" t="str">
        <f t="shared" si="2528"/>
        <v>NA</v>
      </c>
      <c r="AA2618" s="10" t="str">
        <f t="shared" si="2529"/>
        <v>NA</v>
      </c>
      <c r="AB2618" s="10" t="str">
        <f t="shared" si="2530"/>
        <v>NA</v>
      </c>
      <c r="AC2618" s="10" t="str">
        <f t="shared" si="2531"/>
        <v>NA</v>
      </c>
      <c r="AD2618" s="10" t="str">
        <f t="shared" si="2532"/>
        <v>NA</v>
      </c>
      <c r="AE2618" s="10" t="str">
        <f t="shared" si="2533"/>
        <v>NA</v>
      </c>
      <c r="AF2618" s="1" t="s">
        <v>2374</v>
      </c>
    </row>
    <row r="2619" spans="1:32" x14ac:dyDescent="0.2">
      <c r="A2619" s="1" t="s">
        <v>6526</v>
      </c>
      <c r="B2619" s="1" t="s">
        <v>5</v>
      </c>
      <c r="C2619" s="1" t="s">
        <v>1575</v>
      </c>
      <c r="D2619" s="1" t="s">
        <v>1584</v>
      </c>
      <c r="E2619" s="1" t="s">
        <v>1587</v>
      </c>
      <c r="F2619" s="1" t="s">
        <v>2378</v>
      </c>
      <c r="G2619" s="4">
        <v>1</v>
      </c>
      <c r="H2619" s="28">
        <v>42262</v>
      </c>
      <c r="I2619" s="29">
        <f t="shared" si="2524"/>
        <v>2015</v>
      </c>
      <c r="J2619" s="1" t="s">
        <v>7</v>
      </c>
      <c r="K2619" s="1" t="s">
        <v>2359</v>
      </c>
      <c r="L2619" s="11" t="str">
        <f t="shared" si="2525"/>
        <v>НЕТ</v>
      </c>
      <c r="M2619" s="10">
        <v>0</v>
      </c>
      <c r="N2619" s="10">
        <v>0</v>
      </c>
      <c r="O2619" s="10" t="s">
        <v>1575</v>
      </c>
      <c r="P2619" s="10" t="str">
        <f t="shared" si="2522"/>
        <v>NA</v>
      </c>
      <c r="Q2619" s="10" t="str">
        <f t="shared" si="2523"/>
        <v>NA</v>
      </c>
      <c r="R2619" s="10" t="s">
        <v>1575</v>
      </c>
      <c r="S2619" s="10" t="s">
        <v>1575</v>
      </c>
      <c r="T2619" s="10" t="s">
        <v>1575</v>
      </c>
      <c r="U2619" s="10" t="s">
        <v>1575</v>
      </c>
      <c r="V2619" s="10" t="s">
        <v>1575</v>
      </c>
      <c r="W2619" s="10" t="s">
        <v>1575</v>
      </c>
      <c r="X2619" s="10" t="str">
        <f t="shared" si="2526"/>
        <v>NA</v>
      </c>
      <c r="Y2619" s="10" t="str">
        <f t="shared" si="2527"/>
        <v>NA</v>
      </c>
      <c r="Z2619" s="10" t="str">
        <f t="shared" si="2528"/>
        <v>NA</v>
      </c>
      <c r="AA2619" s="10" t="str">
        <f t="shared" si="2529"/>
        <v>NA</v>
      </c>
      <c r="AB2619" s="10" t="str">
        <f t="shared" si="2530"/>
        <v>NA</v>
      </c>
      <c r="AC2619" s="10" t="str">
        <f t="shared" si="2531"/>
        <v>NA</v>
      </c>
      <c r="AD2619" s="10" t="str">
        <f t="shared" si="2532"/>
        <v>NA</v>
      </c>
      <c r="AE2619" s="10" t="str">
        <f t="shared" si="2533"/>
        <v>NA</v>
      </c>
      <c r="AF2619" s="1" t="s">
        <v>2377</v>
      </c>
    </row>
    <row r="2620" spans="1:32" x14ac:dyDescent="0.2">
      <c r="A2620" s="1" t="s">
        <v>6527</v>
      </c>
      <c r="B2620" s="1" t="s">
        <v>5</v>
      </c>
      <c r="C2620" s="1" t="s">
        <v>1575</v>
      </c>
      <c r="D2620" s="1" t="s">
        <v>1578</v>
      </c>
      <c r="E2620" s="1" t="s">
        <v>1591</v>
      </c>
      <c r="F2620" s="1" t="s">
        <v>2380</v>
      </c>
      <c r="G2620" s="4">
        <v>0.6</v>
      </c>
      <c r="H2620" s="28">
        <v>40268</v>
      </c>
      <c r="I2620" s="29">
        <f t="shared" si="2524"/>
        <v>2010</v>
      </c>
      <c r="J2620" s="1" t="s">
        <v>6528</v>
      </c>
      <c r="K2620" s="1" t="s">
        <v>2360</v>
      </c>
      <c r="L2620" s="11" t="str">
        <f t="shared" si="2525"/>
        <v>НЕТ</v>
      </c>
      <c r="M2620" s="10">
        <v>0</v>
      </c>
      <c r="N2620" s="10">
        <v>0</v>
      </c>
      <c r="O2620" s="10" t="s">
        <v>1575</v>
      </c>
      <c r="P2620" s="10" t="str">
        <f t="shared" si="2522"/>
        <v>NA</v>
      </c>
      <c r="Q2620" s="10" t="str">
        <f t="shared" si="2523"/>
        <v>NA</v>
      </c>
      <c r="R2620" s="10" t="s">
        <v>1575</v>
      </c>
      <c r="S2620" s="10" t="s">
        <v>1575</v>
      </c>
      <c r="T2620" s="10" t="s">
        <v>1575</v>
      </c>
      <c r="U2620" s="10" t="s">
        <v>1575</v>
      </c>
      <c r="V2620" s="10" t="s">
        <v>1575</v>
      </c>
      <c r="W2620" s="10" t="s">
        <v>1575</v>
      </c>
      <c r="X2620" s="10" t="str">
        <f t="shared" si="2526"/>
        <v>NA</v>
      </c>
      <c r="Y2620" s="10" t="str">
        <f t="shared" si="2527"/>
        <v>NA</v>
      </c>
      <c r="Z2620" s="10" t="str">
        <f t="shared" si="2528"/>
        <v>NA</v>
      </c>
      <c r="AA2620" s="10" t="str">
        <f t="shared" si="2529"/>
        <v>NA</v>
      </c>
      <c r="AB2620" s="10" t="str">
        <f t="shared" si="2530"/>
        <v>NA</v>
      </c>
      <c r="AC2620" s="10" t="str">
        <f t="shared" si="2531"/>
        <v>NA</v>
      </c>
      <c r="AD2620" s="10" t="str">
        <f t="shared" si="2532"/>
        <v>NA</v>
      </c>
      <c r="AE2620" s="10" t="str">
        <f t="shared" si="2533"/>
        <v>NA</v>
      </c>
      <c r="AF2620" s="1" t="s">
        <v>2379</v>
      </c>
    </row>
    <row r="2621" spans="1:32" x14ac:dyDescent="0.2">
      <c r="A2621" s="1" t="s">
        <v>3017</v>
      </c>
      <c r="B2621" s="1" t="s">
        <v>5</v>
      </c>
      <c r="C2621" s="1" t="s">
        <v>3018</v>
      </c>
      <c r="D2621" s="1" t="s">
        <v>1578</v>
      </c>
      <c r="E2621" s="1" t="s">
        <v>1591</v>
      </c>
      <c r="F2621" s="1" t="s">
        <v>3019</v>
      </c>
      <c r="G2621" s="4">
        <f>(7319202+543241)/(119553167+1232657)</f>
        <v>6.5094087531331488E-2</v>
      </c>
      <c r="H2621" s="28">
        <v>40660</v>
      </c>
      <c r="I2621" s="29">
        <f t="shared" si="2524"/>
        <v>2011</v>
      </c>
      <c r="J2621" s="1" t="s">
        <v>3017</v>
      </c>
      <c r="K2621" s="1" t="s">
        <v>7</v>
      </c>
      <c r="L2621" s="11" t="str">
        <f t="shared" ref="L2621" si="2534">IF(OR(A2621=J2621,A2621=K2621),"ДА","НЕТ")</f>
        <v>ДА</v>
      </c>
      <c r="M2621" s="10">
        <v>0</v>
      </c>
      <c r="N2621" s="10">
        <v>0</v>
      </c>
      <c r="O2621" s="10">
        <v>10.996726000000001</v>
      </c>
      <c r="P2621" s="10">
        <f t="shared" si="2522"/>
        <v>168.93586525361445</v>
      </c>
      <c r="Q2621" s="10" t="str">
        <f t="shared" si="2523"/>
        <v>NA</v>
      </c>
      <c r="R2621" s="10" t="s">
        <v>1575</v>
      </c>
      <c r="S2621" s="10" t="s">
        <v>1575</v>
      </c>
      <c r="T2621" s="10" t="s">
        <v>1575</v>
      </c>
      <c r="U2621" s="10" t="s">
        <v>1575</v>
      </c>
      <c r="V2621" s="10" t="s">
        <v>1575</v>
      </c>
      <c r="W2621" s="10" t="s">
        <v>1575</v>
      </c>
      <c r="X2621" s="10" t="str">
        <f t="shared" si="2526"/>
        <v>NA</v>
      </c>
      <c r="Y2621" s="10" t="str">
        <f t="shared" si="2527"/>
        <v>NA</v>
      </c>
      <c r="Z2621" s="10" t="str">
        <f t="shared" si="2528"/>
        <v>NA</v>
      </c>
      <c r="AA2621" s="10" t="str">
        <f t="shared" si="2529"/>
        <v>NA</v>
      </c>
      <c r="AB2621" s="10" t="str">
        <f t="shared" si="2530"/>
        <v>NA</v>
      </c>
      <c r="AC2621" s="10" t="str">
        <f t="shared" si="2531"/>
        <v>NA</v>
      </c>
      <c r="AD2621" s="10" t="str">
        <f t="shared" si="2532"/>
        <v>NA</v>
      </c>
      <c r="AE2621" s="10" t="str">
        <f t="shared" si="2533"/>
        <v>NA</v>
      </c>
      <c r="AF2621" s="1" t="s">
        <v>3016</v>
      </c>
    </row>
    <row r="2622" spans="1:32" x14ac:dyDescent="0.2">
      <c r="A2622" s="1" t="s">
        <v>3017</v>
      </c>
      <c r="B2622" s="1" t="s">
        <v>5</v>
      </c>
      <c r="C2622" s="1" t="s">
        <v>3018</v>
      </c>
      <c r="D2622" s="1" t="s">
        <v>1578</v>
      </c>
      <c r="E2622" s="1" t="s">
        <v>1591</v>
      </c>
      <c r="F2622" s="1" t="s">
        <v>3019</v>
      </c>
      <c r="G2622" s="4">
        <f>(91628)/(151714594+1232657)</f>
        <v>5.9908235944691811E-4</v>
      </c>
      <c r="H2622" s="28">
        <v>40787</v>
      </c>
      <c r="I2622" s="29">
        <f t="shared" si="2524"/>
        <v>2011</v>
      </c>
      <c r="J2622" s="1" t="s">
        <v>3017</v>
      </c>
      <c r="K2622" s="1" t="s">
        <v>7</v>
      </c>
      <c r="L2622" s="11" t="str">
        <f t="shared" ref="L2622" si="2535">IF(OR(A2622=J2622,A2622=K2622),"ДА","НЕТ")</f>
        <v>ДА</v>
      </c>
      <c r="M2622" s="10">
        <v>0</v>
      </c>
      <c r="N2622" s="10">
        <v>0</v>
      </c>
      <c r="O2622" s="10">
        <v>0.10763499999999999</v>
      </c>
      <c r="P2622" s="10">
        <f t="shared" si="2522"/>
        <v>179.66644869892389</v>
      </c>
      <c r="Q2622" s="10" t="str">
        <f t="shared" si="2523"/>
        <v>NA</v>
      </c>
      <c r="R2622" s="10" t="s">
        <v>1575</v>
      </c>
      <c r="S2622" s="10" t="s">
        <v>1575</v>
      </c>
      <c r="T2622" s="10" t="s">
        <v>1575</v>
      </c>
      <c r="U2622" s="10" t="s">
        <v>1575</v>
      </c>
      <c r="V2622" s="10" t="s">
        <v>1575</v>
      </c>
      <c r="W2622" s="10" t="s">
        <v>1575</v>
      </c>
      <c r="X2622" s="10" t="str">
        <f t="shared" si="2526"/>
        <v>NA</v>
      </c>
      <c r="Y2622" s="10" t="str">
        <f t="shared" si="2527"/>
        <v>NA</v>
      </c>
      <c r="Z2622" s="10" t="str">
        <f t="shared" si="2528"/>
        <v>NA</v>
      </c>
      <c r="AA2622" s="10" t="str">
        <f t="shared" si="2529"/>
        <v>NA</v>
      </c>
      <c r="AB2622" s="10" t="str">
        <f t="shared" si="2530"/>
        <v>NA</v>
      </c>
      <c r="AC2622" s="10" t="str">
        <f t="shared" si="2531"/>
        <v>NA</v>
      </c>
      <c r="AD2622" s="10" t="str">
        <f t="shared" si="2532"/>
        <v>NA</v>
      </c>
      <c r="AE2622" s="10" t="str">
        <f t="shared" si="2533"/>
        <v>NA</v>
      </c>
      <c r="AF2622" s="1" t="s">
        <v>3020</v>
      </c>
    </row>
    <row r="2623" spans="1:32" x14ac:dyDescent="0.2">
      <c r="A2623" s="1" t="s">
        <v>6529</v>
      </c>
      <c r="B2623" s="1" t="s">
        <v>5</v>
      </c>
      <c r="C2623" s="1" t="s">
        <v>1575</v>
      </c>
      <c r="D2623" s="1" t="s">
        <v>1584</v>
      </c>
      <c r="E2623" s="1" t="s">
        <v>1586</v>
      </c>
      <c r="F2623" s="1" t="s">
        <v>3021</v>
      </c>
      <c r="G2623" s="4">
        <v>0.03</v>
      </c>
      <c r="H2623" s="28">
        <v>40481</v>
      </c>
      <c r="I2623" s="29">
        <f t="shared" si="2524"/>
        <v>2010</v>
      </c>
      <c r="J2623" s="1" t="s">
        <v>7</v>
      </c>
      <c r="K2623" s="1" t="s">
        <v>3017</v>
      </c>
      <c r="L2623" s="11" t="str">
        <f t="shared" ref="L2623" si="2536">IF(OR(A2623=J2623,A2623=K2623),"ДА","НЕТ")</f>
        <v>НЕТ</v>
      </c>
      <c r="M2623" s="10">
        <v>0</v>
      </c>
      <c r="N2623" s="10">
        <v>0</v>
      </c>
      <c r="O2623" s="10" t="s">
        <v>1575</v>
      </c>
      <c r="P2623" s="10" t="str">
        <f t="shared" si="2522"/>
        <v>NA</v>
      </c>
      <c r="Q2623" s="10" t="str">
        <f t="shared" si="2523"/>
        <v>NA</v>
      </c>
      <c r="R2623" s="10" t="s">
        <v>1575</v>
      </c>
      <c r="S2623" s="10" t="s">
        <v>1575</v>
      </c>
      <c r="T2623" s="10" t="s">
        <v>1575</v>
      </c>
      <c r="U2623" s="10" t="s">
        <v>1575</v>
      </c>
      <c r="V2623" s="10" t="s">
        <v>1575</v>
      </c>
      <c r="W2623" s="10" t="s">
        <v>1575</v>
      </c>
      <c r="X2623" s="10" t="str">
        <f t="shared" si="2526"/>
        <v>NA</v>
      </c>
      <c r="Y2623" s="10" t="str">
        <f t="shared" si="2527"/>
        <v>NA</v>
      </c>
      <c r="Z2623" s="10" t="str">
        <f t="shared" si="2528"/>
        <v>NA</v>
      </c>
      <c r="AA2623" s="10" t="str">
        <f t="shared" si="2529"/>
        <v>NA</v>
      </c>
      <c r="AB2623" s="10" t="str">
        <f t="shared" si="2530"/>
        <v>NA</v>
      </c>
      <c r="AC2623" s="10" t="str">
        <f t="shared" si="2531"/>
        <v>NA</v>
      </c>
      <c r="AD2623" s="10" t="str">
        <f t="shared" si="2532"/>
        <v>NA</v>
      </c>
      <c r="AE2623" s="10" t="str">
        <f t="shared" si="2533"/>
        <v>NA</v>
      </c>
      <c r="AF2623" s="1" t="s">
        <v>3022</v>
      </c>
    </row>
    <row r="2624" spans="1:32" x14ac:dyDescent="0.2">
      <c r="A2624" s="1" t="s">
        <v>6530</v>
      </c>
      <c r="B2624" s="1" t="s">
        <v>5</v>
      </c>
      <c r="C2624" s="1" t="s">
        <v>1575</v>
      </c>
      <c r="D2624" s="1" t="s">
        <v>1578</v>
      </c>
      <c r="E2624" s="1" t="s">
        <v>2496</v>
      </c>
      <c r="F2624" s="1" t="s">
        <v>566</v>
      </c>
      <c r="G2624" s="4" t="s">
        <v>2522</v>
      </c>
      <c r="H2624" s="28">
        <v>44926</v>
      </c>
      <c r="I2624" s="29">
        <f t="shared" si="2524"/>
        <v>2022</v>
      </c>
      <c r="J2624" s="1" t="s">
        <v>2511</v>
      </c>
      <c r="K2624" s="1" t="s">
        <v>7</v>
      </c>
      <c r="L2624" s="11" t="str">
        <f t="shared" si="2525"/>
        <v>НЕТ</v>
      </c>
      <c r="M2624" s="10">
        <v>0</v>
      </c>
      <c r="N2624" s="10">
        <v>0</v>
      </c>
      <c r="O2624" s="10" t="s">
        <v>1575</v>
      </c>
      <c r="P2624" s="10" t="str">
        <f t="shared" si="2522"/>
        <v>NA</v>
      </c>
      <c r="Q2624" s="10" t="str">
        <f t="shared" si="2523"/>
        <v>NA</v>
      </c>
      <c r="R2624" s="10" t="s">
        <v>1575</v>
      </c>
      <c r="S2624" s="10" t="s">
        <v>1575</v>
      </c>
      <c r="T2624" s="10" t="s">
        <v>1575</v>
      </c>
      <c r="U2624" s="10" t="s">
        <v>1575</v>
      </c>
      <c r="V2624" s="10" t="s">
        <v>1575</v>
      </c>
      <c r="W2624" s="10" t="s">
        <v>1575</v>
      </c>
      <c r="X2624" s="10" t="str">
        <f t="shared" si="2526"/>
        <v>NA</v>
      </c>
      <c r="Y2624" s="10" t="str">
        <f t="shared" si="2527"/>
        <v>NA</v>
      </c>
      <c r="Z2624" s="10" t="str">
        <f t="shared" si="2528"/>
        <v>NA</v>
      </c>
      <c r="AA2624" s="10" t="str">
        <f t="shared" si="2529"/>
        <v>NA</v>
      </c>
      <c r="AB2624" s="10" t="str">
        <f t="shared" si="2530"/>
        <v>NA</v>
      </c>
      <c r="AC2624" s="10" t="str">
        <f t="shared" si="2531"/>
        <v>NA</v>
      </c>
      <c r="AD2624" s="10" t="str">
        <f t="shared" si="2532"/>
        <v>NA</v>
      </c>
      <c r="AE2624" s="10" t="str">
        <f t="shared" si="2533"/>
        <v>NA</v>
      </c>
      <c r="AF2624" s="1" t="s">
        <v>2523</v>
      </c>
    </row>
    <row r="2625" spans="1:32" x14ac:dyDescent="0.2">
      <c r="A2625" s="1" t="s">
        <v>6531</v>
      </c>
      <c r="B2625" s="1" t="s">
        <v>5</v>
      </c>
      <c r="C2625" s="1" t="s">
        <v>1575</v>
      </c>
      <c r="D2625" s="1" t="s">
        <v>1578</v>
      </c>
      <c r="E2625" s="1" t="s">
        <v>2496</v>
      </c>
      <c r="F2625" s="1" t="s">
        <v>566</v>
      </c>
      <c r="G2625" s="4">
        <v>0.57699999999999996</v>
      </c>
      <c r="H2625" s="28">
        <v>44926</v>
      </c>
      <c r="I2625" s="29">
        <f t="shared" si="2524"/>
        <v>2022</v>
      </c>
      <c r="J2625" s="1" t="s">
        <v>2511</v>
      </c>
      <c r="K2625" s="1" t="s">
        <v>7</v>
      </c>
      <c r="L2625" s="11" t="str">
        <f t="shared" si="2525"/>
        <v>НЕТ</v>
      </c>
      <c r="M2625" s="10">
        <v>0</v>
      </c>
      <c r="N2625" s="10">
        <v>0</v>
      </c>
      <c r="O2625" s="10">
        <v>8.8963E-2</v>
      </c>
      <c r="P2625" s="10">
        <f t="shared" si="2522"/>
        <v>0.15418197573656847</v>
      </c>
      <c r="Q2625" s="10">
        <f t="shared" si="2523"/>
        <v>0.14012097573656848</v>
      </c>
      <c r="R2625" s="10" t="s">
        <v>1575</v>
      </c>
      <c r="S2625" s="10" t="s">
        <v>1575</v>
      </c>
      <c r="T2625" s="10" t="s">
        <v>1575</v>
      </c>
      <c r="U2625" s="10" t="s">
        <v>1575</v>
      </c>
      <c r="V2625" s="10">
        <v>0.15410099999999999</v>
      </c>
      <c r="W2625" s="10">
        <f>0.000734+0.0002-0.014995</f>
        <v>-1.4061000000000001E-2</v>
      </c>
      <c r="X2625" s="10">
        <f t="shared" si="2526"/>
        <v>0.14004</v>
      </c>
      <c r="Y2625" s="10" t="str">
        <f t="shared" si="2527"/>
        <v>NA</v>
      </c>
      <c r="Z2625" s="10" t="str">
        <f t="shared" si="2528"/>
        <v>NA</v>
      </c>
      <c r="AA2625" s="10">
        <f t="shared" si="2529"/>
        <v>1.0005254718435863</v>
      </c>
      <c r="AB2625" s="10" t="str">
        <f t="shared" si="2530"/>
        <v>NA</v>
      </c>
      <c r="AC2625" s="10" t="str">
        <f t="shared" si="2531"/>
        <v>NA</v>
      </c>
      <c r="AD2625" s="10" t="str">
        <f t="shared" si="2532"/>
        <v>NA</v>
      </c>
      <c r="AE2625" s="10">
        <f t="shared" si="2533"/>
        <v>1.0005782329089437</v>
      </c>
      <c r="AF2625" s="1" t="s">
        <v>2516</v>
      </c>
    </row>
    <row r="2626" spans="1:32" x14ac:dyDescent="0.2">
      <c r="A2626" s="1" t="s">
        <v>2511</v>
      </c>
      <c r="B2626" s="1" t="s">
        <v>5</v>
      </c>
      <c r="C2626" s="1" t="s">
        <v>2513</v>
      </c>
      <c r="D2626" s="1" t="s">
        <v>1578</v>
      </c>
      <c r="E2626" s="1" t="s">
        <v>2496</v>
      </c>
      <c r="F2626" s="1" t="s">
        <v>566</v>
      </c>
      <c r="G2626" s="4">
        <v>0.2</v>
      </c>
      <c r="H2626" s="28">
        <v>44926</v>
      </c>
      <c r="I2626" s="29">
        <f t="shared" si="2524"/>
        <v>2022</v>
      </c>
      <c r="J2626" s="1" t="s">
        <v>7</v>
      </c>
      <c r="K2626" s="1" t="s">
        <v>2511</v>
      </c>
      <c r="L2626" s="11" t="str">
        <f t="shared" si="2525"/>
        <v>ДА</v>
      </c>
      <c r="M2626" s="10">
        <v>0</v>
      </c>
      <c r="N2626" s="10">
        <v>0</v>
      </c>
      <c r="O2626" s="10">
        <f>7645951*80/1000000000</f>
        <v>0.61167607999999996</v>
      </c>
      <c r="P2626" s="10">
        <f t="shared" si="2522"/>
        <v>3.0583803999999994</v>
      </c>
      <c r="Q2626" s="10" t="str">
        <f t="shared" si="2523"/>
        <v>NA</v>
      </c>
      <c r="R2626" s="10" t="s">
        <v>1575</v>
      </c>
      <c r="S2626" s="10" t="s">
        <v>1575</v>
      </c>
      <c r="T2626" s="10" t="s">
        <v>1575</v>
      </c>
      <c r="U2626" s="10" t="s">
        <v>1575</v>
      </c>
      <c r="V2626" s="10" t="s">
        <v>1575</v>
      </c>
      <c r="W2626" s="10" t="s">
        <v>1575</v>
      </c>
      <c r="X2626" s="10" t="str">
        <f t="shared" si="2526"/>
        <v>NA</v>
      </c>
      <c r="Y2626" s="10" t="str">
        <f t="shared" si="2527"/>
        <v>NA</v>
      </c>
      <c r="Z2626" s="10" t="str">
        <f t="shared" si="2528"/>
        <v>NA</v>
      </c>
      <c r="AA2626" s="10" t="str">
        <f t="shared" si="2529"/>
        <v>NA</v>
      </c>
      <c r="AB2626" s="10" t="str">
        <f t="shared" si="2530"/>
        <v>NA</v>
      </c>
      <c r="AC2626" s="10" t="str">
        <f t="shared" si="2531"/>
        <v>NA</v>
      </c>
      <c r="AD2626" s="10" t="str">
        <f t="shared" si="2532"/>
        <v>NA</v>
      </c>
      <c r="AE2626" s="10" t="str">
        <f t="shared" si="2533"/>
        <v>NA</v>
      </c>
      <c r="AF2626" s="1" t="s">
        <v>2515</v>
      </c>
    </row>
    <row r="2627" spans="1:32" x14ac:dyDescent="0.2">
      <c r="A2627" s="1" t="s">
        <v>6532</v>
      </c>
      <c r="B2627" s="1" t="s">
        <v>5</v>
      </c>
      <c r="C2627" s="1" t="s">
        <v>2512</v>
      </c>
      <c r="D2627" s="1" t="s">
        <v>1578</v>
      </c>
      <c r="E2627" s="1" t="s">
        <v>2496</v>
      </c>
      <c r="F2627" s="1" t="s">
        <v>566</v>
      </c>
      <c r="G2627" s="4">
        <v>0.15</v>
      </c>
      <c r="H2627" s="28">
        <v>43616</v>
      </c>
      <c r="I2627" s="29">
        <f t="shared" si="2524"/>
        <v>2019</v>
      </c>
      <c r="J2627" s="1" t="s">
        <v>7</v>
      </c>
      <c r="K2627" s="1" t="s">
        <v>6533</v>
      </c>
      <c r="L2627" s="11" t="str">
        <f t="shared" si="2525"/>
        <v>НЕТ</v>
      </c>
      <c r="M2627" s="10">
        <v>0</v>
      </c>
      <c r="N2627" s="10">
        <v>0</v>
      </c>
      <c r="O2627" s="10">
        <v>0.15</v>
      </c>
      <c r="P2627" s="10">
        <f t="shared" ref="P2627:P2690" si="2537">IFERROR(O2627/G2627,"NA")</f>
        <v>1</v>
      </c>
      <c r="Q2627" s="10">
        <f t="shared" ref="Q2627:Q2690" si="2538">IFERROR(P2627+W2627,"NA")</f>
        <v>0.95892299999999997</v>
      </c>
      <c r="R2627" s="10">
        <v>0.24263699999999999</v>
      </c>
      <c r="S2627" s="10">
        <v>0.143765</v>
      </c>
      <c r="T2627" s="10">
        <v>0.13743900000000001</v>
      </c>
      <c r="U2627" s="10">
        <v>0.141761</v>
      </c>
      <c r="V2627" s="10">
        <v>4.4201999999999998E-2</v>
      </c>
      <c r="W2627" s="10">
        <v>-4.107700000000003E-2</v>
      </c>
      <c r="X2627" s="10">
        <f t="shared" si="2526"/>
        <v>3.1249999999999681E-3</v>
      </c>
      <c r="Y2627" s="10">
        <f t="shared" si="2527"/>
        <v>4.1213829712698393</v>
      </c>
      <c r="Z2627" s="10">
        <f t="shared" si="2528"/>
        <v>7.054126311185728</v>
      </c>
      <c r="AA2627" s="10">
        <f t="shared" si="2529"/>
        <v>22.623410705397948</v>
      </c>
      <c r="AB2627" s="10">
        <f t="shared" si="2530"/>
        <v>3.9520889229589882</v>
      </c>
      <c r="AC2627" s="10">
        <f t="shared" si="2531"/>
        <v>6.6700726880673313</v>
      </c>
      <c r="AD2627" s="10">
        <f t="shared" si="2532"/>
        <v>6.9770807412743103</v>
      </c>
      <c r="AE2627" s="10">
        <f t="shared" si="2533"/>
        <v>306.85536000000315</v>
      </c>
      <c r="AF2627" s="1" t="s">
        <v>2527</v>
      </c>
    </row>
    <row r="2628" spans="1:32" x14ac:dyDescent="0.2">
      <c r="A2628" s="1" t="s">
        <v>6534</v>
      </c>
      <c r="B2628" s="1" t="s">
        <v>5</v>
      </c>
      <c r="C2628" s="1" t="s">
        <v>1575</v>
      </c>
      <c r="D2628" s="1" t="s">
        <v>1578</v>
      </c>
      <c r="E2628" s="1" t="s">
        <v>2496</v>
      </c>
      <c r="F2628" s="1" t="s">
        <v>566</v>
      </c>
      <c r="G2628" s="4">
        <v>0.6</v>
      </c>
      <c r="H2628" s="28">
        <v>43861</v>
      </c>
      <c r="I2628" s="29">
        <f t="shared" si="2524"/>
        <v>2020</v>
      </c>
      <c r="J2628" s="1" t="s">
        <v>2511</v>
      </c>
      <c r="K2628" s="1" t="s">
        <v>7</v>
      </c>
      <c r="L2628" s="11" t="str">
        <f t="shared" si="2525"/>
        <v>НЕТ</v>
      </c>
      <c r="M2628" s="10">
        <v>0</v>
      </c>
      <c r="N2628" s="10">
        <v>0</v>
      </c>
      <c r="O2628" s="10" t="s">
        <v>1575</v>
      </c>
      <c r="P2628" s="10" t="str">
        <f t="shared" si="2537"/>
        <v>NA</v>
      </c>
      <c r="Q2628" s="10" t="str">
        <f t="shared" si="2538"/>
        <v>NA</v>
      </c>
      <c r="R2628" s="10" t="s">
        <v>1575</v>
      </c>
      <c r="S2628" s="10" t="s">
        <v>1575</v>
      </c>
      <c r="T2628" s="10" t="s">
        <v>1575</v>
      </c>
      <c r="U2628" s="10" t="s">
        <v>1575</v>
      </c>
      <c r="V2628" s="10" t="s">
        <v>1575</v>
      </c>
      <c r="W2628" s="10" t="s">
        <v>1575</v>
      </c>
      <c r="X2628" s="10" t="str">
        <f t="shared" si="2526"/>
        <v>NA</v>
      </c>
      <c r="Y2628" s="10" t="str">
        <f t="shared" si="2527"/>
        <v>NA</v>
      </c>
      <c r="Z2628" s="10" t="str">
        <f t="shared" si="2528"/>
        <v>NA</v>
      </c>
      <c r="AA2628" s="10" t="str">
        <f t="shared" si="2529"/>
        <v>NA</v>
      </c>
      <c r="AB2628" s="10" t="str">
        <f t="shared" si="2530"/>
        <v>NA</v>
      </c>
      <c r="AC2628" s="10" t="str">
        <f t="shared" si="2531"/>
        <v>NA</v>
      </c>
      <c r="AD2628" s="10" t="str">
        <f t="shared" si="2532"/>
        <v>NA</v>
      </c>
      <c r="AE2628" s="10" t="str">
        <f t="shared" si="2533"/>
        <v>NA</v>
      </c>
      <c r="AF2628" s="1" t="s">
        <v>2520</v>
      </c>
    </row>
    <row r="2629" spans="1:32" x14ac:dyDescent="0.2">
      <c r="A2629" s="1" t="s">
        <v>6535</v>
      </c>
      <c r="B2629" s="1" t="s">
        <v>5</v>
      </c>
      <c r="C2629" s="1" t="s">
        <v>2518</v>
      </c>
      <c r="D2629" s="1" t="s">
        <v>1578</v>
      </c>
      <c r="E2629" s="1" t="s">
        <v>2496</v>
      </c>
      <c r="F2629" s="1" t="s">
        <v>566</v>
      </c>
      <c r="G2629" s="4">
        <f>(1-0.787)*2968910/(2968910+10000000)</f>
        <v>4.8761062417735951E-2</v>
      </c>
      <c r="H2629" s="28">
        <v>45041</v>
      </c>
      <c r="I2629" s="29">
        <f t="shared" si="2524"/>
        <v>2023</v>
      </c>
      <c r="J2629" s="1" t="s">
        <v>6535</v>
      </c>
      <c r="K2629" s="1" t="s">
        <v>6536</v>
      </c>
      <c r="L2629" s="11" t="str">
        <f t="shared" si="2525"/>
        <v>ДА</v>
      </c>
      <c r="M2629" s="10">
        <v>0</v>
      </c>
      <c r="N2629" s="10">
        <v>0</v>
      </c>
      <c r="O2629" s="10">
        <v>0.10394299999999999</v>
      </c>
      <c r="P2629" s="10">
        <f t="shared" si="2537"/>
        <v>2.131680378690695</v>
      </c>
      <c r="Q2629" s="10" t="str">
        <f t="shared" si="2538"/>
        <v>NA</v>
      </c>
      <c r="R2629" s="10" t="s">
        <v>1575</v>
      </c>
      <c r="S2629" s="10" t="s">
        <v>1575</v>
      </c>
      <c r="T2629" s="10" t="s">
        <v>1575</v>
      </c>
      <c r="U2629" s="10" t="s">
        <v>1575</v>
      </c>
      <c r="V2629" s="10" t="s">
        <v>1575</v>
      </c>
      <c r="W2629" s="10" t="s">
        <v>1575</v>
      </c>
      <c r="X2629" s="10" t="str">
        <f t="shared" si="2526"/>
        <v>NA</v>
      </c>
      <c r="Y2629" s="10" t="str">
        <f t="shared" si="2527"/>
        <v>NA</v>
      </c>
      <c r="Z2629" s="10" t="str">
        <f t="shared" si="2528"/>
        <v>NA</v>
      </c>
      <c r="AA2629" s="10" t="str">
        <f t="shared" si="2529"/>
        <v>NA</v>
      </c>
      <c r="AB2629" s="10" t="str">
        <f t="shared" si="2530"/>
        <v>NA</v>
      </c>
      <c r="AC2629" s="10" t="str">
        <f t="shared" si="2531"/>
        <v>NA</v>
      </c>
      <c r="AD2629" s="10" t="str">
        <f t="shared" si="2532"/>
        <v>NA</v>
      </c>
      <c r="AE2629" s="10" t="str">
        <f t="shared" si="2533"/>
        <v>NA</v>
      </c>
      <c r="AF2629" s="1" t="s">
        <v>2519</v>
      </c>
    </row>
    <row r="2630" spans="1:32" x14ac:dyDescent="0.2">
      <c r="A2630" s="1" t="s">
        <v>6535</v>
      </c>
      <c r="B2630" s="1" t="s">
        <v>5</v>
      </c>
      <c r="C2630" s="1" t="s">
        <v>2518</v>
      </c>
      <c r="D2630" s="1" t="s">
        <v>1578</v>
      </c>
      <c r="E2630" s="1" t="s">
        <v>2496</v>
      </c>
      <c r="F2630" s="1" t="s">
        <v>566</v>
      </c>
      <c r="G2630" s="4">
        <f>(1-0.787)*10000000/(2968910+10000000)</f>
        <v>0.16423893758226402</v>
      </c>
      <c r="H2630" s="28">
        <v>45041</v>
      </c>
      <c r="I2630" s="29">
        <f t="shared" si="2524"/>
        <v>2023</v>
      </c>
      <c r="J2630" s="1" t="s">
        <v>7</v>
      </c>
      <c r="K2630" s="1" t="s">
        <v>6535</v>
      </c>
      <c r="L2630" s="11" t="str">
        <f t="shared" si="2525"/>
        <v>ДА</v>
      </c>
      <c r="M2630" s="10">
        <v>0</v>
      </c>
      <c r="N2630" s="10">
        <v>0</v>
      </c>
      <c r="O2630" s="10">
        <v>0.17879999999999999</v>
      </c>
      <c r="P2630" s="10">
        <f t="shared" si="2537"/>
        <v>1.0886577971830986</v>
      </c>
      <c r="Q2630" s="10" t="str">
        <f t="shared" si="2538"/>
        <v>NA</v>
      </c>
      <c r="R2630" s="10" t="s">
        <v>1575</v>
      </c>
      <c r="S2630" s="10" t="s">
        <v>1575</v>
      </c>
      <c r="T2630" s="10" t="s">
        <v>1575</v>
      </c>
      <c r="U2630" s="10" t="s">
        <v>1575</v>
      </c>
      <c r="V2630" s="10" t="s">
        <v>1575</v>
      </c>
      <c r="W2630" s="10" t="s">
        <v>1575</v>
      </c>
      <c r="X2630" s="10" t="str">
        <f t="shared" si="2526"/>
        <v>NA</v>
      </c>
      <c r="Y2630" s="10" t="str">
        <f t="shared" si="2527"/>
        <v>NA</v>
      </c>
      <c r="Z2630" s="10" t="str">
        <f t="shared" si="2528"/>
        <v>NA</v>
      </c>
      <c r="AA2630" s="10" t="str">
        <f t="shared" si="2529"/>
        <v>NA</v>
      </c>
      <c r="AB2630" s="10" t="str">
        <f t="shared" si="2530"/>
        <v>NA</v>
      </c>
      <c r="AC2630" s="10" t="str">
        <f t="shared" si="2531"/>
        <v>NA</v>
      </c>
      <c r="AD2630" s="10" t="str">
        <f t="shared" si="2532"/>
        <v>NA</v>
      </c>
      <c r="AE2630" s="10" t="str">
        <f t="shared" si="2533"/>
        <v>NA</v>
      </c>
      <c r="AF2630" s="1" t="s">
        <v>2519</v>
      </c>
    </row>
    <row r="2631" spans="1:32" x14ac:dyDescent="0.2">
      <c r="A2631" s="1" t="s">
        <v>6535</v>
      </c>
      <c r="B2631" s="1" t="s">
        <v>5</v>
      </c>
      <c r="C2631" s="1" t="s">
        <v>2518</v>
      </c>
      <c r="D2631" s="1" t="s">
        <v>1578</v>
      </c>
      <c r="E2631" s="1" t="s">
        <v>2496</v>
      </c>
      <c r="F2631" s="1" t="s">
        <v>566</v>
      </c>
      <c r="G2631" s="4">
        <v>0.1</v>
      </c>
      <c r="H2631" s="28">
        <v>44196</v>
      </c>
      <c r="I2631" s="29">
        <f t="shared" si="2524"/>
        <v>2020</v>
      </c>
      <c r="J2631" s="1" t="s">
        <v>6537</v>
      </c>
      <c r="K2631" s="1" t="s">
        <v>2517</v>
      </c>
      <c r="L2631" s="11" t="str">
        <f t="shared" si="2525"/>
        <v>НЕТ</v>
      </c>
      <c r="M2631" s="10">
        <v>0</v>
      </c>
      <c r="N2631" s="10">
        <v>0</v>
      </c>
      <c r="O2631" s="10" t="s">
        <v>1575</v>
      </c>
      <c r="P2631" s="10" t="str">
        <f t="shared" si="2537"/>
        <v>NA</v>
      </c>
      <c r="Q2631" s="10" t="str">
        <f t="shared" si="2538"/>
        <v>NA</v>
      </c>
      <c r="R2631" s="10">
        <v>0.36172799999999999</v>
      </c>
      <c r="S2631" s="10">
        <v>2.7957999999999997E-2</v>
      </c>
      <c r="T2631" s="10">
        <v>-7.7870000000000023E-3</v>
      </c>
      <c r="U2631" s="10">
        <v>-4.6306E-2</v>
      </c>
      <c r="V2631" s="10">
        <v>0.43302200000000002</v>
      </c>
      <c r="W2631" s="10">
        <v>0.37030799999999997</v>
      </c>
      <c r="X2631" s="10">
        <f t="shared" si="2526"/>
        <v>0.80332999999999999</v>
      </c>
      <c r="Y2631" s="10" t="str">
        <f t="shared" si="2527"/>
        <v>NA</v>
      </c>
      <c r="Z2631" s="10" t="str">
        <f t="shared" si="2528"/>
        <v>NA</v>
      </c>
      <c r="AA2631" s="10" t="str">
        <f t="shared" si="2529"/>
        <v>NA</v>
      </c>
      <c r="AB2631" s="10" t="str">
        <f t="shared" si="2530"/>
        <v>NA</v>
      </c>
      <c r="AC2631" s="10" t="str">
        <f t="shared" si="2531"/>
        <v>NA</v>
      </c>
      <c r="AD2631" s="10" t="str">
        <f t="shared" si="2532"/>
        <v>NA</v>
      </c>
      <c r="AE2631" s="10" t="str">
        <f t="shared" si="2533"/>
        <v>NA</v>
      </c>
      <c r="AF2631" s="1" t="s">
        <v>2519</v>
      </c>
    </row>
    <row r="2632" spans="1:32" x14ac:dyDescent="0.2">
      <c r="A2632" s="1" t="s">
        <v>6535</v>
      </c>
      <c r="B2632" s="1" t="s">
        <v>5</v>
      </c>
      <c r="C2632" s="1" t="s">
        <v>2518</v>
      </c>
      <c r="D2632" s="1" t="s">
        <v>1578</v>
      </c>
      <c r="E2632" s="1" t="s">
        <v>2496</v>
      </c>
      <c r="F2632" s="1" t="s">
        <v>566</v>
      </c>
      <c r="G2632" s="4">
        <v>0.1779</v>
      </c>
      <c r="H2632" s="28">
        <v>44165</v>
      </c>
      <c r="I2632" s="29">
        <f t="shared" si="2524"/>
        <v>2020</v>
      </c>
      <c r="J2632" s="1" t="s">
        <v>2517</v>
      </c>
      <c r="K2632" s="1" t="s">
        <v>6538</v>
      </c>
      <c r="L2632" s="11" t="str">
        <f t="shared" si="2525"/>
        <v>НЕТ</v>
      </c>
      <c r="M2632" s="10">
        <v>0</v>
      </c>
      <c r="N2632" s="10">
        <v>0</v>
      </c>
      <c r="O2632" s="10" t="s">
        <v>1575</v>
      </c>
      <c r="P2632" s="10" t="str">
        <f t="shared" si="2537"/>
        <v>NA</v>
      </c>
      <c r="Q2632" s="10" t="str">
        <f t="shared" si="2538"/>
        <v>NA</v>
      </c>
      <c r="R2632" s="10" t="s">
        <v>1575</v>
      </c>
      <c r="S2632" s="10" t="s">
        <v>1575</v>
      </c>
      <c r="T2632" s="10" t="s">
        <v>1575</v>
      </c>
      <c r="U2632" s="10" t="s">
        <v>1575</v>
      </c>
      <c r="V2632" s="10">
        <v>0.46613300000000008</v>
      </c>
      <c r="W2632" s="10">
        <v>0.27105799999999997</v>
      </c>
      <c r="X2632" s="10">
        <f t="shared" si="2526"/>
        <v>0.73719100000000004</v>
      </c>
      <c r="Y2632" s="10" t="str">
        <f t="shared" si="2527"/>
        <v>NA</v>
      </c>
      <c r="Z2632" s="10" t="str">
        <f t="shared" si="2528"/>
        <v>NA</v>
      </c>
      <c r="AA2632" s="10" t="str">
        <f t="shared" si="2529"/>
        <v>NA</v>
      </c>
      <c r="AB2632" s="10" t="str">
        <f t="shared" si="2530"/>
        <v>NA</v>
      </c>
      <c r="AC2632" s="10" t="str">
        <f t="shared" si="2531"/>
        <v>NA</v>
      </c>
      <c r="AD2632" s="10" t="str">
        <f t="shared" si="2532"/>
        <v>NA</v>
      </c>
      <c r="AE2632" s="10" t="str">
        <f t="shared" si="2533"/>
        <v>NA</v>
      </c>
      <c r="AF2632" s="1" t="s">
        <v>2519</v>
      </c>
    </row>
    <row r="2633" spans="1:32" x14ac:dyDescent="0.2">
      <c r="A2633" s="1" t="s">
        <v>6539</v>
      </c>
      <c r="B2633" s="1" t="s">
        <v>5</v>
      </c>
      <c r="C2633" s="1" t="s">
        <v>2518</v>
      </c>
      <c r="D2633" s="1" t="s">
        <v>1578</v>
      </c>
      <c r="E2633" s="1" t="s">
        <v>2496</v>
      </c>
      <c r="F2633" s="1" t="s">
        <v>566</v>
      </c>
      <c r="G2633" s="4">
        <f>100%-75%</f>
        <v>0.25</v>
      </c>
      <c r="H2633" s="28">
        <v>43465</v>
      </c>
      <c r="I2633" s="29">
        <f t="shared" si="2524"/>
        <v>2018</v>
      </c>
      <c r="J2633" s="1" t="s">
        <v>2511</v>
      </c>
      <c r="K2633" s="1" t="s">
        <v>7</v>
      </c>
      <c r="L2633" s="11" t="str">
        <f t="shared" si="2525"/>
        <v>НЕТ</v>
      </c>
      <c r="M2633" s="10">
        <v>0</v>
      </c>
      <c r="N2633" s="10">
        <v>0</v>
      </c>
      <c r="O2633" s="10" t="s">
        <v>1575</v>
      </c>
      <c r="P2633" s="10" t="str">
        <f t="shared" si="2537"/>
        <v>NA</v>
      </c>
      <c r="Q2633" s="10" t="str">
        <f t="shared" si="2538"/>
        <v>NA</v>
      </c>
      <c r="R2633" s="10" t="s">
        <v>1575</v>
      </c>
      <c r="S2633" s="10" t="s">
        <v>1575</v>
      </c>
      <c r="T2633" s="10" t="s">
        <v>1575</v>
      </c>
      <c r="U2633" s="10" t="s">
        <v>1575</v>
      </c>
      <c r="V2633" s="10" t="s">
        <v>1575</v>
      </c>
      <c r="W2633" s="10" t="s">
        <v>1575</v>
      </c>
      <c r="X2633" s="10" t="str">
        <f t="shared" si="2526"/>
        <v>NA</v>
      </c>
      <c r="Y2633" s="10" t="str">
        <f t="shared" si="2527"/>
        <v>NA</v>
      </c>
      <c r="Z2633" s="10" t="str">
        <f t="shared" si="2528"/>
        <v>NA</v>
      </c>
      <c r="AA2633" s="10" t="str">
        <f t="shared" si="2529"/>
        <v>NA</v>
      </c>
      <c r="AB2633" s="10" t="str">
        <f t="shared" si="2530"/>
        <v>NA</v>
      </c>
      <c r="AC2633" s="10" t="str">
        <f t="shared" si="2531"/>
        <v>NA</v>
      </c>
      <c r="AD2633" s="10" t="str">
        <f t="shared" si="2532"/>
        <v>NA</v>
      </c>
      <c r="AE2633" s="10" t="str">
        <f t="shared" si="2533"/>
        <v>NA</v>
      </c>
      <c r="AF2633" s="1" t="s">
        <v>2525</v>
      </c>
    </row>
    <row r="2634" spans="1:32" x14ac:dyDescent="0.2">
      <c r="A2634" s="1" t="s">
        <v>6540</v>
      </c>
      <c r="B2634" s="1" t="s">
        <v>5</v>
      </c>
      <c r="C2634" s="1" t="s">
        <v>1575</v>
      </c>
      <c r="D2634" s="1" t="s">
        <v>1578</v>
      </c>
      <c r="E2634" s="1" t="s">
        <v>2496</v>
      </c>
      <c r="F2634" s="1" t="s">
        <v>566</v>
      </c>
      <c r="G2634" s="4" t="s">
        <v>2522</v>
      </c>
      <c r="H2634" s="28">
        <v>43008</v>
      </c>
      <c r="I2634" s="29">
        <f t="shared" si="2524"/>
        <v>2017</v>
      </c>
      <c r="J2634" s="1" t="s">
        <v>2511</v>
      </c>
      <c r="K2634" s="1" t="s">
        <v>7</v>
      </c>
      <c r="L2634" s="11" t="str">
        <f t="shared" si="2525"/>
        <v>НЕТ</v>
      </c>
      <c r="M2634" s="10">
        <v>0</v>
      </c>
      <c r="N2634" s="10">
        <v>0</v>
      </c>
      <c r="O2634" s="10" t="s">
        <v>1575</v>
      </c>
      <c r="P2634" s="10" t="str">
        <f t="shared" si="2537"/>
        <v>NA</v>
      </c>
      <c r="Q2634" s="10" t="str">
        <f t="shared" si="2538"/>
        <v>NA</v>
      </c>
      <c r="R2634" s="10">
        <v>8.4499999999999992E-3</v>
      </c>
      <c r="S2634" s="10" t="s">
        <v>1575</v>
      </c>
      <c r="T2634" s="10">
        <f>0.00845-0.009776</f>
        <v>-1.3260000000000008E-3</v>
      </c>
      <c r="U2634" s="10">
        <v>-3.7500000000000001E-4</v>
      </c>
      <c r="V2634" s="10">
        <v>-0.111383</v>
      </c>
      <c r="W2634" s="10" t="s">
        <v>1575</v>
      </c>
      <c r="X2634" s="10" t="str">
        <f t="shared" si="2526"/>
        <v>NA</v>
      </c>
      <c r="Y2634" s="10" t="str">
        <f t="shared" si="2527"/>
        <v>NA</v>
      </c>
      <c r="Z2634" s="10" t="str">
        <f t="shared" si="2528"/>
        <v>NA</v>
      </c>
      <c r="AA2634" s="10" t="str">
        <f t="shared" si="2529"/>
        <v>NA</v>
      </c>
      <c r="AB2634" s="10" t="str">
        <f t="shared" si="2530"/>
        <v>NA</v>
      </c>
      <c r="AC2634" s="10" t="str">
        <f t="shared" si="2531"/>
        <v>NA</v>
      </c>
      <c r="AD2634" s="10" t="str">
        <f t="shared" si="2532"/>
        <v>NA</v>
      </c>
      <c r="AE2634" s="10" t="str">
        <f t="shared" si="2533"/>
        <v>NA</v>
      </c>
      <c r="AF2634" s="1" t="s">
        <v>2526</v>
      </c>
    </row>
    <row r="2635" spans="1:32" x14ac:dyDescent="0.2">
      <c r="A2635" s="1" t="s">
        <v>6541</v>
      </c>
      <c r="B2635" s="1" t="s">
        <v>5</v>
      </c>
      <c r="C2635" s="1" t="s">
        <v>1575</v>
      </c>
      <c r="D2635" s="1" t="s">
        <v>1578</v>
      </c>
      <c r="E2635" s="1" t="s">
        <v>2496</v>
      </c>
      <c r="F2635" s="1" t="s">
        <v>566</v>
      </c>
      <c r="G2635" s="4" t="s">
        <v>2522</v>
      </c>
      <c r="H2635" s="28">
        <v>42643</v>
      </c>
      <c r="I2635" s="29">
        <f t="shared" si="2524"/>
        <v>2016</v>
      </c>
      <c r="J2635" s="1" t="s">
        <v>2511</v>
      </c>
      <c r="K2635" s="1" t="s">
        <v>7</v>
      </c>
      <c r="L2635" s="11" t="str">
        <f t="shared" si="2525"/>
        <v>НЕТ</v>
      </c>
      <c r="M2635" s="10">
        <v>0</v>
      </c>
      <c r="N2635" s="10">
        <v>0</v>
      </c>
      <c r="O2635" s="10" t="s">
        <v>1575</v>
      </c>
      <c r="P2635" s="10" t="str">
        <f t="shared" si="2537"/>
        <v>NA</v>
      </c>
      <c r="Q2635" s="10" t="str">
        <f t="shared" si="2538"/>
        <v>NA</v>
      </c>
      <c r="R2635" s="10" t="s">
        <v>1575</v>
      </c>
      <c r="S2635" s="10" t="s">
        <v>1575</v>
      </c>
      <c r="T2635" s="10" t="s">
        <v>1575</v>
      </c>
      <c r="U2635" s="10" t="s">
        <v>1575</v>
      </c>
      <c r="V2635" s="10" t="s">
        <v>1575</v>
      </c>
      <c r="W2635" s="10" t="s">
        <v>1575</v>
      </c>
      <c r="X2635" s="10" t="str">
        <f t="shared" si="2526"/>
        <v>NA</v>
      </c>
      <c r="Y2635" s="10" t="str">
        <f t="shared" si="2527"/>
        <v>NA</v>
      </c>
      <c r="Z2635" s="10" t="str">
        <f t="shared" si="2528"/>
        <v>NA</v>
      </c>
      <c r="AA2635" s="10" t="str">
        <f t="shared" si="2529"/>
        <v>NA</v>
      </c>
      <c r="AB2635" s="10" t="str">
        <f t="shared" si="2530"/>
        <v>NA</v>
      </c>
      <c r="AC2635" s="10" t="str">
        <f t="shared" si="2531"/>
        <v>NA</v>
      </c>
      <c r="AD2635" s="10" t="str">
        <f t="shared" si="2532"/>
        <v>NA</v>
      </c>
      <c r="AE2635" s="10" t="str">
        <f t="shared" si="2533"/>
        <v>NA</v>
      </c>
      <c r="AF2635" s="1" t="s">
        <v>2524</v>
      </c>
    </row>
    <row r="2636" spans="1:32" x14ac:dyDescent="0.2">
      <c r="A2636" s="1" t="s">
        <v>6542</v>
      </c>
      <c r="B2636" s="1" t="s">
        <v>5</v>
      </c>
      <c r="C2636" s="1" t="s">
        <v>1575</v>
      </c>
      <c r="D2636" s="1" t="s">
        <v>1578</v>
      </c>
      <c r="E2636" s="1" t="s">
        <v>2496</v>
      </c>
      <c r="F2636" s="1" t="s">
        <v>566</v>
      </c>
      <c r="G2636" s="4">
        <v>0.5</v>
      </c>
      <c r="H2636" s="28">
        <v>42052</v>
      </c>
      <c r="I2636" s="29">
        <f t="shared" si="2524"/>
        <v>2015</v>
      </c>
      <c r="J2636" s="1" t="s">
        <v>7</v>
      </c>
      <c r="K2636" s="1" t="s">
        <v>2511</v>
      </c>
      <c r="L2636" s="11" t="str">
        <f t="shared" si="2525"/>
        <v>НЕТ</v>
      </c>
      <c r="M2636" s="10">
        <v>0</v>
      </c>
      <c r="N2636" s="10">
        <v>0</v>
      </c>
      <c r="O2636" s="10">
        <v>0.01</v>
      </c>
      <c r="P2636" s="10">
        <f t="shared" si="2537"/>
        <v>0.02</v>
      </c>
      <c r="Q2636" s="10" t="str">
        <f t="shared" si="2538"/>
        <v>NA</v>
      </c>
      <c r="R2636" s="10" t="s">
        <v>1575</v>
      </c>
      <c r="S2636" s="10" t="s">
        <v>1575</v>
      </c>
      <c r="T2636" s="10" t="s">
        <v>1575</v>
      </c>
      <c r="U2636" s="10" t="s">
        <v>1575</v>
      </c>
      <c r="V2636" s="10" t="s">
        <v>1575</v>
      </c>
      <c r="W2636" s="10" t="s">
        <v>1575</v>
      </c>
      <c r="X2636" s="10" t="str">
        <f t="shared" si="2526"/>
        <v>NA</v>
      </c>
      <c r="Y2636" s="10" t="str">
        <f t="shared" si="2527"/>
        <v>NA</v>
      </c>
      <c r="Z2636" s="10" t="str">
        <f t="shared" si="2528"/>
        <v>NA</v>
      </c>
      <c r="AA2636" s="10" t="str">
        <f t="shared" si="2529"/>
        <v>NA</v>
      </c>
      <c r="AB2636" s="10" t="str">
        <f t="shared" si="2530"/>
        <v>NA</v>
      </c>
      <c r="AC2636" s="10" t="str">
        <f t="shared" si="2531"/>
        <v>NA</v>
      </c>
      <c r="AD2636" s="10" t="str">
        <f t="shared" si="2532"/>
        <v>NA</v>
      </c>
      <c r="AE2636" s="10" t="str">
        <f t="shared" si="2533"/>
        <v>NA</v>
      </c>
      <c r="AF2636" s="1" t="s">
        <v>2529</v>
      </c>
    </row>
    <row r="2637" spans="1:32" x14ac:dyDescent="0.2">
      <c r="A2637" s="1" t="s">
        <v>6543</v>
      </c>
      <c r="B2637" s="1" t="s">
        <v>5</v>
      </c>
      <c r="C2637" s="1" t="s">
        <v>1575</v>
      </c>
      <c r="D2637" s="1" t="s">
        <v>1578</v>
      </c>
      <c r="E2637" s="1" t="s">
        <v>2496</v>
      </c>
      <c r="F2637" s="1" t="s">
        <v>2497</v>
      </c>
      <c r="G2637" s="4">
        <v>0.28179999999999999</v>
      </c>
      <c r="H2637" s="28">
        <v>40908</v>
      </c>
      <c r="I2637" s="29">
        <f t="shared" si="2524"/>
        <v>2011</v>
      </c>
      <c r="J2637" s="1" t="s">
        <v>6544</v>
      </c>
      <c r="K2637" s="1" t="s">
        <v>7</v>
      </c>
      <c r="L2637" s="11" t="str">
        <f t="shared" si="2525"/>
        <v>НЕТ</v>
      </c>
      <c r="M2637" s="10">
        <v>0</v>
      </c>
      <c r="N2637" s="10">
        <v>0</v>
      </c>
      <c r="O2637" s="10">
        <v>0.61307800000000001</v>
      </c>
      <c r="P2637" s="10">
        <f t="shared" si="2537"/>
        <v>2.1755784244144785</v>
      </c>
      <c r="Q2637" s="10" t="str">
        <f t="shared" si="2538"/>
        <v>NA</v>
      </c>
      <c r="R2637" s="10" t="s">
        <v>1575</v>
      </c>
      <c r="S2637" s="10" t="s">
        <v>1575</v>
      </c>
      <c r="T2637" s="10" t="s">
        <v>1575</v>
      </c>
      <c r="U2637" s="10" t="s">
        <v>1575</v>
      </c>
      <c r="V2637" s="10" t="s">
        <v>1575</v>
      </c>
      <c r="W2637" s="10" t="s">
        <v>1575</v>
      </c>
      <c r="X2637" s="10" t="str">
        <f t="shared" si="2526"/>
        <v>NA</v>
      </c>
      <c r="Y2637" s="10" t="str">
        <f t="shared" si="2527"/>
        <v>NA</v>
      </c>
      <c r="Z2637" s="10" t="str">
        <f t="shared" si="2528"/>
        <v>NA</v>
      </c>
      <c r="AA2637" s="10" t="str">
        <f t="shared" si="2529"/>
        <v>NA</v>
      </c>
      <c r="AB2637" s="10" t="str">
        <f t="shared" si="2530"/>
        <v>NA</v>
      </c>
      <c r="AC2637" s="10" t="str">
        <f t="shared" si="2531"/>
        <v>NA</v>
      </c>
      <c r="AD2637" s="10" t="str">
        <f t="shared" si="2532"/>
        <v>NA</v>
      </c>
      <c r="AE2637" s="10" t="str">
        <f t="shared" si="2533"/>
        <v>NA</v>
      </c>
      <c r="AF2637" s="1" t="s">
        <v>2530</v>
      </c>
    </row>
    <row r="2638" spans="1:32" x14ac:dyDescent="0.2">
      <c r="A2638" s="1" t="s">
        <v>6540</v>
      </c>
      <c r="B2638" s="1" t="s">
        <v>5</v>
      </c>
      <c r="C2638" s="1" t="s">
        <v>1575</v>
      </c>
      <c r="D2638" s="1" t="s">
        <v>1578</v>
      </c>
      <c r="E2638" s="1" t="s">
        <v>2496</v>
      </c>
      <c r="F2638" s="1" t="s">
        <v>566</v>
      </c>
      <c r="G2638" s="4">
        <v>5.9799999999999999E-2</v>
      </c>
      <c r="H2638" s="28">
        <v>40634</v>
      </c>
      <c r="I2638" s="29">
        <f t="shared" si="2524"/>
        <v>2011</v>
      </c>
      <c r="J2638" s="1" t="s">
        <v>2511</v>
      </c>
      <c r="K2638" s="1" t="s">
        <v>7</v>
      </c>
      <c r="L2638" s="11" t="str">
        <f t="shared" si="2525"/>
        <v>НЕТ</v>
      </c>
      <c r="M2638" s="10">
        <v>0</v>
      </c>
      <c r="N2638" s="10">
        <v>0</v>
      </c>
      <c r="O2638" s="10">
        <v>1.6800000000000001E-3</v>
      </c>
      <c r="P2638" s="10">
        <f t="shared" si="2537"/>
        <v>2.8093645484949834E-2</v>
      </c>
      <c r="Q2638" s="10" t="str">
        <f t="shared" si="2538"/>
        <v>NA</v>
      </c>
      <c r="R2638" s="10" t="s">
        <v>1575</v>
      </c>
      <c r="S2638" s="10" t="s">
        <v>1575</v>
      </c>
      <c r="T2638" s="10" t="s">
        <v>1575</v>
      </c>
      <c r="U2638" s="10" t="s">
        <v>1575</v>
      </c>
      <c r="V2638" s="10" t="s">
        <v>1575</v>
      </c>
      <c r="W2638" s="10" t="s">
        <v>1575</v>
      </c>
      <c r="X2638" s="10" t="str">
        <f t="shared" si="2526"/>
        <v>NA</v>
      </c>
      <c r="Y2638" s="10" t="str">
        <f t="shared" si="2527"/>
        <v>NA</v>
      </c>
      <c r="Z2638" s="10" t="str">
        <f t="shared" si="2528"/>
        <v>NA</v>
      </c>
      <c r="AA2638" s="10" t="str">
        <f t="shared" si="2529"/>
        <v>NA</v>
      </c>
      <c r="AB2638" s="10" t="str">
        <f t="shared" si="2530"/>
        <v>NA</v>
      </c>
      <c r="AC2638" s="10" t="str">
        <f t="shared" si="2531"/>
        <v>NA</v>
      </c>
      <c r="AD2638" s="10" t="str">
        <f t="shared" si="2532"/>
        <v>NA</v>
      </c>
      <c r="AE2638" s="10" t="str">
        <f t="shared" si="2533"/>
        <v>NA</v>
      </c>
      <c r="AF2638" s="1" t="s">
        <v>2526</v>
      </c>
    </row>
    <row r="2639" spans="1:32" x14ac:dyDescent="0.2">
      <c r="A2639" s="1" t="s">
        <v>6540</v>
      </c>
      <c r="B2639" s="1" t="s">
        <v>5</v>
      </c>
      <c r="C2639" s="1" t="s">
        <v>1575</v>
      </c>
      <c r="D2639" s="1" t="s">
        <v>1578</v>
      </c>
      <c r="E2639" s="1" t="s">
        <v>2496</v>
      </c>
      <c r="F2639" s="1" t="s">
        <v>566</v>
      </c>
      <c r="G2639" s="4">
        <v>0.5</v>
      </c>
      <c r="H2639" s="28">
        <v>40575</v>
      </c>
      <c r="I2639" s="29">
        <f t="shared" si="2524"/>
        <v>2011</v>
      </c>
      <c r="J2639" s="1" t="s">
        <v>2511</v>
      </c>
      <c r="K2639" s="1" t="s">
        <v>7</v>
      </c>
      <c r="L2639" s="11" t="str">
        <f t="shared" si="2525"/>
        <v>НЕТ</v>
      </c>
      <c r="M2639" s="10">
        <v>0</v>
      </c>
      <c r="N2639" s="10">
        <v>0</v>
      </c>
      <c r="O2639" s="10">
        <v>4.6470000000000001E-3</v>
      </c>
      <c r="P2639" s="10">
        <f t="shared" si="2537"/>
        <v>9.2940000000000002E-3</v>
      </c>
      <c r="Q2639" s="10" t="str">
        <f t="shared" si="2538"/>
        <v>NA</v>
      </c>
      <c r="R2639" s="10" t="s">
        <v>1575</v>
      </c>
      <c r="S2639" s="10" t="s">
        <v>1575</v>
      </c>
      <c r="T2639" s="10" t="s">
        <v>1575</v>
      </c>
      <c r="U2639" s="10" t="s">
        <v>1575</v>
      </c>
      <c r="V2639" s="10" t="s">
        <v>1575</v>
      </c>
      <c r="W2639" s="10" t="s">
        <v>1575</v>
      </c>
      <c r="X2639" s="10" t="str">
        <f t="shared" si="2526"/>
        <v>NA</v>
      </c>
      <c r="Y2639" s="10" t="str">
        <f t="shared" si="2527"/>
        <v>NA</v>
      </c>
      <c r="Z2639" s="10" t="str">
        <f t="shared" si="2528"/>
        <v>NA</v>
      </c>
      <c r="AA2639" s="10" t="str">
        <f t="shared" si="2529"/>
        <v>NA</v>
      </c>
      <c r="AB2639" s="10" t="str">
        <f t="shared" si="2530"/>
        <v>NA</v>
      </c>
      <c r="AC2639" s="10" t="str">
        <f t="shared" si="2531"/>
        <v>NA</v>
      </c>
      <c r="AD2639" s="10" t="str">
        <f t="shared" si="2532"/>
        <v>NA</v>
      </c>
      <c r="AE2639" s="10" t="str">
        <f t="shared" si="2533"/>
        <v>NA</v>
      </c>
      <c r="AF2639" s="1" t="s">
        <v>2526</v>
      </c>
    </row>
    <row r="2640" spans="1:32" x14ac:dyDescent="0.2">
      <c r="A2640" s="1" t="s">
        <v>6542</v>
      </c>
      <c r="B2640" s="1" t="s">
        <v>5</v>
      </c>
      <c r="C2640" s="1" t="s">
        <v>1575</v>
      </c>
      <c r="D2640" s="1" t="s">
        <v>1578</v>
      </c>
      <c r="E2640" s="1" t="s">
        <v>2496</v>
      </c>
      <c r="F2640" s="1" t="s">
        <v>566</v>
      </c>
      <c r="G2640" s="4">
        <v>0.5</v>
      </c>
      <c r="H2640" s="28">
        <v>40288</v>
      </c>
      <c r="I2640" s="29">
        <f t="shared" si="2524"/>
        <v>2010</v>
      </c>
      <c r="J2640" s="1" t="s">
        <v>2511</v>
      </c>
      <c r="K2640" s="1" t="s">
        <v>567</v>
      </c>
      <c r="L2640" s="11" t="str">
        <f t="shared" si="2525"/>
        <v>НЕТ</v>
      </c>
      <c r="M2640" s="10">
        <v>1.5</v>
      </c>
      <c r="N2640" s="10">
        <v>0</v>
      </c>
      <c r="O2640" s="10">
        <v>4.58E-2</v>
      </c>
      <c r="P2640" s="10">
        <f t="shared" si="2537"/>
        <v>9.1600000000000001E-2</v>
      </c>
      <c r="Q2640" s="10" t="str">
        <f t="shared" si="2538"/>
        <v>NA</v>
      </c>
      <c r="R2640" s="10" t="s">
        <v>1575</v>
      </c>
      <c r="S2640" s="10" t="s">
        <v>1575</v>
      </c>
      <c r="T2640" s="10" t="s">
        <v>1575</v>
      </c>
      <c r="U2640" s="10" t="s">
        <v>1575</v>
      </c>
      <c r="V2640" s="10" t="s">
        <v>1575</v>
      </c>
      <c r="W2640" s="10" t="s">
        <v>1575</v>
      </c>
      <c r="X2640" s="10" t="str">
        <f t="shared" si="2526"/>
        <v>NA</v>
      </c>
      <c r="Y2640" s="10" t="str">
        <f t="shared" si="2527"/>
        <v>NA</v>
      </c>
      <c r="Z2640" s="10" t="str">
        <f t="shared" si="2528"/>
        <v>NA</v>
      </c>
      <c r="AA2640" s="10" t="str">
        <f t="shared" si="2529"/>
        <v>NA</v>
      </c>
      <c r="AB2640" s="10" t="str">
        <f t="shared" si="2530"/>
        <v>NA</v>
      </c>
      <c r="AC2640" s="10" t="str">
        <f t="shared" si="2531"/>
        <v>NA</v>
      </c>
      <c r="AD2640" s="10" t="str">
        <f t="shared" si="2532"/>
        <v>NA</v>
      </c>
      <c r="AE2640" s="10" t="str">
        <f t="shared" si="2533"/>
        <v>NA</v>
      </c>
      <c r="AF2640" s="1" t="s">
        <v>2528</v>
      </c>
    </row>
    <row r="2641" spans="1:32" x14ac:dyDescent="0.2">
      <c r="A2641" s="1" t="s">
        <v>6545</v>
      </c>
      <c r="B2641" s="1" t="s">
        <v>5</v>
      </c>
      <c r="C2641" s="1" t="s">
        <v>1575</v>
      </c>
      <c r="D2641" s="1" t="s">
        <v>1578</v>
      </c>
      <c r="E2641" s="1" t="s">
        <v>2496</v>
      </c>
      <c r="F2641" s="1" t="s">
        <v>566</v>
      </c>
      <c r="G2641" s="4">
        <v>0.6</v>
      </c>
      <c r="H2641" s="28">
        <v>40298</v>
      </c>
      <c r="I2641" s="29">
        <f t="shared" si="2524"/>
        <v>2010</v>
      </c>
      <c r="J2641" s="1" t="s">
        <v>2511</v>
      </c>
      <c r="K2641" s="1" t="s">
        <v>7</v>
      </c>
      <c r="L2641" s="11" t="str">
        <f t="shared" si="2525"/>
        <v>НЕТ</v>
      </c>
      <c r="M2641" s="10">
        <v>0</v>
      </c>
      <c r="N2641" s="10">
        <v>0</v>
      </c>
      <c r="O2641" s="10" t="s">
        <v>1575</v>
      </c>
      <c r="P2641" s="10" t="str">
        <f t="shared" si="2537"/>
        <v>NA</v>
      </c>
      <c r="Q2641" s="10" t="str">
        <f t="shared" si="2538"/>
        <v>NA</v>
      </c>
      <c r="R2641" s="10" t="s">
        <v>1575</v>
      </c>
      <c r="S2641" s="10" t="s">
        <v>1575</v>
      </c>
      <c r="T2641" s="10" t="s">
        <v>1575</v>
      </c>
      <c r="U2641" s="10" t="s">
        <v>1575</v>
      </c>
      <c r="V2641" s="10" t="s">
        <v>1575</v>
      </c>
      <c r="W2641" s="10" t="s">
        <v>1575</v>
      </c>
      <c r="X2641" s="10" t="str">
        <f t="shared" si="2526"/>
        <v>NA</v>
      </c>
      <c r="Y2641" s="10" t="str">
        <f t="shared" si="2527"/>
        <v>NA</v>
      </c>
      <c r="Z2641" s="10" t="str">
        <f t="shared" si="2528"/>
        <v>NA</v>
      </c>
      <c r="AA2641" s="10" t="str">
        <f t="shared" si="2529"/>
        <v>NA</v>
      </c>
      <c r="AB2641" s="10" t="str">
        <f t="shared" si="2530"/>
        <v>NA</v>
      </c>
      <c r="AC2641" s="10" t="str">
        <f t="shared" si="2531"/>
        <v>NA</v>
      </c>
      <c r="AD2641" s="10" t="str">
        <f t="shared" si="2532"/>
        <v>NA</v>
      </c>
      <c r="AE2641" s="10" t="str">
        <f t="shared" si="2533"/>
        <v>NA</v>
      </c>
      <c r="AF2641" s="1" t="s">
        <v>2521</v>
      </c>
    </row>
    <row r="2642" spans="1:32" x14ac:dyDescent="0.2">
      <c r="A2642" s="1" t="s">
        <v>2511</v>
      </c>
      <c r="B2642" s="1" t="s">
        <v>5</v>
      </c>
      <c r="C2642" s="1" t="s">
        <v>2513</v>
      </c>
      <c r="D2642" s="1" t="s">
        <v>1578</v>
      </c>
      <c r="E2642" s="1" t="s">
        <v>2496</v>
      </c>
      <c r="F2642" s="1" t="s">
        <v>566</v>
      </c>
      <c r="G2642" s="4">
        <v>0.2</v>
      </c>
      <c r="H2642" s="28">
        <v>40157</v>
      </c>
      <c r="I2642" s="29">
        <f t="shared" si="2524"/>
        <v>2009</v>
      </c>
      <c r="J2642" s="1" t="s">
        <v>7</v>
      </c>
      <c r="K2642" s="1" t="s">
        <v>2511</v>
      </c>
      <c r="L2642" s="11" t="str">
        <f t="shared" si="2525"/>
        <v>ДА</v>
      </c>
      <c r="M2642" s="10">
        <v>0</v>
      </c>
      <c r="N2642" s="10">
        <v>0</v>
      </c>
      <c r="O2642" s="10">
        <f>15000000*9.5/1000000000</f>
        <v>0.14249999999999999</v>
      </c>
      <c r="P2642" s="10">
        <f t="shared" si="2537"/>
        <v>0.71249999999999991</v>
      </c>
      <c r="Q2642" s="10" t="str">
        <f t="shared" si="2538"/>
        <v>NA</v>
      </c>
      <c r="R2642" s="10" t="s">
        <v>1575</v>
      </c>
      <c r="S2642" s="10" t="s">
        <v>1575</v>
      </c>
      <c r="T2642" s="10" t="s">
        <v>1575</v>
      </c>
      <c r="U2642" s="10" t="s">
        <v>1575</v>
      </c>
      <c r="V2642" s="10" t="s">
        <v>1575</v>
      </c>
      <c r="W2642" s="10" t="s">
        <v>1575</v>
      </c>
      <c r="X2642" s="10" t="str">
        <f t="shared" si="2526"/>
        <v>NA</v>
      </c>
      <c r="Y2642" s="10" t="str">
        <f t="shared" si="2527"/>
        <v>NA</v>
      </c>
      <c r="Z2642" s="10" t="str">
        <f t="shared" si="2528"/>
        <v>NA</v>
      </c>
      <c r="AA2642" s="10" t="str">
        <f t="shared" si="2529"/>
        <v>NA</v>
      </c>
      <c r="AB2642" s="10" t="str">
        <f t="shared" si="2530"/>
        <v>NA</v>
      </c>
      <c r="AC2642" s="10" t="str">
        <f t="shared" si="2531"/>
        <v>NA</v>
      </c>
      <c r="AD2642" s="10" t="str">
        <f t="shared" si="2532"/>
        <v>NA</v>
      </c>
      <c r="AE2642" s="10" t="str">
        <f t="shared" si="2533"/>
        <v>NA</v>
      </c>
      <c r="AF2642" s="1" t="s">
        <v>2514</v>
      </c>
    </row>
    <row r="2643" spans="1:32" x14ac:dyDescent="0.2">
      <c r="A2643" s="1" t="s">
        <v>2492</v>
      </c>
      <c r="B2643" s="1" t="s">
        <v>5</v>
      </c>
      <c r="C2643" s="1" t="s">
        <v>2498</v>
      </c>
      <c r="D2643" s="1" t="s">
        <v>1578</v>
      </c>
      <c r="E2643" s="1" t="s">
        <v>2496</v>
      </c>
      <c r="F2643" s="1" t="s">
        <v>2497</v>
      </c>
      <c r="G2643" s="4">
        <f>139384100/440394854</f>
        <v>0.31649802156861717</v>
      </c>
      <c r="H2643" s="28">
        <v>45107</v>
      </c>
      <c r="I2643" s="29">
        <f t="shared" si="2524"/>
        <v>2023</v>
      </c>
      <c r="J2643" s="1" t="s">
        <v>7</v>
      </c>
      <c r="K2643" s="1" t="s">
        <v>2492</v>
      </c>
      <c r="L2643" s="11" t="str">
        <f t="shared" si="2525"/>
        <v>ДА</v>
      </c>
      <c r="M2643" s="10">
        <v>0</v>
      </c>
      <c r="N2643" s="10">
        <v>0</v>
      </c>
      <c r="O2643" s="10">
        <f>139384100*5.05/1000000000</f>
        <v>0.70388970500000003</v>
      </c>
      <c r="P2643" s="10">
        <f t="shared" si="2537"/>
        <v>2.2239940127</v>
      </c>
      <c r="Q2643" s="10" t="str">
        <f t="shared" si="2538"/>
        <v>NA</v>
      </c>
      <c r="R2643" s="10" t="s">
        <v>1575</v>
      </c>
      <c r="S2643" s="10" t="s">
        <v>1575</v>
      </c>
      <c r="T2643" s="10" t="s">
        <v>1575</v>
      </c>
      <c r="U2643" s="10" t="s">
        <v>1575</v>
      </c>
      <c r="V2643" s="10" t="s">
        <v>1575</v>
      </c>
      <c r="W2643" s="10" t="s">
        <v>1575</v>
      </c>
      <c r="X2643" s="10" t="str">
        <f t="shared" si="2526"/>
        <v>NA</v>
      </c>
      <c r="Y2643" s="10" t="str">
        <f t="shared" si="2527"/>
        <v>NA</v>
      </c>
      <c r="Z2643" s="10" t="str">
        <f t="shared" si="2528"/>
        <v>NA</v>
      </c>
      <c r="AA2643" s="10" t="str">
        <f t="shared" si="2529"/>
        <v>NA</v>
      </c>
      <c r="AB2643" s="10" t="str">
        <f t="shared" si="2530"/>
        <v>NA</v>
      </c>
      <c r="AC2643" s="10" t="str">
        <f t="shared" si="2531"/>
        <v>NA</v>
      </c>
      <c r="AD2643" s="10" t="str">
        <f t="shared" si="2532"/>
        <v>NA</v>
      </c>
      <c r="AE2643" s="10" t="str">
        <f t="shared" si="2533"/>
        <v>NA</v>
      </c>
      <c r="AF2643" s="1" t="s">
        <v>2491</v>
      </c>
    </row>
    <row r="2644" spans="1:32" x14ac:dyDescent="0.2">
      <c r="A2644" s="1" t="s">
        <v>6546</v>
      </c>
      <c r="B2644" s="1" t="s">
        <v>5</v>
      </c>
      <c r="C2644" s="1" t="s">
        <v>1575</v>
      </c>
      <c r="D2644" s="1" t="s">
        <v>1578</v>
      </c>
      <c r="E2644" s="1" t="s">
        <v>2496</v>
      </c>
      <c r="F2644" s="1" t="s">
        <v>2499</v>
      </c>
      <c r="G2644" s="4">
        <v>1</v>
      </c>
      <c r="H2644" s="28">
        <v>45105</v>
      </c>
      <c r="I2644" s="29">
        <f t="shared" ref="I2644:I2714" si="2539">YEAR(H2644)</f>
        <v>2023</v>
      </c>
      <c r="J2644" s="1" t="s">
        <v>7</v>
      </c>
      <c r="K2644" s="1" t="s">
        <v>2492</v>
      </c>
      <c r="L2644" s="11" t="str">
        <f t="shared" si="2525"/>
        <v>НЕТ</v>
      </c>
      <c r="M2644" s="10">
        <v>0</v>
      </c>
      <c r="N2644" s="10">
        <v>0</v>
      </c>
      <c r="O2644" s="10" t="s">
        <v>1575</v>
      </c>
      <c r="P2644" s="10" t="str">
        <f t="shared" si="2537"/>
        <v>NA</v>
      </c>
      <c r="Q2644" s="10" t="str">
        <f t="shared" si="2538"/>
        <v>NA</v>
      </c>
      <c r="R2644" s="10" t="s">
        <v>1575</v>
      </c>
      <c r="S2644" s="10" t="s">
        <v>1575</v>
      </c>
      <c r="T2644" s="10" t="s">
        <v>1575</v>
      </c>
      <c r="U2644" s="10" t="s">
        <v>1575</v>
      </c>
      <c r="V2644" s="10" t="s">
        <v>1575</v>
      </c>
      <c r="W2644" s="10" t="s">
        <v>1575</v>
      </c>
      <c r="X2644" s="10" t="str">
        <f t="shared" si="2526"/>
        <v>NA</v>
      </c>
      <c r="Y2644" s="10" t="str">
        <f t="shared" si="2527"/>
        <v>NA</v>
      </c>
      <c r="Z2644" s="10" t="str">
        <f t="shared" si="2528"/>
        <v>NA</v>
      </c>
      <c r="AA2644" s="10" t="str">
        <f t="shared" si="2529"/>
        <v>NA</v>
      </c>
      <c r="AB2644" s="10" t="str">
        <f t="shared" si="2530"/>
        <v>NA</v>
      </c>
      <c r="AC2644" s="10" t="str">
        <f t="shared" si="2531"/>
        <v>NA</v>
      </c>
      <c r="AD2644" s="10" t="str">
        <f t="shared" si="2532"/>
        <v>NA</v>
      </c>
      <c r="AE2644" s="10" t="str">
        <f t="shared" si="2533"/>
        <v>NA</v>
      </c>
      <c r="AF2644" s="1" t="s">
        <v>2490</v>
      </c>
    </row>
    <row r="2645" spans="1:32" x14ac:dyDescent="0.2">
      <c r="A2645" s="1" t="s">
        <v>2492</v>
      </c>
      <c r="B2645" s="1" t="s">
        <v>5</v>
      </c>
      <c r="C2645" s="1" t="s">
        <v>2498</v>
      </c>
      <c r="D2645" s="1" t="s">
        <v>1578</v>
      </c>
      <c r="E2645" s="1" t="s">
        <v>2496</v>
      </c>
      <c r="F2645" s="1" t="s">
        <v>2497</v>
      </c>
      <c r="G2645" s="4">
        <f>11909100/301010754</f>
        <v>3.9563702763921849E-2</v>
      </c>
      <c r="H2645" s="28">
        <v>44196</v>
      </c>
      <c r="I2645" s="29">
        <f t="shared" si="2539"/>
        <v>2020</v>
      </c>
      <c r="J2645" s="1" t="s">
        <v>7</v>
      </c>
      <c r="K2645" s="1" t="s">
        <v>2500</v>
      </c>
      <c r="L2645" s="11" t="str">
        <f t="shared" si="2525"/>
        <v>НЕТ</v>
      </c>
      <c r="M2645" s="10">
        <v>0</v>
      </c>
      <c r="N2645" s="10">
        <v>0</v>
      </c>
      <c r="O2645" s="10" t="s">
        <v>1575</v>
      </c>
      <c r="P2645" s="10" t="str">
        <f t="shared" si="2537"/>
        <v>NA</v>
      </c>
      <c r="Q2645" s="10" t="str">
        <f t="shared" si="2538"/>
        <v>NA</v>
      </c>
      <c r="R2645" s="10">
        <v>0.37165700000000002</v>
      </c>
      <c r="S2645" s="10">
        <v>-0.45547300000000002</v>
      </c>
      <c r="T2645" s="10">
        <v>-0.49987100000000001</v>
      </c>
      <c r="U2645" s="10">
        <v>-0.524814</v>
      </c>
      <c r="V2645" s="10">
        <v>1.0141229999999997</v>
      </c>
      <c r="W2645" s="10">
        <v>6.6683999999999966E-2</v>
      </c>
      <c r="X2645" s="10">
        <f t="shared" si="2526"/>
        <v>1.0808069999999996</v>
      </c>
      <c r="Y2645" s="10" t="str">
        <f t="shared" si="2527"/>
        <v>NA</v>
      </c>
      <c r="Z2645" s="10" t="str">
        <f t="shared" si="2528"/>
        <v>NA</v>
      </c>
      <c r="AA2645" s="10" t="str">
        <f t="shared" si="2529"/>
        <v>NA</v>
      </c>
      <c r="AB2645" s="10" t="str">
        <f t="shared" si="2530"/>
        <v>NA</v>
      </c>
      <c r="AC2645" s="10" t="str">
        <f t="shared" si="2531"/>
        <v>NA</v>
      </c>
      <c r="AD2645" s="10" t="str">
        <f t="shared" si="2532"/>
        <v>NA</v>
      </c>
      <c r="AE2645" s="10" t="str">
        <f t="shared" si="2533"/>
        <v>NA</v>
      </c>
      <c r="AF2645" s="1" t="s">
        <v>2489</v>
      </c>
    </row>
    <row r="2646" spans="1:32" x14ac:dyDescent="0.2">
      <c r="A2646" s="1" t="s">
        <v>2492</v>
      </c>
      <c r="B2646" s="1" t="s">
        <v>5</v>
      </c>
      <c r="C2646" s="1" t="s">
        <v>2498</v>
      </c>
      <c r="D2646" s="1" t="s">
        <v>1578</v>
      </c>
      <c r="E2646" s="1" t="s">
        <v>2496</v>
      </c>
      <c r="F2646" s="1" t="s">
        <v>2497</v>
      </c>
      <c r="G2646" s="4">
        <f>58087621/301010754</f>
        <v>0.19297523503097169</v>
      </c>
      <c r="H2646" s="28">
        <v>42794</v>
      </c>
      <c r="I2646" s="29">
        <f t="shared" si="2539"/>
        <v>2017</v>
      </c>
      <c r="J2646" s="1" t="s">
        <v>6547</v>
      </c>
      <c r="K2646" s="1" t="s">
        <v>2492</v>
      </c>
      <c r="L2646" s="11" t="str">
        <f t="shared" si="2525"/>
        <v>ДА</v>
      </c>
      <c r="M2646" s="10">
        <v>0</v>
      </c>
      <c r="N2646" s="10">
        <v>0</v>
      </c>
      <c r="O2646" s="10" t="s">
        <v>1575</v>
      </c>
      <c r="P2646" s="10" t="str">
        <f t="shared" si="2537"/>
        <v>NA</v>
      </c>
      <c r="Q2646" s="10" t="str">
        <f t="shared" si="2538"/>
        <v>NA</v>
      </c>
      <c r="R2646" s="10">
        <v>0.66100000000000003</v>
      </c>
      <c r="S2646" s="10">
        <v>-0.51221099999999997</v>
      </c>
      <c r="T2646" s="10">
        <v>-0.58413300000000001</v>
      </c>
      <c r="U2646" s="10">
        <v>-0.65436700000000003</v>
      </c>
      <c r="V2646" s="10">
        <v>4.9715369999999997</v>
      </c>
      <c r="W2646" s="10">
        <v>-0.32393900000000003</v>
      </c>
      <c r="X2646" s="10">
        <f t="shared" si="2526"/>
        <v>4.6475979999999995</v>
      </c>
      <c r="Y2646" s="10" t="str">
        <f t="shared" si="2527"/>
        <v>NA</v>
      </c>
      <c r="Z2646" s="10" t="str">
        <f t="shared" si="2528"/>
        <v>NA</v>
      </c>
      <c r="AA2646" s="10" t="str">
        <f t="shared" si="2529"/>
        <v>NA</v>
      </c>
      <c r="AB2646" s="10" t="str">
        <f t="shared" si="2530"/>
        <v>NA</v>
      </c>
      <c r="AC2646" s="10" t="str">
        <f t="shared" si="2531"/>
        <v>NA</v>
      </c>
      <c r="AD2646" s="10" t="str">
        <f t="shared" si="2532"/>
        <v>NA</v>
      </c>
      <c r="AE2646" s="10" t="str">
        <f t="shared" si="2533"/>
        <v>NA</v>
      </c>
      <c r="AF2646" s="1" t="s">
        <v>2502</v>
      </c>
    </row>
    <row r="2647" spans="1:32" x14ac:dyDescent="0.2">
      <c r="A2647" s="1" t="s">
        <v>2492</v>
      </c>
      <c r="B2647" s="1" t="s">
        <v>5</v>
      </c>
      <c r="C2647" s="1" t="s">
        <v>2498</v>
      </c>
      <c r="D2647" s="1" t="s">
        <v>1578</v>
      </c>
      <c r="E2647" s="1" t="s">
        <v>2496</v>
      </c>
      <c r="F2647" s="1" t="s">
        <v>2497</v>
      </c>
      <c r="G2647" s="4">
        <f>57760628/301010754</f>
        <v>0.19188891836070415</v>
      </c>
      <c r="H2647" s="28">
        <v>42794</v>
      </c>
      <c r="I2647" s="29">
        <f t="shared" si="2539"/>
        <v>2017</v>
      </c>
      <c r="J2647" s="1" t="s">
        <v>6548</v>
      </c>
      <c r="K2647" s="1" t="s">
        <v>2492</v>
      </c>
      <c r="L2647" s="11" t="str">
        <f t="shared" si="2525"/>
        <v>ДА</v>
      </c>
      <c r="M2647" s="10">
        <v>0</v>
      </c>
      <c r="N2647" s="10">
        <v>0</v>
      </c>
      <c r="O2647" s="10" t="s">
        <v>1575</v>
      </c>
      <c r="P2647" s="10" t="str">
        <f t="shared" si="2537"/>
        <v>NA</v>
      </c>
      <c r="Q2647" s="10" t="str">
        <f t="shared" si="2538"/>
        <v>NA</v>
      </c>
      <c r="R2647" s="10">
        <v>0.66100000000000003</v>
      </c>
      <c r="S2647" s="10">
        <v>-0.51221099999999997</v>
      </c>
      <c r="T2647" s="10">
        <v>-0.58413300000000001</v>
      </c>
      <c r="U2647" s="10">
        <v>-0.65436700000000003</v>
      </c>
      <c r="V2647" s="10">
        <v>4.9715369999999997</v>
      </c>
      <c r="W2647" s="10">
        <v>-0.32393900000000003</v>
      </c>
      <c r="X2647" s="10">
        <f t="shared" si="2526"/>
        <v>4.6475979999999995</v>
      </c>
      <c r="Y2647" s="10" t="str">
        <f t="shared" si="2527"/>
        <v>NA</v>
      </c>
      <c r="Z2647" s="10" t="str">
        <f t="shared" si="2528"/>
        <v>NA</v>
      </c>
      <c r="AA2647" s="10" t="str">
        <f t="shared" si="2529"/>
        <v>NA</v>
      </c>
      <c r="AB2647" s="10" t="str">
        <f t="shared" si="2530"/>
        <v>NA</v>
      </c>
      <c r="AC2647" s="10" t="str">
        <f t="shared" si="2531"/>
        <v>NA</v>
      </c>
      <c r="AD2647" s="10" t="str">
        <f t="shared" si="2532"/>
        <v>NA</v>
      </c>
      <c r="AE2647" s="10" t="str">
        <f t="shared" si="2533"/>
        <v>NA</v>
      </c>
      <c r="AF2647" s="1" t="s">
        <v>2502</v>
      </c>
    </row>
    <row r="2648" spans="1:32" x14ac:dyDescent="0.2">
      <c r="A2648" s="1" t="s">
        <v>2492</v>
      </c>
      <c r="B2648" s="1" t="s">
        <v>5</v>
      </c>
      <c r="C2648" s="1" t="s">
        <v>2498</v>
      </c>
      <c r="D2648" s="1" t="s">
        <v>1578</v>
      </c>
      <c r="E2648" s="1" t="s">
        <v>2496</v>
      </c>
      <c r="F2648" s="1" t="s">
        <v>2497</v>
      </c>
      <c r="G2648" s="4">
        <f>21611001/301010754</f>
        <v>7.1794780461564511E-2</v>
      </c>
      <c r="H2648" s="28">
        <v>42794</v>
      </c>
      <c r="I2648" s="29">
        <f t="shared" si="2539"/>
        <v>2017</v>
      </c>
      <c r="J2648" s="1" t="s">
        <v>2501</v>
      </c>
      <c r="K2648" s="1" t="s">
        <v>2492</v>
      </c>
      <c r="L2648" s="11" t="str">
        <f t="shared" si="2525"/>
        <v>ДА</v>
      </c>
      <c r="M2648" s="10">
        <v>0</v>
      </c>
      <c r="N2648" s="10">
        <v>0</v>
      </c>
      <c r="O2648" s="10" t="s">
        <v>1575</v>
      </c>
      <c r="P2648" s="10" t="str">
        <f t="shared" si="2537"/>
        <v>NA</v>
      </c>
      <c r="Q2648" s="10" t="str">
        <f t="shared" si="2538"/>
        <v>NA</v>
      </c>
      <c r="R2648" s="10">
        <v>0.66100000000000003</v>
      </c>
      <c r="S2648" s="10">
        <v>-0.51221099999999997</v>
      </c>
      <c r="T2648" s="10">
        <v>-0.58413300000000001</v>
      </c>
      <c r="U2648" s="10">
        <v>-0.65436700000000003</v>
      </c>
      <c r="V2648" s="10">
        <v>4.9715369999999997</v>
      </c>
      <c r="W2648" s="10">
        <v>-0.32393900000000003</v>
      </c>
      <c r="X2648" s="10">
        <f t="shared" si="2526"/>
        <v>4.6475979999999995</v>
      </c>
      <c r="Y2648" s="10" t="str">
        <f t="shared" si="2527"/>
        <v>NA</v>
      </c>
      <c r="Z2648" s="10" t="str">
        <f t="shared" si="2528"/>
        <v>NA</v>
      </c>
      <c r="AA2648" s="10" t="str">
        <f t="shared" si="2529"/>
        <v>NA</v>
      </c>
      <c r="AB2648" s="10" t="str">
        <f t="shared" si="2530"/>
        <v>NA</v>
      </c>
      <c r="AC2648" s="10" t="str">
        <f t="shared" si="2531"/>
        <v>NA</v>
      </c>
      <c r="AD2648" s="10" t="str">
        <f t="shared" si="2532"/>
        <v>NA</v>
      </c>
      <c r="AE2648" s="10" t="str">
        <f t="shared" si="2533"/>
        <v>NA</v>
      </c>
      <c r="AF2648" s="1" t="s">
        <v>2502</v>
      </c>
    </row>
    <row r="2649" spans="1:32" x14ac:dyDescent="0.2">
      <c r="A2649" s="1" t="s">
        <v>2492</v>
      </c>
      <c r="B2649" s="1" t="s">
        <v>5</v>
      </c>
      <c r="C2649" s="1" t="s">
        <v>2498</v>
      </c>
      <c r="D2649" s="1" t="s">
        <v>1578</v>
      </c>
      <c r="E2649" s="1" t="s">
        <v>2496</v>
      </c>
      <c r="F2649" s="1" t="s">
        <v>2497</v>
      </c>
      <c r="G2649" s="4">
        <f>11827112/301010754</f>
        <v>3.929132711318347E-2</v>
      </c>
      <c r="H2649" s="28">
        <v>42794</v>
      </c>
      <c r="I2649" s="29">
        <f t="shared" si="2539"/>
        <v>2017</v>
      </c>
      <c r="J2649" s="1" t="s">
        <v>2500</v>
      </c>
      <c r="K2649" s="1" t="s">
        <v>2492</v>
      </c>
      <c r="L2649" s="11" t="str">
        <f t="shared" si="2525"/>
        <v>ДА</v>
      </c>
      <c r="M2649" s="10">
        <v>0</v>
      </c>
      <c r="N2649" s="10">
        <v>0</v>
      </c>
      <c r="O2649" s="10" t="s">
        <v>1575</v>
      </c>
      <c r="P2649" s="10" t="str">
        <f t="shared" si="2537"/>
        <v>NA</v>
      </c>
      <c r="Q2649" s="10" t="str">
        <f t="shared" si="2538"/>
        <v>NA</v>
      </c>
      <c r="R2649" s="10">
        <v>0.66100000000000003</v>
      </c>
      <c r="S2649" s="10">
        <v>-0.51221099999999997</v>
      </c>
      <c r="T2649" s="10">
        <v>-0.58413300000000001</v>
      </c>
      <c r="U2649" s="10">
        <v>-0.65436700000000003</v>
      </c>
      <c r="V2649" s="10">
        <v>4.9715369999999997</v>
      </c>
      <c r="W2649" s="10">
        <v>-0.32393900000000003</v>
      </c>
      <c r="X2649" s="10">
        <f t="shared" si="2526"/>
        <v>4.6475979999999995</v>
      </c>
      <c r="Y2649" s="10" t="str">
        <f t="shared" si="2527"/>
        <v>NA</v>
      </c>
      <c r="Z2649" s="10" t="str">
        <f t="shared" si="2528"/>
        <v>NA</v>
      </c>
      <c r="AA2649" s="10" t="str">
        <f t="shared" si="2529"/>
        <v>NA</v>
      </c>
      <c r="AB2649" s="10" t="str">
        <f t="shared" si="2530"/>
        <v>NA</v>
      </c>
      <c r="AC2649" s="10" t="str">
        <f t="shared" si="2531"/>
        <v>NA</v>
      </c>
      <c r="AD2649" s="10" t="str">
        <f t="shared" si="2532"/>
        <v>NA</v>
      </c>
      <c r="AE2649" s="10" t="str">
        <f t="shared" si="2533"/>
        <v>NA</v>
      </c>
      <c r="AF2649" s="1" t="s">
        <v>2502</v>
      </c>
    </row>
    <row r="2650" spans="1:32" x14ac:dyDescent="0.2">
      <c r="A2650" s="1" t="s">
        <v>2504</v>
      </c>
      <c r="B2650" s="1" t="s">
        <v>5</v>
      </c>
      <c r="C2650" s="1" t="s">
        <v>1575</v>
      </c>
      <c r="D2650" s="1" t="s">
        <v>1578</v>
      </c>
      <c r="E2650" s="1" t="s">
        <v>2496</v>
      </c>
      <c r="F2650" s="1" t="s">
        <v>2497</v>
      </c>
      <c r="G2650" s="4">
        <v>1</v>
      </c>
      <c r="H2650" s="28">
        <v>42794</v>
      </c>
      <c r="I2650" s="29">
        <f t="shared" si="2539"/>
        <v>2017</v>
      </c>
      <c r="J2650" s="1" t="s">
        <v>2492</v>
      </c>
      <c r="K2650" s="1" t="s">
        <v>6549</v>
      </c>
      <c r="L2650" s="11" t="str">
        <f t="shared" si="2525"/>
        <v>НЕТ</v>
      </c>
      <c r="M2650" s="10">
        <v>0</v>
      </c>
      <c r="N2650" s="10">
        <v>0</v>
      </c>
      <c r="O2650" s="10">
        <f>98520156*25.45/10^9</f>
        <v>2.5073379701999996</v>
      </c>
      <c r="P2650" s="10">
        <f t="shared" si="2537"/>
        <v>2.5073379701999996</v>
      </c>
      <c r="Q2650" s="10">
        <f t="shared" si="2538"/>
        <v>2.4771419701999995</v>
      </c>
      <c r="R2650" s="10" t="s">
        <v>1575</v>
      </c>
      <c r="S2650" s="10" t="s">
        <v>1575</v>
      </c>
      <c r="T2650" s="10" t="s">
        <v>1575</v>
      </c>
      <c r="U2650" s="10" t="s">
        <v>1575</v>
      </c>
      <c r="V2650" s="10">
        <v>0.64565799999999995</v>
      </c>
      <c r="W2650" s="10">
        <f>0-0.028-0.002196</f>
        <v>-3.0196000000000001E-2</v>
      </c>
      <c r="X2650" s="10">
        <f t="shared" si="2526"/>
        <v>0.61546199999999995</v>
      </c>
      <c r="Y2650" s="10" t="str">
        <f t="shared" si="2527"/>
        <v>NA</v>
      </c>
      <c r="Z2650" s="10" t="str">
        <f t="shared" si="2528"/>
        <v>NA</v>
      </c>
      <c r="AA2650" s="10">
        <f t="shared" si="2529"/>
        <v>3.883384036440344</v>
      </c>
      <c r="AB2650" s="10" t="str">
        <f t="shared" si="2530"/>
        <v>NA</v>
      </c>
      <c r="AC2650" s="10" t="str">
        <f t="shared" si="2531"/>
        <v>NA</v>
      </c>
      <c r="AD2650" s="10" t="str">
        <f t="shared" si="2532"/>
        <v>NA</v>
      </c>
      <c r="AE2650" s="10">
        <f t="shared" si="2533"/>
        <v>4.0248495767407242</v>
      </c>
      <c r="AF2650" s="1" t="s">
        <v>2505</v>
      </c>
    </row>
    <row r="2651" spans="1:32" x14ac:dyDescent="0.2">
      <c r="A2651" s="1" t="s">
        <v>2494</v>
      </c>
      <c r="B2651" s="1" t="s">
        <v>75</v>
      </c>
      <c r="C2651" s="1" t="s">
        <v>2495</v>
      </c>
      <c r="D2651" s="1" t="s">
        <v>1578</v>
      </c>
      <c r="E2651" s="1" t="s">
        <v>2496</v>
      </c>
      <c r="F2651" s="1" t="s">
        <v>2497</v>
      </c>
      <c r="G2651" s="4">
        <v>0.47199999999999998</v>
      </c>
      <c r="H2651" s="28">
        <v>42487</v>
      </c>
      <c r="I2651" s="29">
        <f t="shared" si="2539"/>
        <v>2016</v>
      </c>
      <c r="J2651" s="1" t="s">
        <v>2492</v>
      </c>
      <c r="K2651" s="1" t="s">
        <v>7</v>
      </c>
      <c r="L2651" s="11" t="str">
        <f t="shared" ref="L2651:L3446" si="2540">IF(OR(A2651=J2651,A2651=K2651),"ДА","НЕТ")</f>
        <v>НЕТ</v>
      </c>
      <c r="M2651" s="10">
        <v>0</v>
      </c>
      <c r="N2651" s="10">
        <v>0</v>
      </c>
      <c r="O2651" s="10">
        <v>0.44118200000000002</v>
      </c>
      <c r="P2651" s="10">
        <f t="shared" si="2537"/>
        <v>0.93470762711864419</v>
      </c>
      <c r="Q2651" s="10">
        <f t="shared" si="2538"/>
        <v>0.96861862711864422</v>
      </c>
      <c r="R2651" s="10">
        <v>0.20110500000000001</v>
      </c>
      <c r="S2651" s="10" t="s">
        <v>1575</v>
      </c>
      <c r="T2651" s="10" t="s">
        <v>1575</v>
      </c>
      <c r="U2651" s="10">
        <v>-2.6232999999999999E-2</v>
      </c>
      <c r="V2651" s="10">
        <v>1.8652999999999999E-2</v>
      </c>
      <c r="W2651" s="10">
        <f>0.011378+0.038438+0.001577+0.000279-0.017761</f>
        <v>3.3911000000000004E-2</v>
      </c>
      <c r="X2651" s="10">
        <f t="shared" si="2526"/>
        <v>5.2564E-2</v>
      </c>
      <c r="Y2651" s="10">
        <f t="shared" si="2527"/>
        <v>4.6478587161862919</v>
      </c>
      <c r="Z2651" s="10">
        <f t="shared" si="2528"/>
        <v>-35.630984909032293</v>
      </c>
      <c r="AA2651" s="10">
        <f t="shared" si="2529"/>
        <v>50.110310787468194</v>
      </c>
      <c r="AB2651" s="10">
        <f t="shared" si="2530"/>
        <v>4.8164820721446215</v>
      </c>
      <c r="AC2651" s="10" t="str">
        <f t="shared" si="2531"/>
        <v>NA</v>
      </c>
      <c r="AD2651" s="10" t="str">
        <f t="shared" si="2532"/>
        <v>NA</v>
      </c>
      <c r="AE2651" s="10">
        <f t="shared" si="2533"/>
        <v>18.427414715749261</v>
      </c>
      <c r="AF2651" s="1" t="s">
        <v>2493</v>
      </c>
    </row>
    <row r="2652" spans="1:32" x14ac:dyDescent="0.2">
      <c r="A2652" s="1" t="s">
        <v>2492</v>
      </c>
      <c r="B2652" s="1" t="s">
        <v>5</v>
      </c>
      <c r="C2652" s="1" t="s">
        <v>2498</v>
      </c>
      <c r="D2652" s="1" t="s">
        <v>1578</v>
      </c>
      <c r="E2652" s="1" t="s">
        <v>2496</v>
      </c>
      <c r="F2652" s="1" t="s">
        <v>2497</v>
      </c>
      <c r="G2652" s="4">
        <f>14873100/151724392</f>
        <v>9.8027085849188969E-2</v>
      </c>
      <c r="H2652" s="28">
        <v>41759</v>
      </c>
      <c r="I2652" s="29">
        <f t="shared" si="2539"/>
        <v>2014</v>
      </c>
      <c r="J2652" s="1" t="s">
        <v>6547</v>
      </c>
      <c r="K2652" s="1" t="s">
        <v>2492</v>
      </c>
      <c r="L2652" s="11" t="str">
        <f t="shared" si="2540"/>
        <v>ДА</v>
      </c>
      <c r="M2652" s="10">
        <v>0</v>
      </c>
      <c r="N2652" s="10">
        <v>0</v>
      </c>
      <c r="O2652" s="10" t="s">
        <v>1575</v>
      </c>
      <c r="P2652" s="10" t="str">
        <f t="shared" si="2537"/>
        <v>NA</v>
      </c>
      <c r="Q2652" s="10" t="str">
        <f t="shared" si="2538"/>
        <v>NA</v>
      </c>
      <c r="R2652" s="10">
        <v>0.245172</v>
      </c>
      <c r="S2652" s="10">
        <v>-0.15681200000000003</v>
      </c>
      <c r="T2652" s="10">
        <v>-0.17969500000000002</v>
      </c>
      <c r="U2652" s="10">
        <v>-0.14741299999999999</v>
      </c>
      <c r="V2652" s="10">
        <v>1.7240000000000002</v>
      </c>
      <c r="W2652" s="10">
        <v>-0.24299999999999997</v>
      </c>
      <c r="X2652" s="10">
        <f t="shared" si="2526"/>
        <v>1.4810000000000003</v>
      </c>
      <c r="Y2652" s="10" t="str">
        <f t="shared" si="2527"/>
        <v>NA</v>
      </c>
      <c r="Z2652" s="10" t="str">
        <f t="shared" si="2528"/>
        <v>NA</v>
      </c>
      <c r="AA2652" s="10" t="str">
        <f t="shared" si="2529"/>
        <v>NA</v>
      </c>
      <c r="AB2652" s="10" t="str">
        <f t="shared" si="2530"/>
        <v>NA</v>
      </c>
      <c r="AC2652" s="10" t="str">
        <f t="shared" si="2531"/>
        <v>NA</v>
      </c>
      <c r="AD2652" s="10" t="str">
        <f t="shared" si="2532"/>
        <v>NA</v>
      </c>
      <c r="AE2652" s="10" t="str">
        <f t="shared" si="2533"/>
        <v>NA</v>
      </c>
      <c r="AF2652" s="1" t="s">
        <v>2488</v>
      </c>
    </row>
    <row r="2653" spans="1:32" x14ac:dyDescent="0.2">
      <c r="A2653" s="1" t="s">
        <v>2492</v>
      </c>
      <c r="B2653" s="1" t="s">
        <v>5</v>
      </c>
      <c r="C2653" s="1" t="s">
        <v>2498</v>
      </c>
      <c r="D2653" s="1" t="s">
        <v>1578</v>
      </c>
      <c r="E2653" s="1" t="s">
        <v>2496</v>
      </c>
      <c r="F2653" s="1" t="s">
        <v>2497</v>
      </c>
      <c r="G2653" s="4">
        <f>12001811/151724392</f>
        <v>7.9102712766184621E-2</v>
      </c>
      <c r="H2653" s="28">
        <v>41759</v>
      </c>
      <c r="I2653" s="29">
        <f t="shared" si="2539"/>
        <v>2014</v>
      </c>
      <c r="J2653" s="1" t="s">
        <v>2503</v>
      </c>
      <c r="K2653" s="1" t="s">
        <v>2492</v>
      </c>
      <c r="L2653" s="11" t="str">
        <f t="shared" si="2540"/>
        <v>ДА</v>
      </c>
      <c r="M2653" s="10">
        <v>0</v>
      </c>
      <c r="N2653" s="10">
        <v>0</v>
      </c>
      <c r="O2653" s="10" t="s">
        <v>1575</v>
      </c>
      <c r="P2653" s="10" t="str">
        <f t="shared" si="2537"/>
        <v>NA</v>
      </c>
      <c r="Q2653" s="10" t="str">
        <f t="shared" si="2538"/>
        <v>NA</v>
      </c>
      <c r="R2653" s="10">
        <v>0.245172</v>
      </c>
      <c r="S2653" s="10">
        <v>-0.15681200000000003</v>
      </c>
      <c r="T2653" s="10">
        <v>-0.17969500000000002</v>
      </c>
      <c r="U2653" s="10">
        <v>-0.14741299999999999</v>
      </c>
      <c r="V2653" s="10">
        <v>1.7240000000000002</v>
      </c>
      <c r="W2653" s="10">
        <v>-0.24299999999999997</v>
      </c>
      <c r="X2653" s="10">
        <f t="shared" si="2526"/>
        <v>1.4810000000000003</v>
      </c>
      <c r="Y2653" s="10" t="str">
        <f t="shared" si="2527"/>
        <v>NA</v>
      </c>
      <c r="Z2653" s="10" t="str">
        <f t="shared" si="2528"/>
        <v>NA</v>
      </c>
      <c r="AA2653" s="10" t="str">
        <f t="shared" si="2529"/>
        <v>NA</v>
      </c>
      <c r="AB2653" s="10" t="str">
        <f t="shared" si="2530"/>
        <v>NA</v>
      </c>
      <c r="AC2653" s="10" t="str">
        <f t="shared" si="2531"/>
        <v>NA</v>
      </c>
      <c r="AD2653" s="10" t="str">
        <f t="shared" si="2532"/>
        <v>NA</v>
      </c>
      <c r="AE2653" s="10" t="str">
        <f t="shared" si="2533"/>
        <v>NA</v>
      </c>
      <c r="AF2653" s="1" t="s">
        <v>2488</v>
      </c>
    </row>
    <row r="2654" spans="1:32" x14ac:dyDescent="0.2">
      <c r="A2654" s="1" t="s">
        <v>2506</v>
      </c>
      <c r="B2654" s="1" t="s">
        <v>75</v>
      </c>
      <c r="C2654" s="1" t="s">
        <v>1575</v>
      </c>
      <c r="D2654" s="1" t="s">
        <v>1578</v>
      </c>
      <c r="E2654" s="1" t="s">
        <v>2496</v>
      </c>
      <c r="F2654" s="1" t="s">
        <v>2497</v>
      </c>
      <c r="G2654" s="4">
        <v>1</v>
      </c>
      <c r="H2654" s="28">
        <v>41380</v>
      </c>
      <c r="I2654" s="29">
        <f t="shared" si="2539"/>
        <v>2013</v>
      </c>
      <c r="J2654" s="1" t="s">
        <v>2492</v>
      </c>
      <c r="K2654" s="1" t="s">
        <v>7</v>
      </c>
      <c r="L2654" s="11" t="str">
        <f t="shared" si="2540"/>
        <v>НЕТ</v>
      </c>
      <c r="M2654" s="10">
        <v>0</v>
      </c>
      <c r="N2654" s="10">
        <v>0</v>
      </c>
      <c r="O2654" s="10" t="s">
        <v>1575</v>
      </c>
      <c r="P2654" s="10" t="str">
        <f t="shared" si="2537"/>
        <v>NA</v>
      </c>
      <c r="Q2654" s="10" t="str">
        <f t="shared" si="2538"/>
        <v>NA</v>
      </c>
      <c r="R2654" s="10" t="s">
        <v>1575</v>
      </c>
      <c r="S2654" s="10" t="s">
        <v>1575</v>
      </c>
      <c r="T2654" s="10" t="s">
        <v>1575</v>
      </c>
      <c r="U2654" s="10" t="s">
        <v>1575</v>
      </c>
      <c r="V2654" s="10" t="s">
        <v>1575</v>
      </c>
      <c r="W2654" s="10" t="s">
        <v>1575</v>
      </c>
      <c r="X2654" s="10" t="str">
        <f t="shared" si="2526"/>
        <v>NA</v>
      </c>
      <c r="Y2654" s="10" t="str">
        <f t="shared" si="2527"/>
        <v>NA</v>
      </c>
      <c r="Z2654" s="10" t="str">
        <f t="shared" si="2528"/>
        <v>NA</v>
      </c>
      <c r="AA2654" s="10" t="str">
        <f t="shared" si="2529"/>
        <v>NA</v>
      </c>
      <c r="AB2654" s="10" t="str">
        <f t="shared" si="2530"/>
        <v>NA</v>
      </c>
      <c r="AC2654" s="10" t="str">
        <f t="shared" si="2531"/>
        <v>NA</v>
      </c>
      <c r="AD2654" s="10" t="str">
        <f t="shared" si="2532"/>
        <v>NA</v>
      </c>
      <c r="AE2654" s="10" t="str">
        <f t="shared" si="2533"/>
        <v>NA</v>
      </c>
      <c r="AF2654" s="1" t="s">
        <v>2507</v>
      </c>
    </row>
    <row r="2655" spans="1:32" x14ac:dyDescent="0.2">
      <c r="A2655" s="1" t="s">
        <v>2492</v>
      </c>
      <c r="B2655" s="1" t="s">
        <v>5</v>
      </c>
      <c r="C2655" s="1" t="s">
        <v>2498</v>
      </c>
      <c r="D2655" s="1" t="s">
        <v>1578</v>
      </c>
      <c r="E2655" s="1" t="s">
        <v>2496</v>
      </c>
      <c r="F2655" s="1" t="s">
        <v>2497</v>
      </c>
      <c r="G2655" s="4">
        <f>37137994/124849481</f>
        <v>0.2974621416327714</v>
      </c>
      <c r="H2655" s="28">
        <v>41394</v>
      </c>
      <c r="I2655" s="29">
        <f t="shared" si="2539"/>
        <v>2013</v>
      </c>
      <c r="J2655" s="1" t="s">
        <v>6547</v>
      </c>
      <c r="K2655" s="1" t="s">
        <v>2492</v>
      </c>
      <c r="L2655" s="11" t="str">
        <f t="shared" si="2540"/>
        <v>ДА</v>
      </c>
      <c r="M2655" s="10">
        <v>0</v>
      </c>
      <c r="N2655" s="10">
        <v>0</v>
      </c>
      <c r="O2655" s="10" t="s">
        <v>1575</v>
      </c>
      <c r="P2655" s="10" t="str">
        <f t="shared" si="2537"/>
        <v>NA</v>
      </c>
      <c r="Q2655" s="10" t="str">
        <f t="shared" si="2538"/>
        <v>NA</v>
      </c>
      <c r="R2655" s="10">
        <v>0.26642100000000002</v>
      </c>
      <c r="S2655" s="10">
        <v>-7.8752000000000016E-2</v>
      </c>
      <c r="T2655" s="10">
        <v>-0.10606800000000001</v>
      </c>
      <c r="U2655" s="10">
        <v>-0.100303</v>
      </c>
      <c r="V2655" s="10">
        <v>0.69400000000000006</v>
      </c>
      <c r="W2655" s="10">
        <v>-0.12200000000000001</v>
      </c>
      <c r="X2655" s="10">
        <f t="shared" si="2526"/>
        <v>0.57200000000000006</v>
      </c>
      <c r="Y2655" s="10" t="str">
        <f t="shared" si="2527"/>
        <v>NA</v>
      </c>
      <c r="Z2655" s="10" t="str">
        <f t="shared" si="2528"/>
        <v>NA</v>
      </c>
      <c r="AA2655" s="10" t="str">
        <f t="shared" si="2529"/>
        <v>NA</v>
      </c>
      <c r="AB2655" s="10" t="str">
        <f t="shared" si="2530"/>
        <v>NA</v>
      </c>
      <c r="AC2655" s="10" t="str">
        <f t="shared" si="2531"/>
        <v>NA</v>
      </c>
      <c r="AD2655" s="10" t="str">
        <f t="shared" si="2532"/>
        <v>NA</v>
      </c>
      <c r="AE2655" s="10" t="str">
        <f t="shared" si="2533"/>
        <v>NA</v>
      </c>
      <c r="AF2655" s="1" t="s">
        <v>2487</v>
      </c>
    </row>
    <row r="2656" spans="1:32" x14ac:dyDescent="0.2">
      <c r="A2656" s="1" t="s">
        <v>2492</v>
      </c>
      <c r="B2656" s="1" t="s">
        <v>5</v>
      </c>
      <c r="C2656" s="1" t="s">
        <v>2498</v>
      </c>
      <c r="D2656" s="1" t="s">
        <v>1578</v>
      </c>
      <c r="E2656" s="1" t="s">
        <v>2496</v>
      </c>
      <c r="F2656" s="1" t="s">
        <v>2497</v>
      </c>
      <c r="G2656" s="4">
        <f>13587071/124849481</f>
        <v>0.10882761298783453</v>
      </c>
      <c r="H2656" s="28">
        <v>41394</v>
      </c>
      <c r="I2656" s="29">
        <f t="shared" si="2539"/>
        <v>2013</v>
      </c>
      <c r="J2656" s="1" t="s">
        <v>2503</v>
      </c>
      <c r="K2656" s="1" t="s">
        <v>2492</v>
      </c>
      <c r="L2656" s="11" t="str">
        <f t="shared" si="2540"/>
        <v>ДА</v>
      </c>
      <c r="M2656" s="10">
        <v>0</v>
      </c>
      <c r="N2656" s="10">
        <v>0</v>
      </c>
      <c r="O2656" s="10" t="s">
        <v>1575</v>
      </c>
      <c r="P2656" s="10" t="str">
        <f t="shared" si="2537"/>
        <v>NA</v>
      </c>
      <c r="Q2656" s="10" t="str">
        <f t="shared" si="2538"/>
        <v>NA</v>
      </c>
      <c r="R2656" s="10">
        <v>0.26642100000000002</v>
      </c>
      <c r="S2656" s="10">
        <v>-7.8752000000000016E-2</v>
      </c>
      <c r="T2656" s="10">
        <v>-0.10606800000000001</v>
      </c>
      <c r="U2656" s="10">
        <v>-0.100303</v>
      </c>
      <c r="V2656" s="10">
        <v>0.69400000000000006</v>
      </c>
      <c r="W2656" s="10">
        <v>-0.12200000000000001</v>
      </c>
      <c r="X2656" s="10">
        <f t="shared" si="2526"/>
        <v>0.57200000000000006</v>
      </c>
      <c r="Y2656" s="10" t="str">
        <f t="shared" si="2527"/>
        <v>NA</v>
      </c>
      <c r="Z2656" s="10" t="str">
        <f t="shared" si="2528"/>
        <v>NA</v>
      </c>
      <c r="AA2656" s="10" t="str">
        <f t="shared" si="2529"/>
        <v>NA</v>
      </c>
      <c r="AB2656" s="10" t="str">
        <f t="shared" si="2530"/>
        <v>NA</v>
      </c>
      <c r="AC2656" s="10" t="str">
        <f t="shared" si="2531"/>
        <v>NA</v>
      </c>
      <c r="AD2656" s="10" t="str">
        <f t="shared" si="2532"/>
        <v>NA</v>
      </c>
      <c r="AE2656" s="10" t="str">
        <f t="shared" si="2533"/>
        <v>NA</v>
      </c>
      <c r="AF2656" s="1" t="s">
        <v>2487</v>
      </c>
    </row>
    <row r="2657" spans="1:32" x14ac:dyDescent="0.2">
      <c r="A2657" s="1" t="s">
        <v>2500</v>
      </c>
      <c r="B2657" s="1" t="s">
        <v>75</v>
      </c>
      <c r="C2657" s="1" t="s">
        <v>1575</v>
      </c>
      <c r="D2657" s="1" t="s">
        <v>1578</v>
      </c>
      <c r="E2657" s="1" t="s">
        <v>2496</v>
      </c>
      <c r="F2657" s="1" t="s">
        <v>2497</v>
      </c>
      <c r="G2657" s="4">
        <v>1</v>
      </c>
      <c r="H2657" s="28">
        <v>41274</v>
      </c>
      <c r="I2657" s="29">
        <f t="shared" si="2539"/>
        <v>2012</v>
      </c>
      <c r="J2657" s="1" t="s">
        <v>2492</v>
      </c>
      <c r="K2657" s="1" t="s">
        <v>2509</v>
      </c>
      <c r="L2657" s="11" t="str">
        <f t="shared" si="2540"/>
        <v>НЕТ</v>
      </c>
      <c r="M2657" s="10">
        <v>0</v>
      </c>
      <c r="N2657" s="10">
        <v>0</v>
      </c>
      <c r="O2657" s="10" t="s">
        <v>1575</v>
      </c>
      <c r="P2657" s="10" t="str">
        <f t="shared" si="2537"/>
        <v>NA</v>
      </c>
      <c r="Q2657" s="10" t="str">
        <f t="shared" si="2538"/>
        <v>NA</v>
      </c>
      <c r="R2657" s="10" t="s">
        <v>1575</v>
      </c>
      <c r="S2657" s="10" t="s">
        <v>1575</v>
      </c>
      <c r="T2657" s="10" t="s">
        <v>1575</v>
      </c>
      <c r="U2657" s="10" t="s">
        <v>1575</v>
      </c>
      <c r="V2657" s="10" t="s">
        <v>1575</v>
      </c>
      <c r="W2657" s="10" t="s">
        <v>1575</v>
      </c>
      <c r="X2657" s="10" t="str">
        <f t="shared" si="2526"/>
        <v>NA</v>
      </c>
      <c r="Y2657" s="10" t="str">
        <f t="shared" si="2527"/>
        <v>NA</v>
      </c>
      <c r="Z2657" s="10" t="str">
        <f t="shared" si="2528"/>
        <v>NA</v>
      </c>
      <c r="AA2657" s="10" t="str">
        <f t="shared" si="2529"/>
        <v>NA</v>
      </c>
      <c r="AB2657" s="10" t="str">
        <f t="shared" si="2530"/>
        <v>NA</v>
      </c>
      <c r="AC2657" s="10" t="str">
        <f t="shared" si="2531"/>
        <v>NA</v>
      </c>
      <c r="AD2657" s="10" t="str">
        <f t="shared" si="2532"/>
        <v>NA</v>
      </c>
      <c r="AE2657" s="10" t="str">
        <f t="shared" si="2533"/>
        <v>NA</v>
      </c>
      <c r="AF2657" s="1" t="s">
        <v>2486</v>
      </c>
    </row>
    <row r="2658" spans="1:32" x14ac:dyDescent="0.2">
      <c r="A2658" s="1" t="s">
        <v>2492</v>
      </c>
      <c r="B2658" s="1" t="s">
        <v>5</v>
      </c>
      <c r="C2658" s="1" t="s">
        <v>2498</v>
      </c>
      <c r="D2658" s="1" t="s">
        <v>1578</v>
      </c>
      <c r="E2658" s="1" t="s">
        <v>2496</v>
      </c>
      <c r="F2658" s="1" t="s">
        <v>2497</v>
      </c>
      <c r="G2658" s="4">
        <f>2605000/74124332</f>
        <v>3.5143655662218984E-2</v>
      </c>
      <c r="H2658" s="28">
        <v>41274</v>
      </c>
      <c r="I2658" s="29">
        <f t="shared" si="2539"/>
        <v>2012</v>
      </c>
      <c r="J2658" s="1" t="s">
        <v>2509</v>
      </c>
      <c r="K2658" s="1" t="s">
        <v>2492</v>
      </c>
      <c r="L2658" s="11" t="str">
        <f t="shared" si="2540"/>
        <v>ДА</v>
      </c>
      <c r="M2658" s="10">
        <v>0</v>
      </c>
      <c r="N2658" s="10">
        <v>0</v>
      </c>
      <c r="O2658" s="10" t="s">
        <v>1575</v>
      </c>
      <c r="P2658" s="10" t="str">
        <f t="shared" si="2537"/>
        <v>NA</v>
      </c>
      <c r="Q2658" s="10" t="str">
        <f t="shared" si="2538"/>
        <v>NA</v>
      </c>
      <c r="R2658" s="10">
        <v>0.26642100000000002</v>
      </c>
      <c r="S2658" s="10">
        <v>-7.8752000000000016E-2</v>
      </c>
      <c r="T2658" s="10">
        <v>-0.10606800000000001</v>
      </c>
      <c r="U2658" s="10">
        <v>-0.100303</v>
      </c>
      <c r="V2658" s="10">
        <v>0.69400000000000006</v>
      </c>
      <c r="W2658" s="10">
        <v>-0.12200000000000001</v>
      </c>
      <c r="X2658" s="10">
        <f t="shared" si="2526"/>
        <v>0.57200000000000006</v>
      </c>
      <c r="Y2658" s="10" t="str">
        <f t="shared" si="2527"/>
        <v>NA</v>
      </c>
      <c r="Z2658" s="10" t="str">
        <f t="shared" si="2528"/>
        <v>NA</v>
      </c>
      <c r="AA2658" s="10" t="str">
        <f t="shared" si="2529"/>
        <v>NA</v>
      </c>
      <c r="AB2658" s="10" t="str">
        <f t="shared" si="2530"/>
        <v>NA</v>
      </c>
      <c r="AC2658" s="10" t="str">
        <f t="shared" si="2531"/>
        <v>NA</v>
      </c>
      <c r="AD2658" s="10" t="str">
        <f t="shared" si="2532"/>
        <v>NA</v>
      </c>
      <c r="AE2658" s="10" t="str">
        <f t="shared" si="2533"/>
        <v>NA</v>
      </c>
      <c r="AF2658" s="1" t="s">
        <v>2486</v>
      </c>
    </row>
    <row r="2659" spans="1:32" x14ac:dyDescent="0.2">
      <c r="A2659" s="1" t="s">
        <v>2508</v>
      </c>
      <c r="B2659" s="1" t="s">
        <v>780</v>
      </c>
      <c r="C2659" s="1" t="s">
        <v>1575</v>
      </c>
      <c r="D2659" s="1" t="s">
        <v>1578</v>
      </c>
      <c r="E2659" s="1" t="s">
        <v>2496</v>
      </c>
      <c r="F2659" s="1" t="s">
        <v>2497</v>
      </c>
      <c r="G2659" s="4">
        <v>1</v>
      </c>
      <c r="H2659" s="28">
        <v>40617</v>
      </c>
      <c r="I2659" s="29">
        <f t="shared" si="2539"/>
        <v>2011</v>
      </c>
      <c r="J2659" s="1" t="s">
        <v>2492</v>
      </c>
      <c r="K2659" s="1" t="s">
        <v>7</v>
      </c>
      <c r="L2659" s="11" t="str">
        <f t="shared" si="2540"/>
        <v>НЕТ</v>
      </c>
      <c r="M2659" s="10">
        <v>0</v>
      </c>
      <c r="N2659" s="10">
        <v>0</v>
      </c>
      <c r="O2659" s="10">
        <v>1.5193E-2</v>
      </c>
      <c r="P2659" s="10">
        <f t="shared" si="2537"/>
        <v>1.5193E-2</v>
      </c>
      <c r="Q2659" s="10">
        <f t="shared" si="2538"/>
        <v>1.5107000000000001E-2</v>
      </c>
      <c r="R2659" s="10" t="s">
        <v>1575</v>
      </c>
      <c r="S2659" s="10" t="s">
        <v>1575</v>
      </c>
      <c r="T2659" s="10" t="s">
        <v>1575</v>
      </c>
      <c r="U2659" s="10" t="s">
        <v>1575</v>
      </c>
      <c r="V2659" s="10">
        <v>5.6480000000000002E-3</v>
      </c>
      <c r="W2659" s="10">
        <f>0-0.000086</f>
        <v>-8.6000000000000003E-5</v>
      </c>
      <c r="X2659" s="10">
        <f t="shared" si="2526"/>
        <v>5.5620000000000001E-3</v>
      </c>
      <c r="Y2659" s="10" t="str">
        <f t="shared" si="2527"/>
        <v>NA</v>
      </c>
      <c r="Z2659" s="10" t="str">
        <f t="shared" si="2528"/>
        <v>NA</v>
      </c>
      <c r="AA2659" s="10">
        <f t="shared" si="2529"/>
        <v>2.6899787535410762</v>
      </c>
      <c r="AB2659" s="10" t="str">
        <f t="shared" si="2530"/>
        <v>NA</v>
      </c>
      <c r="AC2659" s="10" t="str">
        <f t="shared" si="2531"/>
        <v>NA</v>
      </c>
      <c r="AD2659" s="10" t="str">
        <f t="shared" si="2532"/>
        <v>NA</v>
      </c>
      <c r="AE2659" s="10">
        <f t="shared" si="2533"/>
        <v>2.716109313196692</v>
      </c>
      <c r="AF2659" s="1" t="s">
        <v>2510</v>
      </c>
    </row>
    <row r="2660" spans="1:32" x14ac:dyDescent="0.2">
      <c r="A2660" s="1" t="s">
        <v>6550</v>
      </c>
      <c r="B2660" s="1" t="s">
        <v>5</v>
      </c>
      <c r="C2660" s="1" t="s">
        <v>1575</v>
      </c>
      <c r="D2660" s="1" t="s">
        <v>1578</v>
      </c>
      <c r="E2660" s="1" t="s">
        <v>2422</v>
      </c>
      <c r="F2660" s="1" t="s">
        <v>2850</v>
      </c>
      <c r="G2660" s="4">
        <v>0.51</v>
      </c>
      <c r="H2660" s="28">
        <v>43426</v>
      </c>
      <c r="I2660" s="29">
        <f t="shared" si="2539"/>
        <v>2018</v>
      </c>
      <c r="J2660" s="1" t="s">
        <v>7</v>
      </c>
      <c r="K2660" s="1" t="s">
        <v>2848</v>
      </c>
      <c r="L2660" s="11" t="str">
        <f t="shared" ref="L2660" si="2541">IF(OR(A2660=J2660,A2660=K2660),"ДА","НЕТ")</f>
        <v>НЕТ</v>
      </c>
      <c r="M2660" s="10">
        <v>0</v>
      </c>
      <c r="N2660" s="10">
        <v>0</v>
      </c>
      <c r="O2660" s="10">
        <v>8.5523000000000002E-2</v>
      </c>
      <c r="P2660" s="10">
        <f t="shared" si="2537"/>
        <v>0.16769215686274511</v>
      </c>
      <c r="Q2660" s="10">
        <f t="shared" si="2538"/>
        <v>0.15784715686274511</v>
      </c>
      <c r="R2660" s="10" t="s">
        <v>1575</v>
      </c>
      <c r="S2660" s="10" t="s">
        <v>1575</v>
      </c>
      <c r="T2660" s="10" t="s">
        <v>1575</v>
      </c>
      <c r="U2660" s="10" t="s">
        <v>1575</v>
      </c>
      <c r="V2660" s="10">
        <f>0.150461+0.001337+0.01404+0.0148</f>
        <v>0.18063800000000002</v>
      </c>
      <c r="W2660" s="10">
        <f>0.00092+0.002769-0.013486-0.000502+0-0.000009+0.00086-0.00039+0-0.000007</f>
        <v>-9.8450000000000013E-3</v>
      </c>
      <c r="X2660" s="10">
        <f t="shared" ref="X2660:X2730" si="2542">IFERROR(V2660+W2660,"NA")</f>
        <v>0.17079300000000003</v>
      </c>
      <c r="Y2660" s="10" t="str">
        <f t="shared" ref="Y2660:Y2730" si="2543">IFERROR(P2660/R2660,"NA")</f>
        <v>NA</v>
      </c>
      <c r="Z2660" s="10" t="str">
        <f t="shared" ref="Z2660:Z2730" si="2544">IFERROR(P2660/U2660,"NA")</f>
        <v>NA</v>
      </c>
      <c r="AA2660" s="10">
        <f t="shared" ref="AA2660:AA2730" si="2545">IFERROR(P2660/V2660,"NA")</f>
        <v>0.92833267010676102</v>
      </c>
      <c r="AB2660" s="10" t="str">
        <f t="shared" ref="AB2660:AB2730" si="2546">IFERROR(Q2660/R2660,"NA")</f>
        <v>NA</v>
      </c>
      <c r="AC2660" s="10" t="str">
        <f t="shared" ref="AC2660:AC2730" si="2547">IFERROR(Q2660/S2660,"NA")</f>
        <v>NA</v>
      </c>
      <c r="AD2660" s="10" t="str">
        <f t="shared" ref="AD2660:AD2730" si="2548">IFERROR(Q2660/T2660,"NA")</f>
        <v>NA</v>
      </c>
      <c r="AE2660" s="10">
        <f t="shared" ref="AE2660:AE2730" si="2549">IFERROR(Q2660/X2660,"NA")</f>
        <v>0.92420155897926193</v>
      </c>
      <c r="AF2660" s="1" t="s">
        <v>2849</v>
      </c>
    </row>
    <row r="2661" spans="1:32" x14ac:dyDescent="0.2">
      <c r="A2661" s="1" t="s">
        <v>6551</v>
      </c>
      <c r="B2661" s="1" t="s">
        <v>5</v>
      </c>
      <c r="C2661" s="1" t="s">
        <v>1575</v>
      </c>
      <c r="D2661" s="1" t="s">
        <v>1580</v>
      </c>
      <c r="E2661" s="1" t="s">
        <v>1593</v>
      </c>
      <c r="F2661" s="1" t="s">
        <v>184</v>
      </c>
      <c r="G2661" s="4">
        <v>1</v>
      </c>
      <c r="H2661" s="28">
        <v>42368</v>
      </c>
      <c r="I2661" s="29">
        <f t="shared" si="2539"/>
        <v>2015</v>
      </c>
      <c r="J2661" s="1" t="s">
        <v>7</v>
      </c>
      <c r="K2661" s="1" t="s">
        <v>2848</v>
      </c>
      <c r="L2661" s="11" t="str">
        <f t="shared" ref="L2661" si="2550">IF(OR(A2661=J2661,A2661=K2661),"ДА","НЕТ")</f>
        <v>НЕТ</v>
      </c>
      <c r="M2661" s="10">
        <v>0</v>
      </c>
      <c r="N2661" s="10">
        <v>0</v>
      </c>
      <c r="O2661" s="10">
        <v>0.43566300000000002</v>
      </c>
      <c r="P2661" s="10">
        <f t="shared" si="2537"/>
        <v>0.43566300000000002</v>
      </c>
      <c r="Q2661" s="10">
        <f t="shared" si="2538"/>
        <v>0.44708300000000001</v>
      </c>
      <c r="R2661" s="10" t="s">
        <v>1575</v>
      </c>
      <c r="S2661" s="10" t="s">
        <v>1575</v>
      </c>
      <c r="T2661" s="10" t="s">
        <v>1575</v>
      </c>
      <c r="U2661" s="10" t="s">
        <v>1575</v>
      </c>
      <c r="V2661" s="10">
        <v>6.368E-2</v>
      </c>
      <c r="W2661" s="10">
        <f>0.01562-0.0042</f>
        <v>1.142E-2</v>
      </c>
      <c r="X2661" s="10">
        <f t="shared" si="2542"/>
        <v>7.51E-2</v>
      </c>
      <c r="Y2661" s="10" t="str">
        <f t="shared" si="2543"/>
        <v>NA</v>
      </c>
      <c r="Z2661" s="10" t="str">
        <f t="shared" si="2544"/>
        <v>NA</v>
      </c>
      <c r="AA2661" s="10">
        <f t="shared" si="2545"/>
        <v>6.8414415829145732</v>
      </c>
      <c r="AB2661" s="10" t="str">
        <f t="shared" si="2546"/>
        <v>NA</v>
      </c>
      <c r="AC2661" s="10" t="str">
        <f t="shared" si="2547"/>
        <v>NA</v>
      </c>
      <c r="AD2661" s="10" t="str">
        <f t="shared" si="2548"/>
        <v>NA</v>
      </c>
      <c r="AE2661" s="10">
        <f t="shared" si="2549"/>
        <v>5.9531691078561915</v>
      </c>
      <c r="AF2661" s="1" t="s">
        <v>2851</v>
      </c>
    </row>
    <row r="2662" spans="1:32" x14ac:dyDescent="0.2">
      <c r="A2662" s="1" t="s">
        <v>6552</v>
      </c>
      <c r="B2662" s="1" t="s">
        <v>5</v>
      </c>
      <c r="C2662" s="1" t="s">
        <v>1575</v>
      </c>
      <c r="D2662" s="1" t="s">
        <v>1580</v>
      </c>
      <c r="E2662" s="1" t="s">
        <v>1593</v>
      </c>
      <c r="F2662" s="1" t="s">
        <v>184</v>
      </c>
      <c r="G2662" s="4">
        <v>1</v>
      </c>
      <c r="H2662" s="28">
        <v>41670</v>
      </c>
      <c r="I2662" s="29">
        <f t="shared" si="2539"/>
        <v>2014</v>
      </c>
      <c r="J2662" s="1" t="s">
        <v>2848</v>
      </c>
      <c r="K2662" s="1" t="s">
        <v>7</v>
      </c>
      <c r="L2662" s="11" t="str">
        <f t="shared" ref="L2662:L2664" si="2551">IF(OR(A2662=J2662,A2662=K2662),"ДА","НЕТ")</f>
        <v>НЕТ</v>
      </c>
      <c r="M2662" s="10">
        <v>0</v>
      </c>
      <c r="N2662" s="10">
        <v>0</v>
      </c>
      <c r="O2662" s="10" t="s">
        <v>1575</v>
      </c>
      <c r="P2662" s="10" t="str">
        <f t="shared" si="2537"/>
        <v>NA</v>
      </c>
      <c r="Q2662" s="10" t="str">
        <f t="shared" si="2538"/>
        <v>NA</v>
      </c>
      <c r="R2662" s="10" t="s">
        <v>1575</v>
      </c>
      <c r="S2662" s="10" t="s">
        <v>1575</v>
      </c>
      <c r="T2662" s="10" t="s">
        <v>1575</v>
      </c>
      <c r="U2662" s="10" t="s">
        <v>1575</v>
      </c>
      <c r="V2662" s="10" t="s">
        <v>1575</v>
      </c>
      <c r="W2662" s="10" t="s">
        <v>1575</v>
      </c>
      <c r="X2662" s="10" t="str">
        <f t="shared" si="2542"/>
        <v>NA</v>
      </c>
      <c r="Y2662" s="10" t="str">
        <f t="shared" si="2543"/>
        <v>NA</v>
      </c>
      <c r="Z2662" s="10" t="str">
        <f t="shared" si="2544"/>
        <v>NA</v>
      </c>
      <c r="AA2662" s="10" t="str">
        <f t="shared" si="2545"/>
        <v>NA</v>
      </c>
      <c r="AB2662" s="10" t="str">
        <f t="shared" si="2546"/>
        <v>NA</v>
      </c>
      <c r="AC2662" s="10" t="str">
        <f t="shared" si="2547"/>
        <v>NA</v>
      </c>
      <c r="AD2662" s="10" t="str">
        <f t="shared" si="2548"/>
        <v>NA</v>
      </c>
      <c r="AE2662" s="10" t="str">
        <f t="shared" si="2549"/>
        <v>NA</v>
      </c>
      <c r="AF2662" s="1" t="s">
        <v>2852</v>
      </c>
    </row>
    <row r="2663" spans="1:32" x14ac:dyDescent="0.2">
      <c r="A2663" s="1" t="s">
        <v>6553</v>
      </c>
      <c r="B2663" s="1" t="s">
        <v>5</v>
      </c>
      <c r="C2663" s="1" t="s">
        <v>1575</v>
      </c>
      <c r="D2663" s="1" t="s">
        <v>1578</v>
      </c>
      <c r="E2663" s="1" t="s">
        <v>2422</v>
      </c>
      <c r="F2663" s="1" t="s">
        <v>2850</v>
      </c>
      <c r="G2663" s="4" t="s">
        <v>11</v>
      </c>
      <c r="H2663" s="28">
        <v>41333</v>
      </c>
      <c r="I2663" s="29">
        <f t="shared" si="2539"/>
        <v>2013</v>
      </c>
      <c r="J2663" s="1" t="s">
        <v>7</v>
      </c>
      <c r="K2663" s="1" t="s">
        <v>2848</v>
      </c>
      <c r="L2663" s="11" t="str">
        <f t="shared" si="2551"/>
        <v>НЕТ</v>
      </c>
      <c r="M2663" s="10">
        <v>0</v>
      </c>
      <c r="N2663" s="10">
        <v>0</v>
      </c>
      <c r="O2663" s="10">
        <v>4.3992999999999997E-2</v>
      </c>
      <c r="P2663" s="10" t="str">
        <f t="shared" si="2537"/>
        <v>NA</v>
      </c>
      <c r="Q2663" s="10" t="str">
        <f t="shared" si="2538"/>
        <v>NA</v>
      </c>
      <c r="R2663" s="10" t="s">
        <v>1575</v>
      </c>
      <c r="S2663" s="10" t="s">
        <v>1575</v>
      </c>
      <c r="T2663" s="10" t="s">
        <v>1575</v>
      </c>
      <c r="U2663" s="10" t="s">
        <v>1575</v>
      </c>
      <c r="V2663" s="10">
        <v>0.59413099999999996</v>
      </c>
      <c r="W2663" s="10">
        <f>0.117978+0.007464-0.000294-0.000314</f>
        <v>0.12483400000000001</v>
      </c>
      <c r="X2663" s="10">
        <f t="shared" si="2542"/>
        <v>0.71896499999999997</v>
      </c>
      <c r="Y2663" s="10" t="str">
        <f t="shared" si="2543"/>
        <v>NA</v>
      </c>
      <c r="Z2663" s="10" t="str">
        <f t="shared" si="2544"/>
        <v>NA</v>
      </c>
      <c r="AA2663" s="10" t="str">
        <f t="shared" si="2545"/>
        <v>NA</v>
      </c>
      <c r="AB2663" s="10" t="str">
        <f t="shared" si="2546"/>
        <v>NA</v>
      </c>
      <c r="AC2663" s="10" t="str">
        <f t="shared" si="2547"/>
        <v>NA</v>
      </c>
      <c r="AD2663" s="10" t="str">
        <f t="shared" si="2548"/>
        <v>NA</v>
      </c>
      <c r="AE2663" s="10" t="str">
        <f t="shared" si="2549"/>
        <v>NA</v>
      </c>
      <c r="AF2663" s="1" t="s">
        <v>2853</v>
      </c>
    </row>
    <row r="2664" spans="1:32" x14ac:dyDescent="0.2">
      <c r="A2664" s="1" t="s">
        <v>6554</v>
      </c>
      <c r="B2664" s="1" t="s">
        <v>5</v>
      </c>
      <c r="C2664" s="1" t="s">
        <v>1575</v>
      </c>
      <c r="D2664" s="1" t="s">
        <v>1578</v>
      </c>
      <c r="E2664" s="1" t="s">
        <v>2422</v>
      </c>
      <c r="F2664" s="1" t="s">
        <v>2850</v>
      </c>
      <c r="G2664" s="4">
        <f>51%-24%</f>
        <v>0.27</v>
      </c>
      <c r="H2664" s="28">
        <v>41201</v>
      </c>
      <c r="I2664" s="29">
        <f t="shared" si="2539"/>
        <v>2012</v>
      </c>
      <c r="J2664" s="1" t="s">
        <v>7</v>
      </c>
      <c r="K2664" s="1" t="s">
        <v>2848</v>
      </c>
      <c r="L2664" s="11" t="str">
        <f t="shared" si="2551"/>
        <v>НЕТ</v>
      </c>
      <c r="M2664" s="10">
        <v>0</v>
      </c>
      <c r="N2664" s="10">
        <v>0</v>
      </c>
      <c r="O2664" s="10">
        <v>3.4970000000000001E-3</v>
      </c>
      <c r="P2664" s="10">
        <f t="shared" si="2537"/>
        <v>1.2951851851851852E-2</v>
      </c>
      <c r="Q2664" s="10">
        <f t="shared" si="2538"/>
        <v>5.1902851851851853E-2</v>
      </c>
      <c r="R2664" s="10" t="s">
        <v>1575</v>
      </c>
      <c r="S2664" s="10" t="s">
        <v>1575</v>
      </c>
      <c r="T2664" s="10" t="s">
        <v>1575</v>
      </c>
      <c r="U2664" s="10" t="s">
        <v>1575</v>
      </c>
      <c r="V2664" s="10">
        <v>0.10992499999999999</v>
      </c>
      <c r="W2664" s="10">
        <f>0.030954+0.00803-0.000033</f>
        <v>3.8951E-2</v>
      </c>
      <c r="X2664" s="10">
        <f t="shared" si="2542"/>
        <v>0.14887600000000001</v>
      </c>
      <c r="Y2664" s="10" t="str">
        <f t="shared" si="2543"/>
        <v>NA</v>
      </c>
      <c r="Z2664" s="10" t="str">
        <f t="shared" si="2544"/>
        <v>NA</v>
      </c>
      <c r="AA2664" s="10">
        <f t="shared" si="2545"/>
        <v>0.11782444259132911</v>
      </c>
      <c r="AB2664" s="10" t="str">
        <f t="shared" si="2546"/>
        <v>NA</v>
      </c>
      <c r="AC2664" s="10" t="str">
        <f t="shared" si="2547"/>
        <v>NA</v>
      </c>
      <c r="AD2664" s="10" t="str">
        <f t="shared" si="2548"/>
        <v>NA</v>
      </c>
      <c r="AE2664" s="10">
        <f t="shared" si="2549"/>
        <v>0.34863142381479789</v>
      </c>
      <c r="AF2664" s="1" t="s">
        <v>2854</v>
      </c>
    </row>
    <row r="2665" spans="1:32" x14ac:dyDescent="0.2">
      <c r="A2665" s="1" t="s">
        <v>6554</v>
      </c>
      <c r="B2665" s="1" t="s">
        <v>5</v>
      </c>
      <c r="C2665" s="1" t="s">
        <v>1575</v>
      </c>
      <c r="D2665" s="1" t="s">
        <v>1578</v>
      </c>
      <c r="E2665" s="1" t="s">
        <v>2422</v>
      </c>
      <c r="F2665" s="1" t="s">
        <v>2850</v>
      </c>
      <c r="G2665" s="4">
        <f>95/((121+68)/(0.51-0.24))</f>
        <v>0.1357142857142857</v>
      </c>
      <c r="H2665" s="28">
        <v>40967</v>
      </c>
      <c r="I2665" s="29">
        <f t="shared" si="2539"/>
        <v>2012</v>
      </c>
      <c r="J2665" s="1" t="s">
        <v>2848</v>
      </c>
      <c r="K2665" s="1" t="s">
        <v>7</v>
      </c>
      <c r="L2665" s="11" t="str">
        <f t="shared" ref="L2665" si="2552">IF(OR(A2665=J2665,A2665=K2665),"ДА","НЕТ")</f>
        <v>НЕТ</v>
      </c>
      <c r="M2665" s="10">
        <v>0</v>
      </c>
      <c r="N2665" s="10">
        <v>0</v>
      </c>
      <c r="O2665" s="10">
        <v>3.4970000000000001E-3</v>
      </c>
      <c r="P2665" s="10">
        <f t="shared" si="2537"/>
        <v>2.5767368421052636E-2</v>
      </c>
      <c r="Q2665" s="10">
        <f t="shared" si="2538"/>
        <v>6.4718368421052636E-2</v>
      </c>
      <c r="R2665" s="10" t="s">
        <v>1575</v>
      </c>
      <c r="S2665" s="10" t="s">
        <v>1575</v>
      </c>
      <c r="T2665" s="10" t="s">
        <v>1575</v>
      </c>
      <c r="U2665" s="10" t="s">
        <v>1575</v>
      </c>
      <c r="V2665" s="10">
        <v>0.10992499999999999</v>
      </c>
      <c r="W2665" s="10">
        <f>0.030954+0.00803-0.000033</f>
        <v>3.8951E-2</v>
      </c>
      <c r="X2665" s="10">
        <f t="shared" si="2542"/>
        <v>0.14887600000000001</v>
      </c>
      <c r="Y2665" s="10" t="str">
        <f t="shared" si="2543"/>
        <v>NA</v>
      </c>
      <c r="Z2665" s="10" t="str">
        <f t="shared" si="2544"/>
        <v>NA</v>
      </c>
      <c r="AA2665" s="10">
        <f t="shared" si="2545"/>
        <v>0.23440862789222322</v>
      </c>
      <c r="AB2665" s="10" t="str">
        <f t="shared" si="2546"/>
        <v>NA</v>
      </c>
      <c r="AC2665" s="10" t="str">
        <f t="shared" si="2547"/>
        <v>NA</v>
      </c>
      <c r="AD2665" s="10" t="str">
        <f t="shared" si="2548"/>
        <v>NA</v>
      </c>
      <c r="AE2665" s="10">
        <f t="shared" si="2549"/>
        <v>0.43471324069059236</v>
      </c>
      <c r="AF2665" s="1" t="s">
        <v>2854</v>
      </c>
    </row>
    <row r="2666" spans="1:32" x14ac:dyDescent="0.2">
      <c r="A2666" s="1" t="s">
        <v>6555</v>
      </c>
      <c r="B2666" s="1" t="s">
        <v>5</v>
      </c>
      <c r="C2666" s="1" t="s">
        <v>1575</v>
      </c>
      <c r="D2666" s="1" t="s">
        <v>1578</v>
      </c>
      <c r="E2666" s="1" t="s">
        <v>2422</v>
      </c>
      <c r="F2666" s="1" t="s">
        <v>2850</v>
      </c>
      <c r="G2666" s="4">
        <v>0.7</v>
      </c>
      <c r="H2666" s="28">
        <v>40994</v>
      </c>
      <c r="I2666" s="29">
        <f t="shared" si="2539"/>
        <v>2012</v>
      </c>
      <c r="J2666" s="1" t="s">
        <v>7</v>
      </c>
      <c r="K2666" s="1" t="s">
        <v>2848</v>
      </c>
      <c r="L2666" s="11" t="str">
        <f t="shared" ref="L2666:L2670" si="2553">IF(OR(A2666=J2666,A2666=K2666),"ДА","НЕТ")</f>
        <v>НЕТ</v>
      </c>
      <c r="M2666" s="10">
        <v>0</v>
      </c>
      <c r="N2666" s="10">
        <v>0</v>
      </c>
      <c r="O2666" s="10">
        <v>6.9999999999999994E-5</v>
      </c>
      <c r="P2666" s="10">
        <f t="shared" si="2537"/>
        <v>9.9999999999999991E-5</v>
      </c>
      <c r="Q2666" s="10">
        <f t="shared" si="2538"/>
        <v>5.0299999999999997E-4</v>
      </c>
      <c r="R2666" s="10" t="s">
        <v>1575</v>
      </c>
      <c r="S2666" s="10" t="s">
        <v>1575</v>
      </c>
      <c r="T2666" s="10" t="s">
        <v>1575</v>
      </c>
      <c r="U2666" s="10" t="s">
        <v>1575</v>
      </c>
      <c r="V2666" s="10">
        <v>1.1030999999999999E-2</v>
      </c>
      <c r="W2666" s="10">
        <f>0.000512+0.000713-0.000822</f>
        <v>4.0299999999999993E-4</v>
      </c>
      <c r="X2666" s="10">
        <f t="shared" si="2542"/>
        <v>1.1434E-2</v>
      </c>
      <c r="Y2666" s="10" t="str">
        <f t="shared" si="2543"/>
        <v>NA</v>
      </c>
      <c r="Z2666" s="10" t="str">
        <f t="shared" si="2544"/>
        <v>NA</v>
      </c>
      <c r="AA2666" s="10">
        <f t="shared" si="2545"/>
        <v>9.0653612546459979E-3</v>
      </c>
      <c r="AB2666" s="10" t="str">
        <f t="shared" si="2546"/>
        <v>NA</v>
      </c>
      <c r="AC2666" s="10" t="str">
        <f t="shared" si="2547"/>
        <v>NA</v>
      </c>
      <c r="AD2666" s="10" t="str">
        <f t="shared" si="2548"/>
        <v>NA</v>
      </c>
      <c r="AE2666" s="10">
        <f t="shared" si="2549"/>
        <v>4.399160398810565E-2</v>
      </c>
      <c r="AF2666" s="1" t="s">
        <v>2855</v>
      </c>
    </row>
    <row r="2667" spans="1:32" x14ac:dyDescent="0.2">
      <c r="A2667" s="1" t="s">
        <v>6556</v>
      </c>
      <c r="B2667" s="1" t="s">
        <v>5</v>
      </c>
      <c r="C2667" s="1" t="s">
        <v>1575</v>
      </c>
      <c r="D2667" s="1" t="s">
        <v>1578</v>
      </c>
      <c r="E2667" s="1" t="s">
        <v>2422</v>
      </c>
      <c r="F2667" s="1" t="s">
        <v>2850</v>
      </c>
      <c r="G2667" s="4">
        <v>0.51</v>
      </c>
      <c r="H2667" s="28">
        <v>40820</v>
      </c>
      <c r="I2667" s="29">
        <f t="shared" si="2539"/>
        <v>2011</v>
      </c>
      <c r="J2667" s="1" t="s">
        <v>2848</v>
      </c>
      <c r="K2667" s="1" t="s">
        <v>7</v>
      </c>
      <c r="L2667" s="11" t="str">
        <f t="shared" ref="L2667" si="2554">IF(OR(A2667=J2667,A2667=K2667),"ДА","НЕТ")</f>
        <v>НЕТ</v>
      </c>
      <c r="M2667" s="10">
        <v>0</v>
      </c>
      <c r="N2667" s="10">
        <v>0</v>
      </c>
      <c r="O2667" s="10">
        <v>5.1000000000000003E-6</v>
      </c>
      <c r="P2667" s="10">
        <f t="shared" si="2537"/>
        <v>1.0000000000000001E-5</v>
      </c>
      <c r="Q2667" s="10" t="str">
        <f t="shared" si="2538"/>
        <v>NA</v>
      </c>
      <c r="R2667" s="10" t="s">
        <v>1575</v>
      </c>
      <c r="S2667" s="10" t="s">
        <v>1575</v>
      </c>
      <c r="T2667" s="10" t="s">
        <v>1575</v>
      </c>
      <c r="U2667" s="10" t="s">
        <v>1575</v>
      </c>
      <c r="V2667" s="10" t="s">
        <v>1575</v>
      </c>
      <c r="W2667" s="10" t="s">
        <v>1575</v>
      </c>
      <c r="X2667" s="10" t="str">
        <f t="shared" si="2542"/>
        <v>NA</v>
      </c>
      <c r="Y2667" s="10" t="str">
        <f t="shared" si="2543"/>
        <v>NA</v>
      </c>
      <c r="Z2667" s="10" t="str">
        <f t="shared" si="2544"/>
        <v>NA</v>
      </c>
      <c r="AA2667" s="10" t="str">
        <f t="shared" si="2545"/>
        <v>NA</v>
      </c>
      <c r="AB2667" s="10" t="str">
        <f t="shared" si="2546"/>
        <v>NA</v>
      </c>
      <c r="AC2667" s="10" t="str">
        <f t="shared" si="2547"/>
        <v>NA</v>
      </c>
      <c r="AD2667" s="10" t="str">
        <f t="shared" si="2548"/>
        <v>NA</v>
      </c>
      <c r="AE2667" s="10" t="str">
        <f t="shared" si="2549"/>
        <v>NA</v>
      </c>
      <c r="AF2667" s="1" t="s">
        <v>2858</v>
      </c>
    </row>
    <row r="2668" spans="1:32" x14ac:dyDescent="0.2">
      <c r="A2668" s="1" t="s">
        <v>6557</v>
      </c>
      <c r="B2668" s="1" t="s">
        <v>179</v>
      </c>
      <c r="C2668" s="1" t="s">
        <v>1575</v>
      </c>
      <c r="D2668" s="1" t="s">
        <v>1580</v>
      </c>
      <c r="E2668" s="1" t="s">
        <v>1593</v>
      </c>
      <c r="F2668" s="1" t="s">
        <v>184</v>
      </c>
      <c r="G2668" s="4">
        <v>0.74</v>
      </c>
      <c r="H2668" s="28">
        <v>40604</v>
      </c>
      <c r="I2668" s="29">
        <f t="shared" si="2539"/>
        <v>2011</v>
      </c>
      <c r="J2668" s="1" t="s">
        <v>2848</v>
      </c>
      <c r="K2668" s="1" t="s">
        <v>7</v>
      </c>
      <c r="L2668" s="11" t="str">
        <f t="shared" ref="L2668" si="2555">IF(OR(A2668=J2668,A2668=K2668),"ДА","НЕТ")</f>
        <v>НЕТ</v>
      </c>
      <c r="M2668" s="10">
        <v>0</v>
      </c>
      <c r="N2668" s="10">
        <v>0</v>
      </c>
      <c r="O2668" s="10">
        <v>1E-4</v>
      </c>
      <c r="P2668" s="10">
        <f t="shared" si="2537"/>
        <v>1.3513513513513514E-4</v>
      </c>
      <c r="Q2668" s="10" t="str">
        <f t="shared" si="2538"/>
        <v>NA</v>
      </c>
      <c r="R2668" s="10" t="s">
        <v>1575</v>
      </c>
      <c r="S2668" s="10" t="s">
        <v>1575</v>
      </c>
      <c r="T2668" s="10" t="s">
        <v>1575</v>
      </c>
      <c r="U2668" s="10" t="s">
        <v>1575</v>
      </c>
      <c r="V2668" s="10" t="s">
        <v>1575</v>
      </c>
      <c r="W2668" s="10" t="s">
        <v>1575</v>
      </c>
      <c r="X2668" s="10" t="str">
        <f t="shared" si="2542"/>
        <v>NA</v>
      </c>
      <c r="Y2668" s="10" t="str">
        <f t="shared" si="2543"/>
        <v>NA</v>
      </c>
      <c r="Z2668" s="10" t="str">
        <f t="shared" si="2544"/>
        <v>NA</v>
      </c>
      <c r="AA2668" s="10" t="str">
        <f t="shared" si="2545"/>
        <v>NA</v>
      </c>
      <c r="AB2668" s="10" t="str">
        <f t="shared" si="2546"/>
        <v>NA</v>
      </c>
      <c r="AC2668" s="10" t="str">
        <f t="shared" si="2547"/>
        <v>NA</v>
      </c>
      <c r="AD2668" s="10" t="str">
        <f t="shared" si="2548"/>
        <v>NA</v>
      </c>
      <c r="AE2668" s="10" t="str">
        <f t="shared" si="2549"/>
        <v>NA</v>
      </c>
      <c r="AF2668" s="1" t="s">
        <v>2859</v>
      </c>
    </row>
    <row r="2669" spans="1:32" x14ac:dyDescent="0.2">
      <c r="A2669" s="1" t="s">
        <v>6554</v>
      </c>
      <c r="B2669" s="1" t="s">
        <v>5</v>
      </c>
      <c r="C2669" s="1" t="s">
        <v>1575</v>
      </c>
      <c r="D2669" s="1" t="s">
        <v>1578</v>
      </c>
      <c r="E2669" s="1" t="s">
        <v>2422</v>
      </c>
      <c r="F2669" s="1" t="s">
        <v>2850</v>
      </c>
      <c r="G2669" s="4">
        <v>5.1400000000000001E-2</v>
      </c>
      <c r="H2669" s="28">
        <v>40908</v>
      </c>
      <c r="I2669" s="29">
        <f t="shared" si="2539"/>
        <v>2011</v>
      </c>
      <c r="J2669" s="1" t="s">
        <v>2848</v>
      </c>
      <c r="K2669" s="1" t="s">
        <v>7</v>
      </c>
      <c r="L2669" s="11" t="str">
        <f t="shared" si="2553"/>
        <v>НЕТ</v>
      </c>
      <c r="M2669" s="10">
        <v>0</v>
      </c>
      <c r="N2669" s="10">
        <v>0</v>
      </c>
      <c r="O2669" s="10">
        <v>1.333E-3</v>
      </c>
      <c r="P2669" s="10">
        <f t="shared" si="2537"/>
        <v>2.5933852140077821E-2</v>
      </c>
      <c r="Q2669" s="10" t="str">
        <f t="shared" si="2538"/>
        <v>NA</v>
      </c>
      <c r="R2669" s="10" t="s">
        <v>1575</v>
      </c>
      <c r="S2669" s="10" t="s">
        <v>1575</v>
      </c>
      <c r="T2669" s="10" t="s">
        <v>1575</v>
      </c>
      <c r="U2669" s="10" t="s">
        <v>1575</v>
      </c>
      <c r="V2669" s="10" t="s">
        <v>1575</v>
      </c>
      <c r="W2669" s="10" t="s">
        <v>1575</v>
      </c>
      <c r="X2669" s="10" t="str">
        <f t="shared" si="2542"/>
        <v>NA</v>
      </c>
      <c r="Y2669" s="10" t="str">
        <f t="shared" si="2543"/>
        <v>NA</v>
      </c>
      <c r="Z2669" s="10" t="str">
        <f t="shared" si="2544"/>
        <v>NA</v>
      </c>
      <c r="AA2669" s="10" t="str">
        <f t="shared" si="2545"/>
        <v>NA</v>
      </c>
      <c r="AB2669" s="10" t="str">
        <f t="shared" si="2546"/>
        <v>NA</v>
      </c>
      <c r="AC2669" s="10" t="str">
        <f t="shared" si="2547"/>
        <v>NA</v>
      </c>
      <c r="AD2669" s="10" t="str">
        <f t="shared" si="2548"/>
        <v>NA</v>
      </c>
      <c r="AE2669" s="10" t="str">
        <f t="shared" si="2549"/>
        <v>NA</v>
      </c>
      <c r="AF2669" s="1" t="s">
        <v>2856</v>
      </c>
    </row>
    <row r="2670" spans="1:32" x14ac:dyDescent="0.2">
      <c r="A2670" s="1" t="s">
        <v>6553</v>
      </c>
      <c r="B2670" s="1" t="s">
        <v>5</v>
      </c>
      <c r="C2670" s="1" t="s">
        <v>1575</v>
      </c>
      <c r="D2670" s="1" t="s">
        <v>1578</v>
      </c>
      <c r="E2670" s="1" t="s">
        <v>2422</v>
      </c>
      <c r="F2670" s="1" t="s">
        <v>2850</v>
      </c>
      <c r="G2670" s="4">
        <v>0.16769999999999999</v>
      </c>
      <c r="H2670" s="28">
        <v>40899</v>
      </c>
      <c r="I2670" s="29">
        <f t="shared" si="2539"/>
        <v>2011</v>
      </c>
      <c r="J2670" s="1" t="s">
        <v>7</v>
      </c>
      <c r="K2670" s="1" t="s">
        <v>2848</v>
      </c>
      <c r="L2670" s="11" t="str">
        <f t="shared" si="2553"/>
        <v>НЕТ</v>
      </c>
      <c r="M2670" s="10">
        <v>0</v>
      </c>
      <c r="N2670" s="10">
        <v>0</v>
      </c>
      <c r="O2670" s="10">
        <v>0</v>
      </c>
      <c r="P2670" s="10">
        <f t="shared" si="2537"/>
        <v>0</v>
      </c>
      <c r="Q2670" s="10" t="str">
        <f t="shared" si="2538"/>
        <v>NA</v>
      </c>
      <c r="R2670" s="10" t="s">
        <v>1575</v>
      </c>
      <c r="S2670" s="10" t="s">
        <v>1575</v>
      </c>
      <c r="T2670" s="10" t="s">
        <v>1575</v>
      </c>
      <c r="U2670" s="10" t="s">
        <v>1575</v>
      </c>
      <c r="V2670" s="10" t="s">
        <v>1575</v>
      </c>
      <c r="W2670" s="10" t="s">
        <v>1575</v>
      </c>
      <c r="X2670" s="10" t="str">
        <f t="shared" si="2542"/>
        <v>NA</v>
      </c>
      <c r="Y2670" s="10" t="str">
        <f t="shared" si="2543"/>
        <v>NA</v>
      </c>
      <c r="Z2670" s="10" t="str">
        <f t="shared" si="2544"/>
        <v>NA</v>
      </c>
      <c r="AA2670" s="10" t="str">
        <f t="shared" si="2545"/>
        <v>NA</v>
      </c>
      <c r="AB2670" s="10" t="str">
        <f t="shared" si="2546"/>
        <v>NA</v>
      </c>
      <c r="AC2670" s="10" t="str">
        <f t="shared" si="2547"/>
        <v>NA</v>
      </c>
      <c r="AD2670" s="10" t="str">
        <f t="shared" si="2548"/>
        <v>NA</v>
      </c>
      <c r="AE2670" s="10" t="str">
        <f t="shared" si="2549"/>
        <v>NA</v>
      </c>
      <c r="AF2670" s="1" t="s">
        <v>2857</v>
      </c>
    </row>
    <row r="2671" spans="1:32" x14ac:dyDescent="0.2">
      <c r="A2671" s="1" t="s">
        <v>6554</v>
      </c>
      <c r="B2671" s="1" t="s">
        <v>5</v>
      </c>
      <c r="C2671" s="1" t="s">
        <v>1575</v>
      </c>
      <c r="D2671" s="1" t="s">
        <v>1578</v>
      </c>
      <c r="E2671" s="1" t="s">
        <v>2422</v>
      </c>
      <c r="F2671" s="1" t="s">
        <v>2850</v>
      </c>
      <c r="G2671" s="4">
        <v>0.32290000000000002</v>
      </c>
      <c r="H2671" s="28">
        <v>40543</v>
      </c>
      <c r="I2671" s="29">
        <f t="shared" si="2539"/>
        <v>2010</v>
      </c>
      <c r="J2671" s="1" t="s">
        <v>2848</v>
      </c>
      <c r="K2671" s="1" t="s">
        <v>7</v>
      </c>
      <c r="L2671" s="11" t="str">
        <f t="shared" ref="L2671" si="2556">IF(OR(A2671=J2671,A2671=K2671),"ДА","НЕТ")</f>
        <v>НЕТ</v>
      </c>
      <c r="M2671" s="10">
        <v>0</v>
      </c>
      <c r="N2671" s="10">
        <v>0</v>
      </c>
      <c r="O2671" s="10">
        <v>8.4650000000000003E-3</v>
      </c>
      <c r="P2671" s="10">
        <f t="shared" si="2537"/>
        <v>2.6215546608857231E-2</v>
      </c>
      <c r="Q2671" s="10">
        <f t="shared" si="2538"/>
        <v>4.8046546608857224E-2</v>
      </c>
      <c r="R2671" s="10" t="s">
        <v>1575</v>
      </c>
      <c r="S2671" s="10" t="s">
        <v>1575</v>
      </c>
      <c r="T2671" s="10" t="s">
        <v>1575</v>
      </c>
      <c r="U2671" s="10" t="s">
        <v>1575</v>
      </c>
      <c r="V2671" s="10">
        <v>0.12776199999999999</v>
      </c>
      <c r="W2671" s="10">
        <f>0.007702+0.032948-0.018811-0.000008</f>
        <v>2.1830999999999996E-2</v>
      </c>
      <c r="X2671" s="10">
        <f t="shared" si="2542"/>
        <v>0.14959299999999998</v>
      </c>
      <c r="Y2671" s="10" t="str">
        <f t="shared" si="2543"/>
        <v>NA</v>
      </c>
      <c r="Z2671" s="10" t="str">
        <f t="shared" si="2544"/>
        <v>NA</v>
      </c>
      <c r="AA2671" s="10">
        <f t="shared" si="2545"/>
        <v>0.20519048393776892</v>
      </c>
      <c r="AB2671" s="10" t="str">
        <f t="shared" si="2546"/>
        <v>NA</v>
      </c>
      <c r="AC2671" s="10" t="str">
        <f t="shared" si="2547"/>
        <v>NA</v>
      </c>
      <c r="AD2671" s="10" t="str">
        <f t="shared" si="2548"/>
        <v>NA</v>
      </c>
      <c r="AE2671" s="10">
        <f t="shared" si="2549"/>
        <v>0.32118178396620989</v>
      </c>
      <c r="AF2671" s="1" t="s">
        <v>2860</v>
      </c>
    </row>
    <row r="2672" spans="1:32" x14ac:dyDescent="0.2">
      <c r="A2672" s="1" t="s">
        <v>6558</v>
      </c>
      <c r="B2672" s="1" t="s">
        <v>5</v>
      </c>
      <c r="C2672" s="1" t="s">
        <v>1575</v>
      </c>
      <c r="D2672" s="1" t="s">
        <v>1582</v>
      </c>
      <c r="E2672" s="1" t="s">
        <v>1587</v>
      </c>
      <c r="F2672" s="1" t="s">
        <v>5174</v>
      </c>
      <c r="G2672" s="4">
        <v>1</v>
      </c>
      <c r="H2672" s="28">
        <v>45351</v>
      </c>
      <c r="I2672" s="29">
        <f t="shared" si="2539"/>
        <v>2024</v>
      </c>
      <c r="J2672" s="1" t="s">
        <v>5175</v>
      </c>
      <c r="K2672" s="1" t="s">
        <v>7</v>
      </c>
      <c r="L2672" s="11" t="str">
        <f t="shared" ref="L2672" si="2557">IF(OR(A2672=J2672,A2672=K2672),"ДА","НЕТ")</f>
        <v>НЕТ</v>
      </c>
      <c r="M2672" s="10">
        <v>0</v>
      </c>
      <c r="N2672" s="10">
        <v>0</v>
      </c>
      <c r="O2672" s="10">
        <v>1.0000000000000001E-5</v>
      </c>
      <c r="P2672" s="10">
        <f t="shared" si="2537"/>
        <v>1.0000000000000001E-5</v>
      </c>
      <c r="Q2672" s="10" t="str">
        <f t="shared" si="2538"/>
        <v>NA</v>
      </c>
      <c r="R2672" s="10" t="s">
        <v>1575</v>
      </c>
      <c r="S2672" s="10" t="s">
        <v>1575</v>
      </c>
      <c r="T2672" s="10" t="s">
        <v>1575</v>
      </c>
      <c r="U2672" s="10" t="s">
        <v>1575</v>
      </c>
      <c r="V2672" s="10" t="s">
        <v>1575</v>
      </c>
      <c r="W2672" s="10" t="s">
        <v>1575</v>
      </c>
      <c r="X2672" s="10" t="str">
        <f t="shared" si="2542"/>
        <v>NA</v>
      </c>
      <c r="Y2672" s="10" t="str">
        <f t="shared" si="2543"/>
        <v>NA</v>
      </c>
      <c r="Z2672" s="10" t="str">
        <f t="shared" si="2544"/>
        <v>NA</v>
      </c>
      <c r="AA2672" s="10" t="str">
        <f t="shared" si="2545"/>
        <v>NA</v>
      </c>
      <c r="AB2672" s="10" t="str">
        <f t="shared" si="2546"/>
        <v>NA</v>
      </c>
      <c r="AC2672" s="10" t="str">
        <f t="shared" si="2547"/>
        <v>NA</v>
      </c>
      <c r="AD2672" s="10" t="str">
        <f t="shared" si="2548"/>
        <v>NA</v>
      </c>
      <c r="AE2672" s="10" t="str">
        <f t="shared" si="2549"/>
        <v>NA</v>
      </c>
      <c r="AF2672" s="1" t="s">
        <v>5178</v>
      </c>
    </row>
    <row r="2673" spans="1:32" x14ac:dyDescent="0.2">
      <c r="A2673" s="1" t="s">
        <v>6559</v>
      </c>
      <c r="B2673" s="1" t="s">
        <v>5</v>
      </c>
      <c r="C2673" s="1" t="s">
        <v>1575</v>
      </c>
      <c r="D2673" s="1" t="s">
        <v>1578</v>
      </c>
      <c r="E2673" s="1" t="s">
        <v>2422</v>
      </c>
      <c r="F2673" s="1" t="s">
        <v>5176</v>
      </c>
      <c r="G2673" s="4">
        <v>0.99</v>
      </c>
      <c r="H2673" s="28">
        <v>45376</v>
      </c>
      <c r="I2673" s="29">
        <f t="shared" si="2539"/>
        <v>2024</v>
      </c>
      <c r="J2673" s="1" t="s">
        <v>5175</v>
      </c>
      <c r="K2673" s="1" t="s">
        <v>7</v>
      </c>
      <c r="L2673" s="11" t="str">
        <f t="shared" ref="L2673:L2674" si="2558">IF(OR(A2673=J2673,A2673=K2673),"ДА","НЕТ")</f>
        <v>НЕТ</v>
      </c>
      <c r="M2673" s="10">
        <v>0</v>
      </c>
      <c r="N2673" s="10">
        <v>0</v>
      </c>
      <c r="O2673" s="10">
        <v>9.9000000000000001E-6</v>
      </c>
      <c r="P2673" s="10">
        <f t="shared" si="2537"/>
        <v>1.0000000000000001E-5</v>
      </c>
      <c r="Q2673" s="10" t="str">
        <f t="shared" si="2538"/>
        <v>NA</v>
      </c>
      <c r="R2673" s="10" t="s">
        <v>1575</v>
      </c>
      <c r="S2673" s="10" t="s">
        <v>1575</v>
      </c>
      <c r="T2673" s="10" t="s">
        <v>1575</v>
      </c>
      <c r="U2673" s="10" t="s">
        <v>1575</v>
      </c>
      <c r="V2673" s="10" t="s">
        <v>1575</v>
      </c>
      <c r="W2673" s="10" t="s">
        <v>1575</v>
      </c>
      <c r="X2673" s="10" t="str">
        <f t="shared" si="2542"/>
        <v>NA</v>
      </c>
      <c r="Y2673" s="10" t="str">
        <f t="shared" si="2543"/>
        <v>NA</v>
      </c>
      <c r="Z2673" s="10" t="str">
        <f t="shared" si="2544"/>
        <v>NA</v>
      </c>
      <c r="AA2673" s="10" t="str">
        <f t="shared" si="2545"/>
        <v>NA</v>
      </c>
      <c r="AB2673" s="10" t="str">
        <f t="shared" si="2546"/>
        <v>NA</v>
      </c>
      <c r="AC2673" s="10" t="str">
        <f t="shared" si="2547"/>
        <v>NA</v>
      </c>
      <c r="AD2673" s="10" t="str">
        <f t="shared" si="2548"/>
        <v>NA</v>
      </c>
      <c r="AE2673" s="10" t="str">
        <f t="shared" si="2549"/>
        <v>NA</v>
      </c>
      <c r="AF2673" s="1" t="s">
        <v>5178</v>
      </c>
    </row>
    <row r="2674" spans="1:32" x14ac:dyDescent="0.2">
      <c r="A2674" s="1" t="s">
        <v>6560</v>
      </c>
      <c r="B2674" s="1" t="s">
        <v>5</v>
      </c>
      <c r="C2674" s="1" t="s">
        <v>1575</v>
      </c>
      <c r="D2674" s="1" t="s">
        <v>1578</v>
      </c>
      <c r="E2674" s="1" t="s">
        <v>2496</v>
      </c>
      <c r="F2674" s="1" t="s">
        <v>5177</v>
      </c>
      <c r="G2674" s="4">
        <v>0.99</v>
      </c>
      <c r="H2674" s="28">
        <v>45377</v>
      </c>
      <c r="I2674" s="29">
        <f t="shared" si="2539"/>
        <v>2024</v>
      </c>
      <c r="J2674" s="1" t="s">
        <v>5175</v>
      </c>
      <c r="K2674" s="1" t="s">
        <v>7</v>
      </c>
      <c r="L2674" s="11" t="str">
        <f t="shared" si="2558"/>
        <v>НЕТ</v>
      </c>
      <c r="M2674" s="10">
        <v>0</v>
      </c>
      <c r="N2674" s="10">
        <v>0</v>
      </c>
      <c r="O2674" s="10">
        <v>9.8999999999999999E-4</v>
      </c>
      <c r="P2674" s="10">
        <f t="shared" si="2537"/>
        <v>1E-3</v>
      </c>
      <c r="Q2674" s="10" t="str">
        <f t="shared" si="2538"/>
        <v>NA</v>
      </c>
      <c r="R2674" s="10" t="s">
        <v>1575</v>
      </c>
      <c r="S2674" s="10" t="s">
        <v>1575</v>
      </c>
      <c r="T2674" s="10" t="s">
        <v>1575</v>
      </c>
      <c r="U2674" s="10" t="s">
        <v>1575</v>
      </c>
      <c r="V2674" s="10" t="s">
        <v>1575</v>
      </c>
      <c r="W2674" s="10" t="s">
        <v>1575</v>
      </c>
      <c r="X2674" s="10" t="str">
        <f t="shared" ref="X2674:X2675" si="2559">IFERROR(V2674+W2674,"NA")</f>
        <v>NA</v>
      </c>
      <c r="Y2674" s="10" t="str">
        <f t="shared" ref="Y2674:Y2675" si="2560">IFERROR(P2674/R2674,"NA")</f>
        <v>NA</v>
      </c>
      <c r="Z2674" s="10" t="str">
        <f t="shared" ref="Z2674:Z2675" si="2561">IFERROR(P2674/U2674,"NA")</f>
        <v>NA</v>
      </c>
      <c r="AA2674" s="10" t="str">
        <f t="shared" ref="AA2674:AA2675" si="2562">IFERROR(P2674/V2674,"NA")</f>
        <v>NA</v>
      </c>
      <c r="AB2674" s="10" t="str">
        <f t="shared" ref="AB2674:AB2675" si="2563">IFERROR(Q2674/R2674,"NA")</f>
        <v>NA</v>
      </c>
      <c r="AC2674" s="10" t="str">
        <f t="shared" ref="AC2674:AC2675" si="2564">IFERROR(Q2674/S2674,"NA")</f>
        <v>NA</v>
      </c>
      <c r="AD2674" s="10" t="str">
        <f t="shared" ref="AD2674:AD2675" si="2565">IFERROR(Q2674/T2674,"NA")</f>
        <v>NA</v>
      </c>
      <c r="AE2674" s="10" t="str">
        <f t="shared" ref="AE2674:AE2675" si="2566">IFERROR(Q2674/X2674,"NA")</f>
        <v>NA</v>
      </c>
      <c r="AF2674" s="1" t="s">
        <v>5178</v>
      </c>
    </row>
    <row r="2675" spans="1:32" x14ac:dyDescent="0.2">
      <c r="A2675" s="5" t="s">
        <v>7162</v>
      </c>
      <c r="B2675" s="1" t="s">
        <v>5</v>
      </c>
      <c r="C2675" s="1" t="s">
        <v>1575</v>
      </c>
      <c r="D2675" s="1" t="s">
        <v>1582</v>
      </c>
      <c r="E2675" s="1" t="s">
        <v>1587</v>
      </c>
      <c r="F2675" s="1" t="s">
        <v>5181</v>
      </c>
      <c r="G2675" s="4">
        <v>0.9</v>
      </c>
      <c r="H2675" s="28">
        <v>45351</v>
      </c>
      <c r="I2675" s="29">
        <f t="shared" si="2539"/>
        <v>2024</v>
      </c>
      <c r="J2675" s="1" t="s">
        <v>5175</v>
      </c>
      <c r="K2675" s="1" t="s">
        <v>7</v>
      </c>
      <c r="L2675" s="11" t="str">
        <f t="shared" ref="L2675:L2677" si="2567">IF(OR(A2675=J2675,A2675=K2675),"ДА","НЕТ")</f>
        <v>НЕТ</v>
      </c>
      <c r="M2675" s="10">
        <v>0</v>
      </c>
      <c r="N2675" s="10">
        <v>0</v>
      </c>
      <c r="O2675" s="10">
        <v>9.0000000000000002E-6</v>
      </c>
      <c r="P2675" s="10">
        <f t="shared" si="2537"/>
        <v>1.0000000000000001E-5</v>
      </c>
      <c r="Q2675" s="10" t="str">
        <f t="shared" si="2538"/>
        <v>NA</v>
      </c>
      <c r="R2675" s="10" t="s">
        <v>1575</v>
      </c>
      <c r="S2675" s="10" t="s">
        <v>1575</v>
      </c>
      <c r="T2675" s="10" t="s">
        <v>1575</v>
      </c>
      <c r="U2675" s="10" t="s">
        <v>1575</v>
      </c>
      <c r="V2675" s="10" t="s">
        <v>1575</v>
      </c>
      <c r="W2675" s="10" t="s">
        <v>1575</v>
      </c>
      <c r="X2675" s="10" t="str">
        <f t="shared" si="2559"/>
        <v>NA</v>
      </c>
      <c r="Y2675" s="10" t="str">
        <f t="shared" si="2560"/>
        <v>NA</v>
      </c>
      <c r="Z2675" s="10" t="str">
        <f t="shared" si="2561"/>
        <v>NA</v>
      </c>
      <c r="AA2675" s="10" t="str">
        <f t="shared" si="2562"/>
        <v>NA</v>
      </c>
      <c r="AB2675" s="10" t="str">
        <f t="shared" si="2563"/>
        <v>NA</v>
      </c>
      <c r="AC2675" s="10" t="str">
        <f t="shared" si="2564"/>
        <v>NA</v>
      </c>
      <c r="AD2675" s="10" t="str">
        <f t="shared" si="2565"/>
        <v>NA</v>
      </c>
      <c r="AE2675" s="10" t="str">
        <f t="shared" si="2566"/>
        <v>NA</v>
      </c>
      <c r="AF2675" s="1" t="s">
        <v>5182</v>
      </c>
    </row>
    <row r="2676" spans="1:32" x14ac:dyDescent="0.2">
      <c r="A2676" s="1" t="s">
        <v>6561</v>
      </c>
      <c r="B2676" s="1" t="s">
        <v>5</v>
      </c>
      <c r="C2676" s="1" t="s">
        <v>1575</v>
      </c>
      <c r="D2676" s="1" t="s">
        <v>1584</v>
      </c>
      <c r="E2676" s="1" t="s">
        <v>1586</v>
      </c>
      <c r="F2676" s="1" t="s">
        <v>5180</v>
      </c>
      <c r="G2676" s="4">
        <v>1</v>
      </c>
      <c r="H2676" s="28">
        <v>45352</v>
      </c>
      <c r="I2676" s="29">
        <f t="shared" si="2539"/>
        <v>2024</v>
      </c>
      <c r="J2676" s="1" t="s">
        <v>5175</v>
      </c>
      <c r="K2676" s="1" t="s">
        <v>7</v>
      </c>
      <c r="L2676" s="11" t="str">
        <f t="shared" si="2567"/>
        <v>НЕТ</v>
      </c>
      <c r="M2676" s="10">
        <v>0</v>
      </c>
      <c r="N2676" s="10">
        <v>0</v>
      </c>
      <c r="O2676" s="10">
        <v>8.3000000000000001E-3</v>
      </c>
      <c r="P2676" s="10">
        <f t="shared" si="2537"/>
        <v>8.3000000000000001E-3</v>
      </c>
      <c r="Q2676" s="10" t="str">
        <f t="shared" si="2538"/>
        <v>NA</v>
      </c>
      <c r="R2676" s="10" t="s">
        <v>1575</v>
      </c>
      <c r="S2676" s="10" t="s">
        <v>1575</v>
      </c>
      <c r="T2676" s="10" t="s">
        <v>1575</v>
      </c>
      <c r="U2676" s="10" t="s">
        <v>1575</v>
      </c>
      <c r="V2676" s="10" t="s">
        <v>1575</v>
      </c>
      <c r="W2676" s="10" t="s">
        <v>1575</v>
      </c>
      <c r="X2676" s="10" t="str">
        <f t="shared" ref="X2676:X2677" si="2568">IFERROR(V2676+W2676,"NA")</f>
        <v>NA</v>
      </c>
      <c r="Y2676" s="10" t="str">
        <f t="shared" ref="Y2676:Y2677" si="2569">IFERROR(P2676/R2676,"NA")</f>
        <v>NA</v>
      </c>
      <c r="Z2676" s="10" t="str">
        <f t="shared" ref="Z2676:Z2677" si="2570">IFERROR(P2676/U2676,"NA")</f>
        <v>NA</v>
      </c>
      <c r="AA2676" s="10" t="str">
        <f t="shared" ref="AA2676:AA2677" si="2571">IFERROR(P2676/V2676,"NA")</f>
        <v>NA</v>
      </c>
      <c r="AB2676" s="10" t="str">
        <f t="shared" ref="AB2676:AB2677" si="2572">IFERROR(Q2676/R2676,"NA")</f>
        <v>NA</v>
      </c>
      <c r="AC2676" s="10" t="str">
        <f t="shared" ref="AC2676:AC2677" si="2573">IFERROR(Q2676/S2676,"NA")</f>
        <v>NA</v>
      </c>
      <c r="AD2676" s="10" t="str">
        <f t="shared" ref="AD2676:AD2677" si="2574">IFERROR(Q2676/T2676,"NA")</f>
        <v>NA</v>
      </c>
      <c r="AE2676" s="10" t="str">
        <f t="shared" ref="AE2676:AE2677" si="2575">IFERROR(Q2676/X2676,"NA")</f>
        <v>NA</v>
      </c>
      <c r="AF2676" s="1" t="s">
        <v>5182</v>
      </c>
    </row>
    <row r="2677" spans="1:32" x14ac:dyDescent="0.2">
      <c r="A2677" s="1" t="s">
        <v>6562</v>
      </c>
      <c r="B2677" s="1" t="s">
        <v>5</v>
      </c>
      <c r="C2677" s="1" t="s">
        <v>1575</v>
      </c>
      <c r="D2677" s="1" t="s">
        <v>1582</v>
      </c>
      <c r="E2677" s="1" t="s">
        <v>1587</v>
      </c>
      <c r="F2677" s="1" t="s">
        <v>5179</v>
      </c>
      <c r="G2677" s="4">
        <v>1</v>
      </c>
      <c r="H2677" s="28">
        <v>45352</v>
      </c>
      <c r="I2677" s="29">
        <f t="shared" si="2539"/>
        <v>2024</v>
      </c>
      <c r="J2677" s="1" t="s">
        <v>5175</v>
      </c>
      <c r="K2677" s="1" t="s">
        <v>7</v>
      </c>
      <c r="L2677" s="11" t="str">
        <f t="shared" si="2567"/>
        <v>НЕТ</v>
      </c>
      <c r="M2677" s="10">
        <v>0</v>
      </c>
      <c r="N2677" s="10">
        <v>0</v>
      </c>
      <c r="O2677" s="10">
        <v>1.0000000000000001E-5</v>
      </c>
      <c r="P2677" s="10">
        <f t="shared" si="2537"/>
        <v>1.0000000000000001E-5</v>
      </c>
      <c r="Q2677" s="10" t="str">
        <f t="shared" si="2538"/>
        <v>NA</v>
      </c>
      <c r="R2677" s="10" t="s">
        <v>1575</v>
      </c>
      <c r="S2677" s="10" t="s">
        <v>1575</v>
      </c>
      <c r="T2677" s="10" t="s">
        <v>1575</v>
      </c>
      <c r="U2677" s="10" t="s">
        <v>1575</v>
      </c>
      <c r="V2677" s="10" t="s">
        <v>1575</v>
      </c>
      <c r="W2677" s="10" t="s">
        <v>1575</v>
      </c>
      <c r="X2677" s="10" t="str">
        <f t="shared" si="2568"/>
        <v>NA</v>
      </c>
      <c r="Y2677" s="10" t="str">
        <f t="shared" si="2569"/>
        <v>NA</v>
      </c>
      <c r="Z2677" s="10" t="str">
        <f t="shared" si="2570"/>
        <v>NA</v>
      </c>
      <c r="AA2677" s="10" t="str">
        <f t="shared" si="2571"/>
        <v>NA</v>
      </c>
      <c r="AB2677" s="10" t="str">
        <f t="shared" si="2572"/>
        <v>NA</v>
      </c>
      <c r="AC2677" s="10" t="str">
        <f t="shared" si="2573"/>
        <v>NA</v>
      </c>
      <c r="AD2677" s="10" t="str">
        <f t="shared" si="2574"/>
        <v>NA</v>
      </c>
      <c r="AE2677" s="10" t="str">
        <f t="shared" si="2575"/>
        <v>NA</v>
      </c>
      <c r="AF2677" s="1" t="s">
        <v>5182</v>
      </c>
    </row>
    <row r="2678" spans="1:32" x14ac:dyDescent="0.2">
      <c r="A2678" s="1" t="s">
        <v>6563</v>
      </c>
      <c r="B2678" s="1" t="s">
        <v>5</v>
      </c>
      <c r="C2678" s="1" t="s">
        <v>1575</v>
      </c>
      <c r="D2678" s="1" t="s">
        <v>1578</v>
      </c>
      <c r="E2678" s="1" t="s">
        <v>2422</v>
      </c>
      <c r="F2678" s="1" t="s">
        <v>5184</v>
      </c>
      <c r="G2678" s="4">
        <v>0.51</v>
      </c>
      <c r="H2678" s="28">
        <v>44921</v>
      </c>
      <c r="I2678" s="29">
        <f t="shared" si="2539"/>
        <v>2022</v>
      </c>
      <c r="J2678" s="1" t="s">
        <v>5183</v>
      </c>
      <c r="K2678" s="1" t="s">
        <v>7</v>
      </c>
      <c r="L2678" s="11" t="str">
        <f t="shared" ref="L2678" si="2576">IF(OR(A2678=J2678,A2678=K2678),"ДА","НЕТ")</f>
        <v>НЕТ</v>
      </c>
      <c r="M2678" s="10">
        <v>0</v>
      </c>
      <c r="N2678" s="10">
        <v>0</v>
      </c>
      <c r="O2678" s="10">
        <v>0.15</v>
      </c>
      <c r="P2678" s="10">
        <f t="shared" si="2537"/>
        <v>0.29411764705882354</v>
      </c>
      <c r="Q2678" s="10">
        <f t="shared" si="2538"/>
        <v>0.40734864705882357</v>
      </c>
      <c r="R2678" s="10" t="s">
        <v>1575</v>
      </c>
      <c r="S2678" s="10" t="s">
        <v>1575</v>
      </c>
      <c r="T2678" s="10" t="s">
        <v>1575</v>
      </c>
      <c r="U2678" s="10" t="s">
        <v>1575</v>
      </c>
      <c r="V2678" s="10">
        <v>-2.9080000000000002E-2</v>
      </c>
      <c r="W2678" s="10">
        <f>0.121449+0.030299-0.038517</f>
        <v>0.113231</v>
      </c>
      <c r="X2678" s="10">
        <f t="shared" ref="X2678" si="2577">IFERROR(V2678+W2678,"NA")</f>
        <v>8.4151000000000004E-2</v>
      </c>
      <c r="Y2678" s="10" t="str">
        <f t="shared" ref="Y2678" si="2578">IFERROR(P2678/R2678,"NA")</f>
        <v>NA</v>
      </c>
      <c r="Z2678" s="10" t="str">
        <f t="shared" ref="Z2678" si="2579">IFERROR(P2678/U2678,"NA")</f>
        <v>NA</v>
      </c>
      <c r="AA2678" s="10">
        <f t="shared" ref="AA2678" si="2580">IFERROR(P2678/V2678,"NA")</f>
        <v>-10.114086900234646</v>
      </c>
      <c r="AB2678" s="10" t="str">
        <f t="shared" ref="AB2678" si="2581">IFERROR(Q2678/R2678,"NA")</f>
        <v>NA</v>
      </c>
      <c r="AC2678" s="10" t="str">
        <f t="shared" ref="AC2678" si="2582">IFERROR(Q2678/S2678,"NA")</f>
        <v>NA</v>
      </c>
      <c r="AD2678" s="10" t="str">
        <f t="shared" ref="AD2678" si="2583">IFERROR(Q2678/T2678,"NA")</f>
        <v>NA</v>
      </c>
      <c r="AE2678" s="10">
        <f t="shared" ref="AE2678" si="2584">IFERROR(Q2678/X2678,"NA")</f>
        <v>4.8406869444073575</v>
      </c>
      <c r="AF2678" s="1" t="s">
        <v>5185</v>
      </c>
    </row>
    <row r="2679" spans="1:32" x14ac:dyDescent="0.2">
      <c r="A2679" s="1" t="s">
        <v>6564</v>
      </c>
      <c r="B2679" s="1" t="s">
        <v>5</v>
      </c>
      <c r="C2679" s="1" t="s">
        <v>1575</v>
      </c>
      <c r="D2679" s="1" t="s">
        <v>1578</v>
      </c>
      <c r="E2679" s="1" t="s">
        <v>2531</v>
      </c>
      <c r="F2679" s="1" t="s">
        <v>2533</v>
      </c>
      <c r="G2679" s="4" t="s">
        <v>2522</v>
      </c>
      <c r="H2679" s="28">
        <v>43465</v>
      </c>
      <c r="I2679" s="29">
        <f t="shared" si="2539"/>
        <v>2018</v>
      </c>
      <c r="J2679" s="1" t="s">
        <v>2532</v>
      </c>
      <c r="K2679" s="1" t="s">
        <v>7</v>
      </c>
      <c r="L2679" s="11" t="str">
        <f t="shared" si="2540"/>
        <v>НЕТ</v>
      </c>
      <c r="M2679" s="10">
        <v>12.335000000000001</v>
      </c>
      <c r="N2679" s="10">
        <v>0</v>
      </c>
      <c r="O2679" s="10">
        <v>0.768235</v>
      </c>
      <c r="P2679" s="10" t="str">
        <f t="shared" si="2537"/>
        <v>NA</v>
      </c>
      <c r="Q2679" s="10" t="str">
        <f t="shared" si="2538"/>
        <v>NA</v>
      </c>
      <c r="R2679" s="10" t="s">
        <v>1575</v>
      </c>
      <c r="S2679" s="10" t="s">
        <v>1575</v>
      </c>
      <c r="T2679" s="10" t="s">
        <v>1575</v>
      </c>
      <c r="U2679" s="10" t="s">
        <v>1575</v>
      </c>
      <c r="V2679" s="10" t="s">
        <v>1575</v>
      </c>
      <c r="W2679" s="10" t="s">
        <v>1575</v>
      </c>
      <c r="X2679" s="10" t="str">
        <f t="shared" si="2542"/>
        <v>NA</v>
      </c>
      <c r="Y2679" s="10" t="str">
        <f t="shared" si="2543"/>
        <v>NA</v>
      </c>
      <c r="Z2679" s="10" t="str">
        <f t="shared" si="2544"/>
        <v>NA</v>
      </c>
      <c r="AA2679" s="10" t="str">
        <f t="shared" si="2545"/>
        <v>NA</v>
      </c>
      <c r="AB2679" s="10" t="str">
        <f t="shared" si="2546"/>
        <v>NA</v>
      </c>
      <c r="AC2679" s="10" t="str">
        <f t="shared" si="2547"/>
        <v>NA</v>
      </c>
      <c r="AD2679" s="10" t="str">
        <f t="shared" si="2548"/>
        <v>NA</v>
      </c>
      <c r="AE2679" s="10" t="str">
        <f t="shared" si="2549"/>
        <v>NA</v>
      </c>
      <c r="AF2679" s="1" t="s">
        <v>2536</v>
      </c>
    </row>
    <row r="2680" spans="1:32" x14ac:dyDescent="0.2">
      <c r="A2680" s="1" t="s">
        <v>1575</v>
      </c>
      <c r="B2680" s="1" t="s">
        <v>1575</v>
      </c>
      <c r="C2680" s="1" t="s">
        <v>1575</v>
      </c>
      <c r="D2680" s="1" t="s">
        <v>1578</v>
      </c>
      <c r="E2680" s="1" t="s">
        <v>2531</v>
      </c>
      <c r="F2680" s="1" t="s">
        <v>607</v>
      </c>
      <c r="G2680" s="4">
        <v>0.15</v>
      </c>
      <c r="H2680" s="28">
        <v>43100</v>
      </c>
      <c r="I2680" s="29">
        <f t="shared" si="2539"/>
        <v>2017</v>
      </c>
      <c r="J2680" s="1" t="s">
        <v>2532</v>
      </c>
      <c r="K2680" s="1" t="s">
        <v>7</v>
      </c>
      <c r="L2680" s="11" t="str">
        <f t="shared" si="2540"/>
        <v>НЕТ</v>
      </c>
      <c r="M2680" s="10">
        <v>0</v>
      </c>
      <c r="N2680" s="10">
        <v>0</v>
      </c>
      <c r="O2680" s="10">
        <v>3.3000000000000002E-2</v>
      </c>
      <c r="P2680" s="10">
        <f t="shared" si="2537"/>
        <v>0.22000000000000003</v>
      </c>
      <c r="Q2680" s="10" t="str">
        <f t="shared" si="2538"/>
        <v>NA</v>
      </c>
      <c r="R2680" s="10" t="s">
        <v>1575</v>
      </c>
      <c r="S2680" s="10" t="s">
        <v>1575</v>
      </c>
      <c r="T2680" s="10" t="s">
        <v>1575</v>
      </c>
      <c r="U2680" s="10" t="s">
        <v>1575</v>
      </c>
      <c r="V2680" s="10" t="s">
        <v>1575</v>
      </c>
      <c r="W2680" s="10" t="s">
        <v>1575</v>
      </c>
      <c r="X2680" s="10" t="str">
        <f t="shared" si="2542"/>
        <v>NA</v>
      </c>
      <c r="Y2680" s="10" t="str">
        <f t="shared" si="2543"/>
        <v>NA</v>
      </c>
      <c r="Z2680" s="10" t="str">
        <f t="shared" si="2544"/>
        <v>NA</v>
      </c>
      <c r="AA2680" s="10" t="str">
        <f t="shared" si="2545"/>
        <v>NA</v>
      </c>
      <c r="AB2680" s="10" t="str">
        <f t="shared" si="2546"/>
        <v>NA</v>
      </c>
      <c r="AC2680" s="10" t="str">
        <f t="shared" si="2547"/>
        <v>NA</v>
      </c>
      <c r="AD2680" s="10" t="str">
        <f t="shared" si="2548"/>
        <v>NA</v>
      </c>
      <c r="AE2680" s="10" t="str">
        <f t="shared" si="2549"/>
        <v>NA</v>
      </c>
      <c r="AF2680" s="1" t="s">
        <v>2534</v>
      </c>
    </row>
    <row r="2681" spans="1:32" x14ac:dyDescent="0.2">
      <c r="A2681" s="1" t="s">
        <v>1575</v>
      </c>
      <c r="B2681" s="1" t="s">
        <v>1575</v>
      </c>
      <c r="C2681" s="1" t="s">
        <v>1575</v>
      </c>
      <c r="D2681" s="1" t="s">
        <v>1578</v>
      </c>
      <c r="E2681" s="1" t="s">
        <v>2531</v>
      </c>
      <c r="F2681" s="1" t="s">
        <v>607</v>
      </c>
      <c r="G2681" s="4">
        <v>0.1</v>
      </c>
      <c r="H2681" s="28">
        <v>43100</v>
      </c>
      <c r="I2681" s="29">
        <f t="shared" si="2539"/>
        <v>2017</v>
      </c>
      <c r="J2681" s="1" t="s">
        <v>2532</v>
      </c>
      <c r="K2681" s="1" t="s">
        <v>7</v>
      </c>
      <c r="L2681" s="11" t="str">
        <f t="shared" si="2540"/>
        <v>НЕТ</v>
      </c>
      <c r="M2681" s="10">
        <v>0</v>
      </c>
      <c r="N2681" s="10">
        <v>0</v>
      </c>
      <c r="O2681" s="10">
        <v>0.02</v>
      </c>
      <c r="P2681" s="10">
        <f t="shared" si="2537"/>
        <v>0.19999999999999998</v>
      </c>
      <c r="Q2681" s="10" t="str">
        <f t="shared" si="2538"/>
        <v>NA</v>
      </c>
      <c r="R2681" s="10" t="s">
        <v>1575</v>
      </c>
      <c r="S2681" s="10" t="s">
        <v>1575</v>
      </c>
      <c r="T2681" s="10" t="s">
        <v>1575</v>
      </c>
      <c r="U2681" s="10" t="s">
        <v>1575</v>
      </c>
      <c r="V2681" s="10" t="s">
        <v>1575</v>
      </c>
      <c r="W2681" s="10" t="s">
        <v>1575</v>
      </c>
      <c r="X2681" s="10" t="str">
        <f t="shared" si="2542"/>
        <v>NA</v>
      </c>
      <c r="Y2681" s="10" t="str">
        <f t="shared" si="2543"/>
        <v>NA</v>
      </c>
      <c r="Z2681" s="10" t="str">
        <f t="shared" si="2544"/>
        <v>NA</v>
      </c>
      <c r="AA2681" s="10" t="str">
        <f t="shared" si="2545"/>
        <v>NA</v>
      </c>
      <c r="AB2681" s="10" t="str">
        <f t="shared" si="2546"/>
        <v>NA</v>
      </c>
      <c r="AC2681" s="10" t="str">
        <f t="shared" si="2547"/>
        <v>NA</v>
      </c>
      <c r="AD2681" s="10" t="str">
        <f t="shared" si="2548"/>
        <v>NA</v>
      </c>
      <c r="AE2681" s="10" t="str">
        <f t="shared" si="2549"/>
        <v>NA</v>
      </c>
      <c r="AF2681" s="1" t="s">
        <v>2535</v>
      </c>
    </row>
    <row r="2682" spans="1:32" x14ac:dyDescent="0.2">
      <c r="A2682" s="1" t="s">
        <v>2540</v>
      </c>
      <c r="B2682" s="1" t="s">
        <v>5</v>
      </c>
      <c r="C2682" s="1" t="s">
        <v>1575</v>
      </c>
      <c r="D2682" s="1" t="s">
        <v>1578</v>
      </c>
      <c r="E2682" s="1" t="s">
        <v>2531</v>
      </c>
      <c r="F2682" s="1" t="s">
        <v>607</v>
      </c>
      <c r="G2682" s="4">
        <v>1</v>
      </c>
      <c r="H2682" s="28">
        <v>42400</v>
      </c>
      <c r="I2682" s="29">
        <f t="shared" si="2539"/>
        <v>2016</v>
      </c>
      <c r="J2682" s="1" t="s">
        <v>2532</v>
      </c>
      <c r="K2682" s="1" t="s">
        <v>7</v>
      </c>
      <c r="L2682" s="11" t="str">
        <f t="shared" si="2540"/>
        <v>НЕТ</v>
      </c>
      <c r="M2682" s="10">
        <v>0</v>
      </c>
      <c r="N2682" s="10">
        <v>0</v>
      </c>
      <c r="O2682" s="10">
        <v>0.48499999999999999</v>
      </c>
      <c r="P2682" s="10">
        <f t="shared" si="2537"/>
        <v>0.48499999999999999</v>
      </c>
      <c r="Q2682" s="10">
        <f t="shared" si="2538"/>
        <v>0.50372300000000003</v>
      </c>
      <c r="R2682" s="10" t="s">
        <v>1575</v>
      </c>
      <c r="S2682" s="10" t="s">
        <v>1575</v>
      </c>
      <c r="T2682" s="10" t="s">
        <v>1575</v>
      </c>
      <c r="U2682" s="10" t="s">
        <v>1575</v>
      </c>
      <c r="V2682" s="10">
        <v>0.124846</v>
      </c>
      <c r="W2682" s="10">
        <f>0.032923-0.0142</f>
        <v>1.8723E-2</v>
      </c>
      <c r="X2682" s="10">
        <f t="shared" si="2542"/>
        <v>0.143569</v>
      </c>
      <c r="Y2682" s="10" t="str">
        <f t="shared" si="2543"/>
        <v>NA</v>
      </c>
      <c r="Z2682" s="10" t="str">
        <f t="shared" si="2544"/>
        <v>NA</v>
      </c>
      <c r="AA2682" s="10">
        <f t="shared" si="2545"/>
        <v>3.8847860564215111</v>
      </c>
      <c r="AB2682" s="10" t="str">
        <f t="shared" si="2546"/>
        <v>NA</v>
      </c>
      <c r="AC2682" s="10" t="str">
        <f t="shared" si="2547"/>
        <v>NA</v>
      </c>
      <c r="AD2682" s="10" t="str">
        <f t="shared" si="2548"/>
        <v>NA</v>
      </c>
      <c r="AE2682" s="10">
        <f t="shared" si="2549"/>
        <v>3.5085777570366865</v>
      </c>
      <c r="AF2682" s="1" t="s">
        <v>2539</v>
      </c>
    </row>
    <row r="2683" spans="1:32" x14ac:dyDescent="0.2">
      <c r="A2683" s="1" t="s">
        <v>6565</v>
      </c>
      <c r="B2683" s="1" t="s">
        <v>5</v>
      </c>
      <c r="C2683" s="1" t="s">
        <v>1575</v>
      </c>
      <c r="D2683" s="1" t="s">
        <v>1578</v>
      </c>
      <c r="E2683" s="1" t="s">
        <v>2531</v>
      </c>
      <c r="F2683" s="1" t="s">
        <v>607</v>
      </c>
      <c r="G2683" s="4">
        <v>1</v>
      </c>
      <c r="H2683" s="28">
        <v>42369</v>
      </c>
      <c r="I2683" s="29">
        <f t="shared" si="2539"/>
        <v>2015</v>
      </c>
      <c r="J2683" s="1" t="s">
        <v>2532</v>
      </c>
      <c r="K2683" s="1" t="s">
        <v>7</v>
      </c>
      <c r="L2683" s="11" t="str">
        <f t="shared" si="2540"/>
        <v>НЕТ</v>
      </c>
      <c r="M2683" s="10">
        <v>0</v>
      </c>
      <c r="N2683" s="10">
        <v>0</v>
      </c>
      <c r="O2683" s="10">
        <v>0.27710000000000001</v>
      </c>
      <c r="P2683" s="10">
        <f t="shared" si="2537"/>
        <v>0.27710000000000001</v>
      </c>
      <c r="Q2683" s="10">
        <f t="shared" si="2538"/>
        <v>0.34187600000000001</v>
      </c>
      <c r="R2683" s="10" t="s">
        <v>1575</v>
      </c>
      <c r="S2683" s="10" t="s">
        <v>1575</v>
      </c>
      <c r="T2683" s="10" t="s">
        <v>1575</v>
      </c>
      <c r="U2683" s="10" t="s">
        <v>1575</v>
      </c>
      <c r="V2683" s="10">
        <v>3.3849999999999998E-2</v>
      </c>
      <c r="W2683" s="10">
        <f>0.068823-0.004047</f>
        <v>6.4776E-2</v>
      </c>
      <c r="X2683" s="10">
        <f t="shared" si="2542"/>
        <v>9.8625999999999991E-2</v>
      </c>
      <c r="Y2683" s="10" t="str">
        <f t="shared" si="2543"/>
        <v>NA</v>
      </c>
      <c r="Z2683" s="10" t="str">
        <f t="shared" si="2544"/>
        <v>NA</v>
      </c>
      <c r="AA2683" s="10">
        <f t="shared" si="2545"/>
        <v>8.1861152141802069</v>
      </c>
      <c r="AB2683" s="10" t="str">
        <f t="shared" si="2546"/>
        <v>NA</v>
      </c>
      <c r="AC2683" s="10" t="str">
        <f t="shared" si="2547"/>
        <v>NA</v>
      </c>
      <c r="AD2683" s="10" t="str">
        <f t="shared" si="2548"/>
        <v>NA</v>
      </c>
      <c r="AE2683" s="10">
        <f t="shared" si="2549"/>
        <v>3.4663881735039448</v>
      </c>
      <c r="AF2683" s="1" t="s">
        <v>2541</v>
      </c>
    </row>
    <row r="2684" spans="1:32" x14ac:dyDescent="0.2">
      <c r="A2684" s="1" t="s">
        <v>2532</v>
      </c>
      <c r="B2684" s="1" t="s">
        <v>5</v>
      </c>
      <c r="C2684" s="1" t="s">
        <v>2538</v>
      </c>
      <c r="D2684" s="1" t="s">
        <v>1578</v>
      </c>
      <c r="E2684" s="1" t="s">
        <v>2531</v>
      </c>
      <c r="F2684" s="1" t="s">
        <v>607</v>
      </c>
      <c r="G2684" s="4">
        <v>3.0000000000000001E-3</v>
      </c>
      <c r="H2684" s="28">
        <v>42004</v>
      </c>
      <c r="I2684" s="29">
        <f t="shared" si="2539"/>
        <v>2014</v>
      </c>
      <c r="J2684" s="1" t="s">
        <v>2532</v>
      </c>
      <c r="K2684" s="1" t="s">
        <v>7</v>
      </c>
      <c r="L2684" s="11" t="str">
        <f t="shared" si="2540"/>
        <v>ДА</v>
      </c>
      <c r="M2684" s="10">
        <v>0</v>
      </c>
      <c r="N2684" s="10">
        <v>0</v>
      </c>
      <c r="O2684" s="10">
        <v>7.3085999999999998E-2</v>
      </c>
      <c r="P2684" s="10">
        <f t="shared" si="2537"/>
        <v>24.361999999999998</v>
      </c>
      <c r="Q2684" s="10">
        <f t="shared" si="2538"/>
        <v>27.720067999999998</v>
      </c>
      <c r="R2684" s="10">
        <v>7.2009309999999997</v>
      </c>
      <c r="S2684" s="10">
        <v>2.0826920000000002</v>
      </c>
      <c r="T2684" s="10">
        <v>1.535876</v>
      </c>
      <c r="U2684" s="10">
        <v>1.3196669999999999</v>
      </c>
      <c r="V2684" s="10">
        <v>10.136594000000001</v>
      </c>
      <c r="W2684" s="10">
        <v>3.3580680000000003</v>
      </c>
      <c r="X2684" s="10">
        <f t="shared" si="2542"/>
        <v>13.494662000000002</v>
      </c>
      <c r="Y2684" s="10">
        <f t="shared" si="2543"/>
        <v>3.3831736479630203</v>
      </c>
      <c r="Z2684" s="10">
        <f t="shared" si="2544"/>
        <v>18.46071774167271</v>
      </c>
      <c r="AA2684" s="10">
        <f t="shared" si="2545"/>
        <v>2.4033713888511268</v>
      </c>
      <c r="AB2684" s="10">
        <f t="shared" si="2546"/>
        <v>3.8495116811978893</v>
      </c>
      <c r="AC2684" s="10">
        <f t="shared" si="2547"/>
        <v>13.309729907254647</v>
      </c>
      <c r="AD2684" s="10">
        <f t="shared" si="2548"/>
        <v>18.048376301211814</v>
      </c>
      <c r="AE2684" s="10">
        <f t="shared" si="2549"/>
        <v>2.0541505967322484</v>
      </c>
      <c r="AF2684" s="1" t="s">
        <v>2537</v>
      </c>
    </row>
    <row r="2685" spans="1:32" x14ac:dyDescent="0.2">
      <c r="A2685" s="1" t="s">
        <v>2543</v>
      </c>
      <c r="B2685" s="1" t="s">
        <v>179</v>
      </c>
      <c r="C2685" s="1" t="s">
        <v>1575</v>
      </c>
      <c r="D2685" s="1" t="s">
        <v>1578</v>
      </c>
      <c r="E2685" s="1" t="s">
        <v>2531</v>
      </c>
      <c r="F2685" s="1" t="s">
        <v>607</v>
      </c>
      <c r="G2685" s="4" t="s">
        <v>11</v>
      </c>
      <c r="H2685" s="28">
        <v>41943</v>
      </c>
      <c r="I2685" s="29">
        <f t="shared" si="2539"/>
        <v>2014</v>
      </c>
      <c r="J2685" s="1" t="s">
        <v>2532</v>
      </c>
      <c r="K2685" s="1" t="s">
        <v>7</v>
      </c>
      <c r="L2685" s="11" t="str">
        <f t="shared" si="2540"/>
        <v>НЕТ</v>
      </c>
      <c r="M2685" s="10">
        <v>0</v>
      </c>
      <c r="N2685" s="10">
        <v>0</v>
      </c>
      <c r="O2685" s="10">
        <v>1.805056</v>
      </c>
      <c r="P2685" s="10" t="str">
        <f t="shared" si="2537"/>
        <v>NA</v>
      </c>
      <c r="Q2685" s="10" t="str">
        <f t="shared" si="2538"/>
        <v>NA</v>
      </c>
      <c r="R2685" s="10">
        <v>0.81544000000000005</v>
      </c>
      <c r="S2685" s="10" t="s">
        <v>1575</v>
      </c>
      <c r="T2685" s="10" t="s">
        <v>1575</v>
      </c>
      <c r="U2685" s="10" t="s">
        <v>1575</v>
      </c>
      <c r="V2685" s="10">
        <v>0.74946299999999999</v>
      </c>
      <c r="W2685" s="10">
        <f>0.273234-0.007644</f>
        <v>0.26558999999999999</v>
      </c>
      <c r="X2685" s="10">
        <f t="shared" si="2542"/>
        <v>1.015053</v>
      </c>
      <c r="Y2685" s="10" t="str">
        <f t="shared" si="2543"/>
        <v>NA</v>
      </c>
      <c r="Z2685" s="10" t="str">
        <f t="shared" si="2544"/>
        <v>NA</v>
      </c>
      <c r="AA2685" s="10" t="str">
        <f t="shared" si="2545"/>
        <v>NA</v>
      </c>
      <c r="AB2685" s="10" t="str">
        <f t="shared" si="2546"/>
        <v>NA</v>
      </c>
      <c r="AC2685" s="10" t="str">
        <f t="shared" si="2547"/>
        <v>NA</v>
      </c>
      <c r="AD2685" s="10" t="str">
        <f t="shared" si="2548"/>
        <v>NA</v>
      </c>
      <c r="AE2685" s="10" t="str">
        <f t="shared" si="2549"/>
        <v>NA</v>
      </c>
      <c r="AF2685" s="1" t="s">
        <v>2542</v>
      </c>
    </row>
    <row r="2686" spans="1:32" x14ac:dyDescent="0.2">
      <c r="A2686" s="1" t="s">
        <v>6566</v>
      </c>
      <c r="B2686" s="1" t="s">
        <v>5</v>
      </c>
      <c r="C2686" s="1" t="s">
        <v>1575</v>
      </c>
      <c r="D2686" s="1" t="s">
        <v>1578</v>
      </c>
      <c r="E2686" s="1" t="s">
        <v>2531</v>
      </c>
      <c r="F2686" s="1" t="s">
        <v>607</v>
      </c>
      <c r="G2686" s="4">
        <v>0.05</v>
      </c>
      <c r="H2686" s="28">
        <v>41486</v>
      </c>
      <c r="I2686" s="29">
        <f t="shared" si="2539"/>
        <v>2013</v>
      </c>
      <c r="J2686" s="1" t="s">
        <v>2532</v>
      </c>
      <c r="K2686" s="1" t="s">
        <v>7</v>
      </c>
      <c r="L2686" s="11" t="str">
        <f t="shared" si="2540"/>
        <v>НЕТ</v>
      </c>
      <c r="M2686" s="10">
        <v>0</v>
      </c>
      <c r="N2686" s="10">
        <v>0</v>
      </c>
      <c r="O2686" s="10">
        <v>9.8840000000000004E-3</v>
      </c>
      <c r="P2686" s="10">
        <f t="shared" si="2537"/>
        <v>0.19767999999999999</v>
      </c>
      <c r="Q2686" s="10">
        <f t="shared" si="2538"/>
        <v>0.193908</v>
      </c>
      <c r="R2686" s="10">
        <v>0.116506</v>
      </c>
      <c r="S2686" s="10" t="s">
        <v>1575</v>
      </c>
      <c r="T2686" s="10" t="s">
        <v>1575</v>
      </c>
      <c r="U2686" s="10">
        <v>3.0668999999999998E-2</v>
      </c>
      <c r="V2686" s="10">
        <v>1.0525E-2</v>
      </c>
      <c r="W2686" s="10">
        <f>0-0.003772</f>
        <v>-3.7720000000000002E-3</v>
      </c>
      <c r="X2686" s="10">
        <f t="shared" si="2542"/>
        <v>6.7529999999999995E-3</v>
      </c>
      <c r="Y2686" s="10">
        <f t="shared" si="2543"/>
        <v>1.6967366487562872</v>
      </c>
      <c r="Z2686" s="10">
        <f t="shared" si="2544"/>
        <v>6.4455965306987517</v>
      </c>
      <c r="AA2686" s="10">
        <f t="shared" si="2545"/>
        <v>18.781947743467935</v>
      </c>
      <c r="AB2686" s="10">
        <f t="shared" si="2546"/>
        <v>1.6643606337871011</v>
      </c>
      <c r="AC2686" s="10" t="str">
        <f t="shared" si="2547"/>
        <v>NA</v>
      </c>
      <c r="AD2686" s="10" t="str">
        <f t="shared" si="2548"/>
        <v>NA</v>
      </c>
      <c r="AE2686" s="10">
        <f t="shared" si="2549"/>
        <v>28.714349178143049</v>
      </c>
      <c r="AF2686" s="1" t="s">
        <v>2547</v>
      </c>
    </row>
    <row r="2687" spans="1:32" x14ac:dyDescent="0.2">
      <c r="A2687" s="1" t="s">
        <v>6566</v>
      </c>
      <c r="B2687" s="1" t="s">
        <v>5</v>
      </c>
      <c r="C2687" s="1" t="s">
        <v>1575</v>
      </c>
      <c r="D2687" s="1" t="s">
        <v>1578</v>
      </c>
      <c r="E2687" s="1" t="s">
        <v>2531</v>
      </c>
      <c r="F2687" s="1" t="s">
        <v>607</v>
      </c>
      <c r="G2687" s="4">
        <v>0.8</v>
      </c>
      <c r="H2687" s="28">
        <v>41425</v>
      </c>
      <c r="I2687" s="29">
        <f t="shared" si="2539"/>
        <v>2013</v>
      </c>
      <c r="J2687" s="1" t="s">
        <v>2532</v>
      </c>
      <c r="K2687" s="1" t="s">
        <v>7</v>
      </c>
      <c r="L2687" s="11" t="str">
        <f t="shared" si="2540"/>
        <v>НЕТ</v>
      </c>
      <c r="M2687" s="10">
        <v>0</v>
      </c>
      <c r="N2687" s="10">
        <v>0</v>
      </c>
      <c r="O2687" s="10">
        <v>0.150613</v>
      </c>
      <c r="P2687" s="10">
        <f t="shared" si="2537"/>
        <v>0.18826625</v>
      </c>
      <c r="Q2687" s="10">
        <f t="shared" si="2538"/>
        <v>0.18449425</v>
      </c>
      <c r="R2687" s="10">
        <v>0.116506</v>
      </c>
      <c r="S2687" s="10" t="s">
        <v>1575</v>
      </c>
      <c r="T2687" s="10" t="s">
        <v>1575</v>
      </c>
      <c r="U2687" s="10">
        <v>3.0668999999999998E-2</v>
      </c>
      <c r="V2687" s="10">
        <v>1.0525E-2</v>
      </c>
      <c r="W2687" s="10">
        <f>0-0.003772</f>
        <v>-3.7720000000000002E-3</v>
      </c>
      <c r="X2687" s="10">
        <f t="shared" si="2542"/>
        <v>6.7529999999999995E-3</v>
      </c>
      <c r="Y2687" s="10">
        <f t="shared" si="2543"/>
        <v>1.6159360891284569</v>
      </c>
      <c r="Z2687" s="10">
        <f t="shared" si="2544"/>
        <v>6.1386497766474291</v>
      </c>
      <c r="AA2687" s="10">
        <f t="shared" si="2545"/>
        <v>17.887529691211402</v>
      </c>
      <c r="AB2687" s="10">
        <f t="shared" si="2546"/>
        <v>1.5835600741592708</v>
      </c>
      <c r="AC2687" s="10" t="str">
        <f t="shared" si="2547"/>
        <v>NA</v>
      </c>
      <c r="AD2687" s="10" t="str">
        <f t="shared" si="2548"/>
        <v>NA</v>
      </c>
      <c r="AE2687" s="10">
        <f t="shared" si="2549"/>
        <v>27.320339108544353</v>
      </c>
      <c r="AF2687" s="1" t="s">
        <v>2545</v>
      </c>
    </row>
    <row r="2688" spans="1:32" x14ac:dyDescent="0.2">
      <c r="A2688" s="1" t="s">
        <v>2544</v>
      </c>
      <c r="B2688" s="1" t="s">
        <v>1575</v>
      </c>
      <c r="C2688" s="1" t="s">
        <v>1575</v>
      </c>
      <c r="D2688" s="1" t="s">
        <v>1578</v>
      </c>
      <c r="E2688" s="1" t="s">
        <v>2531</v>
      </c>
      <c r="F2688" s="1" t="s">
        <v>607</v>
      </c>
      <c r="G2688" s="4" t="s">
        <v>11</v>
      </c>
      <c r="H2688" s="28">
        <v>41364</v>
      </c>
      <c r="I2688" s="29">
        <f t="shared" si="2539"/>
        <v>2013</v>
      </c>
      <c r="J2688" s="1" t="s">
        <v>2532</v>
      </c>
      <c r="K2688" s="1" t="s">
        <v>7</v>
      </c>
      <c r="L2688" s="11" t="str">
        <f t="shared" si="2540"/>
        <v>НЕТ</v>
      </c>
      <c r="M2688" s="10">
        <v>0</v>
      </c>
      <c r="N2688" s="10">
        <v>0</v>
      </c>
      <c r="O2688" s="10">
        <v>0.50439299999999998</v>
      </c>
      <c r="P2688" s="10" t="str">
        <f t="shared" si="2537"/>
        <v>NA</v>
      </c>
      <c r="Q2688" s="10" t="str">
        <f t="shared" si="2538"/>
        <v>NA</v>
      </c>
      <c r="R2688" s="10">
        <v>0.64396900000000001</v>
      </c>
      <c r="S2688" s="10" t="s">
        <v>1575</v>
      </c>
      <c r="T2688" s="10" t="s">
        <v>1575</v>
      </c>
      <c r="U2688" s="10">
        <v>2.6173999999999999E-2</v>
      </c>
      <c r="V2688" s="10">
        <v>0.29309000000000002</v>
      </c>
      <c r="W2688" s="10">
        <f>0.070107-0.003631</f>
        <v>6.6476000000000007E-2</v>
      </c>
      <c r="X2688" s="10">
        <f t="shared" si="2542"/>
        <v>0.35956600000000005</v>
      </c>
      <c r="Y2688" s="10" t="str">
        <f t="shared" si="2543"/>
        <v>NA</v>
      </c>
      <c r="Z2688" s="10" t="str">
        <f t="shared" si="2544"/>
        <v>NA</v>
      </c>
      <c r="AA2688" s="10" t="str">
        <f t="shared" si="2545"/>
        <v>NA</v>
      </c>
      <c r="AB2688" s="10" t="str">
        <f t="shared" si="2546"/>
        <v>NA</v>
      </c>
      <c r="AC2688" s="10" t="str">
        <f t="shared" si="2547"/>
        <v>NA</v>
      </c>
      <c r="AD2688" s="10" t="str">
        <f t="shared" si="2548"/>
        <v>NA</v>
      </c>
      <c r="AE2688" s="10" t="str">
        <f t="shared" si="2549"/>
        <v>NA</v>
      </c>
      <c r="AF2688" s="1" t="s">
        <v>2546</v>
      </c>
    </row>
    <row r="2689" spans="1:32" x14ac:dyDescent="0.2">
      <c r="A2689" s="1" t="s">
        <v>2549</v>
      </c>
      <c r="B2689" s="1" t="s">
        <v>5</v>
      </c>
      <c r="C2689" s="1" t="s">
        <v>1575</v>
      </c>
      <c r="D2689" s="1" t="s">
        <v>1578</v>
      </c>
      <c r="E2689" s="1" t="s">
        <v>2531</v>
      </c>
      <c r="F2689" s="1" t="s">
        <v>607</v>
      </c>
      <c r="G2689" s="4" t="s">
        <v>11</v>
      </c>
      <c r="H2689" s="28">
        <v>40574</v>
      </c>
      <c r="I2689" s="29">
        <f t="shared" si="2539"/>
        <v>2011</v>
      </c>
      <c r="J2689" s="1" t="s">
        <v>2532</v>
      </c>
      <c r="K2689" s="1" t="s">
        <v>7</v>
      </c>
      <c r="L2689" s="11" t="str">
        <f t="shared" si="2540"/>
        <v>НЕТ</v>
      </c>
      <c r="M2689" s="10">
        <v>0</v>
      </c>
      <c r="N2689" s="10">
        <v>0</v>
      </c>
      <c r="O2689" s="10">
        <v>0.36687399999999998</v>
      </c>
      <c r="P2689" s="10" t="str">
        <f t="shared" si="2537"/>
        <v>NA</v>
      </c>
      <c r="Q2689" s="10" t="str">
        <f t="shared" si="2538"/>
        <v>NA</v>
      </c>
      <c r="R2689" s="10" t="s">
        <v>1575</v>
      </c>
      <c r="S2689" s="10" t="s">
        <v>1575</v>
      </c>
      <c r="T2689" s="10" t="s">
        <v>1575</v>
      </c>
      <c r="U2689" s="10" t="s">
        <v>1575</v>
      </c>
      <c r="V2689" s="10">
        <v>0.45228099999999999</v>
      </c>
      <c r="W2689" s="10">
        <f>0.288763-0.026796</f>
        <v>0.26196700000000001</v>
      </c>
      <c r="X2689" s="10">
        <f t="shared" si="2542"/>
        <v>0.71424799999999999</v>
      </c>
      <c r="Y2689" s="10" t="str">
        <f t="shared" si="2543"/>
        <v>NA</v>
      </c>
      <c r="Z2689" s="10" t="str">
        <f t="shared" si="2544"/>
        <v>NA</v>
      </c>
      <c r="AA2689" s="10" t="str">
        <f t="shared" si="2545"/>
        <v>NA</v>
      </c>
      <c r="AB2689" s="10" t="str">
        <f t="shared" si="2546"/>
        <v>NA</v>
      </c>
      <c r="AC2689" s="10" t="str">
        <f t="shared" si="2547"/>
        <v>NA</v>
      </c>
      <c r="AD2689" s="10" t="str">
        <f t="shared" si="2548"/>
        <v>NA</v>
      </c>
      <c r="AE2689" s="10" t="str">
        <f t="shared" si="2549"/>
        <v>NA</v>
      </c>
      <c r="AF2689" s="1" t="s">
        <v>2548</v>
      </c>
    </row>
    <row r="2690" spans="1:32" x14ac:dyDescent="0.2">
      <c r="A2690" s="1" t="s">
        <v>2550</v>
      </c>
      <c r="B2690" s="1" t="s">
        <v>5</v>
      </c>
      <c r="C2690" s="1" t="s">
        <v>1575</v>
      </c>
      <c r="D2690" s="1" t="s">
        <v>1578</v>
      </c>
      <c r="E2690" s="1" t="s">
        <v>2531</v>
      </c>
      <c r="F2690" s="1" t="s">
        <v>607</v>
      </c>
      <c r="G2690" s="4" t="s">
        <v>11</v>
      </c>
      <c r="H2690" s="28">
        <v>40877</v>
      </c>
      <c r="I2690" s="29">
        <f t="shared" si="2539"/>
        <v>2011</v>
      </c>
      <c r="J2690" s="1" t="s">
        <v>2532</v>
      </c>
      <c r="K2690" s="1" t="s">
        <v>7</v>
      </c>
      <c r="L2690" s="11" t="str">
        <f t="shared" si="2540"/>
        <v>НЕТ</v>
      </c>
      <c r="M2690" s="10">
        <v>0</v>
      </c>
      <c r="N2690" s="10">
        <v>0</v>
      </c>
      <c r="O2690" s="10">
        <v>0.13506099999999999</v>
      </c>
      <c r="P2690" s="10" t="str">
        <f t="shared" si="2537"/>
        <v>NA</v>
      </c>
      <c r="Q2690" s="10" t="str">
        <f t="shared" si="2538"/>
        <v>NA</v>
      </c>
      <c r="R2690" s="10" t="s">
        <v>1575</v>
      </c>
      <c r="S2690" s="10" t="s">
        <v>1575</v>
      </c>
      <c r="T2690" s="10" t="s">
        <v>1575</v>
      </c>
      <c r="U2690" s="10" t="s">
        <v>1575</v>
      </c>
      <c r="V2690" s="10">
        <v>0.15154599999999999</v>
      </c>
      <c r="W2690" s="10">
        <f>0-0.032075</f>
        <v>-3.2074999999999999E-2</v>
      </c>
      <c r="X2690" s="10">
        <f t="shared" si="2542"/>
        <v>0.11947099999999999</v>
      </c>
      <c r="Y2690" s="10" t="str">
        <f t="shared" si="2543"/>
        <v>NA</v>
      </c>
      <c r="Z2690" s="10" t="str">
        <f t="shared" si="2544"/>
        <v>NA</v>
      </c>
      <c r="AA2690" s="10" t="str">
        <f t="shared" si="2545"/>
        <v>NA</v>
      </c>
      <c r="AB2690" s="10" t="str">
        <f t="shared" si="2546"/>
        <v>NA</v>
      </c>
      <c r="AC2690" s="10" t="str">
        <f t="shared" si="2547"/>
        <v>NA</v>
      </c>
      <c r="AD2690" s="10" t="str">
        <f t="shared" si="2548"/>
        <v>NA</v>
      </c>
      <c r="AE2690" s="10" t="str">
        <f t="shared" si="2549"/>
        <v>NA</v>
      </c>
      <c r="AF2690" s="1" t="s">
        <v>2548</v>
      </c>
    </row>
    <row r="2691" spans="1:32" x14ac:dyDescent="0.2">
      <c r="A2691" s="1" t="s">
        <v>2551</v>
      </c>
      <c r="B2691" s="1" t="s">
        <v>5</v>
      </c>
      <c r="C2691" s="1" t="s">
        <v>1575</v>
      </c>
      <c r="D2691" s="1" t="s">
        <v>1578</v>
      </c>
      <c r="E2691" s="1" t="s">
        <v>2531</v>
      </c>
      <c r="F2691" s="1" t="s">
        <v>607</v>
      </c>
      <c r="G2691" s="4" t="s">
        <v>11</v>
      </c>
      <c r="H2691" s="28">
        <v>40694</v>
      </c>
      <c r="I2691" s="29">
        <f t="shared" si="2539"/>
        <v>2011</v>
      </c>
      <c r="J2691" s="1" t="s">
        <v>2532</v>
      </c>
      <c r="K2691" s="1" t="s">
        <v>7</v>
      </c>
      <c r="L2691" s="11" t="str">
        <f t="shared" si="2540"/>
        <v>НЕТ</v>
      </c>
      <c r="M2691" s="10">
        <v>0</v>
      </c>
      <c r="N2691" s="10">
        <v>0</v>
      </c>
      <c r="O2691" s="10">
        <v>7.9999999999999996E-6</v>
      </c>
      <c r="P2691" s="10" t="str">
        <f t="shared" ref="P2691:P2754" si="2585">IFERROR(O2691/G2691,"NA")</f>
        <v>NA</v>
      </c>
      <c r="Q2691" s="10" t="str">
        <f t="shared" ref="Q2691:Q2754" si="2586">IFERROR(P2691+W2691,"NA")</f>
        <v>NA</v>
      </c>
      <c r="R2691" s="10" t="s">
        <v>1575</v>
      </c>
      <c r="S2691" s="10" t="s">
        <v>1575</v>
      </c>
      <c r="T2691" s="10" t="s">
        <v>1575</v>
      </c>
      <c r="U2691" s="10" t="s">
        <v>1575</v>
      </c>
      <c r="V2691" s="10">
        <v>9.0000000000000002E-6</v>
      </c>
      <c r="W2691" s="10">
        <f>0-0.00001</f>
        <v>-1.0000000000000001E-5</v>
      </c>
      <c r="X2691" s="10">
        <f t="shared" si="2542"/>
        <v>-1.0000000000000006E-6</v>
      </c>
      <c r="Y2691" s="10" t="str">
        <f t="shared" si="2543"/>
        <v>NA</v>
      </c>
      <c r="Z2691" s="10" t="str">
        <f t="shared" si="2544"/>
        <v>NA</v>
      </c>
      <c r="AA2691" s="10" t="str">
        <f t="shared" si="2545"/>
        <v>NA</v>
      </c>
      <c r="AB2691" s="10" t="str">
        <f t="shared" si="2546"/>
        <v>NA</v>
      </c>
      <c r="AC2691" s="10" t="str">
        <f t="shared" si="2547"/>
        <v>NA</v>
      </c>
      <c r="AD2691" s="10" t="str">
        <f t="shared" si="2548"/>
        <v>NA</v>
      </c>
      <c r="AE2691" s="10" t="str">
        <f t="shared" si="2549"/>
        <v>NA</v>
      </c>
      <c r="AF2691" s="1" t="s">
        <v>2548</v>
      </c>
    </row>
    <row r="2692" spans="1:32" x14ac:dyDescent="0.2">
      <c r="A2692" s="1" t="s">
        <v>6567</v>
      </c>
      <c r="B2692" s="1" t="s">
        <v>5</v>
      </c>
      <c r="C2692" s="1" t="s">
        <v>1575</v>
      </c>
      <c r="D2692" s="1" t="s">
        <v>1578</v>
      </c>
      <c r="E2692" s="1" t="s">
        <v>2531</v>
      </c>
      <c r="F2692" s="1" t="s">
        <v>2560</v>
      </c>
      <c r="G2692" s="4">
        <v>0.72</v>
      </c>
      <c r="H2692" s="28">
        <v>44712</v>
      </c>
      <c r="I2692" s="29">
        <f t="shared" si="2539"/>
        <v>2022</v>
      </c>
      <c r="J2692" s="1" t="s">
        <v>2552</v>
      </c>
      <c r="K2692" s="1" t="s">
        <v>7</v>
      </c>
      <c r="L2692" s="11" t="str">
        <f t="shared" si="2540"/>
        <v>НЕТ</v>
      </c>
      <c r="M2692" s="10">
        <v>0</v>
      </c>
      <c r="N2692" s="10">
        <v>52.738999999999997</v>
      </c>
      <c r="O2692" s="10">
        <f>N2692*64.717/1000</f>
        <v>3.4131098629999999</v>
      </c>
      <c r="P2692" s="10">
        <f t="shared" si="2585"/>
        <v>4.7404303652777777</v>
      </c>
      <c r="Q2692" s="10">
        <f t="shared" si="2586"/>
        <v>4.2485811652777778</v>
      </c>
      <c r="R2692" s="10">
        <f>26.865*64.717/1000</f>
        <v>1.738622205</v>
      </c>
      <c r="S2692" s="10" t="s">
        <v>1575</v>
      </c>
      <c r="T2692" s="10" t="s">
        <v>1575</v>
      </c>
      <c r="U2692" s="10">
        <f>9.069*64.717/1000</f>
        <v>0.58691847300000011</v>
      </c>
      <c r="V2692" s="10">
        <f>3.497*64.717/1000</f>
        <v>0.226315349</v>
      </c>
      <c r="W2692" s="10">
        <f>(0.83-8.43)*64.717/1000</f>
        <v>-0.49184919999999993</v>
      </c>
      <c r="X2692" s="10">
        <f t="shared" si="2542"/>
        <v>-0.26553385099999993</v>
      </c>
      <c r="Y2692" s="10">
        <f t="shared" si="2543"/>
        <v>2.7265442438530099</v>
      </c>
      <c r="Z2692" s="10">
        <f t="shared" si="2544"/>
        <v>8.0768123399615277</v>
      </c>
      <c r="AA2692" s="10">
        <f t="shared" si="2545"/>
        <v>20.946128427541066</v>
      </c>
      <c r="AB2692" s="10">
        <f t="shared" si="2546"/>
        <v>2.4436482825650887</v>
      </c>
      <c r="AC2692" s="10" t="str">
        <f t="shared" si="2547"/>
        <v>NA</v>
      </c>
      <c r="AD2692" s="10" t="str">
        <f t="shared" si="2548"/>
        <v>NA</v>
      </c>
      <c r="AE2692" s="10">
        <f t="shared" si="2549"/>
        <v>-16.000148942508197</v>
      </c>
      <c r="AF2692" s="1" t="s">
        <v>2559</v>
      </c>
    </row>
    <row r="2693" spans="1:32" x14ac:dyDescent="0.2">
      <c r="A2693" s="1" t="s">
        <v>6568</v>
      </c>
      <c r="B2693" s="1" t="s">
        <v>5</v>
      </c>
      <c r="C2693" s="1" t="s">
        <v>1575</v>
      </c>
      <c r="D2693" s="1" t="s">
        <v>1578</v>
      </c>
      <c r="E2693" s="1" t="s">
        <v>2531</v>
      </c>
      <c r="F2693" s="1" t="s">
        <v>607</v>
      </c>
      <c r="G2693" s="4">
        <v>0.501</v>
      </c>
      <c r="H2693" s="28">
        <v>43644</v>
      </c>
      <c r="I2693" s="29">
        <f t="shared" si="2539"/>
        <v>2019</v>
      </c>
      <c r="J2693" s="1" t="s">
        <v>2552</v>
      </c>
      <c r="K2693" s="1" t="s">
        <v>7</v>
      </c>
      <c r="L2693" s="11" t="str">
        <f t="shared" si="2540"/>
        <v>НЕТ</v>
      </c>
      <c r="M2693" s="10">
        <v>0</v>
      </c>
      <c r="N2693" s="10">
        <v>0.69699999999999995</v>
      </c>
      <c r="O2693" s="10">
        <f>N2693*71.82/1000</f>
        <v>5.0058539999999992E-2</v>
      </c>
      <c r="P2693" s="10">
        <f t="shared" si="2585"/>
        <v>9.9917245508982025E-2</v>
      </c>
      <c r="Q2693" s="10" t="str">
        <f t="shared" si="2586"/>
        <v>NA</v>
      </c>
      <c r="R2693" s="10" t="s">
        <v>1575</v>
      </c>
      <c r="S2693" s="10" t="s">
        <v>1575</v>
      </c>
      <c r="T2693" s="10" t="s">
        <v>1575</v>
      </c>
      <c r="U2693" s="10" t="s">
        <v>1575</v>
      </c>
      <c r="V2693" s="10" t="s">
        <v>1575</v>
      </c>
      <c r="W2693" s="10" t="s">
        <v>1575</v>
      </c>
      <c r="X2693" s="10" t="str">
        <f t="shared" si="2542"/>
        <v>NA</v>
      </c>
      <c r="Y2693" s="10" t="str">
        <f t="shared" si="2543"/>
        <v>NA</v>
      </c>
      <c r="Z2693" s="10" t="str">
        <f t="shared" si="2544"/>
        <v>NA</v>
      </c>
      <c r="AA2693" s="10" t="str">
        <f t="shared" si="2545"/>
        <v>NA</v>
      </c>
      <c r="AB2693" s="10" t="str">
        <f t="shared" si="2546"/>
        <v>NA</v>
      </c>
      <c r="AC2693" s="10" t="str">
        <f t="shared" si="2547"/>
        <v>NA</v>
      </c>
      <c r="AD2693" s="10" t="str">
        <f t="shared" si="2548"/>
        <v>NA</v>
      </c>
      <c r="AE2693" s="10" t="str">
        <f t="shared" si="2549"/>
        <v>NA</v>
      </c>
      <c r="AF2693" s="1" t="s">
        <v>2557</v>
      </c>
    </row>
    <row r="2694" spans="1:32" x14ac:dyDescent="0.2">
      <c r="A2694" s="1" t="s">
        <v>6569</v>
      </c>
      <c r="B2694" s="1" t="s">
        <v>5</v>
      </c>
      <c r="C2694" s="1" t="s">
        <v>1575</v>
      </c>
      <c r="D2694" s="1" t="s">
        <v>1578</v>
      </c>
      <c r="E2694" s="1" t="s">
        <v>2531</v>
      </c>
      <c r="F2694" s="1" t="s">
        <v>607</v>
      </c>
      <c r="G2694" s="4">
        <f>33.3%+61.7%</f>
        <v>0.95</v>
      </c>
      <c r="H2694" s="28">
        <v>43794</v>
      </c>
      <c r="I2694" s="29">
        <f t="shared" si="2539"/>
        <v>2019</v>
      </c>
      <c r="J2694" s="1" t="s">
        <v>2552</v>
      </c>
      <c r="K2694" s="1" t="s">
        <v>7</v>
      </c>
      <c r="L2694" s="11" t="str">
        <f t="shared" si="2540"/>
        <v>НЕТ</v>
      </c>
      <c r="M2694" s="10">
        <v>0</v>
      </c>
      <c r="N2694" s="10">
        <v>9.8000000000000004E-2</v>
      </c>
      <c r="O2694" s="10">
        <f>N2694*69.34/1000</f>
        <v>6.7953200000000005E-3</v>
      </c>
      <c r="P2694" s="10">
        <f t="shared" si="2585"/>
        <v>7.1529684210526329E-3</v>
      </c>
      <c r="Q2694" s="10" t="str">
        <f t="shared" si="2586"/>
        <v>NA</v>
      </c>
      <c r="R2694" s="10" t="s">
        <v>1575</v>
      </c>
      <c r="S2694" s="10" t="s">
        <v>1575</v>
      </c>
      <c r="T2694" s="10" t="s">
        <v>1575</v>
      </c>
      <c r="U2694" s="10" t="s">
        <v>1575</v>
      </c>
      <c r="V2694" s="10" t="s">
        <v>1575</v>
      </c>
      <c r="W2694" s="10" t="s">
        <v>1575</v>
      </c>
      <c r="X2694" s="10" t="str">
        <f t="shared" si="2542"/>
        <v>NA</v>
      </c>
      <c r="Y2694" s="10" t="str">
        <f t="shared" si="2543"/>
        <v>NA</v>
      </c>
      <c r="Z2694" s="10" t="str">
        <f t="shared" si="2544"/>
        <v>NA</v>
      </c>
      <c r="AA2694" s="10" t="str">
        <f t="shared" si="2545"/>
        <v>NA</v>
      </c>
      <c r="AB2694" s="10" t="str">
        <f t="shared" si="2546"/>
        <v>NA</v>
      </c>
      <c r="AC2694" s="10" t="str">
        <f t="shared" si="2547"/>
        <v>NA</v>
      </c>
      <c r="AD2694" s="10" t="str">
        <f t="shared" si="2548"/>
        <v>NA</v>
      </c>
      <c r="AE2694" s="10" t="str">
        <f t="shared" si="2549"/>
        <v>NA</v>
      </c>
      <c r="AF2694" s="1" t="s">
        <v>2558</v>
      </c>
    </row>
    <row r="2695" spans="1:32" x14ac:dyDescent="0.2">
      <c r="A2695" s="1" t="s">
        <v>6570</v>
      </c>
      <c r="B2695" s="1" t="s">
        <v>2555</v>
      </c>
      <c r="C2695" s="1" t="s">
        <v>1575</v>
      </c>
      <c r="D2695" s="1" t="s">
        <v>1578</v>
      </c>
      <c r="E2695" s="1" t="s">
        <v>2531</v>
      </c>
      <c r="F2695" s="1" t="s">
        <v>2556</v>
      </c>
      <c r="G2695" s="4">
        <v>1</v>
      </c>
      <c r="H2695" s="28">
        <v>43167</v>
      </c>
      <c r="I2695" s="29">
        <f t="shared" si="2539"/>
        <v>2018</v>
      </c>
      <c r="J2695" s="1" t="s">
        <v>2552</v>
      </c>
      <c r="K2695" s="1" t="s">
        <v>7</v>
      </c>
      <c r="L2695" s="11" t="str">
        <f t="shared" si="2540"/>
        <v>НЕТ</v>
      </c>
      <c r="M2695" s="10">
        <v>0</v>
      </c>
      <c r="N2695" s="10">
        <v>0</v>
      </c>
      <c r="O2695" s="10" t="s">
        <v>1575</v>
      </c>
      <c r="P2695" s="10" t="str">
        <f t="shared" si="2585"/>
        <v>NA</v>
      </c>
      <c r="Q2695" s="10" t="str">
        <f t="shared" si="2586"/>
        <v>NA</v>
      </c>
      <c r="R2695" s="10" t="s">
        <v>1575</v>
      </c>
      <c r="S2695" s="10" t="s">
        <v>1575</v>
      </c>
      <c r="T2695" s="10" t="s">
        <v>1575</v>
      </c>
      <c r="U2695" s="10" t="s">
        <v>1575</v>
      </c>
      <c r="V2695" s="10" t="s">
        <v>1575</v>
      </c>
      <c r="W2695" s="10" t="s">
        <v>1575</v>
      </c>
      <c r="X2695" s="10" t="str">
        <f t="shared" si="2542"/>
        <v>NA</v>
      </c>
      <c r="Y2695" s="10" t="str">
        <f t="shared" si="2543"/>
        <v>NA</v>
      </c>
      <c r="Z2695" s="10" t="str">
        <f t="shared" si="2544"/>
        <v>NA</v>
      </c>
      <c r="AA2695" s="10" t="str">
        <f t="shared" si="2545"/>
        <v>NA</v>
      </c>
      <c r="AB2695" s="10" t="str">
        <f t="shared" si="2546"/>
        <v>NA</v>
      </c>
      <c r="AC2695" s="10" t="str">
        <f t="shared" si="2547"/>
        <v>NA</v>
      </c>
      <c r="AD2695" s="10" t="str">
        <f t="shared" si="2548"/>
        <v>NA</v>
      </c>
      <c r="AE2695" s="10" t="str">
        <f t="shared" si="2549"/>
        <v>NA</v>
      </c>
      <c r="AF2695" s="1" t="s">
        <v>2554</v>
      </c>
    </row>
    <row r="2696" spans="1:32" x14ac:dyDescent="0.2">
      <c r="A2696" s="1" t="s">
        <v>6571</v>
      </c>
      <c r="B2696" s="1" t="s">
        <v>5</v>
      </c>
      <c r="C2696" s="1" t="s">
        <v>1575</v>
      </c>
      <c r="D2696" s="1" t="s">
        <v>1578</v>
      </c>
      <c r="E2696" s="1" t="s">
        <v>2531</v>
      </c>
      <c r="F2696" s="1" t="s">
        <v>607</v>
      </c>
      <c r="G2696" s="4">
        <v>1</v>
      </c>
      <c r="H2696" s="28">
        <v>42787</v>
      </c>
      <c r="I2696" s="29">
        <f t="shared" si="2539"/>
        <v>2017</v>
      </c>
      <c r="J2696" s="1" t="s">
        <v>2552</v>
      </c>
      <c r="K2696" s="1" t="s">
        <v>7</v>
      </c>
      <c r="L2696" s="11" t="str">
        <f t="shared" si="2540"/>
        <v>НЕТ</v>
      </c>
      <c r="M2696" s="10">
        <v>0</v>
      </c>
      <c r="N2696" s="10">
        <v>20.295000000000002</v>
      </c>
      <c r="O2696" s="10">
        <f>N2696*61.6987/1000</f>
        <v>1.2521751165000001</v>
      </c>
      <c r="P2696" s="10">
        <f t="shared" si="2585"/>
        <v>1.2521751165000001</v>
      </c>
      <c r="Q2696" s="10" t="str">
        <f t="shared" si="2586"/>
        <v>NA</v>
      </c>
      <c r="R2696" s="10" t="s">
        <v>1575</v>
      </c>
      <c r="S2696" s="10" t="s">
        <v>1575</v>
      </c>
      <c r="T2696" s="10" t="s">
        <v>1575</v>
      </c>
      <c r="U2696" s="10" t="s">
        <v>1575</v>
      </c>
      <c r="V2696" s="10" t="s">
        <v>1575</v>
      </c>
      <c r="W2696" s="10" t="s">
        <v>1575</v>
      </c>
      <c r="X2696" s="10" t="str">
        <f t="shared" si="2542"/>
        <v>NA</v>
      </c>
      <c r="Y2696" s="10" t="str">
        <f t="shared" si="2543"/>
        <v>NA</v>
      </c>
      <c r="Z2696" s="10" t="str">
        <f t="shared" si="2544"/>
        <v>NA</v>
      </c>
      <c r="AA2696" s="10" t="str">
        <f t="shared" si="2545"/>
        <v>NA</v>
      </c>
      <c r="AB2696" s="10" t="str">
        <f t="shared" si="2546"/>
        <v>NA</v>
      </c>
      <c r="AC2696" s="10" t="str">
        <f t="shared" si="2547"/>
        <v>NA</v>
      </c>
      <c r="AD2696" s="10" t="str">
        <f t="shared" si="2548"/>
        <v>NA</v>
      </c>
      <c r="AE2696" s="10" t="str">
        <f t="shared" si="2549"/>
        <v>NA</v>
      </c>
      <c r="AF2696" s="1" t="s">
        <v>2553</v>
      </c>
    </row>
    <row r="2697" spans="1:32" x14ac:dyDescent="0.2">
      <c r="A2697" s="1" t="s">
        <v>6572</v>
      </c>
      <c r="B2697" s="1" t="s">
        <v>5</v>
      </c>
      <c r="C2697" s="1" t="s">
        <v>1575</v>
      </c>
      <c r="D2697" s="1" t="s">
        <v>1580</v>
      </c>
      <c r="E2697" s="1" t="s">
        <v>1694</v>
      </c>
      <c r="F2697" s="1" t="s">
        <v>1863</v>
      </c>
      <c r="G2697" s="4">
        <v>1</v>
      </c>
      <c r="H2697" s="28">
        <v>44347</v>
      </c>
      <c r="I2697" s="29">
        <f t="shared" si="2539"/>
        <v>2021</v>
      </c>
      <c r="J2697" s="1" t="s">
        <v>2704</v>
      </c>
      <c r="K2697" s="1" t="s">
        <v>7</v>
      </c>
      <c r="L2697" s="11" t="str">
        <f t="shared" ref="L2697:L2802" si="2587">IF(OR(A2697=J2697,A2697=K2697),"ДА","НЕТ")</f>
        <v>НЕТ</v>
      </c>
      <c r="M2697" s="10">
        <v>0</v>
      </c>
      <c r="N2697" s="10">
        <v>0</v>
      </c>
      <c r="O2697" s="10">
        <v>0.61499999999999999</v>
      </c>
      <c r="P2697" s="10">
        <f t="shared" si="2585"/>
        <v>0.61499999999999999</v>
      </c>
      <c r="Q2697" s="10" t="str">
        <f t="shared" si="2586"/>
        <v>NA</v>
      </c>
      <c r="R2697" s="10" t="s">
        <v>1575</v>
      </c>
      <c r="S2697" s="10" t="s">
        <v>1575</v>
      </c>
      <c r="T2697" s="10" t="s">
        <v>1575</v>
      </c>
      <c r="U2697" s="10" t="s">
        <v>1575</v>
      </c>
      <c r="V2697" s="10" t="s">
        <v>1575</v>
      </c>
      <c r="W2697" s="10" t="s">
        <v>1575</v>
      </c>
      <c r="X2697" s="10" t="str">
        <f t="shared" si="2542"/>
        <v>NA</v>
      </c>
      <c r="Y2697" s="10" t="str">
        <f t="shared" si="2543"/>
        <v>NA</v>
      </c>
      <c r="Z2697" s="10" t="str">
        <f t="shared" si="2544"/>
        <v>NA</v>
      </c>
      <c r="AA2697" s="10" t="str">
        <f t="shared" si="2545"/>
        <v>NA</v>
      </c>
      <c r="AB2697" s="10" t="str">
        <f t="shared" si="2546"/>
        <v>NA</v>
      </c>
      <c r="AC2697" s="10" t="str">
        <f t="shared" si="2547"/>
        <v>NA</v>
      </c>
      <c r="AD2697" s="10" t="str">
        <f t="shared" si="2548"/>
        <v>NA</v>
      </c>
      <c r="AE2697" s="10" t="str">
        <f t="shared" si="2549"/>
        <v>NA</v>
      </c>
      <c r="AF2697" s="1" t="s">
        <v>2703</v>
      </c>
    </row>
    <row r="2698" spans="1:32" x14ac:dyDescent="0.2">
      <c r="A2698" s="1" t="s">
        <v>3056</v>
      </c>
      <c r="B2698" s="1" t="s">
        <v>30</v>
      </c>
      <c r="C2698" s="1" t="s">
        <v>1575</v>
      </c>
      <c r="D2698" s="1" t="s">
        <v>1813</v>
      </c>
      <c r="E2698" s="1" t="s">
        <v>1587</v>
      </c>
      <c r="F2698" s="1" t="s">
        <v>3060</v>
      </c>
      <c r="G2698" s="4">
        <v>0.28999999999999998</v>
      </c>
      <c r="H2698" s="28">
        <v>45037</v>
      </c>
      <c r="I2698" s="29">
        <f t="shared" si="2539"/>
        <v>2023</v>
      </c>
      <c r="J2698" s="1" t="s">
        <v>3054</v>
      </c>
      <c r="K2698" s="1" t="s">
        <v>3057</v>
      </c>
      <c r="L2698" s="11" t="str">
        <f t="shared" ref="L2698:L2700" si="2588">IF(OR(A2698=J2698,A2698=K2698),"ДА","НЕТ")</f>
        <v>НЕТ</v>
      </c>
      <c r="M2698" s="10">
        <v>702.5</v>
      </c>
      <c r="N2698" s="10">
        <v>0</v>
      </c>
      <c r="O2698" s="10">
        <v>57.337000000000003</v>
      </c>
      <c r="P2698" s="10">
        <f t="shared" si="2585"/>
        <v>197.7137931034483</v>
      </c>
      <c r="Q2698" s="10" t="str">
        <f t="shared" si="2586"/>
        <v>NA</v>
      </c>
      <c r="R2698" s="10" t="s">
        <v>1575</v>
      </c>
      <c r="S2698" s="10" t="s">
        <v>1575</v>
      </c>
      <c r="T2698" s="10" t="s">
        <v>1575</v>
      </c>
      <c r="U2698" s="10" t="s">
        <v>1575</v>
      </c>
      <c r="V2698" s="10" t="s">
        <v>1575</v>
      </c>
      <c r="W2698" s="10" t="s">
        <v>1575</v>
      </c>
      <c r="X2698" s="10" t="str">
        <f t="shared" si="2542"/>
        <v>NA</v>
      </c>
      <c r="Y2698" s="10" t="str">
        <f t="shared" si="2543"/>
        <v>NA</v>
      </c>
      <c r="Z2698" s="10" t="str">
        <f t="shared" si="2544"/>
        <v>NA</v>
      </c>
      <c r="AA2698" s="10" t="str">
        <f t="shared" si="2545"/>
        <v>NA</v>
      </c>
      <c r="AB2698" s="10" t="str">
        <f t="shared" si="2546"/>
        <v>NA</v>
      </c>
      <c r="AC2698" s="10" t="str">
        <f t="shared" si="2547"/>
        <v>NA</v>
      </c>
      <c r="AD2698" s="10" t="str">
        <f t="shared" si="2548"/>
        <v>NA</v>
      </c>
      <c r="AE2698" s="10" t="str">
        <f t="shared" si="2549"/>
        <v>NA</v>
      </c>
      <c r="AF2698" s="1" t="s">
        <v>3055</v>
      </c>
    </row>
    <row r="2699" spans="1:32" x14ac:dyDescent="0.2">
      <c r="A2699" s="1" t="s">
        <v>6573</v>
      </c>
      <c r="B2699" s="1" t="s">
        <v>5</v>
      </c>
      <c r="C2699" s="1" t="s">
        <v>1575</v>
      </c>
      <c r="D2699" s="1" t="s">
        <v>1582</v>
      </c>
      <c r="E2699" s="1" t="s">
        <v>2084</v>
      </c>
      <c r="F2699" s="1" t="s">
        <v>2083</v>
      </c>
      <c r="G2699" s="4">
        <v>1</v>
      </c>
      <c r="H2699" s="28">
        <v>44795</v>
      </c>
      <c r="I2699" s="29">
        <f t="shared" si="2539"/>
        <v>2022</v>
      </c>
      <c r="J2699" s="1" t="s">
        <v>3054</v>
      </c>
      <c r="K2699" s="1" t="s">
        <v>3202</v>
      </c>
      <c r="L2699" s="11" t="str">
        <f t="shared" si="2588"/>
        <v>НЕТ</v>
      </c>
      <c r="M2699" s="10">
        <v>0</v>
      </c>
      <c r="N2699" s="10">
        <v>0</v>
      </c>
      <c r="O2699" s="10">
        <v>38.619999999999997</v>
      </c>
      <c r="P2699" s="10">
        <f t="shared" si="2585"/>
        <v>38.619999999999997</v>
      </c>
      <c r="Q2699" s="10" t="str">
        <f t="shared" si="2586"/>
        <v>NA</v>
      </c>
      <c r="R2699" s="10">
        <v>13.047000000000001</v>
      </c>
      <c r="S2699" s="10" t="s">
        <v>1575</v>
      </c>
      <c r="T2699" s="10" t="s">
        <v>1575</v>
      </c>
      <c r="U2699" s="10">
        <v>-10.119999999999999</v>
      </c>
      <c r="V2699" s="10">
        <f>43.947-4.995-24.919</f>
        <v>14.033000000000005</v>
      </c>
      <c r="W2699" s="10" t="s">
        <v>1575</v>
      </c>
      <c r="X2699" s="10" t="str">
        <f t="shared" si="2542"/>
        <v>NA</v>
      </c>
      <c r="Y2699" s="10">
        <f t="shared" si="2543"/>
        <v>2.9600674484555833</v>
      </c>
      <c r="Z2699" s="10">
        <f t="shared" si="2544"/>
        <v>-3.8162055335968379</v>
      </c>
      <c r="AA2699" s="10">
        <f t="shared" si="2545"/>
        <v>2.7520843725504158</v>
      </c>
      <c r="AB2699" s="10" t="str">
        <f t="shared" si="2546"/>
        <v>NA</v>
      </c>
      <c r="AC2699" s="10" t="str">
        <f t="shared" si="2547"/>
        <v>NA</v>
      </c>
      <c r="AD2699" s="10" t="str">
        <f t="shared" si="2548"/>
        <v>NA</v>
      </c>
      <c r="AE2699" s="10" t="str">
        <f t="shared" si="2549"/>
        <v>NA</v>
      </c>
      <c r="AF2699" s="1" t="s">
        <v>3244</v>
      </c>
    </row>
    <row r="2700" spans="1:32" x14ac:dyDescent="0.2">
      <c r="A2700" s="1" t="s">
        <v>6574</v>
      </c>
      <c r="B2700" s="1" t="s">
        <v>5</v>
      </c>
      <c r="C2700" s="1" t="s">
        <v>1575</v>
      </c>
      <c r="D2700" s="1" t="s">
        <v>1813</v>
      </c>
      <c r="E2700" s="1" t="s">
        <v>3071</v>
      </c>
      <c r="F2700" s="1" t="s">
        <v>3223</v>
      </c>
      <c r="G2700" s="4">
        <v>1</v>
      </c>
      <c r="H2700" s="28">
        <v>44795</v>
      </c>
      <c r="I2700" s="29">
        <f t="shared" si="2539"/>
        <v>2022</v>
      </c>
      <c r="J2700" s="1" t="s">
        <v>3202</v>
      </c>
      <c r="K2700" s="1" t="s">
        <v>3054</v>
      </c>
      <c r="L2700" s="11" t="str">
        <f t="shared" si="2588"/>
        <v>НЕТ</v>
      </c>
      <c r="M2700" s="10">
        <v>0</v>
      </c>
      <c r="N2700" s="10">
        <v>0</v>
      </c>
      <c r="O2700" s="10">
        <v>38.619999999999997</v>
      </c>
      <c r="P2700" s="10">
        <f t="shared" si="2585"/>
        <v>38.619999999999997</v>
      </c>
      <c r="Q2700" s="10">
        <f t="shared" si="2586"/>
        <v>40.122</v>
      </c>
      <c r="R2700" s="10" t="s">
        <v>1575</v>
      </c>
      <c r="S2700" s="10" t="s">
        <v>1575</v>
      </c>
      <c r="T2700" s="10" t="s">
        <v>1575</v>
      </c>
      <c r="U2700" s="10" t="s">
        <v>1575</v>
      </c>
      <c r="V2700" s="10">
        <v>10.036</v>
      </c>
      <c r="W2700" s="10">
        <f>0.194+0.144+1.832-0.668</f>
        <v>1.5019999999999998</v>
      </c>
      <c r="X2700" s="10">
        <f t="shared" si="2542"/>
        <v>11.538</v>
      </c>
      <c r="Y2700" s="10" t="str">
        <f t="shared" si="2543"/>
        <v>NA</v>
      </c>
      <c r="Z2700" s="10" t="str">
        <f t="shared" si="2544"/>
        <v>NA</v>
      </c>
      <c r="AA2700" s="10">
        <f t="shared" si="2545"/>
        <v>3.8481466719808686</v>
      </c>
      <c r="AB2700" s="10" t="str">
        <f t="shared" si="2546"/>
        <v>NA</v>
      </c>
      <c r="AC2700" s="10" t="str">
        <f t="shared" si="2547"/>
        <v>NA</v>
      </c>
      <c r="AD2700" s="10" t="str">
        <f t="shared" si="2548"/>
        <v>NA</v>
      </c>
      <c r="AE2700" s="10">
        <f t="shared" si="2549"/>
        <v>3.4773790951638066</v>
      </c>
      <c r="AF2700" s="1" t="s">
        <v>3245</v>
      </c>
    </row>
    <row r="2701" spans="1:32" x14ac:dyDescent="0.2">
      <c r="A2701" s="1" t="s">
        <v>3059</v>
      </c>
      <c r="B2701" s="1" t="s">
        <v>30</v>
      </c>
      <c r="C2701" s="1" t="s">
        <v>1575</v>
      </c>
      <c r="D2701" s="1" t="s">
        <v>1813</v>
      </c>
      <c r="E2701" s="1" t="s">
        <v>1587</v>
      </c>
      <c r="F2701" s="1" t="s">
        <v>3060</v>
      </c>
      <c r="G2701" s="4" t="s">
        <v>11</v>
      </c>
      <c r="H2701" s="28">
        <v>44439</v>
      </c>
      <c r="I2701" s="29">
        <f t="shared" si="2539"/>
        <v>2021</v>
      </c>
      <c r="J2701" s="1" t="s">
        <v>3054</v>
      </c>
      <c r="K2701" s="1" t="s">
        <v>3057</v>
      </c>
      <c r="L2701" s="11" t="str">
        <f t="shared" ref="L2701:L2702" si="2589">IF(OR(A2701=J2701,A2701=K2701),"ДА","НЕТ")</f>
        <v>НЕТ</v>
      </c>
      <c r="M2701" s="10">
        <v>1000</v>
      </c>
      <c r="N2701" s="10">
        <v>0</v>
      </c>
      <c r="O2701" s="10">
        <f>58.363+14.859</f>
        <v>73.221999999999994</v>
      </c>
      <c r="P2701" s="10" t="str">
        <f t="shared" si="2585"/>
        <v>NA</v>
      </c>
      <c r="Q2701" s="10" t="str">
        <f t="shared" si="2586"/>
        <v>NA</v>
      </c>
      <c r="R2701" s="10" t="s">
        <v>1575</v>
      </c>
      <c r="S2701" s="10" t="s">
        <v>1575</v>
      </c>
      <c r="T2701" s="10" t="s">
        <v>1575</v>
      </c>
      <c r="U2701" s="10" t="s">
        <v>1575</v>
      </c>
      <c r="V2701" s="10" t="s">
        <v>1575</v>
      </c>
      <c r="W2701" s="10" t="s">
        <v>1575</v>
      </c>
      <c r="X2701" s="10" t="str">
        <f t="shared" si="2542"/>
        <v>NA</v>
      </c>
      <c r="Y2701" s="10" t="str">
        <f t="shared" si="2543"/>
        <v>NA</v>
      </c>
      <c r="Z2701" s="10" t="str">
        <f t="shared" si="2544"/>
        <v>NA</v>
      </c>
      <c r="AA2701" s="10" t="str">
        <f t="shared" si="2545"/>
        <v>NA</v>
      </c>
      <c r="AB2701" s="10" t="str">
        <f t="shared" si="2546"/>
        <v>NA</v>
      </c>
      <c r="AC2701" s="10" t="str">
        <f t="shared" si="2547"/>
        <v>NA</v>
      </c>
      <c r="AD2701" s="10" t="str">
        <f t="shared" si="2548"/>
        <v>NA</v>
      </c>
      <c r="AE2701" s="10" t="str">
        <f t="shared" si="2549"/>
        <v>NA</v>
      </c>
      <c r="AF2701" s="1" t="s">
        <v>3058</v>
      </c>
    </row>
    <row r="2702" spans="1:32" x14ac:dyDescent="0.2">
      <c r="A2702" s="1" t="s">
        <v>3064</v>
      </c>
      <c r="B2702" s="1" t="s">
        <v>30</v>
      </c>
      <c r="C2702" s="1" t="s">
        <v>1575</v>
      </c>
      <c r="D2702" s="1" t="s">
        <v>1615</v>
      </c>
      <c r="E2702" s="1" t="s">
        <v>1750</v>
      </c>
      <c r="F2702" s="1" t="s">
        <v>3065</v>
      </c>
      <c r="G2702" s="4">
        <v>1</v>
      </c>
      <c r="H2702" s="28">
        <v>44229</v>
      </c>
      <c r="I2702" s="29">
        <f t="shared" si="2539"/>
        <v>2021</v>
      </c>
      <c r="J2702" s="1" t="s">
        <v>3063</v>
      </c>
      <c r="K2702" s="1" t="s">
        <v>3062</v>
      </c>
      <c r="L2702" s="11" t="str">
        <f t="shared" si="2589"/>
        <v>НЕТ</v>
      </c>
      <c r="M2702" s="10">
        <v>0</v>
      </c>
      <c r="N2702" s="10">
        <v>0</v>
      </c>
      <c r="O2702" s="10">
        <v>12.916</v>
      </c>
      <c r="P2702" s="10">
        <f t="shared" si="2585"/>
        <v>12.916</v>
      </c>
      <c r="Q2702" s="10" t="str">
        <f t="shared" si="2586"/>
        <v>NA</v>
      </c>
      <c r="R2702" s="10" t="s">
        <v>1575</v>
      </c>
      <c r="S2702" s="10" t="s">
        <v>1575</v>
      </c>
      <c r="T2702" s="10" t="s">
        <v>1575</v>
      </c>
      <c r="U2702" s="10" t="s">
        <v>1575</v>
      </c>
      <c r="V2702" s="10">
        <f>15.57-2.654-12.25</f>
        <v>0.66600000000000037</v>
      </c>
      <c r="W2702" s="10" t="s">
        <v>1575</v>
      </c>
      <c r="X2702" s="10" t="str">
        <f t="shared" si="2542"/>
        <v>NA</v>
      </c>
      <c r="Y2702" s="10" t="str">
        <f t="shared" si="2543"/>
        <v>NA</v>
      </c>
      <c r="Z2702" s="10" t="str">
        <f t="shared" si="2544"/>
        <v>NA</v>
      </c>
      <c r="AA2702" s="10">
        <f t="shared" si="2545"/>
        <v>19.393393393393382</v>
      </c>
      <c r="AB2702" s="10" t="str">
        <f t="shared" si="2546"/>
        <v>NA</v>
      </c>
      <c r="AC2702" s="10" t="str">
        <f t="shared" si="2547"/>
        <v>NA</v>
      </c>
      <c r="AD2702" s="10" t="str">
        <f t="shared" si="2548"/>
        <v>NA</v>
      </c>
      <c r="AE2702" s="10" t="str">
        <f t="shared" si="2549"/>
        <v>NA</v>
      </c>
      <c r="AF2702" s="1" t="s">
        <v>3061</v>
      </c>
    </row>
    <row r="2703" spans="1:32" x14ac:dyDescent="0.2">
      <c r="A2703" s="1" t="s">
        <v>6575</v>
      </c>
      <c r="B2703" s="1" t="s">
        <v>5</v>
      </c>
      <c r="C2703" s="1" t="s">
        <v>1575</v>
      </c>
      <c r="D2703" s="1" t="s">
        <v>1580</v>
      </c>
      <c r="E2703" s="1" t="s">
        <v>1694</v>
      </c>
      <c r="F2703" s="1" t="s">
        <v>3067</v>
      </c>
      <c r="G2703" s="4">
        <v>1</v>
      </c>
      <c r="H2703" s="28">
        <v>44393</v>
      </c>
      <c r="I2703" s="29">
        <f t="shared" si="2539"/>
        <v>2021</v>
      </c>
      <c r="J2703" s="1" t="s">
        <v>3054</v>
      </c>
      <c r="K2703" s="1" t="s">
        <v>7</v>
      </c>
      <c r="L2703" s="11" t="str">
        <f t="shared" ref="L2703" si="2590">IF(OR(A2703=J2703,A2703=K2703),"ДА","НЕТ")</f>
        <v>НЕТ</v>
      </c>
      <c r="M2703" s="10">
        <v>0</v>
      </c>
      <c r="N2703" s="10">
        <v>0</v>
      </c>
      <c r="O2703" s="10">
        <v>0.98599999999999999</v>
      </c>
      <c r="P2703" s="10">
        <f t="shared" si="2585"/>
        <v>0.98599999999999999</v>
      </c>
      <c r="Q2703" s="10" t="str">
        <f t="shared" si="2586"/>
        <v>NA</v>
      </c>
      <c r="R2703" s="10" t="s">
        <v>1575</v>
      </c>
      <c r="S2703" s="10" t="s">
        <v>1575</v>
      </c>
      <c r="T2703" s="10" t="s">
        <v>1575</v>
      </c>
      <c r="U2703" s="10" t="s">
        <v>1575</v>
      </c>
      <c r="V2703" s="10">
        <f>1.302-0.316-0.105</f>
        <v>0.88100000000000001</v>
      </c>
      <c r="W2703" s="10" t="s">
        <v>1575</v>
      </c>
      <c r="X2703" s="10" t="str">
        <f t="shared" si="2542"/>
        <v>NA</v>
      </c>
      <c r="Y2703" s="10" t="str">
        <f t="shared" si="2543"/>
        <v>NA</v>
      </c>
      <c r="Z2703" s="10" t="str">
        <f t="shared" si="2544"/>
        <v>NA</v>
      </c>
      <c r="AA2703" s="10">
        <f t="shared" si="2545"/>
        <v>1.1191827468785471</v>
      </c>
      <c r="AB2703" s="10" t="str">
        <f t="shared" si="2546"/>
        <v>NA</v>
      </c>
      <c r="AC2703" s="10" t="str">
        <f t="shared" si="2547"/>
        <v>NA</v>
      </c>
      <c r="AD2703" s="10" t="str">
        <f t="shared" si="2548"/>
        <v>NA</v>
      </c>
      <c r="AE2703" s="10" t="str">
        <f t="shared" si="2549"/>
        <v>NA</v>
      </c>
      <c r="AF2703" s="1" t="s">
        <v>3066</v>
      </c>
    </row>
    <row r="2704" spans="1:32" x14ac:dyDescent="0.2">
      <c r="A2704" s="1" t="s">
        <v>3054</v>
      </c>
      <c r="B2704" s="1" t="s">
        <v>30</v>
      </c>
      <c r="C2704" s="1" t="s">
        <v>3105</v>
      </c>
      <c r="D2704" s="1" t="s">
        <v>1813</v>
      </c>
      <c r="E2704" s="1" t="s">
        <v>3101</v>
      </c>
      <c r="F2704" s="1" t="s">
        <v>3102</v>
      </c>
      <c r="G2704" s="4">
        <f>1226355/323800479</f>
        <v>3.7873785850699743E-3</v>
      </c>
      <c r="H2704" s="28">
        <v>44561</v>
      </c>
      <c r="I2704" s="29">
        <f t="shared" si="2539"/>
        <v>2021</v>
      </c>
      <c r="J2704" s="1" t="s">
        <v>3054</v>
      </c>
      <c r="K2704" s="1" t="s">
        <v>7</v>
      </c>
      <c r="L2704" s="11" t="str">
        <f t="shared" ref="L2704:L2706" si="2591">IF(OR(A2704=J2704,A2704=K2704),"ДА","НЕТ")</f>
        <v>ДА</v>
      </c>
      <c r="M2704" s="10">
        <f>1226355*78.39/10^6</f>
        <v>96.133968449999998</v>
      </c>
      <c r="N2704" s="10">
        <v>0</v>
      </c>
      <c r="O2704" s="10">
        <v>6.96</v>
      </c>
      <c r="P2704" s="10">
        <f t="shared" si="2585"/>
        <v>1837.6826725051067</v>
      </c>
      <c r="Q2704" s="10">
        <f t="shared" si="2586"/>
        <v>1855.1336725051067</v>
      </c>
      <c r="R2704" s="10">
        <v>356.17099999999999</v>
      </c>
      <c r="S2704" s="10">
        <v>16.003</v>
      </c>
      <c r="T2704" s="10">
        <v>-14.494</v>
      </c>
      <c r="U2704" s="10">
        <v>-14.653</v>
      </c>
      <c r="V2704" s="10">
        <v>272.92500000000001</v>
      </c>
      <c r="W2704" s="10">
        <v>17.450999999999997</v>
      </c>
      <c r="X2704" s="10">
        <f t="shared" si="2542"/>
        <v>290.37600000000003</v>
      </c>
      <c r="Y2704" s="10">
        <f t="shared" si="2543"/>
        <v>5.1595516549778244</v>
      </c>
      <c r="Z2704" s="10">
        <f t="shared" si="2544"/>
        <v>-125.41340834676221</v>
      </c>
      <c r="AA2704" s="10">
        <f t="shared" si="2545"/>
        <v>6.7332881652655736</v>
      </c>
      <c r="AB2704" s="10">
        <f t="shared" si="2546"/>
        <v>5.2085477832420572</v>
      </c>
      <c r="AC2704" s="10">
        <f t="shared" si="2547"/>
        <v>115.92411875930179</v>
      </c>
      <c r="AD2704" s="10">
        <f t="shared" si="2548"/>
        <v>-127.99321598627755</v>
      </c>
      <c r="AE2704" s="10">
        <f t="shared" si="2549"/>
        <v>6.388729345762413</v>
      </c>
      <c r="AF2704" s="1" t="s">
        <v>3106</v>
      </c>
    </row>
    <row r="2705" spans="1:32" x14ac:dyDescent="0.2">
      <c r="A2705" s="1" t="s">
        <v>3054</v>
      </c>
      <c r="B2705" s="1" t="s">
        <v>30</v>
      </c>
      <c r="C2705" s="1" t="s">
        <v>3105</v>
      </c>
      <c r="D2705" s="1" t="s">
        <v>1813</v>
      </c>
      <c r="E2705" s="1" t="s">
        <v>3101</v>
      </c>
      <c r="F2705" s="1" t="s">
        <v>3102</v>
      </c>
      <c r="G2705" s="4">
        <f>4228163/320430479</f>
        <v>1.3195258494745126E-2</v>
      </c>
      <c r="H2705" s="28">
        <v>44196</v>
      </c>
      <c r="I2705" s="29">
        <f t="shared" si="2539"/>
        <v>2020</v>
      </c>
      <c r="J2705" s="1" t="s">
        <v>3054</v>
      </c>
      <c r="K2705" s="1" t="s">
        <v>7</v>
      </c>
      <c r="L2705" s="11" t="str">
        <f t="shared" si="2591"/>
        <v>ДА</v>
      </c>
      <c r="M2705" s="10">
        <f>4228163*33.86/10^6</f>
        <v>143.16559918000002</v>
      </c>
      <c r="N2705" s="10">
        <v>0</v>
      </c>
      <c r="O2705" s="10">
        <v>10.585000000000001</v>
      </c>
      <c r="P2705" s="10">
        <f t="shared" si="2585"/>
        <v>802.18208716527727</v>
      </c>
      <c r="Q2705" s="10">
        <f t="shared" si="2586"/>
        <v>667.52008716527735</v>
      </c>
      <c r="R2705" s="10">
        <v>218.34399999999999</v>
      </c>
      <c r="S2705" s="10">
        <v>38.692</v>
      </c>
      <c r="T2705" s="10">
        <v>17.992000000000001</v>
      </c>
      <c r="U2705" s="10">
        <v>23.35</v>
      </c>
      <c r="V2705" s="10">
        <v>348.10199999999998</v>
      </c>
      <c r="W2705" s="10">
        <v>-134.66199999999998</v>
      </c>
      <c r="X2705" s="10">
        <f t="shared" si="2542"/>
        <v>213.44</v>
      </c>
      <c r="Y2705" s="10">
        <f t="shared" si="2543"/>
        <v>3.6739369397156656</v>
      </c>
      <c r="Z2705" s="10">
        <f t="shared" si="2544"/>
        <v>34.354693240482966</v>
      </c>
      <c r="AA2705" s="10">
        <f t="shared" si="2545"/>
        <v>2.3044454992079255</v>
      </c>
      <c r="AB2705" s="10">
        <f t="shared" si="2546"/>
        <v>3.0571945515575303</v>
      </c>
      <c r="AC2705" s="10">
        <f t="shared" si="2547"/>
        <v>17.252147399081913</v>
      </c>
      <c r="AD2705" s="10">
        <f t="shared" si="2548"/>
        <v>37.100938593001182</v>
      </c>
      <c r="AE2705" s="10">
        <f t="shared" si="2549"/>
        <v>3.1274366902421167</v>
      </c>
      <c r="AF2705" s="1" t="s">
        <v>3107</v>
      </c>
    </row>
    <row r="2706" spans="1:32" x14ac:dyDescent="0.2">
      <c r="A2706" s="1" t="s">
        <v>3054</v>
      </c>
      <c r="B2706" s="1" t="s">
        <v>30</v>
      </c>
      <c r="C2706" s="1" t="s">
        <v>3105</v>
      </c>
      <c r="D2706" s="1" t="s">
        <v>1813</v>
      </c>
      <c r="E2706" s="1" t="s">
        <v>3101</v>
      </c>
      <c r="F2706" s="1" t="s">
        <v>3102</v>
      </c>
      <c r="G2706" s="4">
        <f>(9340101+4060913)/293527656</f>
        <v>4.5655030202673648E-2</v>
      </c>
      <c r="H2706" s="28">
        <v>44011</v>
      </c>
      <c r="I2706" s="29">
        <f t="shared" si="2539"/>
        <v>2020</v>
      </c>
      <c r="J2706" s="1" t="s">
        <v>7</v>
      </c>
      <c r="K2706" s="1" t="s">
        <v>3054</v>
      </c>
      <c r="L2706" s="11" t="str">
        <f t="shared" si="2591"/>
        <v>ДА</v>
      </c>
      <c r="M2706" s="10">
        <f>(9340101+4060913)*49.25/10^6</f>
        <v>659.99993949999998</v>
      </c>
      <c r="N2706" s="10">
        <v>0</v>
      </c>
      <c r="O2706" s="10">
        <f>31.799+41.477</f>
        <v>73.275999999999996</v>
      </c>
      <c r="P2706" s="10">
        <f t="shared" si="2585"/>
        <v>1604.9929147940595</v>
      </c>
      <c r="Q2706" s="10">
        <f t="shared" si="2586"/>
        <v>1503.7649147940595</v>
      </c>
      <c r="R2706" s="10">
        <v>175.39099999999999</v>
      </c>
      <c r="S2706" s="10">
        <v>39.31</v>
      </c>
      <c r="T2706" s="10">
        <v>23.366</v>
      </c>
      <c r="U2706" s="10">
        <v>11.065</v>
      </c>
      <c r="V2706" s="10">
        <v>229.435</v>
      </c>
      <c r="W2706" s="10">
        <v>-101.22800000000001</v>
      </c>
      <c r="X2706" s="10">
        <f t="shared" si="2542"/>
        <v>128.20699999999999</v>
      </c>
      <c r="Y2706" s="10">
        <f t="shared" si="2543"/>
        <v>9.1509422649626249</v>
      </c>
      <c r="Z2706" s="10">
        <f t="shared" si="2544"/>
        <v>145.05132533159147</v>
      </c>
      <c r="AA2706" s="10">
        <f t="shared" si="2545"/>
        <v>6.995414451997557</v>
      </c>
      <c r="AB2706" s="10">
        <f t="shared" si="2546"/>
        <v>8.5737860824903187</v>
      </c>
      <c r="AC2706" s="10">
        <f t="shared" si="2547"/>
        <v>38.254004446554553</v>
      </c>
      <c r="AD2706" s="10">
        <f t="shared" si="2548"/>
        <v>64.356968021657948</v>
      </c>
      <c r="AE2706" s="10">
        <f t="shared" si="2549"/>
        <v>11.729195089145362</v>
      </c>
      <c r="AF2706" s="1" t="s">
        <v>3108</v>
      </c>
    </row>
    <row r="2707" spans="1:32" x14ac:dyDescent="0.2">
      <c r="A2707" s="1" t="s">
        <v>3054</v>
      </c>
      <c r="B2707" s="1" t="s">
        <v>30</v>
      </c>
      <c r="C2707" s="1" t="s">
        <v>3105</v>
      </c>
      <c r="D2707" s="1" t="s">
        <v>1813</v>
      </c>
      <c r="E2707" s="1" t="s">
        <v>3101</v>
      </c>
      <c r="F2707" s="1" t="s">
        <v>3102</v>
      </c>
      <c r="G2707" s="4">
        <f>460791/292597655</f>
        <v>1.5748280689399238E-3</v>
      </c>
      <c r="H2707" s="28">
        <v>43830</v>
      </c>
      <c r="I2707" s="29">
        <f t="shared" si="2539"/>
        <v>2019</v>
      </c>
      <c r="J2707" s="1" t="s">
        <v>3054</v>
      </c>
      <c r="K2707" s="1" t="s">
        <v>7</v>
      </c>
      <c r="L2707" s="11" t="str">
        <f t="shared" ref="L2707" si="2592">IF(OR(A2707=J2707,A2707=K2707),"ДА","НЕТ")</f>
        <v>ДА</v>
      </c>
      <c r="M2707" s="10">
        <f>460791*41.16/10^6</f>
        <v>18.966157559999999</v>
      </c>
      <c r="N2707" s="10">
        <v>0</v>
      </c>
      <c r="O2707" s="10">
        <f>460791*1205/10^9</f>
        <v>0.55525315500000005</v>
      </c>
      <c r="P2707" s="10">
        <f t="shared" si="2585"/>
        <v>352.58017427499999</v>
      </c>
      <c r="Q2707" s="10">
        <f t="shared" si="2586"/>
        <v>251.35217427499998</v>
      </c>
      <c r="R2707" s="10">
        <v>175.39099999999999</v>
      </c>
      <c r="S2707" s="10">
        <v>39.31</v>
      </c>
      <c r="T2707" s="10">
        <v>23.366</v>
      </c>
      <c r="U2707" s="10">
        <v>11.065</v>
      </c>
      <c r="V2707" s="10">
        <v>229.435</v>
      </c>
      <c r="W2707" s="10">
        <v>-101.22800000000001</v>
      </c>
      <c r="X2707" s="10">
        <f t="shared" si="2542"/>
        <v>128.20699999999999</v>
      </c>
      <c r="Y2707" s="10">
        <f t="shared" si="2543"/>
        <v>2.0102523748367931</v>
      </c>
      <c r="Z2707" s="10">
        <f t="shared" si="2544"/>
        <v>31.864453165386355</v>
      </c>
      <c r="AA2707" s="10">
        <f t="shared" si="2545"/>
        <v>1.536732295748251</v>
      </c>
      <c r="AB2707" s="10">
        <f t="shared" si="2546"/>
        <v>1.4330961923644885</v>
      </c>
      <c r="AC2707" s="10">
        <f t="shared" si="2547"/>
        <v>6.3941026271940977</v>
      </c>
      <c r="AD2707" s="10">
        <f t="shared" si="2548"/>
        <v>10.757175993965591</v>
      </c>
      <c r="AE2707" s="10">
        <f t="shared" si="2549"/>
        <v>1.9605183357772975</v>
      </c>
      <c r="AF2707" s="1" t="s">
        <v>3109</v>
      </c>
    </row>
    <row r="2708" spans="1:32" x14ac:dyDescent="0.2">
      <c r="A2708" s="1" t="s">
        <v>3073</v>
      </c>
      <c r="B2708" s="1" t="s">
        <v>179</v>
      </c>
      <c r="C2708" s="1" t="s">
        <v>1575</v>
      </c>
      <c r="D2708" s="1" t="s">
        <v>1813</v>
      </c>
      <c r="E2708" s="1" t="s">
        <v>3071</v>
      </c>
      <c r="F2708" s="1" t="s">
        <v>3072</v>
      </c>
      <c r="G2708" s="4" t="s">
        <v>11</v>
      </c>
      <c r="H2708" s="28">
        <v>43555</v>
      </c>
      <c r="I2708" s="29">
        <f t="shared" si="2539"/>
        <v>2019</v>
      </c>
      <c r="J2708" s="1" t="s">
        <v>3054</v>
      </c>
      <c r="K2708" s="1" t="s">
        <v>7</v>
      </c>
      <c r="L2708" s="11" t="str">
        <f t="shared" ref="L2708:L2709" si="2593">IF(OR(A2708=J2708,A2708=K2708),"ДА","НЕТ")</f>
        <v>НЕТ</v>
      </c>
      <c r="M2708" s="10">
        <v>0</v>
      </c>
      <c r="N2708" s="10">
        <v>0</v>
      </c>
      <c r="O2708" s="10">
        <f>0.351+0.033</f>
        <v>0.38400000000000001</v>
      </c>
      <c r="P2708" s="10" t="str">
        <f t="shared" si="2585"/>
        <v>NA</v>
      </c>
      <c r="Q2708" s="10" t="str">
        <f t="shared" si="2586"/>
        <v>NA</v>
      </c>
      <c r="R2708" s="10" t="s">
        <v>1575</v>
      </c>
      <c r="S2708" s="10" t="s">
        <v>1575</v>
      </c>
      <c r="T2708" s="10" t="s">
        <v>1575</v>
      </c>
      <c r="U2708" s="10" t="s">
        <v>1575</v>
      </c>
      <c r="V2708" s="10">
        <v>0.38400000000000001</v>
      </c>
      <c r="W2708" s="10">
        <v>0</v>
      </c>
      <c r="X2708" s="10">
        <f t="shared" si="2542"/>
        <v>0.38400000000000001</v>
      </c>
      <c r="Y2708" s="10" t="str">
        <f t="shared" si="2543"/>
        <v>NA</v>
      </c>
      <c r="Z2708" s="10" t="str">
        <f t="shared" si="2544"/>
        <v>NA</v>
      </c>
      <c r="AA2708" s="10" t="str">
        <f t="shared" si="2545"/>
        <v>NA</v>
      </c>
      <c r="AB2708" s="10" t="str">
        <f t="shared" si="2546"/>
        <v>NA</v>
      </c>
      <c r="AC2708" s="10" t="str">
        <f t="shared" si="2547"/>
        <v>NA</v>
      </c>
      <c r="AD2708" s="10" t="str">
        <f t="shared" si="2548"/>
        <v>NA</v>
      </c>
      <c r="AE2708" s="10" t="str">
        <f t="shared" si="2549"/>
        <v>NA</v>
      </c>
      <c r="AF2708" s="1" t="s">
        <v>3070</v>
      </c>
    </row>
    <row r="2709" spans="1:32" x14ac:dyDescent="0.2">
      <c r="A2709" s="1" t="s">
        <v>3054</v>
      </c>
      <c r="B2709" s="1" t="s">
        <v>30</v>
      </c>
      <c r="C2709" s="1" t="s">
        <v>3105</v>
      </c>
      <c r="D2709" s="1" t="s">
        <v>1813</v>
      </c>
      <c r="E2709" s="1" t="s">
        <v>3101</v>
      </c>
      <c r="F2709" s="1" t="s">
        <v>3102</v>
      </c>
      <c r="G2709" s="4">
        <f>4760679/292437655</f>
        <v>1.6279295496334081E-2</v>
      </c>
      <c r="H2709" s="28">
        <v>43465</v>
      </c>
      <c r="I2709" s="29">
        <f t="shared" si="2539"/>
        <v>2018</v>
      </c>
      <c r="J2709" s="1" t="s">
        <v>3054</v>
      </c>
      <c r="K2709" s="1" t="s">
        <v>7</v>
      </c>
      <c r="L2709" s="11" t="str">
        <f t="shared" si="2593"/>
        <v>ДА</v>
      </c>
      <c r="M2709" s="10">
        <f>4760679*31.55/10^6</f>
        <v>150.19942245000001</v>
      </c>
      <c r="N2709" s="10">
        <v>0</v>
      </c>
      <c r="O2709" s="10">
        <v>10.085000000000001</v>
      </c>
      <c r="P2709" s="10">
        <f t="shared" si="2585"/>
        <v>619.49855276421715</v>
      </c>
      <c r="Q2709" s="10">
        <f t="shared" si="2586"/>
        <v>528.91755276421713</v>
      </c>
      <c r="R2709" s="10">
        <v>127.657</v>
      </c>
      <c r="S2709" s="10">
        <v>34.292999999999999</v>
      </c>
      <c r="T2709" s="10">
        <v>21.972000000000001</v>
      </c>
      <c r="U2709" s="10">
        <v>44.258000000000003</v>
      </c>
      <c r="V2709" s="10">
        <v>214.64099999999999</v>
      </c>
      <c r="W2709" s="10">
        <v>-90.581000000000003</v>
      </c>
      <c r="X2709" s="10">
        <f t="shared" si="2542"/>
        <v>124.05999999999999</v>
      </c>
      <c r="Y2709" s="10">
        <f t="shared" si="2543"/>
        <v>4.8528365288563666</v>
      </c>
      <c r="Z2709" s="10">
        <f t="shared" si="2544"/>
        <v>13.99743668408462</v>
      </c>
      <c r="AA2709" s="10">
        <f t="shared" si="2545"/>
        <v>2.8862079135124099</v>
      </c>
      <c r="AB2709" s="10">
        <f t="shared" si="2546"/>
        <v>4.1432710526192622</v>
      </c>
      <c r="AC2709" s="10">
        <f t="shared" si="2547"/>
        <v>15.42348446517415</v>
      </c>
      <c r="AD2709" s="10">
        <f t="shared" si="2548"/>
        <v>24.072344473157525</v>
      </c>
      <c r="AE2709" s="10">
        <f t="shared" si="2549"/>
        <v>4.263401199131204</v>
      </c>
      <c r="AF2709" s="1" t="s">
        <v>3110</v>
      </c>
    </row>
    <row r="2710" spans="1:32" x14ac:dyDescent="0.2">
      <c r="A2710" s="1" t="s">
        <v>3082</v>
      </c>
      <c r="B2710" s="1" t="s">
        <v>30</v>
      </c>
      <c r="C2710" s="1" t="s">
        <v>1575</v>
      </c>
      <c r="D2710" s="1" t="s">
        <v>1615</v>
      </c>
      <c r="E2710" s="1" t="s">
        <v>3089</v>
      </c>
      <c r="F2710" s="1" t="s">
        <v>2072</v>
      </c>
      <c r="G2710" s="4">
        <v>0.61</v>
      </c>
      <c r="H2710" s="28">
        <v>43159</v>
      </c>
      <c r="I2710" s="29">
        <f t="shared" si="2539"/>
        <v>2018</v>
      </c>
      <c r="J2710" s="1" t="s">
        <v>3054</v>
      </c>
      <c r="K2710" s="1" t="s">
        <v>7</v>
      </c>
      <c r="L2710" s="11" t="str">
        <f t="shared" ref="L2710" si="2594">IF(OR(A2710=J2710,A2710=K2710),"ДА","НЕТ")</f>
        <v>НЕТ</v>
      </c>
      <c r="M2710" s="10">
        <v>0</v>
      </c>
      <c r="N2710" s="10">
        <v>0</v>
      </c>
      <c r="O2710" s="10">
        <v>53.261000000000003</v>
      </c>
      <c r="P2710" s="10">
        <f t="shared" si="2585"/>
        <v>87.313114754098365</v>
      </c>
      <c r="Q2710" s="10">
        <f t="shared" si="2586"/>
        <v>68.05911475409836</v>
      </c>
      <c r="R2710" s="10" t="s">
        <v>1575</v>
      </c>
      <c r="S2710" s="10" t="s">
        <v>1575</v>
      </c>
      <c r="T2710" s="10" t="s">
        <v>1575</v>
      </c>
      <c r="U2710" s="10" t="s">
        <v>1575</v>
      </c>
      <c r="V2710" s="10">
        <f>72.91-42.026</f>
        <v>30.883999999999993</v>
      </c>
      <c r="W2710" s="10">
        <f>1.508-20.762</f>
        <v>-19.254000000000001</v>
      </c>
      <c r="X2710" s="10">
        <f t="shared" si="2542"/>
        <v>11.629999999999992</v>
      </c>
      <c r="Y2710" s="10" t="str">
        <f t="shared" si="2543"/>
        <v>NA</v>
      </c>
      <c r="Z2710" s="10" t="str">
        <f t="shared" si="2544"/>
        <v>NA</v>
      </c>
      <c r="AA2710" s="10">
        <f t="shared" si="2545"/>
        <v>2.8271310307634496</v>
      </c>
      <c r="AB2710" s="10" t="str">
        <f t="shared" si="2546"/>
        <v>NA</v>
      </c>
      <c r="AC2710" s="10" t="str">
        <f t="shared" si="2547"/>
        <v>NA</v>
      </c>
      <c r="AD2710" s="10" t="str">
        <f t="shared" si="2548"/>
        <v>NA</v>
      </c>
      <c r="AE2710" s="10">
        <f t="shared" si="2549"/>
        <v>5.852030503361858</v>
      </c>
      <c r="AF2710" s="1" t="s">
        <v>3081</v>
      </c>
    </row>
    <row r="2711" spans="1:32" x14ac:dyDescent="0.2">
      <c r="A2711" s="1" t="s">
        <v>3075</v>
      </c>
      <c r="B2711" s="1" t="s">
        <v>30</v>
      </c>
      <c r="C2711" s="1" t="s">
        <v>1575</v>
      </c>
      <c r="D2711" s="1" t="s">
        <v>1813</v>
      </c>
      <c r="E2711" s="1" t="s">
        <v>1821</v>
      </c>
      <c r="F2711" s="1" t="s">
        <v>3083</v>
      </c>
      <c r="G2711" s="4">
        <v>0.9</v>
      </c>
      <c r="H2711" s="28">
        <v>43404</v>
      </c>
      <c r="I2711" s="29">
        <f t="shared" si="2539"/>
        <v>2018</v>
      </c>
      <c r="J2711" s="1" t="s">
        <v>3054</v>
      </c>
      <c r="K2711" s="1" t="s">
        <v>7</v>
      </c>
      <c r="L2711" s="11" t="str">
        <f t="shared" ref="L2711" si="2595">IF(OR(A2711=J2711,A2711=K2711),"ДА","НЕТ")</f>
        <v>НЕТ</v>
      </c>
      <c r="M2711" s="10">
        <v>0</v>
      </c>
      <c r="N2711" s="10">
        <v>0</v>
      </c>
      <c r="O2711" s="10">
        <v>0.25900000000000001</v>
      </c>
      <c r="P2711" s="10">
        <f t="shared" si="2585"/>
        <v>0.2877777777777778</v>
      </c>
      <c r="Q2711" s="10">
        <f t="shared" si="2586"/>
        <v>1.0627777777777778</v>
      </c>
      <c r="R2711" s="10" t="s">
        <v>1575</v>
      </c>
      <c r="S2711" s="10" t="s">
        <v>1575</v>
      </c>
      <c r="T2711" s="10" t="s">
        <v>1575</v>
      </c>
      <c r="U2711" s="10" t="s">
        <v>1575</v>
      </c>
      <c r="V2711" s="10">
        <f>0.259-0.622</f>
        <v>-0.36299999999999999</v>
      </c>
      <c r="W2711" s="10">
        <f>0.621+0.174-0.02</f>
        <v>0.77499999999999991</v>
      </c>
      <c r="X2711" s="10">
        <f t="shared" si="2542"/>
        <v>0.41199999999999992</v>
      </c>
      <c r="Y2711" s="10" t="str">
        <f t="shared" si="2543"/>
        <v>NA</v>
      </c>
      <c r="Z2711" s="10" t="str">
        <f t="shared" si="2544"/>
        <v>NA</v>
      </c>
      <c r="AA2711" s="10">
        <f t="shared" si="2545"/>
        <v>-0.79277624732170193</v>
      </c>
      <c r="AB2711" s="10" t="str">
        <f t="shared" si="2546"/>
        <v>NA</v>
      </c>
      <c r="AC2711" s="10" t="str">
        <f t="shared" si="2547"/>
        <v>NA</v>
      </c>
      <c r="AD2711" s="10" t="str">
        <f t="shared" si="2548"/>
        <v>NA</v>
      </c>
      <c r="AE2711" s="10">
        <f t="shared" si="2549"/>
        <v>2.5795577130528593</v>
      </c>
      <c r="AF2711" s="1" t="s">
        <v>3074</v>
      </c>
    </row>
    <row r="2712" spans="1:32" x14ac:dyDescent="0.2">
      <c r="A2712" s="1" t="s">
        <v>6576</v>
      </c>
      <c r="B2712" s="1" t="s">
        <v>5</v>
      </c>
      <c r="C2712" s="1" t="s">
        <v>1575</v>
      </c>
      <c r="D2712" s="1" t="s">
        <v>1813</v>
      </c>
      <c r="E2712" s="1" t="s">
        <v>1821</v>
      </c>
      <c r="F2712" s="1" t="s">
        <v>3078</v>
      </c>
      <c r="G2712" s="4" t="s">
        <v>11</v>
      </c>
      <c r="H2712" s="28">
        <v>42916</v>
      </c>
      <c r="I2712" s="29">
        <f t="shared" si="2539"/>
        <v>2017</v>
      </c>
      <c r="J2712" s="1" t="s">
        <v>3054</v>
      </c>
      <c r="K2712" s="1" t="s">
        <v>7</v>
      </c>
      <c r="L2712" s="11" t="str">
        <f t="shared" ref="L2712" si="2596">IF(OR(A2712=J2712,A2712=K2712),"ДА","НЕТ")</f>
        <v>НЕТ</v>
      </c>
      <c r="M2712" s="10">
        <v>0</v>
      </c>
      <c r="N2712" s="10">
        <v>0</v>
      </c>
      <c r="O2712" s="10">
        <v>0.40100000000000002</v>
      </c>
      <c r="P2712" s="10" t="str">
        <f t="shared" si="2585"/>
        <v>NA</v>
      </c>
      <c r="Q2712" s="10" t="str">
        <f t="shared" si="2586"/>
        <v>NA</v>
      </c>
      <c r="R2712" s="10" t="s">
        <v>1575</v>
      </c>
      <c r="S2712" s="10" t="s">
        <v>1575</v>
      </c>
      <c r="T2712" s="10" t="s">
        <v>1575</v>
      </c>
      <c r="U2712" s="10" t="s">
        <v>1575</v>
      </c>
      <c r="V2712" s="10">
        <f>0.401-0.274</f>
        <v>0.127</v>
      </c>
      <c r="W2712" s="10">
        <v>0</v>
      </c>
      <c r="X2712" s="10">
        <f t="shared" si="2542"/>
        <v>0.127</v>
      </c>
      <c r="Y2712" s="10" t="str">
        <f t="shared" si="2543"/>
        <v>NA</v>
      </c>
      <c r="Z2712" s="10" t="str">
        <f t="shared" si="2544"/>
        <v>NA</v>
      </c>
      <c r="AA2712" s="10" t="str">
        <f t="shared" si="2545"/>
        <v>NA</v>
      </c>
      <c r="AB2712" s="10" t="str">
        <f t="shared" si="2546"/>
        <v>NA</v>
      </c>
      <c r="AC2712" s="10" t="str">
        <f t="shared" si="2547"/>
        <v>NA</v>
      </c>
      <c r="AD2712" s="10" t="str">
        <f t="shared" si="2548"/>
        <v>NA</v>
      </c>
      <c r="AE2712" s="10" t="str">
        <f t="shared" si="2549"/>
        <v>NA</v>
      </c>
      <c r="AF2712" s="1" t="s">
        <v>3077</v>
      </c>
    </row>
    <row r="2713" spans="1:32" x14ac:dyDescent="0.2">
      <c r="A2713" s="1" t="s">
        <v>3080</v>
      </c>
      <c r="B2713" s="1" t="s">
        <v>5</v>
      </c>
      <c r="C2713" s="1" t="s">
        <v>1575</v>
      </c>
      <c r="D2713" s="1" t="s">
        <v>1582</v>
      </c>
      <c r="E2713" s="1" t="s">
        <v>2084</v>
      </c>
      <c r="F2713" s="1" t="s">
        <v>2083</v>
      </c>
      <c r="G2713" s="4">
        <v>1</v>
      </c>
      <c r="H2713" s="28">
        <v>43100</v>
      </c>
      <c r="I2713" s="29">
        <f t="shared" si="2539"/>
        <v>2017</v>
      </c>
      <c r="J2713" s="1" t="s">
        <v>3054</v>
      </c>
      <c r="K2713" s="1" t="s">
        <v>7</v>
      </c>
      <c r="L2713" s="11" t="str">
        <f t="shared" ref="L2713" si="2597">IF(OR(A2713=J2713,A2713=K2713),"ДА","НЕТ")</f>
        <v>НЕТ</v>
      </c>
      <c r="M2713" s="10">
        <v>0</v>
      </c>
      <c r="N2713" s="10">
        <v>0</v>
      </c>
      <c r="O2713" s="10">
        <v>0.59499999999999997</v>
      </c>
      <c r="P2713" s="10">
        <f t="shared" si="2585"/>
        <v>0.59499999999999997</v>
      </c>
      <c r="Q2713" s="10">
        <f t="shared" si="2586"/>
        <v>0.72599999999999998</v>
      </c>
      <c r="R2713" s="10" t="s">
        <v>1575</v>
      </c>
      <c r="S2713" s="10" t="s">
        <v>1575</v>
      </c>
      <c r="T2713" s="10" t="s">
        <v>1575</v>
      </c>
      <c r="U2713" s="10" t="s">
        <v>1575</v>
      </c>
      <c r="V2713" s="10">
        <f>0.595-0.639</f>
        <v>-4.4000000000000039E-2</v>
      </c>
      <c r="W2713" s="10">
        <f>0.115+0.016</f>
        <v>0.13100000000000001</v>
      </c>
      <c r="X2713" s="10">
        <f t="shared" si="2542"/>
        <v>8.6999999999999966E-2</v>
      </c>
      <c r="Y2713" s="10" t="str">
        <f t="shared" si="2543"/>
        <v>NA</v>
      </c>
      <c r="Z2713" s="10" t="str">
        <f t="shared" si="2544"/>
        <v>NA</v>
      </c>
      <c r="AA2713" s="10">
        <f t="shared" si="2545"/>
        <v>-13.522727272727261</v>
      </c>
      <c r="AB2713" s="10" t="str">
        <f t="shared" si="2546"/>
        <v>NA</v>
      </c>
      <c r="AC2713" s="10" t="str">
        <f t="shared" si="2547"/>
        <v>NA</v>
      </c>
      <c r="AD2713" s="10" t="str">
        <f t="shared" si="2548"/>
        <v>NA</v>
      </c>
      <c r="AE2713" s="10">
        <f t="shared" si="2549"/>
        <v>8.3448275862069003</v>
      </c>
      <c r="AF2713" s="1" t="s">
        <v>3079</v>
      </c>
    </row>
    <row r="2714" spans="1:32" x14ac:dyDescent="0.2">
      <c r="A2714" s="1" t="s">
        <v>3088</v>
      </c>
      <c r="B2714" s="1" t="s">
        <v>5</v>
      </c>
      <c r="C2714" s="1" t="s">
        <v>1575</v>
      </c>
      <c r="D2714" s="1" t="s">
        <v>1615</v>
      </c>
      <c r="E2714" s="1" t="s">
        <v>3089</v>
      </c>
      <c r="F2714" s="1" t="s">
        <v>3090</v>
      </c>
      <c r="G2714" s="4" t="s">
        <v>11</v>
      </c>
      <c r="H2714" s="28">
        <v>42035</v>
      </c>
      <c r="I2714" s="29">
        <f t="shared" si="2539"/>
        <v>2015</v>
      </c>
      <c r="J2714" s="1" t="s">
        <v>3054</v>
      </c>
      <c r="K2714" s="1" t="s">
        <v>7</v>
      </c>
      <c r="L2714" s="11" t="str">
        <f t="shared" ref="L2714:L2715" si="2598">IF(OR(A2714=J2714,A2714=K2714),"ДА","НЕТ")</f>
        <v>НЕТ</v>
      </c>
      <c r="M2714" s="10">
        <v>0</v>
      </c>
      <c r="N2714" s="10">
        <v>0</v>
      </c>
      <c r="O2714" s="10">
        <v>0.5</v>
      </c>
      <c r="P2714" s="10" t="str">
        <f t="shared" si="2585"/>
        <v>NA</v>
      </c>
      <c r="Q2714" s="10" t="str">
        <f t="shared" si="2586"/>
        <v>NA</v>
      </c>
      <c r="R2714" s="10" t="s">
        <v>1575</v>
      </c>
      <c r="S2714" s="10" t="s">
        <v>1575</v>
      </c>
      <c r="T2714" s="10" t="s">
        <v>1575</v>
      </c>
      <c r="U2714" s="10" t="s">
        <v>1575</v>
      </c>
      <c r="V2714" s="10">
        <f>0.415-0.224</f>
        <v>0.19099999999999998</v>
      </c>
      <c r="W2714" s="10">
        <v>0</v>
      </c>
      <c r="X2714" s="10">
        <f t="shared" si="2542"/>
        <v>0.19099999999999998</v>
      </c>
      <c r="Y2714" s="10" t="str">
        <f t="shared" si="2543"/>
        <v>NA</v>
      </c>
      <c r="Z2714" s="10" t="str">
        <f t="shared" si="2544"/>
        <v>NA</v>
      </c>
      <c r="AA2714" s="10" t="str">
        <f t="shared" si="2545"/>
        <v>NA</v>
      </c>
      <c r="AB2714" s="10" t="str">
        <f t="shared" si="2546"/>
        <v>NA</v>
      </c>
      <c r="AC2714" s="10" t="str">
        <f t="shared" si="2547"/>
        <v>NA</v>
      </c>
      <c r="AD2714" s="10" t="str">
        <f t="shared" si="2548"/>
        <v>NA</v>
      </c>
      <c r="AE2714" s="10" t="str">
        <f t="shared" si="2549"/>
        <v>NA</v>
      </c>
      <c r="AF2714" s="1" t="s">
        <v>3084</v>
      </c>
    </row>
    <row r="2715" spans="1:32" x14ac:dyDescent="0.2">
      <c r="A2715" s="1" t="s">
        <v>3086</v>
      </c>
      <c r="B2715" s="1" t="s">
        <v>5</v>
      </c>
      <c r="C2715" s="1" t="s">
        <v>1575</v>
      </c>
      <c r="D2715" s="1" t="s">
        <v>1813</v>
      </c>
      <c r="E2715" s="1" t="s">
        <v>1971</v>
      </c>
      <c r="F2715" s="1" t="s">
        <v>3087</v>
      </c>
      <c r="G2715" s="4" t="s">
        <v>11</v>
      </c>
      <c r="H2715" s="28">
        <v>42369</v>
      </c>
      <c r="I2715" s="29">
        <f t="shared" ref="I2715:I2798" si="2599">YEAR(H2715)</f>
        <v>2015</v>
      </c>
      <c r="J2715" s="1" t="s">
        <v>3054</v>
      </c>
      <c r="K2715" s="1" t="s">
        <v>7</v>
      </c>
      <c r="L2715" s="11" t="str">
        <f t="shared" si="2598"/>
        <v>НЕТ</v>
      </c>
      <c r="M2715" s="10">
        <v>0</v>
      </c>
      <c r="N2715" s="10">
        <v>0</v>
      </c>
      <c r="O2715" s="10">
        <f>0.12+0.08</f>
        <v>0.2</v>
      </c>
      <c r="P2715" s="10" t="str">
        <f t="shared" si="2585"/>
        <v>NA</v>
      </c>
      <c r="Q2715" s="10" t="str">
        <f t="shared" si="2586"/>
        <v>NA</v>
      </c>
      <c r="R2715" s="10" t="s">
        <v>1575</v>
      </c>
      <c r="S2715" s="10" t="s">
        <v>1575</v>
      </c>
      <c r="T2715" s="10" t="s">
        <v>1575</v>
      </c>
      <c r="U2715" s="10" t="s">
        <v>1575</v>
      </c>
      <c r="V2715" s="10">
        <f>0.12-0.05</f>
        <v>6.9999999999999993E-2</v>
      </c>
      <c r="W2715" s="10">
        <v>0</v>
      </c>
      <c r="X2715" s="10">
        <f t="shared" si="2542"/>
        <v>6.9999999999999993E-2</v>
      </c>
      <c r="Y2715" s="10" t="str">
        <f t="shared" si="2543"/>
        <v>NA</v>
      </c>
      <c r="Z2715" s="10" t="str">
        <f t="shared" si="2544"/>
        <v>NA</v>
      </c>
      <c r="AA2715" s="10" t="str">
        <f t="shared" si="2545"/>
        <v>NA</v>
      </c>
      <c r="AB2715" s="10" t="str">
        <f t="shared" si="2546"/>
        <v>NA</v>
      </c>
      <c r="AC2715" s="10" t="str">
        <f t="shared" si="2547"/>
        <v>NA</v>
      </c>
      <c r="AD2715" s="10" t="str">
        <f t="shared" si="2548"/>
        <v>NA</v>
      </c>
      <c r="AE2715" s="10" t="str">
        <f t="shared" si="2549"/>
        <v>NA</v>
      </c>
      <c r="AF2715" s="1" t="s">
        <v>3085</v>
      </c>
    </row>
    <row r="2716" spans="1:32" x14ac:dyDescent="0.2">
      <c r="A2716" s="1" t="s">
        <v>3091</v>
      </c>
      <c r="B2716" s="1" t="s">
        <v>5</v>
      </c>
      <c r="C2716" s="1" t="s">
        <v>1575</v>
      </c>
      <c r="D2716" s="1" t="s">
        <v>1813</v>
      </c>
      <c r="E2716" s="1" t="s">
        <v>1587</v>
      </c>
      <c r="F2716" s="1" t="s">
        <v>3092</v>
      </c>
      <c r="G2716" s="4">
        <v>1</v>
      </c>
      <c r="H2716" s="28">
        <v>41729</v>
      </c>
      <c r="I2716" s="29">
        <f t="shared" si="2599"/>
        <v>2014</v>
      </c>
      <c r="J2716" s="1" t="s">
        <v>3054</v>
      </c>
      <c r="K2716" s="1" t="s">
        <v>7</v>
      </c>
      <c r="L2716" s="11" t="str">
        <f t="shared" ref="L2716" si="2600">IF(OR(A2716=J2716,A2716=K2716),"ДА","НЕТ")</f>
        <v>НЕТ</v>
      </c>
      <c r="M2716" s="10">
        <v>10.199999999999999</v>
      </c>
      <c r="N2716" s="10">
        <v>0</v>
      </c>
      <c r="O2716" s="10">
        <v>0.20300000000000001</v>
      </c>
      <c r="P2716" s="10">
        <f t="shared" si="2585"/>
        <v>0.20300000000000001</v>
      </c>
      <c r="Q2716" s="10">
        <f t="shared" si="2586"/>
        <v>0.21400000000000002</v>
      </c>
      <c r="R2716" s="10" t="s">
        <v>1575</v>
      </c>
      <c r="S2716" s="10" t="s">
        <v>1575</v>
      </c>
      <c r="T2716" s="10" t="s">
        <v>1575</v>
      </c>
      <c r="U2716" s="10" t="s">
        <v>1575</v>
      </c>
      <c r="V2716" s="10">
        <f>0.203-0.158</f>
        <v>4.5000000000000012E-2</v>
      </c>
      <c r="W2716" s="10">
        <f>0.015-0.004</f>
        <v>1.0999999999999999E-2</v>
      </c>
      <c r="X2716" s="10">
        <f t="shared" si="2542"/>
        <v>5.6000000000000008E-2</v>
      </c>
      <c r="Y2716" s="10" t="str">
        <f t="shared" si="2543"/>
        <v>NA</v>
      </c>
      <c r="Z2716" s="10" t="str">
        <f t="shared" si="2544"/>
        <v>NA</v>
      </c>
      <c r="AA2716" s="10">
        <f t="shared" si="2545"/>
        <v>4.5111111111111102</v>
      </c>
      <c r="AB2716" s="10" t="str">
        <f t="shared" si="2546"/>
        <v>NA</v>
      </c>
      <c r="AC2716" s="10" t="str">
        <f t="shared" si="2547"/>
        <v>NA</v>
      </c>
      <c r="AD2716" s="10" t="str">
        <f t="shared" si="2548"/>
        <v>NA</v>
      </c>
      <c r="AE2716" s="10">
        <f t="shared" si="2549"/>
        <v>3.8214285714285712</v>
      </c>
      <c r="AF2716" s="1" t="s">
        <v>3093</v>
      </c>
    </row>
    <row r="2717" spans="1:32" x14ac:dyDescent="0.2">
      <c r="A2717" s="1" t="s">
        <v>6577</v>
      </c>
      <c r="B2717" s="1" t="s">
        <v>5</v>
      </c>
      <c r="C2717" s="1" t="s">
        <v>1575</v>
      </c>
      <c r="D2717" s="1" t="s">
        <v>1813</v>
      </c>
      <c r="E2717" s="1" t="s">
        <v>1821</v>
      </c>
      <c r="F2717" s="1" t="s">
        <v>3078</v>
      </c>
      <c r="G2717" s="4">
        <v>1</v>
      </c>
      <c r="H2717" s="28">
        <v>41882</v>
      </c>
      <c r="I2717" s="29">
        <f t="shared" si="2599"/>
        <v>2014</v>
      </c>
      <c r="J2717" s="1" t="s">
        <v>3054</v>
      </c>
      <c r="K2717" s="1" t="s">
        <v>7</v>
      </c>
      <c r="L2717" s="11" t="str">
        <f t="shared" ref="L2717" si="2601">IF(OR(A2717=J2717,A2717=K2717),"ДА","НЕТ")</f>
        <v>НЕТ</v>
      </c>
      <c r="M2717" s="10">
        <v>178.4</v>
      </c>
      <c r="N2717" s="10">
        <v>0</v>
      </c>
      <c r="O2717" s="10">
        <v>6.4279999999999999</v>
      </c>
      <c r="P2717" s="10">
        <f t="shared" si="2585"/>
        <v>6.4279999999999999</v>
      </c>
      <c r="Q2717" s="10">
        <f t="shared" si="2586"/>
        <v>6.6609999999999996</v>
      </c>
      <c r="R2717" s="10" t="s">
        <v>1575</v>
      </c>
      <c r="S2717" s="10" t="s">
        <v>1575</v>
      </c>
      <c r="T2717" s="10" t="s">
        <v>1575</v>
      </c>
      <c r="U2717" s="10" t="s">
        <v>1575</v>
      </c>
      <c r="V2717" s="10">
        <f>6.428-4.885</f>
        <v>1.5430000000000001</v>
      </c>
      <c r="W2717" s="10">
        <f>0.08+0.357-0.204</f>
        <v>0.23300000000000001</v>
      </c>
      <c r="X2717" s="10">
        <f t="shared" si="2542"/>
        <v>1.7760000000000002</v>
      </c>
      <c r="Y2717" s="10" t="str">
        <f t="shared" si="2543"/>
        <v>NA</v>
      </c>
      <c r="Z2717" s="10" t="str">
        <f t="shared" si="2544"/>
        <v>NA</v>
      </c>
      <c r="AA2717" s="10">
        <f t="shared" si="2545"/>
        <v>4.1659105638366816</v>
      </c>
      <c r="AB2717" s="10" t="str">
        <f t="shared" si="2546"/>
        <v>NA</v>
      </c>
      <c r="AC2717" s="10" t="str">
        <f t="shared" si="2547"/>
        <v>NA</v>
      </c>
      <c r="AD2717" s="10" t="str">
        <f t="shared" si="2548"/>
        <v>NA</v>
      </c>
      <c r="AE2717" s="10">
        <f t="shared" si="2549"/>
        <v>3.7505630630630624</v>
      </c>
      <c r="AF2717" s="1" t="s">
        <v>3094</v>
      </c>
    </row>
    <row r="2718" spans="1:32" x14ac:dyDescent="0.2">
      <c r="A2718" s="1" t="s">
        <v>6578</v>
      </c>
      <c r="B2718" s="1" t="s">
        <v>5</v>
      </c>
      <c r="C2718" s="1" t="s">
        <v>1575</v>
      </c>
      <c r="D2718" s="1" t="s">
        <v>1813</v>
      </c>
      <c r="E2718" s="1" t="s">
        <v>1821</v>
      </c>
      <c r="F2718" s="1" t="s">
        <v>3096</v>
      </c>
      <c r="G2718" s="4">
        <v>1</v>
      </c>
      <c r="H2718" s="28">
        <v>41912</v>
      </c>
      <c r="I2718" s="29">
        <f t="shared" si="2599"/>
        <v>2014</v>
      </c>
      <c r="J2718" s="1" t="s">
        <v>3054</v>
      </c>
      <c r="K2718" s="1" t="s">
        <v>7</v>
      </c>
      <c r="L2718" s="11" t="str">
        <f t="shared" ref="L2718:L2720" si="2602">IF(OR(A2718=J2718,A2718=K2718),"ДА","НЕТ")</f>
        <v>НЕТ</v>
      </c>
      <c r="M2718" s="10">
        <v>11.3</v>
      </c>
      <c r="N2718" s="10">
        <v>0</v>
      </c>
      <c r="O2718" s="10">
        <v>0.44600000000000001</v>
      </c>
      <c r="P2718" s="10">
        <f t="shared" si="2585"/>
        <v>0.44600000000000001</v>
      </c>
      <c r="Q2718" s="10">
        <f t="shared" si="2586"/>
        <v>0.44600000000000001</v>
      </c>
      <c r="R2718" s="10" t="s">
        <v>1575</v>
      </c>
      <c r="S2718" s="10" t="s">
        <v>1575</v>
      </c>
      <c r="T2718" s="10" t="s">
        <v>1575</v>
      </c>
      <c r="U2718" s="10" t="s">
        <v>1575</v>
      </c>
      <c r="V2718" s="10">
        <f>0.446-0.296</f>
        <v>0.15000000000000002</v>
      </c>
      <c r="W2718" s="10">
        <v>0</v>
      </c>
      <c r="X2718" s="10">
        <f t="shared" si="2542"/>
        <v>0.15000000000000002</v>
      </c>
      <c r="Y2718" s="10" t="str">
        <f t="shared" si="2543"/>
        <v>NA</v>
      </c>
      <c r="Z2718" s="10" t="str">
        <f t="shared" si="2544"/>
        <v>NA</v>
      </c>
      <c r="AA2718" s="10">
        <f t="shared" si="2545"/>
        <v>2.9733333333333332</v>
      </c>
      <c r="AB2718" s="10" t="str">
        <f t="shared" si="2546"/>
        <v>NA</v>
      </c>
      <c r="AC2718" s="10" t="str">
        <f t="shared" si="2547"/>
        <v>NA</v>
      </c>
      <c r="AD2718" s="10" t="str">
        <f t="shared" si="2548"/>
        <v>NA</v>
      </c>
      <c r="AE2718" s="10">
        <f t="shared" si="2549"/>
        <v>2.9733333333333332</v>
      </c>
      <c r="AF2718" s="1" t="s">
        <v>3095</v>
      </c>
    </row>
    <row r="2719" spans="1:32" x14ac:dyDescent="0.2">
      <c r="A2719" s="1" t="s">
        <v>3054</v>
      </c>
      <c r="B2719" s="1" t="s">
        <v>30</v>
      </c>
      <c r="C2719" s="1" t="s">
        <v>3105</v>
      </c>
      <c r="D2719" s="1" t="s">
        <v>1813</v>
      </c>
      <c r="E2719" s="1" t="s">
        <v>3101</v>
      </c>
      <c r="F2719" s="1" t="s">
        <v>3102</v>
      </c>
      <c r="G2719" s="4">
        <f>7446319/259151342</f>
        <v>2.8733476518134335E-2</v>
      </c>
      <c r="H2719" s="28">
        <v>42004</v>
      </c>
      <c r="I2719" s="29">
        <f t="shared" si="2599"/>
        <v>2014</v>
      </c>
      <c r="J2719" s="1" t="s">
        <v>3054</v>
      </c>
      <c r="K2719" s="1" t="s">
        <v>7</v>
      </c>
      <c r="L2719" s="11" t="str">
        <f t="shared" si="2602"/>
        <v>ДА</v>
      </c>
      <c r="M2719" s="10">
        <f>8599377*31.49/10^6</f>
        <v>270.79438172999994</v>
      </c>
      <c r="N2719" s="10">
        <v>0</v>
      </c>
      <c r="O2719" s="10">
        <v>8.423</v>
      </c>
      <c r="P2719" s="10">
        <f t="shared" si="2585"/>
        <v>293.14239071224318</v>
      </c>
      <c r="Q2719" s="10">
        <f t="shared" si="2586"/>
        <v>268.11139071224318</v>
      </c>
      <c r="R2719" s="10">
        <v>50.767000000000003</v>
      </c>
      <c r="S2719" s="10">
        <v>26.103000000000002</v>
      </c>
      <c r="T2719" s="10">
        <v>21.619</v>
      </c>
      <c r="U2719" s="10">
        <v>17.02</v>
      </c>
      <c r="V2719" s="10">
        <v>55.735999999999997</v>
      </c>
      <c r="W2719" s="10">
        <v>-25.031000000000002</v>
      </c>
      <c r="X2719" s="10">
        <f t="shared" si="2542"/>
        <v>30.704999999999995</v>
      </c>
      <c r="Y2719" s="10">
        <f t="shared" si="2543"/>
        <v>5.7742705047027236</v>
      </c>
      <c r="Z2719" s="10">
        <f t="shared" si="2544"/>
        <v>17.223407209885028</v>
      </c>
      <c r="AA2719" s="10">
        <f t="shared" si="2545"/>
        <v>5.2594802409976174</v>
      </c>
      <c r="AB2719" s="10">
        <f t="shared" si="2546"/>
        <v>5.2812139916135123</v>
      </c>
      <c r="AC2719" s="10">
        <f t="shared" si="2547"/>
        <v>10.271286469457271</v>
      </c>
      <c r="AD2719" s="10">
        <f t="shared" si="2548"/>
        <v>12.40165552117319</v>
      </c>
      <c r="AE2719" s="10">
        <f t="shared" si="2549"/>
        <v>8.7318479307032479</v>
      </c>
      <c r="AF2719" s="1" t="s">
        <v>3103</v>
      </c>
    </row>
    <row r="2720" spans="1:32" x14ac:dyDescent="0.2">
      <c r="A2720" s="1" t="s">
        <v>3054</v>
      </c>
      <c r="B2720" s="1" t="s">
        <v>30</v>
      </c>
      <c r="C2720" s="1" t="s">
        <v>3105</v>
      </c>
      <c r="D2720" s="1" t="s">
        <v>1813</v>
      </c>
      <c r="E2720" s="1" t="s">
        <v>3101</v>
      </c>
      <c r="F2720" s="1" t="s">
        <v>3102</v>
      </c>
      <c r="G2720" s="4">
        <f>8599377/259151342</f>
        <v>3.3182838003594055E-2</v>
      </c>
      <c r="H2720" s="28">
        <v>41639</v>
      </c>
      <c r="I2720" s="29">
        <f t="shared" si="2599"/>
        <v>2013</v>
      </c>
      <c r="J2720" s="1" t="s">
        <v>3054</v>
      </c>
      <c r="K2720" s="1" t="s">
        <v>7</v>
      </c>
      <c r="L2720" s="11" t="str">
        <f t="shared" si="2602"/>
        <v>ДА</v>
      </c>
      <c r="M2720" s="10">
        <f>8599377*30.7/10^6</f>
        <v>264.00087389999999</v>
      </c>
      <c r="N2720" s="10">
        <v>0</v>
      </c>
      <c r="O2720" s="10">
        <v>8.5180000000000007</v>
      </c>
      <c r="P2720" s="10">
        <f t="shared" si="2585"/>
        <v>256.69895983813711</v>
      </c>
      <c r="Q2720" s="10">
        <f t="shared" si="2586"/>
        <v>224.48295983813711</v>
      </c>
      <c r="R2720" s="10">
        <v>39.502000000000002</v>
      </c>
      <c r="S2720" s="10">
        <v>18.691000000000003</v>
      </c>
      <c r="T2720" s="10">
        <v>14.996</v>
      </c>
      <c r="U2720" s="10">
        <v>13.474</v>
      </c>
      <c r="V2720" s="10">
        <v>46.597000000000008</v>
      </c>
      <c r="W2720" s="10">
        <v>-32.215999999999994</v>
      </c>
      <c r="X2720" s="10">
        <f t="shared" si="2542"/>
        <v>14.381000000000014</v>
      </c>
      <c r="Y2720" s="10">
        <f t="shared" si="2543"/>
        <v>6.49837881216488</v>
      </c>
      <c r="Z2720" s="10">
        <f t="shared" si="2544"/>
        <v>19.051429407609998</v>
      </c>
      <c r="AA2720" s="10">
        <f t="shared" si="2545"/>
        <v>5.5089160211631016</v>
      </c>
      <c r="AB2720" s="10">
        <f t="shared" si="2546"/>
        <v>5.6828251693113536</v>
      </c>
      <c r="AC2720" s="10">
        <f t="shared" si="2547"/>
        <v>12.010216673165539</v>
      </c>
      <c r="AD2720" s="10">
        <f t="shared" si="2548"/>
        <v>14.969522528550087</v>
      </c>
      <c r="AE2720" s="10">
        <f t="shared" si="2549"/>
        <v>15.609690552683185</v>
      </c>
      <c r="AF2720" s="1" t="s">
        <v>3104</v>
      </c>
    </row>
    <row r="2721" spans="1:32" x14ac:dyDescent="0.2">
      <c r="A2721" s="1" t="s">
        <v>6579</v>
      </c>
      <c r="B2721" s="1" t="s">
        <v>5</v>
      </c>
      <c r="C2721" s="1" t="s">
        <v>1575</v>
      </c>
      <c r="D2721" s="1" t="s">
        <v>1813</v>
      </c>
      <c r="E2721" s="1" t="s">
        <v>1821</v>
      </c>
      <c r="F2721" s="1" t="s">
        <v>3098</v>
      </c>
      <c r="G2721" s="4">
        <v>1</v>
      </c>
      <c r="H2721" s="28">
        <v>41578</v>
      </c>
      <c r="I2721" s="29">
        <f t="shared" si="2599"/>
        <v>2013</v>
      </c>
      <c r="J2721" s="1" t="s">
        <v>3054</v>
      </c>
      <c r="K2721" s="1" t="s">
        <v>7</v>
      </c>
      <c r="L2721" s="11" t="str">
        <f t="shared" ref="L2721:L2723" si="2603">IF(OR(A2721=J2721,A2721=K2721),"ДА","НЕТ")</f>
        <v>НЕТ</v>
      </c>
      <c r="M2721" s="10">
        <v>11.3</v>
      </c>
      <c r="N2721" s="10">
        <v>0</v>
      </c>
      <c r="O2721" s="10">
        <v>2.577</v>
      </c>
      <c r="P2721" s="10">
        <f t="shared" si="2585"/>
        <v>2.577</v>
      </c>
      <c r="Q2721" s="10">
        <f t="shared" si="2586"/>
        <v>2.6229999999999998</v>
      </c>
      <c r="R2721" s="10" t="s">
        <v>1575</v>
      </c>
      <c r="S2721" s="10" t="s">
        <v>1575</v>
      </c>
      <c r="T2721" s="10" t="s">
        <v>1575</v>
      </c>
      <c r="U2721" s="10" t="s">
        <v>1575</v>
      </c>
      <c r="V2721" s="10">
        <f>2.577-2.14</f>
        <v>0.43699999999999983</v>
      </c>
      <c r="W2721" s="10">
        <f>0.085-0.039</f>
        <v>4.6000000000000006E-2</v>
      </c>
      <c r="X2721" s="10">
        <f t="shared" si="2542"/>
        <v>0.48299999999999982</v>
      </c>
      <c r="Y2721" s="10" t="str">
        <f t="shared" si="2543"/>
        <v>NA</v>
      </c>
      <c r="Z2721" s="10" t="str">
        <f t="shared" si="2544"/>
        <v>NA</v>
      </c>
      <c r="AA2721" s="10">
        <f t="shared" si="2545"/>
        <v>5.8970251716247164</v>
      </c>
      <c r="AB2721" s="10" t="str">
        <f t="shared" si="2546"/>
        <v>NA</v>
      </c>
      <c r="AC2721" s="10" t="str">
        <f t="shared" si="2547"/>
        <v>NA</v>
      </c>
      <c r="AD2721" s="10" t="str">
        <f t="shared" si="2548"/>
        <v>NA</v>
      </c>
      <c r="AE2721" s="10">
        <f t="shared" si="2549"/>
        <v>5.4306418219461712</v>
      </c>
      <c r="AF2721" s="1" t="s">
        <v>3097</v>
      </c>
    </row>
    <row r="2722" spans="1:32" x14ac:dyDescent="0.2">
      <c r="A2722" s="1" t="s">
        <v>6580</v>
      </c>
      <c r="B2722" s="1" t="s">
        <v>5</v>
      </c>
      <c r="C2722" s="1" t="s">
        <v>1575</v>
      </c>
      <c r="D2722" s="1" t="s">
        <v>1582</v>
      </c>
      <c r="E2722" s="1" t="s">
        <v>1587</v>
      </c>
      <c r="F2722" s="1" t="s">
        <v>3112</v>
      </c>
      <c r="G2722" s="4">
        <v>0.25</v>
      </c>
      <c r="H2722" s="28">
        <v>41121</v>
      </c>
      <c r="I2722" s="29">
        <f t="shared" si="2599"/>
        <v>2012</v>
      </c>
      <c r="J2722" s="1" t="s">
        <v>3054</v>
      </c>
      <c r="K2722" s="1" t="s">
        <v>7</v>
      </c>
      <c r="L2722" s="11" t="str">
        <f t="shared" si="2603"/>
        <v>НЕТ</v>
      </c>
      <c r="M2722" s="10">
        <v>0</v>
      </c>
      <c r="N2722" s="10">
        <v>0</v>
      </c>
      <c r="O2722" s="10">
        <v>2.7E-2</v>
      </c>
      <c r="P2722" s="10">
        <f t="shared" si="2585"/>
        <v>0.108</v>
      </c>
      <c r="Q2722" s="10" t="str">
        <f t="shared" si="2586"/>
        <v>NA</v>
      </c>
      <c r="R2722" s="10" t="s">
        <v>1575</v>
      </c>
      <c r="S2722" s="10" t="s">
        <v>1575</v>
      </c>
      <c r="T2722" s="10" t="s">
        <v>1575</v>
      </c>
      <c r="U2722" s="10" t="s">
        <v>1575</v>
      </c>
      <c r="V2722" s="10" t="s">
        <v>1575</v>
      </c>
      <c r="W2722" s="10" t="s">
        <v>1575</v>
      </c>
      <c r="X2722" s="10" t="str">
        <f t="shared" si="2542"/>
        <v>NA</v>
      </c>
      <c r="Y2722" s="10" t="str">
        <f t="shared" si="2543"/>
        <v>NA</v>
      </c>
      <c r="Z2722" s="10" t="str">
        <f t="shared" si="2544"/>
        <v>NA</v>
      </c>
      <c r="AA2722" s="10" t="str">
        <f t="shared" si="2545"/>
        <v>NA</v>
      </c>
      <c r="AB2722" s="10" t="str">
        <f t="shared" si="2546"/>
        <v>NA</v>
      </c>
      <c r="AC2722" s="10" t="str">
        <f t="shared" si="2547"/>
        <v>NA</v>
      </c>
      <c r="AD2722" s="10" t="str">
        <f t="shared" si="2548"/>
        <v>NA</v>
      </c>
      <c r="AE2722" s="10" t="str">
        <f t="shared" si="2549"/>
        <v>NA</v>
      </c>
      <c r="AF2722" s="1" t="s">
        <v>3113</v>
      </c>
    </row>
    <row r="2723" spans="1:32" x14ac:dyDescent="0.2">
      <c r="A2723" s="1" t="s">
        <v>6581</v>
      </c>
      <c r="B2723" s="1" t="s">
        <v>75</v>
      </c>
      <c r="C2723" s="1" t="s">
        <v>1575</v>
      </c>
      <c r="D2723" s="1" t="s">
        <v>1813</v>
      </c>
      <c r="E2723" s="1" t="s">
        <v>3071</v>
      </c>
      <c r="F2723" s="1" t="s">
        <v>3072</v>
      </c>
      <c r="G2723" s="4">
        <v>0.184</v>
      </c>
      <c r="H2723" s="28">
        <v>41121</v>
      </c>
      <c r="I2723" s="29">
        <f t="shared" si="2599"/>
        <v>2012</v>
      </c>
      <c r="J2723" s="1" t="s">
        <v>7</v>
      </c>
      <c r="K2723" s="1" t="s">
        <v>3054</v>
      </c>
      <c r="L2723" s="11" t="str">
        <f t="shared" si="2603"/>
        <v>НЕТ</v>
      </c>
      <c r="M2723" s="10">
        <v>0</v>
      </c>
      <c r="N2723" s="10">
        <v>0</v>
      </c>
      <c r="O2723" s="10">
        <f>0.174+142479*21.807*32.1881/10^9</f>
        <v>0.27400969983591927</v>
      </c>
      <c r="P2723" s="10">
        <f t="shared" si="2585"/>
        <v>1.48918315128217</v>
      </c>
      <c r="Q2723" s="10" t="str">
        <f t="shared" si="2586"/>
        <v>NA</v>
      </c>
      <c r="R2723" s="10" t="s">
        <v>1575</v>
      </c>
      <c r="S2723" s="10" t="s">
        <v>1575</v>
      </c>
      <c r="T2723" s="10" t="s">
        <v>1575</v>
      </c>
      <c r="U2723" s="10" t="s">
        <v>1575</v>
      </c>
      <c r="V2723" s="10" t="s">
        <v>1575</v>
      </c>
      <c r="W2723" s="10" t="s">
        <v>1575</v>
      </c>
      <c r="X2723" s="10" t="str">
        <f t="shared" si="2542"/>
        <v>NA</v>
      </c>
      <c r="Y2723" s="10" t="str">
        <f t="shared" si="2543"/>
        <v>NA</v>
      </c>
      <c r="Z2723" s="10" t="str">
        <f t="shared" si="2544"/>
        <v>NA</v>
      </c>
      <c r="AA2723" s="10" t="str">
        <f t="shared" si="2545"/>
        <v>NA</v>
      </c>
      <c r="AB2723" s="10" t="str">
        <f t="shared" si="2546"/>
        <v>NA</v>
      </c>
      <c r="AC2723" s="10" t="str">
        <f t="shared" si="2547"/>
        <v>NA</v>
      </c>
      <c r="AD2723" s="10" t="str">
        <f t="shared" si="2548"/>
        <v>NA</v>
      </c>
      <c r="AE2723" s="10" t="str">
        <f t="shared" si="2549"/>
        <v>NA</v>
      </c>
      <c r="AF2723" s="1" t="s">
        <v>3111</v>
      </c>
    </row>
    <row r="2724" spans="1:32" x14ac:dyDescent="0.2">
      <c r="A2724" s="1" t="s">
        <v>3116</v>
      </c>
      <c r="B2724" s="1" t="s">
        <v>1575</v>
      </c>
      <c r="C2724" s="1" t="s">
        <v>1575</v>
      </c>
      <c r="D2724" s="1" t="s">
        <v>1813</v>
      </c>
      <c r="E2724" s="1" t="s">
        <v>1971</v>
      </c>
      <c r="F2724" s="1" t="s">
        <v>3117</v>
      </c>
      <c r="G2724" s="4">
        <v>1</v>
      </c>
      <c r="H2724" s="28">
        <v>40877</v>
      </c>
      <c r="I2724" s="29">
        <f t="shared" si="2599"/>
        <v>2011</v>
      </c>
      <c r="J2724" s="1" t="s">
        <v>3054</v>
      </c>
      <c r="K2724" s="1" t="s">
        <v>7</v>
      </c>
      <c r="L2724" s="11" t="str">
        <f t="shared" ref="L2724" si="2604">IF(OR(A2724=J2724,A2724=K2724),"ДА","НЕТ")</f>
        <v>НЕТ</v>
      </c>
      <c r="M2724" s="10">
        <f>24.3+7.1</f>
        <v>31.4</v>
      </c>
      <c r="N2724" s="10">
        <v>0</v>
      </c>
      <c r="O2724" s="10">
        <f>0.745+0.216</f>
        <v>0.96099999999999997</v>
      </c>
      <c r="P2724" s="10">
        <f t="shared" si="2585"/>
        <v>0.96099999999999997</v>
      </c>
      <c r="Q2724" s="10">
        <f t="shared" si="2586"/>
        <v>1.079</v>
      </c>
      <c r="R2724" s="10" t="s">
        <v>1575</v>
      </c>
      <c r="S2724" s="10" t="s">
        <v>1575</v>
      </c>
      <c r="T2724" s="10" t="s">
        <v>1575</v>
      </c>
      <c r="U2724" s="10" t="s">
        <v>1575</v>
      </c>
      <c r="V2724" s="10">
        <f>0.745-0.47</f>
        <v>0.27500000000000002</v>
      </c>
      <c r="W2724" s="10">
        <f>0.081+0.047-0.01</f>
        <v>0.11800000000000001</v>
      </c>
      <c r="X2724" s="10">
        <f t="shared" si="2542"/>
        <v>0.39300000000000002</v>
      </c>
      <c r="Y2724" s="10" t="str">
        <f t="shared" si="2543"/>
        <v>NA</v>
      </c>
      <c r="Z2724" s="10" t="str">
        <f t="shared" si="2544"/>
        <v>NA</v>
      </c>
      <c r="AA2724" s="10">
        <f t="shared" si="2545"/>
        <v>3.4945454545454542</v>
      </c>
      <c r="AB2724" s="10" t="str">
        <f t="shared" si="2546"/>
        <v>NA</v>
      </c>
      <c r="AC2724" s="10" t="str">
        <f t="shared" si="2547"/>
        <v>NA</v>
      </c>
      <c r="AD2724" s="10" t="str">
        <f t="shared" si="2548"/>
        <v>NA</v>
      </c>
      <c r="AE2724" s="10">
        <f t="shared" si="2549"/>
        <v>2.7455470737913483</v>
      </c>
      <c r="AF2724" s="1" t="s">
        <v>3114</v>
      </c>
    </row>
    <row r="2725" spans="1:32" x14ac:dyDescent="0.2">
      <c r="A2725" s="1" t="s">
        <v>6582</v>
      </c>
      <c r="B2725" s="1" t="s">
        <v>75</v>
      </c>
      <c r="C2725" s="1" t="s">
        <v>1575</v>
      </c>
      <c r="D2725" s="1" t="s">
        <v>1813</v>
      </c>
      <c r="E2725" s="1" t="s">
        <v>9365</v>
      </c>
      <c r="F2725" s="1" t="s">
        <v>3118</v>
      </c>
      <c r="G2725" s="4">
        <v>9.7500000000000003E-2</v>
      </c>
      <c r="H2725" s="28">
        <v>40786</v>
      </c>
      <c r="I2725" s="29">
        <f t="shared" si="2599"/>
        <v>2011</v>
      </c>
      <c r="J2725" s="1" t="s">
        <v>3054</v>
      </c>
      <c r="K2725" s="1" t="s">
        <v>7</v>
      </c>
      <c r="L2725" s="11" t="str">
        <f t="shared" ref="L2725" si="2605">IF(OR(A2725=J2725,A2725=K2725),"ДА","НЕТ")</f>
        <v>НЕТ</v>
      </c>
      <c r="M2725" s="10">
        <v>15</v>
      </c>
      <c r="N2725" s="10">
        <v>0</v>
      </c>
      <c r="O2725" s="10">
        <v>0.47799999999999998</v>
      </c>
      <c r="P2725" s="10">
        <f t="shared" si="2585"/>
        <v>4.902564102564102</v>
      </c>
      <c r="Q2725" s="10" t="str">
        <f t="shared" si="2586"/>
        <v>NA</v>
      </c>
      <c r="R2725" s="10" t="s">
        <v>1575</v>
      </c>
      <c r="S2725" s="10" t="s">
        <v>1575</v>
      </c>
      <c r="T2725" s="10" t="s">
        <v>1575</v>
      </c>
      <c r="U2725" s="10" t="s">
        <v>1575</v>
      </c>
      <c r="V2725" s="10" t="s">
        <v>1575</v>
      </c>
      <c r="W2725" s="10" t="s">
        <v>1575</v>
      </c>
      <c r="X2725" s="10" t="str">
        <f t="shared" si="2542"/>
        <v>NA</v>
      </c>
      <c r="Y2725" s="10" t="str">
        <f t="shared" si="2543"/>
        <v>NA</v>
      </c>
      <c r="Z2725" s="10" t="str">
        <f t="shared" si="2544"/>
        <v>NA</v>
      </c>
      <c r="AA2725" s="10" t="str">
        <f t="shared" si="2545"/>
        <v>NA</v>
      </c>
      <c r="AB2725" s="10" t="str">
        <f t="shared" si="2546"/>
        <v>NA</v>
      </c>
      <c r="AC2725" s="10" t="str">
        <f t="shared" si="2547"/>
        <v>NA</v>
      </c>
      <c r="AD2725" s="10" t="str">
        <f t="shared" si="2548"/>
        <v>NA</v>
      </c>
      <c r="AE2725" s="10" t="str">
        <f t="shared" si="2549"/>
        <v>NA</v>
      </c>
      <c r="AF2725" s="1" t="s">
        <v>3115</v>
      </c>
    </row>
    <row r="2726" spans="1:32" x14ac:dyDescent="0.2">
      <c r="A2726" s="1" t="s">
        <v>6583</v>
      </c>
      <c r="B2726" s="1" t="s">
        <v>5</v>
      </c>
      <c r="C2726" s="1" t="s">
        <v>1575</v>
      </c>
      <c r="D2726" s="1" t="s">
        <v>1813</v>
      </c>
      <c r="E2726" s="1" t="s">
        <v>1587</v>
      </c>
      <c r="F2726" s="1" t="s">
        <v>3121</v>
      </c>
      <c r="G2726" s="4">
        <v>1</v>
      </c>
      <c r="H2726" s="28">
        <v>40389</v>
      </c>
      <c r="I2726" s="29">
        <f t="shared" si="2599"/>
        <v>2010</v>
      </c>
      <c r="J2726" s="1" t="s">
        <v>3054</v>
      </c>
      <c r="K2726" s="1" t="s">
        <v>7</v>
      </c>
      <c r="L2726" s="11" t="str">
        <f t="shared" ref="L2726:L2728" si="2606">IF(OR(A2726=J2726,A2726=K2726),"ДА","НЕТ")</f>
        <v>НЕТ</v>
      </c>
      <c r="M2726" s="10">
        <v>0</v>
      </c>
      <c r="N2726" s="10">
        <v>0</v>
      </c>
      <c r="O2726" s="10">
        <v>0.14299999999999999</v>
      </c>
      <c r="P2726" s="10">
        <f t="shared" si="2585"/>
        <v>0.14299999999999999</v>
      </c>
      <c r="Q2726" s="10">
        <f t="shared" si="2586"/>
        <v>0.16299999999999998</v>
      </c>
      <c r="R2726" s="10" t="s">
        <v>1575</v>
      </c>
      <c r="S2726" s="10" t="s">
        <v>1575</v>
      </c>
      <c r="T2726" s="10" t="s">
        <v>1575</v>
      </c>
      <c r="U2726" s="10" t="s">
        <v>1575</v>
      </c>
      <c r="V2726" s="10">
        <f>0.143-0.062</f>
        <v>8.0999999999999989E-2</v>
      </c>
      <c r="W2726" s="10">
        <f>0.02</f>
        <v>0.02</v>
      </c>
      <c r="X2726" s="10">
        <f t="shared" si="2542"/>
        <v>0.10099999999999999</v>
      </c>
      <c r="Y2726" s="10" t="str">
        <f t="shared" si="2543"/>
        <v>NA</v>
      </c>
      <c r="Z2726" s="10" t="str">
        <f t="shared" si="2544"/>
        <v>NA</v>
      </c>
      <c r="AA2726" s="10">
        <f t="shared" si="2545"/>
        <v>1.7654320987654322</v>
      </c>
      <c r="AB2726" s="10" t="str">
        <f t="shared" si="2546"/>
        <v>NA</v>
      </c>
      <c r="AC2726" s="10" t="str">
        <f t="shared" si="2547"/>
        <v>NA</v>
      </c>
      <c r="AD2726" s="10" t="str">
        <f t="shared" si="2548"/>
        <v>NA</v>
      </c>
      <c r="AE2726" s="10">
        <f t="shared" si="2549"/>
        <v>1.6138613861386137</v>
      </c>
      <c r="AF2726" s="1" t="s">
        <v>3119</v>
      </c>
    </row>
    <row r="2727" spans="1:32" x14ac:dyDescent="0.2">
      <c r="A2727" s="1" t="s">
        <v>6581</v>
      </c>
      <c r="B2727" s="1" t="s">
        <v>75</v>
      </c>
      <c r="C2727" s="1" t="s">
        <v>1575</v>
      </c>
      <c r="D2727" s="1" t="s">
        <v>1813</v>
      </c>
      <c r="E2727" s="1" t="s">
        <v>3071</v>
      </c>
      <c r="F2727" s="1" t="s">
        <v>3072</v>
      </c>
      <c r="G2727" s="4">
        <v>0.184</v>
      </c>
      <c r="H2727" s="28">
        <v>40421</v>
      </c>
      <c r="I2727" s="29">
        <f t="shared" si="2599"/>
        <v>2010</v>
      </c>
      <c r="J2727" s="1" t="s">
        <v>3054</v>
      </c>
      <c r="K2727" s="1" t="s">
        <v>7</v>
      </c>
      <c r="L2727" s="11" t="str">
        <f t="shared" si="2606"/>
        <v>НЕТ</v>
      </c>
      <c r="M2727" s="10">
        <v>3</v>
      </c>
      <c r="N2727" s="10">
        <v>0</v>
      </c>
      <c r="O2727" s="10">
        <v>9.1999999999999998E-2</v>
      </c>
      <c r="P2727" s="10">
        <f t="shared" si="2585"/>
        <v>0.5</v>
      </c>
      <c r="Q2727" s="10" t="str">
        <f t="shared" si="2586"/>
        <v>NA</v>
      </c>
      <c r="R2727" s="10" t="s">
        <v>1575</v>
      </c>
      <c r="S2727" s="10" t="s">
        <v>1575</v>
      </c>
      <c r="T2727" s="10" t="s">
        <v>1575</v>
      </c>
      <c r="U2727" s="10" t="s">
        <v>1575</v>
      </c>
      <c r="V2727" s="10" t="s">
        <v>1575</v>
      </c>
      <c r="W2727" s="10" t="s">
        <v>1575</v>
      </c>
      <c r="X2727" s="10" t="str">
        <f t="shared" si="2542"/>
        <v>NA</v>
      </c>
      <c r="Y2727" s="10" t="str">
        <f t="shared" si="2543"/>
        <v>NA</v>
      </c>
      <c r="Z2727" s="10" t="str">
        <f t="shared" si="2544"/>
        <v>NA</v>
      </c>
      <c r="AA2727" s="10" t="str">
        <f t="shared" si="2545"/>
        <v>NA</v>
      </c>
      <c r="AB2727" s="10" t="str">
        <f t="shared" si="2546"/>
        <v>NA</v>
      </c>
      <c r="AC2727" s="10" t="str">
        <f t="shared" si="2547"/>
        <v>NA</v>
      </c>
      <c r="AD2727" s="10" t="str">
        <f t="shared" si="2548"/>
        <v>NA</v>
      </c>
      <c r="AE2727" s="10" t="str">
        <f t="shared" si="2549"/>
        <v>NA</v>
      </c>
      <c r="AF2727" s="1" t="s">
        <v>3120</v>
      </c>
    </row>
    <row r="2728" spans="1:32" x14ac:dyDescent="0.2">
      <c r="A2728" s="1" t="s">
        <v>6584</v>
      </c>
      <c r="B2728" s="1" t="s">
        <v>5</v>
      </c>
      <c r="C2728" s="1" t="s">
        <v>1575</v>
      </c>
      <c r="D2728" s="1" t="s">
        <v>1582</v>
      </c>
      <c r="E2728" s="1" t="s">
        <v>2010</v>
      </c>
      <c r="F2728" s="1" t="s">
        <v>3123</v>
      </c>
      <c r="G2728" s="4">
        <v>0.99990000000000001</v>
      </c>
      <c r="H2728" s="28">
        <v>39844</v>
      </c>
      <c r="I2728" s="29">
        <f t="shared" si="2599"/>
        <v>2009</v>
      </c>
      <c r="J2728" s="1" t="s">
        <v>3054</v>
      </c>
      <c r="K2728" s="1" t="s">
        <v>7</v>
      </c>
      <c r="L2728" s="11" t="str">
        <f t="shared" si="2606"/>
        <v>НЕТ</v>
      </c>
      <c r="M2728" s="10">
        <v>0</v>
      </c>
      <c r="N2728" s="10">
        <v>0</v>
      </c>
      <c r="O2728" s="10">
        <v>8.5000000000000006E-2</v>
      </c>
      <c r="P2728" s="10">
        <f t="shared" si="2585"/>
        <v>8.5008500850085017E-2</v>
      </c>
      <c r="Q2728" s="10">
        <f t="shared" si="2586"/>
        <v>9.1008500850085022E-2</v>
      </c>
      <c r="R2728" s="10" t="s">
        <v>1575</v>
      </c>
      <c r="S2728" s="10" t="s">
        <v>1575</v>
      </c>
      <c r="T2728" s="10" t="s">
        <v>1575</v>
      </c>
      <c r="U2728" s="10" t="s">
        <v>1575</v>
      </c>
      <c r="V2728" s="10">
        <f>0.085-0.06</f>
        <v>2.5000000000000008E-2</v>
      </c>
      <c r="W2728" s="10">
        <f>0.006</f>
        <v>6.0000000000000001E-3</v>
      </c>
      <c r="X2728" s="10">
        <f t="shared" si="2542"/>
        <v>3.1000000000000007E-2</v>
      </c>
      <c r="Y2728" s="10" t="str">
        <f t="shared" si="2543"/>
        <v>NA</v>
      </c>
      <c r="Z2728" s="10" t="str">
        <f t="shared" si="2544"/>
        <v>NA</v>
      </c>
      <c r="AA2728" s="10">
        <f t="shared" si="2545"/>
        <v>3.4003400340033996</v>
      </c>
      <c r="AB2728" s="10" t="str">
        <f t="shared" si="2546"/>
        <v>NA</v>
      </c>
      <c r="AC2728" s="10" t="str">
        <f t="shared" si="2547"/>
        <v>NA</v>
      </c>
      <c r="AD2728" s="10" t="str">
        <f t="shared" si="2548"/>
        <v>NA</v>
      </c>
      <c r="AE2728" s="10">
        <f t="shared" si="2549"/>
        <v>2.9357580919382258</v>
      </c>
      <c r="AF2728" s="1" t="s">
        <v>3122</v>
      </c>
    </row>
    <row r="2729" spans="1:32" x14ac:dyDescent="0.2">
      <c r="A2729" s="1" t="s">
        <v>6585</v>
      </c>
      <c r="B2729" s="1" t="s">
        <v>5</v>
      </c>
      <c r="C2729" s="1" t="s">
        <v>1575</v>
      </c>
      <c r="D2729" s="1" t="s">
        <v>1580</v>
      </c>
      <c r="E2729" s="1" t="s">
        <v>1827</v>
      </c>
      <c r="F2729" s="1" t="s">
        <v>2281</v>
      </c>
      <c r="G2729" s="4">
        <v>0.25</v>
      </c>
      <c r="H2729" s="28">
        <v>45291</v>
      </c>
      <c r="I2729" s="29">
        <f t="shared" si="2599"/>
        <v>2023</v>
      </c>
      <c r="J2729" s="1" t="s">
        <v>3202</v>
      </c>
      <c r="K2729" s="1" t="s">
        <v>7</v>
      </c>
      <c r="L2729" s="11" t="str">
        <f t="shared" ref="L2729" si="2607">IF(OR(A2729=J2729,A2729=K2729),"ДА","НЕТ")</f>
        <v>НЕТ</v>
      </c>
      <c r="M2729" s="10">
        <v>0</v>
      </c>
      <c r="N2729" s="10">
        <v>0</v>
      </c>
      <c r="O2729" s="10">
        <v>11.625</v>
      </c>
      <c r="P2729" s="10">
        <f t="shared" si="2585"/>
        <v>46.5</v>
      </c>
      <c r="Q2729" s="10">
        <f t="shared" si="2586"/>
        <v>34.521000000000015</v>
      </c>
      <c r="R2729" s="10">
        <v>10.368</v>
      </c>
      <c r="S2729" s="10" t="s">
        <v>1575</v>
      </c>
      <c r="T2729" s="10">
        <f>10.368-5.59-0.548</f>
        <v>4.2300000000000004</v>
      </c>
      <c r="U2729" s="10">
        <v>2.2109999999999999</v>
      </c>
      <c r="V2729" s="10">
        <v>31.86</v>
      </c>
      <c r="W2729" s="10">
        <f>242.972+3.812+0.174-258.937</f>
        <v>-11.978999999999985</v>
      </c>
      <c r="X2729" s="10">
        <f t="shared" si="2542"/>
        <v>19.881000000000014</v>
      </c>
      <c r="Y2729" s="10">
        <f t="shared" si="2543"/>
        <v>4.4849537037037033</v>
      </c>
      <c r="Z2729" s="10">
        <f t="shared" si="2544"/>
        <v>21.031207598371779</v>
      </c>
      <c r="AA2729" s="10">
        <f t="shared" si="2545"/>
        <v>1.4595103578154427</v>
      </c>
      <c r="AB2729" s="10">
        <f t="shared" si="2546"/>
        <v>3.3295717592592604</v>
      </c>
      <c r="AC2729" s="10" t="str">
        <f t="shared" si="2547"/>
        <v>NA</v>
      </c>
      <c r="AD2729" s="10">
        <f t="shared" si="2548"/>
        <v>8.1609929078014218</v>
      </c>
      <c r="AE2729" s="10">
        <f t="shared" si="2549"/>
        <v>1.7363814697449822</v>
      </c>
      <c r="AF2729" s="1" t="s">
        <v>3209</v>
      </c>
    </row>
    <row r="2730" spans="1:32" x14ac:dyDescent="0.2">
      <c r="A2730" s="1" t="s">
        <v>6586</v>
      </c>
      <c r="B2730" s="1" t="s">
        <v>5</v>
      </c>
      <c r="C2730" s="1" t="s">
        <v>1575</v>
      </c>
      <c r="D2730" s="1" t="s">
        <v>1813</v>
      </c>
      <c r="E2730" s="1" t="s">
        <v>2909</v>
      </c>
      <c r="F2730" s="1" t="s">
        <v>3212</v>
      </c>
      <c r="G2730" s="4">
        <v>0.75</v>
      </c>
      <c r="H2730" s="28">
        <v>45016</v>
      </c>
      <c r="I2730" s="29">
        <f t="shared" si="2599"/>
        <v>2023</v>
      </c>
      <c r="J2730" s="1" t="s">
        <v>3202</v>
      </c>
      <c r="K2730" s="1" t="s">
        <v>7</v>
      </c>
      <c r="L2730" s="11" t="str">
        <f t="shared" ref="L2730:L2735" si="2608">IF(OR(A2730=J2730,A2730=K2730),"ДА","НЕТ")</f>
        <v>НЕТ</v>
      </c>
      <c r="M2730" s="10">
        <v>0</v>
      </c>
      <c r="N2730" s="10">
        <v>0</v>
      </c>
      <c r="O2730" s="10">
        <v>8.11</v>
      </c>
      <c r="P2730" s="10">
        <f t="shared" si="2585"/>
        <v>10.813333333333333</v>
      </c>
      <c r="Q2730" s="10">
        <f t="shared" si="2586"/>
        <v>9.9433333333333334</v>
      </c>
      <c r="R2730" s="10">
        <v>4.3570000000000002</v>
      </c>
      <c r="S2730" s="10" t="s">
        <v>1575</v>
      </c>
      <c r="T2730" s="10">
        <f>R2730-2.965</f>
        <v>1.3920000000000003</v>
      </c>
      <c r="U2730" s="10">
        <v>-0.28299999999999997</v>
      </c>
      <c r="V2730" s="10">
        <v>2.7280000000000002</v>
      </c>
      <c r="W2730" s="10">
        <f>0.507-1.377</f>
        <v>-0.87</v>
      </c>
      <c r="X2730" s="10">
        <f t="shared" si="2542"/>
        <v>1.8580000000000001</v>
      </c>
      <c r="Y2730" s="10">
        <f t="shared" si="2543"/>
        <v>2.4818300053553664</v>
      </c>
      <c r="Z2730" s="10">
        <f t="shared" si="2544"/>
        <v>-38.209658421672557</v>
      </c>
      <c r="AA2730" s="10">
        <f t="shared" si="2545"/>
        <v>3.9638318670576731</v>
      </c>
      <c r="AB2730" s="10">
        <f t="shared" si="2546"/>
        <v>2.2821513273659244</v>
      </c>
      <c r="AC2730" s="10" t="str">
        <f t="shared" si="2547"/>
        <v>NA</v>
      </c>
      <c r="AD2730" s="10">
        <f t="shared" si="2548"/>
        <v>7.1431992337164729</v>
      </c>
      <c r="AE2730" s="10">
        <f t="shared" si="2549"/>
        <v>5.3516325798349476</v>
      </c>
      <c r="AF2730" s="1" t="s">
        <v>3213</v>
      </c>
    </row>
    <row r="2731" spans="1:32" x14ac:dyDescent="0.2">
      <c r="A2731" s="1" t="s">
        <v>6587</v>
      </c>
      <c r="B2731" s="1" t="s">
        <v>5</v>
      </c>
      <c r="C2731" s="1" t="s">
        <v>1575</v>
      </c>
      <c r="D2731" s="1" t="s">
        <v>1813</v>
      </c>
      <c r="E2731" s="1" t="s">
        <v>3214</v>
      </c>
      <c r="F2731" s="1" t="s">
        <v>3215</v>
      </c>
      <c r="G2731" s="4" t="s">
        <v>11</v>
      </c>
      <c r="H2731" s="28">
        <v>45016</v>
      </c>
      <c r="I2731" s="29">
        <f t="shared" si="2599"/>
        <v>2023</v>
      </c>
      <c r="J2731" s="1" t="s">
        <v>3202</v>
      </c>
      <c r="K2731" s="1" t="s">
        <v>7</v>
      </c>
      <c r="L2731" s="11" t="str">
        <f t="shared" si="2608"/>
        <v>НЕТ</v>
      </c>
      <c r="M2731" s="10">
        <v>0</v>
      </c>
      <c r="N2731" s="10">
        <v>0</v>
      </c>
      <c r="O2731" s="10" t="s">
        <v>1575</v>
      </c>
      <c r="P2731" s="10" t="str">
        <f t="shared" si="2585"/>
        <v>NA</v>
      </c>
      <c r="Q2731" s="10" t="str">
        <f t="shared" si="2586"/>
        <v>NA</v>
      </c>
      <c r="R2731" s="10" t="s">
        <v>1575</v>
      </c>
      <c r="S2731" s="10" t="s">
        <v>1575</v>
      </c>
      <c r="T2731" s="10" t="s">
        <v>1575</v>
      </c>
      <c r="U2731" s="10" t="s">
        <v>1575</v>
      </c>
      <c r="V2731" s="10" t="s">
        <v>1575</v>
      </c>
      <c r="W2731" s="10" t="s">
        <v>1575</v>
      </c>
      <c r="X2731" s="10" t="str">
        <f t="shared" ref="X2731:X2794" si="2609">IFERROR(V2731+W2731,"NA")</f>
        <v>NA</v>
      </c>
      <c r="Y2731" s="10" t="str">
        <f t="shared" ref="Y2731:Y2794" si="2610">IFERROR(P2731/R2731,"NA")</f>
        <v>NA</v>
      </c>
      <c r="Z2731" s="10" t="str">
        <f t="shared" ref="Z2731:Z2794" si="2611">IFERROR(P2731/U2731,"NA")</f>
        <v>NA</v>
      </c>
      <c r="AA2731" s="10" t="str">
        <f t="shared" ref="AA2731:AA2794" si="2612">IFERROR(P2731/V2731,"NA")</f>
        <v>NA</v>
      </c>
      <c r="AB2731" s="10" t="str">
        <f t="shared" ref="AB2731:AB2794" si="2613">IFERROR(Q2731/R2731,"NA")</f>
        <v>NA</v>
      </c>
      <c r="AC2731" s="10" t="str">
        <f t="shared" ref="AC2731:AC2794" si="2614">IFERROR(Q2731/S2731,"NA")</f>
        <v>NA</v>
      </c>
      <c r="AD2731" s="10" t="str">
        <f t="shared" ref="AD2731:AD2794" si="2615">IFERROR(Q2731/T2731,"NA")</f>
        <v>NA</v>
      </c>
      <c r="AE2731" s="10" t="str">
        <f t="shared" ref="AE2731:AE2794" si="2616">IFERROR(Q2731/X2731,"NA")</f>
        <v>NA</v>
      </c>
      <c r="AF2731" s="1" t="s">
        <v>3217</v>
      </c>
    </row>
    <row r="2732" spans="1:32" x14ac:dyDescent="0.2">
      <c r="A2732" s="1" t="s">
        <v>6588</v>
      </c>
      <c r="B2732" s="1" t="s">
        <v>5</v>
      </c>
      <c r="C2732" s="1" t="s">
        <v>1575</v>
      </c>
      <c r="D2732" s="1" t="s">
        <v>1813</v>
      </c>
      <c r="E2732" s="1" t="s">
        <v>2909</v>
      </c>
      <c r="F2732" s="1" t="s">
        <v>3212</v>
      </c>
      <c r="G2732" s="4">
        <v>0.49409999999999998</v>
      </c>
      <c r="H2732" s="28">
        <v>45016</v>
      </c>
      <c r="I2732" s="29">
        <f t="shared" si="2599"/>
        <v>2023</v>
      </c>
      <c r="J2732" s="1" t="s">
        <v>3202</v>
      </c>
      <c r="K2732" s="1" t="s">
        <v>7</v>
      </c>
      <c r="L2732" s="11" t="str">
        <f t="shared" si="2608"/>
        <v>НЕТ</v>
      </c>
      <c r="M2732" s="10">
        <v>0</v>
      </c>
      <c r="N2732" s="10">
        <v>0</v>
      </c>
      <c r="O2732" s="10">
        <v>0.27</v>
      </c>
      <c r="P2732" s="10">
        <f t="shared" si="2585"/>
        <v>0.54644808743169404</v>
      </c>
      <c r="Q2732" s="10">
        <f t="shared" si="2586"/>
        <v>0.47844808743169404</v>
      </c>
      <c r="R2732" s="10" t="s">
        <v>1575</v>
      </c>
      <c r="S2732" s="10" t="s">
        <v>1575</v>
      </c>
      <c r="T2732" s="10" t="s">
        <v>1575</v>
      </c>
      <c r="U2732" s="10" t="s">
        <v>1575</v>
      </c>
      <c r="V2732" s="10">
        <v>0.27200000000000002</v>
      </c>
      <c r="W2732" s="10">
        <v>-6.8000000000000005E-2</v>
      </c>
      <c r="X2732" s="10">
        <f t="shared" si="2609"/>
        <v>0.20400000000000001</v>
      </c>
      <c r="Y2732" s="10" t="str">
        <f t="shared" si="2610"/>
        <v>NA</v>
      </c>
      <c r="Z2732" s="10" t="str">
        <f t="shared" si="2611"/>
        <v>NA</v>
      </c>
      <c r="AA2732" s="10">
        <f t="shared" si="2612"/>
        <v>2.0090003214400514</v>
      </c>
      <c r="AB2732" s="10" t="str">
        <f t="shared" si="2613"/>
        <v>NA</v>
      </c>
      <c r="AC2732" s="10" t="str">
        <f t="shared" si="2614"/>
        <v>NA</v>
      </c>
      <c r="AD2732" s="10" t="str">
        <f t="shared" si="2615"/>
        <v>NA</v>
      </c>
      <c r="AE2732" s="10">
        <f t="shared" si="2616"/>
        <v>2.3453337619200685</v>
      </c>
      <c r="AF2732" s="1" t="s">
        <v>3216</v>
      </c>
    </row>
    <row r="2733" spans="1:32" x14ac:dyDescent="0.2">
      <c r="A2733" s="1" t="s">
        <v>6589</v>
      </c>
      <c r="B2733" s="1" t="s">
        <v>5</v>
      </c>
      <c r="C2733" s="1" t="s">
        <v>1575</v>
      </c>
      <c r="D2733" s="1" t="s">
        <v>1813</v>
      </c>
      <c r="E2733" s="1" t="s">
        <v>1971</v>
      </c>
      <c r="F2733" s="1" t="s">
        <v>3211</v>
      </c>
      <c r="G2733" s="4">
        <v>0.51</v>
      </c>
      <c r="H2733" s="28">
        <v>45199</v>
      </c>
      <c r="I2733" s="29">
        <f t="shared" si="2599"/>
        <v>2023</v>
      </c>
      <c r="J2733" s="1" t="s">
        <v>3202</v>
      </c>
      <c r="K2733" s="1" t="s">
        <v>7</v>
      </c>
      <c r="L2733" s="11" t="str">
        <f t="shared" si="2608"/>
        <v>НЕТ</v>
      </c>
      <c r="M2733" s="10">
        <v>0</v>
      </c>
      <c r="N2733" s="10">
        <v>0</v>
      </c>
      <c r="O2733" s="10">
        <v>7.4999999999999997E-2</v>
      </c>
      <c r="P2733" s="10">
        <f t="shared" si="2585"/>
        <v>0.14705882352941177</v>
      </c>
      <c r="Q2733" s="10">
        <f t="shared" si="2586"/>
        <v>7.8058823529411764E-2</v>
      </c>
      <c r="R2733" s="10" t="s">
        <v>1575</v>
      </c>
      <c r="S2733" s="10" t="s">
        <v>1575</v>
      </c>
      <c r="T2733" s="10" t="s">
        <v>1575</v>
      </c>
      <c r="U2733" s="10" t="s">
        <v>1575</v>
      </c>
      <c r="V2733" s="10">
        <v>5.5E-2</v>
      </c>
      <c r="W2733" s="10">
        <v>-6.9000000000000006E-2</v>
      </c>
      <c r="X2733" s="10">
        <f t="shared" si="2609"/>
        <v>-1.4000000000000005E-2</v>
      </c>
      <c r="Y2733" s="10" t="str">
        <f t="shared" si="2610"/>
        <v>NA</v>
      </c>
      <c r="Z2733" s="10" t="str">
        <f t="shared" si="2611"/>
        <v>NA</v>
      </c>
      <c r="AA2733" s="10">
        <f t="shared" si="2612"/>
        <v>2.6737967914438503</v>
      </c>
      <c r="AB2733" s="10" t="str">
        <f t="shared" si="2613"/>
        <v>NA</v>
      </c>
      <c r="AC2733" s="10" t="str">
        <f t="shared" si="2614"/>
        <v>NA</v>
      </c>
      <c r="AD2733" s="10" t="str">
        <f t="shared" si="2615"/>
        <v>NA</v>
      </c>
      <c r="AE2733" s="10">
        <f t="shared" si="2616"/>
        <v>-5.5756302521008383</v>
      </c>
      <c r="AF2733" s="1" t="s">
        <v>3218</v>
      </c>
    </row>
    <row r="2734" spans="1:32" x14ac:dyDescent="0.2">
      <c r="A2734" s="1" t="s">
        <v>6590</v>
      </c>
      <c r="B2734" s="1" t="s">
        <v>5</v>
      </c>
      <c r="C2734" s="1" t="s">
        <v>1575</v>
      </c>
      <c r="D2734" s="1" t="s">
        <v>1813</v>
      </c>
      <c r="E2734" s="1" t="s">
        <v>2909</v>
      </c>
      <c r="F2734" s="1" t="s">
        <v>3212</v>
      </c>
      <c r="G2734" s="4">
        <f>85.97%-60.67%</f>
        <v>0.253</v>
      </c>
      <c r="H2734" s="28">
        <v>45199</v>
      </c>
      <c r="I2734" s="29">
        <f t="shared" si="2599"/>
        <v>2023</v>
      </c>
      <c r="J2734" s="1" t="s">
        <v>3202</v>
      </c>
      <c r="K2734" s="1" t="s">
        <v>7</v>
      </c>
      <c r="L2734" s="11" t="str">
        <f t="shared" si="2608"/>
        <v>НЕТ</v>
      </c>
      <c r="M2734" s="10">
        <v>0</v>
      </c>
      <c r="N2734" s="10">
        <v>0</v>
      </c>
      <c r="O2734" s="10">
        <f>0.637+0.07</f>
        <v>0.70700000000000007</v>
      </c>
      <c r="P2734" s="10">
        <f t="shared" si="2585"/>
        <v>2.7944664031620556</v>
      </c>
      <c r="Q2734" s="10">
        <f t="shared" si="2586"/>
        <v>2.4234664031620556</v>
      </c>
      <c r="R2734" s="10" t="s">
        <v>1575</v>
      </c>
      <c r="S2734" s="10" t="s">
        <v>1575</v>
      </c>
      <c r="T2734" s="10" t="s">
        <v>1575</v>
      </c>
      <c r="U2734" s="10" t="s">
        <v>1575</v>
      </c>
      <c r="V2734" s="10">
        <v>0.33900000000000002</v>
      </c>
      <c r="W2734" s="10">
        <v>-0.371</v>
      </c>
      <c r="X2734" s="10">
        <f t="shared" si="2609"/>
        <v>-3.1999999999999973E-2</v>
      </c>
      <c r="Y2734" s="10" t="str">
        <f t="shared" si="2610"/>
        <v>NA</v>
      </c>
      <c r="Z2734" s="10" t="str">
        <f t="shared" si="2611"/>
        <v>NA</v>
      </c>
      <c r="AA2734" s="10">
        <f t="shared" si="2612"/>
        <v>8.2432637261417572</v>
      </c>
      <c r="AB2734" s="10" t="str">
        <f t="shared" si="2613"/>
        <v>NA</v>
      </c>
      <c r="AC2734" s="10" t="str">
        <f t="shared" si="2614"/>
        <v>NA</v>
      </c>
      <c r="AD2734" s="10" t="str">
        <f t="shared" si="2615"/>
        <v>NA</v>
      </c>
      <c r="AE2734" s="10">
        <f t="shared" si="2616"/>
        <v>-75.733325098814305</v>
      </c>
      <c r="AF2734" s="1" t="s">
        <v>3219</v>
      </c>
    </row>
    <row r="2735" spans="1:32" x14ac:dyDescent="0.2">
      <c r="A2735" s="1" t="s">
        <v>6591</v>
      </c>
      <c r="B2735" s="1" t="s">
        <v>5</v>
      </c>
      <c r="C2735" s="1" t="s">
        <v>1575</v>
      </c>
      <c r="D2735" s="1" t="s">
        <v>1813</v>
      </c>
      <c r="E2735" s="1" t="s">
        <v>1587</v>
      </c>
      <c r="F2735" s="1" t="s">
        <v>3222</v>
      </c>
      <c r="G2735" s="4">
        <v>1</v>
      </c>
      <c r="H2735" s="28">
        <v>45291</v>
      </c>
      <c r="I2735" s="29">
        <f t="shared" si="2599"/>
        <v>2023</v>
      </c>
      <c r="J2735" s="1" t="s">
        <v>3202</v>
      </c>
      <c r="K2735" s="1" t="s">
        <v>7</v>
      </c>
      <c r="L2735" s="11" t="str">
        <f t="shared" si="2608"/>
        <v>НЕТ</v>
      </c>
      <c r="M2735" s="10">
        <v>0</v>
      </c>
      <c r="N2735" s="10">
        <v>0</v>
      </c>
      <c r="O2735" s="10">
        <v>3.9409999999999998</v>
      </c>
      <c r="P2735" s="10">
        <f t="shared" si="2585"/>
        <v>3.9409999999999998</v>
      </c>
      <c r="Q2735" s="10">
        <f t="shared" si="2586"/>
        <v>4.1209999999999996</v>
      </c>
      <c r="R2735" s="10">
        <v>0.99</v>
      </c>
      <c r="S2735" s="10" t="s">
        <v>1575</v>
      </c>
      <c r="T2735" s="10" t="s">
        <v>1575</v>
      </c>
      <c r="U2735" s="10">
        <v>0.08</v>
      </c>
      <c r="V2735" s="10">
        <v>0.64900000000000002</v>
      </c>
      <c r="W2735" s="10">
        <f>0.237-0.057</f>
        <v>0.18</v>
      </c>
      <c r="X2735" s="10">
        <f t="shared" si="2609"/>
        <v>0.82899999999999996</v>
      </c>
      <c r="Y2735" s="10">
        <f t="shared" si="2610"/>
        <v>3.9808080808080808</v>
      </c>
      <c r="Z2735" s="10">
        <f t="shared" si="2611"/>
        <v>49.262499999999996</v>
      </c>
      <c r="AA2735" s="10">
        <f t="shared" si="2612"/>
        <v>6.0724191063174109</v>
      </c>
      <c r="AB2735" s="10">
        <f t="shared" si="2613"/>
        <v>4.1626262626262625</v>
      </c>
      <c r="AC2735" s="10" t="str">
        <f t="shared" si="2614"/>
        <v>NA</v>
      </c>
      <c r="AD2735" s="10" t="str">
        <f t="shared" si="2615"/>
        <v>NA</v>
      </c>
      <c r="AE2735" s="10">
        <f t="shared" si="2616"/>
        <v>4.9710494571773216</v>
      </c>
      <c r="AF2735" s="1" t="s">
        <v>3221</v>
      </c>
    </row>
    <row r="2736" spans="1:32" x14ac:dyDescent="0.2">
      <c r="A2736" s="1" t="s">
        <v>6592</v>
      </c>
      <c r="B2736" s="1" t="s">
        <v>5</v>
      </c>
      <c r="C2736" s="1" t="s">
        <v>1575</v>
      </c>
      <c r="D2736" s="1" t="s">
        <v>1813</v>
      </c>
      <c r="E2736" s="1" t="s">
        <v>2909</v>
      </c>
      <c r="F2736" s="1" t="s">
        <v>3212</v>
      </c>
      <c r="G2736" s="4">
        <f>63.38%-30%</f>
        <v>0.33380000000000004</v>
      </c>
      <c r="H2736" s="28">
        <v>45199</v>
      </c>
      <c r="I2736" s="29">
        <f t="shared" si="2599"/>
        <v>2023</v>
      </c>
      <c r="J2736" s="1" t="s">
        <v>3202</v>
      </c>
      <c r="K2736" s="1" t="s">
        <v>7</v>
      </c>
      <c r="L2736" s="11" t="str">
        <f t="shared" ref="L2736:L2738" si="2617">IF(OR(A2736=J2736,A2736=K2736),"ДА","НЕТ")</f>
        <v>НЕТ</v>
      </c>
      <c r="M2736" s="10">
        <v>0</v>
      </c>
      <c r="N2736" s="10">
        <v>0</v>
      </c>
      <c r="O2736" s="10">
        <v>3.7999999999999999E-2</v>
      </c>
      <c r="P2736" s="10">
        <f t="shared" si="2585"/>
        <v>0.11384062312762132</v>
      </c>
      <c r="Q2736" s="10">
        <f t="shared" si="2586"/>
        <v>0.13684062312762132</v>
      </c>
      <c r="R2736" s="10" t="s">
        <v>1575</v>
      </c>
      <c r="S2736" s="10" t="s">
        <v>1575</v>
      </c>
      <c r="T2736" s="10" t="s">
        <v>1575</v>
      </c>
      <c r="U2736" s="10" t="s">
        <v>1575</v>
      </c>
      <c r="V2736" s="10">
        <v>-0.14099999999999999</v>
      </c>
      <c r="W2736" s="10">
        <f>0.062-0.039</f>
        <v>2.3E-2</v>
      </c>
      <c r="X2736" s="10">
        <f t="shared" si="2609"/>
        <v>-0.11799999999999999</v>
      </c>
      <c r="Y2736" s="10" t="str">
        <f t="shared" si="2610"/>
        <v>NA</v>
      </c>
      <c r="Z2736" s="10" t="str">
        <f t="shared" si="2611"/>
        <v>NA</v>
      </c>
      <c r="AA2736" s="10">
        <f t="shared" si="2612"/>
        <v>-0.80738030586965481</v>
      </c>
      <c r="AB2736" s="10" t="str">
        <f t="shared" si="2613"/>
        <v>NA</v>
      </c>
      <c r="AC2736" s="10" t="str">
        <f t="shared" si="2614"/>
        <v>NA</v>
      </c>
      <c r="AD2736" s="10" t="str">
        <f t="shared" si="2615"/>
        <v>NA</v>
      </c>
      <c r="AE2736" s="10">
        <f t="shared" si="2616"/>
        <v>-1.1596662976917063</v>
      </c>
      <c r="AF2736" s="1" t="s">
        <v>3220</v>
      </c>
    </row>
    <row r="2737" spans="1:32" x14ac:dyDescent="0.2">
      <c r="A2737" s="1" t="s">
        <v>3236</v>
      </c>
      <c r="B2737" s="1" t="s">
        <v>1575</v>
      </c>
      <c r="C2737" s="1" t="s">
        <v>1575</v>
      </c>
      <c r="D2737" s="1" t="s">
        <v>1813</v>
      </c>
      <c r="E2737" s="1" t="s">
        <v>1587</v>
      </c>
      <c r="F2737" s="1" t="s">
        <v>255</v>
      </c>
      <c r="G2737" s="4" t="s">
        <v>11</v>
      </c>
      <c r="H2737" s="28">
        <v>45016</v>
      </c>
      <c r="I2737" s="29">
        <f t="shared" si="2599"/>
        <v>2023</v>
      </c>
      <c r="J2737" s="1" t="s">
        <v>7</v>
      </c>
      <c r="K2737" s="1" t="s">
        <v>3202</v>
      </c>
      <c r="L2737" s="11" t="str">
        <f t="shared" si="2617"/>
        <v>НЕТ</v>
      </c>
      <c r="M2737" s="10">
        <v>0</v>
      </c>
      <c r="N2737" s="10">
        <v>0</v>
      </c>
      <c r="O2737" s="10">
        <v>0.47</v>
      </c>
      <c r="P2737" s="10" t="str">
        <f t="shared" si="2585"/>
        <v>NA</v>
      </c>
      <c r="Q2737" s="10" t="str">
        <f t="shared" si="2586"/>
        <v>NA</v>
      </c>
      <c r="R2737" s="10" t="s">
        <v>1575</v>
      </c>
      <c r="S2737" s="10" t="s">
        <v>1575</v>
      </c>
      <c r="T2737" s="10" t="s">
        <v>1575</v>
      </c>
      <c r="U2737" s="10" t="s">
        <v>1575</v>
      </c>
      <c r="V2737" s="10">
        <v>1.4E-2</v>
      </c>
      <c r="W2737" s="10" t="s">
        <v>1575</v>
      </c>
      <c r="X2737" s="10" t="str">
        <f t="shared" si="2609"/>
        <v>NA</v>
      </c>
      <c r="Y2737" s="10" t="str">
        <f t="shared" si="2610"/>
        <v>NA</v>
      </c>
      <c r="Z2737" s="10" t="str">
        <f t="shared" si="2611"/>
        <v>NA</v>
      </c>
      <c r="AA2737" s="10" t="str">
        <f t="shared" si="2612"/>
        <v>NA</v>
      </c>
      <c r="AB2737" s="10" t="str">
        <f t="shared" si="2613"/>
        <v>NA</v>
      </c>
      <c r="AC2737" s="10" t="str">
        <f t="shared" si="2614"/>
        <v>NA</v>
      </c>
      <c r="AD2737" s="10" t="str">
        <f t="shared" si="2615"/>
        <v>NA</v>
      </c>
      <c r="AE2737" s="10" t="str">
        <f t="shared" si="2616"/>
        <v>NA</v>
      </c>
      <c r="AF2737" s="1" t="s">
        <v>3232</v>
      </c>
    </row>
    <row r="2738" spans="1:32" x14ac:dyDescent="0.2">
      <c r="A2738" s="1" t="s">
        <v>3242</v>
      </c>
      <c r="B2738" s="1" t="s">
        <v>5</v>
      </c>
      <c r="C2738" s="1" t="s">
        <v>1575</v>
      </c>
      <c r="D2738" s="1" t="s">
        <v>1813</v>
      </c>
      <c r="E2738" s="1" t="s">
        <v>1587</v>
      </c>
      <c r="F2738" s="1" t="s">
        <v>3226</v>
      </c>
      <c r="G2738" s="4">
        <v>1</v>
      </c>
      <c r="H2738" s="28">
        <v>45016</v>
      </c>
      <c r="I2738" s="29">
        <f t="shared" si="2599"/>
        <v>2023</v>
      </c>
      <c r="J2738" s="1" t="s">
        <v>7</v>
      </c>
      <c r="K2738" s="1" t="s">
        <v>3202</v>
      </c>
      <c r="L2738" s="11" t="str">
        <f t="shared" si="2617"/>
        <v>НЕТ</v>
      </c>
      <c r="M2738" s="10">
        <v>0</v>
      </c>
      <c r="N2738" s="10">
        <v>0</v>
      </c>
      <c r="O2738" s="10">
        <v>1.0000000000000001E-9</v>
      </c>
      <c r="P2738" s="10">
        <f t="shared" si="2585"/>
        <v>1.0000000000000001E-9</v>
      </c>
      <c r="Q2738" s="10" t="str">
        <f t="shared" si="2586"/>
        <v>NA</v>
      </c>
      <c r="R2738" s="10" t="s">
        <v>1575</v>
      </c>
      <c r="S2738" s="10" t="s">
        <v>1575</v>
      </c>
      <c r="T2738" s="10" t="s">
        <v>1575</v>
      </c>
      <c r="U2738" s="10" t="s">
        <v>1575</v>
      </c>
      <c r="V2738" s="10">
        <v>5.2999999999999999E-2</v>
      </c>
      <c r="W2738" s="10" t="s">
        <v>1575</v>
      </c>
      <c r="X2738" s="10" t="str">
        <f t="shared" si="2609"/>
        <v>NA</v>
      </c>
      <c r="Y2738" s="10" t="str">
        <f t="shared" si="2610"/>
        <v>NA</v>
      </c>
      <c r="Z2738" s="10" t="str">
        <f t="shared" si="2611"/>
        <v>NA</v>
      </c>
      <c r="AA2738" s="10">
        <f t="shared" si="2612"/>
        <v>1.886792452830189E-8</v>
      </c>
      <c r="AB2738" s="10" t="str">
        <f t="shared" si="2613"/>
        <v>NA</v>
      </c>
      <c r="AC2738" s="10" t="str">
        <f t="shared" si="2614"/>
        <v>NA</v>
      </c>
      <c r="AD2738" s="10" t="str">
        <f t="shared" si="2615"/>
        <v>NA</v>
      </c>
      <c r="AE2738" s="10" t="str">
        <f t="shared" si="2616"/>
        <v>NA</v>
      </c>
      <c r="AF2738" s="1" t="s">
        <v>3233</v>
      </c>
    </row>
    <row r="2739" spans="1:32" x14ac:dyDescent="0.2">
      <c r="A2739" s="1" t="s">
        <v>6593</v>
      </c>
      <c r="B2739" s="1" t="s">
        <v>5</v>
      </c>
      <c r="C2739" s="1" t="s">
        <v>1575</v>
      </c>
      <c r="D2739" s="1" t="s">
        <v>1582</v>
      </c>
      <c r="E2739" s="1" t="s">
        <v>2162</v>
      </c>
      <c r="F2739" s="1" t="s">
        <v>2366</v>
      </c>
      <c r="G2739" s="4">
        <v>1</v>
      </c>
      <c r="H2739" s="28">
        <v>44926</v>
      </c>
      <c r="I2739" s="29">
        <f t="shared" si="2599"/>
        <v>2022</v>
      </c>
      <c r="J2739" s="1" t="s">
        <v>3202</v>
      </c>
      <c r="K2739" s="1" t="s">
        <v>7</v>
      </c>
      <c r="L2739" s="11" t="str">
        <f t="shared" ref="L2739" si="2618">IF(OR(A2739=J2739,A2739=K2739),"ДА","НЕТ")</f>
        <v>НЕТ</v>
      </c>
      <c r="M2739" s="10">
        <v>0</v>
      </c>
      <c r="N2739" s="10">
        <v>0</v>
      </c>
      <c r="O2739" s="10">
        <v>3.492</v>
      </c>
      <c r="P2739" s="10">
        <f t="shared" si="2585"/>
        <v>3.492</v>
      </c>
      <c r="Q2739" s="10" t="str">
        <f t="shared" si="2586"/>
        <v>NA</v>
      </c>
      <c r="R2739" s="10" t="s">
        <v>1575</v>
      </c>
      <c r="S2739" s="10" t="s">
        <v>1575</v>
      </c>
      <c r="T2739" s="10" t="s">
        <v>1575</v>
      </c>
      <c r="U2739" s="10" t="s">
        <v>1575</v>
      </c>
      <c r="V2739" s="10" t="s">
        <v>1575</v>
      </c>
      <c r="W2739" s="10" t="s">
        <v>1575</v>
      </c>
      <c r="X2739" s="10" t="str">
        <f t="shared" si="2609"/>
        <v>NA</v>
      </c>
      <c r="Y2739" s="10" t="str">
        <f t="shared" si="2610"/>
        <v>NA</v>
      </c>
      <c r="Z2739" s="10" t="str">
        <f t="shared" si="2611"/>
        <v>NA</v>
      </c>
      <c r="AA2739" s="10" t="str">
        <f t="shared" si="2612"/>
        <v>NA</v>
      </c>
      <c r="AB2739" s="10" t="str">
        <f t="shared" si="2613"/>
        <v>NA</v>
      </c>
      <c r="AC2739" s="10" t="str">
        <f t="shared" si="2614"/>
        <v>NA</v>
      </c>
      <c r="AD2739" s="10" t="str">
        <f t="shared" si="2615"/>
        <v>NA</v>
      </c>
      <c r="AE2739" s="10" t="str">
        <f t="shared" si="2616"/>
        <v>NA</v>
      </c>
      <c r="AF2739" s="1" t="s">
        <v>3203</v>
      </c>
    </row>
    <row r="2740" spans="1:32" x14ac:dyDescent="0.2">
      <c r="A2740" s="1" t="s">
        <v>3275</v>
      </c>
      <c r="B2740" s="1" t="s">
        <v>5</v>
      </c>
      <c r="C2740" s="1" t="s">
        <v>1575</v>
      </c>
      <c r="D2740" s="1" t="s">
        <v>1813</v>
      </c>
      <c r="E2740" s="1" t="s">
        <v>1819</v>
      </c>
      <c r="F2740" s="1" t="s">
        <v>3243</v>
      </c>
      <c r="G2740" s="4">
        <v>0.51</v>
      </c>
      <c r="H2740" s="28">
        <v>44926</v>
      </c>
      <c r="I2740" s="29">
        <f t="shared" si="2599"/>
        <v>2022</v>
      </c>
      <c r="J2740" s="1" t="s">
        <v>7</v>
      </c>
      <c r="K2740" s="1" t="s">
        <v>3202</v>
      </c>
      <c r="L2740" s="11" t="str">
        <f t="shared" ref="L2740:L2741" si="2619">IF(OR(A2740=J2740,A2740=K2740),"ДА","НЕТ")</f>
        <v>НЕТ</v>
      </c>
      <c r="M2740" s="10">
        <v>0</v>
      </c>
      <c r="N2740" s="10">
        <v>0</v>
      </c>
      <c r="O2740" s="10">
        <v>33.085000000000001</v>
      </c>
      <c r="P2740" s="10">
        <f t="shared" si="2585"/>
        <v>64.872549019607845</v>
      </c>
      <c r="Q2740" s="10">
        <f t="shared" si="2586"/>
        <v>81.979549019607845</v>
      </c>
      <c r="R2740" s="10">
        <v>58.226999999999997</v>
      </c>
      <c r="S2740" s="10" t="s">
        <v>1575</v>
      </c>
      <c r="T2740" s="10">
        <f>R2740-57.561-35.335</f>
        <v>-34.669000000000004</v>
      </c>
      <c r="U2740" s="10">
        <v>-33.655999999999999</v>
      </c>
      <c r="V2740" s="10">
        <v>48.691000000000003</v>
      </c>
      <c r="W2740" s="10">
        <v>17.106999999999999</v>
      </c>
      <c r="X2740" s="10">
        <f t="shared" si="2609"/>
        <v>65.798000000000002</v>
      </c>
      <c r="Y2740" s="10">
        <f t="shared" si="2610"/>
        <v>1.1141317433425704</v>
      </c>
      <c r="Z2740" s="10">
        <f t="shared" si="2611"/>
        <v>-1.9275180954245261</v>
      </c>
      <c r="AA2740" s="10">
        <f t="shared" si="2612"/>
        <v>1.3323314168862386</v>
      </c>
      <c r="AB2740" s="10">
        <f t="shared" si="2613"/>
        <v>1.4079301530150592</v>
      </c>
      <c r="AC2740" s="10" t="str">
        <f t="shared" si="2614"/>
        <v>NA</v>
      </c>
      <c r="AD2740" s="10">
        <f t="shared" si="2615"/>
        <v>-2.364635525097575</v>
      </c>
      <c r="AE2740" s="10">
        <f t="shared" si="2616"/>
        <v>1.2459276728716351</v>
      </c>
      <c r="AF2740" s="1" t="s">
        <v>3224</v>
      </c>
    </row>
    <row r="2741" spans="1:32" x14ac:dyDescent="0.2">
      <c r="A2741" s="1" t="s">
        <v>6594</v>
      </c>
      <c r="B2741" s="1" t="s">
        <v>5</v>
      </c>
      <c r="C2741" s="1" t="s">
        <v>1575</v>
      </c>
      <c r="D2741" s="1" t="s">
        <v>1813</v>
      </c>
      <c r="E2741" s="1" t="s">
        <v>1971</v>
      </c>
      <c r="F2741" s="1" t="s">
        <v>3211</v>
      </c>
      <c r="G2741" s="4">
        <v>0.25</v>
      </c>
      <c r="H2741" s="28">
        <v>44926</v>
      </c>
      <c r="I2741" s="29">
        <f t="shared" si="2599"/>
        <v>2022</v>
      </c>
      <c r="J2741" s="1" t="s">
        <v>3202</v>
      </c>
      <c r="K2741" s="1" t="s">
        <v>7</v>
      </c>
      <c r="L2741" s="11" t="str">
        <f t="shared" si="2619"/>
        <v>НЕТ</v>
      </c>
      <c r="M2741" s="10">
        <v>0</v>
      </c>
      <c r="N2741" s="10">
        <v>0</v>
      </c>
      <c r="O2741" s="10">
        <v>0.13300000000000001</v>
      </c>
      <c r="P2741" s="10">
        <f t="shared" si="2585"/>
        <v>0.53200000000000003</v>
      </c>
      <c r="Q2741" s="10" t="str">
        <f t="shared" si="2586"/>
        <v>NA</v>
      </c>
      <c r="R2741" s="10" t="s">
        <v>1575</v>
      </c>
      <c r="S2741" s="10" t="s">
        <v>1575</v>
      </c>
      <c r="T2741" s="10" t="s">
        <v>1575</v>
      </c>
      <c r="U2741" s="10" t="s">
        <v>1575</v>
      </c>
      <c r="V2741" s="10" t="s">
        <v>1575</v>
      </c>
      <c r="W2741" s="10" t="s">
        <v>1575</v>
      </c>
      <c r="X2741" s="10" t="str">
        <f t="shared" si="2609"/>
        <v>NA</v>
      </c>
      <c r="Y2741" s="10" t="str">
        <f t="shared" si="2610"/>
        <v>NA</v>
      </c>
      <c r="Z2741" s="10" t="str">
        <f t="shared" si="2611"/>
        <v>NA</v>
      </c>
      <c r="AA2741" s="10" t="str">
        <f t="shared" si="2612"/>
        <v>NA</v>
      </c>
      <c r="AB2741" s="10" t="str">
        <f t="shared" si="2613"/>
        <v>NA</v>
      </c>
      <c r="AC2741" s="10" t="str">
        <f t="shared" si="2614"/>
        <v>NA</v>
      </c>
      <c r="AD2741" s="10" t="str">
        <f t="shared" si="2615"/>
        <v>NA</v>
      </c>
      <c r="AE2741" s="10" t="str">
        <f t="shared" si="2616"/>
        <v>NA</v>
      </c>
      <c r="AF2741" s="1" t="s">
        <v>3210</v>
      </c>
    </row>
    <row r="2742" spans="1:32" x14ac:dyDescent="0.2">
      <c r="A2742" s="1" t="s">
        <v>6595</v>
      </c>
      <c r="B2742" s="1" t="s">
        <v>5</v>
      </c>
      <c r="C2742" s="1" t="s">
        <v>1575</v>
      </c>
      <c r="D2742" s="1" t="s">
        <v>1813</v>
      </c>
      <c r="E2742" s="1" t="s">
        <v>1587</v>
      </c>
      <c r="F2742" s="1" t="s">
        <v>3226</v>
      </c>
      <c r="G2742" s="4">
        <v>0.8</v>
      </c>
      <c r="H2742" s="28">
        <v>44926</v>
      </c>
      <c r="I2742" s="29">
        <f t="shared" si="2599"/>
        <v>2022</v>
      </c>
      <c r="J2742" s="1" t="s">
        <v>3202</v>
      </c>
      <c r="K2742" s="1" t="s">
        <v>7</v>
      </c>
      <c r="L2742" s="11" t="str">
        <f t="shared" ref="L2742:L2747" si="2620">IF(OR(A2742=J2742,A2742=K2742),"ДА","НЕТ")</f>
        <v>НЕТ</v>
      </c>
      <c r="M2742" s="10">
        <v>0</v>
      </c>
      <c r="N2742" s="10">
        <v>0</v>
      </c>
      <c r="O2742" s="10" t="s">
        <v>1575</v>
      </c>
      <c r="P2742" s="10" t="str">
        <f t="shared" si="2585"/>
        <v>NA</v>
      </c>
      <c r="Q2742" s="10" t="str">
        <f t="shared" si="2586"/>
        <v>NA</v>
      </c>
      <c r="R2742" s="10" t="s">
        <v>1575</v>
      </c>
      <c r="S2742" s="10" t="s">
        <v>1575</v>
      </c>
      <c r="T2742" s="10" t="s">
        <v>1575</v>
      </c>
      <c r="U2742" s="10" t="s">
        <v>1575</v>
      </c>
      <c r="V2742" s="10" t="s">
        <v>1575</v>
      </c>
      <c r="W2742" s="10" t="s">
        <v>1575</v>
      </c>
      <c r="X2742" s="10" t="str">
        <f t="shared" si="2609"/>
        <v>NA</v>
      </c>
      <c r="Y2742" s="10" t="str">
        <f t="shared" si="2610"/>
        <v>NA</v>
      </c>
      <c r="Z2742" s="10" t="str">
        <f t="shared" si="2611"/>
        <v>NA</v>
      </c>
      <c r="AA2742" s="10" t="str">
        <f t="shared" si="2612"/>
        <v>NA</v>
      </c>
      <c r="AB2742" s="10" t="str">
        <f t="shared" si="2613"/>
        <v>NA</v>
      </c>
      <c r="AC2742" s="10" t="str">
        <f t="shared" si="2614"/>
        <v>NA</v>
      </c>
      <c r="AD2742" s="10" t="str">
        <f t="shared" si="2615"/>
        <v>NA</v>
      </c>
      <c r="AE2742" s="10" t="str">
        <f t="shared" si="2616"/>
        <v>NA</v>
      </c>
      <c r="AF2742" s="1" t="s">
        <v>3225</v>
      </c>
    </row>
    <row r="2743" spans="1:32" x14ac:dyDescent="0.2">
      <c r="A2743" s="1" t="s">
        <v>6596</v>
      </c>
      <c r="B2743" s="1" t="s">
        <v>5</v>
      </c>
      <c r="C2743" s="1" t="s">
        <v>1575</v>
      </c>
      <c r="D2743" s="1" t="s">
        <v>1813</v>
      </c>
      <c r="E2743" s="1" t="s">
        <v>1587</v>
      </c>
      <c r="F2743" s="1" t="s">
        <v>3230</v>
      </c>
      <c r="G2743" s="4">
        <v>0.51</v>
      </c>
      <c r="H2743" s="28">
        <v>44926</v>
      </c>
      <c r="I2743" s="29">
        <f t="shared" si="2599"/>
        <v>2022</v>
      </c>
      <c r="J2743" s="1" t="s">
        <v>3202</v>
      </c>
      <c r="K2743" s="1" t="s">
        <v>7</v>
      </c>
      <c r="L2743" s="11" t="str">
        <f t="shared" si="2620"/>
        <v>НЕТ</v>
      </c>
      <c r="M2743" s="10">
        <v>0</v>
      </c>
      <c r="N2743" s="10">
        <v>0</v>
      </c>
      <c r="O2743" s="10" t="s">
        <v>1575</v>
      </c>
      <c r="P2743" s="10" t="str">
        <f t="shared" si="2585"/>
        <v>NA</v>
      </c>
      <c r="Q2743" s="10" t="str">
        <f t="shared" si="2586"/>
        <v>NA</v>
      </c>
      <c r="R2743" s="10" t="s">
        <v>1575</v>
      </c>
      <c r="S2743" s="10" t="s">
        <v>1575</v>
      </c>
      <c r="T2743" s="10" t="s">
        <v>1575</v>
      </c>
      <c r="U2743" s="10" t="s">
        <v>1575</v>
      </c>
      <c r="V2743" s="10">
        <v>1.0549999999999999</v>
      </c>
      <c r="W2743" s="10">
        <f>0.244-0.074</f>
        <v>0.16999999999999998</v>
      </c>
      <c r="X2743" s="10">
        <f t="shared" si="2609"/>
        <v>1.2249999999999999</v>
      </c>
      <c r="Y2743" s="10" t="str">
        <f t="shared" si="2610"/>
        <v>NA</v>
      </c>
      <c r="Z2743" s="10" t="str">
        <f t="shared" si="2611"/>
        <v>NA</v>
      </c>
      <c r="AA2743" s="10" t="str">
        <f t="shared" si="2612"/>
        <v>NA</v>
      </c>
      <c r="AB2743" s="10" t="str">
        <f t="shared" si="2613"/>
        <v>NA</v>
      </c>
      <c r="AC2743" s="10" t="str">
        <f t="shared" si="2614"/>
        <v>NA</v>
      </c>
      <c r="AD2743" s="10" t="str">
        <f t="shared" si="2615"/>
        <v>NA</v>
      </c>
      <c r="AE2743" s="10" t="str">
        <f t="shared" si="2616"/>
        <v>NA</v>
      </c>
      <c r="AF2743" s="1" t="s">
        <v>3227</v>
      </c>
    </row>
    <row r="2744" spans="1:32" x14ac:dyDescent="0.2">
      <c r="A2744" s="1" t="s">
        <v>6597</v>
      </c>
      <c r="B2744" s="1" t="s">
        <v>5</v>
      </c>
      <c r="C2744" s="1" t="s">
        <v>1575</v>
      </c>
      <c r="D2744" s="1" t="s">
        <v>1813</v>
      </c>
      <c r="E2744" s="1" t="s">
        <v>1840</v>
      </c>
      <c r="F2744" s="1" t="s">
        <v>3229</v>
      </c>
      <c r="G2744" s="4" t="s">
        <v>11</v>
      </c>
      <c r="H2744" s="28">
        <v>44926</v>
      </c>
      <c r="I2744" s="29">
        <f t="shared" si="2599"/>
        <v>2022</v>
      </c>
      <c r="J2744" s="1" t="s">
        <v>3202</v>
      </c>
      <c r="K2744" s="1" t="s">
        <v>7</v>
      </c>
      <c r="L2744" s="11" t="str">
        <f t="shared" si="2620"/>
        <v>НЕТ</v>
      </c>
      <c r="M2744" s="10">
        <v>0</v>
      </c>
      <c r="N2744" s="10">
        <v>0</v>
      </c>
      <c r="O2744" s="10">
        <v>1.2E-2</v>
      </c>
      <c r="P2744" s="10" t="str">
        <f t="shared" si="2585"/>
        <v>NA</v>
      </c>
      <c r="Q2744" s="10" t="str">
        <f t="shared" si="2586"/>
        <v>NA</v>
      </c>
      <c r="R2744" s="10" t="s">
        <v>1575</v>
      </c>
      <c r="S2744" s="10" t="s">
        <v>1575</v>
      </c>
      <c r="T2744" s="10" t="s">
        <v>1575</v>
      </c>
      <c r="U2744" s="10" t="s">
        <v>1575</v>
      </c>
      <c r="V2744" s="10" t="s">
        <v>1575</v>
      </c>
      <c r="W2744" s="10" t="s">
        <v>1575</v>
      </c>
      <c r="X2744" s="10" t="str">
        <f t="shared" si="2609"/>
        <v>NA</v>
      </c>
      <c r="Y2744" s="10" t="str">
        <f t="shared" si="2610"/>
        <v>NA</v>
      </c>
      <c r="Z2744" s="10" t="str">
        <f t="shared" si="2611"/>
        <v>NA</v>
      </c>
      <c r="AA2744" s="10" t="str">
        <f t="shared" si="2612"/>
        <v>NA</v>
      </c>
      <c r="AB2744" s="10" t="str">
        <f t="shared" si="2613"/>
        <v>NA</v>
      </c>
      <c r="AC2744" s="10" t="str">
        <f t="shared" si="2614"/>
        <v>NA</v>
      </c>
      <c r="AD2744" s="10" t="str">
        <f t="shared" si="2615"/>
        <v>NA</v>
      </c>
      <c r="AE2744" s="10" t="str">
        <f t="shared" si="2616"/>
        <v>NA</v>
      </c>
      <c r="AF2744" s="1" t="s">
        <v>3228</v>
      </c>
    </row>
    <row r="2745" spans="1:32" x14ac:dyDescent="0.2">
      <c r="A2745" s="1" t="s">
        <v>6598</v>
      </c>
      <c r="B2745" s="1" t="s">
        <v>1575</v>
      </c>
      <c r="C2745" s="1" t="s">
        <v>1575</v>
      </c>
      <c r="D2745" s="1" t="s">
        <v>1813</v>
      </c>
      <c r="E2745" s="1" t="s">
        <v>9358</v>
      </c>
      <c r="F2745" s="1" t="s">
        <v>3250</v>
      </c>
      <c r="G2745" s="4" t="s">
        <v>11</v>
      </c>
      <c r="H2745" s="28">
        <v>44926</v>
      </c>
      <c r="I2745" s="29">
        <f t="shared" si="2599"/>
        <v>2022</v>
      </c>
      <c r="J2745" s="1" t="s">
        <v>7</v>
      </c>
      <c r="K2745" s="1" t="s">
        <v>3202</v>
      </c>
      <c r="L2745" s="11" t="str">
        <f t="shared" si="2620"/>
        <v>НЕТ</v>
      </c>
      <c r="M2745" s="10">
        <v>0</v>
      </c>
      <c r="N2745" s="10">
        <v>0</v>
      </c>
      <c r="O2745" s="10">
        <v>37.241</v>
      </c>
      <c r="P2745" s="10" t="str">
        <f t="shared" si="2585"/>
        <v>NA</v>
      </c>
      <c r="Q2745" s="10" t="str">
        <f t="shared" si="2586"/>
        <v>NA</v>
      </c>
      <c r="R2745" s="10">
        <v>32.255000000000003</v>
      </c>
      <c r="S2745" s="10">
        <f>R2745-27.048</f>
        <v>5.2070000000000043</v>
      </c>
      <c r="T2745" s="10">
        <f>S2745-1.961</f>
        <v>3.246000000000004</v>
      </c>
      <c r="U2745" s="10">
        <v>28.736000000000001</v>
      </c>
      <c r="V2745" s="10">
        <v>11.781000000000001</v>
      </c>
      <c r="W2745" s="10" t="s">
        <v>1575</v>
      </c>
      <c r="X2745" s="10" t="str">
        <f t="shared" si="2609"/>
        <v>NA</v>
      </c>
      <c r="Y2745" s="10" t="str">
        <f t="shared" si="2610"/>
        <v>NA</v>
      </c>
      <c r="Z2745" s="10" t="str">
        <f t="shared" si="2611"/>
        <v>NA</v>
      </c>
      <c r="AA2745" s="10" t="str">
        <f t="shared" si="2612"/>
        <v>NA</v>
      </c>
      <c r="AB2745" s="10" t="str">
        <f t="shared" si="2613"/>
        <v>NA</v>
      </c>
      <c r="AC2745" s="10" t="str">
        <f t="shared" si="2614"/>
        <v>NA</v>
      </c>
      <c r="AD2745" s="10" t="str">
        <f t="shared" si="2615"/>
        <v>NA</v>
      </c>
      <c r="AE2745" s="10" t="str">
        <f t="shared" si="2616"/>
        <v>NA</v>
      </c>
      <c r="AF2745" s="1" t="s">
        <v>3231</v>
      </c>
    </row>
    <row r="2746" spans="1:32" x14ac:dyDescent="0.2">
      <c r="A2746" s="1" t="s">
        <v>3237</v>
      </c>
      <c r="B2746" s="1" t="s">
        <v>179</v>
      </c>
      <c r="C2746" s="1" t="s">
        <v>1575</v>
      </c>
      <c r="D2746" s="1" t="s">
        <v>1813</v>
      </c>
      <c r="E2746" s="1" t="s">
        <v>1587</v>
      </c>
      <c r="F2746" s="1" t="s">
        <v>3226</v>
      </c>
      <c r="G2746" s="4" t="s">
        <v>11</v>
      </c>
      <c r="H2746" s="28">
        <v>44926</v>
      </c>
      <c r="I2746" s="29">
        <f t="shared" si="2599"/>
        <v>2022</v>
      </c>
      <c r="J2746" s="1" t="s">
        <v>7</v>
      </c>
      <c r="K2746" s="1" t="s">
        <v>3202</v>
      </c>
      <c r="L2746" s="11" t="str">
        <f t="shared" ref="L2746" si="2621">IF(OR(A2746=J2746,A2746=K2746),"ДА","НЕТ")</f>
        <v>НЕТ</v>
      </c>
      <c r="M2746" s="10">
        <v>0</v>
      </c>
      <c r="N2746" s="10">
        <v>1.2</v>
      </c>
      <c r="O2746" s="10">
        <f>N2746*70.3375/1000</f>
        <v>8.4405000000000008E-2</v>
      </c>
      <c r="P2746" s="10" t="str">
        <f t="shared" si="2585"/>
        <v>NA</v>
      </c>
      <c r="Q2746" s="10" t="str">
        <f t="shared" si="2586"/>
        <v>NA</v>
      </c>
      <c r="R2746" s="10" t="s">
        <v>1575</v>
      </c>
      <c r="S2746" s="10" t="s">
        <v>1575</v>
      </c>
      <c r="T2746" s="10" t="s">
        <v>1575</v>
      </c>
      <c r="U2746" s="10" t="s">
        <v>1575</v>
      </c>
      <c r="V2746" s="10">
        <v>3.2000000000000001E-2</v>
      </c>
      <c r="W2746" s="10" t="s">
        <v>1575</v>
      </c>
      <c r="X2746" s="10" t="str">
        <f t="shared" si="2609"/>
        <v>NA</v>
      </c>
      <c r="Y2746" s="10" t="str">
        <f t="shared" si="2610"/>
        <v>NA</v>
      </c>
      <c r="Z2746" s="10" t="str">
        <f t="shared" si="2611"/>
        <v>NA</v>
      </c>
      <c r="AA2746" s="10" t="str">
        <f t="shared" si="2612"/>
        <v>NA</v>
      </c>
      <c r="AB2746" s="10" t="str">
        <f t="shared" si="2613"/>
        <v>NA</v>
      </c>
      <c r="AC2746" s="10" t="str">
        <f t="shared" si="2614"/>
        <v>NA</v>
      </c>
      <c r="AD2746" s="10" t="str">
        <f t="shared" si="2615"/>
        <v>NA</v>
      </c>
      <c r="AE2746" s="10" t="str">
        <f t="shared" si="2616"/>
        <v>NA</v>
      </c>
      <c r="AF2746" s="1" t="s">
        <v>3234</v>
      </c>
    </row>
    <row r="2747" spans="1:32" x14ac:dyDescent="0.2">
      <c r="A2747" s="1" t="s">
        <v>3238</v>
      </c>
      <c r="B2747" s="1" t="s">
        <v>1575</v>
      </c>
      <c r="C2747" s="1" t="s">
        <v>1575</v>
      </c>
      <c r="D2747" s="1" t="s">
        <v>1813</v>
      </c>
      <c r="E2747" s="1" t="s">
        <v>1587</v>
      </c>
      <c r="F2747" s="1" t="s">
        <v>255</v>
      </c>
      <c r="G2747" s="4" t="s">
        <v>11</v>
      </c>
      <c r="H2747" s="28">
        <v>44926</v>
      </c>
      <c r="I2747" s="29">
        <f t="shared" si="2599"/>
        <v>2022</v>
      </c>
      <c r="J2747" s="1" t="s">
        <v>7</v>
      </c>
      <c r="K2747" s="1" t="s">
        <v>3202</v>
      </c>
      <c r="L2747" s="11" t="str">
        <f t="shared" si="2620"/>
        <v>НЕТ</v>
      </c>
      <c r="M2747" s="10">
        <v>0</v>
      </c>
      <c r="N2747" s="10">
        <v>0</v>
      </c>
      <c r="O2747" s="10">
        <v>0.17399999999999999</v>
      </c>
      <c r="P2747" s="10" t="str">
        <f t="shared" si="2585"/>
        <v>NA</v>
      </c>
      <c r="Q2747" s="10" t="str">
        <f t="shared" si="2586"/>
        <v>NA</v>
      </c>
      <c r="R2747" s="10" t="s">
        <v>1575</v>
      </c>
      <c r="S2747" s="10" t="s">
        <v>1575</v>
      </c>
      <c r="T2747" s="10" t="s">
        <v>1575</v>
      </c>
      <c r="U2747" s="10" t="s">
        <v>1575</v>
      </c>
      <c r="V2747" s="10" t="s">
        <v>1575</v>
      </c>
      <c r="W2747" s="10" t="s">
        <v>1575</v>
      </c>
      <c r="X2747" s="10" t="str">
        <f t="shared" si="2609"/>
        <v>NA</v>
      </c>
      <c r="Y2747" s="10" t="str">
        <f t="shared" si="2610"/>
        <v>NA</v>
      </c>
      <c r="Z2747" s="10" t="str">
        <f t="shared" si="2611"/>
        <v>NA</v>
      </c>
      <c r="AA2747" s="10" t="str">
        <f t="shared" si="2612"/>
        <v>NA</v>
      </c>
      <c r="AB2747" s="10" t="str">
        <f t="shared" si="2613"/>
        <v>NA</v>
      </c>
      <c r="AC2747" s="10" t="str">
        <f t="shared" si="2614"/>
        <v>NA</v>
      </c>
      <c r="AD2747" s="10" t="str">
        <f t="shared" si="2615"/>
        <v>NA</v>
      </c>
      <c r="AE2747" s="10" t="str">
        <f t="shared" si="2616"/>
        <v>NA</v>
      </c>
      <c r="AF2747" s="1" t="s">
        <v>3235</v>
      </c>
    </row>
    <row r="2748" spans="1:32" x14ac:dyDescent="0.2">
      <c r="A2748" s="1" t="s">
        <v>6599</v>
      </c>
      <c r="B2748" s="1" t="s">
        <v>5</v>
      </c>
      <c r="C2748" s="1" t="s">
        <v>1575</v>
      </c>
      <c r="D2748" s="1" t="s">
        <v>1813</v>
      </c>
      <c r="E2748" s="1" t="s">
        <v>2909</v>
      </c>
      <c r="F2748" s="1" t="s">
        <v>3212</v>
      </c>
      <c r="G2748" s="4">
        <v>0.435</v>
      </c>
      <c r="H2748" s="28">
        <v>44561</v>
      </c>
      <c r="I2748" s="29">
        <f t="shared" si="2599"/>
        <v>2021</v>
      </c>
      <c r="J2748" s="1" t="s">
        <v>3202</v>
      </c>
      <c r="K2748" s="1" t="s">
        <v>7</v>
      </c>
      <c r="L2748" s="11" t="str">
        <f t="shared" ref="L2748" si="2622">IF(OR(A2748=J2748,A2748=K2748),"ДА","НЕТ")</f>
        <v>НЕТ</v>
      </c>
      <c r="M2748" s="10">
        <v>0</v>
      </c>
      <c r="N2748" s="10">
        <v>0</v>
      </c>
      <c r="O2748" s="10">
        <v>1.0880000000000001</v>
      </c>
      <c r="P2748" s="10">
        <f t="shared" si="2585"/>
        <v>2.5011494252873567</v>
      </c>
      <c r="Q2748" s="10">
        <f t="shared" si="2586"/>
        <v>2.4561494252873568</v>
      </c>
      <c r="R2748" s="10" t="s">
        <v>1575</v>
      </c>
      <c r="S2748" s="10" t="s">
        <v>1575</v>
      </c>
      <c r="T2748" s="10" t="s">
        <v>1575</v>
      </c>
      <c r="U2748" s="10" t="s">
        <v>1575</v>
      </c>
      <c r="V2748" s="10">
        <v>-0.03</v>
      </c>
      <c r="W2748" s="10">
        <v>-4.4999999999999998E-2</v>
      </c>
      <c r="X2748" s="10">
        <f t="shared" si="2609"/>
        <v>-7.4999999999999997E-2</v>
      </c>
      <c r="Y2748" s="10" t="str">
        <f t="shared" si="2610"/>
        <v>NA</v>
      </c>
      <c r="Z2748" s="10" t="str">
        <f t="shared" si="2611"/>
        <v>NA</v>
      </c>
      <c r="AA2748" s="10">
        <f t="shared" si="2612"/>
        <v>-83.371647509578565</v>
      </c>
      <c r="AB2748" s="10" t="str">
        <f t="shared" si="2613"/>
        <v>NA</v>
      </c>
      <c r="AC2748" s="10" t="str">
        <f t="shared" si="2614"/>
        <v>NA</v>
      </c>
      <c r="AD2748" s="10" t="str">
        <f t="shared" si="2615"/>
        <v>NA</v>
      </c>
      <c r="AE2748" s="10">
        <f t="shared" si="2616"/>
        <v>-32.748659003831428</v>
      </c>
      <c r="AF2748" s="1" t="s">
        <v>3246</v>
      </c>
    </row>
    <row r="2749" spans="1:32" x14ac:dyDescent="0.2">
      <c r="A2749" s="1" t="s">
        <v>6600</v>
      </c>
      <c r="B2749" s="1" t="s">
        <v>5</v>
      </c>
      <c r="C2749" s="1" t="s">
        <v>1575</v>
      </c>
      <c r="D2749" s="1" t="s">
        <v>1813</v>
      </c>
      <c r="E2749" s="1" t="s">
        <v>9358</v>
      </c>
      <c r="F2749" s="1" t="s">
        <v>3249</v>
      </c>
      <c r="G2749" s="4">
        <v>0.51</v>
      </c>
      <c r="H2749" s="28">
        <v>44561</v>
      </c>
      <c r="I2749" s="29">
        <f t="shared" si="2599"/>
        <v>2021</v>
      </c>
      <c r="J2749" s="1" t="s">
        <v>3202</v>
      </c>
      <c r="K2749" s="1" t="s">
        <v>7</v>
      </c>
      <c r="L2749" s="11" t="str">
        <f t="shared" ref="L2749" si="2623">IF(OR(A2749=J2749,A2749=K2749),"ДА","НЕТ")</f>
        <v>НЕТ</v>
      </c>
      <c r="M2749" s="10">
        <v>0</v>
      </c>
      <c r="N2749" s="10">
        <v>0</v>
      </c>
      <c r="O2749" s="10">
        <v>0.16800000000000001</v>
      </c>
      <c r="P2749" s="10">
        <f t="shared" si="2585"/>
        <v>0.32941176470588235</v>
      </c>
      <c r="Q2749" s="10" t="str">
        <f t="shared" si="2586"/>
        <v>NA</v>
      </c>
      <c r="R2749" s="10" t="s">
        <v>1575</v>
      </c>
      <c r="S2749" s="10" t="s">
        <v>1575</v>
      </c>
      <c r="T2749" s="10" t="s">
        <v>1575</v>
      </c>
      <c r="U2749" s="10" t="s">
        <v>1575</v>
      </c>
      <c r="V2749" s="10" t="s">
        <v>1575</v>
      </c>
      <c r="W2749" s="10" t="s">
        <v>1575</v>
      </c>
      <c r="X2749" s="10" t="str">
        <f t="shared" si="2609"/>
        <v>NA</v>
      </c>
      <c r="Y2749" s="10" t="str">
        <f t="shared" si="2610"/>
        <v>NA</v>
      </c>
      <c r="Z2749" s="10" t="str">
        <f t="shared" si="2611"/>
        <v>NA</v>
      </c>
      <c r="AA2749" s="10" t="str">
        <f t="shared" si="2612"/>
        <v>NA</v>
      </c>
      <c r="AB2749" s="10" t="str">
        <f t="shared" si="2613"/>
        <v>NA</v>
      </c>
      <c r="AC2749" s="10" t="str">
        <f t="shared" si="2614"/>
        <v>NA</v>
      </c>
      <c r="AD2749" s="10" t="str">
        <f t="shared" si="2615"/>
        <v>NA</v>
      </c>
      <c r="AE2749" s="10" t="str">
        <f t="shared" si="2616"/>
        <v>NA</v>
      </c>
      <c r="AF2749" s="1" t="s">
        <v>3247</v>
      </c>
    </row>
    <row r="2750" spans="1:32" x14ac:dyDescent="0.2">
      <c r="A2750" s="1" t="s">
        <v>6601</v>
      </c>
      <c r="B2750" s="1" t="s">
        <v>5</v>
      </c>
      <c r="C2750" s="1" t="s">
        <v>1575</v>
      </c>
      <c r="D2750" s="1" t="s">
        <v>1813</v>
      </c>
      <c r="E2750" s="1" t="s">
        <v>2909</v>
      </c>
      <c r="F2750" s="1" t="s">
        <v>3212</v>
      </c>
      <c r="G2750" s="4">
        <v>0.25</v>
      </c>
      <c r="H2750" s="28">
        <v>44500</v>
      </c>
      <c r="I2750" s="29">
        <f t="shared" si="2599"/>
        <v>2021</v>
      </c>
      <c r="J2750" s="1" t="s">
        <v>3202</v>
      </c>
      <c r="K2750" s="1" t="s">
        <v>7</v>
      </c>
      <c r="L2750" s="11" t="str">
        <f t="shared" ref="L2750" si="2624">IF(OR(A2750=J2750,A2750=K2750),"ДА","НЕТ")</f>
        <v>НЕТ</v>
      </c>
      <c r="M2750" s="10">
        <v>0</v>
      </c>
      <c r="N2750" s="10">
        <v>0</v>
      </c>
      <c r="O2750" s="10">
        <v>0.95</v>
      </c>
      <c r="P2750" s="10">
        <f t="shared" si="2585"/>
        <v>3.8</v>
      </c>
      <c r="Q2750" s="10" t="str">
        <f t="shared" si="2586"/>
        <v>NA</v>
      </c>
      <c r="R2750" s="10">
        <v>2.5030000000000001</v>
      </c>
      <c r="S2750" s="10" t="s">
        <v>1575</v>
      </c>
      <c r="T2750" s="10">
        <f>R2750-1.903-0.252</f>
        <v>0.34800000000000009</v>
      </c>
      <c r="U2750" s="10">
        <v>0.46899999999999997</v>
      </c>
      <c r="V2750" s="10">
        <v>-1.506</v>
      </c>
      <c r="W2750" s="10" t="s">
        <v>1575</v>
      </c>
      <c r="X2750" s="10" t="str">
        <f t="shared" si="2609"/>
        <v>NA</v>
      </c>
      <c r="Y2750" s="10">
        <f t="shared" si="2610"/>
        <v>1.518178186176588</v>
      </c>
      <c r="Z2750" s="10">
        <f t="shared" si="2611"/>
        <v>8.1023454157782524</v>
      </c>
      <c r="AA2750" s="10">
        <f t="shared" si="2612"/>
        <v>-2.5232403718459495</v>
      </c>
      <c r="AB2750" s="10" t="str">
        <f t="shared" si="2613"/>
        <v>NA</v>
      </c>
      <c r="AC2750" s="10" t="str">
        <f t="shared" si="2614"/>
        <v>NA</v>
      </c>
      <c r="AD2750" s="10" t="str">
        <f t="shared" si="2615"/>
        <v>NA</v>
      </c>
      <c r="AE2750" s="10" t="str">
        <f t="shared" si="2616"/>
        <v>NA</v>
      </c>
      <c r="AF2750" s="1" t="s">
        <v>3248</v>
      </c>
    </row>
    <row r="2751" spans="1:32" x14ac:dyDescent="0.2">
      <c r="A2751" s="1" t="s">
        <v>3252</v>
      </c>
      <c r="B2751" s="1" t="s">
        <v>179</v>
      </c>
      <c r="C2751" s="1" t="s">
        <v>1575</v>
      </c>
      <c r="D2751" s="1" t="s">
        <v>1813</v>
      </c>
      <c r="E2751" s="1" t="s">
        <v>9358</v>
      </c>
      <c r="F2751" s="1" t="s">
        <v>3253</v>
      </c>
      <c r="G2751" s="4">
        <v>0.75</v>
      </c>
      <c r="H2751" s="28">
        <v>43921</v>
      </c>
      <c r="I2751" s="29">
        <f t="shared" si="2599"/>
        <v>2020</v>
      </c>
      <c r="J2751" s="1" t="s">
        <v>3202</v>
      </c>
      <c r="K2751" s="1" t="s">
        <v>7</v>
      </c>
      <c r="L2751" s="11" t="str">
        <f t="shared" ref="L2751" si="2625">IF(OR(A2751=J2751,A2751=K2751),"ДА","НЕТ")</f>
        <v>НЕТ</v>
      </c>
      <c r="M2751" s="10">
        <v>0</v>
      </c>
      <c r="N2751" s="10">
        <v>0</v>
      </c>
      <c r="O2751" s="10">
        <v>0.309</v>
      </c>
      <c r="P2751" s="10">
        <f t="shared" si="2585"/>
        <v>0.41199999999999998</v>
      </c>
      <c r="Q2751" s="10">
        <f t="shared" si="2586"/>
        <v>0.15299999999999997</v>
      </c>
      <c r="R2751" s="10" t="s">
        <v>1575</v>
      </c>
      <c r="S2751" s="10" t="s">
        <v>1575</v>
      </c>
      <c r="T2751" s="10" t="s">
        <v>1575</v>
      </c>
      <c r="U2751" s="10" t="s">
        <v>1575</v>
      </c>
      <c r="V2751" s="10">
        <v>0.67400000000000004</v>
      </c>
      <c r="W2751" s="10">
        <f>0.033-0.292</f>
        <v>-0.25900000000000001</v>
      </c>
      <c r="X2751" s="10">
        <f t="shared" si="2609"/>
        <v>0.41500000000000004</v>
      </c>
      <c r="Y2751" s="10" t="str">
        <f t="shared" si="2610"/>
        <v>NA</v>
      </c>
      <c r="Z2751" s="10" t="str">
        <f t="shared" si="2611"/>
        <v>NA</v>
      </c>
      <c r="AA2751" s="10">
        <f t="shared" si="2612"/>
        <v>0.6112759643916913</v>
      </c>
      <c r="AB2751" s="10" t="str">
        <f t="shared" si="2613"/>
        <v>NA</v>
      </c>
      <c r="AC2751" s="10" t="str">
        <f t="shared" si="2614"/>
        <v>NA</v>
      </c>
      <c r="AD2751" s="10" t="str">
        <f t="shared" si="2615"/>
        <v>NA</v>
      </c>
      <c r="AE2751" s="10">
        <f t="shared" si="2616"/>
        <v>0.36867469879518061</v>
      </c>
      <c r="AF2751" s="1" t="s">
        <v>3251</v>
      </c>
    </row>
    <row r="2752" spans="1:32" x14ac:dyDescent="0.2">
      <c r="A2752" s="1" t="s">
        <v>3202</v>
      </c>
      <c r="B2752" s="1" t="s">
        <v>5</v>
      </c>
      <c r="C2752" s="1" t="s">
        <v>3240</v>
      </c>
      <c r="D2752" s="1" t="s">
        <v>1813</v>
      </c>
      <c r="E2752" s="1" t="s">
        <v>3101</v>
      </c>
      <c r="F2752" s="1" t="s">
        <v>3102</v>
      </c>
      <c r="G2752" s="4">
        <f>7142858/208582082</f>
        <v>3.4244830291798506E-2</v>
      </c>
      <c r="H2752" s="28">
        <v>44098</v>
      </c>
      <c r="I2752" s="29">
        <f t="shared" si="2599"/>
        <v>2020</v>
      </c>
      <c r="J2752" s="1" t="s">
        <v>7</v>
      </c>
      <c r="K2752" s="1" t="s">
        <v>3202</v>
      </c>
      <c r="L2752" s="11" t="str">
        <f t="shared" ref="L2752" si="2626">IF(OR(A2752=J2752,A2752=K2752),"ДА","НЕТ")</f>
        <v>ДА</v>
      </c>
      <c r="M2752" s="10">
        <f>7142858*28/10^6</f>
        <v>200.000024</v>
      </c>
      <c r="N2752" s="10">
        <v>0</v>
      </c>
      <c r="O2752" s="10">
        <f>15.209-0.054</f>
        <v>15.154999999999999</v>
      </c>
      <c r="P2752" s="10">
        <f t="shared" si="2585"/>
        <v>442.54855027357394</v>
      </c>
      <c r="Q2752" s="10">
        <f t="shared" si="2586"/>
        <v>412.43655027357391</v>
      </c>
      <c r="R2752" s="10">
        <v>96.230999999999995</v>
      </c>
      <c r="S2752" s="10">
        <v>23.252000000000002</v>
      </c>
      <c r="T2752" s="10">
        <v>10.481</v>
      </c>
      <c r="U2752" s="10">
        <v>18.850999999999999</v>
      </c>
      <c r="V2752" s="10">
        <v>185.464</v>
      </c>
      <c r="W2752" s="10">
        <v>-30.111999999999998</v>
      </c>
      <c r="X2752" s="10">
        <f t="shared" si="2609"/>
        <v>155.352</v>
      </c>
      <c r="Y2752" s="10">
        <f t="shared" si="2610"/>
        <v>4.5988148338225097</v>
      </c>
      <c r="Z2752" s="10">
        <f t="shared" si="2611"/>
        <v>23.476131254234467</v>
      </c>
      <c r="AA2752" s="10">
        <f t="shared" si="2612"/>
        <v>2.3861695545958996</v>
      </c>
      <c r="AB2752" s="10">
        <f t="shared" si="2613"/>
        <v>4.2859011157898594</v>
      </c>
      <c r="AC2752" s="10">
        <f t="shared" si="2614"/>
        <v>17.737680641388863</v>
      </c>
      <c r="AD2752" s="10">
        <f t="shared" si="2615"/>
        <v>39.350877804939785</v>
      </c>
      <c r="AE2752" s="10">
        <f t="shared" si="2616"/>
        <v>2.6548518865130406</v>
      </c>
      <c r="AF2752" s="1" t="s">
        <v>3241</v>
      </c>
    </row>
    <row r="2753" spans="1:32" x14ac:dyDescent="0.2">
      <c r="A2753" s="1" t="s">
        <v>3202</v>
      </c>
      <c r="B2753" s="1" t="s">
        <v>5</v>
      </c>
      <c r="C2753" s="1" t="s">
        <v>3240</v>
      </c>
      <c r="D2753" s="1" t="s">
        <v>1813</v>
      </c>
      <c r="E2753" s="1" t="s">
        <v>3101</v>
      </c>
      <c r="F2753" s="1" t="s">
        <v>3102</v>
      </c>
      <c r="G2753" s="4">
        <f>572437/208582082</f>
        <v>2.7444207791539831E-3</v>
      </c>
      <c r="H2753" s="28">
        <v>43830</v>
      </c>
      <c r="I2753" s="29">
        <f t="shared" si="2599"/>
        <v>2019</v>
      </c>
      <c r="J2753" s="1" t="s">
        <v>3202</v>
      </c>
      <c r="K2753" s="1" t="s">
        <v>7</v>
      </c>
      <c r="L2753" s="11" t="str">
        <f t="shared" ref="L2753" si="2627">IF(OR(A2753=J2753,A2753=K2753),"ДА","НЕТ")</f>
        <v>ДА</v>
      </c>
      <c r="M2753" s="10">
        <v>0</v>
      </c>
      <c r="N2753" s="10">
        <v>0</v>
      </c>
      <c r="O2753" s="10">
        <v>0.89600000000000002</v>
      </c>
      <c r="P2753" s="10">
        <f t="shared" si="2585"/>
        <v>326.48054802886605</v>
      </c>
      <c r="Q2753" s="10">
        <f t="shared" si="2586"/>
        <v>296.36854802886603</v>
      </c>
      <c r="R2753" s="10">
        <v>96.230999999999995</v>
      </c>
      <c r="S2753" s="10">
        <v>23.252000000000002</v>
      </c>
      <c r="T2753" s="10">
        <v>10.481</v>
      </c>
      <c r="U2753" s="10">
        <v>18.850999999999999</v>
      </c>
      <c r="V2753" s="10">
        <v>185.464</v>
      </c>
      <c r="W2753" s="10">
        <v>-30.111999999999998</v>
      </c>
      <c r="X2753" s="10">
        <f t="shared" si="2609"/>
        <v>155.352</v>
      </c>
      <c r="Y2753" s="10">
        <f t="shared" si="2610"/>
        <v>3.3926754167458104</v>
      </c>
      <c r="Z2753" s="10">
        <f t="shared" si="2611"/>
        <v>17.319004192290386</v>
      </c>
      <c r="AA2753" s="10">
        <f t="shared" si="2612"/>
        <v>1.7603445845493793</v>
      </c>
      <c r="AB2753" s="10">
        <f t="shared" si="2613"/>
        <v>3.0797616987131593</v>
      </c>
      <c r="AC2753" s="10">
        <f t="shared" si="2614"/>
        <v>12.745937899056683</v>
      </c>
      <c r="AD2753" s="10">
        <f t="shared" si="2615"/>
        <v>28.276743443265531</v>
      </c>
      <c r="AE2753" s="10">
        <f t="shared" si="2616"/>
        <v>1.9077227716982468</v>
      </c>
      <c r="AF2753" s="1" t="s">
        <v>3239</v>
      </c>
    </row>
    <row r="2754" spans="1:32" x14ac:dyDescent="0.2">
      <c r="A2754" s="1" t="s">
        <v>3254</v>
      </c>
      <c r="B2754" s="1" t="s">
        <v>179</v>
      </c>
      <c r="C2754" s="1" t="s">
        <v>1575</v>
      </c>
      <c r="D2754" s="1" t="s">
        <v>1813</v>
      </c>
      <c r="E2754" s="1" t="s">
        <v>1587</v>
      </c>
      <c r="F2754" s="1" t="s">
        <v>3255</v>
      </c>
      <c r="G2754" s="4">
        <v>0.8</v>
      </c>
      <c r="H2754" s="28">
        <v>43524</v>
      </c>
      <c r="I2754" s="29">
        <f t="shared" si="2599"/>
        <v>2019</v>
      </c>
      <c r="J2754" s="1" t="s">
        <v>3202</v>
      </c>
      <c r="K2754" s="1" t="s">
        <v>7</v>
      </c>
      <c r="L2754" s="11" t="str">
        <f t="shared" ref="L2754" si="2628">IF(OR(A2754=J2754,A2754=K2754),"ДА","НЕТ")</f>
        <v>НЕТ</v>
      </c>
      <c r="M2754" s="10">
        <v>0</v>
      </c>
      <c r="N2754" s="10">
        <v>0</v>
      </c>
      <c r="O2754" s="10">
        <v>6.391</v>
      </c>
      <c r="P2754" s="10">
        <f t="shared" si="2585"/>
        <v>7.9887499999999996</v>
      </c>
      <c r="Q2754" s="10">
        <f t="shared" si="2586"/>
        <v>6.9407499999999995</v>
      </c>
      <c r="R2754" s="10" t="s">
        <v>1575</v>
      </c>
      <c r="S2754" s="10" t="s">
        <v>1575</v>
      </c>
      <c r="T2754" s="10" t="s">
        <v>1575</v>
      </c>
      <c r="U2754" s="10" t="s">
        <v>1575</v>
      </c>
      <c r="V2754" s="10">
        <v>1.3879999999999999</v>
      </c>
      <c r="W2754" s="10">
        <f>0.031-1.079</f>
        <v>-1.048</v>
      </c>
      <c r="X2754" s="10">
        <f t="shared" si="2609"/>
        <v>0.33999999999999986</v>
      </c>
      <c r="Y2754" s="10" t="str">
        <f t="shared" si="2610"/>
        <v>NA</v>
      </c>
      <c r="Z2754" s="10" t="str">
        <f t="shared" si="2611"/>
        <v>NA</v>
      </c>
      <c r="AA2754" s="10">
        <f t="shared" si="2612"/>
        <v>5.7555835734870318</v>
      </c>
      <c r="AB2754" s="10" t="str">
        <f t="shared" si="2613"/>
        <v>NA</v>
      </c>
      <c r="AC2754" s="10" t="str">
        <f t="shared" si="2614"/>
        <v>NA</v>
      </c>
      <c r="AD2754" s="10" t="str">
        <f t="shared" si="2615"/>
        <v>NA</v>
      </c>
      <c r="AE2754" s="10">
        <f t="shared" si="2616"/>
        <v>20.413970588235301</v>
      </c>
      <c r="AF2754" s="1" t="s">
        <v>3256</v>
      </c>
    </row>
    <row r="2755" spans="1:32" x14ac:dyDescent="0.2">
      <c r="A2755" s="1" t="s">
        <v>3264</v>
      </c>
      <c r="B2755" s="1" t="s">
        <v>1575</v>
      </c>
      <c r="C2755" s="1" t="s">
        <v>1575</v>
      </c>
      <c r="D2755" s="1" t="s">
        <v>1813</v>
      </c>
      <c r="E2755" s="1" t="s">
        <v>9358</v>
      </c>
      <c r="F2755" s="1" t="s">
        <v>3253</v>
      </c>
      <c r="G2755" s="4">
        <v>0.39450000000000002</v>
      </c>
      <c r="H2755" s="28">
        <v>43616</v>
      </c>
      <c r="I2755" s="29">
        <f t="shared" si="2599"/>
        <v>2019</v>
      </c>
      <c r="J2755" s="1" t="s">
        <v>3202</v>
      </c>
      <c r="K2755" s="1" t="s">
        <v>7</v>
      </c>
      <c r="L2755" s="11" t="str">
        <f t="shared" ref="L2755" si="2629">IF(OR(A2755=J2755,A2755=K2755),"ДА","НЕТ")</f>
        <v>НЕТ</v>
      </c>
      <c r="M2755" s="10">
        <v>0</v>
      </c>
      <c r="N2755" s="10">
        <v>0</v>
      </c>
      <c r="O2755" s="10">
        <v>0.626</v>
      </c>
      <c r="P2755" s="10">
        <f t="shared" ref="P2755:P2818" si="2630">IFERROR(O2755/G2755,"NA")</f>
        <v>1.5868187579214195</v>
      </c>
      <c r="Q2755" s="10">
        <f t="shared" ref="Q2755:Q2818" si="2631">IFERROR(P2755+W2755,"NA")</f>
        <v>1.6288187579214195</v>
      </c>
      <c r="R2755" s="10" t="s">
        <v>1575</v>
      </c>
      <c r="S2755" s="10" t="s">
        <v>1575</v>
      </c>
      <c r="T2755" s="10" t="s">
        <v>1575</v>
      </c>
      <c r="U2755" s="10" t="s">
        <v>1575</v>
      </c>
      <c r="V2755" s="10">
        <v>0.34899999999999998</v>
      </c>
      <c r="W2755" s="10">
        <f>0.131-0.089</f>
        <v>4.200000000000001E-2</v>
      </c>
      <c r="X2755" s="10">
        <f t="shared" si="2609"/>
        <v>0.39100000000000001</v>
      </c>
      <c r="Y2755" s="10" t="str">
        <f t="shared" si="2610"/>
        <v>NA</v>
      </c>
      <c r="Z2755" s="10" t="str">
        <f t="shared" si="2611"/>
        <v>NA</v>
      </c>
      <c r="AA2755" s="10">
        <f t="shared" si="2612"/>
        <v>4.5467586186860158</v>
      </c>
      <c r="AB2755" s="10" t="str">
        <f t="shared" si="2613"/>
        <v>NA</v>
      </c>
      <c r="AC2755" s="10" t="str">
        <f t="shared" si="2614"/>
        <v>NA</v>
      </c>
      <c r="AD2755" s="10" t="str">
        <f t="shared" si="2615"/>
        <v>NA</v>
      </c>
      <c r="AE2755" s="10">
        <f t="shared" si="2616"/>
        <v>4.1657768744793335</v>
      </c>
      <c r="AF2755" s="1" t="s">
        <v>3261</v>
      </c>
    </row>
    <row r="2756" spans="1:32" x14ac:dyDescent="0.2">
      <c r="A2756" s="1" t="s">
        <v>3265</v>
      </c>
      <c r="B2756" s="1" t="s">
        <v>1575</v>
      </c>
      <c r="C2756" s="1" t="s">
        <v>1575</v>
      </c>
      <c r="D2756" s="1" t="s">
        <v>1813</v>
      </c>
      <c r="E2756" s="1" t="s">
        <v>1840</v>
      </c>
      <c r="F2756" s="1" t="s">
        <v>3266</v>
      </c>
      <c r="G2756" s="4">
        <v>0.50829999999999997</v>
      </c>
      <c r="H2756" s="28">
        <v>43585</v>
      </c>
      <c r="I2756" s="29">
        <f t="shared" si="2599"/>
        <v>2019</v>
      </c>
      <c r="J2756" s="1" t="s">
        <v>3202</v>
      </c>
      <c r="K2756" s="1" t="s">
        <v>7</v>
      </c>
      <c r="L2756" s="11" t="str">
        <f t="shared" ref="L2756" si="2632">IF(OR(A2756=J2756,A2756=K2756),"ДА","НЕТ")</f>
        <v>НЕТ</v>
      </c>
      <c r="M2756" s="10">
        <v>0</v>
      </c>
      <c r="N2756" s="10">
        <v>0</v>
      </c>
      <c r="O2756" s="10">
        <v>2.0640000000000001</v>
      </c>
      <c r="P2756" s="10">
        <f t="shared" si="2630"/>
        <v>4.0605941373204804</v>
      </c>
      <c r="Q2756" s="10">
        <f t="shared" si="2631"/>
        <v>4.0965941373204799</v>
      </c>
      <c r="R2756" s="10" t="s">
        <v>1575</v>
      </c>
      <c r="S2756" s="10" t="s">
        <v>1575</v>
      </c>
      <c r="T2756" s="10" t="s">
        <v>1575</v>
      </c>
      <c r="U2756" s="10" t="s">
        <v>1575</v>
      </c>
      <c r="V2756" s="10">
        <v>0.34499999999999997</v>
      </c>
      <c r="W2756" s="10">
        <f>0.055+0.067-0.086</f>
        <v>3.6000000000000004E-2</v>
      </c>
      <c r="X2756" s="10">
        <f t="shared" si="2609"/>
        <v>0.38100000000000001</v>
      </c>
      <c r="Y2756" s="10" t="str">
        <f t="shared" si="2610"/>
        <v>NA</v>
      </c>
      <c r="Z2756" s="10" t="str">
        <f t="shared" si="2611"/>
        <v>NA</v>
      </c>
      <c r="AA2756" s="10">
        <f t="shared" si="2612"/>
        <v>11.7698380791898</v>
      </c>
      <c r="AB2756" s="10" t="str">
        <f t="shared" si="2613"/>
        <v>NA</v>
      </c>
      <c r="AC2756" s="10" t="str">
        <f t="shared" si="2614"/>
        <v>NA</v>
      </c>
      <c r="AD2756" s="10" t="str">
        <f t="shared" si="2615"/>
        <v>NA</v>
      </c>
      <c r="AE2756" s="10">
        <f t="shared" si="2616"/>
        <v>10.75221558351832</v>
      </c>
      <c r="AF2756" s="1" t="s">
        <v>3262</v>
      </c>
    </row>
    <row r="2757" spans="1:32" x14ac:dyDescent="0.2">
      <c r="A2757" s="1" t="s">
        <v>6602</v>
      </c>
      <c r="B2757" s="1" t="s">
        <v>5</v>
      </c>
      <c r="C2757" s="1" t="s">
        <v>1575</v>
      </c>
      <c r="D2757" s="1" t="s">
        <v>1813</v>
      </c>
      <c r="E2757" s="1" t="s">
        <v>9358</v>
      </c>
      <c r="F2757" s="1" t="s">
        <v>3253</v>
      </c>
      <c r="G2757" s="4">
        <v>0.16</v>
      </c>
      <c r="H2757" s="28">
        <v>43654</v>
      </c>
      <c r="I2757" s="29">
        <f t="shared" si="2599"/>
        <v>2019</v>
      </c>
      <c r="J2757" s="1" t="s">
        <v>3202</v>
      </c>
      <c r="K2757" s="1" t="s">
        <v>7</v>
      </c>
      <c r="L2757" s="11" t="str">
        <f t="shared" ref="L2757:L2758" si="2633">IF(OR(A2757=J2757,A2757=K2757),"ДА","НЕТ")</f>
        <v>НЕТ</v>
      </c>
      <c r="M2757" s="10">
        <v>0</v>
      </c>
      <c r="N2757" s="10">
        <v>0</v>
      </c>
      <c r="O2757" s="10">
        <v>7.9000000000000001E-2</v>
      </c>
      <c r="P2757" s="10">
        <f t="shared" si="2630"/>
        <v>0.49375000000000002</v>
      </c>
      <c r="Q2757" s="10">
        <f t="shared" si="2631"/>
        <v>0.46074999999999999</v>
      </c>
      <c r="R2757" s="10" t="s">
        <v>1575</v>
      </c>
      <c r="S2757" s="10" t="s">
        <v>1575</v>
      </c>
      <c r="T2757" s="10" t="s">
        <v>1575</v>
      </c>
      <c r="U2757" s="10" t="s">
        <v>1575</v>
      </c>
      <c r="V2757" s="10">
        <v>0.23499999999999999</v>
      </c>
      <c r="W2757" s="10">
        <v>-3.3000000000000002E-2</v>
      </c>
      <c r="X2757" s="10">
        <f t="shared" si="2609"/>
        <v>0.20199999999999999</v>
      </c>
      <c r="Y2757" s="10" t="str">
        <f t="shared" si="2610"/>
        <v>NA</v>
      </c>
      <c r="Z2757" s="10" t="str">
        <f t="shared" si="2611"/>
        <v>NA</v>
      </c>
      <c r="AA2757" s="10">
        <f t="shared" si="2612"/>
        <v>2.1010638297872344</v>
      </c>
      <c r="AB2757" s="10" t="str">
        <f t="shared" si="2613"/>
        <v>NA</v>
      </c>
      <c r="AC2757" s="10" t="str">
        <f t="shared" si="2614"/>
        <v>NA</v>
      </c>
      <c r="AD2757" s="10" t="str">
        <f t="shared" si="2615"/>
        <v>NA</v>
      </c>
      <c r="AE2757" s="10">
        <f t="shared" si="2616"/>
        <v>2.2809405940594059</v>
      </c>
      <c r="AF2757" s="1" t="s">
        <v>3267</v>
      </c>
    </row>
    <row r="2758" spans="1:32" x14ac:dyDescent="0.2">
      <c r="A2758" s="1" t="s">
        <v>6603</v>
      </c>
      <c r="B2758" s="1" t="s">
        <v>5</v>
      </c>
      <c r="C2758" s="1" t="s">
        <v>1575</v>
      </c>
      <c r="D2758" s="1" t="s">
        <v>1813</v>
      </c>
      <c r="E2758" s="1" t="s">
        <v>2909</v>
      </c>
      <c r="F2758" s="1" t="s">
        <v>3212</v>
      </c>
      <c r="G2758" s="4">
        <v>0.5</v>
      </c>
      <c r="H2758" s="28">
        <v>43830</v>
      </c>
      <c r="I2758" s="29">
        <f t="shared" si="2599"/>
        <v>2019</v>
      </c>
      <c r="J2758" s="1" t="s">
        <v>3202</v>
      </c>
      <c r="K2758" s="1" t="s">
        <v>7</v>
      </c>
      <c r="L2758" s="11" t="str">
        <f t="shared" si="2633"/>
        <v>НЕТ</v>
      </c>
      <c r="M2758" s="10">
        <v>0</v>
      </c>
      <c r="N2758" s="10">
        <v>0</v>
      </c>
      <c r="O2758" s="10">
        <v>1.6020000000000001</v>
      </c>
      <c r="P2758" s="10">
        <f t="shared" si="2630"/>
        <v>3.2040000000000002</v>
      </c>
      <c r="Q2758" s="10">
        <f t="shared" si="2631"/>
        <v>3.0860000000000003</v>
      </c>
      <c r="R2758" s="10" t="s">
        <v>1575</v>
      </c>
      <c r="S2758" s="10" t="s">
        <v>1575</v>
      </c>
      <c r="T2758" s="10" t="s">
        <v>1575</v>
      </c>
      <c r="U2758" s="10" t="s">
        <v>1575</v>
      </c>
      <c r="V2758" s="10">
        <v>0.26200000000000001</v>
      </c>
      <c r="W2758" s="10">
        <v>-0.11799999999999999</v>
      </c>
      <c r="X2758" s="10">
        <f t="shared" si="2609"/>
        <v>0.14400000000000002</v>
      </c>
      <c r="Y2758" s="10" t="str">
        <f t="shared" si="2610"/>
        <v>NA</v>
      </c>
      <c r="Z2758" s="10" t="str">
        <f t="shared" si="2611"/>
        <v>NA</v>
      </c>
      <c r="AA2758" s="10">
        <f t="shared" si="2612"/>
        <v>12.229007633587786</v>
      </c>
      <c r="AB2758" s="10" t="str">
        <f t="shared" si="2613"/>
        <v>NA</v>
      </c>
      <c r="AC2758" s="10" t="str">
        <f t="shared" si="2614"/>
        <v>NA</v>
      </c>
      <c r="AD2758" s="10" t="str">
        <f t="shared" si="2615"/>
        <v>NA</v>
      </c>
      <c r="AE2758" s="10">
        <f t="shared" si="2616"/>
        <v>21.430555555555554</v>
      </c>
      <c r="AF2758" s="1" t="s">
        <v>3268</v>
      </c>
    </row>
    <row r="2759" spans="1:32" x14ac:dyDescent="0.2">
      <c r="A2759" s="1" t="s">
        <v>3281</v>
      </c>
      <c r="B2759" s="1" t="s">
        <v>2070</v>
      </c>
      <c r="C2759" s="1" t="s">
        <v>1575</v>
      </c>
      <c r="D2759" s="1" t="s">
        <v>1813</v>
      </c>
      <c r="E2759" s="1" t="s">
        <v>1819</v>
      </c>
      <c r="F2759" s="1" t="s">
        <v>2069</v>
      </c>
      <c r="G2759" s="4">
        <v>0.15010000000000001</v>
      </c>
      <c r="H2759" s="28">
        <v>43746</v>
      </c>
      <c r="I2759" s="29">
        <f t="shared" si="2599"/>
        <v>2019</v>
      </c>
      <c r="J2759" s="1" t="s">
        <v>3202</v>
      </c>
      <c r="K2759" s="1" t="s">
        <v>7</v>
      </c>
      <c r="L2759" s="11" t="str">
        <f t="shared" ref="L2759" si="2634">IF(OR(A2759=J2759,A2759=K2759),"ДА","НЕТ")</f>
        <v>НЕТ</v>
      </c>
      <c r="M2759" s="10">
        <v>0</v>
      </c>
      <c r="N2759" s="10">
        <v>0</v>
      </c>
      <c r="O2759" s="10">
        <v>11.8</v>
      </c>
      <c r="P2759" s="10">
        <f t="shared" si="2630"/>
        <v>78.61425716189207</v>
      </c>
      <c r="Q2759" s="10">
        <f t="shared" si="2631"/>
        <v>74.231257161892074</v>
      </c>
      <c r="R2759" s="10" t="s">
        <v>1575</v>
      </c>
      <c r="S2759" s="10" t="s">
        <v>1575</v>
      </c>
      <c r="T2759" s="10" t="s">
        <v>1575</v>
      </c>
      <c r="U2759" s="10" t="s">
        <v>1575</v>
      </c>
      <c r="V2759" s="10">
        <v>62.037999999999997</v>
      </c>
      <c r="W2759" s="10">
        <f>8.787-13.17</f>
        <v>-4.3829999999999991</v>
      </c>
      <c r="X2759" s="10">
        <f t="shared" si="2609"/>
        <v>57.655000000000001</v>
      </c>
      <c r="Y2759" s="10" t="str">
        <f t="shared" si="2610"/>
        <v>NA</v>
      </c>
      <c r="Z2759" s="10" t="str">
        <f t="shared" si="2611"/>
        <v>NA</v>
      </c>
      <c r="AA2759" s="10">
        <f t="shared" si="2612"/>
        <v>1.2671952216688493</v>
      </c>
      <c r="AB2759" s="10" t="str">
        <f t="shared" si="2613"/>
        <v>NA</v>
      </c>
      <c r="AC2759" s="10" t="str">
        <f t="shared" si="2614"/>
        <v>NA</v>
      </c>
      <c r="AD2759" s="10" t="str">
        <f t="shared" si="2615"/>
        <v>NA</v>
      </c>
      <c r="AE2759" s="10">
        <f t="shared" si="2616"/>
        <v>1.2875077124601868</v>
      </c>
      <c r="AF2759" s="1" t="s">
        <v>3269</v>
      </c>
    </row>
    <row r="2760" spans="1:32" x14ac:dyDescent="0.2">
      <c r="A2760" s="1" t="s">
        <v>3275</v>
      </c>
      <c r="B2760" s="1" t="s">
        <v>5</v>
      </c>
      <c r="C2760" s="1" t="s">
        <v>1575</v>
      </c>
      <c r="D2760" s="1" t="s">
        <v>1813</v>
      </c>
      <c r="E2760" s="1" t="s">
        <v>1819</v>
      </c>
      <c r="F2760" s="1" t="s">
        <v>3243</v>
      </c>
      <c r="G2760" s="4">
        <v>0.5</v>
      </c>
      <c r="H2760" s="28">
        <v>43676</v>
      </c>
      <c r="I2760" s="29">
        <f t="shared" si="2599"/>
        <v>2019</v>
      </c>
      <c r="J2760" s="1" t="s">
        <v>3202</v>
      </c>
      <c r="K2760" s="1" t="s">
        <v>7</v>
      </c>
      <c r="L2760" s="11" t="str">
        <f t="shared" ref="L2760:L2765" si="2635">IF(OR(A2760=J2760,A2760=K2760),"ДА","НЕТ")</f>
        <v>НЕТ</v>
      </c>
      <c r="M2760" s="10">
        <v>0</v>
      </c>
      <c r="N2760" s="10">
        <v>0</v>
      </c>
      <c r="O2760" s="10">
        <v>8.4469999999999992</v>
      </c>
      <c r="P2760" s="10">
        <f t="shared" si="2630"/>
        <v>16.893999999999998</v>
      </c>
      <c r="Q2760" s="10">
        <f t="shared" si="2631"/>
        <v>-25.887000000000008</v>
      </c>
      <c r="R2760" s="10" t="s">
        <v>1575</v>
      </c>
      <c r="S2760" s="10" t="s">
        <v>1575</v>
      </c>
      <c r="T2760" s="10" t="s">
        <v>1575</v>
      </c>
      <c r="U2760" s="10" t="s">
        <v>1575</v>
      </c>
      <c r="V2760" s="10">
        <v>59.978999999999999</v>
      </c>
      <c r="W2760" s="10">
        <f>0.235+1.44-44.456</f>
        <v>-42.781000000000006</v>
      </c>
      <c r="X2760" s="10">
        <f t="shared" si="2609"/>
        <v>17.197999999999993</v>
      </c>
      <c r="Y2760" s="10" t="str">
        <f t="shared" si="2610"/>
        <v>NA</v>
      </c>
      <c r="Z2760" s="10" t="str">
        <f t="shared" si="2611"/>
        <v>NA</v>
      </c>
      <c r="AA2760" s="10">
        <f t="shared" si="2612"/>
        <v>0.28166524950399302</v>
      </c>
      <c r="AB2760" s="10" t="str">
        <f t="shared" si="2613"/>
        <v>NA</v>
      </c>
      <c r="AC2760" s="10" t="str">
        <f t="shared" si="2614"/>
        <v>NA</v>
      </c>
      <c r="AD2760" s="10" t="str">
        <f t="shared" si="2615"/>
        <v>NA</v>
      </c>
      <c r="AE2760" s="10">
        <f t="shared" si="2616"/>
        <v>-1.5052331666472856</v>
      </c>
      <c r="AF2760" s="1" t="s">
        <v>3270</v>
      </c>
    </row>
    <row r="2761" spans="1:32" x14ac:dyDescent="0.2">
      <c r="A2761" s="1" t="s">
        <v>2079</v>
      </c>
      <c r="B2761" s="1" t="s">
        <v>5</v>
      </c>
      <c r="C2761" s="1" t="s">
        <v>1575</v>
      </c>
      <c r="D2761" s="1" t="s">
        <v>1813</v>
      </c>
      <c r="E2761" s="1" t="s">
        <v>1869</v>
      </c>
      <c r="F2761" s="1" t="s">
        <v>1870</v>
      </c>
      <c r="G2761" s="4">
        <v>1</v>
      </c>
      <c r="H2761" s="28">
        <v>43131</v>
      </c>
      <c r="I2761" s="29">
        <f t="shared" si="2599"/>
        <v>2018</v>
      </c>
      <c r="J2761" s="1" t="s">
        <v>6019</v>
      </c>
      <c r="K2761" s="1" t="s">
        <v>7</v>
      </c>
      <c r="L2761" s="11" t="str">
        <f t="shared" si="2635"/>
        <v>НЕТ</v>
      </c>
      <c r="M2761" s="10">
        <v>0</v>
      </c>
      <c r="N2761" s="10">
        <v>0</v>
      </c>
      <c r="O2761" s="10">
        <f>5.659+1.948</f>
        <v>7.6069999999999993</v>
      </c>
      <c r="P2761" s="10">
        <f t="shared" si="2630"/>
        <v>7.6069999999999993</v>
      </c>
      <c r="Q2761" s="10">
        <f t="shared" si="2631"/>
        <v>7.5439999999999996</v>
      </c>
      <c r="R2761" s="10" t="s">
        <v>1575</v>
      </c>
      <c r="S2761" s="10" t="s">
        <v>1575</v>
      </c>
      <c r="T2761" s="10" t="s">
        <v>1575</v>
      </c>
      <c r="U2761" s="10" t="s">
        <v>1575</v>
      </c>
      <c r="V2761" s="10">
        <v>1.4410000000000001</v>
      </c>
      <c r="W2761" s="10">
        <f>0.144-0.207</f>
        <v>-6.3E-2</v>
      </c>
      <c r="X2761" s="10">
        <f t="shared" si="2609"/>
        <v>1.3780000000000001</v>
      </c>
      <c r="Y2761" s="10" t="str">
        <f t="shared" si="2610"/>
        <v>NA</v>
      </c>
      <c r="Z2761" s="10" t="str">
        <f t="shared" si="2611"/>
        <v>NA</v>
      </c>
      <c r="AA2761" s="10">
        <f t="shared" si="2612"/>
        <v>5.2789729354614847</v>
      </c>
      <c r="AB2761" s="10" t="str">
        <f t="shared" si="2613"/>
        <v>NA</v>
      </c>
      <c r="AC2761" s="10" t="str">
        <f t="shared" si="2614"/>
        <v>NA</v>
      </c>
      <c r="AD2761" s="10" t="str">
        <f t="shared" si="2615"/>
        <v>NA</v>
      </c>
      <c r="AE2761" s="10">
        <f t="shared" si="2616"/>
        <v>5.4746008708272855</v>
      </c>
      <c r="AF2761" s="1" t="s">
        <v>3280</v>
      </c>
    </row>
    <row r="2762" spans="1:32" x14ac:dyDescent="0.2">
      <c r="A2762" s="1" t="s">
        <v>6604</v>
      </c>
      <c r="B2762" s="1" t="s">
        <v>1575</v>
      </c>
      <c r="C2762" s="1" t="s">
        <v>1575</v>
      </c>
      <c r="D2762" s="1" t="s">
        <v>1813</v>
      </c>
      <c r="E2762" s="1" t="s">
        <v>9358</v>
      </c>
      <c r="F2762" s="1" t="s">
        <v>3253</v>
      </c>
      <c r="G2762" s="4">
        <v>0.49</v>
      </c>
      <c r="H2762" s="28">
        <v>43220</v>
      </c>
      <c r="I2762" s="29">
        <f t="shared" si="2599"/>
        <v>2018</v>
      </c>
      <c r="J2762" s="1" t="s">
        <v>3202</v>
      </c>
      <c r="K2762" s="1" t="s">
        <v>7</v>
      </c>
      <c r="L2762" s="11" t="str">
        <f t="shared" si="2635"/>
        <v>НЕТ</v>
      </c>
      <c r="M2762" s="10">
        <v>0</v>
      </c>
      <c r="N2762" s="10">
        <v>0</v>
      </c>
      <c r="O2762" s="10" t="s">
        <v>1575</v>
      </c>
      <c r="P2762" s="10" t="str">
        <f t="shared" si="2630"/>
        <v>NA</v>
      </c>
      <c r="Q2762" s="10" t="str">
        <f t="shared" si="2631"/>
        <v>NA</v>
      </c>
      <c r="R2762" s="10" t="s">
        <v>1575</v>
      </c>
      <c r="S2762" s="10" t="s">
        <v>1575</v>
      </c>
      <c r="T2762" s="10" t="s">
        <v>1575</v>
      </c>
      <c r="U2762" s="10" t="s">
        <v>1575</v>
      </c>
      <c r="V2762" s="10" t="s">
        <v>1575</v>
      </c>
      <c r="W2762" s="10" t="s">
        <v>1575</v>
      </c>
      <c r="X2762" s="10" t="str">
        <f t="shared" si="2609"/>
        <v>NA</v>
      </c>
      <c r="Y2762" s="10" t="str">
        <f t="shared" si="2610"/>
        <v>NA</v>
      </c>
      <c r="Z2762" s="10" t="str">
        <f t="shared" si="2611"/>
        <v>NA</v>
      </c>
      <c r="AA2762" s="10" t="str">
        <f t="shared" si="2612"/>
        <v>NA</v>
      </c>
      <c r="AB2762" s="10" t="str">
        <f t="shared" si="2613"/>
        <v>NA</v>
      </c>
      <c r="AC2762" s="10" t="str">
        <f t="shared" si="2614"/>
        <v>NA</v>
      </c>
      <c r="AD2762" s="10" t="str">
        <f t="shared" si="2615"/>
        <v>NA</v>
      </c>
      <c r="AE2762" s="10" t="str">
        <f t="shared" si="2616"/>
        <v>NA</v>
      </c>
      <c r="AF2762" s="1" t="s">
        <v>3257</v>
      </c>
    </row>
    <row r="2763" spans="1:32" x14ac:dyDescent="0.2">
      <c r="A2763" s="1" t="s">
        <v>6605</v>
      </c>
      <c r="B2763" s="1" t="s">
        <v>5</v>
      </c>
      <c r="C2763" s="1" t="s">
        <v>1575</v>
      </c>
      <c r="D2763" s="1" t="s">
        <v>1813</v>
      </c>
      <c r="E2763" s="1" t="s">
        <v>1821</v>
      </c>
      <c r="F2763" s="1" t="s">
        <v>3259</v>
      </c>
      <c r="G2763" s="4">
        <v>1</v>
      </c>
      <c r="H2763" s="28">
        <v>43220</v>
      </c>
      <c r="I2763" s="29">
        <f t="shared" si="2599"/>
        <v>2018</v>
      </c>
      <c r="J2763" s="1" t="s">
        <v>3202</v>
      </c>
      <c r="K2763" s="1" t="s">
        <v>7</v>
      </c>
      <c r="L2763" s="11" t="str">
        <f t="shared" si="2635"/>
        <v>НЕТ</v>
      </c>
      <c r="M2763" s="10">
        <v>0</v>
      </c>
      <c r="N2763" s="10">
        <v>0</v>
      </c>
      <c r="O2763" s="10" t="s">
        <v>1575</v>
      </c>
      <c r="P2763" s="10" t="str">
        <f t="shared" si="2630"/>
        <v>NA</v>
      </c>
      <c r="Q2763" s="10" t="str">
        <f t="shared" si="2631"/>
        <v>NA</v>
      </c>
      <c r="R2763" s="10" t="s">
        <v>1575</v>
      </c>
      <c r="S2763" s="10" t="s">
        <v>1575</v>
      </c>
      <c r="T2763" s="10" t="s">
        <v>1575</v>
      </c>
      <c r="U2763" s="10" t="s">
        <v>1575</v>
      </c>
      <c r="V2763" s="10" t="s">
        <v>1575</v>
      </c>
      <c r="W2763" s="10" t="s">
        <v>1575</v>
      </c>
      <c r="X2763" s="10" t="str">
        <f t="shared" si="2609"/>
        <v>NA</v>
      </c>
      <c r="Y2763" s="10" t="str">
        <f t="shared" si="2610"/>
        <v>NA</v>
      </c>
      <c r="Z2763" s="10" t="str">
        <f t="shared" si="2611"/>
        <v>NA</v>
      </c>
      <c r="AA2763" s="10" t="str">
        <f t="shared" si="2612"/>
        <v>NA</v>
      </c>
      <c r="AB2763" s="10" t="str">
        <f t="shared" si="2613"/>
        <v>NA</v>
      </c>
      <c r="AC2763" s="10" t="str">
        <f t="shared" si="2614"/>
        <v>NA</v>
      </c>
      <c r="AD2763" s="10" t="str">
        <f t="shared" si="2615"/>
        <v>NA</v>
      </c>
      <c r="AE2763" s="10" t="str">
        <f t="shared" si="2616"/>
        <v>NA</v>
      </c>
      <c r="AF2763" s="1" t="s">
        <v>3257</v>
      </c>
    </row>
    <row r="2764" spans="1:32" x14ac:dyDescent="0.2">
      <c r="A2764" s="1" t="s">
        <v>6606</v>
      </c>
      <c r="B2764" s="1" t="s">
        <v>1575</v>
      </c>
      <c r="C2764" s="1" t="s">
        <v>1575</v>
      </c>
      <c r="D2764" s="1" t="s">
        <v>1813</v>
      </c>
      <c r="E2764" s="1" t="s">
        <v>3258</v>
      </c>
      <c r="F2764" s="1" t="s">
        <v>3260</v>
      </c>
      <c r="G2764" s="4">
        <v>1</v>
      </c>
      <c r="H2764" s="28">
        <v>43281</v>
      </c>
      <c r="I2764" s="29">
        <f t="shared" si="2599"/>
        <v>2018</v>
      </c>
      <c r="J2764" s="1" t="s">
        <v>3202</v>
      </c>
      <c r="K2764" s="1" t="s">
        <v>7</v>
      </c>
      <c r="L2764" s="11" t="str">
        <f t="shared" si="2635"/>
        <v>НЕТ</v>
      </c>
      <c r="M2764" s="10">
        <v>0</v>
      </c>
      <c r="N2764" s="10">
        <v>0</v>
      </c>
      <c r="O2764" s="10" t="s">
        <v>1575</v>
      </c>
      <c r="P2764" s="10" t="str">
        <f t="shared" si="2630"/>
        <v>NA</v>
      </c>
      <c r="Q2764" s="10" t="str">
        <f t="shared" si="2631"/>
        <v>NA</v>
      </c>
      <c r="R2764" s="10" t="s">
        <v>1575</v>
      </c>
      <c r="S2764" s="10" t="s">
        <v>1575</v>
      </c>
      <c r="T2764" s="10" t="s">
        <v>1575</v>
      </c>
      <c r="U2764" s="10" t="s">
        <v>1575</v>
      </c>
      <c r="V2764" s="10" t="s">
        <v>1575</v>
      </c>
      <c r="W2764" s="10" t="s">
        <v>1575</v>
      </c>
      <c r="X2764" s="10" t="str">
        <f t="shared" si="2609"/>
        <v>NA</v>
      </c>
      <c r="Y2764" s="10" t="str">
        <f t="shared" si="2610"/>
        <v>NA</v>
      </c>
      <c r="Z2764" s="10" t="str">
        <f t="shared" si="2611"/>
        <v>NA</v>
      </c>
      <c r="AA2764" s="10" t="str">
        <f t="shared" si="2612"/>
        <v>NA</v>
      </c>
      <c r="AB2764" s="10" t="str">
        <f t="shared" si="2613"/>
        <v>NA</v>
      </c>
      <c r="AC2764" s="10" t="str">
        <f t="shared" si="2614"/>
        <v>NA</v>
      </c>
      <c r="AD2764" s="10" t="str">
        <f t="shared" si="2615"/>
        <v>NA</v>
      </c>
      <c r="AE2764" s="10" t="str">
        <f t="shared" si="2616"/>
        <v>NA</v>
      </c>
      <c r="AF2764" s="1" t="s">
        <v>3257</v>
      </c>
    </row>
    <row r="2765" spans="1:32" x14ac:dyDescent="0.2">
      <c r="A2765" s="1" t="s">
        <v>6012</v>
      </c>
      <c r="B2765" s="1" t="s">
        <v>5</v>
      </c>
      <c r="C2765" s="1" t="s">
        <v>1575</v>
      </c>
      <c r="D2765" s="1" t="s">
        <v>1615</v>
      </c>
      <c r="E2765" s="1" t="s">
        <v>3089</v>
      </c>
      <c r="F2765" s="1" t="s">
        <v>2072</v>
      </c>
      <c r="G2765" s="4">
        <v>0.25380000000000003</v>
      </c>
      <c r="H2765" s="28">
        <v>43220</v>
      </c>
      <c r="I2765" s="29">
        <f t="shared" si="2599"/>
        <v>2018</v>
      </c>
      <c r="J2765" s="1" t="s">
        <v>3202</v>
      </c>
      <c r="K2765" s="1" t="s">
        <v>7</v>
      </c>
      <c r="L2765" s="11" t="str">
        <f t="shared" si="2635"/>
        <v>НЕТ</v>
      </c>
      <c r="M2765" s="10">
        <v>0</v>
      </c>
      <c r="N2765" s="10">
        <v>0</v>
      </c>
      <c r="O2765" s="10">
        <v>0.53</v>
      </c>
      <c r="P2765" s="10">
        <f t="shared" si="2630"/>
        <v>2.0882584712371943</v>
      </c>
      <c r="Q2765" s="10" t="str">
        <f t="shared" si="2631"/>
        <v>NA</v>
      </c>
      <c r="R2765" s="10">
        <f>0.967</f>
        <v>0.96699999999999997</v>
      </c>
      <c r="S2765" s="10" t="s">
        <v>1575</v>
      </c>
      <c r="T2765" s="10">
        <f>R2765-4.28-0.026</f>
        <v>-3.339</v>
      </c>
      <c r="U2765" s="10">
        <v>-3.339</v>
      </c>
      <c r="V2765" s="10">
        <v>-0.47599999999999998</v>
      </c>
      <c r="W2765" s="10" t="s">
        <v>1575</v>
      </c>
      <c r="X2765" s="10" t="str">
        <f t="shared" si="2609"/>
        <v>NA</v>
      </c>
      <c r="Y2765" s="10">
        <f t="shared" si="2610"/>
        <v>2.1595227210312249</v>
      </c>
      <c r="Z2765" s="10">
        <f t="shared" si="2611"/>
        <v>-0.62541433699826121</v>
      </c>
      <c r="AA2765" s="10">
        <f t="shared" si="2612"/>
        <v>-4.3870976286495678</v>
      </c>
      <c r="AB2765" s="10" t="str">
        <f t="shared" si="2613"/>
        <v>NA</v>
      </c>
      <c r="AC2765" s="10" t="str">
        <f t="shared" si="2614"/>
        <v>NA</v>
      </c>
      <c r="AD2765" s="10" t="str">
        <f t="shared" si="2615"/>
        <v>NA</v>
      </c>
      <c r="AE2765" s="10" t="str">
        <f t="shared" si="2616"/>
        <v>NA</v>
      </c>
      <c r="AF2765" s="1" t="s">
        <v>3263</v>
      </c>
    </row>
    <row r="2766" spans="1:32" x14ac:dyDescent="0.2">
      <c r="A2766" s="1" t="s">
        <v>6607</v>
      </c>
      <c r="B2766" s="1" t="s">
        <v>179</v>
      </c>
      <c r="C2766" s="1" t="s">
        <v>1575</v>
      </c>
      <c r="D2766" s="1" t="s">
        <v>1813</v>
      </c>
      <c r="E2766" s="1" t="s">
        <v>1587</v>
      </c>
      <c r="F2766" s="1" t="s">
        <v>3255</v>
      </c>
      <c r="G2766" s="4">
        <v>0.2</v>
      </c>
      <c r="H2766" s="28">
        <v>43251</v>
      </c>
      <c r="I2766" s="29">
        <f t="shared" si="2599"/>
        <v>2018</v>
      </c>
      <c r="J2766" s="1" t="s">
        <v>3202</v>
      </c>
      <c r="K2766" s="1" t="s">
        <v>7</v>
      </c>
      <c r="L2766" s="11" t="str">
        <f t="shared" ref="L2766:L2768" si="2636">IF(OR(A2766=J2766,A2766=K2766),"ДА","НЕТ")</f>
        <v>НЕТ</v>
      </c>
      <c r="M2766" s="10">
        <v>0</v>
      </c>
      <c r="N2766" s="10">
        <v>0</v>
      </c>
      <c r="O2766" s="10">
        <v>1.363</v>
      </c>
      <c r="P2766" s="10">
        <f t="shared" si="2630"/>
        <v>6.8149999999999995</v>
      </c>
      <c r="Q2766" s="10" t="str">
        <f t="shared" si="2631"/>
        <v>NA</v>
      </c>
      <c r="R2766" s="10">
        <v>1.984</v>
      </c>
      <c r="S2766" s="10" t="s">
        <v>1575</v>
      </c>
      <c r="T2766" s="10">
        <f>R2766-1.562-0.061</f>
        <v>0.36099999999999993</v>
      </c>
      <c r="U2766" s="10">
        <v>0.36099999999999999</v>
      </c>
      <c r="V2766" s="10">
        <v>1.1479999999999999</v>
      </c>
      <c r="W2766" s="10" t="s">
        <v>1575</v>
      </c>
      <c r="X2766" s="10" t="str">
        <f t="shared" si="2609"/>
        <v>NA</v>
      </c>
      <c r="Y2766" s="10">
        <f t="shared" si="2610"/>
        <v>3.434979838709677</v>
      </c>
      <c r="Z2766" s="10">
        <f t="shared" si="2611"/>
        <v>18.878116343490305</v>
      </c>
      <c r="AA2766" s="10">
        <f t="shared" si="2612"/>
        <v>5.9364111498257843</v>
      </c>
      <c r="AB2766" s="10" t="str">
        <f t="shared" si="2613"/>
        <v>NA</v>
      </c>
      <c r="AC2766" s="10" t="str">
        <f t="shared" si="2614"/>
        <v>NA</v>
      </c>
      <c r="AD2766" s="10" t="str">
        <f t="shared" si="2615"/>
        <v>NA</v>
      </c>
      <c r="AE2766" s="10" t="str">
        <f t="shared" si="2616"/>
        <v>NA</v>
      </c>
      <c r="AF2766" s="1" t="s">
        <v>3282</v>
      </c>
    </row>
    <row r="2767" spans="1:32" x14ac:dyDescent="0.2">
      <c r="A2767" s="1" t="s">
        <v>6608</v>
      </c>
      <c r="B2767" s="1" t="s">
        <v>1575</v>
      </c>
      <c r="C2767" s="1" t="s">
        <v>1575</v>
      </c>
      <c r="D2767" s="1" t="s">
        <v>1813</v>
      </c>
      <c r="E2767" s="1" t="s">
        <v>3258</v>
      </c>
      <c r="F2767" s="1" t="s">
        <v>3260</v>
      </c>
      <c r="G2767" s="4">
        <v>0.17760000000000001</v>
      </c>
      <c r="H2767" s="28">
        <v>43008</v>
      </c>
      <c r="I2767" s="29">
        <f t="shared" si="2599"/>
        <v>2017</v>
      </c>
      <c r="J2767" s="1" t="s">
        <v>3202</v>
      </c>
      <c r="K2767" s="1" t="s">
        <v>7</v>
      </c>
      <c r="L2767" s="11" t="str">
        <f t="shared" si="2636"/>
        <v>НЕТ</v>
      </c>
      <c r="M2767" s="10">
        <v>0</v>
      </c>
      <c r="N2767" s="10">
        <v>0</v>
      </c>
      <c r="O2767" s="10">
        <v>0.64</v>
      </c>
      <c r="P2767" s="10">
        <f t="shared" si="2630"/>
        <v>3.6036036036036037</v>
      </c>
      <c r="Q2767" s="10" t="str">
        <f t="shared" si="2631"/>
        <v>NA</v>
      </c>
      <c r="R2767" s="10">
        <v>1.9530000000000001</v>
      </c>
      <c r="S2767" s="10" t="s">
        <v>1575</v>
      </c>
      <c r="T2767" s="10">
        <f>R2767-1.696-0.065</f>
        <v>0.19200000000000012</v>
      </c>
      <c r="U2767" s="10">
        <v>0.13400000000000001</v>
      </c>
      <c r="V2767" s="10">
        <v>0.15</v>
      </c>
      <c r="W2767" s="10" t="s">
        <v>1575</v>
      </c>
      <c r="X2767" s="10" t="str">
        <f t="shared" si="2609"/>
        <v>NA</v>
      </c>
      <c r="Y2767" s="10">
        <f t="shared" si="2610"/>
        <v>1.8451631354857161</v>
      </c>
      <c r="Z2767" s="10">
        <f t="shared" si="2611"/>
        <v>26.89256420599704</v>
      </c>
      <c r="AA2767" s="10">
        <f t="shared" si="2612"/>
        <v>24.024024024024026</v>
      </c>
      <c r="AB2767" s="10" t="str">
        <f t="shared" si="2613"/>
        <v>NA</v>
      </c>
      <c r="AC2767" s="10" t="str">
        <f t="shared" si="2614"/>
        <v>NA</v>
      </c>
      <c r="AD2767" s="10" t="str">
        <f t="shared" si="2615"/>
        <v>NA</v>
      </c>
      <c r="AE2767" s="10" t="str">
        <f t="shared" si="2616"/>
        <v>NA</v>
      </c>
      <c r="AF2767" s="1" t="s">
        <v>3278</v>
      </c>
    </row>
    <row r="2768" spans="1:32" x14ac:dyDescent="0.2">
      <c r="A2768" s="1" t="s">
        <v>3202</v>
      </c>
      <c r="B2768" s="1" t="s">
        <v>5</v>
      </c>
      <c r="C2768" s="1" t="s">
        <v>3240</v>
      </c>
      <c r="D2768" s="1" t="s">
        <v>1813</v>
      </c>
      <c r="E2768" s="1" t="s">
        <v>3101</v>
      </c>
      <c r="F2768" s="1" t="s">
        <v>3102</v>
      </c>
      <c r="G2768" s="4">
        <f>857736/208582082</f>
        <v>4.1122228322565115E-3</v>
      </c>
      <c r="H2768" s="28">
        <v>43100</v>
      </c>
      <c r="I2768" s="29">
        <f t="shared" si="2599"/>
        <v>2017</v>
      </c>
      <c r="J2768" s="1" t="s">
        <v>3202</v>
      </c>
      <c r="K2768" s="1" t="s">
        <v>7</v>
      </c>
      <c r="L2768" s="11" t="str">
        <f t="shared" si="2636"/>
        <v>ДА</v>
      </c>
      <c r="M2768" s="10">
        <v>0</v>
      </c>
      <c r="N2768" s="10">
        <v>0</v>
      </c>
      <c r="O2768" s="10">
        <v>1.43</v>
      </c>
      <c r="P2768" s="10">
        <f t="shared" si="2630"/>
        <v>347.74380142607981</v>
      </c>
      <c r="Q2768" s="10">
        <f t="shared" si="2631"/>
        <v>340.32480142607983</v>
      </c>
      <c r="R2768" s="10">
        <v>50.055</v>
      </c>
      <c r="S2768" s="10">
        <v>12.952</v>
      </c>
      <c r="T2768" s="10">
        <v>4.0210000000000008</v>
      </c>
      <c r="U2768" s="10">
        <v>2.2810000000000001</v>
      </c>
      <c r="V2768" s="10">
        <v>166.166</v>
      </c>
      <c r="W2768" s="10">
        <v>-7.4190000000000014</v>
      </c>
      <c r="X2768" s="10">
        <f t="shared" si="2609"/>
        <v>158.74699999999999</v>
      </c>
      <c r="Y2768" s="10">
        <f t="shared" si="2610"/>
        <v>6.9472340710434484</v>
      </c>
      <c r="Z2768" s="10">
        <f t="shared" si="2611"/>
        <v>152.45234608771582</v>
      </c>
      <c r="AA2768" s="10">
        <f t="shared" si="2612"/>
        <v>2.0927494278377035</v>
      </c>
      <c r="AB2768" s="10">
        <f t="shared" si="2613"/>
        <v>6.7990171097009258</v>
      </c>
      <c r="AC2768" s="10">
        <f t="shared" si="2614"/>
        <v>26.27584939978998</v>
      </c>
      <c r="AD2768" s="10">
        <f t="shared" si="2615"/>
        <v>84.636856858015364</v>
      </c>
      <c r="AE2768" s="10">
        <f t="shared" si="2616"/>
        <v>2.1438187898107044</v>
      </c>
      <c r="AF2768" s="1" t="s">
        <v>3283</v>
      </c>
    </row>
    <row r="2769" spans="1:32" x14ac:dyDescent="0.2">
      <c r="A2769" s="1" t="s">
        <v>6573</v>
      </c>
      <c r="B2769" s="1" t="s">
        <v>5</v>
      </c>
      <c r="C2769" s="1" t="s">
        <v>1575</v>
      </c>
      <c r="D2769" s="1" t="s">
        <v>1582</v>
      </c>
      <c r="E2769" s="1" t="s">
        <v>2084</v>
      </c>
      <c r="F2769" s="1" t="s">
        <v>2083</v>
      </c>
      <c r="G2769" s="4">
        <v>0.9</v>
      </c>
      <c r="H2769" s="28">
        <v>42704</v>
      </c>
      <c r="I2769" s="29">
        <f t="shared" si="2599"/>
        <v>2016</v>
      </c>
      <c r="J2769" s="1" t="s">
        <v>3202</v>
      </c>
      <c r="K2769" s="1" t="s">
        <v>7</v>
      </c>
      <c r="L2769" s="11" t="str">
        <f t="shared" ref="L2769" si="2637">IF(OR(A2769=J2769,A2769=K2769),"ДА","НЕТ")</f>
        <v>НЕТ</v>
      </c>
      <c r="M2769" s="10">
        <v>0</v>
      </c>
      <c r="N2769" s="10">
        <v>0</v>
      </c>
      <c r="O2769" s="10">
        <v>5.7140000000000004</v>
      </c>
      <c r="P2769" s="10">
        <f t="shared" si="2630"/>
        <v>6.3488888888888892</v>
      </c>
      <c r="Q2769" s="10">
        <f t="shared" si="2631"/>
        <v>6.725888888888889</v>
      </c>
      <c r="R2769" s="10" t="s">
        <v>1575</v>
      </c>
      <c r="S2769" s="10" t="s">
        <v>1575</v>
      </c>
      <c r="T2769" s="10" t="s">
        <v>1575</v>
      </c>
      <c r="U2769" s="10" t="s">
        <v>1575</v>
      </c>
      <c r="V2769" s="10">
        <v>0.74199999999999999</v>
      </c>
      <c r="W2769" s="10">
        <f>0.238+0.208-0.041-0.028</f>
        <v>0.37699999999999995</v>
      </c>
      <c r="X2769" s="10">
        <f t="shared" si="2609"/>
        <v>1.119</v>
      </c>
      <c r="Y2769" s="10" t="str">
        <f t="shared" si="2610"/>
        <v>NA</v>
      </c>
      <c r="Z2769" s="10" t="str">
        <f t="shared" si="2611"/>
        <v>NA</v>
      </c>
      <c r="AA2769" s="10">
        <f t="shared" si="2612"/>
        <v>8.5564540281521424</v>
      </c>
      <c r="AB2769" s="10" t="str">
        <f t="shared" si="2613"/>
        <v>NA</v>
      </c>
      <c r="AC2769" s="10" t="str">
        <f t="shared" si="2614"/>
        <v>NA</v>
      </c>
      <c r="AD2769" s="10" t="str">
        <f t="shared" si="2615"/>
        <v>NA</v>
      </c>
      <c r="AE2769" s="10">
        <f t="shared" si="2616"/>
        <v>6.0106245655843509</v>
      </c>
      <c r="AF2769" s="1" t="s">
        <v>3286</v>
      </c>
    </row>
    <row r="2770" spans="1:32" x14ac:dyDescent="0.2">
      <c r="A2770" s="1" t="s">
        <v>3288</v>
      </c>
      <c r="B2770" s="1" t="s">
        <v>1575</v>
      </c>
      <c r="C2770" s="1" t="s">
        <v>1575</v>
      </c>
      <c r="D2770" s="1" t="s">
        <v>1813</v>
      </c>
      <c r="E2770" s="1" t="s">
        <v>9358</v>
      </c>
      <c r="F2770" s="1" t="s">
        <v>3253</v>
      </c>
      <c r="G2770" s="4">
        <v>1</v>
      </c>
      <c r="H2770" s="28">
        <v>42674</v>
      </c>
      <c r="I2770" s="29">
        <f t="shared" si="2599"/>
        <v>2016</v>
      </c>
      <c r="J2770" s="1" t="s">
        <v>3202</v>
      </c>
      <c r="K2770" s="1" t="s">
        <v>7</v>
      </c>
      <c r="L2770" s="11" t="str">
        <f t="shared" ref="L2770" si="2638">IF(OR(A2770=J2770,A2770=K2770),"ДА","НЕТ")</f>
        <v>НЕТ</v>
      </c>
      <c r="M2770" s="10">
        <v>0</v>
      </c>
      <c r="N2770" s="10">
        <v>0</v>
      </c>
      <c r="O2770" s="10">
        <f>1.251+0.625</f>
        <v>1.8759999999999999</v>
      </c>
      <c r="P2770" s="10">
        <f t="shared" si="2630"/>
        <v>1.8759999999999999</v>
      </c>
      <c r="Q2770" s="10">
        <f t="shared" si="2631"/>
        <v>2.4159999999999999</v>
      </c>
      <c r="R2770" s="10" t="s">
        <v>1575</v>
      </c>
      <c r="S2770" s="10" t="s">
        <v>1575</v>
      </c>
      <c r="T2770" s="10" t="s">
        <v>1575</v>
      </c>
      <c r="U2770" s="10" t="s">
        <v>1575</v>
      </c>
      <c r="V2770" s="10">
        <v>0.28399999999999997</v>
      </c>
      <c r="W2770" s="10">
        <f>0.054+0.52-0.034</f>
        <v>0.54</v>
      </c>
      <c r="X2770" s="10">
        <f t="shared" si="2609"/>
        <v>0.82400000000000007</v>
      </c>
      <c r="Y2770" s="10" t="str">
        <f t="shared" si="2610"/>
        <v>NA</v>
      </c>
      <c r="Z2770" s="10" t="str">
        <f t="shared" si="2611"/>
        <v>NA</v>
      </c>
      <c r="AA2770" s="10">
        <f t="shared" si="2612"/>
        <v>6.6056338028169019</v>
      </c>
      <c r="AB2770" s="10" t="str">
        <f t="shared" si="2613"/>
        <v>NA</v>
      </c>
      <c r="AC2770" s="10" t="str">
        <f t="shared" si="2614"/>
        <v>NA</v>
      </c>
      <c r="AD2770" s="10" t="str">
        <f t="shared" si="2615"/>
        <v>NA</v>
      </c>
      <c r="AE2770" s="10">
        <f t="shared" si="2616"/>
        <v>2.9320388349514559</v>
      </c>
      <c r="AF2770" s="1" t="s">
        <v>3287</v>
      </c>
    </row>
    <row r="2771" spans="1:32" x14ac:dyDescent="0.2">
      <c r="A2771" s="1" t="s">
        <v>2894</v>
      </c>
      <c r="B2771" s="1" t="s">
        <v>5</v>
      </c>
      <c r="C2771" s="1" t="s">
        <v>2908</v>
      </c>
      <c r="D2771" s="1" t="s">
        <v>1813</v>
      </c>
      <c r="E2771" s="1" t="s">
        <v>1821</v>
      </c>
      <c r="F2771" s="1" t="s">
        <v>2898</v>
      </c>
      <c r="G2771" s="4">
        <v>1</v>
      </c>
      <c r="H2771" s="28">
        <v>42428</v>
      </c>
      <c r="I2771" s="29">
        <f t="shared" si="2599"/>
        <v>2016</v>
      </c>
      <c r="J2771" s="1" t="s">
        <v>7</v>
      </c>
      <c r="K2771" s="1" t="s">
        <v>3202</v>
      </c>
      <c r="L2771" s="11" t="str">
        <f t="shared" ref="L2771:L2773" si="2639">IF(OR(A2771=J2771,A2771=K2771),"ДА","НЕТ")</f>
        <v>НЕТ</v>
      </c>
      <c r="M2771" s="10">
        <v>0</v>
      </c>
      <c r="N2771" s="10">
        <v>0</v>
      </c>
      <c r="O2771" s="10">
        <v>10.130000000000001</v>
      </c>
      <c r="P2771" s="10">
        <f t="shared" si="2630"/>
        <v>10.130000000000001</v>
      </c>
      <c r="Q2771" s="10" t="str">
        <f t="shared" si="2631"/>
        <v>NA</v>
      </c>
      <c r="R2771" s="10" t="s">
        <v>1575</v>
      </c>
      <c r="S2771" s="10" t="s">
        <v>1575</v>
      </c>
      <c r="T2771" s="10" t="s">
        <v>1575</v>
      </c>
      <c r="U2771" s="10" t="s">
        <v>1575</v>
      </c>
      <c r="V2771" s="10" t="s">
        <v>1575</v>
      </c>
      <c r="W2771" s="10" t="s">
        <v>1575</v>
      </c>
      <c r="X2771" s="10" t="str">
        <f t="shared" si="2609"/>
        <v>NA</v>
      </c>
      <c r="Y2771" s="10" t="str">
        <f t="shared" si="2610"/>
        <v>NA</v>
      </c>
      <c r="Z2771" s="10" t="str">
        <f t="shared" si="2611"/>
        <v>NA</v>
      </c>
      <c r="AA2771" s="10" t="str">
        <f t="shared" si="2612"/>
        <v>NA</v>
      </c>
      <c r="AB2771" s="10" t="str">
        <f t="shared" si="2613"/>
        <v>NA</v>
      </c>
      <c r="AC2771" s="10" t="str">
        <f t="shared" si="2614"/>
        <v>NA</v>
      </c>
      <c r="AD2771" s="10" t="str">
        <f t="shared" si="2615"/>
        <v>NA</v>
      </c>
      <c r="AE2771" s="10" t="str">
        <f t="shared" si="2616"/>
        <v>NA</v>
      </c>
      <c r="AF2771" s="1" t="s">
        <v>3289</v>
      </c>
    </row>
    <row r="2772" spans="1:32" x14ac:dyDescent="0.2">
      <c r="A2772" s="1" t="s">
        <v>3291</v>
      </c>
      <c r="B2772" s="1" t="s">
        <v>5</v>
      </c>
      <c r="C2772" s="1" t="s">
        <v>1575</v>
      </c>
      <c r="D2772" s="1" t="s">
        <v>1813</v>
      </c>
      <c r="E2772" s="1" t="s">
        <v>1587</v>
      </c>
      <c r="F2772" s="1" t="s">
        <v>3292</v>
      </c>
      <c r="G2772" s="4">
        <v>1</v>
      </c>
      <c r="H2772" s="28">
        <v>42155</v>
      </c>
      <c r="I2772" s="29">
        <f t="shared" si="2599"/>
        <v>2015</v>
      </c>
      <c r="J2772" s="1" t="s">
        <v>3202</v>
      </c>
      <c r="K2772" s="1" t="s">
        <v>7</v>
      </c>
      <c r="L2772" s="11" t="str">
        <f t="shared" si="2639"/>
        <v>НЕТ</v>
      </c>
      <c r="M2772" s="10">
        <v>0</v>
      </c>
      <c r="N2772" s="10">
        <v>0</v>
      </c>
      <c r="O2772" s="10">
        <v>0.91900000000000004</v>
      </c>
      <c r="P2772" s="10">
        <f t="shared" si="2630"/>
        <v>0.91900000000000004</v>
      </c>
      <c r="Q2772" s="10">
        <f t="shared" si="2631"/>
        <v>0.93900000000000006</v>
      </c>
      <c r="R2772" s="10" t="s">
        <v>1575</v>
      </c>
      <c r="S2772" s="10" t="s">
        <v>1575</v>
      </c>
      <c r="T2772" s="10" t="s">
        <v>1575</v>
      </c>
      <c r="U2772" s="10" t="s">
        <v>1575</v>
      </c>
      <c r="V2772" s="10">
        <v>0.57799999999999996</v>
      </c>
      <c r="W2772" s="10">
        <f>0.035-0.015</f>
        <v>2.0000000000000004E-2</v>
      </c>
      <c r="X2772" s="10">
        <f t="shared" si="2609"/>
        <v>0.59799999999999998</v>
      </c>
      <c r="Y2772" s="10" t="str">
        <f t="shared" si="2610"/>
        <v>NA</v>
      </c>
      <c r="Z2772" s="10" t="str">
        <f t="shared" si="2611"/>
        <v>NA</v>
      </c>
      <c r="AA2772" s="10">
        <f t="shared" si="2612"/>
        <v>1.5899653979238757</v>
      </c>
      <c r="AB2772" s="10" t="str">
        <f t="shared" si="2613"/>
        <v>NA</v>
      </c>
      <c r="AC2772" s="10" t="str">
        <f t="shared" si="2614"/>
        <v>NA</v>
      </c>
      <c r="AD2772" s="10" t="str">
        <f t="shared" si="2615"/>
        <v>NA</v>
      </c>
      <c r="AE2772" s="10">
        <f t="shared" si="2616"/>
        <v>1.5702341137123748</v>
      </c>
      <c r="AF2772" s="1" t="s">
        <v>3290</v>
      </c>
    </row>
    <row r="2773" spans="1:32" x14ac:dyDescent="0.2">
      <c r="A2773" s="1" t="s">
        <v>6609</v>
      </c>
      <c r="B2773" s="1" t="s">
        <v>5</v>
      </c>
      <c r="C2773" s="1" t="s">
        <v>1575</v>
      </c>
      <c r="D2773" s="1" t="s">
        <v>1813</v>
      </c>
      <c r="E2773" s="1" t="s">
        <v>3071</v>
      </c>
      <c r="F2773" s="1" t="s">
        <v>3072</v>
      </c>
      <c r="G2773" s="4">
        <v>0.48010000000000003</v>
      </c>
      <c r="H2773" s="28">
        <v>41898</v>
      </c>
      <c r="I2773" s="29">
        <f t="shared" ref="I2773" si="2640">YEAR(H2773)</f>
        <v>2014</v>
      </c>
      <c r="J2773" s="1" t="s">
        <v>3202</v>
      </c>
      <c r="K2773" s="1" t="s">
        <v>7</v>
      </c>
      <c r="L2773" s="11" t="str">
        <f t="shared" si="2639"/>
        <v>НЕТ</v>
      </c>
      <c r="M2773" s="10">
        <v>0</v>
      </c>
      <c r="N2773" s="10">
        <v>0</v>
      </c>
      <c r="O2773" s="10">
        <v>55.84</v>
      </c>
      <c r="P2773" s="10">
        <f t="shared" si="2630"/>
        <v>116.30910227036034</v>
      </c>
      <c r="Q2773" s="10">
        <f t="shared" si="2631"/>
        <v>120.21110227036034</v>
      </c>
      <c r="R2773" s="10" t="s">
        <v>1575</v>
      </c>
      <c r="S2773" s="10" t="s">
        <v>1575</v>
      </c>
      <c r="T2773" s="10" t="s">
        <v>1575</v>
      </c>
      <c r="U2773" s="10" t="s">
        <v>1575</v>
      </c>
      <c r="V2773" s="10">
        <v>22.959</v>
      </c>
      <c r="W2773" s="10">
        <f>5.157-1.255</f>
        <v>3.9020000000000001</v>
      </c>
      <c r="X2773" s="10">
        <f t="shared" si="2609"/>
        <v>26.861000000000001</v>
      </c>
      <c r="Y2773" s="10" t="str">
        <f t="shared" si="2610"/>
        <v>NA</v>
      </c>
      <c r="Z2773" s="10" t="str">
        <f t="shared" si="2611"/>
        <v>NA</v>
      </c>
      <c r="AA2773" s="10">
        <f t="shared" si="2612"/>
        <v>5.0659480931382177</v>
      </c>
      <c r="AB2773" s="10" t="str">
        <f t="shared" si="2613"/>
        <v>NA</v>
      </c>
      <c r="AC2773" s="10" t="str">
        <f t="shared" si="2614"/>
        <v>NA</v>
      </c>
      <c r="AD2773" s="10" t="str">
        <f t="shared" si="2615"/>
        <v>NA</v>
      </c>
      <c r="AE2773" s="10">
        <f t="shared" si="2616"/>
        <v>4.4753025676765699</v>
      </c>
      <c r="AF2773" s="1" t="s">
        <v>3293</v>
      </c>
    </row>
    <row r="2774" spans="1:32" x14ac:dyDescent="0.2">
      <c r="A2774" s="1" t="s">
        <v>6609</v>
      </c>
      <c r="B2774" s="1" t="s">
        <v>5</v>
      </c>
      <c r="C2774" s="1" t="s">
        <v>1575</v>
      </c>
      <c r="D2774" s="1" t="s">
        <v>1813</v>
      </c>
      <c r="E2774" s="1" t="s">
        <v>3071</v>
      </c>
      <c r="F2774" s="1" t="s">
        <v>3072</v>
      </c>
      <c r="G2774" s="4">
        <v>0.12</v>
      </c>
      <c r="H2774" s="28">
        <v>41759</v>
      </c>
      <c r="I2774" s="29">
        <f t="shared" si="2599"/>
        <v>2014</v>
      </c>
      <c r="J2774" s="1" t="s">
        <v>3202</v>
      </c>
      <c r="K2774" s="1" t="s">
        <v>7</v>
      </c>
      <c r="L2774" s="11" t="str">
        <f t="shared" ref="L2774:L2775" si="2641">IF(OR(A2774=J2774,A2774=K2774),"ДА","НЕТ")</f>
        <v>НЕТ</v>
      </c>
      <c r="M2774" s="10">
        <v>0</v>
      </c>
      <c r="N2774" s="10">
        <v>0</v>
      </c>
      <c r="O2774" s="10">
        <v>12.63</v>
      </c>
      <c r="P2774" s="10">
        <f t="shared" si="2630"/>
        <v>105.25000000000001</v>
      </c>
      <c r="Q2774" s="10">
        <f t="shared" si="2631"/>
        <v>109.15200000000002</v>
      </c>
      <c r="R2774" s="10" t="s">
        <v>1575</v>
      </c>
      <c r="S2774" s="10" t="s">
        <v>1575</v>
      </c>
      <c r="T2774" s="10" t="s">
        <v>1575</v>
      </c>
      <c r="U2774" s="10" t="s">
        <v>1575</v>
      </c>
      <c r="V2774" s="10">
        <v>22.959</v>
      </c>
      <c r="W2774" s="10">
        <f>5.157-1.255</f>
        <v>3.9020000000000001</v>
      </c>
      <c r="X2774" s="10">
        <f t="shared" si="2609"/>
        <v>26.861000000000001</v>
      </c>
      <c r="Y2774" s="10" t="str">
        <f t="shared" si="2610"/>
        <v>NA</v>
      </c>
      <c r="Z2774" s="10" t="str">
        <f t="shared" si="2611"/>
        <v>NA</v>
      </c>
      <c r="AA2774" s="10">
        <f t="shared" si="2612"/>
        <v>4.5842588962933934</v>
      </c>
      <c r="AB2774" s="10" t="str">
        <f t="shared" si="2613"/>
        <v>NA</v>
      </c>
      <c r="AC2774" s="10" t="str">
        <f t="shared" si="2614"/>
        <v>NA</v>
      </c>
      <c r="AD2774" s="10" t="str">
        <f t="shared" si="2615"/>
        <v>NA</v>
      </c>
      <c r="AE2774" s="10">
        <f t="shared" si="2616"/>
        <v>4.0635866125609628</v>
      </c>
      <c r="AF2774" s="1" t="s">
        <v>3293</v>
      </c>
    </row>
    <row r="2775" spans="1:32" x14ac:dyDescent="0.2">
      <c r="A2775" s="1" t="s">
        <v>6610</v>
      </c>
      <c r="B2775" s="1" t="s">
        <v>5</v>
      </c>
      <c r="C2775" s="1" t="s">
        <v>3297</v>
      </c>
      <c r="D2775" s="1" t="s">
        <v>1580</v>
      </c>
      <c r="E2775" s="1" t="s">
        <v>1827</v>
      </c>
      <c r="F2775" s="1" t="s">
        <v>3296</v>
      </c>
      <c r="G2775" s="4">
        <v>9.11E-2</v>
      </c>
      <c r="H2775" s="28">
        <v>42004</v>
      </c>
      <c r="I2775" s="29">
        <f t="shared" si="2599"/>
        <v>2014</v>
      </c>
      <c r="J2775" s="1" t="s">
        <v>7</v>
      </c>
      <c r="K2775" s="1" t="s">
        <v>3202</v>
      </c>
      <c r="L2775" s="11" t="str">
        <f t="shared" si="2641"/>
        <v>НЕТ</v>
      </c>
      <c r="M2775" s="10">
        <v>0</v>
      </c>
      <c r="N2775" s="10">
        <v>0</v>
      </c>
      <c r="O2775" s="10">
        <v>6.4009999999999998</v>
      </c>
      <c r="P2775" s="10">
        <f t="shared" si="2630"/>
        <v>70.263446761800211</v>
      </c>
      <c r="Q2775" s="10">
        <f t="shared" si="2631"/>
        <v>50.250469761800204</v>
      </c>
      <c r="R2775" s="10">
        <v>14.718</v>
      </c>
      <c r="S2775" s="10">
        <v>4.375</v>
      </c>
      <c r="T2775" s="10">
        <v>4.0220000000000002</v>
      </c>
      <c r="U2775" s="10">
        <v>4.968</v>
      </c>
      <c r="V2775" s="10">
        <v>8.5878949999999961</v>
      </c>
      <c r="W2775" s="10">
        <v>-20.012977000000003</v>
      </c>
      <c r="X2775" s="10">
        <f t="shared" si="2609"/>
        <v>-11.425082000000007</v>
      </c>
      <c r="Y2775" s="10">
        <f t="shared" si="2610"/>
        <v>4.7739806197717227</v>
      </c>
      <c r="Z2775" s="10">
        <f t="shared" si="2611"/>
        <v>14.143205869927579</v>
      </c>
      <c r="AA2775" s="10">
        <f t="shared" si="2612"/>
        <v>8.1816844246232918</v>
      </c>
      <c r="AB2775" s="10">
        <f t="shared" si="2613"/>
        <v>3.4142186276532276</v>
      </c>
      <c r="AC2775" s="10">
        <f t="shared" si="2614"/>
        <v>11.485821659840047</v>
      </c>
      <c r="AD2775" s="10">
        <f t="shared" si="2615"/>
        <v>12.493900985032372</v>
      </c>
      <c r="AE2775" s="10">
        <f t="shared" si="2616"/>
        <v>-4.3982590025874799</v>
      </c>
      <c r="AF2775" s="1" t="s">
        <v>3294</v>
      </c>
    </row>
    <row r="2776" spans="1:32" x14ac:dyDescent="0.2">
      <c r="A2776" s="1" t="s">
        <v>3202</v>
      </c>
      <c r="B2776" s="1" t="s">
        <v>5</v>
      </c>
      <c r="C2776" s="1" t="s">
        <v>3240</v>
      </c>
      <c r="D2776" s="1" t="s">
        <v>1813</v>
      </c>
      <c r="E2776" s="1" t="s">
        <v>3101</v>
      </c>
      <c r="F2776" s="1" t="s">
        <v>3102</v>
      </c>
      <c r="G2776" s="4">
        <f>1012885/208582082</f>
        <v>4.856049907489177E-3</v>
      </c>
      <c r="H2776" s="28">
        <v>42004</v>
      </c>
      <c r="I2776" s="29">
        <f t="shared" si="2599"/>
        <v>2014</v>
      </c>
      <c r="J2776" s="1" t="s">
        <v>3202</v>
      </c>
      <c r="K2776" s="1" t="s">
        <v>7</v>
      </c>
      <c r="L2776" s="11" t="str">
        <f t="shared" ref="L2776" si="2642">IF(OR(A2776=J2776,A2776=K2776),"ДА","НЕТ")</f>
        <v>ДА</v>
      </c>
      <c r="M2776" s="10">
        <v>0</v>
      </c>
      <c r="N2776" s="10">
        <v>0</v>
      </c>
      <c r="O2776" s="10">
        <v>1.337</v>
      </c>
      <c r="P2776" s="10">
        <f t="shared" si="2630"/>
        <v>275.32665962473527</v>
      </c>
      <c r="Q2776" s="10">
        <f t="shared" si="2631"/>
        <v>295.75865962473529</v>
      </c>
      <c r="R2776" s="10">
        <v>32.326999999999998</v>
      </c>
      <c r="S2776" s="10">
        <v>16.336999999999989</v>
      </c>
      <c r="T2776" s="10">
        <v>12.480999999999987</v>
      </c>
      <c r="U2776" s="10">
        <v>62.393999999999998</v>
      </c>
      <c r="V2776" s="10">
        <v>142.76499999999999</v>
      </c>
      <c r="W2776" s="10">
        <v>20.432000000000002</v>
      </c>
      <c r="X2776" s="10">
        <f t="shared" si="2609"/>
        <v>163.197</v>
      </c>
      <c r="Y2776" s="10">
        <f t="shared" si="2610"/>
        <v>8.5169257779792531</v>
      </c>
      <c r="Z2776" s="10">
        <f t="shared" si="2611"/>
        <v>4.4127105110224587</v>
      </c>
      <c r="AA2776" s="10">
        <f t="shared" si="2612"/>
        <v>1.9285305195582623</v>
      </c>
      <c r="AB2776" s="10">
        <f t="shared" si="2613"/>
        <v>9.1489671056619954</v>
      </c>
      <c r="AC2776" s="10">
        <f t="shared" si="2614"/>
        <v>18.103608962767673</v>
      </c>
      <c r="AD2776" s="10">
        <f t="shared" si="2615"/>
        <v>23.696711771872092</v>
      </c>
      <c r="AE2776" s="10">
        <f t="shared" si="2616"/>
        <v>1.8122800028476951</v>
      </c>
      <c r="AF2776" s="1" t="s">
        <v>3295</v>
      </c>
    </row>
    <row r="2777" spans="1:32" x14ac:dyDescent="0.2">
      <c r="A2777" s="1" t="s">
        <v>3202</v>
      </c>
      <c r="B2777" s="1" t="s">
        <v>5</v>
      </c>
      <c r="C2777" s="1" t="s">
        <v>3240</v>
      </c>
      <c r="D2777" s="1" t="s">
        <v>1813</v>
      </c>
      <c r="E2777" s="1" t="s">
        <v>3101</v>
      </c>
      <c r="F2777" s="1" t="s">
        <v>3102</v>
      </c>
      <c r="G2777" s="4">
        <f>414261/208582082</f>
        <v>1.9860814314817321E-3</v>
      </c>
      <c r="H2777" s="28">
        <v>41639</v>
      </c>
      <c r="I2777" s="29">
        <f t="shared" ref="I2777" si="2643">YEAR(H2777)</f>
        <v>2013</v>
      </c>
      <c r="J2777" s="1" t="s">
        <v>3202</v>
      </c>
      <c r="K2777" s="1" t="s">
        <v>7</v>
      </c>
      <c r="L2777" s="11" t="str">
        <f t="shared" ref="L2777" si="2644">IF(OR(A2777=J2777,A2777=K2777),"ДА","НЕТ")</f>
        <v>ДА</v>
      </c>
      <c r="M2777" s="10">
        <v>0</v>
      </c>
      <c r="N2777" s="10">
        <v>0</v>
      </c>
      <c r="O2777" s="10">
        <v>0.48099999999999998</v>
      </c>
      <c r="P2777" s="10">
        <f t="shared" si="2630"/>
        <v>242.18543730160454</v>
      </c>
      <c r="Q2777" s="10">
        <f t="shared" si="2631"/>
        <v>203.99243730160453</v>
      </c>
      <c r="R2777" s="10">
        <v>27.07</v>
      </c>
      <c r="S2777" s="10">
        <v>12.946999999999997</v>
      </c>
      <c r="T2777" s="10">
        <v>10.224999999999998</v>
      </c>
      <c r="U2777" s="10">
        <v>26.588999999999999</v>
      </c>
      <c r="V2777" s="10">
        <v>81.194000000000003</v>
      </c>
      <c r="W2777" s="10">
        <v>-38.192999999999998</v>
      </c>
      <c r="X2777" s="10">
        <f t="shared" si="2609"/>
        <v>43.001000000000005</v>
      </c>
      <c r="Y2777" s="10">
        <f t="shared" si="2610"/>
        <v>8.9466360288734581</v>
      </c>
      <c r="Z2777" s="10">
        <f t="shared" si="2611"/>
        <v>9.1084823536652202</v>
      </c>
      <c r="AA2777" s="10">
        <f t="shared" si="2612"/>
        <v>2.9827996810306736</v>
      </c>
      <c r="AB2777" s="10">
        <f t="shared" si="2613"/>
        <v>7.5357383561730522</v>
      </c>
      <c r="AC2777" s="10">
        <f t="shared" si="2614"/>
        <v>15.755961790500082</v>
      </c>
      <c r="AD2777" s="10">
        <f t="shared" si="2615"/>
        <v>19.950360616293846</v>
      </c>
      <c r="AE2777" s="10">
        <f t="shared" si="2616"/>
        <v>4.7438998465525106</v>
      </c>
      <c r="AF2777" s="1" t="s">
        <v>3298</v>
      </c>
    </row>
    <row r="2778" spans="1:32" x14ac:dyDescent="0.2">
      <c r="A2778" s="1" t="s">
        <v>3202</v>
      </c>
      <c r="B2778" s="1" t="s">
        <v>5</v>
      </c>
      <c r="C2778" s="1" t="s">
        <v>3240</v>
      </c>
      <c r="D2778" s="1" t="s">
        <v>1813</v>
      </c>
      <c r="E2778" s="1" t="s">
        <v>3101</v>
      </c>
      <c r="F2778" s="1" t="s">
        <v>3102</v>
      </c>
      <c r="G2778" s="4">
        <f>288051/208582082</f>
        <v>1.3809958997340911E-3</v>
      </c>
      <c r="H2778" s="28">
        <v>41274</v>
      </c>
      <c r="I2778" s="29">
        <f t="shared" ref="I2778:I2797" si="2645">YEAR(H2778)</f>
        <v>2012</v>
      </c>
      <c r="J2778" s="1" t="s">
        <v>3202</v>
      </c>
      <c r="K2778" s="1" t="s">
        <v>7</v>
      </c>
      <c r="L2778" s="11" t="str">
        <f t="shared" ref="L2778:L2779" si="2646">IF(OR(A2778=J2778,A2778=K2778),"ДА","НЕТ")</f>
        <v>ДА</v>
      </c>
      <c r="M2778" s="10">
        <v>0</v>
      </c>
      <c r="N2778" s="10">
        <v>0</v>
      </c>
      <c r="O2778" s="10">
        <v>0.29699999999999999</v>
      </c>
      <c r="P2778" s="10">
        <f t="shared" si="2630"/>
        <v>215.06218813335138</v>
      </c>
      <c r="Q2778" s="10">
        <f t="shared" si="2631"/>
        <v>168.64718813335139</v>
      </c>
      <c r="R2778" s="10">
        <v>20.905000000000001</v>
      </c>
      <c r="S2778" s="10">
        <v>9.5869999999999909</v>
      </c>
      <c r="T2778" s="10">
        <v>6.8849999999999909</v>
      </c>
      <c r="U2778" s="10">
        <v>38.276000000000003</v>
      </c>
      <c r="V2778" s="10">
        <v>90.114999999999995</v>
      </c>
      <c r="W2778" s="10">
        <v>-46.414999999999999</v>
      </c>
      <c r="X2778" s="10">
        <f t="shared" si="2609"/>
        <v>43.699999999999996</v>
      </c>
      <c r="Y2778" s="10">
        <f t="shared" si="2610"/>
        <v>10.287595701188776</v>
      </c>
      <c r="Z2778" s="10">
        <f t="shared" si="2611"/>
        <v>5.6187216044871819</v>
      </c>
      <c r="AA2778" s="10">
        <f t="shared" si="2612"/>
        <v>2.3865304126211107</v>
      </c>
      <c r="AB2778" s="10">
        <f t="shared" si="2613"/>
        <v>8.0673134720569895</v>
      </c>
      <c r="AC2778" s="10">
        <f t="shared" si="2614"/>
        <v>17.591236897189063</v>
      </c>
      <c r="AD2778" s="10">
        <f t="shared" si="2615"/>
        <v>24.494871188576852</v>
      </c>
      <c r="AE2778" s="10">
        <f t="shared" si="2616"/>
        <v>3.8592033897792084</v>
      </c>
      <c r="AF2778" s="1" t="s">
        <v>3299</v>
      </c>
    </row>
    <row r="2779" spans="1:32" x14ac:dyDescent="0.2">
      <c r="A2779" s="1" t="s">
        <v>6609</v>
      </c>
      <c r="B2779" s="1" t="s">
        <v>5</v>
      </c>
      <c r="C2779" s="1" t="s">
        <v>1575</v>
      </c>
      <c r="D2779" s="1" t="s">
        <v>1813</v>
      </c>
      <c r="E2779" s="1" t="s">
        <v>3071</v>
      </c>
      <c r="F2779" s="1" t="s">
        <v>3072</v>
      </c>
      <c r="G2779" s="4">
        <v>7.4399999999999994E-2</v>
      </c>
      <c r="H2779" s="28">
        <v>40754</v>
      </c>
      <c r="I2779" s="29">
        <f t="shared" si="2645"/>
        <v>2011</v>
      </c>
      <c r="J2779" s="1" t="s">
        <v>3202</v>
      </c>
      <c r="K2779" s="1" t="s">
        <v>7</v>
      </c>
      <c r="L2779" s="11" t="str">
        <f t="shared" si="2646"/>
        <v>НЕТ</v>
      </c>
      <c r="M2779" s="10">
        <v>0</v>
      </c>
      <c r="N2779" s="10">
        <v>0</v>
      </c>
      <c r="O2779" s="10">
        <v>3.0960000000000001</v>
      </c>
      <c r="P2779" s="10">
        <f t="shared" si="2630"/>
        <v>41.612903225806456</v>
      </c>
      <c r="Q2779" s="10" t="str">
        <f t="shared" si="2631"/>
        <v>NA</v>
      </c>
      <c r="R2779" s="10" t="s">
        <v>1575</v>
      </c>
      <c r="S2779" s="10" t="s">
        <v>1575</v>
      </c>
      <c r="T2779" s="10" t="s">
        <v>1575</v>
      </c>
      <c r="U2779" s="10" t="s">
        <v>1575</v>
      </c>
      <c r="V2779" s="10" t="s">
        <v>1575</v>
      </c>
      <c r="W2779" s="10" t="s">
        <v>1575</v>
      </c>
      <c r="X2779" s="10" t="str">
        <f t="shared" si="2609"/>
        <v>NA</v>
      </c>
      <c r="Y2779" s="10" t="str">
        <f t="shared" si="2610"/>
        <v>NA</v>
      </c>
      <c r="Z2779" s="10" t="str">
        <f t="shared" si="2611"/>
        <v>NA</v>
      </c>
      <c r="AA2779" s="10" t="str">
        <f t="shared" si="2612"/>
        <v>NA</v>
      </c>
      <c r="AB2779" s="10" t="str">
        <f t="shared" si="2613"/>
        <v>NA</v>
      </c>
      <c r="AC2779" s="10" t="str">
        <f t="shared" si="2614"/>
        <v>NA</v>
      </c>
      <c r="AD2779" s="10" t="str">
        <f t="shared" si="2615"/>
        <v>NA</v>
      </c>
      <c r="AE2779" s="10" t="str">
        <f t="shared" si="2616"/>
        <v>NA</v>
      </c>
      <c r="AF2779" s="1" t="s">
        <v>3301</v>
      </c>
    </row>
    <row r="2780" spans="1:32" x14ac:dyDescent="0.2">
      <c r="A2780" s="1" t="s">
        <v>6609</v>
      </c>
      <c r="B2780" s="1" t="s">
        <v>5</v>
      </c>
      <c r="C2780" s="1" t="s">
        <v>1575</v>
      </c>
      <c r="D2780" s="1" t="s">
        <v>1813</v>
      </c>
      <c r="E2780" s="1" t="s">
        <v>3071</v>
      </c>
      <c r="F2780" s="1" t="s">
        <v>3072</v>
      </c>
      <c r="G2780" s="4">
        <v>7.4399999999999994E-2</v>
      </c>
      <c r="H2780" s="28">
        <v>40754</v>
      </c>
      <c r="I2780" s="29">
        <f t="shared" ref="I2780" si="2647">YEAR(H2780)</f>
        <v>2011</v>
      </c>
      <c r="J2780" s="1" t="s">
        <v>3202</v>
      </c>
      <c r="K2780" s="1" t="s">
        <v>7</v>
      </c>
      <c r="L2780" s="11" t="str">
        <f t="shared" ref="L2780" si="2648">IF(OR(A2780=J2780,A2780=K2780),"ДА","НЕТ")</f>
        <v>НЕТ</v>
      </c>
      <c r="M2780" s="10">
        <v>0</v>
      </c>
      <c r="N2780" s="10">
        <v>0</v>
      </c>
      <c r="O2780" s="10">
        <v>3.0960000000000001</v>
      </c>
      <c r="P2780" s="10">
        <f t="shared" si="2630"/>
        <v>41.612903225806456</v>
      </c>
      <c r="Q2780" s="10" t="str">
        <f t="shared" si="2631"/>
        <v>NA</v>
      </c>
      <c r="R2780" s="10" t="s">
        <v>1575</v>
      </c>
      <c r="S2780" s="10" t="s">
        <v>1575</v>
      </c>
      <c r="T2780" s="10" t="s">
        <v>1575</v>
      </c>
      <c r="U2780" s="10" t="s">
        <v>1575</v>
      </c>
      <c r="V2780" s="10" t="s">
        <v>1575</v>
      </c>
      <c r="W2780" s="10" t="s">
        <v>1575</v>
      </c>
      <c r="X2780" s="10" t="str">
        <f t="shared" si="2609"/>
        <v>NA</v>
      </c>
      <c r="Y2780" s="10" t="str">
        <f t="shared" si="2610"/>
        <v>NA</v>
      </c>
      <c r="Z2780" s="10" t="str">
        <f t="shared" si="2611"/>
        <v>NA</v>
      </c>
      <c r="AA2780" s="10" t="str">
        <f t="shared" si="2612"/>
        <v>NA</v>
      </c>
      <c r="AB2780" s="10" t="str">
        <f t="shared" si="2613"/>
        <v>NA</v>
      </c>
      <c r="AC2780" s="10" t="str">
        <f t="shared" si="2614"/>
        <v>NA</v>
      </c>
      <c r="AD2780" s="10" t="str">
        <f t="shared" si="2615"/>
        <v>NA</v>
      </c>
      <c r="AE2780" s="10" t="str">
        <f t="shared" si="2616"/>
        <v>NA</v>
      </c>
      <c r="AF2780" s="1" t="s">
        <v>3313</v>
      </c>
    </row>
    <row r="2781" spans="1:32" x14ac:dyDescent="0.2">
      <c r="A2781" s="1" t="s">
        <v>2894</v>
      </c>
      <c r="B2781" s="1" t="s">
        <v>5</v>
      </c>
      <c r="C2781" s="1" t="s">
        <v>2908</v>
      </c>
      <c r="D2781" s="1" t="s">
        <v>1813</v>
      </c>
      <c r="E2781" s="1" t="s">
        <v>1821</v>
      </c>
      <c r="F2781" s="1" t="s">
        <v>2898</v>
      </c>
      <c r="G2781" s="4">
        <v>5.8900000000000001E-2</v>
      </c>
      <c r="H2781" s="28">
        <v>40847</v>
      </c>
      <c r="I2781" s="29">
        <f t="shared" si="2645"/>
        <v>2011</v>
      </c>
      <c r="J2781" s="1" t="s">
        <v>3202</v>
      </c>
      <c r="K2781" s="1" t="s">
        <v>7</v>
      </c>
      <c r="L2781" s="11" t="str">
        <f t="shared" ref="L2781:L2783" si="2649">IF(OR(A2781=J2781,A2781=K2781),"ДА","НЕТ")</f>
        <v>НЕТ</v>
      </c>
      <c r="M2781" s="10">
        <v>0</v>
      </c>
      <c r="N2781" s="10">
        <v>0</v>
      </c>
      <c r="O2781" s="10" t="s">
        <v>1575</v>
      </c>
      <c r="P2781" s="10" t="str">
        <f t="shared" si="2630"/>
        <v>NA</v>
      </c>
      <c r="Q2781" s="10" t="str">
        <f t="shared" si="2631"/>
        <v>NA</v>
      </c>
      <c r="R2781" s="10" t="s">
        <v>1575</v>
      </c>
      <c r="S2781" s="10" t="s">
        <v>1575</v>
      </c>
      <c r="T2781" s="10" t="s">
        <v>1575</v>
      </c>
      <c r="U2781" s="10" t="s">
        <v>1575</v>
      </c>
      <c r="V2781" s="10" t="s">
        <v>1575</v>
      </c>
      <c r="W2781" s="10" t="s">
        <v>1575</v>
      </c>
      <c r="X2781" s="10" t="str">
        <f t="shared" si="2609"/>
        <v>NA</v>
      </c>
      <c r="Y2781" s="10" t="str">
        <f t="shared" si="2610"/>
        <v>NA</v>
      </c>
      <c r="Z2781" s="10" t="str">
        <f t="shared" si="2611"/>
        <v>NA</v>
      </c>
      <c r="AA2781" s="10" t="str">
        <f t="shared" si="2612"/>
        <v>NA</v>
      </c>
      <c r="AB2781" s="10" t="str">
        <f t="shared" si="2613"/>
        <v>NA</v>
      </c>
      <c r="AC2781" s="10" t="str">
        <f t="shared" si="2614"/>
        <v>NA</v>
      </c>
      <c r="AD2781" s="10" t="str">
        <f t="shared" si="2615"/>
        <v>NA</v>
      </c>
      <c r="AE2781" s="10" t="str">
        <f t="shared" si="2616"/>
        <v>NA</v>
      </c>
      <c r="AF2781" s="1" t="s">
        <v>3300</v>
      </c>
    </row>
    <row r="2782" spans="1:32" x14ac:dyDescent="0.2">
      <c r="A2782" s="1" t="s">
        <v>3202</v>
      </c>
      <c r="B2782" s="1" t="s">
        <v>5</v>
      </c>
      <c r="C2782" s="1" t="s">
        <v>3240</v>
      </c>
      <c r="D2782" s="1" t="s">
        <v>1813</v>
      </c>
      <c r="E2782" s="1" t="s">
        <v>3101</v>
      </c>
      <c r="F2782" s="1" t="s">
        <v>3102</v>
      </c>
      <c r="G2782" s="4">
        <f>651534/208582082</f>
        <v>3.1236336014710984E-3</v>
      </c>
      <c r="H2782" s="28">
        <v>40908</v>
      </c>
      <c r="I2782" s="29">
        <f t="shared" ref="I2782" si="2650">YEAR(H2782)</f>
        <v>2011</v>
      </c>
      <c r="J2782" s="1" t="s">
        <v>3202</v>
      </c>
      <c r="K2782" s="1" t="s">
        <v>7</v>
      </c>
      <c r="L2782" s="11" t="str">
        <f t="shared" si="2649"/>
        <v>ДА</v>
      </c>
      <c r="M2782" s="10">
        <v>0</v>
      </c>
      <c r="N2782" s="10">
        <v>0</v>
      </c>
      <c r="O2782" s="10">
        <v>0.63300000000000001</v>
      </c>
      <c r="P2782" s="10">
        <f t="shared" si="2630"/>
        <v>202.64860760298006</v>
      </c>
      <c r="Q2782" s="10">
        <f t="shared" si="2631"/>
        <v>121.22560760298008</v>
      </c>
      <c r="R2782" s="10">
        <v>14.935</v>
      </c>
      <c r="S2782" s="10">
        <v>6.0110000000000001</v>
      </c>
      <c r="T2782" s="10">
        <v>3.3460000000000001</v>
      </c>
      <c r="U2782" s="10">
        <v>1.008</v>
      </c>
      <c r="V2782" s="10">
        <v>126.13500000000002</v>
      </c>
      <c r="W2782" s="10">
        <v>-81.422999999999988</v>
      </c>
      <c r="X2782" s="10">
        <f t="shared" si="2609"/>
        <v>44.712000000000032</v>
      </c>
      <c r="Y2782" s="10">
        <f t="shared" si="2610"/>
        <v>13.568704894742554</v>
      </c>
      <c r="Z2782" s="10">
        <f t="shared" si="2611"/>
        <v>201.04028532041673</v>
      </c>
      <c r="AA2782" s="10">
        <f t="shared" si="2612"/>
        <v>1.6066009244300157</v>
      </c>
      <c r="AB2782" s="10">
        <f t="shared" si="2613"/>
        <v>8.1168803215922374</v>
      </c>
      <c r="AC2782" s="10">
        <f t="shared" si="2614"/>
        <v>20.167294560469152</v>
      </c>
      <c r="AD2782" s="10">
        <f t="shared" si="2615"/>
        <v>36.230008249545747</v>
      </c>
      <c r="AE2782" s="10">
        <f t="shared" si="2616"/>
        <v>2.7112544194618891</v>
      </c>
      <c r="AF2782" s="1" t="s">
        <v>3302</v>
      </c>
    </row>
    <row r="2783" spans="1:32" x14ac:dyDescent="0.2">
      <c r="A2783" s="1" t="s">
        <v>6611</v>
      </c>
      <c r="B2783" s="1" t="s">
        <v>5</v>
      </c>
      <c r="C2783" s="1" t="s">
        <v>1575</v>
      </c>
      <c r="D2783" s="1" t="s">
        <v>1813</v>
      </c>
      <c r="E2783" s="1" t="s">
        <v>1945</v>
      </c>
      <c r="F2783" s="1" t="s">
        <v>3303</v>
      </c>
      <c r="G2783" s="4">
        <v>0.5</v>
      </c>
      <c r="H2783" s="28">
        <v>40234</v>
      </c>
      <c r="I2783" s="29">
        <f t="shared" ref="I2783" si="2651">YEAR(H2783)</f>
        <v>2010</v>
      </c>
      <c r="J2783" s="1" t="s">
        <v>3202</v>
      </c>
      <c r="K2783" s="1" t="s">
        <v>7</v>
      </c>
      <c r="L2783" s="11" t="str">
        <f t="shared" si="2649"/>
        <v>НЕТ</v>
      </c>
      <c r="M2783" s="10">
        <v>10.038</v>
      </c>
      <c r="N2783" s="10">
        <v>0</v>
      </c>
      <c r="O2783" s="10">
        <v>0.3</v>
      </c>
      <c r="P2783" s="10">
        <f t="shared" si="2630"/>
        <v>0.6</v>
      </c>
      <c r="Q2783" s="10">
        <f t="shared" si="2631"/>
        <v>-2.4409999999999998</v>
      </c>
      <c r="R2783" s="10" t="s">
        <v>1575</v>
      </c>
      <c r="S2783" s="10" t="s">
        <v>1575</v>
      </c>
      <c r="T2783" s="10" t="s">
        <v>1575</v>
      </c>
      <c r="U2783" s="10" t="s">
        <v>1575</v>
      </c>
      <c r="V2783" s="10">
        <v>15.218</v>
      </c>
      <c r="W2783" s="10">
        <v>-3.0409999999999999</v>
      </c>
      <c r="X2783" s="10">
        <f t="shared" si="2609"/>
        <v>12.177</v>
      </c>
      <c r="Y2783" s="10" t="str">
        <f t="shared" si="2610"/>
        <v>NA</v>
      </c>
      <c r="Z2783" s="10" t="str">
        <f t="shared" si="2611"/>
        <v>NA</v>
      </c>
      <c r="AA2783" s="10">
        <f t="shared" si="2612"/>
        <v>3.9426994348797477E-2</v>
      </c>
      <c r="AB2783" s="10" t="str">
        <f t="shared" si="2613"/>
        <v>NA</v>
      </c>
      <c r="AC2783" s="10" t="str">
        <f t="shared" si="2614"/>
        <v>NA</v>
      </c>
      <c r="AD2783" s="10" t="str">
        <f t="shared" si="2615"/>
        <v>NA</v>
      </c>
      <c r="AE2783" s="10">
        <f t="shared" si="2616"/>
        <v>-0.20045988338671264</v>
      </c>
      <c r="AF2783" s="1" t="s">
        <v>3304</v>
      </c>
    </row>
    <row r="2784" spans="1:32" x14ac:dyDescent="0.2">
      <c r="A2784" s="1" t="s">
        <v>3306</v>
      </c>
      <c r="B2784" s="1" t="s">
        <v>3307</v>
      </c>
      <c r="C2784" s="1" t="s">
        <v>1575</v>
      </c>
      <c r="D2784" s="1" t="s">
        <v>1813</v>
      </c>
      <c r="E2784" s="1" t="s">
        <v>1587</v>
      </c>
      <c r="F2784" s="1" t="s">
        <v>3308</v>
      </c>
      <c r="G2784" s="4">
        <v>1</v>
      </c>
      <c r="H2784" s="28">
        <v>40389</v>
      </c>
      <c r="I2784" s="29">
        <f t="shared" ref="I2784:I2789" si="2652">YEAR(H2784)</f>
        <v>2010</v>
      </c>
      <c r="J2784" s="1" t="s">
        <v>3202</v>
      </c>
      <c r="K2784" s="1" t="s">
        <v>7</v>
      </c>
      <c r="L2784" s="11" t="str">
        <f t="shared" ref="L2784:L2785" si="2653">IF(OR(A2784=J2784,A2784=K2784),"ДА","НЕТ")</f>
        <v>НЕТ</v>
      </c>
      <c r="M2784" s="10">
        <v>187.5</v>
      </c>
      <c r="N2784" s="10">
        <v>0</v>
      </c>
      <c r="O2784" s="10">
        <f>M2784*30.2173/1000</f>
        <v>5.6657437500000007</v>
      </c>
      <c r="P2784" s="10">
        <f t="shared" si="2630"/>
        <v>5.6657437500000007</v>
      </c>
      <c r="Q2784" s="10">
        <f t="shared" si="2631"/>
        <v>5.565392096700001</v>
      </c>
      <c r="R2784" s="10" t="s">
        <v>1575</v>
      </c>
      <c r="S2784" s="10" t="s">
        <v>1575</v>
      </c>
      <c r="T2784" s="10" t="s">
        <v>1575</v>
      </c>
      <c r="U2784" s="10" t="s">
        <v>1575</v>
      </c>
      <c r="V2784" s="10">
        <f>25.288*30.2173/1000</f>
        <v>0.76413508240000005</v>
      </c>
      <c r="W2784" s="10">
        <f>(0.025-3.346)*30.2173/1000</f>
        <v>-0.10035165330000001</v>
      </c>
      <c r="X2784" s="10">
        <f t="shared" si="2609"/>
        <v>0.66378342909999999</v>
      </c>
      <c r="Y2784" s="10" t="str">
        <f t="shared" si="2610"/>
        <v>NA</v>
      </c>
      <c r="Z2784" s="10" t="str">
        <f t="shared" si="2611"/>
        <v>NA</v>
      </c>
      <c r="AA2784" s="10">
        <f t="shared" si="2612"/>
        <v>7.4145839924074668</v>
      </c>
      <c r="AB2784" s="10" t="str">
        <f t="shared" si="2613"/>
        <v>NA</v>
      </c>
      <c r="AC2784" s="10" t="str">
        <f t="shared" si="2614"/>
        <v>NA</v>
      </c>
      <c r="AD2784" s="10" t="str">
        <f t="shared" si="2615"/>
        <v>NA</v>
      </c>
      <c r="AE2784" s="10">
        <f t="shared" si="2616"/>
        <v>8.3843492511494535</v>
      </c>
      <c r="AF2784" s="1" t="s">
        <v>3305</v>
      </c>
    </row>
    <row r="2785" spans="1:32" x14ac:dyDescent="0.2">
      <c r="A2785" s="1" t="s">
        <v>3309</v>
      </c>
      <c r="B2785" s="1" t="s">
        <v>51</v>
      </c>
      <c r="C2785" s="1" t="s">
        <v>1575</v>
      </c>
      <c r="D2785" s="1" t="s">
        <v>1813</v>
      </c>
      <c r="E2785" s="1" t="s">
        <v>3071</v>
      </c>
      <c r="F2785" s="1" t="s">
        <v>3072</v>
      </c>
      <c r="G2785" s="4">
        <v>1</v>
      </c>
      <c r="H2785" s="28">
        <v>40298</v>
      </c>
      <c r="I2785" s="29">
        <f t="shared" si="2652"/>
        <v>2010</v>
      </c>
      <c r="J2785" s="1" t="s">
        <v>3202</v>
      </c>
      <c r="K2785" s="1" t="s">
        <v>7</v>
      </c>
      <c r="L2785" s="11" t="str">
        <f t="shared" si="2653"/>
        <v>НЕТ</v>
      </c>
      <c r="M2785" s="10">
        <v>61.893999999999998</v>
      </c>
      <c r="N2785" s="10">
        <v>0</v>
      </c>
      <c r="O2785" s="10">
        <f>M2785*29.2886</f>
        <v>1812.7886083999999</v>
      </c>
      <c r="P2785" s="10">
        <f t="shared" si="2630"/>
        <v>1812.7886083999999</v>
      </c>
      <c r="Q2785" s="10">
        <f t="shared" si="2631"/>
        <v>1813.4350370906</v>
      </c>
      <c r="R2785" s="10" t="s">
        <v>1575</v>
      </c>
      <c r="S2785" s="10" t="s">
        <v>1575</v>
      </c>
      <c r="T2785" s="10" t="s">
        <v>1575</v>
      </c>
      <c r="U2785" s="10" t="s">
        <v>1575</v>
      </c>
      <c r="V2785" s="10">
        <f>195.911*29.2886/1000</f>
        <v>5.7379589146000001</v>
      </c>
      <c r="W2785" s="10">
        <f>(43.795-19.115-2.609)*29.2886/1000</f>
        <v>0.64642869060000008</v>
      </c>
      <c r="X2785" s="10">
        <f t="shared" si="2609"/>
        <v>6.3843876052000006</v>
      </c>
      <c r="Y2785" s="10" t="str">
        <f t="shared" si="2610"/>
        <v>NA</v>
      </c>
      <c r="Z2785" s="10" t="str">
        <f t="shared" si="2611"/>
        <v>NA</v>
      </c>
      <c r="AA2785" s="10">
        <f t="shared" si="2612"/>
        <v>315.92917191990239</v>
      </c>
      <c r="AB2785" s="10" t="str">
        <f t="shared" si="2613"/>
        <v>NA</v>
      </c>
      <c r="AC2785" s="10" t="str">
        <f t="shared" si="2614"/>
        <v>NA</v>
      </c>
      <c r="AD2785" s="10" t="str">
        <f t="shared" si="2615"/>
        <v>NA</v>
      </c>
      <c r="AE2785" s="10">
        <f t="shared" si="2616"/>
        <v>284.04212733161449</v>
      </c>
      <c r="AF2785" s="1" t="s">
        <v>3310</v>
      </c>
    </row>
    <row r="2786" spans="1:32" x14ac:dyDescent="0.2">
      <c r="A2786" s="1" t="s">
        <v>3329</v>
      </c>
      <c r="B2786" s="1" t="s">
        <v>30</v>
      </c>
      <c r="C2786" s="1" t="s">
        <v>1575</v>
      </c>
      <c r="D2786" s="1" t="s">
        <v>1813</v>
      </c>
      <c r="E2786" s="16" t="s">
        <v>3101</v>
      </c>
      <c r="F2786" s="1" t="s">
        <v>662</v>
      </c>
      <c r="G2786" s="4">
        <f>100%-53%</f>
        <v>0.47</v>
      </c>
      <c r="H2786" s="28">
        <v>40451</v>
      </c>
      <c r="I2786" s="29">
        <f t="shared" si="2652"/>
        <v>2010</v>
      </c>
      <c r="J2786" s="1" t="s">
        <v>3202</v>
      </c>
      <c r="K2786" s="1" t="s">
        <v>7</v>
      </c>
      <c r="L2786" s="11" t="str">
        <f t="shared" ref="L2786" si="2654">IF(OR(A2786=J2786,A2786=K2786),"ДА","НЕТ")</f>
        <v>НЕТ</v>
      </c>
      <c r="M2786" s="10">
        <f>134.786+105.901</f>
        <v>240.68700000000001</v>
      </c>
      <c r="N2786" s="10">
        <v>0</v>
      </c>
      <c r="O2786" s="10">
        <f>M2786*30.403/1000</f>
        <v>7.3176068609999998</v>
      </c>
      <c r="P2786" s="10">
        <f t="shared" si="2630"/>
        <v>15.5693763</v>
      </c>
      <c r="Q2786" s="10" t="str">
        <f t="shared" si="2631"/>
        <v>NA</v>
      </c>
      <c r="R2786" s="10" t="s">
        <v>1575</v>
      </c>
      <c r="S2786" s="10" t="s">
        <v>1575</v>
      </c>
      <c r="T2786" s="10" t="s">
        <v>1575</v>
      </c>
      <c r="U2786" s="10" t="s">
        <v>1575</v>
      </c>
      <c r="V2786" s="10">
        <f>134.786*30.403/1000</f>
        <v>4.0978987580000004</v>
      </c>
      <c r="W2786" s="10" t="s">
        <v>1575</v>
      </c>
      <c r="X2786" s="10" t="str">
        <f t="shared" si="2609"/>
        <v>NA</v>
      </c>
      <c r="Y2786" s="10" t="str">
        <f t="shared" si="2610"/>
        <v>NA</v>
      </c>
      <c r="Z2786" s="10" t="str">
        <f t="shared" si="2611"/>
        <v>NA</v>
      </c>
      <c r="AA2786" s="10">
        <f t="shared" si="2612"/>
        <v>3.799356016203463</v>
      </c>
      <c r="AB2786" s="10" t="str">
        <f t="shared" si="2613"/>
        <v>NA</v>
      </c>
      <c r="AC2786" s="10" t="str">
        <f t="shared" si="2614"/>
        <v>NA</v>
      </c>
      <c r="AD2786" s="10" t="str">
        <f t="shared" si="2615"/>
        <v>NA</v>
      </c>
      <c r="AE2786" s="10" t="str">
        <f t="shared" si="2616"/>
        <v>NA</v>
      </c>
      <c r="AF2786" s="1" t="s">
        <v>3314</v>
      </c>
    </row>
    <row r="2787" spans="1:32" x14ac:dyDescent="0.2">
      <c r="A2787" s="1" t="s">
        <v>3315</v>
      </c>
      <c r="B2787" s="1" t="s">
        <v>1575</v>
      </c>
      <c r="C2787" s="1" t="s">
        <v>1575</v>
      </c>
      <c r="D2787" s="1" t="s">
        <v>1813</v>
      </c>
      <c r="E2787" s="1" t="s">
        <v>1821</v>
      </c>
      <c r="F2787" s="1" t="s">
        <v>2898</v>
      </c>
      <c r="G2787" s="4">
        <v>0.49</v>
      </c>
      <c r="H2787" s="28">
        <v>40451</v>
      </c>
      <c r="I2787" s="29">
        <f t="shared" si="2652"/>
        <v>2010</v>
      </c>
      <c r="J2787" s="1" t="s">
        <v>3202</v>
      </c>
      <c r="K2787" s="1" t="s">
        <v>7</v>
      </c>
      <c r="L2787" s="11" t="str">
        <f t="shared" ref="L2787:L2789" si="2655">IF(OR(A2787=J2787,A2787=K2787),"ДА","НЕТ")</f>
        <v>НЕТ</v>
      </c>
      <c r="M2787" s="10">
        <v>0.3</v>
      </c>
      <c r="N2787" s="10">
        <v>0</v>
      </c>
      <c r="O2787" s="10">
        <f>M2787*30.403/1000</f>
        <v>9.1208999999999995E-3</v>
      </c>
      <c r="P2787" s="10">
        <f t="shared" si="2630"/>
        <v>1.8614081632653059E-2</v>
      </c>
      <c r="Q2787" s="10" t="str">
        <f t="shared" si="2631"/>
        <v>NA</v>
      </c>
      <c r="R2787" s="10" t="s">
        <v>1575</v>
      </c>
      <c r="S2787" s="10" t="s">
        <v>1575</v>
      </c>
      <c r="T2787" s="10" t="s">
        <v>1575</v>
      </c>
      <c r="U2787" s="10" t="s">
        <v>1575</v>
      </c>
      <c r="V2787" s="10" t="s">
        <v>1575</v>
      </c>
      <c r="W2787" s="10" t="s">
        <v>1575</v>
      </c>
      <c r="X2787" s="10" t="str">
        <f t="shared" si="2609"/>
        <v>NA</v>
      </c>
      <c r="Y2787" s="10" t="str">
        <f t="shared" si="2610"/>
        <v>NA</v>
      </c>
      <c r="Z2787" s="10" t="str">
        <f t="shared" si="2611"/>
        <v>NA</v>
      </c>
      <c r="AA2787" s="10" t="str">
        <f t="shared" si="2612"/>
        <v>NA</v>
      </c>
      <c r="AB2787" s="10" t="str">
        <f t="shared" si="2613"/>
        <v>NA</v>
      </c>
      <c r="AC2787" s="10" t="str">
        <f t="shared" si="2614"/>
        <v>NA</v>
      </c>
      <c r="AD2787" s="10" t="str">
        <f t="shared" si="2615"/>
        <v>NA</v>
      </c>
      <c r="AE2787" s="10" t="str">
        <f t="shared" si="2616"/>
        <v>NA</v>
      </c>
      <c r="AF2787" s="1" t="s">
        <v>3311</v>
      </c>
    </row>
    <row r="2788" spans="1:32" x14ac:dyDescent="0.2">
      <c r="A2788" s="1" t="s">
        <v>6610</v>
      </c>
      <c r="B2788" s="1" t="s">
        <v>5</v>
      </c>
      <c r="C2788" s="1" t="s">
        <v>3297</v>
      </c>
      <c r="D2788" s="1" t="s">
        <v>1580</v>
      </c>
      <c r="E2788" s="1" t="s">
        <v>1827</v>
      </c>
      <c r="F2788" s="1" t="s">
        <v>3296</v>
      </c>
      <c r="G2788" s="4">
        <v>3.7400000000000003E-2</v>
      </c>
      <c r="H2788" s="28">
        <v>40543</v>
      </c>
      <c r="I2788" s="29">
        <f t="shared" si="2652"/>
        <v>2010</v>
      </c>
      <c r="J2788" s="1" t="s">
        <v>7</v>
      </c>
      <c r="K2788" s="1" t="s">
        <v>3202</v>
      </c>
      <c r="L2788" s="11" t="str">
        <f t="shared" si="2655"/>
        <v>НЕТ</v>
      </c>
      <c r="M2788" s="10">
        <v>24.123000000000001</v>
      </c>
      <c r="N2788" s="10">
        <v>0</v>
      </c>
      <c r="O2788" s="10">
        <f>M2788*30.4769/1000</f>
        <v>0.7351942587000001</v>
      </c>
      <c r="P2788" s="10">
        <f t="shared" si="2630"/>
        <v>19.657600500000001</v>
      </c>
      <c r="Q2788" s="10" t="str">
        <f t="shared" si="2631"/>
        <v>NA</v>
      </c>
      <c r="R2788" s="10" t="s">
        <v>1575</v>
      </c>
      <c r="S2788" s="10" t="s">
        <v>1575</v>
      </c>
      <c r="T2788" s="10" t="s">
        <v>1575</v>
      </c>
      <c r="U2788" s="10" t="s">
        <v>1575</v>
      </c>
      <c r="V2788" s="10" t="s">
        <v>1575</v>
      </c>
      <c r="W2788" s="10" t="s">
        <v>1575</v>
      </c>
      <c r="X2788" s="10" t="str">
        <f t="shared" si="2609"/>
        <v>NA</v>
      </c>
      <c r="Y2788" s="10" t="str">
        <f t="shared" si="2610"/>
        <v>NA</v>
      </c>
      <c r="Z2788" s="10" t="str">
        <f t="shared" si="2611"/>
        <v>NA</v>
      </c>
      <c r="AA2788" s="10" t="str">
        <f t="shared" si="2612"/>
        <v>NA</v>
      </c>
      <c r="AB2788" s="10" t="str">
        <f t="shared" si="2613"/>
        <v>NA</v>
      </c>
      <c r="AC2788" s="10" t="str">
        <f t="shared" si="2614"/>
        <v>NA</v>
      </c>
      <c r="AD2788" s="10" t="str">
        <f t="shared" si="2615"/>
        <v>NA</v>
      </c>
      <c r="AE2788" s="10" t="str">
        <f t="shared" si="2616"/>
        <v>NA</v>
      </c>
      <c r="AF2788" s="1" t="s">
        <v>3312</v>
      </c>
    </row>
    <row r="2789" spans="1:32" x14ac:dyDescent="0.2">
      <c r="A2789" s="1" t="s">
        <v>3202</v>
      </c>
      <c r="B2789" s="1" t="s">
        <v>5</v>
      </c>
      <c r="C2789" s="1" t="s">
        <v>3240</v>
      </c>
      <c r="D2789" s="1" t="s">
        <v>1813</v>
      </c>
      <c r="E2789" s="1" t="s">
        <v>3101</v>
      </c>
      <c r="F2789" s="1" t="s">
        <v>3102</v>
      </c>
      <c r="G2789" s="4">
        <f>3336000/208582082</f>
        <v>1.5993703620237141E-2</v>
      </c>
      <c r="H2789" s="28">
        <v>40512</v>
      </c>
      <c r="I2789" s="29">
        <f t="shared" si="2652"/>
        <v>2010</v>
      </c>
      <c r="J2789" s="1" t="s">
        <v>7</v>
      </c>
      <c r="K2789" s="1" t="s">
        <v>3202</v>
      </c>
      <c r="L2789" s="11" t="str">
        <f t="shared" si="2655"/>
        <v>ДА</v>
      </c>
      <c r="M2789" s="10">
        <v>9.2407000000000003E-2</v>
      </c>
      <c r="N2789" s="10">
        <v>0</v>
      </c>
      <c r="O2789" s="10">
        <f>M2789*31.3061/1000</f>
        <v>2.8929027827000004E-3</v>
      </c>
      <c r="P2789" s="10">
        <f t="shared" si="2630"/>
        <v>0.18087760354890878</v>
      </c>
      <c r="Q2789" s="10" t="str">
        <f t="shared" si="2631"/>
        <v>NA</v>
      </c>
      <c r="R2789" s="10" t="s">
        <v>1575</v>
      </c>
      <c r="S2789" s="10" t="s">
        <v>1575</v>
      </c>
      <c r="T2789" s="10" t="s">
        <v>1575</v>
      </c>
      <c r="U2789" s="10" t="s">
        <v>1575</v>
      </c>
      <c r="V2789" s="10" t="s">
        <v>1575</v>
      </c>
      <c r="W2789" s="10" t="s">
        <v>1575</v>
      </c>
      <c r="X2789" s="10" t="str">
        <f t="shared" si="2609"/>
        <v>NA</v>
      </c>
      <c r="Y2789" s="10" t="str">
        <f t="shared" si="2610"/>
        <v>NA</v>
      </c>
      <c r="Z2789" s="10" t="str">
        <f t="shared" si="2611"/>
        <v>NA</v>
      </c>
      <c r="AA2789" s="10" t="str">
        <f t="shared" si="2612"/>
        <v>NA</v>
      </c>
      <c r="AB2789" s="10" t="str">
        <f t="shared" si="2613"/>
        <v>NA</v>
      </c>
      <c r="AC2789" s="10" t="str">
        <f t="shared" si="2614"/>
        <v>NA</v>
      </c>
      <c r="AD2789" s="10" t="str">
        <f t="shared" si="2615"/>
        <v>NA</v>
      </c>
      <c r="AE2789" s="10" t="str">
        <f t="shared" si="2616"/>
        <v>NA</v>
      </c>
      <c r="AF2789" s="1" t="s">
        <v>3316</v>
      </c>
    </row>
    <row r="2790" spans="1:32" x14ac:dyDescent="0.2">
      <c r="A2790" s="1" t="s">
        <v>3202</v>
      </c>
      <c r="B2790" s="1" t="s">
        <v>5</v>
      </c>
      <c r="C2790" s="1" t="s">
        <v>3240</v>
      </c>
      <c r="D2790" s="1" t="s">
        <v>1813</v>
      </c>
      <c r="E2790" s="1" t="s">
        <v>3101</v>
      </c>
      <c r="F2790" s="1" t="s">
        <v>3102</v>
      </c>
      <c r="G2790" s="4">
        <f>8114/208582082</f>
        <v>3.89007527501811E-5</v>
      </c>
      <c r="H2790" s="28">
        <v>40298</v>
      </c>
      <c r="I2790" s="29">
        <f t="shared" ref="I2790" si="2656">YEAR(H2790)</f>
        <v>2010</v>
      </c>
      <c r="J2790" s="1" t="s">
        <v>3318</v>
      </c>
      <c r="K2790" s="1" t="s">
        <v>3202</v>
      </c>
      <c r="L2790" s="11" t="str">
        <f t="shared" ref="L2790:L2791" si="2657">IF(OR(A2790=J2790,A2790=K2790),"ДА","НЕТ")</f>
        <v>ДА</v>
      </c>
      <c r="M2790" s="10">
        <v>0.30000399999999999</v>
      </c>
      <c r="N2790" s="10">
        <v>0</v>
      </c>
      <c r="O2790" s="10">
        <f>M2790*29.2886/1000</f>
        <v>8.7866971543999993E-3</v>
      </c>
      <c r="P2790" s="10">
        <f t="shared" si="2630"/>
        <v>225.87473334585005</v>
      </c>
      <c r="Q2790" s="10" t="str">
        <f t="shared" si="2631"/>
        <v>NA</v>
      </c>
      <c r="R2790" s="10" t="s">
        <v>1575</v>
      </c>
      <c r="S2790" s="10" t="s">
        <v>1575</v>
      </c>
      <c r="T2790" s="10" t="s">
        <v>1575</v>
      </c>
      <c r="U2790" s="10" t="s">
        <v>1575</v>
      </c>
      <c r="V2790" s="10" t="s">
        <v>1575</v>
      </c>
      <c r="W2790" s="10" t="s">
        <v>1575</v>
      </c>
      <c r="X2790" s="10" t="str">
        <f t="shared" si="2609"/>
        <v>NA</v>
      </c>
      <c r="Y2790" s="10" t="str">
        <f t="shared" si="2610"/>
        <v>NA</v>
      </c>
      <c r="Z2790" s="10" t="str">
        <f t="shared" si="2611"/>
        <v>NA</v>
      </c>
      <c r="AA2790" s="10" t="str">
        <f t="shared" si="2612"/>
        <v>NA</v>
      </c>
      <c r="AB2790" s="10" t="str">
        <f t="shared" si="2613"/>
        <v>NA</v>
      </c>
      <c r="AC2790" s="10" t="str">
        <f t="shared" si="2614"/>
        <v>NA</v>
      </c>
      <c r="AD2790" s="10" t="str">
        <f t="shared" si="2615"/>
        <v>NA</v>
      </c>
      <c r="AE2790" s="10" t="str">
        <f t="shared" si="2616"/>
        <v>NA</v>
      </c>
      <c r="AF2790" s="1" t="s">
        <v>3317</v>
      </c>
    </row>
    <row r="2791" spans="1:32" x14ac:dyDescent="0.2">
      <c r="A2791" s="1" t="s">
        <v>2894</v>
      </c>
      <c r="B2791" s="1" t="s">
        <v>5</v>
      </c>
      <c r="C2791" s="1" t="s">
        <v>2908</v>
      </c>
      <c r="D2791" s="1" t="s">
        <v>1813</v>
      </c>
      <c r="E2791" s="1" t="s">
        <v>1821</v>
      </c>
      <c r="F2791" s="1" t="s">
        <v>2898</v>
      </c>
      <c r="G2791" s="4">
        <v>0.54610000000000003</v>
      </c>
      <c r="H2791" s="28">
        <v>39872</v>
      </c>
      <c r="I2791" s="29">
        <f t="shared" ref="I2791:I2793" si="2658">YEAR(H2791)</f>
        <v>2009</v>
      </c>
      <c r="J2791" s="1" t="s">
        <v>3202</v>
      </c>
      <c r="K2791" s="1" t="s">
        <v>7</v>
      </c>
      <c r="L2791" s="11" t="str">
        <f t="shared" si="2657"/>
        <v>НЕТ</v>
      </c>
      <c r="M2791" s="10">
        <v>37.853999999999999</v>
      </c>
      <c r="N2791" s="10">
        <v>0</v>
      </c>
      <c r="O2791" s="10">
        <f>M2791*35.7205/1000</f>
        <v>1.3521638069999999</v>
      </c>
      <c r="P2791" s="10">
        <f t="shared" si="2630"/>
        <v>2.476037002380516</v>
      </c>
      <c r="Q2791" s="10">
        <f t="shared" si="2631"/>
        <v>-25.10018899761949</v>
      </c>
      <c r="R2791" s="10" t="s">
        <v>1575</v>
      </c>
      <c r="S2791" s="10" t="s">
        <v>1575</v>
      </c>
      <c r="T2791" s="10" t="s">
        <v>1575</v>
      </c>
      <c r="U2791" s="10" t="s">
        <v>1575</v>
      </c>
      <c r="V2791" s="10">
        <f>2.045*35.7205</f>
        <v>73.048422500000001</v>
      </c>
      <c r="W2791" s="10">
        <f>(0.693+0.084+0.107-0.543-1.113)*35.7205</f>
        <v>-27.576226000000005</v>
      </c>
      <c r="X2791" s="10">
        <f t="shared" si="2609"/>
        <v>45.472196499999995</v>
      </c>
      <c r="Y2791" s="10" t="str">
        <f t="shared" si="2610"/>
        <v>NA</v>
      </c>
      <c r="Z2791" s="10" t="str">
        <f t="shared" si="2611"/>
        <v>NA</v>
      </c>
      <c r="AA2791" s="10">
        <f t="shared" si="2612"/>
        <v>3.3895831253310311E-2</v>
      </c>
      <c r="AB2791" s="10" t="str">
        <f t="shared" si="2613"/>
        <v>NA</v>
      </c>
      <c r="AC2791" s="10" t="str">
        <f t="shared" si="2614"/>
        <v>NA</v>
      </c>
      <c r="AD2791" s="10" t="str">
        <f t="shared" si="2615"/>
        <v>NA</v>
      </c>
      <c r="AE2791" s="10">
        <f t="shared" si="2616"/>
        <v>-0.55198980760956851</v>
      </c>
      <c r="AF2791" s="1" t="s">
        <v>3319</v>
      </c>
    </row>
    <row r="2792" spans="1:32" x14ac:dyDescent="0.2">
      <c r="A2792" s="1" t="s">
        <v>3321</v>
      </c>
      <c r="B2792" s="1" t="s">
        <v>5</v>
      </c>
      <c r="C2792" s="1" t="s">
        <v>1575</v>
      </c>
      <c r="D2792" s="1" t="s">
        <v>1813</v>
      </c>
      <c r="E2792" s="1" t="s">
        <v>1821</v>
      </c>
      <c r="F2792" s="1" t="s">
        <v>3322</v>
      </c>
      <c r="G2792" s="4">
        <f>4.35%+0.76%</f>
        <v>5.11E-2</v>
      </c>
      <c r="H2792" s="28">
        <v>39897</v>
      </c>
      <c r="I2792" s="29">
        <f t="shared" si="2658"/>
        <v>2009</v>
      </c>
      <c r="J2792" s="1" t="s">
        <v>3202</v>
      </c>
      <c r="K2792" s="1" t="s">
        <v>7</v>
      </c>
      <c r="L2792" s="11" t="str">
        <f t="shared" ref="L2792:L2793" si="2659">IF(OR(A2792=J2792,A2792=K2792),"ДА","НЕТ")</f>
        <v>НЕТ</v>
      </c>
      <c r="M2792" s="10">
        <f>5.934+5.001</f>
        <v>10.935</v>
      </c>
      <c r="N2792" s="10">
        <v>0</v>
      </c>
      <c r="O2792" s="10">
        <f>M2792*33.2726/1000</f>
        <v>0.36383588099999997</v>
      </c>
      <c r="P2792" s="10">
        <f t="shared" si="2630"/>
        <v>7.1200759491193732</v>
      </c>
      <c r="Q2792" s="10">
        <f t="shared" si="2631"/>
        <v>6.2114677883193732</v>
      </c>
      <c r="R2792" s="10" t="s">
        <v>1575</v>
      </c>
      <c r="S2792" s="10" t="s">
        <v>1575</v>
      </c>
      <c r="T2792" s="10" t="s">
        <v>1575</v>
      </c>
      <c r="U2792" s="10" t="s">
        <v>1575</v>
      </c>
      <c r="V2792" s="10">
        <f>115.648*33.2726/1000</f>
        <v>3.8479096447999996</v>
      </c>
      <c r="W2792" s="10">
        <f>(6.51+16.257-45.419-4.656)*33.2726/1000</f>
        <v>-0.90860816079999973</v>
      </c>
      <c r="X2792" s="10">
        <f t="shared" si="2609"/>
        <v>2.939301484</v>
      </c>
      <c r="Y2792" s="10" t="str">
        <f t="shared" si="2610"/>
        <v>NA</v>
      </c>
      <c r="Z2792" s="10" t="str">
        <f t="shared" si="2611"/>
        <v>NA</v>
      </c>
      <c r="AA2792" s="10">
        <f t="shared" si="2612"/>
        <v>1.8503750364152454</v>
      </c>
      <c r="AB2792" s="10" t="str">
        <f t="shared" si="2613"/>
        <v>NA</v>
      </c>
      <c r="AC2792" s="10" t="str">
        <f t="shared" si="2614"/>
        <v>NA</v>
      </c>
      <c r="AD2792" s="10" t="str">
        <f t="shared" si="2615"/>
        <v>NA</v>
      </c>
      <c r="AE2792" s="10">
        <f t="shared" si="2616"/>
        <v>2.1132462328656358</v>
      </c>
      <c r="AF2792" s="1" t="s">
        <v>3320</v>
      </c>
    </row>
    <row r="2793" spans="1:32" x14ac:dyDescent="0.2">
      <c r="A2793" s="1" t="s">
        <v>3330</v>
      </c>
      <c r="B2793" s="1" t="s">
        <v>5</v>
      </c>
      <c r="C2793" s="1" t="s">
        <v>1575</v>
      </c>
      <c r="D2793" s="1" t="s">
        <v>1813</v>
      </c>
      <c r="E2793" s="1" t="s">
        <v>9358</v>
      </c>
      <c r="F2793" s="1" t="s">
        <v>3324</v>
      </c>
      <c r="G2793" s="4">
        <f>68%-66.02%</f>
        <v>1.980000000000004E-2</v>
      </c>
      <c r="H2793" s="28">
        <v>39933</v>
      </c>
      <c r="I2793" s="29">
        <f t="shared" si="2658"/>
        <v>2009</v>
      </c>
      <c r="J2793" s="1" t="s">
        <v>7</v>
      </c>
      <c r="K2793" s="1" t="s">
        <v>3202</v>
      </c>
      <c r="L2793" s="11" t="str">
        <f t="shared" si="2659"/>
        <v>НЕТ</v>
      </c>
      <c r="M2793" s="10">
        <f>11.585+32.44</f>
        <v>44.024999999999999</v>
      </c>
      <c r="N2793" s="10">
        <v>0</v>
      </c>
      <c r="O2793" s="10">
        <f>M2793*33.2491/1000</f>
        <v>1.4637916274999998</v>
      </c>
      <c r="P2793" s="10">
        <f t="shared" si="2630"/>
        <v>73.928870075757416</v>
      </c>
      <c r="Q2793" s="10">
        <f t="shared" si="2631"/>
        <v>74.081450195657411</v>
      </c>
      <c r="R2793" s="10" t="s">
        <v>1575</v>
      </c>
      <c r="S2793" s="10" t="s">
        <v>1575</v>
      </c>
      <c r="T2793" s="10" t="s">
        <v>1575</v>
      </c>
      <c r="U2793" s="10" t="s">
        <v>1575</v>
      </c>
      <c r="V2793" s="10">
        <f>32.44*33.2491/1000</f>
        <v>1.0786008039999999</v>
      </c>
      <c r="W2793" s="10">
        <f>(5.535-0.946)*33.2491/1000</f>
        <v>0.15258011990000001</v>
      </c>
      <c r="X2793" s="10">
        <f t="shared" si="2609"/>
        <v>1.2311809239</v>
      </c>
      <c r="Y2793" s="10" t="str">
        <f t="shared" si="2610"/>
        <v>NA</v>
      </c>
      <c r="Z2793" s="10" t="str">
        <f t="shared" si="2611"/>
        <v>NA</v>
      </c>
      <c r="AA2793" s="10">
        <f t="shared" si="2612"/>
        <v>68.541456488435387</v>
      </c>
      <c r="AB2793" s="10" t="str">
        <f t="shared" si="2613"/>
        <v>NA</v>
      </c>
      <c r="AC2793" s="10" t="str">
        <f t="shared" si="2614"/>
        <v>NA</v>
      </c>
      <c r="AD2793" s="10" t="str">
        <f t="shared" si="2615"/>
        <v>NA</v>
      </c>
      <c r="AE2793" s="10">
        <f t="shared" si="2616"/>
        <v>60.171051027163671</v>
      </c>
      <c r="AF2793" s="1" t="s">
        <v>3323</v>
      </c>
    </row>
    <row r="2794" spans="1:32" x14ac:dyDescent="0.2">
      <c r="A2794" s="1" t="s">
        <v>6612</v>
      </c>
      <c r="B2794" s="1" t="s">
        <v>5</v>
      </c>
      <c r="C2794" s="1" t="s">
        <v>1575</v>
      </c>
      <c r="D2794" s="1" t="s">
        <v>1813</v>
      </c>
      <c r="E2794" s="1" t="s">
        <v>1587</v>
      </c>
      <c r="F2794" s="1" t="s">
        <v>3327</v>
      </c>
      <c r="G2794" s="4">
        <v>6.9999999999999999E-4</v>
      </c>
      <c r="H2794" s="28">
        <v>39872</v>
      </c>
      <c r="I2794" s="29">
        <f t="shared" ref="I2794:I2796" si="2660">YEAR(H2794)</f>
        <v>2009</v>
      </c>
      <c r="J2794" s="1" t="s">
        <v>3202</v>
      </c>
      <c r="K2794" s="1" t="s">
        <v>7</v>
      </c>
      <c r="L2794" s="11" t="str">
        <f t="shared" ref="L2794:L2795" si="2661">IF(OR(A2794=J2794,A2794=K2794),"ДА","НЕТ")</f>
        <v>НЕТ</v>
      </c>
      <c r="M2794" s="10">
        <v>0.54100000000000004</v>
      </c>
      <c r="N2794" s="10">
        <v>0</v>
      </c>
      <c r="O2794" s="10">
        <f>M2794*35.7205/1000</f>
        <v>1.9324790500000001E-2</v>
      </c>
      <c r="P2794" s="10">
        <f t="shared" si="2630"/>
        <v>27.606843571428573</v>
      </c>
      <c r="Q2794" s="10" t="str">
        <f t="shared" si="2631"/>
        <v>NA</v>
      </c>
      <c r="R2794" s="10" t="s">
        <v>1575</v>
      </c>
      <c r="S2794" s="10" t="s">
        <v>1575</v>
      </c>
      <c r="T2794" s="10" t="s">
        <v>1575</v>
      </c>
      <c r="U2794" s="10" t="s">
        <v>1575</v>
      </c>
      <c r="V2794" s="10" t="s">
        <v>1575</v>
      </c>
      <c r="W2794" s="10" t="s">
        <v>1575</v>
      </c>
      <c r="X2794" s="10" t="str">
        <f t="shared" si="2609"/>
        <v>NA</v>
      </c>
      <c r="Y2794" s="10" t="str">
        <f t="shared" si="2610"/>
        <v>NA</v>
      </c>
      <c r="Z2794" s="10" t="str">
        <f t="shared" si="2611"/>
        <v>NA</v>
      </c>
      <c r="AA2794" s="10" t="str">
        <f t="shared" si="2612"/>
        <v>NA</v>
      </c>
      <c r="AB2794" s="10" t="str">
        <f t="shared" si="2613"/>
        <v>NA</v>
      </c>
      <c r="AC2794" s="10" t="str">
        <f t="shared" si="2614"/>
        <v>NA</v>
      </c>
      <c r="AD2794" s="10" t="str">
        <f t="shared" si="2615"/>
        <v>NA</v>
      </c>
      <c r="AE2794" s="10" t="str">
        <f t="shared" si="2616"/>
        <v>NA</v>
      </c>
      <c r="AF2794" s="1" t="s">
        <v>3326</v>
      </c>
    </row>
    <row r="2795" spans="1:32" x14ac:dyDescent="0.2">
      <c r="A2795" s="1" t="s">
        <v>3329</v>
      </c>
      <c r="B2795" s="1" t="s">
        <v>30</v>
      </c>
      <c r="C2795" s="1" t="s">
        <v>1575</v>
      </c>
      <c r="D2795" s="1" t="s">
        <v>1813</v>
      </c>
      <c r="E2795" s="16" t="s">
        <v>3101</v>
      </c>
      <c r="F2795" s="1" t="s">
        <v>662</v>
      </c>
      <c r="G2795" s="4" t="s">
        <v>1575</v>
      </c>
      <c r="H2795" s="28">
        <v>40147</v>
      </c>
      <c r="I2795" s="29">
        <f t="shared" si="2660"/>
        <v>2009</v>
      </c>
      <c r="J2795" s="1" t="s">
        <v>7</v>
      </c>
      <c r="K2795" s="1" t="s">
        <v>3202</v>
      </c>
      <c r="L2795" s="11" t="str">
        <f t="shared" si="2661"/>
        <v>НЕТ</v>
      </c>
      <c r="M2795" s="10">
        <v>62.655999999999999</v>
      </c>
      <c r="N2795" s="10">
        <v>0</v>
      </c>
      <c r="O2795" s="10">
        <f>M2795*29.8179/1000</f>
        <v>1.8682703424000002</v>
      </c>
      <c r="P2795" s="10" t="str">
        <f t="shared" si="2630"/>
        <v>NA</v>
      </c>
      <c r="Q2795" s="10" t="str">
        <f t="shared" si="2631"/>
        <v>NA</v>
      </c>
      <c r="R2795" s="10" t="s">
        <v>1575</v>
      </c>
      <c r="S2795" s="10" t="s">
        <v>1575</v>
      </c>
      <c r="T2795" s="10" t="s">
        <v>1575</v>
      </c>
      <c r="U2795" s="10" t="s">
        <v>1575</v>
      </c>
      <c r="V2795" s="10" t="s">
        <v>1575</v>
      </c>
      <c r="W2795" s="10" t="s">
        <v>1575</v>
      </c>
      <c r="X2795" s="10" t="str">
        <f t="shared" ref="X2795:X2886" si="2662">IFERROR(V2795+W2795,"NA")</f>
        <v>NA</v>
      </c>
      <c r="Y2795" s="10" t="str">
        <f t="shared" ref="Y2795:Y2886" si="2663">IFERROR(P2795/R2795,"NA")</f>
        <v>NA</v>
      </c>
      <c r="Z2795" s="10" t="str">
        <f t="shared" ref="Z2795:Z2886" si="2664">IFERROR(P2795/U2795,"NA")</f>
        <v>NA</v>
      </c>
      <c r="AA2795" s="10" t="str">
        <f t="shared" ref="AA2795:AA2886" si="2665">IFERROR(P2795/V2795,"NA")</f>
        <v>NA</v>
      </c>
      <c r="AB2795" s="10" t="str">
        <f t="shared" ref="AB2795:AB2886" si="2666">IFERROR(Q2795/R2795,"NA")</f>
        <v>NA</v>
      </c>
      <c r="AC2795" s="10" t="str">
        <f t="shared" ref="AC2795:AC2886" si="2667">IFERROR(Q2795/S2795,"NA")</f>
        <v>NA</v>
      </c>
      <c r="AD2795" s="10" t="str">
        <f t="shared" ref="AD2795:AD2886" si="2668">IFERROR(Q2795/T2795,"NA")</f>
        <v>NA</v>
      </c>
      <c r="AE2795" s="10" t="str">
        <f t="shared" ref="AE2795:AE2886" si="2669">IFERROR(Q2795/X2795,"NA")</f>
        <v>NA</v>
      </c>
      <c r="AF2795" s="1" t="s">
        <v>3328</v>
      </c>
    </row>
    <row r="2796" spans="1:32" x14ac:dyDescent="0.2">
      <c r="A2796" s="1" t="s">
        <v>3330</v>
      </c>
      <c r="B2796" s="1" t="s">
        <v>1575</v>
      </c>
      <c r="C2796" s="1" t="s">
        <v>1575</v>
      </c>
      <c r="D2796" s="1" t="s">
        <v>1813</v>
      </c>
      <c r="E2796" s="1" t="s">
        <v>9358</v>
      </c>
      <c r="F2796" s="1" t="s">
        <v>3324</v>
      </c>
      <c r="G2796" s="4">
        <v>0.33979999999999999</v>
      </c>
      <c r="H2796" s="28">
        <v>40178</v>
      </c>
      <c r="I2796" s="29">
        <f t="shared" si="2660"/>
        <v>2009</v>
      </c>
      <c r="J2796" s="1" t="s">
        <v>3202</v>
      </c>
      <c r="K2796" s="1" t="s">
        <v>7</v>
      </c>
      <c r="L2796" s="11" t="str">
        <f t="shared" ref="L2796:L2798" si="2670">IF(OR(A2796=J2796,A2796=K2796),"ДА","НЕТ")</f>
        <v>НЕТ</v>
      </c>
      <c r="M2796" s="10">
        <v>2.9369999999999998</v>
      </c>
      <c r="N2796" s="10">
        <v>0</v>
      </c>
      <c r="O2796" s="10">
        <f>M2796*30.2442/1000</f>
        <v>8.8827215399999992E-2</v>
      </c>
      <c r="P2796" s="10">
        <f t="shared" si="2630"/>
        <v>0.26141028663919952</v>
      </c>
      <c r="Q2796" s="10" t="str">
        <f t="shared" si="2631"/>
        <v>NA</v>
      </c>
      <c r="R2796" s="10" t="s">
        <v>1575</v>
      </c>
      <c r="S2796" s="10" t="s">
        <v>1575</v>
      </c>
      <c r="T2796" s="10" t="s">
        <v>1575</v>
      </c>
      <c r="U2796" s="10" t="s">
        <v>1575</v>
      </c>
      <c r="V2796" s="10" t="s">
        <v>1575</v>
      </c>
      <c r="W2796" s="10" t="s">
        <v>1575</v>
      </c>
      <c r="X2796" s="10" t="str">
        <f t="shared" si="2662"/>
        <v>NA</v>
      </c>
      <c r="Y2796" s="10" t="str">
        <f t="shared" si="2663"/>
        <v>NA</v>
      </c>
      <c r="Z2796" s="10" t="str">
        <f t="shared" si="2664"/>
        <v>NA</v>
      </c>
      <c r="AA2796" s="10" t="str">
        <f t="shared" si="2665"/>
        <v>NA</v>
      </c>
      <c r="AB2796" s="10" t="str">
        <f t="shared" si="2666"/>
        <v>NA</v>
      </c>
      <c r="AC2796" s="10" t="str">
        <f t="shared" si="2667"/>
        <v>NA</v>
      </c>
      <c r="AD2796" s="10" t="str">
        <f t="shared" si="2668"/>
        <v>NA</v>
      </c>
      <c r="AE2796" s="10" t="str">
        <f t="shared" si="2669"/>
        <v>NA</v>
      </c>
      <c r="AF2796" s="1" t="s">
        <v>3325</v>
      </c>
    </row>
    <row r="2797" spans="1:32" x14ac:dyDescent="0.2">
      <c r="A2797" s="1" t="s">
        <v>3309</v>
      </c>
      <c r="B2797" s="1" t="s">
        <v>51</v>
      </c>
      <c r="C2797" s="1" t="s">
        <v>1575</v>
      </c>
      <c r="D2797" s="1" t="s">
        <v>1813</v>
      </c>
      <c r="E2797" s="1" t="s">
        <v>3071</v>
      </c>
      <c r="F2797" s="1" t="s">
        <v>3072</v>
      </c>
      <c r="G2797" s="4">
        <v>4.0300000000000002E-2</v>
      </c>
      <c r="H2797" s="28">
        <v>39933</v>
      </c>
      <c r="I2797" s="29">
        <f t="shared" si="2645"/>
        <v>2009</v>
      </c>
      <c r="J2797" s="1" t="s">
        <v>3202</v>
      </c>
      <c r="K2797" s="1" t="s">
        <v>7</v>
      </c>
      <c r="L2797" s="11" t="str">
        <f t="shared" si="2670"/>
        <v>НЕТ</v>
      </c>
      <c r="M2797" s="10">
        <v>0</v>
      </c>
      <c r="N2797" s="10">
        <v>0</v>
      </c>
      <c r="O2797" s="10" t="s">
        <v>1575</v>
      </c>
      <c r="P2797" s="10" t="str">
        <f t="shared" si="2630"/>
        <v>NA</v>
      </c>
      <c r="Q2797" s="10" t="str">
        <f t="shared" si="2631"/>
        <v>NA</v>
      </c>
      <c r="R2797" s="10" t="s">
        <v>1575</v>
      </c>
      <c r="S2797" s="10" t="s">
        <v>1575</v>
      </c>
      <c r="T2797" s="10" t="s">
        <v>1575</v>
      </c>
      <c r="U2797" s="10" t="s">
        <v>1575</v>
      </c>
      <c r="V2797" s="10" t="s">
        <v>1575</v>
      </c>
      <c r="W2797" s="10" t="s">
        <v>1575</v>
      </c>
      <c r="X2797" s="10" t="str">
        <f t="shared" si="2662"/>
        <v>NA</v>
      </c>
      <c r="Y2797" s="10" t="str">
        <f t="shared" si="2663"/>
        <v>NA</v>
      </c>
      <c r="Z2797" s="10" t="str">
        <f t="shared" si="2664"/>
        <v>NA</v>
      </c>
      <c r="AA2797" s="10" t="str">
        <f t="shared" si="2665"/>
        <v>NA</v>
      </c>
      <c r="AB2797" s="10" t="str">
        <f t="shared" si="2666"/>
        <v>NA</v>
      </c>
      <c r="AC2797" s="10" t="str">
        <f t="shared" si="2667"/>
        <v>NA</v>
      </c>
      <c r="AD2797" s="10" t="str">
        <f t="shared" si="2668"/>
        <v>NA</v>
      </c>
      <c r="AE2797" s="10" t="str">
        <f t="shared" si="2669"/>
        <v>NA</v>
      </c>
      <c r="AF2797" s="1" t="s">
        <v>3332</v>
      </c>
    </row>
    <row r="2798" spans="1:32" x14ac:dyDescent="0.2">
      <c r="A2798" s="1" t="s">
        <v>6613</v>
      </c>
      <c r="B2798" s="1" t="s">
        <v>3307</v>
      </c>
      <c r="C2798" s="1" t="s">
        <v>1575</v>
      </c>
      <c r="D2798" s="1" t="s">
        <v>1813</v>
      </c>
      <c r="E2798" s="1" t="s">
        <v>1821</v>
      </c>
      <c r="F2798" s="1" t="s">
        <v>2898</v>
      </c>
      <c r="G2798" s="4" t="s">
        <v>1575</v>
      </c>
      <c r="H2798" s="28">
        <v>40086</v>
      </c>
      <c r="I2798" s="29">
        <f t="shared" si="2599"/>
        <v>2009</v>
      </c>
      <c r="J2798" s="1" t="s">
        <v>7</v>
      </c>
      <c r="K2798" s="1" t="s">
        <v>3202</v>
      </c>
      <c r="L2798" s="11" t="str">
        <f t="shared" si="2670"/>
        <v>НЕТ</v>
      </c>
      <c r="M2798" s="10">
        <v>5.6440000000000001</v>
      </c>
      <c r="N2798" s="10">
        <v>0</v>
      </c>
      <c r="O2798" s="10">
        <f>M2798*30.0922/1000</f>
        <v>0.1698403768</v>
      </c>
      <c r="P2798" s="10" t="str">
        <f t="shared" si="2630"/>
        <v>NA</v>
      </c>
      <c r="Q2798" s="10" t="str">
        <f t="shared" si="2631"/>
        <v>NA</v>
      </c>
      <c r="R2798" s="10" t="s">
        <v>1575</v>
      </c>
      <c r="S2798" s="10" t="s">
        <v>1575</v>
      </c>
      <c r="T2798" s="10" t="s">
        <v>1575</v>
      </c>
      <c r="U2798" s="10" t="s">
        <v>1575</v>
      </c>
      <c r="V2798" s="10">
        <f>12.045</f>
        <v>12.045</v>
      </c>
      <c r="W2798" s="10" t="s">
        <v>1575</v>
      </c>
      <c r="X2798" s="10" t="str">
        <f t="shared" si="2662"/>
        <v>NA</v>
      </c>
      <c r="Y2798" s="10" t="str">
        <f t="shared" si="2663"/>
        <v>NA</v>
      </c>
      <c r="Z2798" s="10" t="str">
        <f t="shared" si="2664"/>
        <v>NA</v>
      </c>
      <c r="AA2798" s="10" t="str">
        <f t="shared" si="2665"/>
        <v>NA</v>
      </c>
      <c r="AB2798" s="10" t="str">
        <f t="shared" si="2666"/>
        <v>NA</v>
      </c>
      <c r="AC2798" s="10" t="str">
        <f t="shared" si="2667"/>
        <v>NA</v>
      </c>
      <c r="AD2798" s="10" t="str">
        <f t="shared" si="2668"/>
        <v>NA</v>
      </c>
      <c r="AE2798" s="10" t="str">
        <f t="shared" si="2669"/>
        <v>NA</v>
      </c>
      <c r="AF2798" s="1" t="s">
        <v>3331</v>
      </c>
    </row>
    <row r="2799" spans="1:32" x14ac:dyDescent="0.2">
      <c r="A2799" s="1" t="s">
        <v>6614</v>
      </c>
      <c r="B2799" s="1" t="s">
        <v>32</v>
      </c>
      <c r="C2799" s="1" t="s">
        <v>1575</v>
      </c>
      <c r="D2799" s="1" t="s">
        <v>1813</v>
      </c>
      <c r="E2799" s="1" t="s">
        <v>1821</v>
      </c>
      <c r="F2799" s="1" t="s">
        <v>2898</v>
      </c>
      <c r="G2799" s="4">
        <v>0.03</v>
      </c>
      <c r="H2799" s="28">
        <v>44957</v>
      </c>
      <c r="I2799" s="29">
        <f t="shared" ref="I2799:I2892" si="2671">YEAR(H2799)</f>
        <v>2023</v>
      </c>
      <c r="J2799" s="1" t="s">
        <v>2894</v>
      </c>
      <c r="K2799" s="1" t="s">
        <v>7</v>
      </c>
      <c r="L2799" s="11" t="str">
        <f t="shared" si="2587"/>
        <v>НЕТ</v>
      </c>
      <c r="M2799" s="10">
        <v>0</v>
      </c>
      <c r="N2799" s="10">
        <v>0</v>
      </c>
      <c r="O2799" s="10">
        <v>2.0376999999999999E-2</v>
      </c>
      <c r="P2799" s="10">
        <f t="shared" si="2630"/>
        <v>0.67923333333333336</v>
      </c>
      <c r="Q2799" s="10" t="str">
        <f t="shared" si="2631"/>
        <v>NA</v>
      </c>
      <c r="R2799" s="10" t="s">
        <v>1575</v>
      </c>
      <c r="S2799" s="10" t="s">
        <v>1575</v>
      </c>
      <c r="T2799" s="10" t="s">
        <v>1575</v>
      </c>
      <c r="U2799" s="10" t="s">
        <v>1575</v>
      </c>
      <c r="V2799" s="10" t="s">
        <v>1575</v>
      </c>
      <c r="W2799" s="10" t="s">
        <v>1575</v>
      </c>
      <c r="X2799" s="10" t="str">
        <f t="shared" si="2662"/>
        <v>NA</v>
      </c>
      <c r="Y2799" s="10" t="str">
        <f t="shared" si="2663"/>
        <v>NA</v>
      </c>
      <c r="Z2799" s="10" t="str">
        <f t="shared" si="2664"/>
        <v>NA</v>
      </c>
      <c r="AA2799" s="10" t="str">
        <f t="shared" si="2665"/>
        <v>NA</v>
      </c>
      <c r="AB2799" s="10" t="str">
        <f t="shared" si="2666"/>
        <v>NA</v>
      </c>
      <c r="AC2799" s="10" t="str">
        <f t="shared" si="2667"/>
        <v>NA</v>
      </c>
      <c r="AD2799" s="10" t="str">
        <f t="shared" si="2668"/>
        <v>NA</v>
      </c>
      <c r="AE2799" s="10" t="str">
        <f t="shared" si="2669"/>
        <v>NA</v>
      </c>
      <c r="AF2799" s="1" t="s">
        <v>2911</v>
      </c>
    </row>
    <row r="2800" spans="1:32" x14ac:dyDescent="0.2">
      <c r="A2800" s="1" t="s">
        <v>6615</v>
      </c>
      <c r="B2800" s="1" t="s">
        <v>5</v>
      </c>
      <c r="C2800" s="1" t="s">
        <v>1575</v>
      </c>
      <c r="D2800" s="1" t="s">
        <v>1813</v>
      </c>
      <c r="E2800" s="1" t="s">
        <v>2909</v>
      </c>
      <c r="F2800" s="1" t="s">
        <v>2910</v>
      </c>
      <c r="G2800" s="4">
        <v>0.25</v>
      </c>
      <c r="H2800" s="28">
        <v>44911</v>
      </c>
      <c r="I2800" s="29">
        <f t="shared" si="2671"/>
        <v>2022</v>
      </c>
      <c r="J2800" s="1" t="s">
        <v>2894</v>
      </c>
      <c r="K2800" s="1" t="s">
        <v>7</v>
      </c>
      <c r="L2800" s="11" t="str">
        <f t="shared" si="2587"/>
        <v>НЕТ</v>
      </c>
      <c r="M2800" s="10">
        <v>0</v>
      </c>
      <c r="N2800" s="10">
        <v>0</v>
      </c>
      <c r="O2800" s="10" t="s">
        <v>1575</v>
      </c>
      <c r="P2800" s="10" t="str">
        <f t="shared" si="2630"/>
        <v>NA</v>
      </c>
      <c r="Q2800" s="10" t="str">
        <f t="shared" si="2631"/>
        <v>NA</v>
      </c>
      <c r="R2800" s="10" t="s">
        <v>1575</v>
      </c>
      <c r="S2800" s="10" t="s">
        <v>1575</v>
      </c>
      <c r="T2800" s="10" t="s">
        <v>1575</v>
      </c>
      <c r="U2800" s="10" t="s">
        <v>1575</v>
      </c>
      <c r="V2800" s="10" t="s">
        <v>1575</v>
      </c>
      <c r="W2800" s="10" t="s">
        <v>1575</v>
      </c>
      <c r="X2800" s="10" t="str">
        <f t="shared" si="2662"/>
        <v>NA</v>
      </c>
      <c r="Y2800" s="10" t="str">
        <f t="shared" si="2663"/>
        <v>NA</v>
      </c>
      <c r="Z2800" s="10" t="str">
        <f t="shared" si="2664"/>
        <v>NA</v>
      </c>
      <c r="AA2800" s="10" t="str">
        <f t="shared" si="2665"/>
        <v>NA</v>
      </c>
      <c r="AB2800" s="10" t="str">
        <f t="shared" si="2666"/>
        <v>NA</v>
      </c>
      <c r="AC2800" s="10" t="str">
        <f t="shared" si="2667"/>
        <v>NA</v>
      </c>
      <c r="AD2800" s="10" t="str">
        <f t="shared" si="2668"/>
        <v>NA</v>
      </c>
      <c r="AE2800" s="10" t="str">
        <f t="shared" si="2669"/>
        <v>NA</v>
      </c>
      <c r="AF2800" s="1" t="s">
        <v>2905</v>
      </c>
    </row>
    <row r="2801" spans="1:32" x14ac:dyDescent="0.2">
      <c r="A2801" s="1" t="s">
        <v>2894</v>
      </c>
      <c r="B2801" s="1" t="s">
        <v>5</v>
      </c>
      <c r="C2801" s="1" t="s">
        <v>2908</v>
      </c>
      <c r="D2801" s="1" t="s">
        <v>1813</v>
      </c>
      <c r="E2801" s="1" t="s">
        <v>1821</v>
      </c>
      <c r="F2801" s="1" t="s">
        <v>2898</v>
      </c>
      <c r="G2801" s="4">
        <f>95188/5063572</f>
        <v>1.8798587242365664E-2</v>
      </c>
      <c r="H2801" s="28">
        <v>44926</v>
      </c>
      <c r="I2801" s="29">
        <f t="shared" si="2671"/>
        <v>2022</v>
      </c>
      <c r="J2801" s="1" t="s">
        <v>2894</v>
      </c>
      <c r="K2801" s="1" t="s">
        <v>7</v>
      </c>
      <c r="L2801" s="11" t="str">
        <f t="shared" si="2587"/>
        <v>ДА</v>
      </c>
      <c r="M2801" s="10">
        <v>0</v>
      </c>
      <c r="N2801" s="10">
        <v>0</v>
      </c>
      <c r="O2801" s="10">
        <v>0.32900000000000001</v>
      </c>
      <c r="P2801" s="10">
        <f t="shared" si="2630"/>
        <v>17.5013151657772</v>
      </c>
      <c r="Q2801" s="10" t="str">
        <f t="shared" si="2631"/>
        <v>NA</v>
      </c>
      <c r="R2801" s="10" t="s">
        <v>1575</v>
      </c>
      <c r="S2801" s="10" t="s">
        <v>1575</v>
      </c>
      <c r="T2801" s="10" t="s">
        <v>1575</v>
      </c>
      <c r="U2801" s="10" t="s">
        <v>1575</v>
      </c>
      <c r="V2801" s="10" t="s">
        <v>1575</v>
      </c>
      <c r="W2801" s="10" t="s">
        <v>1575</v>
      </c>
      <c r="X2801" s="10" t="str">
        <f t="shared" si="2662"/>
        <v>NA</v>
      </c>
      <c r="Y2801" s="10" t="str">
        <f t="shared" si="2663"/>
        <v>NA</v>
      </c>
      <c r="Z2801" s="10" t="str">
        <f t="shared" si="2664"/>
        <v>NA</v>
      </c>
      <c r="AA2801" s="10" t="str">
        <f t="shared" si="2665"/>
        <v>NA</v>
      </c>
      <c r="AB2801" s="10" t="str">
        <f t="shared" si="2666"/>
        <v>NA</v>
      </c>
      <c r="AC2801" s="10" t="str">
        <f t="shared" si="2667"/>
        <v>NA</v>
      </c>
      <c r="AD2801" s="10" t="str">
        <f t="shared" si="2668"/>
        <v>NA</v>
      </c>
      <c r="AE2801" s="10" t="str">
        <f t="shared" si="2669"/>
        <v>NA</v>
      </c>
      <c r="AF2801" s="1" t="s">
        <v>2907</v>
      </c>
    </row>
    <row r="2802" spans="1:32" x14ac:dyDescent="0.2">
      <c r="A2802" s="1" t="s">
        <v>2894</v>
      </c>
      <c r="B2802" s="1" t="s">
        <v>5</v>
      </c>
      <c r="C2802" s="1" t="s">
        <v>2908</v>
      </c>
      <c r="D2802" s="1" t="s">
        <v>1813</v>
      </c>
      <c r="E2802" s="1" t="s">
        <v>1821</v>
      </c>
      <c r="F2802" s="1" t="s">
        <v>2898</v>
      </c>
      <c r="G2802" s="4">
        <f>283673/5063572</f>
        <v>5.6022309942467492E-2</v>
      </c>
      <c r="H2802" s="28">
        <v>44561</v>
      </c>
      <c r="I2802" s="29">
        <f t="shared" si="2671"/>
        <v>2021</v>
      </c>
      <c r="J2802" s="1" t="s">
        <v>2894</v>
      </c>
      <c r="K2802" s="1" t="s">
        <v>7</v>
      </c>
      <c r="L2802" s="11" t="str">
        <f t="shared" si="2587"/>
        <v>ДА</v>
      </c>
      <c r="M2802" s="10">
        <v>0</v>
      </c>
      <c r="N2802" s="10">
        <v>0</v>
      </c>
      <c r="O2802" s="10">
        <v>1.096357</v>
      </c>
      <c r="P2802" s="10">
        <f t="shared" si="2630"/>
        <v>19.570007040514959</v>
      </c>
      <c r="Q2802" s="10">
        <f t="shared" si="2631"/>
        <v>21.491660040514958</v>
      </c>
      <c r="R2802" s="10">
        <v>15.968033</v>
      </c>
      <c r="S2802" s="10">
        <v>8.1760199999999994</v>
      </c>
      <c r="T2802" s="10">
        <v>7.1097359999999998</v>
      </c>
      <c r="U2802" s="10">
        <v>5.4927710000000003</v>
      </c>
      <c r="V2802" s="10">
        <v>5.9633440000000002</v>
      </c>
      <c r="W2802" s="10">
        <v>1.9216530000000009</v>
      </c>
      <c r="X2802" s="10">
        <f t="shared" si="2662"/>
        <v>7.8849970000000011</v>
      </c>
      <c r="Y2802" s="10">
        <f t="shared" si="2663"/>
        <v>1.2255740604064984</v>
      </c>
      <c r="Z2802" s="10">
        <f t="shared" si="2664"/>
        <v>3.5628659997868031</v>
      </c>
      <c r="AA2802" s="10">
        <f t="shared" si="2665"/>
        <v>3.2817169427950086</v>
      </c>
      <c r="AB2802" s="10">
        <f t="shared" si="2666"/>
        <v>1.3459178122010993</v>
      </c>
      <c r="AC2802" s="10">
        <f t="shared" si="2667"/>
        <v>2.628621265666542</v>
      </c>
      <c r="AD2802" s="10">
        <f t="shared" si="2668"/>
        <v>3.0228492366685566</v>
      </c>
      <c r="AE2802" s="10">
        <f t="shared" si="2669"/>
        <v>2.7256395963771394</v>
      </c>
      <c r="AF2802" s="1" t="s">
        <v>2906</v>
      </c>
    </row>
    <row r="2803" spans="1:32" x14ac:dyDescent="0.2">
      <c r="A2803" s="1" t="s">
        <v>6616</v>
      </c>
      <c r="B2803" s="1" t="s">
        <v>5</v>
      </c>
      <c r="C2803" s="1" t="s">
        <v>1575</v>
      </c>
      <c r="D2803" s="1" t="s">
        <v>1813</v>
      </c>
      <c r="E2803" s="1" t="s">
        <v>1587</v>
      </c>
      <c r="F2803" s="1" t="s">
        <v>2896</v>
      </c>
      <c r="G2803" s="4">
        <v>0.40010000000000001</v>
      </c>
      <c r="H2803" s="28">
        <v>44342</v>
      </c>
      <c r="I2803" s="29">
        <f t="shared" si="2671"/>
        <v>2021</v>
      </c>
      <c r="J2803" s="1" t="s">
        <v>2894</v>
      </c>
      <c r="K2803" s="1" t="s">
        <v>7</v>
      </c>
      <c r="L2803" s="11" t="str">
        <f t="shared" ref="L2803" si="2672">IF(OR(A2803=J2803,A2803=K2803),"ДА","НЕТ")</f>
        <v>НЕТ</v>
      </c>
      <c r="M2803" s="10">
        <v>0</v>
      </c>
      <c r="N2803" s="10">
        <v>0</v>
      </c>
      <c r="O2803" s="10">
        <v>0.62273199999999995</v>
      </c>
      <c r="P2803" s="10">
        <f t="shared" si="2630"/>
        <v>1.5564408897775555</v>
      </c>
      <c r="Q2803" s="10">
        <f t="shared" si="2631"/>
        <v>1.5366928897775554</v>
      </c>
      <c r="R2803" s="10" t="s">
        <v>1575</v>
      </c>
      <c r="S2803" s="10" t="s">
        <v>1575</v>
      </c>
      <c r="T2803" s="10" t="s">
        <v>1575</v>
      </c>
      <c r="U2803" s="10" t="s">
        <v>1575</v>
      </c>
      <c r="V2803" s="10">
        <v>0.42810799999999999</v>
      </c>
      <c r="W2803" s="10">
        <f>0.05-0.066524-0.003224</f>
        <v>-1.9747999999999998E-2</v>
      </c>
      <c r="X2803" s="10">
        <f t="shared" si="2662"/>
        <v>0.40836</v>
      </c>
      <c r="Y2803" s="10" t="str">
        <f t="shared" si="2663"/>
        <v>NA</v>
      </c>
      <c r="Z2803" s="10" t="str">
        <f t="shared" si="2664"/>
        <v>NA</v>
      </c>
      <c r="AA2803" s="10">
        <f t="shared" si="2665"/>
        <v>3.635626733855839</v>
      </c>
      <c r="AB2803" s="10" t="str">
        <f t="shared" si="2666"/>
        <v>NA</v>
      </c>
      <c r="AC2803" s="10" t="str">
        <f t="shared" si="2667"/>
        <v>NA</v>
      </c>
      <c r="AD2803" s="10" t="str">
        <f t="shared" si="2668"/>
        <v>NA</v>
      </c>
      <c r="AE2803" s="10">
        <f t="shared" si="2669"/>
        <v>3.7630837735761471</v>
      </c>
      <c r="AF2803" s="1" t="s">
        <v>2895</v>
      </c>
    </row>
    <row r="2804" spans="1:32" x14ac:dyDescent="0.2">
      <c r="A2804" s="1" t="s">
        <v>6616</v>
      </c>
      <c r="B2804" s="1" t="s">
        <v>5</v>
      </c>
      <c r="C2804" s="1" t="s">
        <v>1575</v>
      </c>
      <c r="D2804" s="1" t="s">
        <v>1813</v>
      </c>
      <c r="E2804" s="1" t="s">
        <v>1587</v>
      </c>
      <c r="F2804" s="1" t="s">
        <v>2896</v>
      </c>
      <c r="G2804" s="4">
        <v>9.9699999999999997E-2</v>
      </c>
      <c r="H2804" s="28">
        <v>44375</v>
      </c>
      <c r="I2804" s="29">
        <f t="shared" si="2671"/>
        <v>2021</v>
      </c>
      <c r="J2804" s="1" t="s">
        <v>2894</v>
      </c>
      <c r="K2804" s="1" t="s">
        <v>7</v>
      </c>
      <c r="L2804" s="11" t="str">
        <f t="shared" ref="L2804" si="2673">IF(OR(A2804=J2804,A2804=K2804),"ДА","НЕТ")</f>
        <v>НЕТ</v>
      </c>
      <c r="M2804" s="10">
        <v>0</v>
      </c>
      <c r="N2804" s="10">
        <v>0</v>
      </c>
      <c r="O2804" s="10">
        <v>0.15517700000000001</v>
      </c>
      <c r="P2804" s="10">
        <f t="shared" si="2630"/>
        <v>1.5564393179538618</v>
      </c>
      <c r="Q2804" s="10">
        <f t="shared" si="2631"/>
        <v>1.5366913179538617</v>
      </c>
      <c r="R2804" s="10" t="s">
        <v>1575</v>
      </c>
      <c r="S2804" s="10" t="s">
        <v>1575</v>
      </c>
      <c r="T2804" s="10" t="s">
        <v>1575</v>
      </c>
      <c r="U2804" s="10" t="s">
        <v>1575</v>
      </c>
      <c r="V2804" s="10">
        <v>0.42810799999999999</v>
      </c>
      <c r="W2804" s="10">
        <f>0.05-0.066524-0.003224</f>
        <v>-1.9747999999999998E-2</v>
      </c>
      <c r="X2804" s="10">
        <f t="shared" si="2662"/>
        <v>0.40836</v>
      </c>
      <c r="Y2804" s="10" t="str">
        <f t="shared" si="2663"/>
        <v>NA</v>
      </c>
      <c r="Z2804" s="10" t="str">
        <f t="shared" si="2664"/>
        <v>NA</v>
      </c>
      <c r="AA2804" s="10">
        <f t="shared" si="2665"/>
        <v>3.6356230622970416</v>
      </c>
      <c r="AB2804" s="10" t="str">
        <f t="shared" si="2666"/>
        <v>NA</v>
      </c>
      <c r="AC2804" s="10" t="str">
        <f t="shared" si="2667"/>
        <v>NA</v>
      </c>
      <c r="AD2804" s="10" t="str">
        <f t="shared" si="2668"/>
        <v>NA</v>
      </c>
      <c r="AE2804" s="10">
        <f t="shared" si="2669"/>
        <v>3.7630799244633697</v>
      </c>
      <c r="AF2804" s="1" t="s">
        <v>2897</v>
      </c>
    </row>
    <row r="2805" spans="1:32" x14ac:dyDescent="0.2">
      <c r="A2805" s="1" t="s">
        <v>2901</v>
      </c>
      <c r="B2805" s="1" t="s">
        <v>179</v>
      </c>
      <c r="C2805" s="1" t="s">
        <v>1575</v>
      </c>
      <c r="D2805" s="1" t="s">
        <v>1813</v>
      </c>
      <c r="E2805" s="1" t="s">
        <v>1821</v>
      </c>
      <c r="F2805" s="1" t="s">
        <v>2902</v>
      </c>
      <c r="G2805" s="4">
        <v>9.9099999999999994E-2</v>
      </c>
      <c r="H2805" s="28">
        <v>44497</v>
      </c>
      <c r="I2805" s="29">
        <f t="shared" si="2671"/>
        <v>2021</v>
      </c>
      <c r="J2805" s="1" t="s">
        <v>2894</v>
      </c>
      <c r="K2805" s="1" t="s">
        <v>7</v>
      </c>
      <c r="L2805" s="11" t="str">
        <f t="shared" ref="L2805" si="2674">IF(OR(A2805=J2805,A2805=K2805),"ДА","НЕТ")</f>
        <v>НЕТ</v>
      </c>
      <c r="M2805" s="10">
        <v>0</v>
      </c>
      <c r="N2805" s="10">
        <v>0</v>
      </c>
      <c r="O2805" s="10">
        <v>0.34905199999999997</v>
      </c>
      <c r="P2805" s="10">
        <f t="shared" si="2630"/>
        <v>3.5222199798183653</v>
      </c>
      <c r="Q2805" s="10">
        <f t="shared" si="2631"/>
        <v>3.5759879798183651</v>
      </c>
      <c r="R2805" s="10">
        <v>8.6539000000000005E-2</v>
      </c>
      <c r="S2805" s="10" t="s">
        <v>1575</v>
      </c>
      <c r="T2805" s="10" t="s">
        <v>1575</v>
      </c>
      <c r="U2805" s="10">
        <v>-5.8591999999999998E-2</v>
      </c>
      <c r="V2805" s="10">
        <v>0.51568099999999994</v>
      </c>
      <c r="W2805" s="10">
        <v>5.3768000000000003E-2</v>
      </c>
      <c r="X2805" s="10">
        <f t="shared" si="2662"/>
        <v>0.56944899999999998</v>
      </c>
      <c r="Y2805" s="10">
        <f t="shared" si="2663"/>
        <v>40.700955405289697</v>
      </c>
      <c r="Z2805" s="10">
        <f t="shared" si="2664"/>
        <v>-60.114349737478932</v>
      </c>
      <c r="AA2805" s="10">
        <f t="shared" si="2665"/>
        <v>6.830230277668492</v>
      </c>
      <c r="AB2805" s="10">
        <f t="shared" si="2666"/>
        <v>41.322270650439279</v>
      </c>
      <c r="AC2805" s="10" t="str">
        <f t="shared" si="2667"/>
        <v>NA</v>
      </c>
      <c r="AD2805" s="10" t="str">
        <f t="shared" si="2668"/>
        <v>NA</v>
      </c>
      <c r="AE2805" s="10">
        <f t="shared" si="2669"/>
        <v>6.2797335315688763</v>
      </c>
      <c r="AF2805" s="1" t="s">
        <v>2900</v>
      </c>
    </row>
    <row r="2806" spans="1:32" x14ac:dyDescent="0.2">
      <c r="A2806" s="1" t="s">
        <v>6617</v>
      </c>
      <c r="B2806" s="1" t="s">
        <v>5</v>
      </c>
      <c r="C2806" s="1" t="s">
        <v>1575</v>
      </c>
      <c r="D2806" s="1" t="s">
        <v>1813</v>
      </c>
      <c r="E2806" s="1" t="s">
        <v>1821</v>
      </c>
      <c r="F2806" s="1" t="s">
        <v>2904</v>
      </c>
      <c r="G2806" s="4">
        <v>0.25</v>
      </c>
      <c r="H2806" s="28">
        <v>44306</v>
      </c>
      <c r="I2806" s="29">
        <f t="shared" si="2671"/>
        <v>2021</v>
      </c>
      <c r="J2806" s="1" t="s">
        <v>2894</v>
      </c>
      <c r="K2806" s="1" t="s">
        <v>7</v>
      </c>
      <c r="L2806" s="11" t="str">
        <f t="shared" ref="L2806:L2808" si="2675">IF(OR(A2806=J2806,A2806=K2806),"ДА","НЕТ")</f>
        <v>НЕТ</v>
      </c>
      <c r="M2806" s="10">
        <v>0</v>
      </c>
      <c r="N2806" s="10">
        <v>0</v>
      </c>
      <c r="O2806" s="10">
        <v>6.0999999999999999E-2</v>
      </c>
      <c r="P2806" s="10">
        <f t="shared" si="2630"/>
        <v>0.24399999999999999</v>
      </c>
      <c r="Q2806" s="10">
        <f t="shared" si="2631"/>
        <v>0.24399999999999999</v>
      </c>
      <c r="R2806" s="10">
        <v>1.4610000000000001E-3</v>
      </c>
      <c r="S2806" s="10" t="s">
        <v>1575</v>
      </c>
      <c r="T2806" s="10" t="s">
        <v>1575</v>
      </c>
      <c r="U2806" s="10">
        <v>-2.9016E-2</v>
      </c>
      <c r="V2806" s="10">
        <v>5.1091999999999999E-2</v>
      </c>
      <c r="W2806" s="10">
        <v>0</v>
      </c>
      <c r="X2806" s="10">
        <f t="shared" si="2662"/>
        <v>5.1091999999999999E-2</v>
      </c>
      <c r="Y2806" s="10">
        <f t="shared" si="2663"/>
        <v>167.00889801505818</v>
      </c>
      <c r="Z2806" s="10">
        <f t="shared" si="2664"/>
        <v>-8.4091535704438929</v>
      </c>
      <c r="AA2806" s="10">
        <f t="shared" si="2665"/>
        <v>4.7756987395286936</v>
      </c>
      <c r="AB2806" s="10">
        <f t="shared" si="2666"/>
        <v>167.00889801505818</v>
      </c>
      <c r="AC2806" s="10" t="str">
        <f t="shared" si="2667"/>
        <v>NA</v>
      </c>
      <c r="AD2806" s="10" t="str">
        <f t="shared" si="2668"/>
        <v>NA</v>
      </c>
      <c r="AE2806" s="10">
        <f t="shared" si="2669"/>
        <v>4.7756987395286936</v>
      </c>
      <c r="AF2806" s="1" t="s">
        <v>2903</v>
      </c>
    </row>
    <row r="2807" spans="1:32" x14ac:dyDescent="0.2">
      <c r="A2807" s="1" t="s">
        <v>6618</v>
      </c>
      <c r="B2807" s="1" t="s">
        <v>5</v>
      </c>
      <c r="C2807" s="1" t="s">
        <v>1575</v>
      </c>
      <c r="D2807" s="1" t="s">
        <v>1813</v>
      </c>
      <c r="E2807" s="1" t="s">
        <v>1821</v>
      </c>
      <c r="F2807" s="1" t="s">
        <v>2898</v>
      </c>
      <c r="G2807" s="4">
        <v>1</v>
      </c>
      <c r="H2807" s="28">
        <v>44190</v>
      </c>
      <c r="I2807" s="29">
        <f t="shared" si="2671"/>
        <v>2020</v>
      </c>
      <c r="J2807" s="1" t="s">
        <v>2894</v>
      </c>
      <c r="K2807" s="1" t="s">
        <v>7</v>
      </c>
      <c r="L2807" s="11" t="str">
        <f t="shared" si="2675"/>
        <v>НЕТ</v>
      </c>
      <c r="M2807" s="10">
        <v>0</v>
      </c>
      <c r="N2807" s="10">
        <v>0</v>
      </c>
      <c r="O2807" s="10">
        <v>3.5047060000000001</v>
      </c>
      <c r="P2807" s="10">
        <f t="shared" si="2630"/>
        <v>3.5047060000000001</v>
      </c>
      <c r="Q2807" s="10">
        <f t="shared" si="2631"/>
        <v>3.4090050000000001</v>
      </c>
      <c r="R2807" s="10">
        <v>0.85399999999999998</v>
      </c>
      <c r="S2807" s="10">
        <f>R2807*0.4</f>
        <v>0.34160000000000001</v>
      </c>
      <c r="T2807" s="10" t="s">
        <v>1575</v>
      </c>
      <c r="U2807" s="10" t="s">
        <v>1575</v>
      </c>
      <c r="V2807" s="10">
        <v>0.85807299999999997</v>
      </c>
      <c r="W2807" s="10">
        <v>-9.5700999999999994E-2</v>
      </c>
      <c r="X2807" s="10">
        <f t="shared" si="2662"/>
        <v>0.76237199999999994</v>
      </c>
      <c r="Y2807" s="10">
        <f t="shared" si="2663"/>
        <v>4.1038711943793915</v>
      </c>
      <c r="Z2807" s="10" t="str">
        <f t="shared" si="2664"/>
        <v>NA</v>
      </c>
      <c r="AA2807" s="10">
        <f t="shared" si="2665"/>
        <v>4.0843914212427146</v>
      </c>
      <c r="AB2807" s="10">
        <f t="shared" si="2666"/>
        <v>3.9918091334894616</v>
      </c>
      <c r="AC2807" s="10">
        <f t="shared" si="2667"/>
        <v>9.979522833723653</v>
      </c>
      <c r="AD2807" s="10" t="str">
        <f t="shared" si="2668"/>
        <v>NA</v>
      </c>
      <c r="AE2807" s="10">
        <f t="shared" si="2669"/>
        <v>4.471576867985708</v>
      </c>
      <c r="AF2807" s="1" t="s">
        <v>2899</v>
      </c>
    </row>
    <row r="2808" spans="1:32" x14ac:dyDescent="0.2">
      <c r="A2808" s="1" t="s">
        <v>6616</v>
      </c>
      <c r="B2808" s="1" t="s">
        <v>5</v>
      </c>
      <c r="C2808" s="1" t="s">
        <v>1575</v>
      </c>
      <c r="D2808" s="1" t="s">
        <v>1813</v>
      </c>
      <c r="E2808" s="1" t="s">
        <v>1587</v>
      </c>
      <c r="F2808" s="1" t="s">
        <v>2896</v>
      </c>
      <c r="G2808" s="4">
        <v>0.25009999999999999</v>
      </c>
      <c r="H2808" s="28">
        <v>43591</v>
      </c>
      <c r="I2808" s="29">
        <f t="shared" si="2671"/>
        <v>2019</v>
      </c>
      <c r="J2808" s="1" t="s">
        <v>2894</v>
      </c>
      <c r="K2808" s="1" t="s">
        <v>7</v>
      </c>
      <c r="L2808" s="11" t="str">
        <f t="shared" si="2675"/>
        <v>НЕТ</v>
      </c>
      <c r="M2808" s="10">
        <v>0</v>
      </c>
      <c r="N2808" s="10">
        <v>0</v>
      </c>
      <c r="O2808" s="10">
        <v>0.23472999999999999</v>
      </c>
      <c r="P2808" s="10">
        <f t="shared" si="2630"/>
        <v>0.93854458216713321</v>
      </c>
      <c r="Q2808" s="10">
        <f t="shared" si="2631"/>
        <v>0.91837658216713325</v>
      </c>
      <c r="R2808" s="10">
        <v>6.7700999999999997E-2</v>
      </c>
      <c r="S2808" s="10" t="s">
        <v>1575</v>
      </c>
      <c r="T2808" s="10" t="s">
        <v>1575</v>
      </c>
      <c r="U2808" s="10">
        <v>-0.122118</v>
      </c>
      <c r="V2808" s="10">
        <v>0.20244699999999999</v>
      </c>
      <c r="W2808" s="10">
        <v>-2.0167999999999998E-2</v>
      </c>
      <c r="X2808" s="10">
        <f t="shared" si="2662"/>
        <v>0.182279</v>
      </c>
      <c r="Y2808" s="10">
        <f t="shared" si="2663"/>
        <v>13.863082999765634</v>
      </c>
      <c r="Z2808" s="10">
        <f t="shared" si="2664"/>
        <v>-7.6855548090136852</v>
      </c>
      <c r="AA2808" s="10">
        <f t="shared" si="2665"/>
        <v>4.6360014332992501</v>
      </c>
      <c r="AB2808" s="10">
        <f t="shared" si="2666"/>
        <v>13.565184888954864</v>
      </c>
      <c r="AC2808" s="10" t="str">
        <f t="shared" si="2667"/>
        <v>NA</v>
      </c>
      <c r="AD2808" s="10" t="str">
        <f t="shared" si="2668"/>
        <v>NA</v>
      </c>
      <c r="AE2808" s="10">
        <f t="shared" si="2669"/>
        <v>5.0383016264470033</v>
      </c>
      <c r="AF2808" s="1" t="s">
        <v>2912</v>
      </c>
    </row>
    <row r="2809" spans="1:32" x14ac:dyDescent="0.2">
      <c r="A2809" s="1" t="s">
        <v>6619</v>
      </c>
      <c r="B2809" s="1" t="s">
        <v>5</v>
      </c>
      <c r="C2809" s="1" t="s">
        <v>1575</v>
      </c>
      <c r="D2809" s="1" t="s">
        <v>1813</v>
      </c>
      <c r="E2809" s="1" t="s">
        <v>1587</v>
      </c>
      <c r="F2809" s="1" t="s">
        <v>3333</v>
      </c>
      <c r="G2809" s="4">
        <v>1</v>
      </c>
      <c r="H2809" s="28">
        <v>45188</v>
      </c>
      <c r="I2809" s="29">
        <v>2023</v>
      </c>
      <c r="J2809" s="1" t="s">
        <v>3334</v>
      </c>
      <c r="K2809" s="1" t="s">
        <v>7</v>
      </c>
      <c r="L2809" s="11" t="str">
        <f t="shared" ref="L2809" si="2676">IF(OR(A2809=J2809,A2809=K2809),"ДА","НЕТ")</f>
        <v>НЕТ</v>
      </c>
      <c r="M2809" s="10">
        <v>0</v>
      </c>
      <c r="N2809" s="10">
        <v>0</v>
      </c>
      <c r="O2809" s="10">
        <v>0.754</v>
      </c>
      <c r="P2809" s="10">
        <f t="shared" si="2630"/>
        <v>0.754</v>
      </c>
      <c r="Q2809" s="10">
        <f t="shared" si="2631"/>
        <v>0.69</v>
      </c>
      <c r="R2809" s="10" t="s">
        <v>1575</v>
      </c>
      <c r="S2809" s="10" t="s">
        <v>1575</v>
      </c>
      <c r="T2809" s="10" t="s">
        <v>1575</v>
      </c>
      <c r="U2809" s="10" t="s">
        <v>1575</v>
      </c>
      <c r="V2809" s="10">
        <v>0.60599999999999998</v>
      </c>
      <c r="W2809" s="10">
        <v>-6.4000000000000001E-2</v>
      </c>
      <c r="X2809" s="10">
        <f t="shared" si="2662"/>
        <v>0.54200000000000004</v>
      </c>
      <c r="Y2809" s="10" t="str">
        <f t="shared" si="2663"/>
        <v>NA</v>
      </c>
      <c r="Z2809" s="10" t="str">
        <f t="shared" si="2664"/>
        <v>NA</v>
      </c>
      <c r="AA2809" s="10">
        <f t="shared" si="2665"/>
        <v>1.2442244224422443</v>
      </c>
      <c r="AB2809" s="10" t="str">
        <f t="shared" si="2666"/>
        <v>NA</v>
      </c>
      <c r="AC2809" s="10" t="str">
        <f t="shared" si="2667"/>
        <v>NA</v>
      </c>
      <c r="AD2809" s="10" t="str">
        <f t="shared" si="2668"/>
        <v>NA</v>
      </c>
      <c r="AE2809" s="10">
        <f t="shared" si="2669"/>
        <v>1.2730627306273061</v>
      </c>
      <c r="AF2809" s="1" t="s">
        <v>3335</v>
      </c>
    </row>
    <row r="2810" spans="1:32" x14ac:dyDescent="0.2">
      <c r="A2810" s="1" t="s">
        <v>6620</v>
      </c>
      <c r="B2810" s="1" t="s">
        <v>5</v>
      </c>
      <c r="C2810" s="1" t="s">
        <v>1575</v>
      </c>
      <c r="D2810" s="1" t="s">
        <v>1813</v>
      </c>
      <c r="E2810" s="1" t="s">
        <v>1587</v>
      </c>
      <c r="F2810" s="1" t="s">
        <v>3336</v>
      </c>
      <c r="G2810" s="4">
        <v>1</v>
      </c>
      <c r="H2810" s="28">
        <v>44232</v>
      </c>
      <c r="I2810" s="29">
        <v>2021</v>
      </c>
      <c r="J2810" s="1" t="s">
        <v>3334</v>
      </c>
      <c r="K2810" s="1" t="s">
        <v>7</v>
      </c>
      <c r="L2810" s="11" t="str">
        <f t="shared" ref="L2810" si="2677">IF(OR(A2810=J2810,A2810=K2810),"ДА","НЕТ")</f>
        <v>НЕТ</v>
      </c>
      <c r="M2810" s="10">
        <v>0</v>
      </c>
      <c r="N2810" s="10">
        <v>0</v>
      </c>
      <c r="O2810" s="10">
        <v>1.7849999999999999</v>
      </c>
      <c r="P2810" s="10">
        <f t="shared" si="2630"/>
        <v>1.7849999999999999</v>
      </c>
      <c r="Q2810" s="10">
        <f t="shared" si="2631"/>
        <v>1.7989999999999999</v>
      </c>
      <c r="R2810" s="10" t="s">
        <v>1575</v>
      </c>
      <c r="S2810" s="10" t="s">
        <v>1575</v>
      </c>
      <c r="T2810" s="10" t="s">
        <v>1575</v>
      </c>
      <c r="U2810" s="10" t="s">
        <v>1575</v>
      </c>
      <c r="V2810" s="10">
        <v>1</v>
      </c>
      <c r="W2810" s="10">
        <f>0.018+0.13-0.134</f>
        <v>1.3999999999999985E-2</v>
      </c>
      <c r="X2810" s="10">
        <f t="shared" si="2662"/>
        <v>1.014</v>
      </c>
      <c r="Y2810" s="10" t="str">
        <f t="shared" si="2663"/>
        <v>NA</v>
      </c>
      <c r="Z2810" s="10" t="str">
        <f t="shared" si="2664"/>
        <v>NA</v>
      </c>
      <c r="AA2810" s="10">
        <f t="shared" si="2665"/>
        <v>1.7849999999999999</v>
      </c>
      <c r="AB2810" s="10" t="str">
        <f t="shared" si="2666"/>
        <v>NA</v>
      </c>
      <c r="AC2810" s="10" t="str">
        <f t="shared" si="2667"/>
        <v>NA</v>
      </c>
      <c r="AD2810" s="10" t="str">
        <f t="shared" si="2668"/>
        <v>NA</v>
      </c>
      <c r="AE2810" s="10">
        <f t="shared" si="2669"/>
        <v>1.7741617357001971</v>
      </c>
      <c r="AF2810" s="1" t="s">
        <v>3337</v>
      </c>
    </row>
    <row r="2811" spans="1:32" x14ac:dyDescent="0.2">
      <c r="A2811" s="1" t="s">
        <v>6621</v>
      </c>
      <c r="B2811" s="1" t="s">
        <v>5</v>
      </c>
      <c r="C2811" s="1" t="s">
        <v>1575</v>
      </c>
      <c r="D2811" s="1" t="s">
        <v>1813</v>
      </c>
      <c r="E2811" s="1" t="s">
        <v>1971</v>
      </c>
      <c r="F2811" s="1" t="s">
        <v>2914</v>
      </c>
      <c r="G2811" s="4">
        <v>1</v>
      </c>
      <c r="H2811" s="28">
        <v>45077</v>
      </c>
      <c r="I2811" s="29">
        <f t="shared" si="2671"/>
        <v>2023</v>
      </c>
      <c r="J2811" s="1" t="s">
        <v>2934</v>
      </c>
      <c r="K2811" s="1" t="s">
        <v>7</v>
      </c>
      <c r="L2811" s="11" t="str">
        <f t="shared" ref="L2811" si="2678">IF(OR(A2811=J2811,A2811=K2811),"ДА","НЕТ")</f>
        <v>НЕТ</v>
      </c>
      <c r="M2811" s="10">
        <v>0</v>
      </c>
      <c r="N2811" s="10">
        <v>0</v>
      </c>
      <c r="O2811" s="10">
        <f>3.299+0.534+0.594</f>
        <v>4.4270000000000005</v>
      </c>
      <c r="P2811" s="10">
        <f t="shared" si="2630"/>
        <v>4.4270000000000005</v>
      </c>
      <c r="Q2811" s="10">
        <f t="shared" si="2631"/>
        <v>4.5420000000000007</v>
      </c>
      <c r="R2811" s="10" t="s">
        <v>1575</v>
      </c>
      <c r="S2811" s="10" t="s">
        <v>1575</v>
      </c>
      <c r="T2811" s="10" t="s">
        <v>1575</v>
      </c>
      <c r="U2811" s="10" t="s">
        <v>1575</v>
      </c>
      <c r="V2811" s="10">
        <v>0.91900000000000004</v>
      </c>
      <c r="W2811" s="10">
        <f>0.607-0.492</f>
        <v>0.11499999999999999</v>
      </c>
      <c r="X2811" s="10">
        <f t="shared" si="2662"/>
        <v>1.034</v>
      </c>
      <c r="Y2811" s="10" t="str">
        <f t="shared" si="2663"/>
        <v>NA</v>
      </c>
      <c r="Z2811" s="10" t="str">
        <f t="shared" si="2664"/>
        <v>NA</v>
      </c>
      <c r="AA2811" s="10">
        <f t="shared" si="2665"/>
        <v>4.8171926006528842</v>
      </c>
      <c r="AB2811" s="10" t="str">
        <f t="shared" si="2666"/>
        <v>NA</v>
      </c>
      <c r="AC2811" s="10" t="str">
        <f t="shared" si="2667"/>
        <v>NA</v>
      </c>
      <c r="AD2811" s="10" t="str">
        <f t="shared" si="2668"/>
        <v>NA</v>
      </c>
      <c r="AE2811" s="10">
        <f t="shared" si="2669"/>
        <v>4.392649903288202</v>
      </c>
      <c r="AF2811" s="1" t="s">
        <v>2913</v>
      </c>
    </row>
    <row r="2812" spans="1:32" x14ac:dyDescent="0.2">
      <c r="A2812" s="1" t="s">
        <v>6622</v>
      </c>
      <c r="B2812" s="1" t="s">
        <v>5</v>
      </c>
      <c r="C2812" s="1" t="s">
        <v>1575</v>
      </c>
      <c r="D2812" s="1" t="s">
        <v>1813</v>
      </c>
      <c r="E2812" s="1" t="s">
        <v>2702</v>
      </c>
      <c r="F2812" s="1" t="s">
        <v>2916</v>
      </c>
      <c r="G2812" s="4">
        <v>1</v>
      </c>
      <c r="H2812" s="28">
        <v>45106</v>
      </c>
      <c r="I2812" s="29">
        <f t="shared" si="2671"/>
        <v>2023</v>
      </c>
      <c r="J2812" s="1" t="s">
        <v>2934</v>
      </c>
      <c r="K2812" s="1" t="s">
        <v>7</v>
      </c>
      <c r="L2812" s="11" t="str">
        <f t="shared" ref="L2812" si="2679">IF(OR(A2812=J2812,A2812=K2812),"ДА","НЕТ")</f>
        <v>НЕТ</v>
      </c>
      <c r="M2812" s="10">
        <v>0</v>
      </c>
      <c r="N2812" s="10">
        <v>0</v>
      </c>
      <c r="O2812" s="10">
        <f>0.088+0.027</f>
        <v>0.11499999999999999</v>
      </c>
      <c r="P2812" s="10">
        <f t="shared" si="2630"/>
        <v>0.11499999999999999</v>
      </c>
      <c r="Q2812" s="10">
        <f t="shared" si="2631"/>
        <v>0.104</v>
      </c>
      <c r="R2812" s="10" t="s">
        <v>1575</v>
      </c>
      <c r="S2812" s="10" t="s">
        <v>1575</v>
      </c>
      <c r="T2812" s="10" t="s">
        <v>1575</v>
      </c>
      <c r="U2812" s="10" t="s">
        <v>1575</v>
      </c>
      <c r="V2812" s="10">
        <v>1E-3</v>
      </c>
      <c r="W2812" s="10">
        <f>0.004-0.015</f>
        <v>-1.0999999999999999E-2</v>
      </c>
      <c r="X2812" s="10">
        <f t="shared" si="2662"/>
        <v>-9.9999999999999985E-3</v>
      </c>
      <c r="Y2812" s="10" t="str">
        <f t="shared" si="2663"/>
        <v>NA</v>
      </c>
      <c r="Z2812" s="10" t="str">
        <f t="shared" si="2664"/>
        <v>NA</v>
      </c>
      <c r="AA2812" s="10">
        <f t="shared" si="2665"/>
        <v>114.99999999999999</v>
      </c>
      <c r="AB2812" s="10" t="str">
        <f t="shared" si="2666"/>
        <v>NA</v>
      </c>
      <c r="AC2812" s="10" t="str">
        <f t="shared" si="2667"/>
        <v>NA</v>
      </c>
      <c r="AD2812" s="10" t="str">
        <f t="shared" si="2668"/>
        <v>NA</v>
      </c>
      <c r="AE2812" s="10">
        <f t="shared" si="2669"/>
        <v>-10.4</v>
      </c>
      <c r="AF2812" s="1" t="s">
        <v>2915</v>
      </c>
    </row>
    <row r="2813" spans="1:32" x14ac:dyDescent="0.2">
      <c r="A2813" s="1" t="s">
        <v>6623</v>
      </c>
      <c r="B2813" s="1" t="s">
        <v>5</v>
      </c>
      <c r="C2813" s="1" t="s">
        <v>1575</v>
      </c>
      <c r="D2813" s="1" t="s">
        <v>1813</v>
      </c>
      <c r="E2813" s="1" t="s">
        <v>1971</v>
      </c>
      <c r="F2813" s="1" t="s">
        <v>2914</v>
      </c>
      <c r="G2813" s="4">
        <v>0.501</v>
      </c>
      <c r="H2813" s="28">
        <v>45112</v>
      </c>
      <c r="I2813" s="29">
        <f t="shared" si="2671"/>
        <v>2023</v>
      </c>
      <c r="J2813" s="1" t="s">
        <v>2934</v>
      </c>
      <c r="K2813" s="1" t="s">
        <v>7</v>
      </c>
      <c r="L2813" s="11" t="str">
        <f t="shared" ref="L2813" si="2680">IF(OR(A2813=J2813,A2813=K2813),"ДА","НЕТ")</f>
        <v>НЕТ</v>
      </c>
      <c r="M2813" s="10">
        <v>0</v>
      </c>
      <c r="N2813" s="10">
        <v>0</v>
      </c>
      <c r="O2813" s="10">
        <v>1.6259999999999999</v>
      </c>
      <c r="P2813" s="10">
        <f t="shared" si="2630"/>
        <v>3.2455089820359277</v>
      </c>
      <c r="Q2813" s="10">
        <f t="shared" si="2631"/>
        <v>3.8825089820359278</v>
      </c>
      <c r="R2813" s="10" t="s">
        <v>1575</v>
      </c>
      <c r="S2813" s="10" t="s">
        <v>1575</v>
      </c>
      <c r="T2813" s="10" t="s">
        <v>1575</v>
      </c>
      <c r="U2813" s="10" t="s">
        <v>1575</v>
      </c>
      <c r="V2813" s="10">
        <v>-0.88400000000000001</v>
      </c>
      <c r="W2813" s="10">
        <f>0.679-0.001-0.041</f>
        <v>0.63700000000000001</v>
      </c>
      <c r="X2813" s="10">
        <f t="shared" si="2662"/>
        <v>-0.247</v>
      </c>
      <c r="Y2813" s="10" t="str">
        <f t="shared" si="2663"/>
        <v>NA</v>
      </c>
      <c r="Z2813" s="10" t="str">
        <f t="shared" si="2664"/>
        <v>NA</v>
      </c>
      <c r="AA2813" s="10">
        <f t="shared" si="2665"/>
        <v>-3.6713902511718639</v>
      </c>
      <c r="AB2813" s="10" t="str">
        <f t="shared" si="2666"/>
        <v>NA</v>
      </c>
      <c r="AC2813" s="10" t="str">
        <f t="shared" si="2667"/>
        <v>NA</v>
      </c>
      <c r="AD2813" s="10" t="str">
        <f t="shared" si="2668"/>
        <v>NA</v>
      </c>
      <c r="AE2813" s="10">
        <f t="shared" si="2669"/>
        <v>-15.718659846299303</v>
      </c>
      <c r="AF2813" s="1" t="s">
        <v>2917</v>
      </c>
    </row>
    <row r="2814" spans="1:32" x14ac:dyDescent="0.2">
      <c r="A2814" s="1" t="s">
        <v>6624</v>
      </c>
      <c r="B2814" s="1" t="s">
        <v>5</v>
      </c>
      <c r="C2814" s="1" t="s">
        <v>1575</v>
      </c>
      <c r="D2814" s="1" t="s">
        <v>1813</v>
      </c>
      <c r="E2814" s="1" t="s">
        <v>1971</v>
      </c>
      <c r="F2814" s="1" t="s">
        <v>2914</v>
      </c>
      <c r="G2814" s="4">
        <v>1</v>
      </c>
      <c r="H2814" s="28">
        <v>45022</v>
      </c>
      <c r="I2814" s="29">
        <f t="shared" si="2671"/>
        <v>2023</v>
      </c>
      <c r="J2814" s="1" t="s">
        <v>2934</v>
      </c>
      <c r="K2814" s="1" t="s">
        <v>7</v>
      </c>
      <c r="L2814" s="11" t="str">
        <f t="shared" ref="L2814" si="2681">IF(OR(A2814=J2814,A2814=K2814),"ДА","НЕТ")</f>
        <v>НЕТ</v>
      </c>
      <c r="M2814" s="10">
        <v>0</v>
      </c>
      <c r="N2814" s="10">
        <v>0</v>
      </c>
      <c r="O2814" s="10">
        <f>0.181+0.782+0.4+0.134</f>
        <v>1.4969999999999999</v>
      </c>
      <c r="P2814" s="10">
        <f t="shared" si="2630"/>
        <v>1.4969999999999999</v>
      </c>
      <c r="Q2814" s="10">
        <f t="shared" si="2631"/>
        <v>1.3719999999999999</v>
      </c>
      <c r="R2814" s="10" t="s">
        <v>1575</v>
      </c>
      <c r="S2814" s="10" t="s">
        <v>1575</v>
      </c>
      <c r="T2814" s="10" t="s">
        <v>1575</v>
      </c>
      <c r="U2814" s="10" t="s">
        <v>1575</v>
      </c>
      <c r="V2814" s="10">
        <v>0.40500000000000003</v>
      </c>
      <c r="W2814" s="10">
        <f>0.008+0.008-0.141</f>
        <v>-0.12499999999999999</v>
      </c>
      <c r="X2814" s="10">
        <f t="shared" si="2662"/>
        <v>0.28000000000000003</v>
      </c>
      <c r="Y2814" s="10" t="str">
        <f t="shared" si="2663"/>
        <v>NA</v>
      </c>
      <c r="Z2814" s="10" t="str">
        <f t="shared" si="2664"/>
        <v>NA</v>
      </c>
      <c r="AA2814" s="10">
        <f t="shared" si="2665"/>
        <v>3.6962962962962957</v>
      </c>
      <c r="AB2814" s="10" t="str">
        <f t="shared" si="2666"/>
        <v>NA</v>
      </c>
      <c r="AC2814" s="10" t="str">
        <f t="shared" si="2667"/>
        <v>NA</v>
      </c>
      <c r="AD2814" s="10" t="str">
        <f t="shared" si="2668"/>
        <v>NA</v>
      </c>
      <c r="AE2814" s="10">
        <f t="shared" si="2669"/>
        <v>4.8999999999999995</v>
      </c>
      <c r="AF2814" s="1" t="s">
        <v>2918</v>
      </c>
    </row>
    <row r="2815" spans="1:32" x14ac:dyDescent="0.2">
      <c r="A2815" s="1" t="s">
        <v>6625</v>
      </c>
      <c r="B2815" s="1" t="s">
        <v>5</v>
      </c>
      <c r="C2815" s="1" t="s">
        <v>1575</v>
      </c>
      <c r="D2815" s="1" t="s">
        <v>1813</v>
      </c>
      <c r="E2815" s="1" t="s">
        <v>1971</v>
      </c>
      <c r="F2815" s="1" t="s">
        <v>2914</v>
      </c>
      <c r="G2815" s="4">
        <v>0.8</v>
      </c>
      <c r="H2815" s="28">
        <v>45001</v>
      </c>
      <c r="I2815" s="29">
        <f t="shared" si="2671"/>
        <v>2023</v>
      </c>
      <c r="J2815" s="1" t="s">
        <v>2934</v>
      </c>
      <c r="K2815" s="1" t="s">
        <v>7</v>
      </c>
      <c r="L2815" s="11" t="str">
        <f t="shared" ref="L2815" si="2682">IF(OR(A2815=J2815,A2815=K2815),"ДА","НЕТ")</f>
        <v>НЕТ</v>
      </c>
      <c r="M2815" s="10">
        <v>0</v>
      </c>
      <c r="N2815" s="10">
        <v>0</v>
      </c>
      <c r="O2815" s="10">
        <v>1E-3</v>
      </c>
      <c r="P2815" s="10">
        <f t="shared" si="2630"/>
        <v>1.25E-3</v>
      </c>
      <c r="Q2815" s="10" t="str">
        <f t="shared" si="2631"/>
        <v>NA</v>
      </c>
      <c r="R2815" s="10" t="s">
        <v>1575</v>
      </c>
      <c r="S2815" s="10" t="s">
        <v>1575</v>
      </c>
      <c r="T2815" s="10" t="s">
        <v>1575</v>
      </c>
      <c r="U2815" s="10" t="s">
        <v>1575</v>
      </c>
      <c r="V2815" s="10" t="s">
        <v>1575</v>
      </c>
      <c r="W2815" s="10" t="s">
        <v>1575</v>
      </c>
      <c r="X2815" s="10" t="str">
        <f t="shared" si="2662"/>
        <v>NA</v>
      </c>
      <c r="Y2815" s="10" t="str">
        <f t="shared" si="2663"/>
        <v>NA</v>
      </c>
      <c r="Z2815" s="10" t="str">
        <f t="shared" si="2664"/>
        <v>NA</v>
      </c>
      <c r="AA2815" s="10" t="str">
        <f t="shared" si="2665"/>
        <v>NA</v>
      </c>
      <c r="AB2815" s="10" t="str">
        <f t="shared" si="2666"/>
        <v>NA</v>
      </c>
      <c r="AC2815" s="10" t="str">
        <f t="shared" si="2667"/>
        <v>NA</v>
      </c>
      <c r="AD2815" s="10" t="str">
        <f t="shared" si="2668"/>
        <v>NA</v>
      </c>
      <c r="AE2815" s="10" t="str">
        <f t="shared" si="2669"/>
        <v>NA</v>
      </c>
      <c r="AF2815" s="1" t="s">
        <v>2919</v>
      </c>
    </row>
    <row r="2816" spans="1:32" x14ac:dyDescent="0.2">
      <c r="A2816" s="5" t="s">
        <v>6626</v>
      </c>
      <c r="B2816" s="1" t="s">
        <v>5</v>
      </c>
      <c r="C2816" s="1" t="s">
        <v>1575</v>
      </c>
      <c r="D2816" s="1" t="s">
        <v>1813</v>
      </c>
      <c r="E2816" s="1" t="s">
        <v>1971</v>
      </c>
      <c r="F2816" s="1" t="s">
        <v>2914</v>
      </c>
      <c r="G2816" s="4">
        <v>0.7</v>
      </c>
      <c r="H2816" s="28">
        <v>45091</v>
      </c>
      <c r="I2816" s="29">
        <f t="shared" si="2671"/>
        <v>2023</v>
      </c>
      <c r="J2816" s="1" t="s">
        <v>2934</v>
      </c>
      <c r="K2816" s="1" t="s">
        <v>7</v>
      </c>
      <c r="L2816" s="11" t="str">
        <f t="shared" ref="L2816" si="2683">IF(OR(A2816=J2816,A2816=K2816),"ДА","НЕТ")</f>
        <v>НЕТ</v>
      </c>
      <c r="M2816" s="10">
        <v>0</v>
      </c>
      <c r="N2816" s="10">
        <v>0</v>
      </c>
      <c r="O2816" s="10">
        <v>0.1</v>
      </c>
      <c r="P2816" s="10">
        <f t="shared" si="2630"/>
        <v>0.14285714285714288</v>
      </c>
      <c r="Q2816" s="10">
        <f t="shared" si="2631"/>
        <v>0.14085714285714288</v>
      </c>
      <c r="R2816" s="10" t="s">
        <v>1575</v>
      </c>
      <c r="S2816" s="10" t="s">
        <v>1575</v>
      </c>
      <c r="T2816" s="10" t="s">
        <v>1575</v>
      </c>
      <c r="U2816" s="10" t="s">
        <v>1575</v>
      </c>
      <c r="V2816" s="10">
        <v>7.3999999999999996E-2</v>
      </c>
      <c r="W2816" s="10">
        <v>-2E-3</v>
      </c>
      <c r="X2816" s="10">
        <f t="shared" si="2662"/>
        <v>7.1999999999999995E-2</v>
      </c>
      <c r="Y2816" s="10" t="str">
        <f t="shared" si="2663"/>
        <v>NA</v>
      </c>
      <c r="Z2816" s="10" t="str">
        <f t="shared" si="2664"/>
        <v>NA</v>
      </c>
      <c r="AA2816" s="10">
        <f t="shared" si="2665"/>
        <v>1.9305019305019309</v>
      </c>
      <c r="AB2816" s="10" t="str">
        <f t="shared" si="2666"/>
        <v>NA</v>
      </c>
      <c r="AC2816" s="10" t="str">
        <f t="shared" si="2667"/>
        <v>NA</v>
      </c>
      <c r="AD2816" s="10" t="str">
        <f t="shared" si="2668"/>
        <v>NA</v>
      </c>
      <c r="AE2816" s="10">
        <f t="shared" si="2669"/>
        <v>1.9563492063492067</v>
      </c>
      <c r="AF2816" s="1" t="s">
        <v>2920</v>
      </c>
    </row>
    <row r="2817" spans="1:32" x14ac:dyDescent="0.2">
      <c r="A2817" s="1" t="s">
        <v>6627</v>
      </c>
      <c r="B2817" s="1" t="s">
        <v>5</v>
      </c>
      <c r="C2817" s="1" t="s">
        <v>1575</v>
      </c>
      <c r="D2817" s="1" t="s">
        <v>1813</v>
      </c>
      <c r="E2817" s="1" t="s">
        <v>1587</v>
      </c>
      <c r="F2817" s="1" t="s">
        <v>2922</v>
      </c>
      <c r="G2817" s="4">
        <v>0.51</v>
      </c>
      <c r="H2817" s="28">
        <v>45169</v>
      </c>
      <c r="I2817" s="29">
        <f t="shared" si="2671"/>
        <v>2023</v>
      </c>
      <c r="J2817" s="1" t="s">
        <v>2934</v>
      </c>
      <c r="K2817" s="1" t="s">
        <v>7</v>
      </c>
      <c r="L2817" s="11" t="str">
        <f t="shared" ref="L2817" si="2684">IF(OR(A2817=J2817,A2817=K2817),"ДА","НЕТ")</f>
        <v>НЕТ</v>
      </c>
      <c r="M2817" s="10">
        <v>0</v>
      </c>
      <c r="N2817" s="10">
        <v>0</v>
      </c>
      <c r="O2817" s="10">
        <v>0.59799999999999998</v>
      </c>
      <c r="P2817" s="10">
        <f t="shared" si="2630"/>
        <v>1.172549019607843</v>
      </c>
      <c r="Q2817" s="10">
        <f t="shared" si="2631"/>
        <v>1.1875490196078429</v>
      </c>
      <c r="R2817" s="10" t="s">
        <v>1575</v>
      </c>
      <c r="S2817" s="10" t="s">
        <v>1575</v>
      </c>
      <c r="T2817" s="10" t="s">
        <v>1575</v>
      </c>
      <c r="U2817" s="10" t="s">
        <v>1575</v>
      </c>
      <c r="V2817" s="10">
        <v>1.0999999999999999E-2</v>
      </c>
      <c r="W2817" s="10">
        <f>0.071-0.044-0.012</f>
        <v>1.4999999999999996E-2</v>
      </c>
      <c r="X2817" s="10">
        <f t="shared" si="2662"/>
        <v>2.5999999999999995E-2</v>
      </c>
      <c r="Y2817" s="10" t="str">
        <f t="shared" si="2663"/>
        <v>NA</v>
      </c>
      <c r="Z2817" s="10" t="str">
        <f t="shared" si="2664"/>
        <v>NA</v>
      </c>
      <c r="AA2817" s="10">
        <f t="shared" si="2665"/>
        <v>106.59536541889481</v>
      </c>
      <c r="AB2817" s="10" t="str">
        <f t="shared" si="2666"/>
        <v>NA</v>
      </c>
      <c r="AC2817" s="10" t="str">
        <f t="shared" si="2667"/>
        <v>NA</v>
      </c>
      <c r="AD2817" s="10" t="str">
        <f t="shared" si="2668"/>
        <v>NA</v>
      </c>
      <c r="AE2817" s="10">
        <f t="shared" si="2669"/>
        <v>45.674962292609351</v>
      </c>
      <c r="AF2817" s="1" t="s">
        <v>2921</v>
      </c>
    </row>
    <row r="2818" spans="1:32" x14ac:dyDescent="0.2">
      <c r="A2818" s="1" t="s">
        <v>6628</v>
      </c>
      <c r="B2818" s="1" t="s">
        <v>5</v>
      </c>
      <c r="C2818" s="1" t="s">
        <v>1575</v>
      </c>
      <c r="D2818" s="1" t="s">
        <v>2160</v>
      </c>
      <c r="E2818" s="1" t="s">
        <v>2882</v>
      </c>
      <c r="F2818" s="1" t="s">
        <v>2924</v>
      </c>
      <c r="G2818" s="4">
        <v>1</v>
      </c>
      <c r="H2818" s="28">
        <v>45282</v>
      </c>
      <c r="I2818" s="29">
        <f t="shared" si="2671"/>
        <v>2023</v>
      </c>
      <c r="J2818" s="1" t="s">
        <v>2934</v>
      </c>
      <c r="K2818" s="1" t="s">
        <v>7</v>
      </c>
      <c r="L2818" s="11" t="str">
        <f t="shared" ref="L2818" si="2685">IF(OR(A2818=J2818,A2818=K2818),"ДА","НЕТ")</f>
        <v>НЕТ</v>
      </c>
      <c r="M2818" s="10">
        <v>0</v>
      </c>
      <c r="N2818" s="10">
        <v>0</v>
      </c>
      <c r="O2818" s="10">
        <f>7.525+0.152+0.098+0.033</f>
        <v>7.8080000000000007</v>
      </c>
      <c r="P2818" s="10">
        <f t="shared" si="2630"/>
        <v>7.8080000000000007</v>
      </c>
      <c r="Q2818" s="10">
        <f t="shared" si="2631"/>
        <v>7.8960000000000008</v>
      </c>
      <c r="R2818" s="10" t="s">
        <v>1575</v>
      </c>
      <c r="S2818" s="10" t="s">
        <v>1575</v>
      </c>
      <c r="T2818" s="10" t="s">
        <v>1575</v>
      </c>
      <c r="U2818" s="10" t="s">
        <v>1575</v>
      </c>
      <c r="V2818" s="10">
        <v>-2.1000000000000001E-2</v>
      </c>
      <c r="W2818" s="10">
        <f>0.089-0.001</f>
        <v>8.7999999999999995E-2</v>
      </c>
      <c r="X2818" s="10">
        <f t="shared" si="2662"/>
        <v>6.699999999999999E-2</v>
      </c>
      <c r="Y2818" s="10" t="str">
        <f t="shared" si="2663"/>
        <v>NA</v>
      </c>
      <c r="Z2818" s="10" t="str">
        <f t="shared" si="2664"/>
        <v>NA</v>
      </c>
      <c r="AA2818" s="10">
        <f t="shared" si="2665"/>
        <v>-371.8095238095238</v>
      </c>
      <c r="AB2818" s="10" t="str">
        <f t="shared" si="2666"/>
        <v>NA</v>
      </c>
      <c r="AC2818" s="10" t="str">
        <f t="shared" si="2667"/>
        <v>NA</v>
      </c>
      <c r="AD2818" s="10" t="str">
        <f t="shared" si="2668"/>
        <v>NA</v>
      </c>
      <c r="AE2818" s="10">
        <f t="shared" si="2669"/>
        <v>117.85074626865675</v>
      </c>
      <c r="AF2818" s="1" t="s">
        <v>2923</v>
      </c>
    </row>
    <row r="2819" spans="1:32" x14ac:dyDescent="0.2">
      <c r="A2819" s="1" t="s">
        <v>6629</v>
      </c>
      <c r="B2819" s="1" t="s">
        <v>5</v>
      </c>
      <c r="C2819" s="1" t="s">
        <v>1575</v>
      </c>
      <c r="D2819" s="1" t="s">
        <v>1813</v>
      </c>
      <c r="E2819" s="1" t="s">
        <v>1971</v>
      </c>
      <c r="F2819" s="1" t="s">
        <v>2914</v>
      </c>
      <c r="G2819" s="4" t="s">
        <v>1575</v>
      </c>
      <c r="H2819" s="28">
        <v>45291</v>
      </c>
      <c r="I2819" s="29">
        <f t="shared" si="2671"/>
        <v>2023</v>
      </c>
      <c r="J2819" s="1" t="s">
        <v>2934</v>
      </c>
      <c r="K2819" s="1" t="s">
        <v>7</v>
      </c>
      <c r="L2819" s="11" t="str">
        <f t="shared" ref="L2819" si="2686">IF(OR(A2819=J2819,A2819=K2819),"ДА","НЕТ")</f>
        <v>НЕТ</v>
      </c>
      <c r="M2819" s="10">
        <v>0</v>
      </c>
      <c r="N2819" s="10">
        <v>0</v>
      </c>
      <c r="O2819" s="10" t="s">
        <v>1575</v>
      </c>
      <c r="P2819" s="10" t="str">
        <f t="shared" ref="P2819:P2882" si="2687">IFERROR(O2819/G2819,"NA")</f>
        <v>NA</v>
      </c>
      <c r="Q2819" s="10" t="str">
        <f t="shared" ref="Q2819:Q2882" si="2688">IFERROR(P2819+W2819,"NA")</f>
        <v>NA</v>
      </c>
      <c r="R2819" s="10" t="s">
        <v>1575</v>
      </c>
      <c r="S2819" s="10" t="s">
        <v>1575</v>
      </c>
      <c r="T2819" s="10" t="s">
        <v>1575</v>
      </c>
      <c r="U2819" s="10" t="s">
        <v>1575</v>
      </c>
      <c r="V2819" s="10" t="s">
        <v>1575</v>
      </c>
      <c r="W2819" s="10" t="s">
        <v>1575</v>
      </c>
      <c r="X2819" s="10" t="str">
        <f t="shared" si="2662"/>
        <v>NA</v>
      </c>
      <c r="Y2819" s="10" t="str">
        <f t="shared" si="2663"/>
        <v>NA</v>
      </c>
      <c r="Z2819" s="10" t="str">
        <f t="shared" si="2664"/>
        <v>NA</v>
      </c>
      <c r="AA2819" s="10" t="str">
        <f t="shared" si="2665"/>
        <v>NA</v>
      </c>
      <c r="AB2819" s="10" t="str">
        <f t="shared" si="2666"/>
        <v>NA</v>
      </c>
      <c r="AC2819" s="10" t="str">
        <f t="shared" si="2667"/>
        <v>NA</v>
      </c>
      <c r="AD2819" s="10" t="str">
        <f t="shared" si="2668"/>
        <v>NA</v>
      </c>
      <c r="AE2819" s="10" t="str">
        <f t="shared" si="2669"/>
        <v>NA</v>
      </c>
      <c r="AF2819" s="1" t="s">
        <v>2925</v>
      </c>
    </row>
    <row r="2820" spans="1:32" x14ac:dyDescent="0.2">
      <c r="A2820" s="1" t="s">
        <v>6630</v>
      </c>
      <c r="B2820" s="1" t="s">
        <v>5</v>
      </c>
      <c r="C2820" s="1" t="s">
        <v>1575</v>
      </c>
      <c r="D2820" s="1" t="s">
        <v>1813</v>
      </c>
      <c r="E2820" s="1" t="s">
        <v>1971</v>
      </c>
      <c r="F2820" s="1" t="s">
        <v>2914</v>
      </c>
      <c r="G2820" s="4">
        <v>0.7</v>
      </c>
      <c r="H2820" s="28">
        <v>44585</v>
      </c>
      <c r="I2820" s="29">
        <f t="shared" si="2671"/>
        <v>2022</v>
      </c>
      <c r="J2820" s="1" t="s">
        <v>2934</v>
      </c>
      <c r="K2820" s="1" t="s">
        <v>7</v>
      </c>
      <c r="L2820" s="11" t="str">
        <f t="shared" ref="L2820" si="2689">IF(OR(A2820=J2820,A2820=K2820),"ДА","НЕТ")</f>
        <v>НЕТ</v>
      </c>
      <c r="M2820" s="10">
        <v>0</v>
      </c>
      <c r="N2820" s="10">
        <v>0</v>
      </c>
      <c r="O2820" s="10">
        <v>0.21</v>
      </c>
      <c r="P2820" s="10">
        <f t="shared" si="2687"/>
        <v>0.3</v>
      </c>
      <c r="Q2820" s="10">
        <f t="shared" si="2688"/>
        <v>0.26200000000000001</v>
      </c>
      <c r="R2820" s="10" t="s">
        <v>1575</v>
      </c>
      <c r="S2820" s="10" t="s">
        <v>1575</v>
      </c>
      <c r="T2820" s="10" t="s">
        <v>1575</v>
      </c>
      <c r="U2820" s="10" t="s">
        <v>1575</v>
      </c>
      <c r="V2820" s="10">
        <v>0.123</v>
      </c>
      <c r="W2820" s="10">
        <f>0.018+0.025-0.078-0.003</f>
        <v>-3.8000000000000006E-2</v>
      </c>
      <c r="X2820" s="10">
        <f t="shared" si="2662"/>
        <v>8.4999999999999992E-2</v>
      </c>
      <c r="Y2820" s="10" t="str">
        <f t="shared" si="2663"/>
        <v>NA</v>
      </c>
      <c r="Z2820" s="10" t="str">
        <f t="shared" si="2664"/>
        <v>NA</v>
      </c>
      <c r="AA2820" s="10">
        <f t="shared" si="2665"/>
        <v>2.4390243902439024</v>
      </c>
      <c r="AB2820" s="10" t="str">
        <f t="shared" si="2666"/>
        <v>NA</v>
      </c>
      <c r="AC2820" s="10" t="str">
        <f t="shared" si="2667"/>
        <v>NA</v>
      </c>
      <c r="AD2820" s="10" t="str">
        <f t="shared" si="2668"/>
        <v>NA</v>
      </c>
      <c r="AE2820" s="10">
        <f t="shared" si="2669"/>
        <v>3.0823529411764712</v>
      </c>
      <c r="AF2820" s="1" t="s">
        <v>2926</v>
      </c>
    </row>
    <row r="2821" spans="1:32" x14ac:dyDescent="0.2">
      <c r="A2821" s="1" t="s">
        <v>6631</v>
      </c>
      <c r="B2821" s="1" t="s">
        <v>5</v>
      </c>
      <c r="C2821" s="1" t="s">
        <v>1575</v>
      </c>
      <c r="D2821" s="1" t="s">
        <v>1813</v>
      </c>
      <c r="E2821" s="1" t="s">
        <v>2702</v>
      </c>
      <c r="F2821" s="1" t="s">
        <v>2916</v>
      </c>
      <c r="G2821" s="4">
        <v>1</v>
      </c>
      <c r="H2821" s="28">
        <v>44586</v>
      </c>
      <c r="I2821" s="29">
        <f t="shared" si="2671"/>
        <v>2022</v>
      </c>
      <c r="J2821" s="1" t="s">
        <v>2934</v>
      </c>
      <c r="K2821" s="1" t="s">
        <v>7</v>
      </c>
      <c r="L2821" s="11" t="str">
        <f t="shared" ref="L2821" si="2690">IF(OR(A2821=J2821,A2821=K2821),"ДА","НЕТ")</f>
        <v>НЕТ</v>
      </c>
      <c r="M2821" s="10">
        <v>0</v>
      </c>
      <c r="N2821" s="10">
        <v>0</v>
      </c>
      <c r="O2821" s="10">
        <v>0.107</v>
      </c>
      <c r="P2821" s="10">
        <f t="shared" si="2687"/>
        <v>0.107</v>
      </c>
      <c r="Q2821" s="10">
        <f t="shared" si="2688"/>
        <v>9.8000000000000004E-2</v>
      </c>
      <c r="R2821" s="10" t="s">
        <v>1575</v>
      </c>
      <c r="S2821" s="10" t="s">
        <v>1575</v>
      </c>
      <c r="T2821" s="10" t="s">
        <v>1575</v>
      </c>
      <c r="U2821" s="10" t="s">
        <v>1575</v>
      </c>
      <c r="V2821" s="10">
        <v>1.9E-2</v>
      </c>
      <c r="W2821" s="10">
        <f>0.003-0.012</f>
        <v>-9.0000000000000011E-3</v>
      </c>
      <c r="X2821" s="10">
        <f t="shared" si="2662"/>
        <v>9.9999999999999985E-3</v>
      </c>
      <c r="Y2821" s="10" t="str">
        <f t="shared" si="2663"/>
        <v>NA</v>
      </c>
      <c r="Z2821" s="10" t="str">
        <f t="shared" si="2664"/>
        <v>NA</v>
      </c>
      <c r="AA2821" s="10">
        <f t="shared" si="2665"/>
        <v>5.6315789473684212</v>
      </c>
      <c r="AB2821" s="10" t="str">
        <f t="shared" si="2666"/>
        <v>NA</v>
      </c>
      <c r="AC2821" s="10" t="str">
        <f t="shared" si="2667"/>
        <v>NA</v>
      </c>
      <c r="AD2821" s="10" t="str">
        <f t="shared" si="2668"/>
        <v>NA</v>
      </c>
      <c r="AE2821" s="10">
        <f t="shared" si="2669"/>
        <v>9.8000000000000025</v>
      </c>
      <c r="AF2821" s="1" t="s">
        <v>2927</v>
      </c>
    </row>
    <row r="2822" spans="1:32" x14ac:dyDescent="0.2">
      <c r="A2822" s="1" t="s">
        <v>6632</v>
      </c>
      <c r="B2822" s="1" t="s">
        <v>5</v>
      </c>
      <c r="C2822" s="1" t="s">
        <v>1575</v>
      </c>
      <c r="D2822" s="1" t="s">
        <v>1813</v>
      </c>
      <c r="E2822" s="1" t="s">
        <v>2909</v>
      </c>
      <c r="F2822" s="1" t="s">
        <v>2910</v>
      </c>
      <c r="G2822" s="4">
        <v>0.85</v>
      </c>
      <c r="H2822" s="28">
        <v>44926</v>
      </c>
      <c r="I2822" s="29">
        <f t="shared" si="2671"/>
        <v>2022</v>
      </c>
      <c r="J2822" s="1" t="s">
        <v>2934</v>
      </c>
      <c r="K2822" s="1" t="s">
        <v>7</v>
      </c>
      <c r="L2822" s="11" t="str">
        <f t="shared" ref="L2822" si="2691">IF(OR(A2822=J2822,A2822=K2822),"ДА","НЕТ")</f>
        <v>НЕТ</v>
      </c>
      <c r="M2822" s="10">
        <v>0</v>
      </c>
      <c r="N2822" s="10">
        <v>0</v>
      </c>
      <c r="O2822" s="10">
        <f>0.26+0.032</f>
        <v>0.29200000000000004</v>
      </c>
      <c r="P2822" s="10">
        <f t="shared" si="2687"/>
        <v>0.34352941176470592</v>
      </c>
      <c r="Q2822" s="10">
        <f t="shared" si="2688"/>
        <v>0.28252941176470592</v>
      </c>
      <c r="R2822" s="10" t="s">
        <v>1575</v>
      </c>
      <c r="S2822" s="10" t="s">
        <v>1575</v>
      </c>
      <c r="T2822" s="10" t="s">
        <v>1575</v>
      </c>
      <c r="U2822" s="10" t="s">
        <v>1575</v>
      </c>
      <c r="V2822" s="10">
        <v>0.05</v>
      </c>
      <c r="W2822" s="10">
        <f>0-0.061</f>
        <v>-6.0999999999999999E-2</v>
      </c>
      <c r="X2822" s="10">
        <f t="shared" si="2662"/>
        <v>-1.0999999999999996E-2</v>
      </c>
      <c r="Y2822" s="10" t="str">
        <f t="shared" si="2663"/>
        <v>NA</v>
      </c>
      <c r="Z2822" s="10" t="str">
        <f t="shared" si="2664"/>
        <v>NA</v>
      </c>
      <c r="AA2822" s="10">
        <f t="shared" si="2665"/>
        <v>6.8705882352941181</v>
      </c>
      <c r="AB2822" s="10" t="str">
        <f t="shared" si="2666"/>
        <v>NA</v>
      </c>
      <c r="AC2822" s="10" t="str">
        <f t="shared" si="2667"/>
        <v>NA</v>
      </c>
      <c r="AD2822" s="10" t="str">
        <f t="shared" si="2668"/>
        <v>NA</v>
      </c>
      <c r="AE2822" s="10">
        <f t="shared" si="2669"/>
        <v>-25.684491978609639</v>
      </c>
      <c r="AF2822" s="1" t="s">
        <v>2928</v>
      </c>
    </row>
    <row r="2823" spans="1:32" x14ac:dyDescent="0.2">
      <c r="A2823" s="1" t="s">
        <v>6633</v>
      </c>
      <c r="B2823" s="1" t="s">
        <v>5</v>
      </c>
      <c r="C2823" s="1" t="s">
        <v>1575</v>
      </c>
      <c r="D2823" s="1" t="s">
        <v>1813</v>
      </c>
      <c r="E2823" s="1" t="s">
        <v>1971</v>
      </c>
      <c r="F2823" s="1" t="s">
        <v>2914</v>
      </c>
      <c r="G2823" s="4">
        <v>0.51</v>
      </c>
      <c r="H2823" s="28">
        <v>44910</v>
      </c>
      <c r="I2823" s="29">
        <f t="shared" si="2671"/>
        <v>2022</v>
      </c>
      <c r="J2823" s="1" t="s">
        <v>2934</v>
      </c>
      <c r="K2823" s="1" t="s">
        <v>7</v>
      </c>
      <c r="L2823" s="11" t="str">
        <f t="shared" ref="L2823" si="2692">IF(OR(A2823=J2823,A2823=K2823),"ДА","НЕТ")</f>
        <v>НЕТ</v>
      </c>
      <c r="M2823" s="10">
        <v>0</v>
      </c>
      <c r="N2823" s="10">
        <v>0</v>
      </c>
      <c r="O2823" s="10">
        <v>0.23899999999999999</v>
      </c>
      <c r="P2823" s="10">
        <f t="shared" si="2687"/>
        <v>0.46862745098039216</v>
      </c>
      <c r="Q2823" s="10">
        <f t="shared" si="2688"/>
        <v>0.59962745098039216</v>
      </c>
      <c r="R2823" s="10" t="s">
        <v>1575</v>
      </c>
      <c r="S2823" s="10" t="s">
        <v>1575</v>
      </c>
      <c r="T2823" s="10" t="s">
        <v>1575</v>
      </c>
      <c r="U2823" s="10" t="s">
        <v>1575</v>
      </c>
      <c r="V2823" s="10">
        <v>-2.8000000000000001E-2</v>
      </c>
      <c r="W2823" s="10">
        <f>0.146-0.015</f>
        <v>0.13100000000000001</v>
      </c>
      <c r="X2823" s="10">
        <f t="shared" si="2662"/>
        <v>0.10300000000000001</v>
      </c>
      <c r="Y2823" s="10" t="str">
        <f t="shared" si="2663"/>
        <v>NA</v>
      </c>
      <c r="Z2823" s="10" t="str">
        <f t="shared" si="2664"/>
        <v>NA</v>
      </c>
      <c r="AA2823" s="10">
        <f t="shared" si="2665"/>
        <v>-16.736694677871149</v>
      </c>
      <c r="AB2823" s="10" t="str">
        <f t="shared" si="2666"/>
        <v>NA</v>
      </c>
      <c r="AC2823" s="10" t="str">
        <f t="shared" si="2667"/>
        <v>NA</v>
      </c>
      <c r="AD2823" s="10" t="str">
        <f t="shared" si="2668"/>
        <v>NA</v>
      </c>
      <c r="AE2823" s="10">
        <f t="shared" si="2669"/>
        <v>5.8216257376737097</v>
      </c>
      <c r="AF2823" s="1" t="s">
        <v>2929</v>
      </c>
    </row>
    <row r="2824" spans="1:32" x14ac:dyDescent="0.2">
      <c r="A2824" s="1" t="s">
        <v>6634</v>
      </c>
      <c r="B2824" s="1" t="s">
        <v>5</v>
      </c>
      <c r="C2824" s="1" t="s">
        <v>1575</v>
      </c>
      <c r="D2824" s="1" t="s">
        <v>1813</v>
      </c>
      <c r="E2824" s="1" t="s">
        <v>1971</v>
      </c>
      <c r="F2824" s="1" t="s">
        <v>2914</v>
      </c>
      <c r="G2824" s="4">
        <v>0.75</v>
      </c>
      <c r="H2824" s="28">
        <v>44743</v>
      </c>
      <c r="I2824" s="29">
        <f t="shared" si="2671"/>
        <v>2022</v>
      </c>
      <c r="J2824" s="1" t="s">
        <v>2934</v>
      </c>
      <c r="K2824" s="1" t="s">
        <v>7</v>
      </c>
      <c r="L2824" s="11" t="str">
        <f t="shared" ref="L2824" si="2693">IF(OR(A2824=J2824,A2824=K2824),"ДА","НЕТ")</f>
        <v>НЕТ</v>
      </c>
      <c r="M2824" s="10">
        <v>0</v>
      </c>
      <c r="N2824" s="10">
        <v>0</v>
      </c>
      <c r="O2824" s="10">
        <f>0.142+0.085</f>
        <v>0.22699999999999998</v>
      </c>
      <c r="P2824" s="10">
        <f t="shared" si="2687"/>
        <v>0.30266666666666664</v>
      </c>
      <c r="Q2824" s="10">
        <f t="shared" si="2688"/>
        <v>0.30466666666666664</v>
      </c>
      <c r="R2824" s="10" t="s">
        <v>1575</v>
      </c>
      <c r="S2824" s="10" t="s">
        <v>1575</v>
      </c>
      <c r="T2824" s="10" t="s">
        <v>1575</v>
      </c>
      <c r="U2824" s="10" t="s">
        <v>1575</v>
      </c>
      <c r="V2824" s="10">
        <v>3.0000000000000001E-3</v>
      </c>
      <c r="W2824" s="10">
        <f>0.004-0.002</f>
        <v>2E-3</v>
      </c>
      <c r="X2824" s="10">
        <f t="shared" si="2662"/>
        <v>5.0000000000000001E-3</v>
      </c>
      <c r="Y2824" s="10" t="str">
        <f t="shared" si="2663"/>
        <v>NA</v>
      </c>
      <c r="Z2824" s="10" t="str">
        <f t="shared" si="2664"/>
        <v>NA</v>
      </c>
      <c r="AA2824" s="10">
        <f t="shared" si="2665"/>
        <v>100.88888888888887</v>
      </c>
      <c r="AB2824" s="10" t="str">
        <f t="shared" si="2666"/>
        <v>NA</v>
      </c>
      <c r="AC2824" s="10" t="str">
        <f t="shared" si="2667"/>
        <v>NA</v>
      </c>
      <c r="AD2824" s="10" t="str">
        <f t="shared" si="2668"/>
        <v>NA</v>
      </c>
      <c r="AE2824" s="10">
        <f t="shared" si="2669"/>
        <v>60.93333333333333</v>
      </c>
      <c r="AF2824" s="1" t="s">
        <v>2930</v>
      </c>
    </row>
    <row r="2825" spans="1:32" x14ac:dyDescent="0.2">
      <c r="A2825" s="1" t="s">
        <v>2932</v>
      </c>
      <c r="B2825" s="1" t="s">
        <v>5</v>
      </c>
      <c r="C2825" s="1" t="s">
        <v>1575</v>
      </c>
      <c r="D2825" s="1" t="s">
        <v>1813</v>
      </c>
      <c r="E2825" s="1" t="s">
        <v>1587</v>
      </c>
      <c r="F2825" s="1" t="s">
        <v>2933</v>
      </c>
      <c r="G2825" s="4">
        <v>1</v>
      </c>
      <c r="H2825" s="28">
        <v>44922</v>
      </c>
      <c r="I2825" s="29">
        <f t="shared" si="2671"/>
        <v>2022</v>
      </c>
      <c r="J2825" s="1" t="s">
        <v>2934</v>
      </c>
      <c r="K2825" s="1" t="s">
        <v>7</v>
      </c>
      <c r="L2825" s="11" t="str">
        <f t="shared" ref="L2825" si="2694">IF(OR(A2825=J2825,A2825=K2825),"ДА","НЕТ")</f>
        <v>НЕТ</v>
      </c>
      <c r="M2825" s="10">
        <v>0</v>
      </c>
      <c r="N2825" s="10">
        <v>0</v>
      </c>
      <c r="O2825" s="10">
        <v>8.0000000000000002E-3</v>
      </c>
      <c r="P2825" s="10">
        <f t="shared" si="2687"/>
        <v>8.0000000000000002E-3</v>
      </c>
      <c r="Q2825" s="10">
        <f t="shared" si="2688"/>
        <v>-5.3999999999999999E-2</v>
      </c>
      <c r="R2825" s="10" t="s">
        <v>1575</v>
      </c>
      <c r="S2825" s="10" t="s">
        <v>1575</v>
      </c>
      <c r="T2825" s="10" t="s">
        <v>1575</v>
      </c>
      <c r="U2825" s="10" t="s">
        <v>1575</v>
      </c>
      <c r="V2825" s="10">
        <v>-7.0000000000000001E-3</v>
      </c>
      <c r="W2825" s="10">
        <f>0-0.062</f>
        <v>-6.2E-2</v>
      </c>
      <c r="X2825" s="10">
        <f t="shared" si="2662"/>
        <v>-6.9000000000000006E-2</v>
      </c>
      <c r="Y2825" s="10" t="str">
        <f t="shared" si="2663"/>
        <v>NA</v>
      </c>
      <c r="Z2825" s="10" t="str">
        <f t="shared" si="2664"/>
        <v>NA</v>
      </c>
      <c r="AA2825" s="10">
        <f t="shared" si="2665"/>
        <v>-1.1428571428571428</v>
      </c>
      <c r="AB2825" s="10" t="str">
        <f t="shared" si="2666"/>
        <v>NA</v>
      </c>
      <c r="AC2825" s="10" t="str">
        <f t="shared" si="2667"/>
        <v>NA</v>
      </c>
      <c r="AD2825" s="10" t="str">
        <f t="shared" si="2668"/>
        <v>NA</v>
      </c>
      <c r="AE2825" s="10">
        <f t="shared" si="2669"/>
        <v>0.78260869565217384</v>
      </c>
      <c r="AF2825" s="1" t="s">
        <v>2931</v>
      </c>
    </row>
    <row r="2826" spans="1:32" x14ac:dyDescent="0.2">
      <c r="A2826" s="1" t="s">
        <v>6635</v>
      </c>
      <c r="B2826" s="1" t="s">
        <v>5</v>
      </c>
      <c r="C2826" s="1" t="s">
        <v>1575</v>
      </c>
      <c r="D2826" s="1" t="s">
        <v>1813</v>
      </c>
      <c r="E2826" s="1" t="s">
        <v>1971</v>
      </c>
      <c r="F2826" s="1" t="s">
        <v>2914</v>
      </c>
      <c r="G2826" s="4">
        <v>1</v>
      </c>
      <c r="H2826" s="28">
        <v>44630</v>
      </c>
      <c r="I2826" s="29">
        <f t="shared" si="2671"/>
        <v>2022</v>
      </c>
      <c r="J2826" s="1" t="s">
        <v>2934</v>
      </c>
      <c r="K2826" s="1" t="s">
        <v>7</v>
      </c>
      <c r="L2826" s="11" t="str">
        <f t="shared" ref="L2826" si="2695">IF(OR(A2826=J2826,A2826=K2826),"ДА","НЕТ")</f>
        <v>НЕТ</v>
      </c>
      <c r="M2826" s="10">
        <v>0</v>
      </c>
      <c r="N2826" s="10">
        <v>0</v>
      </c>
      <c r="O2826" s="10" t="s">
        <v>1575</v>
      </c>
      <c r="P2826" s="10" t="str">
        <f t="shared" si="2687"/>
        <v>NA</v>
      </c>
      <c r="Q2826" s="10" t="str">
        <f t="shared" si="2688"/>
        <v>NA</v>
      </c>
      <c r="R2826" s="10" t="s">
        <v>1575</v>
      </c>
      <c r="S2826" s="10" t="s">
        <v>1575</v>
      </c>
      <c r="T2826" s="10" t="s">
        <v>1575</v>
      </c>
      <c r="U2826" s="10" t="s">
        <v>1575</v>
      </c>
      <c r="V2826" s="10" t="s">
        <v>1575</v>
      </c>
      <c r="W2826" s="10" t="s">
        <v>1575</v>
      </c>
      <c r="X2826" s="10" t="str">
        <f t="shared" si="2662"/>
        <v>NA</v>
      </c>
      <c r="Y2826" s="10" t="str">
        <f t="shared" si="2663"/>
        <v>NA</v>
      </c>
      <c r="Z2826" s="10" t="str">
        <f t="shared" si="2664"/>
        <v>NA</v>
      </c>
      <c r="AA2826" s="10" t="str">
        <f t="shared" si="2665"/>
        <v>NA</v>
      </c>
      <c r="AB2826" s="10" t="str">
        <f t="shared" si="2666"/>
        <v>NA</v>
      </c>
      <c r="AC2826" s="10" t="str">
        <f t="shared" si="2667"/>
        <v>NA</v>
      </c>
      <c r="AD2826" s="10" t="str">
        <f t="shared" si="2668"/>
        <v>NA</v>
      </c>
      <c r="AE2826" s="10" t="str">
        <f t="shared" si="2669"/>
        <v>NA</v>
      </c>
      <c r="AF2826" s="1" t="s">
        <v>2946</v>
      </c>
    </row>
    <row r="2827" spans="1:32" x14ac:dyDescent="0.2">
      <c r="A2827" s="1" t="s">
        <v>6636</v>
      </c>
      <c r="B2827" s="1" t="s">
        <v>5</v>
      </c>
      <c r="C2827" s="1" t="s">
        <v>1575</v>
      </c>
      <c r="D2827" s="1" t="s">
        <v>1813</v>
      </c>
      <c r="E2827" s="1" t="s">
        <v>1971</v>
      </c>
      <c r="F2827" s="1" t="s">
        <v>2914</v>
      </c>
      <c r="G2827" s="4">
        <v>1</v>
      </c>
      <c r="H2827" s="28">
        <v>44309</v>
      </c>
      <c r="I2827" s="29">
        <f t="shared" si="2671"/>
        <v>2021</v>
      </c>
      <c r="J2827" s="1" t="s">
        <v>2934</v>
      </c>
      <c r="K2827" s="1" t="s">
        <v>7</v>
      </c>
      <c r="L2827" s="11" t="str">
        <f t="shared" ref="L2827" si="2696">IF(OR(A2827=J2827,A2827=K2827),"ДА","НЕТ")</f>
        <v>НЕТ</v>
      </c>
      <c r="M2827" s="10">
        <v>0</v>
      </c>
      <c r="N2827" s="10">
        <v>0</v>
      </c>
      <c r="O2827" s="10">
        <f>0.55+0.456</f>
        <v>1.006</v>
      </c>
      <c r="P2827" s="10">
        <f t="shared" si="2687"/>
        <v>1.006</v>
      </c>
      <c r="Q2827" s="10">
        <f t="shared" si="2688"/>
        <v>1.0680000000000001</v>
      </c>
      <c r="R2827" s="10" t="s">
        <v>1575</v>
      </c>
      <c r="S2827" s="10" t="s">
        <v>1575</v>
      </c>
      <c r="T2827" s="10" t="s">
        <v>1575</v>
      </c>
      <c r="U2827" s="10" t="s">
        <v>1575</v>
      </c>
      <c r="V2827" s="10">
        <v>0.53700000000000003</v>
      </c>
      <c r="W2827" s="10">
        <f>0.054+0.009-0.001</f>
        <v>6.2E-2</v>
      </c>
      <c r="X2827" s="10">
        <f t="shared" si="2662"/>
        <v>0.59899999999999998</v>
      </c>
      <c r="Y2827" s="10" t="str">
        <f t="shared" si="2663"/>
        <v>NA</v>
      </c>
      <c r="Z2827" s="10" t="str">
        <f t="shared" si="2664"/>
        <v>NA</v>
      </c>
      <c r="AA2827" s="10">
        <f t="shared" si="2665"/>
        <v>1.8733705772811917</v>
      </c>
      <c r="AB2827" s="10" t="str">
        <f t="shared" si="2666"/>
        <v>NA</v>
      </c>
      <c r="AC2827" s="10" t="str">
        <f t="shared" si="2667"/>
        <v>NA</v>
      </c>
      <c r="AD2827" s="10" t="str">
        <f t="shared" si="2668"/>
        <v>NA</v>
      </c>
      <c r="AE2827" s="10">
        <f t="shared" si="2669"/>
        <v>1.7829716193656096</v>
      </c>
      <c r="AF2827" s="1" t="s">
        <v>2935</v>
      </c>
    </row>
    <row r="2828" spans="1:32" x14ac:dyDescent="0.2">
      <c r="A2828" s="1" t="s">
        <v>6637</v>
      </c>
      <c r="B2828" s="1" t="s">
        <v>5</v>
      </c>
      <c r="C2828" s="1" t="s">
        <v>1575</v>
      </c>
      <c r="D2828" s="1" t="s">
        <v>1813</v>
      </c>
      <c r="E2828" s="1" t="s">
        <v>1971</v>
      </c>
      <c r="F2828" s="1" t="s">
        <v>2914</v>
      </c>
      <c r="G2828" s="4">
        <v>1</v>
      </c>
      <c r="H2828" s="28">
        <v>44133</v>
      </c>
      <c r="I2828" s="29">
        <f t="shared" si="2671"/>
        <v>2020</v>
      </c>
      <c r="J2828" s="1" t="s">
        <v>2934</v>
      </c>
      <c r="K2828" s="1" t="s">
        <v>7</v>
      </c>
      <c r="L2828" s="11" t="str">
        <f t="shared" ref="L2828" si="2697">IF(OR(A2828=J2828,A2828=K2828),"ДА","НЕТ")</f>
        <v>НЕТ</v>
      </c>
      <c r="M2828" s="10">
        <v>0</v>
      </c>
      <c r="N2828" s="10">
        <v>0</v>
      </c>
      <c r="O2828" s="10">
        <f>0.163+0.051</f>
        <v>0.214</v>
      </c>
      <c r="P2828" s="10">
        <f t="shared" si="2687"/>
        <v>0.214</v>
      </c>
      <c r="Q2828" s="10">
        <f t="shared" si="2688"/>
        <v>0.29199999999999998</v>
      </c>
      <c r="R2828" s="10" t="s">
        <v>1575</v>
      </c>
      <c r="S2828" s="10" t="s">
        <v>1575</v>
      </c>
      <c r="T2828" s="10" t="s">
        <v>1575</v>
      </c>
      <c r="U2828" s="10" t="s">
        <v>1575</v>
      </c>
      <c r="V2828" s="10">
        <v>0.34899999999999998</v>
      </c>
      <c r="W2828" s="10">
        <f>0.11-0.032</f>
        <v>7.8E-2</v>
      </c>
      <c r="X2828" s="10">
        <f t="shared" si="2662"/>
        <v>0.42699999999999999</v>
      </c>
      <c r="Y2828" s="10" t="str">
        <f t="shared" si="2663"/>
        <v>NA</v>
      </c>
      <c r="Z2828" s="10" t="str">
        <f t="shared" si="2664"/>
        <v>NA</v>
      </c>
      <c r="AA2828" s="10">
        <f t="shared" si="2665"/>
        <v>0.61318051575931232</v>
      </c>
      <c r="AB2828" s="10" t="str">
        <f t="shared" si="2666"/>
        <v>NA</v>
      </c>
      <c r="AC2828" s="10" t="str">
        <f t="shared" si="2667"/>
        <v>NA</v>
      </c>
      <c r="AD2828" s="10" t="str">
        <f t="shared" si="2668"/>
        <v>NA</v>
      </c>
      <c r="AE2828" s="10">
        <f t="shared" si="2669"/>
        <v>0.68384074941451989</v>
      </c>
      <c r="AF2828" s="1" t="s">
        <v>2936</v>
      </c>
    </row>
    <row r="2829" spans="1:32" x14ac:dyDescent="0.2">
      <c r="A2829" s="1" t="s">
        <v>2940</v>
      </c>
      <c r="B2829" s="1" t="s">
        <v>1575</v>
      </c>
      <c r="C2829" s="1" t="s">
        <v>1575</v>
      </c>
      <c r="D2829" s="1" t="s">
        <v>1813</v>
      </c>
      <c r="E2829" s="1" t="s">
        <v>1971</v>
      </c>
      <c r="F2829" s="1" t="s">
        <v>2914</v>
      </c>
      <c r="G2829" s="4">
        <v>1</v>
      </c>
      <c r="H2829" s="28">
        <v>44372</v>
      </c>
      <c r="I2829" s="29">
        <f t="shared" si="2671"/>
        <v>2021</v>
      </c>
      <c r="J2829" s="1" t="s">
        <v>2941</v>
      </c>
      <c r="K2829" s="1" t="s">
        <v>2934</v>
      </c>
      <c r="L2829" s="11" t="str">
        <f t="shared" ref="L2829" si="2698">IF(OR(A2829=J2829,A2829=K2829),"ДА","НЕТ")</f>
        <v>НЕТ</v>
      </c>
      <c r="M2829" s="10">
        <v>0</v>
      </c>
      <c r="N2829" s="10">
        <v>0</v>
      </c>
      <c r="O2829" s="10" t="s">
        <v>1575</v>
      </c>
      <c r="P2829" s="10" t="str">
        <f t="shared" si="2687"/>
        <v>NA</v>
      </c>
      <c r="Q2829" s="10" t="str">
        <f t="shared" si="2688"/>
        <v>NA</v>
      </c>
      <c r="R2829" s="10" t="s">
        <v>1575</v>
      </c>
      <c r="S2829" s="10" t="s">
        <v>1575</v>
      </c>
      <c r="T2829" s="10" t="s">
        <v>1575</v>
      </c>
      <c r="U2829" s="10" t="s">
        <v>1575</v>
      </c>
      <c r="V2829" s="10">
        <v>0.434</v>
      </c>
      <c r="W2829" s="10">
        <f>-0.104-0.012</f>
        <v>-0.11599999999999999</v>
      </c>
      <c r="X2829" s="10">
        <f t="shared" si="2662"/>
        <v>0.318</v>
      </c>
      <c r="Y2829" s="10" t="str">
        <f t="shared" si="2663"/>
        <v>NA</v>
      </c>
      <c r="Z2829" s="10" t="str">
        <f t="shared" si="2664"/>
        <v>NA</v>
      </c>
      <c r="AA2829" s="10" t="str">
        <f t="shared" si="2665"/>
        <v>NA</v>
      </c>
      <c r="AB2829" s="10" t="str">
        <f t="shared" si="2666"/>
        <v>NA</v>
      </c>
      <c r="AC2829" s="10" t="str">
        <f t="shared" si="2667"/>
        <v>NA</v>
      </c>
      <c r="AD2829" s="10" t="str">
        <f t="shared" si="2668"/>
        <v>NA</v>
      </c>
      <c r="AE2829" s="10" t="str">
        <f t="shared" si="2669"/>
        <v>NA</v>
      </c>
      <c r="AF2829" s="1" t="s">
        <v>2937</v>
      </c>
    </row>
    <row r="2830" spans="1:32" x14ac:dyDescent="0.2">
      <c r="A2830" s="1" t="s">
        <v>6638</v>
      </c>
      <c r="B2830" s="1" t="s">
        <v>5</v>
      </c>
      <c r="C2830" s="1" t="s">
        <v>1575</v>
      </c>
      <c r="D2830" s="1" t="s">
        <v>1813</v>
      </c>
      <c r="E2830" s="1" t="s">
        <v>1971</v>
      </c>
      <c r="F2830" s="1" t="s">
        <v>2914</v>
      </c>
      <c r="G2830" s="4">
        <v>1</v>
      </c>
      <c r="H2830" s="28">
        <v>44469</v>
      </c>
      <c r="I2830" s="29">
        <f t="shared" si="2671"/>
        <v>2021</v>
      </c>
      <c r="J2830" s="1" t="s">
        <v>6639</v>
      </c>
      <c r="K2830" s="1" t="s">
        <v>2934</v>
      </c>
      <c r="L2830" s="11" t="str">
        <f t="shared" ref="L2830:L2832" si="2699">IF(OR(A2830=J2830,A2830=K2830),"ДА","НЕТ")</f>
        <v>НЕТ</v>
      </c>
      <c r="M2830" s="10">
        <v>0</v>
      </c>
      <c r="N2830" s="10">
        <v>0</v>
      </c>
      <c r="O2830" s="10" t="s">
        <v>1575</v>
      </c>
      <c r="P2830" s="10" t="str">
        <f t="shared" si="2687"/>
        <v>NA</v>
      </c>
      <c r="Q2830" s="10" t="str">
        <f t="shared" si="2688"/>
        <v>NA</v>
      </c>
      <c r="R2830" s="10" t="s">
        <v>1575</v>
      </c>
      <c r="S2830" s="10" t="s">
        <v>1575</v>
      </c>
      <c r="T2830" s="10" t="s">
        <v>1575</v>
      </c>
      <c r="U2830" s="10" t="s">
        <v>1575</v>
      </c>
      <c r="V2830" s="10">
        <v>1.075</v>
      </c>
      <c r="W2830" s="10">
        <f>0-0.001</f>
        <v>-1E-3</v>
      </c>
      <c r="X2830" s="10">
        <f t="shared" si="2662"/>
        <v>1.0740000000000001</v>
      </c>
      <c r="Y2830" s="10" t="str">
        <f t="shared" si="2663"/>
        <v>NA</v>
      </c>
      <c r="Z2830" s="10" t="str">
        <f t="shared" si="2664"/>
        <v>NA</v>
      </c>
      <c r="AA2830" s="10" t="str">
        <f t="shared" si="2665"/>
        <v>NA</v>
      </c>
      <c r="AB2830" s="10" t="str">
        <f t="shared" si="2666"/>
        <v>NA</v>
      </c>
      <c r="AC2830" s="10" t="str">
        <f t="shared" si="2667"/>
        <v>NA</v>
      </c>
      <c r="AD2830" s="10" t="str">
        <f t="shared" si="2668"/>
        <v>NA</v>
      </c>
      <c r="AE2830" s="10" t="str">
        <f t="shared" si="2669"/>
        <v>NA</v>
      </c>
      <c r="AF2830" s="1" t="s">
        <v>2938</v>
      </c>
    </row>
    <row r="2831" spans="1:32" x14ac:dyDescent="0.2">
      <c r="A2831" s="1" t="s">
        <v>2943</v>
      </c>
      <c r="B2831" s="1" t="s">
        <v>179</v>
      </c>
      <c r="C2831" s="1" t="s">
        <v>1575</v>
      </c>
      <c r="D2831" s="1" t="s">
        <v>1615</v>
      </c>
      <c r="E2831" s="1" t="s">
        <v>5352</v>
      </c>
      <c r="F2831" s="1" t="s">
        <v>1746</v>
      </c>
      <c r="G2831" s="4">
        <v>1</v>
      </c>
      <c r="H2831" s="28">
        <v>44286</v>
      </c>
      <c r="I2831" s="29">
        <f t="shared" si="2671"/>
        <v>2021</v>
      </c>
      <c r="J2831" s="1" t="s">
        <v>2942</v>
      </c>
      <c r="K2831" s="1" t="s">
        <v>2934</v>
      </c>
      <c r="L2831" s="11" t="str">
        <f t="shared" si="2699"/>
        <v>НЕТ</v>
      </c>
      <c r="M2831" s="10">
        <v>0</v>
      </c>
      <c r="N2831" s="10">
        <v>0</v>
      </c>
      <c r="O2831" s="10" t="s">
        <v>1575</v>
      </c>
      <c r="P2831" s="10" t="str">
        <f t="shared" si="2687"/>
        <v>NA</v>
      </c>
      <c r="Q2831" s="10" t="str">
        <f t="shared" si="2688"/>
        <v>NA</v>
      </c>
      <c r="R2831" s="10" t="s">
        <v>1575</v>
      </c>
      <c r="S2831" s="10" t="s">
        <v>1575</v>
      </c>
      <c r="T2831" s="10" t="s">
        <v>1575</v>
      </c>
      <c r="U2831" s="10" t="s">
        <v>1575</v>
      </c>
      <c r="V2831" s="10">
        <v>0.86599999999999999</v>
      </c>
      <c r="W2831" s="10">
        <v>0</v>
      </c>
      <c r="X2831" s="10">
        <f t="shared" si="2662"/>
        <v>0.86599999999999999</v>
      </c>
      <c r="Y2831" s="10" t="str">
        <f t="shared" si="2663"/>
        <v>NA</v>
      </c>
      <c r="Z2831" s="10" t="str">
        <f t="shared" si="2664"/>
        <v>NA</v>
      </c>
      <c r="AA2831" s="10" t="str">
        <f t="shared" si="2665"/>
        <v>NA</v>
      </c>
      <c r="AB2831" s="10" t="str">
        <f t="shared" si="2666"/>
        <v>NA</v>
      </c>
      <c r="AC2831" s="10" t="str">
        <f t="shared" si="2667"/>
        <v>NA</v>
      </c>
      <c r="AD2831" s="10" t="str">
        <f t="shared" si="2668"/>
        <v>NA</v>
      </c>
      <c r="AE2831" s="10" t="str">
        <f t="shared" si="2669"/>
        <v>NA</v>
      </c>
      <c r="AF2831" s="1" t="s">
        <v>2939</v>
      </c>
    </row>
    <row r="2832" spans="1:32" x14ac:dyDescent="0.2">
      <c r="A2832" s="1" t="s">
        <v>6640</v>
      </c>
      <c r="B2832" s="1" t="s">
        <v>5</v>
      </c>
      <c r="C2832" s="1" t="s">
        <v>1575</v>
      </c>
      <c r="D2832" s="1" t="s">
        <v>1813</v>
      </c>
      <c r="E2832" s="1" t="s">
        <v>1587</v>
      </c>
      <c r="F2832" s="1" t="s">
        <v>2945</v>
      </c>
      <c r="G2832" s="4">
        <v>1</v>
      </c>
      <c r="H2832" s="28">
        <v>43697</v>
      </c>
      <c r="I2832" s="29">
        <f t="shared" si="2671"/>
        <v>2019</v>
      </c>
      <c r="J2832" s="1" t="s">
        <v>2934</v>
      </c>
      <c r="K2832" s="1" t="s">
        <v>7</v>
      </c>
      <c r="L2832" s="11" t="str">
        <f t="shared" si="2699"/>
        <v>НЕТ</v>
      </c>
      <c r="M2832" s="10">
        <v>0</v>
      </c>
      <c r="N2832" s="10">
        <v>0</v>
      </c>
      <c r="O2832" s="10">
        <f>0.03+0.046</f>
        <v>7.5999999999999998E-2</v>
      </c>
      <c r="P2832" s="10">
        <f t="shared" si="2687"/>
        <v>7.5999999999999998E-2</v>
      </c>
      <c r="Q2832" s="10">
        <f t="shared" si="2688"/>
        <v>9.5000000000000001E-2</v>
      </c>
      <c r="R2832" s="10" t="s">
        <v>1575</v>
      </c>
      <c r="S2832" s="10" t="s">
        <v>1575</v>
      </c>
      <c r="T2832" s="10" t="s">
        <v>1575</v>
      </c>
      <c r="U2832" s="10" t="s">
        <v>1575</v>
      </c>
      <c r="V2832" s="10">
        <v>2.1000000000000001E-2</v>
      </c>
      <c r="W2832" s="10">
        <f>0.007+0.013-0.001</f>
        <v>1.9E-2</v>
      </c>
      <c r="X2832" s="10">
        <f t="shared" si="2662"/>
        <v>0.04</v>
      </c>
      <c r="Y2832" s="10" t="str">
        <f t="shared" si="2663"/>
        <v>NA</v>
      </c>
      <c r="Z2832" s="10" t="str">
        <f t="shared" si="2664"/>
        <v>NA</v>
      </c>
      <c r="AA2832" s="10">
        <f t="shared" si="2665"/>
        <v>3.6190476190476186</v>
      </c>
      <c r="AB2832" s="10" t="str">
        <f t="shared" si="2666"/>
        <v>NA</v>
      </c>
      <c r="AC2832" s="10" t="str">
        <f t="shared" si="2667"/>
        <v>NA</v>
      </c>
      <c r="AD2832" s="10" t="str">
        <f t="shared" si="2668"/>
        <v>NA</v>
      </c>
      <c r="AE2832" s="10">
        <f t="shared" si="2669"/>
        <v>2.375</v>
      </c>
      <c r="AF2832" s="1" t="s">
        <v>2944</v>
      </c>
    </row>
    <row r="2833" spans="1:32" x14ac:dyDescent="0.2">
      <c r="A2833" s="1" t="s">
        <v>5206</v>
      </c>
      <c r="B2833" s="1" t="s">
        <v>5</v>
      </c>
      <c r="C2833" s="1" t="s">
        <v>1575</v>
      </c>
      <c r="D2833" s="1" t="s">
        <v>1813</v>
      </c>
      <c r="E2833" s="1" t="s">
        <v>4235</v>
      </c>
      <c r="F2833" s="1" t="s">
        <v>5211</v>
      </c>
      <c r="G2833" s="4">
        <v>0.8</v>
      </c>
      <c r="H2833" s="28">
        <v>45443</v>
      </c>
      <c r="I2833" s="29">
        <f t="shared" si="2671"/>
        <v>2024</v>
      </c>
      <c r="J2833" s="1" t="s">
        <v>5207</v>
      </c>
      <c r="K2833" s="1" t="s">
        <v>7</v>
      </c>
      <c r="L2833" s="11" t="str">
        <f t="shared" ref="L2833" si="2700">IF(OR(A2833=J2833,A2833=K2833),"ДА","НЕТ")</f>
        <v>НЕТ</v>
      </c>
      <c r="M2833" s="10">
        <v>0</v>
      </c>
      <c r="N2833" s="10">
        <v>0</v>
      </c>
      <c r="O2833" s="10">
        <v>0.43436900000000001</v>
      </c>
      <c r="P2833" s="10">
        <f t="shared" si="2687"/>
        <v>0.54296124999999995</v>
      </c>
      <c r="Q2833" s="10">
        <f t="shared" si="2688"/>
        <v>0.50037224999999996</v>
      </c>
      <c r="R2833" s="10" t="s">
        <v>1575</v>
      </c>
      <c r="S2833" s="10" t="s">
        <v>1575</v>
      </c>
      <c r="T2833" s="10" t="s">
        <v>1575</v>
      </c>
      <c r="U2833" s="10" t="s">
        <v>1575</v>
      </c>
      <c r="V2833" s="10">
        <v>0.38636900000000002</v>
      </c>
      <c r="W2833" s="10">
        <f>0.011165-0.052219-0.001535</f>
        <v>-4.2589000000000002E-2</v>
      </c>
      <c r="X2833" s="10">
        <f t="shared" ref="X2833:X2843" si="2701">IFERROR(V2833+W2833,"NA")</f>
        <v>0.34378000000000003</v>
      </c>
      <c r="Y2833" s="10" t="str">
        <f t="shared" ref="Y2833:Y2843" si="2702">IFERROR(P2833/R2833,"NA")</f>
        <v>NA</v>
      </c>
      <c r="Z2833" s="10" t="str">
        <f t="shared" ref="Z2833:Z2843" si="2703">IFERROR(P2833/U2833,"NA")</f>
        <v>NA</v>
      </c>
      <c r="AA2833" s="10">
        <f t="shared" ref="AA2833:AA2843" si="2704">IFERROR(P2833/V2833,"NA")</f>
        <v>1.4052919618292357</v>
      </c>
      <c r="AB2833" s="10" t="str">
        <f t="shared" ref="AB2833:AB2843" si="2705">IFERROR(Q2833/R2833,"NA")</f>
        <v>NA</v>
      </c>
      <c r="AC2833" s="10" t="str">
        <f t="shared" ref="AC2833:AC2843" si="2706">IFERROR(Q2833/S2833,"NA")</f>
        <v>NA</v>
      </c>
      <c r="AD2833" s="10" t="str">
        <f t="shared" ref="AD2833:AD2843" si="2707">IFERROR(Q2833/T2833,"NA")</f>
        <v>NA</v>
      </c>
      <c r="AE2833" s="10">
        <f t="shared" ref="AE2833:AE2843" si="2708">IFERROR(Q2833/X2833,"NA")</f>
        <v>1.4555013380650415</v>
      </c>
      <c r="AF2833" s="1" t="s">
        <v>5208</v>
      </c>
    </row>
    <row r="2834" spans="1:32" x14ac:dyDescent="0.2">
      <c r="A2834" s="1" t="s">
        <v>5213</v>
      </c>
      <c r="B2834" s="1" t="s">
        <v>5</v>
      </c>
      <c r="C2834" s="1" t="s">
        <v>1575</v>
      </c>
      <c r="D2834" s="1" t="s">
        <v>1813</v>
      </c>
      <c r="E2834" s="1" t="s">
        <v>4235</v>
      </c>
      <c r="F2834" s="1" t="s">
        <v>5211</v>
      </c>
      <c r="G2834" s="4">
        <v>0.8</v>
      </c>
      <c r="H2834" s="28">
        <v>45443</v>
      </c>
      <c r="I2834" s="29">
        <f t="shared" ref="I2834" si="2709">YEAR(H2834)</f>
        <v>2024</v>
      </c>
      <c r="J2834" s="1" t="s">
        <v>5207</v>
      </c>
      <c r="K2834" s="1" t="s">
        <v>7</v>
      </c>
      <c r="L2834" s="11" t="str">
        <f t="shared" ref="L2834" si="2710">IF(OR(A2834=J2834,A2834=K2834),"ДА","НЕТ")</f>
        <v>НЕТ</v>
      </c>
      <c r="M2834" s="10">
        <v>0</v>
      </c>
      <c r="N2834" s="10">
        <v>0</v>
      </c>
      <c r="O2834" s="10" t="s">
        <v>1575</v>
      </c>
      <c r="P2834" s="10" t="str">
        <f t="shared" si="2687"/>
        <v>NA</v>
      </c>
      <c r="Q2834" s="10" t="str">
        <f t="shared" si="2688"/>
        <v>NA</v>
      </c>
      <c r="R2834" s="10" t="s">
        <v>1575</v>
      </c>
      <c r="S2834" s="10" t="s">
        <v>1575</v>
      </c>
      <c r="T2834" s="10" t="s">
        <v>1575</v>
      </c>
      <c r="U2834" s="10" t="s">
        <v>1575</v>
      </c>
      <c r="V2834" s="10" t="s">
        <v>1575</v>
      </c>
      <c r="W2834" s="10" t="s">
        <v>1575</v>
      </c>
      <c r="X2834" s="10" t="str">
        <f t="shared" ref="X2834" si="2711">IFERROR(V2834+W2834,"NA")</f>
        <v>NA</v>
      </c>
      <c r="Y2834" s="10" t="str">
        <f t="shared" ref="Y2834" si="2712">IFERROR(P2834/R2834,"NA")</f>
        <v>NA</v>
      </c>
      <c r="Z2834" s="10" t="str">
        <f t="shared" ref="Z2834" si="2713">IFERROR(P2834/U2834,"NA")</f>
        <v>NA</v>
      </c>
      <c r="AA2834" s="10" t="str">
        <f t="shared" ref="AA2834" si="2714">IFERROR(P2834/V2834,"NA")</f>
        <v>NA</v>
      </c>
      <c r="AB2834" s="10" t="str">
        <f t="shared" ref="AB2834" si="2715">IFERROR(Q2834/R2834,"NA")</f>
        <v>NA</v>
      </c>
      <c r="AC2834" s="10" t="str">
        <f t="shared" ref="AC2834" si="2716">IFERROR(Q2834/S2834,"NA")</f>
        <v>NA</v>
      </c>
      <c r="AD2834" s="10" t="str">
        <f t="shared" ref="AD2834" si="2717">IFERROR(Q2834/T2834,"NA")</f>
        <v>NA</v>
      </c>
      <c r="AE2834" s="10" t="str">
        <f t="shared" ref="AE2834" si="2718">IFERROR(Q2834/X2834,"NA")</f>
        <v>NA</v>
      </c>
    </row>
    <row r="2835" spans="1:32" x14ac:dyDescent="0.2">
      <c r="A2835" s="1" t="s">
        <v>5210</v>
      </c>
      <c r="B2835" s="1" t="s">
        <v>5</v>
      </c>
      <c r="C2835" s="1" t="s">
        <v>1575</v>
      </c>
      <c r="D2835" s="1" t="s">
        <v>1813</v>
      </c>
      <c r="E2835" s="1" t="s">
        <v>1821</v>
      </c>
      <c r="F2835" s="1" t="s">
        <v>5212</v>
      </c>
      <c r="G2835" s="4">
        <v>0.8</v>
      </c>
      <c r="H2835" s="28">
        <v>45473</v>
      </c>
      <c r="I2835" s="29">
        <f t="shared" si="2671"/>
        <v>2024</v>
      </c>
      <c r="J2835" s="1" t="s">
        <v>5207</v>
      </c>
      <c r="K2835" s="1" t="s">
        <v>7</v>
      </c>
      <c r="L2835" s="11" t="str">
        <f t="shared" ref="L2835:L2836" si="2719">IF(OR(A2835=J2835,A2835=K2835),"ДА","НЕТ")</f>
        <v>НЕТ</v>
      </c>
      <c r="M2835" s="10">
        <v>0</v>
      </c>
      <c r="N2835" s="10">
        <v>0</v>
      </c>
      <c r="O2835" s="10">
        <v>3.5999999999999997E-2</v>
      </c>
      <c r="P2835" s="10">
        <f t="shared" si="2687"/>
        <v>4.4999999999999991E-2</v>
      </c>
      <c r="Q2835" s="10">
        <f t="shared" si="2688"/>
        <v>4.3237999999999992E-2</v>
      </c>
      <c r="R2835" s="10" t="s">
        <v>1575</v>
      </c>
      <c r="S2835" s="10" t="s">
        <v>1575</v>
      </c>
      <c r="T2835" s="10" t="s">
        <v>1575</v>
      </c>
      <c r="U2835" s="10" t="s">
        <v>1575</v>
      </c>
      <c r="V2835" s="10">
        <v>5.8872000000000001E-2</v>
      </c>
      <c r="W2835" s="10">
        <f>0-0.001762</f>
        <v>-1.7619999999999999E-3</v>
      </c>
      <c r="X2835" s="10">
        <f t="shared" si="2701"/>
        <v>5.7110000000000001E-2</v>
      </c>
      <c r="Y2835" s="10" t="str">
        <f t="shared" si="2702"/>
        <v>NA</v>
      </c>
      <c r="Z2835" s="10" t="str">
        <f t="shared" si="2703"/>
        <v>NA</v>
      </c>
      <c r="AA2835" s="10">
        <f t="shared" si="2704"/>
        <v>0.76437015898899296</v>
      </c>
      <c r="AB2835" s="10" t="str">
        <f t="shared" si="2705"/>
        <v>NA</v>
      </c>
      <c r="AC2835" s="10" t="str">
        <f t="shared" si="2706"/>
        <v>NA</v>
      </c>
      <c r="AD2835" s="10" t="str">
        <f t="shared" si="2707"/>
        <v>NA</v>
      </c>
      <c r="AE2835" s="10">
        <f t="shared" si="2708"/>
        <v>0.75710033269129728</v>
      </c>
      <c r="AF2835" s="1" t="s">
        <v>5209</v>
      </c>
    </row>
    <row r="2836" spans="1:32" x14ac:dyDescent="0.2">
      <c r="A2836" s="1" t="s">
        <v>5214</v>
      </c>
      <c r="B2836" s="1" t="s">
        <v>5</v>
      </c>
      <c r="C2836" s="1" t="s">
        <v>1575</v>
      </c>
      <c r="D2836" s="1" t="s">
        <v>1813</v>
      </c>
      <c r="E2836" s="1" t="s">
        <v>1821</v>
      </c>
      <c r="F2836" s="1" t="s">
        <v>5216</v>
      </c>
      <c r="G2836" s="4">
        <v>7.4999999999999997E-2</v>
      </c>
      <c r="H2836" s="28">
        <v>45291</v>
      </c>
      <c r="I2836" s="29">
        <f t="shared" ref="I2836" si="2720">YEAR(H2836)</f>
        <v>2023</v>
      </c>
      <c r="J2836" s="1" t="s">
        <v>5207</v>
      </c>
      <c r="K2836" s="1" t="s">
        <v>7</v>
      </c>
      <c r="L2836" s="11" t="str">
        <f t="shared" si="2719"/>
        <v>НЕТ</v>
      </c>
      <c r="M2836" s="10">
        <v>0</v>
      </c>
      <c r="N2836" s="10">
        <v>0</v>
      </c>
      <c r="O2836" s="10">
        <v>0.05</v>
      </c>
      <c r="P2836" s="10">
        <f t="shared" si="2687"/>
        <v>0.66666666666666674</v>
      </c>
      <c r="Q2836" s="10">
        <f t="shared" si="2688"/>
        <v>0.74037366666666671</v>
      </c>
      <c r="R2836" s="10" t="s">
        <v>1575</v>
      </c>
      <c r="S2836" s="10" t="s">
        <v>1575</v>
      </c>
      <c r="T2836" s="10" t="s">
        <v>1575</v>
      </c>
      <c r="U2836" s="10" t="s">
        <v>1575</v>
      </c>
      <c r="V2836" s="10">
        <v>0.45652599999999999</v>
      </c>
      <c r="W2836" s="10">
        <f>0.12316-0.049453</f>
        <v>7.3707000000000009E-2</v>
      </c>
      <c r="X2836" s="10">
        <f t="shared" ref="X2836" si="2721">IFERROR(V2836+W2836,"NA")</f>
        <v>0.53023299999999995</v>
      </c>
      <c r="Y2836" s="10" t="str">
        <f t="shared" ref="Y2836" si="2722">IFERROR(P2836/R2836,"NA")</f>
        <v>NA</v>
      </c>
      <c r="Z2836" s="10" t="str">
        <f t="shared" ref="Z2836" si="2723">IFERROR(P2836/U2836,"NA")</f>
        <v>NA</v>
      </c>
      <c r="AA2836" s="10">
        <f t="shared" ref="AA2836" si="2724">IFERROR(P2836/V2836,"NA")</f>
        <v>1.4603038308150396</v>
      </c>
      <c r="AB2836" s="10" t="str">
        <f t="shared" ref="AB2836" si="2725">IFERROR(Q2836/R2836,"NA")</f>
        <v>NA</v>
      </c>
      <c r="AC2836" s="10" t="str">
        <f t="shared" ref="AC2836" si="2726">IFERROR(Q2836/S2836,"NA")</f>
        <v>NA</v>
      </c>
      <c r="AD2836" s="10" t="str">
        <f t="shared" ref="AD2836" si="2727">IFERROR(Q2836/T2836,"NA")</f>
        <v>NA</v>
      </c>
      <c r="AE2836" s="10">
        <f t="shared" ref="AE2836" si="2728">IFERROR(Q2836/X2836,"NA")</f>
        <v>1.396317593711947</v>
      </c>
      <c r="AF2836" s="1" t="s">
        <v>5224</v>
      </c>
    </row>
    <row r="2837" spans="1:32" x14ac:dyDescent="0.2">
      <c r="A2837" s="1" t="s">
        <v>5214</v>
      </c>
      <c r="B2837" s="1" t="s">
        <v>5</v>
      </c>
      <c r="C2837" s="1" t="s">
        <v>1575</v>
      </c>
      <c r="D2837" s="1" t="s">
        <v>1813</v>
      </c>
      <c r="E2837" s="1" t="s">
        <v>1821</v>
      </c>
      <c r="F2837" s="1" t="s">
        <v>5216</v>
      </c>
      <c r="G2837" s="4">
        <v>7.4999999999999997E-2</v>
      </c>
      <c r="H2837" s="28">
        <v>45138</v>
      </c>
      <c r="I2837" s="29">
        <f t="shared" si="2671"/>
        <v>2023</v>
      </c>
      <c r="J2837" s="1" t="s">
        <v>5207</v>
      </c>
      <c r="K2837" s="1" t="s">
        <v>7</v>
      </c>
      <c r="L2837" s="11" t="str">
        <f t="shared" ref="L2837" si="2729">IF(OR(A2837=J2837,A2837=K2837),"ДА","НЕТ")</f>
        <v>НЕТ</v>
      </c>
      <c r="M2837" s="10">
        <v>0</v>
      </c>
      <c r="N2837" s="10">
        <v>0</v>
      </c>
      <c r="O2837" s="10" t="s">
        <v>1575</v>
      </c>
      <c r="P2837" s="10" t="str">
        <f t="shared" si="2687"/>
        <v>NA</v>
      </c>
      <c r="Q2837" s="10" t="str">
        <f t="shared" si="2688"/>
        <v>NA</v>
      </c>
      <c r="R2837" s="10" t="s">
        <v>1575</v>
      </c>
      <c r="S2837" s="10" t="s">
        <v>1575</v>
      </c>
      <c r="T2837" s="10" t="s">
        <v>1575</v>
      </c>
      <c r="U2837" s="10" t="s">
        <v>1575</v>
      </c>
      <c r="V2837" s="10">
        <v>0.45652599999999999</v>
      </c>
      <c r="W2837" s="10">
        <f>0.12316-0.049453</f>
        <v>7.3707000000000009E-2</v>
      </c>
      <c r="X2837" s="10">
        <f t="shared" si="2701"/>
        <v>0.53023299999999995</v>
      </c>
      <c r="Y2837" s="10" t="str">
        <f t="shared" si="2702"/>
        <v>NA</v>
      </c>
      <c r="Z2837" s="10" t="str">
        <f t="shared" si="2703"/>
        <v>NA</v>
      </c>
      <c r="AA2837" s="10" t="str">
        <f t="shared" si="2704"/>
        <v>NA</v>
      </c>
      <c r="AB2837" s="10" t="str">
        <f t="shared" si="2705"/>
        <v>NA</v>
      </c>
      <c r="AC2837" s="10" t="str">
        <f t="shared" si="2706"/>
        <v>NA</v>
      </c>
      <c r="AD2837" s="10" t="str">
        <f t="shared" si="2707"/>
        <v>NA</v>
      </c>
      <c r="AE2837" s="10" t="str">
        <f t="shared" si="2708"/>
        <v>NA</v>
      </c>
      <c r="AF2837" s="1" t="s">
        <v>5215</v>
      </c>
    </row>
    <row r="2838" spans="1:32" x14ac:dyDescent="0.2">
      <c r="A2838" s="1" t="s">
        <v>5217</v>
      </c>
      <c r="B2838" s="1" t="s">
        <v>5</v>
      </c>
      <c r="C2838" s="1" t="s">
        <v>1575</v>
      </c>
      <c r="D2838" s="1" t="s">
        <v>1813</v>
      </c>
      <c r="E2838" s="1" t="s">
        <v>1821</v>
      </c>
      <c r="F2838" s="1" t="s">
        <v>5220</v>
      </c>
      <c r="G2838" s="4">
        <v>0.70199999999999996</v>
      </c>
      <c r="H2838" s="28">
        <v>45230</v>
      </c>
      <c r="I2838" s="29">
        <f t="shared" si="2671"/>
        <v>2023</v>
      </c>
      <c r="J2838" s="1" t="s">
        <v>5207</v>
      </c>
      <c r="K2838" s="1" t="s">
        <v>7</v>
      </c>
      <c r="L2838" s="11" t="str">
        <f t="shared" ref="L2838" si="2730">IF(OR(A2838=J2838,A2838=K2838),"ДА","НЕТ")</f>
        <v>НЕТ</v>
      </c>
      <c r="M2838" s="10">
        <v>0</v>
      </c>
      <c r="N2838" s="10">
        <v>0</v>
      </c>
      <c r="O2838" s="10">
        <v>6.9999999999999999E-6</v>
      </c>
      <c r="P2838" s="10">
        <f t="shared" si="2687"/>
        <v>9.9715099715099723E-6</v>
      </c>
      <c r="Q2838" s="10">
        <f t="shared" si="2688"/>
        <v>7.5089715099715152E-3</v>
      </c>
      <c r="R2838" s="10" t="s">
        <v>1575</v>
      </c>
      <c r="S2838" s="10" t="s">
        <v>1575</v>
      </c>
      <c r="T2838" s="10" t="s">
        <v>1575</v>
      </c>
      <c r="U2838" s="10" t="s">
        <v>1575</v>
      </c>
      <c r="V2838" s="10">
        <v>0.25256400000000001</v>
      </c>
      <c r="W2838" s="10">
        <f>0.06038+0.060987-0.113868</f>
        <v>7.4990000000000057E-3</v>
      </c>
      <c r="X2838" s="10">
        <f t="shared" si="2701"/>
        <v>0.26006300000000004</v>
      </c>
      <c r="Y2838" s="10" t="str">
        <f t="shared" si="2702"/>
        <v>NA</v>
      </c>
      <c r="Z2838" s="10" t="str">
        <f t="shared" si="2703"/>
        <v>NA</v>
      </c>
      <c r="AA2838" s="10">
        <f t="shared" si="2704"/>
        <v>3.9481121503895931E-5</v>
      </c>
      <c r="AB2838" s="10" t="str">
        <f t="shared" si="2705"/>
        <v>NA</v>
      </c>
      <c r="AC2838" s="10" t="str">
        <f t="shared" si="2706"/>
        <v>NA</v>
      </c>
      <c r="AD2838" s="10" t="str">
        <f t="shared" si="2707"/>
        <v>NA</v>
      </c>
      <c r="AE2838" s="10">
        <f t="shared" si="2708"/>
        <v>2.8873663343003481E-2</v>
      </c>
      <c r="AF2838" s="1" t="s">
        <v>5218</v>
      </c>
    </row>
    <row r="2839" spans="1:32" x14ac:dyDescent="0.2">
      <c r="A2839" s="1" t="s">
        <v>5219</v>
      </c>
      <c r="B2839" s="1" t="s">
        <v>5</v>
      </c>
      <c r="C2839" s="1" t="s">
        <v>1575</v>
      </c>
      <c r="D2839" s="1" t="s">
        <v>1813</v>
      </c>
      <c r="E2839" s="1" t="s">
        <v>1821</v>
      </c>
      <c r="F2839" s="1" t="s">
        <v>5222</v>
      </c>
      <c r="G2839" s="4">
        <v>0.26</v>
      </c>
      <c r="H2839" s="28">
        <v>45169</v>
      </c>
      <c r="I2839" s="29">
        <f t="shared" si="2671"/>
        <v>2023</v>
      </c>
      <c r="J2839" s="1" t="s">
        <v>5207</v>
      </c>
      <c r="K2839" s="1" t="s">
        <v>7</v>
      </c>
      <c r="L2839" s="11" t="str">
        <f t="shared" ref="L2839" si="2731">IF(OR(A2839=J2839,A2839=K2839),"ДА","НЕТ")</f>
        <v>НЕТ</v>
      </c>
      <c r="M2839" s="10">
        <v>0</v>
      </c>
      <c r="N2839" s="10">
        <v>0</v>
      </c>
      <c r="O2839" s="10">
        <v>8.7999999999999998E-5</v>
      </c>
      <c r="P2839" s="10">
        <f t="shared" si="2687"/>
        <v>3.3846153846153846E-4</v>
      </c>
      <c r="Q2839" s="10">
        <f t="shared" si="2688"/>
        <v>-3.8665538461538466E-2</v>
      </c>
      <c r="R2839" s="10" t="s">
        <v>1575</v>
      </c>
      <c r="S2839" s="10" t="s">
        <v>1575</v>
      </c>
      <c r="T2839" s="10" t="s">
        <v>1575</v>
      </c>
      <c r="U2839" s="10" t="s">
        <v>1575</v>
      </c>
      <c r="V2839" s="10">
        <v>0.169683</v>
      </c>
      <c r="W2839" s="10">
        <f>0.020897-0.059901</f>
        <v>-3.9004000000000004E-2</v>
      </c>
      <c r="X2839" s="10">
        <f t="shared" si="2701"/>
        <v>0.13067899999999999</v>
      </c>
      <c r="Y2839" s="10" t="str">
        <f t="shared" si="2702"/>
        <v>NA</v>
      </c>
      <c r="Z2839" s="10" t="str">
        <f t="shared" si="2703"/>
        <v>NA</v>
      </c>
      <c r="AA2839" s="10">
        <f t="shared" si="2704"/>
        <v>1.9946696985646086E-3</v>
      </c>
      <c r="AB2839" s="10" t="str">
        <f t="shared" si="2705"/>
        <v>NA</v>
      </c>
      <c r="AC2839" s="10" t="str">
        <f t="shared" si="2706"/>
        <v>NA</v>
      </c>
      <c r="AD2839" s="10" t="str">
        <f t="shared" si="2707"/>
        <v>NA</v>
      </c>
      <c r="AE2839" s="10">
        <f t="shared" si="2708"/>
        <v>-0.29588180550462179</v>
      </c>
      <c r="AF2839" s="1" t="s">
        <v>5221</v>
      </c>
    </row>
    <row r="2840" spans="1:32" x14ac:dyDescent="0.2">
      <c r="A2840" s="1" t="s">
        <v>5225</v>
      </c>
      <c r="B2840" s="1" t="s">
        <v>5</v>
      </c>
      <c r="C2840" s="1" t="s">
        <v>1575</v>
      </c>
      <c r="D2840" s="1" t="s">
        <v>1813</v>
      </c>
      <c r="E2840" s="1" t="s">
        <v>4235</v>
      </c>
      <c r="F2840" s="1" t="s">
        <v>5226</v>
      </c>
      <c r="G2840" s="4">
        <v>0.11</v>
      </c>
      <c r="H2840" s="28">
        <v>44985</v>
      </c>
      <c r="I2840" s="29">
        <f t="shared" si="2671"/>
        <v>2023</v>
      </c>
      <c r="J2840" s="1" t="s">
        <v>5207</v>
      </c>
      <c r="K2840" s="1" t="s">
        <v>7</v>
      </c>
      <c r="L2840" s="11" t="str">
        <f t="shared" ref="L2840" si="2732">IF(OR(A2840=J2840,A2840=K2840),"ДА","НЕТ")</f>
        <v>НЕТ</v>
      </c>
      <c r="M2840" s="10">
        <v>0</v>
      </c>
      <c r="N2840" s="10">
        <v>0</v>
      </c>
      <c r="O2840" s="10">
        <v>1.1605000000000001E-2</v>
      </c>
      <c r="P2840" s="10">
        <f t="shared" si="2687"/>
        <v>0.10550000000000001</v>
      </c>
      <c r="Q2840" s="10" t="str">
        <f t="shared" si="2688"/>
        <v>NA</v>
      </c>
      <c r="R2840" s="10" t="s">
        <v>1575</v>
      </c>
      <c r="S2840" s="10" t="s">
        <v>1575</v>
      </c>
      <c r="T2840" s="10" t="s">
        <v>1575</v>
      </c>
      <c r="U2840" s="10" t="s">
        <v>1575</v>
      </c>
      <c r="V2840" s="10" t="s">
        <v>1575</v>
      </c>
      <c r="W2840" s="10" t="s">
        <v>1575</v>
      </c>
      <c r="X2840" s="10" t="str">
        <f t="shared" si="2701"/>
        <v>NA</v>
      </c>
      <c r="Y2840" s="10" t="str">
        <f t="shared" si="2702"/>
        <v>NA</v>
      </c>
      <c r="Z2840" s="10" t="str">
        <f t="shared" si="2703"/>
        <v>NA</v>
      </c>
      <c r="AA2840" s="10" t="str">
        <f t="shared" si="2704"/>
        <v>NA</v>
      </c>
      <c r="AB2840" s="10" t="str">
        <f t="shared" si="2705"/>
        <v>NA</v>
      </c>
      <c r="AC2840" s="10" t="str">
        <f t="shared" si="2706"/>
        <v>NA</v>
      </c>
      <c r="AD2840" s="10" t="str">
        <f t="shared" si="2707"/>
        <v>NA</v>
      </c>
      <c r="AE2840" s="10" t="str">
        <f t="shared" si="2708"/>
        <v>NA</v>
      </c>
      <c r="AF2840" s="1" t="s">
        <v>5223</v>
      </c>
    </row>
    <row r="2841" spans="1:32" x14ac:dyDescent="0.2">
      <c r="A2841" s="1" t="s">
        <v>5227</v>
      </c>
      <c r="C2841" s="1" t="s">
        <v>1575</v>
      </c>
      <c r="D2841" s="1" t="s">
        <v>1813</v>
      </c>
      <c r="E2841" s="1" t="s">
        <v>1587</v>
      </c>
      <c r="F2841" s="1" t="s">
        <v>5228</v>
      </c>
      <c r="G2841" s="4">
        <v>0.05</v>
      </c>
      <c r="H2841" s="28">
        <v>45199</v>
      </c>
      <c r="I2841" s="29">
        <f t="shared" si="2671"/>
        <v>2023</v>
      </c>
      <c r="J2841" s="1" t="s">
        <v>7</v>
      </c>
      <c r="K2841" s="1" t="s">
        <v>5207</v>
      </c>
      <c r="L2841" s="11" t="str">
        <f t="shared" ref="L2841:L2845" si="2733">IF(OR(A2841=J2841,A2841=K2841),"ДА","НЕТ")</f>
        <v>НЕТ</v>
      </c>
      <c r="M2841" s="10">
        <v>0</v>
      </c>
      <c r="N2841" s="10">
        <v>0</v>
      </c>
      <c r="O2841" s="10" t="s">
        <v>1575</v>
      </c>
      <c r="P2841" s="10" t="str">
        <f t="shared" si="2687"/>
        <v>NA</v>
      </c>
      <c r="Q2841" s="10" t="str">
        <f t="shared" si="2688"/>
        <v>NA</v>
      </c>
      <c r="R2841" s="10" t="s">
        <v>1575</v>
      </c>
      <c r="S2841" s="10" t="s">
        <v>1575</v>
      </c>
      <c r="T2841" s="10" t="s">
        <v>1575</v>
      </c>
      <c r="U2841" s="10" t="s">
        <v>1575</v>
      </c>
      <c r="V2841" s="10" t="s">
        <v>1575</v>
      </c>
      <c r="W2841" s="10" t="s">
        <v>1575</v>
      </c>
      <c r="X2841" s="10" t="str">
        <f t="shared" si="2701"/>
        <v>NA</v>
      </c>
      <c r="Y2841" s="10" t="str">
        <f t="shared" si="2702"/>
        <v>NA</v>
      </c>
      <c r="Z2841" s="10" t="str">
        <f t="shared" si="2703"/>
        <v>NA</v>
      </c>
      <c r="AA2841" s="10" t="str">
        <f t="shared" si="2704"/>
        <v>NA</v>
      </c>
      <c r="AB2841" s="10" t="str">
        <f t="shared" si="2705"/>
        <v>NA</v>
      </c>
      <c r="AC2841" s="10" t="str">
        <f t="shared" si="2706"/>
        <v>NA</v>
      </c>
      <c r="AD2841" s="10" t="str">
        <f t="shared" si="2707"/>
        <v>NA</v>
      </c>
      <c r="AE2841" s="10" t="str">
        <f t="shared" si="2708"/>
        <v>NA</v>
      </c>
      <c r="AF2841" s="1" t="s">
        <v>5229</v>
      </c>
    </row>
    <row r="2842" spans="1:32" x14ac:dyDescent="0.2">
      <c r="A2842" s="1" t="s">
        <v>5232</v>
      </c>
      <c r="B2842" s="1" t="s">
        <v>5</v>
      </c>
      <c r="C2842" s="1" t="s">
        <v>1575</v>
      </c>
      <c r="D2842" s="1" t="s">
        <v>1813</v>
      </c>
      <c r="E2842" s="1" t="s">
        <v>1821</v>
      </c>
      <c r="F2842" s="1" t="s">
        <v>5233</v>
      </c>
      <c r="G2842" s="4">
        <v>0.127</v>
      </c>
      <c r="H2842" s="28">
        <v>45291</v>
      </c>
      <c r="I2842" s="29">
        <f t="shared" si="2671"/>
        <v>2023</v>
      </c>
      <c r="J2842" s="1" t="s">
        <v>5231</v>
      </c>
      <c r="K2842" s="1" t="s">
        <v>7</v>
      </c>
      <c r="L2842" s="11" t="str">
        <f t="shared" si="2733"/>
        <v>НЕТ</v>
      </c>
      <c r="M2842" s="10">
        <v>0</v>
      </c>
      <c r="N2842" s="10">
        <v>0</v>
      </c>
      <c r="O2842" s="10" t="s">
        <v>1575</v>
      </c>
      <c r="P2842" s="10" t="str">
        <f t="shared" si="2687"/>
        <v>NA</v>
      </c>
      <c r="Q2842" s="10" t="str">
        <f t="shared" si="2688"/>
        <v>NA</v>
      </c>
      <c r="R2842" s="10" t="s">
        <v>1575</v>
      </c>
      <c r="S2842" s="10" t="s">
        <v>1575</v>
      </c>
      <c r="T2842" s="10" t="s">
        <v>1575</v>
      </c>
      <c r="U2842" s="10" t="s">
        <v>1575</v>
      </c>
      <c r="V2842" s="10" t="s">
        <v>1575</v>
      </c>
      <c r="W2842" s="10" t="s">
        <v>1575</v>
      </c>
      <c r="X2842" s="10" t="str">
        <f t="shared" si="2701"/>
        <v>NA</v>
      </c>
      <c r="Y2842" s="10" t="str">
        <f t="shared" si="2702"/>
        <v>NA</v>
      </c>
      <c r="Z2842" s="10" t="str">
        <f t="shared" si="2703"/>
        <v>NA</v>
      </c>
      <c r="AA2842" s="10" t="str">
        <f t="shared" si="2704"/>
        <v>NA</v>
      </c>
      <c r="AB2842" s="10" t="str">
        <f t="shared" si="2705"/>
        <v>NA</v>
      </c>
      <c r="AC2842" s="10" t="str">
        <f t="shared" si="2706"/>
        <v>NA</v>
      </c>
      <c r="AD2842" s="10" t="str">
        <f t="shared" si="2707"/>
        <v>NA</v>
      </c>
      <c r="AE2842" s="10" t="str">
        <f t="shared" si="2708"/>
        <v>NA</v>
      </c>
      <c r="AF2842" s="1" t="s">
        <v>5230</v>
      </c>
    </row>
    <row r="2843" spans="1:32" x14ac:dyDescent="0.2">
      <c r="A2843" s="1" t="s">
        <v>5235</v>
      </c>
      <c r="B2843" s="1" t="s">
        <v>5</v>
      </c>
      <c r="C2843" s="1" t="s">
        <v>1575</v>
      </c>
      <c r="D2843" s="1" t="s">
        <v>1813</v>
      </c>
      <c r="E2843" s="1" t="s">
        <v>1971</v>
      </c>
      <c r="F2843" s="1" t="s">
        <v>5237</v>
      </c>
      <c r="G2843" s="4">
        <v>0.75</v>
      </c>
      <c r="H2843" s="28">
        <v>44865</v>
      </c>
      <c r="I2843" s="29">
        <f t="shared" ref="I2843" si="2734">YEAR(H2843)</f>
        <v>2022</v>
      </c>
      <c r="J2843" s="1" t="s">
        <v>5231</v>
      </c>
      <c r="K2843" s="1" t="s">
        <v>7</v>
      </c>
      <c r="L2843" s="11" t="str">
        <f t="shared" ref="L2843" si="2735">IF(OR(A2843=J2843,A2843=K2843),"ДА","НЕТ")</f>
        <v>НЕТ</v>
      </c>
      <c r="M2843" s="10">
        <v>0</v>
      </c>
      <c r="N2843" s="10">
        <v>0</v>
      </c>
      <c r="O2843" s="10">
        <v>0.1</v>
      </c>
      <c r="P2843" s="10">
        <f t="shared" si="2687"/>
        <v>0.13333333333333333</v>
      </c>
      <c r="Q2843" s="10">
        <f t="shared" si="2688"/>
        <v>0.12936633333333333</v>
      </c>
      <c r="R2843" s="10" t="s">
        <v>1575</v>
      </c>
      <c r="S2843" s="10" t="s">
        <v>1575</v>
      </c>
      <c r="T2843" s="10" t="s">
        <v>1575</v>
      </c>
      <c r="U2843" s="10" t="s">
        <v>1575</v>
      </c>
      <c r="V2843" s="10">
        <v>0.22733200000000001</v>
      </c>
      <c r="W2843" s="10">
        <f>0.000028-0.003995</f>
        <v>-3.967E-3</v>
      </c>
      <c r="X2843" s="10">
        <f t="shared" si="2701"/>
        <v>0.22336500000000001</v>
      </c>
      <c r="Y2843" s="10" t="str">
        <f t="shared" si="2702"/>
        <v>NA</v>
      </c>
      <c r="Z2843" s="10" t="str">
        <f t="shared" si="2703"/>
        <v>NA</v>
      </c>
      <c r="AA2843" s="10">
        <f t="shared" si="2704"/>
        <v>0.58651370389269142</v>
      </c>
      <c r="AB2843" s="10" t="str">
        <f t="shared" si="2705"/>
        <v>NA</v>
      </c>
      <c r="AC2843" s="10" t="str">
        <f t="shared" si="2706"/>
        <v>NA</v>
      </c>
      <c r="AD2843" s="10" t="str">
        <f t="shared" si="2707"/>
        <v>NA</v>
      </c>
      <c r="AE2843" s="10">
        <f t="shared" si="2708"/>
        <v>0.57917011766988258</v>
      </c>
      <c r="AF2843" s="1" t="s">
        <v>5236</v>
      </c>
    </row>
    <row r="2844" spans="1:32" x14ac:dyDescent="0.2">
      <c r="A2844" s="1" t="s">
        <v>5234</v>
      </c>
      <c r="B2844" s="1" t="s">
        <v>5</v>
      </c>
      <c r="C2844" s="1" t="s">
        <v>1575</v>
      </c>
      <c r="D2844" s="1" t="s">
        <v>1813</v>
      </c>
      <c r="E2844" s="1" t="s">
        <v>1587</v>
      </c>
      <c r="F2844" s="1" t="s">
        <v>5240</v>
      </c>
      <c r="G2844" s="4">
        <v>0.8</v>
      </c>
      <c r="H2844" s="28">
        <v>44561</v>
      </c>
      <c r="I2844" s="29">
        <f t="shared" si="2671"/>
        <v>2021</v>
      </c>
      <c r="J2844" s="1" t="s">
        <v>5231</v>
      </c>
      <c r="K2844" s="1" t="s">
        <v>7</v>
      </c>
      <c r="L2844" s="11" t="str">
        <f t="shared" si="2733"/>
        <v>НЕТ</v>
      </c>
      <c r="M2844" s="10">
        <v>0</v>
      </c>
      <c r="N2844" s="10">
        <v>0</v>
      </c>
      <c r="O2844" s="10">
        <v>3.2399999999999998E-2</v>
      </c>
      <c r="P2844" s="10">
        <f t="shared" si="2687"/>
        <v>4.0499999999999994E-2</v>
      </c>
      <c r="Q2844" s="10" t="str">
        <f t="shared" si="2688"/>
        <v>NA</v>
      </c>
      <c r="R2844" s="10" t="s">
        <v>1575</v>
      </c>
      <c r="S2844" s="10" t="s">
        <v>1575</v>
      </c>
      <c r="T2844" s="10" t="s">
        <v>1575</v>
      </c>
      <c r="U2844" s="10" t="s">
        <v>1575</v>
      </c>
      <c r="V2844" s="10" t="s">
        <v>1575</v>
      </c>
      <c r="W2844" s="10" t="s">
        <v>1575</v>
      </c>
      <c r="X2844" s="10" t="str">
        <f t="shared" si="2662"/>
        <v>NA</v>
      </c>
      <c r="Y2844" s="10" t="str">
        <f t="shared" si="2663"/>
        <v>NA</v>
      </c>
      <c r="Z2844" s="10" t="str">
        <f t="shared" si="2664"/>
        <v>NA</v>
      </c>
      <c r="AA2844" s="10" t="str">
        <f t="shared" si="2665"/>
        <v>NA</v>
      </c>
      <c r="AB2844" s="10" t="str">
        <f t="shared" si="2666"/>
        <v>NA</v>
      </c>
      <c r="AC2844" s="10" t="str">
        <f t="shared" si="2667"/>
        <v>NA</v>
      </c>
      <c r="AD2844" s="10" t="str">
        <f t="shared" si="2668"/>
        <v>NA</v>
      </c>
      <c r="AE2844" s="10" t="str">
        <f t="shared" si="2669"/>
        <v>NA</v>
      </c>
      <c r="AF2844" s="1" t="s">
        <v>5239</v>
      </c>
    </row>
    <row r="2845" spans="1:32" x14ac:dyDescent="0.2">
      <c r="A2845" s="1" t="s">
        <v>5225</v>
      </c>
      <c r="B2845" s="1" t="s">
        <v>5</v>
      </c>
      <c r="C2845" s="1" t="s">
        <v>1575</v>
      </c>
      <c r="D2845" s="1" t="s">
        <v>1813</v>
      </c>
      <c r="E2845" s="1" t="s">
        <v>4235</v>
      </c>
      <c r="F2845" s="1" t="s">
        <v>5226</v>
      </c>
      <c r="G2845" s="4">
        <v>0.51</v>
      </c>
      <c r="H2845" s="28">
        <v>44561</v>
      </c>
      <c r="I2845" s="29">
        <f t="shared" si="2671"/>
        <v>2021</v>
      </c>
      <c r="J2845" s="1" t="s">
        <v>5231</v>
      </c>
      <c r="K2845" s="1" t="s">
        <v>7</v>
      </c>
      <c r="L2845" s="11" t="str">
        <f t="shared" si="2733"/>
        <v>НЕТ</v>
      </c>
      <c r="M2845" s="10">
        <v>0</v>
      </c>
      <c r="N2845" s="10">
        <v>0</v>
      </c>
      <c r="O2845" s="10">
        <v>1.0000000000000001E-5</v>
      </c>
      <c r="P2845" s="10">
        <f t="shared" si="2687"/>
        <v>1.9607843137254903E-5</v>
      </c>
      <c r="Q2845" s="10" t="str">
        <f t="shared" si="2688"/>
        <v>NA</v>
      </c>
      <c r="R2845" s="10" t="s">
        <v>1575</v>
      </c>
      <c r="S2845" s="10" t="s">
        <v>1575</v>
      </c>
      <c r="T2845" s="10" t="s">
        <v>1575</v>
      </c>
      <c r="U2845" s="10" t="s">
        <v>1575</v>
      </c>
      <c r="V2845" s="10" t="s">
        <v>1575</v>
      </c>
      <c r="W2845" s="10" t="s">
        <v>1575</v>
      </c>
      <c r="X2845" s="10" t="str">
        <f t="shared" ref="X2845" si="2736">IFERROR(V2845+W2845,"NA")</f>
        <v>NA</v>
      </c>
      <c r="Y2845" s="10" t="str">
        <f t="shared" ref="Y2845" si="2737">IFERROR(P2845/R2845,"NA")</f>
        <v>NA</v>
      </c>
      <c r="Z2845" s="10" t="str">
        <f t="shared" ref="Z2845" si="2738">IFERROR(P2845/U2845,"NA")</f>
        <v>NA</v>
      </c>
      <c r="AA2845" s="10" t="str">
        <f t="shared" ref="AA2845" si="2739">IFERROR(P2845/V2845,"NA")</f>
        <v>NA</v>
      </c>
      <c r="AB2845" s="10" t="str">
        <f t="shared" ref="AB2845" si="2740">IFERROR(Q2845/R2845,"NA")</f>
        <v>NA</v>
      </c>
      <c r="AC2845" s="10" t="str">
        <f t="shared" ref="AC2845" si="2741">IFERROR(Q2845/S2845,"NA")</f>
        <v>NA</v>
      </c>
      <c r="AD2845" s="10" t="str">
        <f t="shared" ref="AD2845" si="2742">IFERROR(Q2845/T2845,"NA")</f>
        <v>NA</v>
      </c>
      <c r="AE2845" s="10" t="str">
        <f t="shared" ref="AE2845" si="2743">IFERROR(Q2845/X2845,"NA")</f>
        <v>NA</v>
      </c>
      <c r="AF2845" s="1" t="s">
        <v>5239</v>
      </c>
    </row>
    <row r="2846" spans="1:32" x14ac:dyDescent="0.2">
      <c r="A2846" s="1" t="s">
        <v>5238</v>
      </c>
      <c r="B2846" s="1" t="s">
        <v>5</v>
      </c>
      <c r="C2846" s="1" t="s">
        <v>1575</v>
      </c>
      <c r="D2846" s="1" t="s">
        <v>1813</v>
      </c>
      <c r="E2846" s="1" t="s">
        <v>2909</v>
      </c>
      <c r="F2846" s="1" t="s">
        <v>5241</v>
      </c>
      <c r="G2846" s="4">
        <v>0.8</v>
      </c>
      <c r="H2846" s="28">
        <v>44255</v>
      </c>
      <c r="I2846" s="29">
        <f t="shared" ref="I2846:I2860" si="2744">YEAR(H2846)</f>
        <v>2021</v>
      </c>
      <c r="J2846" s="1" t="s">
        <v>5231</v>
      </c>
      <c r="K2846" s="1" t="s">
        <v>7</v>
      </c>
      <c r="L2846" s="11" t="str">
        <f t="shared" ref="L2846" si="2745">IF(OR(A2846=J2846,A2846=K2846),"ДА","НЕТ")</f>
        <v>НЕТ</v>
      </c>
      <c r="M2846" s="10">
        <v>0</v>
      </c>
      <c r="N2846" s="10">
        <v>0</v>
      </c>
      <c r="O2846" s="10">
        <v>2.5000000000000001E-3</v>
      </c>
      <c r="P2846" s="10">
        <f t="shared" si="2687"/>
        <v>3.1249999999999997E-3</v>
      </c>
      <c r="Q2846" s="10" t="str">
        <f t="shared" si="2688"/>
        <v>NA</v>
      </c>
      <c r="R2846" s="10" t="s">
        <v>1575</v>
      </c>
      <c r="S2846" s="10" t="s">
        <v>1575</v>
      </c>
      <c r="T2846" s="10" t="s">
        <v>1575</v>
      </c>
      <c r="U2846" s="10" t="s">
        <v>1575</v>
      </c>
      <c r="V2846" s="10" t="s">
        <v>1575</v>
      </c>
      <c r="W2846" s="10" t="s">
        <v>1575</v>
      </c>
      <c r="X2846" s="10" t="str">
        <f t="shared" ref="X2846:X2848" si="2746">IFERROR(V2846+W2846,"NA")</f>
        <v>NA</v>
      </c>
      <c r="Y2846" s="10" t="str">
        <f t="shared" ref="Y2846:Y2848" si="2747">IFERROR(P2846/R2846,"NA")</f>
        <v>NA</v>
      </c>
      <c r="Z2846" s="10" t="str">
        <f t="shared" ref="Z2846:Z2848" si="2748">IFERROR(P2846/U2846,"NA")</f>
        <v>NA</v>
      </c>
      <c r="AA2846" s="10" t="str">
        <f t="shared" ref="AA2846:AA2848" si="2749">IFERROR(P2846/V2846,"NA")</f>
        <v>NA</v>
      </c>
      <c r="AB2846" s="10" t="str">
        <f t="shared" ref="AB2846:AB2848" si="2750">IFERROR(Q2846/R2846,"NA")</f>
        <v>NA</v>
      </c>
      <c r="AC2846" s="10" t="str">
        <f t="shared" ref="AC2846:AC2848" si="2751">IFERROR(Q2846/S2846,"NA")</f>
        <v>NA</v>
      </c>
      <c r="AD2846" s="10" t="str">
        <f t="shared" ref="AD2846:AD2848" si="2752">IFERROR(Q2846/T2846,"NA")</f>
        <v>NA</v>
      </c>
      <c r="AE2846" s="10" t="str">
        <f t="shared" ref="AE2846:AE2848" si="2753">IFERROR(Q2846/X2846,"NA")</f>
        <v>NA</v>
      </c>
      <c r="AF2846" s="1" t="s">
        <v>5242</v>
      </c>
    </row>
    <row r="2847" spans="1:32" x14ac:dyDescent="0.2">
      <c r="A2847" s="1" t="s">
        <v>6641</v>
      </c>
      <c r="B2847" s="1" t="s">
        <v>5</v>
      </c>
      <c r="C2847" s="1" t="s">
        <v>1575</v>
      </c>
      <c r="D2847" s="1" t="s">
        <v>1584</v>
      </c>
      <c r="E2847" s="1" t="s">
        <v>1586</v>
      </c>
      <c r="F2847" s="1" t="s">
        <v>5245</v>
      </c>
      <c r="G2847" s="4">
        <v>0.87730799999999998</v>
      </c>
      <c r="H2847" s="28">
        <v>45156</v>
      </c>
      <c r="I2847" s="29">
        <f t="shared" si="2744"/>
        <v>2023</v>
      </c>
      <c r="J2847" s="1" t="s">
        <v>5243</v>
      </c>
      <c r="K2847" s="1" t="s">
        <v>7</v>
      </c>
      <c r="L2847" s="11" t="str">
        <f t="shared" ref="L2847" si="2754">IF(OR(A2847=J2847,A2847=K2847),"ДА","НЕТ")</f>
        <v>НЕТ</v>
      </c>
      <c r="M2847" s="10">
        <v>0</v>
      </c>
      <c r="N2847" s="10">
        <v>0</v>
      </c>
      <c r="O2847" s="10">
        <v>1.4037000000000001E-2</v>
      </c>
      <c r="P2847" s="10">
        <f t="shared" si="2687"/>
        <v>1.6000082069239082E-2</v>
      </c>
      <c r="Q2847" s="10">
        <f t="shared" si="2688"/>
        <v>0.20741408206923911</v>
      </c>
      <c r="R2847" s="10" t="s">
        <v>1575</v>
      </c>
      <c r="S2847" s="10" t="s">
        <v>1575</v>
      </c>
      <c r="T2847" s="10" t="s">
        <v>1575</v>
      </c>
      <c r="U2847" s="10" t="s">
        <v>1575</v>
      </c>
      <c r="V2847" s="10">
        <v>1.6E-2</v>
      </c>
      <c r="W2847" s="10">
        <f>0.139046+0.03398+0.044889-0.026501</f>
        <v>0.19141400000000003</v>
      </c>
      <c r="X2847" s="10">
        <f t="shared" si="2746"/>
        <v>0.20741400000000004</v>
      </c>
      <c r="Y2847" s="10" t="str">
        <f t="shared" si="2747"/>
        <v>NA</v>
      </c>
      <c r="Z2847" s="10" t="str">
        <f t="shared" si="2748"/>
        <v>NA</v>
      </c>
      <c r="AA2847" s="10">
        <f t="shared" si="2749"/>
        <v>1.0000051293274426</v>
      </c>
      <c r="AB2847" s="10" t="str">
        <f t="shared" si="2750"/>
        <v>NA</v>
      </c>
      <c r="AC2847" s="10" t="str">
        <f t="shared" si="2751"/>
        <v>NA</v>
      </c>
      <c r="AD2847" s="10" t="str">
        <f t="shared" si="2752"/>
        <v>NA</v>
      </c>
      <c r="AE2847" s="10">
        <f t="shared" si="2753"/>
        <v>1.0000003956783972</v>
      </c>
      <c r="AF2847" s="1" t="s">
        <v>5244</v>
      </c>
    </row>
    <row r="2848" spans="1:32" x14ac:dyDescent="0.2">
      <c r="A2848" s="1" t="s">
        <v>6642</v>
      </c>
      <c r="B2848" s="1" t="s">
        <v>5</v>
      </c>
      <c r="C2848" s="1" t="s">
        <v>1575</v>
      </c>
      <c r="D2848" s="1" t="s">
        <v>1813</v>
      </c>
      <c r="E2848" s="1" t="s">
        <v>1971</v>
      </c>
      <c r="F2848" s="1" t="s">
        <v>5247</v>
      </c>
      <c r="G2848" s="4">
        <v>0.39200000000000002</v>
      </c>
      <c r="H2848" s="28">
        <v>45107</v>
      </c>
      <c r="I2848" s="29">
        <f t="shared" si="2744"/>
        <v>2023</v>
      </c>
      <c r="J2848" s="1" t="s">
        <v>5243</v>
      </c>
      <c r="K2848" s="1" t="s">
        <v>7</v>
      </c>
      <c r="L2848" s="11" t="str">
        <f t="shared" ref="L2848" si="2755">IF(OR(A2848=J2848,A2848=K2848),"ДА","НЕТ")</f>
        <v>НЕТ</v>
      </c>
      <c r="M2848" s="10">
        <v>0</v>
      </c>
      <c r="N2848" s="10">
        <v>0</v>
      </c>
      <c r="O2848" s="10" t="s">
        <v>1575</v>
      </c>
      <c r="P2848" s="10" t="str">
        <f t="shared" si="2687"/>
        <v>NA</v>
      </c>
      <c r="Q2848" s="10" t="str">
        <f t="shared" si="2688"/>
        <v>NA</v>
      </c>
      <c r="R2848" s="10" t="s">
        <v>1575</v>
      </c>
      <c r="S2848" s="10" t="s">
        <v>1575</v>
      </c>
      <c r="T2848" s="10" t="s">
        <v>1575</v>
      </c>
      <c r="U2848" s="10" t="s">
        <v>1575</v>
      </c>
      <c r="V2848" s="10" t="s">
        <v>1575</v>
      </c>
      <c r="W2848" s="10" t="s">
        <v>1575</v>
      </c>
      <c r="X2848" s="10" t="str">
        <f t="shared" si="2746"/>
        <v>NA</v>
      </c>
      <c r="Y2848" s="10" t="str">
        <f t="shared" si="2747"/>
        <v>NA</v>
      </c>
      <c r="Z2848" s="10" t="str">
        <f t="shared" si="2748"/>
        <v>NA</v>
      </c>
      <c r="AA2848" s="10" t="str">
        <f t="shared" si="2749"/>
        <v>NA</v>
      </c>
      <c r="AB2848" s="10" t="str">
        <f t="shared" si="2750"/>
        <v>NA</v>
      </c>
      <c r="AC2848" s="10" t="str">
        <f t="shared" si="2751"/>
        <v>NA</v>
      </c>
      <c r="AD2848" s="10" t="str">
        <f t="shared" si="2752"/>
        <v>NA</v>
      </c>
      <c r="AE2848" s="10" t="str">
        <f t="shared" si="2753"/>
        <v>NA</v>
      </c>
      <c r="AF2848" s="1" t="s">
        <v>5246</v>
      </c>
    </row>
    <row r="2849" spans="1:32" x14ac:dyDescent="0.2">
      <c r="A2849" s="1" t="s">
        <v>6643</v>
      </c>
      <c r="B2849" s="1" t="s">
        <v>5</v>
      </c>
      <c r="C2849" s="1" t="s">
        <v>1575</v>
      </c>
      <c r="D2849" s="1" t="s">
        <v>1813</v>
      </c>
      <c r="E2849" s="1" t="s">
        <v>1587</v>
      </c>
      <c r="F2849" s="1" t="s">
        <v>5249</v>
      </c>
      <c r="G2849" s="4">
        <v>0.05</v>
      </c>
      <c r="H2849" s="28">
        <v>45382</v>
      </c>
      <c r="I2849" s="29">
        <f t="shared" si="2744"/>
        <v>2024</v>
      </c>
      <c r="J2849" s="1" t="s">
        <v>7</v>
      </c>
      <c r="K2849" s="1" t="s">
        <v>6644</v>
      </c>
      <c r="L2849" s="11" t="str">
        <f t="shared" ref="L2849:L2856" si="2756">IF(OR(A2849=J2849,A2849=K2849),"ДА","НЕТ")</f>
        <v>НЕТ</v>
      </c>
      <c r="M2849" s="10">
        <v>0</v>
      </c>
      <c r="N2849" s="10">
        <v>0</v>
      </c>
      <c r="O2849" s="10" t="s">
        <v>1575</v>
      </c>
      <c r="P2849" s="10" t="str">
        <f t="shared" si="2687"/>
        <v>NA</v>
      </c>
      <c r="Q2849" s="10" t="str">
        <f t="shared" si="2688"/>
        <v>NA</v>
      </c>
      <c r="R2849" s="10" t="s">
        <v>1575</v>
      </c>
      <c r="S2849" s="10" t="s">
        <v>1575</v>
      </c>
      <c r="T2849" s="10" t="s">
        <v>1575</v>
      </c>
      <c r="U2849" s="10" t="s">
        <v>1575</v>
      </c>
      <c r="V2849" s="10">
        <v>3.6457999999999997E-2</v>
      </c>
      <c r="W2849" s="10" t="s">
        <v>1575</v>
      </c>
      <c r="X2849" s="10" t="str">
        <f t="shared" ref="X2849:X2854" si="2757">IFERROR(V2849+W2849,"NA")</f>
        <v>NA</v>
      </c>
      <c r="Y2849" s="10" t="str">
        <f t="shared" ref="Y2849:Y2854" si="2758">IFERROR(P2849/R2849,"NA")</f>
        <v>NA</v>
      </c>
      <c r="Z2849" s="10" t="str">
        <f t="shared" ref="Z2849:Z2854" si="2759">IFERROR(P2849/U2849,"NA")</f>
        <v>NA</v>
      </c>
      <c r="AA2849" s="10" t="str">
        <f t="shared" ref="AA2849:AA2854" si="2760">IFERROR(P2849/V2849,"NA")</f>
        <v>NA</v>
      </c>
      <c r="AB2849" s="10" t="str">
        <f t="shared" ref="AB2849:AB2854" si="2761">IFERROR(Q2849/R2849,"NA")</f>
        <v>NA</v>
      </c>
      <c r="AC2849" s="10" t="str">
        <f t="shared" ref="AC2849:AC2854" si="2762">IFERROR(Q2849/S2849,"NA")</f>
        <v>NA</v>
      </c>
      <c r="AD2849" s="10" t="str">
        <f t="shared" ref="AD2849:AD2854" si="2763">IFERROR(Q2849/T2849,"NA")</f>
        <v>NA</v>
      </c>
      <c r="AE2849" s="10" t="str">
        <f t="shared" ref="AE2849:AE2854" si="2764">IFERROR(Q2849/X2849,"NA")</f>
        <v>NA</v>
      </c>
      <c r="AF2849" s="1" t="s">
        <v>5248</v>
      </c>
    </row>
    <row r="2850" spans="1:32" x14ac:dyDescent="0.2">
      <c r="A2850" s="1" t="s">
        <v>6643</v>
      </c>
      <c r="B2850" s="1" t="s">
        <v>5</v>
      </c>
      <c r="C2850" s="1" t="s">
        <v>1575</v>
      </c>
      <c r="D2850" s="1" t="s">
        <v>1813</v>
      </c>
      <c r="E2850" s="1" t="s">
        <v>1587</v>
      </c>
      <c r="F2850" s="1" t="s">
        <v>5249</v>
      </c>
      <c r="G2850" s="4">
        <v>0.05</v>
      </c>
      <c r="H2850" s="28">
        <v>45291</v>
      </c>
      <c r="I2850" s="29">
        <f t="shared" si="2744"/>
        <v>2023</v>
      </c>
      <c r="J2850" s="1" t="s">
        <v>6644</v>
      </c>
      <c r="K2850" s="1" t="s">
        <v>7</v>
      </c>
      <c r="L2850" s="11" t="str">
        <f t="shared" ref="L2850" si="2765">IF(OR(A2850=J2850,A2850=K2850),"ДА","НЕТ")</f>
        <v>НЕТ</v>
      </c>
      <c r="M2850" s="10">
        <v>0</v>
      </c>
      <c r="N2850" s="10">
        <v>0</v>
      </c>
      <c r="O2850" s="10">
        <v>1.4E-2</v>
      </c>
      <c r="P2850" s="10">
        <f t="shared" si="2687"/>
        <v>0.27999999999999997</v>
      </c>
      <c r="Q2850" s="10" t="str">
        <f t="shared" si="2688"/>
        <v>NA</v>
      </c>
      <c r="R2850" s="10" t="s">
        <v>1575</v>
      </c>
      <c r="S2850" s="10" t="s">
        <v>1575</v>
      </c>
      <c r="T2850" s="10" t="s">
        <v>1575</v>
      </c>
      <c r="U2850" s="10" t="s">
        <v>1575</v>
      </c>
      <c r="V2850" s="10">
        <v>0.13775000000000001</v>
      </c>
      <c r="W2850" s="10" t="s">
        <v>1575</v>
      </c>
      <c r="X2850" s="10" t="str">
        <f t="shared" ref="X2850" si="2766">IFERROR(V2850+W2850,"NA")</f>
        <v>NA</v>
      </c>
      <c r="Y2850" s="10" t="str">
        <f t="shared" ref="Y2850" si="2767">IFERROR(P2850/R2850,"NA")</f>
        <v>NA</v>
      </c>
      <c r="Z2850" s="10" t="str">
        <f t="shared" ref="Z2850" si="2768">IFERROR(P2850/U2850,"NA")</f>
        <v>NA</v>
      </c>
      <c r="AA2850" s="10">
        <f t="shared" ref="AA2850" si="2769">IFERROR(P2850/V2850,"NA")</f>
        <v>2.0326678765880213</v>
      </c>
      <c r="AB2850" s="10" t="str">
        <f t="shared" ref="AB2850" si="2770">IFERROR(Q2850/R2850,"NA")</f>
        <v>NA</v>
      </c>
      <c r="AC2850" s="10" t="str">
        <f t="shared" ref="AC2850" si="2771">IFERROR(Q2850/S2850,"NA")</f>
        <v>NA</v>
      </c>
      <c r="AD2850" s="10" t="str">
        <f t="shared" ref="AD2850" si="2772">IFERROR(Q2850/T2850,"NA")</f>
        <v>NA</v>
      </c>
      <c r="AE2850" s="10" t="str">
        <f t="shared" ref="AE2850" si="2773">IFERROR(Q2850/X2850,"NA")</f>
        <v>NA</v>
      </c>
      <c r="AF2850" s="1" t="s">
        <v>5255</v>
      </c>
    </row>
    <row r="2851" spans="1:32" x14ac:dyDescent="0.2">
      <c r="A2851" s="1" t="s">
        <v>6645</v>
      </c>
      <c r="B2851" s="1" t="s">
        <v>5</v>
      </c>
      <c r="C2851" s="1" t="s">
        <v>1575</v>
      </c>
      <c r="D2851" s="1" t="s">
        <v>1813</v>
      </c>
      <c r="E2851" s="1" t="s">
        <v>1971</v>
      </c>
      <c r="F2851" s="1" t="s">
        <v>2914</v>
      </c>
      <c r="G2851" s="4">
        <v>2.0500000000000001E-2</v>
      </c>
      <c r="H2851" s="28">
        <v>45291</v>
      </c>
      <c r="I2851" s="29">
        <f t="shared" ref="I2851:I2854" si="2774">YEAR(H2851)</f>
        <v>2023</v>
      </c>
      <c r="J2851" s="1" t="s">
        <v>7</v>
      </c>
      <c r="K2851" s="1" t="s">
        <v>6644</v>
      </c>
      <c r="L2851" s="11" t="str">
        <f t="shared" si="2756"/>
        <v>НЕТ</v>
      </c>
      <c r="M2851" s="10">
        <v>0</v>
      </c>
      <c r="N2851" s="10">
        <v>0</v>
      </c>
      <c r="O2851" s="10" t="s">
        <v>1575</v>
      </c>
      <c r="P2851" s="10" t="str">
        <f t="shared" si="2687"/>
        <v>NA</v>
      </c>
      <c r="Q2851" s="10" t="str">
        <f t="shared" si="2688"/>
        <v>NA</v>
      </c>
      <c r="R2851" s="10" t="s">
        <v>1575</v>
      </c>
      <c r="S2851" s="10" t="s">
        <v>1575</v>
      </c>
      <c r="T2851" s="10" t="s">
        <v>1575</v>
      </c>
      <c r="U2851" s="10" t="s">
        <v>1575</v>
      </c>
      <c r="V2851" s="10">
        <v>1.1080890000000001</v>
      </c>
      <c r="W2851" s="10" t="s">
        <v>1575</v>
      </c>
      <c r="X2851" s="10" t="str">
        <f t="shared" si="2757"/>
        <v>NA</v>
      </c>
      <c r="Y2851" s="10" t="str">
        <f t="shared" si="2758"/>
        <v>NA</v>
      </c>
      <c r="Z2851" s="10" t="str">
        <f t="shared" si="2759"/>
        <v>NA</v>
      </c>
      <c r="AA2851" s="10" t="str">
        <f t="shared" si="2760"/>
        <v>NA</v>
      </c>
      <c r="AB2851" s="10" t="str">
        <f t="shared" si="2761"/>
        <v>NA</v>
      </c>
      <c r="AC2851" s="10" t="str">
        <f t="shared" si="2762"/>
        <v>NA</v>
      </c>
      <c r="AD2851" s="10" t="str">
        <f t="shared" si="2763"/>
        <v>NA</v>
      </c>
      <c r="AE2851" s="10" t="str">
        <f t="shared" si="2764"/>
        <v>NA</v>
      </c>
      <c r="AF2851" s="1" t="s">
        <v>5254</v>
      </c>
    </row>
    <row r="2852" spans="1:32" x14ac:dyDescent="0.2">
      <c r="A2852" s="1" t="s">
        <v>6646</v>
      </c>
      <c r="B2852" s="1" t="s">
        <v>5</v>
      </c>
      <c r="C2852" s="1" t="s">
        <v>1575</v>
      </c>
      <c r="D2852" s="1" t="s">
        <v>1813</v>
      </c>
      <c r="E2852" s="1" t="s">
        <v>1971</v>
      </c>
      <c r="F2852" s="1" t="s">
        <v>2914</v>
      </c>
      <c r="G2852" s="4">
        <v>0.05</v>
      </c>
      <c r="H2852" s="28">
        <v>45016</v>
      </c>
      <c r="I2852" s="29">
        <f t="shared" si="2774"/>
        <v>2023</v>
      </c>
      <c r="J2852" s="1" t="s">
        <v>7</v>
      </c>
      <c r="K2852" s="1" t="s">
        <v>6644</v>
      </c>
      <c r="L2852" s="11" t="str">
        <f t="shared" si="2756"/>
        <v>НЕТ</v>
      </c>
      <c r="M2852" s="10">
        <v>0</v>
      </c>
      <c r="N2852" s="10">
        <v>0</v>
      </c>
      <c r="O2852" s="10" t="s">
        <v>1575</v>
      </c>
      <c r="P2852" s="10" t="str">
        <f t="shared" si="2687"/>
        <v>NA</v>
      </c>
      <c r="Q2852" s="10" t="str">
        <f t="shared" si="2688"/>
        <v>NA</v>
      </c>
      <c r="R2852" s="10" t="s">
        <v>1575</v>
      </c>
      <c r="S2852" s="10" t="s">
        <v>1575</v>
      </c>
      <c r="T2852" s="10" t="s">
        <v>1575</v>
      </c>
      <c r="U2852" s="10" t="s">
        <v>1575</v>
      </c>
      <c r="V2852" s="10">
        <v>-2.8247000000000001E-2</v>
      </c>
      <c r="W2852" s="10" t="s">
        <v>1575</v>
      </c>
      <c r="X2852" s="10" t="str">
        <f t="shared" si="2757"/>
        <v>NA</v>
      </c>
      <c r="Y2852" s="10" t="str">
        <f t="shared" si="2758"/>
        <v>NA</v>
      </c>
      <c r="Z2852" s="10" t="str">
        <f t="shared" si="2759"/>
        <v>NA</v>
      </c>
      <c r="AA2852" s="10" t="str">
        <f t="shared" si="2760"/>
        <v>NA</v>
      </c>
      <c r="AB2852" s="10" t="str">
        <f t="shared" si="2761"/>
        <v>NA</v>
      </c>
      <c r="AC2852" s="10" t="str">
        <f t="shared" si="2762"/>
        <v>NA</v>
      </c>
      <c r="AD2852" s="10" t="str">
        <f t="shared" si="2763"/>
        <v>NA</v>
      </c>
      <c r="AE2852" s="10" t="str">
        <f t="shared" si="2764"/>
        <v>NA</v>
      </c>
      <c r="AF2852" s="1" t="s">
        <v>5256</v>
      </c>
    </row>
    <row r="2853" spans="1:32" x14ac:dyDescent="0.2">
      <c r="A2853" s="1" t="s">
        <v>6646</v>
      </c>
      <c r="B2853" s="1" t="s">
        <v>5</v>
      </c>
      <c r="C2853" s="1" t="s">
        <v>1575</v>
      </c>
      <c r="D2853" s="1" t="s">
        <v>1813</v>
      </c>
      <c r="E2853" s="1" t="s">
        <v>1971</v>
      </c>
      <c r="F2853" s="1" t="s">
        <v>2914</v>
      </c>
      <c r="G2853" s="4">
        <v>0.2321</v>
      </c>
      <c r="H2853" s="28">
        <v>45291</v>
      </c>
      <c r="I2853" s="29">
        <f t="shared" si="2774"/>
        <v>2023</v>
      </c>
      <c r="J2853" s="1" t="s">
        <v>6644</v>
      </c>
      <c r="K2853" s="1" t="s">
        <v>7</v>
      </c>
      <c r="L2853" s="11" t="str">
        <f t="shared" si="2756"/>
        <v>НЕТ</v>
      </c>
      <c r="M2853" s="10">
        <v>0</v>
      </c>
      <c r="N2853" s="10">
        <v>0</v>
      </c>
      <c r="O2853" s="10">
        <v>0.05</v>
      </c>
      <c r="P2853" s="10">
        <f t="shared" si="2687"/>
        <v>0.21542438604049979</v>
      </c>
      <c r="Q2853" s="10" t="str">
        <f t="shared" si="2688"/>
        <v>NA</v>
      </c>
      <c r="R2853" s="10" t="s">
        <v>1575</v>
      </c>
      <c r="S2853" s="10" t="s">
        <v>1575</v>
      </c>
      <c r="T2853" s="10" t="s">
        <v>1575</v>
      </c>
      <c r="U2853" s="10" t="s">
        <v>1575</v>
      </c>
      <c r="V2853" s="10">
        <v>-1.7517999999999999E-2</v>
      </c>
      <c r="W2853" s="10" t="s">
        <v>1575</v>
      </c>
      <c r="X2853" s="10" t="str">
        <f t="shared" si="2757"/>
        <v>NA</v>
      </c>
      <c r="Y2853" s="10" t="str">
        <f t="shared" si="2758"/>
        <v>NA</v>
      </c>
      <c r="Z2853" s="10" t="str">
        <f t="shared" si="2759"/>
        <v>NA</v>
      </c>
      <c r="AA2853" s="10">
        <f t="shared" si="2760"/>
        <v>-12.297316248458717</v>
      </c>
      <c r="AB2853" s="10" t="str">
        <f t="shared" si="2761"/>
        <v>NA</v>
      </c>
      <c r="AC2853" s="10" t="str">
        <f t="shared" si="2762"/>
        <v>NA</v>
      </c>
      <c r="AD2853" s="10" t="str">
        <f t="shared" si="2763"/>
        <v>NA</v>
      </c>
      <c r="AE2853" s="10" t="str">
        <f t="shared" si="2764"/>
        <v>NA</v>
      </c>
      <c r="AF2853" s="1" t="s">
        <v>5257</v>
      </c>
    </row>
    <row r="2854" spans="1:32" x14ac:dyDescent="0.2">
      <c r="A2854" s="1" t="s">
        <v>6643</v>
      </c>
      <c r="B2854" s="1" t="s">
        <v>5</v>
      </c>
      <c r="C2854" s="1" t="s">
        <v>1575</v>
      </c>
      <c r="D2854" s="1" t="s">
        <v>1813</v>
      </c>
      <c r="E2854" s="1" t="s">
        <v>1587</v>
      </c>
      <c r="F2854" s="1" t="s">
        <v>5249</v>
      </c>
      <c r="G2854" s="4">
        <v>0.9</v>
      </c>
      <c r="H2854" s="28">
        <v>44773</v>
      </c>
      <c r="I2854" s="29">
        <f t="shared" si="2774"/>
        <v>2022</v>
      </c>
      <c r="J2854" s="1" t="s">
        <v>6644</v>
      </c>
      <c r="K2854" s="1" t="s">
        <v>7</v>
      </c>
      <c r="L2854" s="11" t="str">
        <f t="shared" si="2756"/>
        <v>НЕТ</v>
      </c>
      <c r="M2854" s="10">
        <v>0</v>
      </c>
      <c r="N2854" s="10">
        <v>0</v>
      </c>
      <c r="O2854" s="10" t="s">
        <v>1575</v>
      </c>
      <c r="P2854" s="10" t="str">
        <f t="shared" si="2687"/>
        <v>NA</v>
      </c>
      <c r="Q2854" s="10" t="str">
        <f t="shared" si="2688"/>
        <v>NA</v>
      </c>
      <c r="R2854" s="10" t="s">
        <v>1575</v>
      </c>
      <c r="S2854" s="10" t="s">
        <v>1575</v>
      </c>
      <c r="T2854" s="10" t="s">
        <v>1575</v>
      </c>
      <c r="U2854" s="10" t="s">
        <v>1575</v>
      </c>
      <c r="V2854" s="10">
        <v>5.0880000000000002E-2</v>
      </c>
      <c r="W2854" s="10" t="s">
        <v>1575</v>
      </c>
      <c r="X2854" s="10" t="str">
        <f t="shared" si="2757"/>
        <v>NA</v>
      </c>
      <c r="Y2854" s="10" t="str">
        <f t="shared" si="2758"/>
        <v>NA</v>
      </c>
      <c r="Z2854" s="10" t="str">
        <f t="shared" si="2759"/>
        <v>NA</v>
      </c>
      <c r="AA2854" s="10" t="str">
        <f t="shared" si="2760"/>
        <v>NA</v>
      </c>
      <c r="AB2854" s="10" t="str">
        <f t="shared" si="2761"/>
        <v>NA</v>
      </c>
      <c r="AC2854" s="10" t="str">
        <f t="shared" si="2762"/>
        <v>NA</v>
      </c>
      <c r="AD2854" s="10" t="str">
        <f t="shared" si="2763"/>
        <v>NA</v>
      </c>
      <c r="AE2854" s="10" t="str">
        <f t="shared" si="2764"/>
        <v>NA</v>
      </c>
      <c r="AF2854" s="1" t="s">
        <v>5253</v>
      </c>
    </row>
    <row r="2855" spans="1:32" x14ac:dyDescent="0.2">
      <c r="A2855" s="1" t="s">
        <v>5251</v>
      </c>
      <c r="B2855" s="1" t="s">
        <v>5</v>
      </c>
      <c r="C2855" s="1" t="s">
        <v>1575</v>
      </c>
      <c r="D2855" s="1" t="s">
        <v>1813</v>
      </c>
      <c r="E2855" s="1" t="s">
        <v>1971</v>
      </c>
      <c r="F2855" s="1" t="s">
        <v>2914</v>
      </c>
      <c r="G2855" s="4">
        <v>1</v>
      </c>
      <c r="H2855" s="28">
        <v>44739</v>
      </c>
      <c r="I2855" s="29">
        <f t="shared" si="2744"/>
        <v>2022</v>
      </c>
      <c r="J2855" s="1" t="s">
        <v>6644</v>
      </c>
      <c r="K2855" s="1" t="s">
        <v>7</v>
      </c>
      <c r="L2855" s="11" t="str">
        <f t="shared" si="2756"/>
        <v>НЕТ</v>
      </c>
      <c r="M2855" s="10">
        <v>0</v>
      </c>
      <c r="N2855" s="10">
        <v>0</v>
      </c>
      <c r="O2855" s="10" t="s">
        <v>1575</v>
      </c>
      <c r="P2855" s="10" t="str">
        <f t="shared" si="2687"/>
        <v>NA</v>
      </c>
      <c r="Q2855" s="10" t="str">
        <f t="shared" si="2688"/>
        <v>NA</v>
      </c>
      <c r="R2855" s="10" t="s">
        <v>1575</v>
      </c>
      <c r="S2855" s="10" t="s">
        <v>1575</v>
      </c>
      <c r="T2855" s="10" t="s">
        <v>1575</v>
      </c>
      <c r="U2855" s="10" t="s">
        <v>1575</v>
      </c>
      <c r="V2855" s="10" t="s">
        <v>1575</v>
      </c>
      <c r="W2855" s="10" t="s">
        <v>1575</v>
      </c>
      <c r="X2855" s="10" t="str">
        <f t="shared" ref="X2855:X2859" si="2775">IFERROR(V2855+W2855,"NA")</f>
        <v>NA</v>
      </c>
      <c r="Y2855" s="10" t="str">
        <f t="shared" ref="Y2855:Y2859" si="2776">IFERROR(P2855/R2855,"NA")</f>
        <v>NA</v>
      </c>
      <c r="Z2855" s="10" t="str">
        <f t="shared" ref="Z2855:Z2859" si="2777">IFERROR(P2855/U2855,"NA")</f>
        <v>NA</v>
      </c>
      <c r="AA2855" s="10" t="str">
        <f t="shared" ref="AA2855:AA2859" si="2778">IFERROR(P2855/V2855,"NA")</f>
        <v>NA</v>
      </c>
      <c r="AB2855" s="10" t="str">
        <f t="shared" ref="AB2855:AB2859" si="2779">IFERROR(Q2855/R2855,"NA")</f>
        <v>NA</v>
      </c>
      <c r="AC2855" s="10" t="str">
        <f t="shared" ref="AC2855:AC2859" si="2780">IFERROR(Q2855/S2855,"NA")</f>
        <v>NA</v>
      </c>
      <c r="AD2855" s="10" t="str">
        <f t="shared" ref="AD2855:AD2859" si="2781">IFERROR(Q2855/T2855,"NA")</f>
        <v>NA</v>
      </c>
      <c r="AE2855" s="10" t="str">
        <f t="shared" ref="AE2855:AE2859" si="2782">IFERROR(Q2855/X2855,"NA")</f>
        <v>NA</v>
      </c>
      <c r="AF2855" s="1" t="s">
        <v>5250</v>
      </c>
    </row>
    <row r="2856" spans="1:32" x14ac:dyDescent="0.2">
      <c r="A2856" s="1" t="s">
        <v>6643</v>
      </c>
      <c r="B2856" s="1" t="s">
        <v>5</v>
      </c>
      <c r="C2856" s="1" t="s">
        <v>1575</v>
      </c>
      <c r="D2856" s="1" t="s">
        <v>1813</v>
      </c>
      <c r="E2856" s="1" t="s">
        <v>1587</v>
      </c>
      <c r="F2856" s="1" t="s">
        <v>5249</v>
      </c>
      <c r="G2856" s="4">
        <v>0.9</v>
      </c>
      <c r="H2856" s="28">
        <v>44773</v>
      </c>
      <c r="I2856" s="29">
        <f t="shared" ref="I2856:I2857" si="2783">YEAR(H2856)</f>
        <v>2022</v>
      </c>
      <c r="J2856" s="1" t="s">
        <v>6644</v>
      </c>
      <c r="K2856" s="1" t="s">
        <v>7</v>
      </c>
      <c r="L2856" s="11" t="str">
        <f t="shared" si="2756"/>
        <v>НЕТ</v>
      </c>
      <c r="M2856" s="10">
        <v>0</v>
      </c>
      <c r="N2856" s="10">
        <v>0</v>
      </c>
      <c r="O2856" s="10" t="s">
        <v>1575</v>
      </c>
      <c r="P2856" s="10" t="str">
        <f t="shared" si="2687"/>
        <v>NA</v>
      </c>
      <c r="Q2856" s="10" t="str">
        <f t="shared" si="2688"/>
        <v>NA</v>
      </c>
      <c r="R2856" s="10" t="s">
        <v>1575</v>
      </c>
      <c r="S2856" s="10" t="s">
        <v>1575</v>
      </c>
      <c r="T2856" s="10" t="s">
        <v>1575</v>
      </c>
      <c r="U2856" s="10" t="s">
        <v>1575</v>
      </c>
      <c r="V2856" s="10" t="s">
        <v>1575</v>
      </c>
      <c r="W2856" s="10" t="s">
        <v>1575</v>
      </c>
      <c r="X2856" s="10" t="str">
        <f t="shared" ref="X2856:X2857" si="2784">IFERROR(V2856+W2856,"NA")</f>
        <v>NA</v>
      </c>
      <c r="Y2856" s="10" t="str">
        <f t="shared" ref="Y2856:Y2857" si="2785">IFERROR(P2856/R2856,"NA")</f>
        <v>NA</v>
      </c>
      <c r="Z2856" s="10" t="str">
        <f t="shared" ref="Z2856:Z2857" si="2786">IFERROR(P2856/U2856,"NA")</f>
        <v>NA</v>
      </c>
      <c r="AA2856" s="10" t="str">
        <f t="shared" ref="AA2856:AA2857" si="2787">IFERROR(P2856/V2856,"NA")</f>
        <v>NA</v>
      </c>
      <c r="AB2856" s="10" t="str">
        <f t="shared" ref="AB2856:AB2857" si="2788">IFERROR(Q2856/R2856,"NA")</f>
        <v>NA</v>
      </c>
      <c r="AC2856" s="10" t="str">
        <f t="shared" ref="AC2856:AC2857" si="2789">IFERROR(Q2856/S2856,"NA")</f>
        <v>NA</v>
      </c>
      <c r="AD2856" s="10" t="str">
        <f t="shared" ref="AD2856:AD2857" si="2790">IFERROR(Q2856/T2856,"NA")</f>
        <v>NA</v>
      </c>
      <c r="AE2856" s="10" t="str">
        <f t="shared" ref="AE2856:AE2857" si="2791">IFERROR(Q2856/X2856,"NA")</f>
        <v>NA</v>
      </c>
      <c r="AF2856" s="1" t="s">
        <v>5253</v>
      </c>
    </row>
    <row r="2857" spans="1:32" x14ac:dyDescent="0.2">
      <c r="A2857" s="1" t="s">
        <v>6647</v>
      </c>
      <c r="B2857" s="1" t="s">
        <v>5</v>
      </c>
      <c r="C2857" s="1" t="s">
        <v>1575</v>
      </c>
      <c r="D2857" s="1" t="s">
        <v>1813</v>
      </c>
      <c r="E2857" s="1" t="s">
        <v>1971</v>
      </c>
      <c r="F2857" s="1" t="s">
        <v>2914</v>
      </c>
      <c r="G2857" s="4">
        <v>0.56999999999999995</v>
      </c>
      <c r="H2857" s="28">
        <v>44681</v>
      </c>
      <c r="I2857" s="29">
        <f t="shared" si="2783"/>
        <v>2022</v>
      </c>
      <c r="J2857" s="1" t="s">
        <v>7</v>
      </c>
      <c r="K2857" s="1" t="s">
        <v>6644</v>
      </c>
      <c r="L2857" s="11" t="str">
        <f t="shared" ref="L2857" si="2792">IF(OR(A2857=J2857,A2857=K2857),"ДА","НЕТ")</f>
        <v>НЕТ</v>
      </c>
      <c r="M2857" s="10">
        <v>0</v>
      </c>
      <c r="N2857" s="10">
        <v>0</v>
      </c>
      <c r="O2857" s="10">
        <v>7.5999999999999998E-2</v>
      </c>
      <c r="P2857" s="10">
        <f t="shared" si="2687"/>
        <v>0.13333333333333333</v>
      </c>
      <c r="Q2857" s="10" t="str">
        <f t="shared" si="2688"/>
        <v>NA</v>
      </c>
      <c r="R2857" s="10">
        <v>0.36590699999999998</v>
      </c>
      <c r="S2857" s="10" t="s">
        <v>1575</v>
      </c>
      <c r="T2857" s="10">
        <f>R2857-0.276424-0.062168</f>
        <v>2.7314999999999978E-2</v>
      </c>
      <c r="U2857" s="10">
        <v>4.4018000000000002E-2</v>
      </c>
      <c r="V2857" s="10">
        <v>0.127855</v>
      </c>
      <c r="W2857" s="10" t="s">
        <v>1575</v>
      </c>
      <c r="X2857" s="10" t="str">
        <f t="shared" si="2784"/>
        <v>NA</v>
      </c>
      <c r="Y2857" s="10">
        <f t="shared" si="2785"/>
        <v>0.36439131619054388</v>
      </c>
      <c r="Z2857" s="10">
        <f t="shared" si="2786"/>
        <v>3.0290638678116526</v>
      </c>
      <c r="AA2857" s="10">
        <f t="shared" si="2787"/>
        <v>1.0428480179369859</v>
      </c>
      <c r="AB2857" s="10" t="str">
        <f t="shared" si="2788"/>
        <v>NA</v>
      </c>
      <c r="AC2857" s="10" t="str">
        <f t="shared" si="2789"/>
        <v>NA</v>
      </c>
      <c r="AD2857" s="10" t="str">
        <f t="shared" si="2790"/>
        <v>NA</v>
      </c>
      <c r="AE2857" s="10" t="str">
        <f t="shared" si="2791"/>
        <v>NA</v>
      </c>
      <c r="AF2857" s="1" t="s">
        <v>5258</v>
      </c>
    </row>
    <row r="2858" spans="1:32" x14ac:dyDescent="0.2">
      <c r="A2858" s="1" t="s">
        <v>6648</v>
      </c>
      <c r="B2858" s="1" t="s">
        <v>5</v>
      </c>
      <c r="C2858" s="1" t="s">
        <v>1575</v>
      </c>
      <c r="D2858" s="1" t="s">
        <v>1813</v>
      </c>
      <c r="E2858" s="1" t="s">
        <v>1971</v>
      </c>
      <c r="F2858" s="1" t="s">
        <v>2914</v>
      </c>
      <c r="G2858" s="4">
        <v>0.8</v>
      </c>
      <c r="H2858" s="28">
        <v>44489</v>
      </c>
      <c r="I2858" s="29">
        <f t="shared" si="2744"/>
        <v>2021</v>
      </c>
      <c r="J2858" s="1" t="s">
        <v>6644</v>
      </c>
      <c r="K2858" s="1" t="s">
        <v>7</v>
      </c>
      <c r="L2858" s="11" t="str">
        <f t="shared" ref="L2858" si="2793">IF(OR(A2858=J2858,A2858=K2858),"ДА","НЕТ")</f>
        <v>НЕТ</v>
      </c>
      <c r="M2858" s="10">
        <v>0</v>
      </c>
      <c r="N2858" s="10">
        <v>0</v>
      </c>
      <c r="O2858" s="10" t="s">
        <v>1575</v>
      </c>
      <c r="P2858" s="10" t="str">
        <f t="shared" si="2687"/>
        <v>NA</v>
      </c>
      <c r="Q2858" s="10" t="str">
        <f t="shared" si="2688"/>
        <v>NA</v>
      </c>
      <c r="R2858" s="10" t="s">
        <v>1575</v>
      </c>
      <c r="S2858" s="10" t="s">
        <v>1575</v>
      </c>
      <c r="T2858" s="10" t="s">
        <v>1575</v>
      </c>
      <c r="U2858" s="10" t="s">
        <v>1575</v>
      </c>
      <c r="V2858" s="10" t="s">
        <v>1575</v>
      </c>
      <c r="W2858" s="10" t="s">
        <v>1575</v>
      </c>
      <c r="X2858" s="10" t="str">
        <f t="shared" si="2775"/>
        <v>NA</v>
      </c>
      <c r="Y2858" s="10" t="str">
        <f t="shared" si="2776"/>
        <v>NA</v>
      </c>
      <c r="Z2858" s="10" t="str">
        <f t="shared" si="2777"/>
        <v>NA</v>
      </c>
      <c r="AA2858" s="10" t="str">
        <f t="shared" si="2778"/>
        <v>NA</v>
      </c>
      <c r="AB2858" s="10" t="str">
        <f t="shared" si="2779"/>
        <v>NA</v>
      </c>
      <c r="AC2858" s="10" t="str">
        <f t="shared" si="2780"/>
        <v>NA</v>
      </c>
      <c r="AD2858" s="10" t="str">
        <f t="shared" si="2781"/>
        <v>NA</v>
      </c>
      <c r="AE2858" s="10" t="str">
        <f t="shared" si="2782"/>
        <v>NA</v>
      </c>
      <c r="AF2858" s="1" t="s">
        <v>5252</v>
      </c>
    </row>
    <row r="2859" spans="1:32" x14ac:dyDescent="0.2">
      <c r="A2859" s="1" t="s">
        <v>6649</v>
      </c>
      <c r="B2859" s="1" t="s">
        <v>5</v>
      </c>
      <c r="C2859" s="1" t="s">
        <v>1575</v>
      </c>
      <c r="D2859" s="1" t="s">
        <v>1813</v>
      </c>
      <c r="E2859" s="1" t="s">
        <v>1971</v>
      </c>
      <c r="F2859" s="1" t="s">
        <v>2914</v>
      </c>
      <c r="G2859" s="4">
        <v>1</v>
      </c>
      <c r="H2859" s="28">
        <v>45287</v>
      </c>
      <c r="I2859" s="29">
        <f t="shared" si="2744"/>
        <v>2023</v>
      </c>
      <c r="J2859" s="1" t="s">
        <v>5259</v>
      </c>
      <c r="K2859" s="1" t="s">
        <v>7</v>
      </c>
      <c r="L2859" s="11" t="str">
        <f t="shared" ref="L2859" si="2794">IF(OR(A2859=J2859,A2859=K2859),"ДА","НЕТ")</f>
        <v>НЕТ</v>
      </c>
      <c r="M2859" s="10">
        <v>0</v>
      </c>
      <c r="N2859" s="10">
        <v>0</v>
      </c>
      <c r="O2859" s="10">
        <v>6.5020999999999995E-2</v>
      </c>
      <c r="P2859" s="10">
        <f t="shared" si="2687"/>
        <v>6.5020999999999995E-2</v>
      </c>
      <c r="Q2859" s="10">
        <f t="shared" si="2688"/>
        <v>3.4473999999999991E-2</v>
      </c>
      <c r="R2859" s="10" t="s">
        <v>1575</v>
      </c>
      <c r="S2859" s="10" t="s">
        <v>1575</v>
      </c>
      <c r="T2859" s="10" t="s">
        <v>1575</v>
      </c>
      <c r="U2859" s="10" t="s">
        <v>1575</v>
      </c>
      <c r="V2859" s="10">
        <v>0.139905</v>
      </c>
      <c r="W2859" s="10">
        <f>0.003454-0.034001</f>
        <v>-3.0547000000000005E-2</v>
      </c>
      <c r="X2859" s="10">
        <f t="shared" si="2775"/>
        <v>0.109358</v>
      </c>
      <c r="Y2859" s="10" t="str">
        <f t="shared" si="2776"/>
        <v>NA</v>
      </c>
      <c r="Z2859" s="10" t="str">
        <f t="shared" si="2777"/>
        <v>NA</v>
      </c>
      <c r="AA2859" s="10">
        <f t="shared" si="2778"/>
        <v>0.46475108109074009</v>
      </c>
      <c r="AB2859" s="10" t="str">
        <f t="shared" si="2779"/>
        <v>NA</v>
      </c>
      <c r="AC2859" s="10" t="str">
        <f t="shared" si="2780"/>
        <v>NA</v>
      </c>
      <c r="AD2859" s="10" t="str">
        <f t="shared" si="2781"/>
        <v>NA</v>
      </c>
      <c r="AE2859" s="10">
        <f t="shared" si="2782"/>
        <v>0.31523985442308738</v>
      </c>
      <c r="AF2859" s="1" t="s">
        <v>5261</v>
      </c>
    </row>
    <row r="2860" spans="1:32" x14ac:dyDescent="0.2">
      <c r="A2860" s="1" t="s">
        <v>6650</v>
      </c>
      <c r="B2860" s="1" t="s">
        <v>5</v>
      </c>
      <c r="C2860" s="1" t="s">
        <v>1575</v>
      </c>
      <c r="D2860" s="1" t="s">
        <v>1813</v>
      </c>
      <c r="E2860" s="1" t="s">
        <v>1971</v>
      </c>
      <c r="F2860" s="1" t="s">
        <v>2914</v>
      </c>
      <c r="G2860" s="4">
        <v>0.51</v>
      </c>
      <c r="H2860" s="28">
        <v>44389</v>
      </c>
      <c r="I2860" s="29">
        <f t="shared" si="2744"/>
        <v>2021</v>
      </c>
      <c r="J2860" s="1" t="s">
        <v>5259</v>
      </c>
      <c r="K2860" s="1" t="s">
        <v>7</v>
      </c>
      <c r="L2860" s="11" t="str">
        <f t="shared" ref="L2860" si="2795">IF(OR(A2860=J2860,A2860=K2860),"ДА","НЕТ")</f>
        <v>НЕТ</v>
      </c>
      <c r="M2860" s="10">
        <v>0</v>
      </c>
      <c r="N2860" s="10">
        <v>0</v>
      </c>
      <c r="O2860" s="10">
        <v>1.8E-5</v>
      </c>
      <c r="P2860" s="10">
        <f t="shared" si="2687"/>
        <v>3.529411764705882E-5</v>
      </c>
      <c r="Q2860" s="10">
        <f t="shared" si="2688"/>
        <v>7.2629411764705881E-4</v>
      </c>
      <c r="R2860" s="10" t="s">
        <v>1575</v>
      </c>
      <c r="S2860" s="10" t="s">
        <v>1575</v>
      </c>
      <c r="T2860" s="10" t="s">
        <v>1575</v>
      </c>
      <c r="U2860" s="10" t="s">
        <v>1575</v>
      </c>
      <c r="V2860" s="10">
        <v>-6.4700000000000001E-4</v>
      </c>
      <c r="W2860" s="10">
        <f>0.000695-0.000004</f>
        <v>6.9099999999999999E-4</v>
      </c>
      <c r="X2860" s="10">
        <f t="shared" ref="X2860" si="2796">IFERROR(V2860+W2860,"NA")</f>
        <v>4.3999999999999985E-5</v>
      </c>
      <c r="Y2860" s="10" t="str">
        <f t="shared" ref="Y2860" si="2797">IFERROR(P2860/R2860,"NA")</f>
        <v>NA</v>
      </c>
      <c r="Z2860" s="10" t="str">
        <f t="shared" ref="Z2860" si="2798">IFERROR(P2860/U2860,"NA")</f>
        <v>NA</v>
      </c>
      <c r="AA2860" s="10">
        <f t="shared" ref="AA2860" si="2799">IFERROR(P2860/V2860,"NA")</f>
        <v>-5.4550413673970358E-2</v>
      </c>
      <c r="AB2860" s="10" t="str">
        <f t="shared" ref="AB2860" si="2800">IFERROR(Q2860/R2860,"NA")</f>
        <v>NA</v>
      </c>
      <c r="AC2860" s="10" t="str">
        <f t="shared" ref="AC2860" si="2801">IFERROR(Q2860/S2860,"NA")</f>
        <v>NA</v>
      </c>
      <c r="AD2860" s="10" t="str">
        <f t="shared" ref="AD2860" si="2802">IFERROR(Q2860/T2860,"NA")</f>
        <v>NA</v>
      </c>
      <c r="AE2860" s="10">
        <f t="shared" ref="AE2860" si="2803">IFERROR(Q2860/X2860,"NA")</f>
        <v>16.506684491978614</v>
      </c>
      <c r="AF2860" s="1" t="s">
        <v>5260</v>
      </c>
    </row>
    <row r="2861" spans="1:32" x14ac:dyDescent="0.2">
      <c r="A2861" s="1" t="s">
        <v>2949</v>
      </c>
      <c r="B2861" s="1" t="s">
        <v>5</v>
      </c>
      <c r="C2861" s="1" t="s">
        <v>2950</v>
      </c>
      <c r="D2861" s="1" t="s">
        <v>1578</v>
      </c>
      <c r="E2861" s="1" t="s">
        <v>2951</v>
      </c>
      <c r="F2861" s="1" t="s">
        <v>2952</v>
      </c>
      <c r="G2861" s="4">
        <f>95000/111382432</f>
        <v>8.5291727154961029E-4</v>
      </c>
      <c r="H2861" s="28">
        <v>45382</v>
      </c>
      <c r="I2861" s="29">
        <f t="shared" si="2671"/>
        <v>2024</v>
      </c>
      <c r="J2861" s="1" t="s">
        <v>2949</v>
      </c>
      <c r="K2861" s="1" t="s">
        <v>7</v>
      </c>
      <c r="L2861" s="11" t="str">
        <f t="shared" ref="L2861:L2862" si="2804">IF(OR(A2861=J2861,A2861=K2861),"ДА","НЕТ")</f>
        <v>ДА</v>
      </c>
      <c r="M2861" s="10">
        <v>0</v>
      </c>
      <c r="N2861" s="10">
        <v>0</v>
      </c>
      <c r="O2861" s="10">
        <v>2.3980999999999999E-2</v>
      </c>
      <c r="P2861" s="10">
        <f t="shared" si="2687"/>
        <v>28.116443176757894</v>
      </c>
      <c r="Q2861" s="10" t="str">
        <f t="shared" si="2688"/>
        <v>NA</v>
      </c>
      <c r="R2861" s="10" t="s">
        <v>1575</v>
      </c>
      <c r="S2861" s="10" t="s">
        <v>1575</v>
      </c>
      <c r="T2861" s="10" t="s">
        <v>1575</v>
      </c>
      <c r="U2861" s="10" t="s">
        <v>1575</v>
      </c>
      <c r="V2861" s="10" t="s">
        <v>1575</v>
      </c>
      <c r="W2861" s="10" t="s">
        <v>1575</v>
      </c>
      <c r="X2861" s="10" t="str">
        <f t="shared" si="2662"/>
        <v>NA</v>
      </c>
      <c r="Y2861" s="10" t="str">
        <f t="shared" si="2663"/>
        <v>NA</v>
      </c>
      <c r="Z2861" s="10" t="str">
        <f t="shared" si="2664"/>
        <v>NA</v>
      </c>
      <c r="AA2861" s="10" t="str">
        <f t="shared" si="2665"/>
        <v>NA</v>
      </c>
      <c r="AB2861" s="10" t="str">
        <f t="shared" si="2666"/>
        <v>NA</v>
      </c>
      <c r="AC2861" s="10" t="str">
        <f t="shared" si="2667"/>
        <v>NA</v>
      </c>
      <c r="AD2861" s="10" t="str">
        <f t="shared" si="2668"/>
        <v>NA</v>
      </c>
      <c r="AE2861" s="10" t="str">
        <f t="shared" si="2669"/>
        <v>NA</v>
      </c>
      <c r="AF2861" s="1" t="s">
        <v>2947</v>
      </c>
    </row>
    <row r="2862" spans="1:32" x14ac:dyDescent="0.2">
      <c r="A2862" s="1" t="s">
        <v>6651</v>
      </c>
      <c r="B2862" s="1" t="s">
        <v>2953</v>
      </c>
      <c r="C2862" s="1" t="s">
        <v>1575</v>
      </c>
      <c r="D2862" s="1" t="s">
        <v>1578</v>
      </c>
      <c r="E2862" s="1" t="s">
        <v>2951</v>
      </c>
      <c r="F2862" s="1" t="s">
        <v>2952</v>
      </c>
      <c r="G2862" s="4">
        <v>1</v>
      </c>
      <c r="H2862" s="28">
        <v>44805</v>
      </c>
      <c r="I2862" s="29">
        <f t="shared" si="2671"/>
        <v>2022</v>
      </c>
      <c r="J2862" s="1" t="s">
        <v>2949</v>
      </c>
      <c r="K2862" s="1" t="s">
        <v>7</v>
      </c>
      <c r="L2862" s="11" t="str">
        <f t="shared" si="2804"/>
        <v>НЕТ</v>
      </c>
      <c r="M2862" s="10"/>
      <c r="N2862" s="10"/>
      <c r="O2862" s="10">
        <f>0.00007+0.000219</f>
        <v>2.8899999999999998E-4</v>
      </c>
      <c r="P2862" s="10">
        <f t="shared" si="2687"/>
        <v>2.8899999999999998E-4</v>
      </c>
      <c r="Q2862" s="10">
        <f t="shared" si="2688"/>
        <v>6.9349999999999995E-2</v>
      </c>
      <c r="R2862" s="10" t="s">
        <v>1575</v>
      </c>
      <c r="S2862" s="10" t="s">
        <v>1575</v>
      </c>
      <c r="T2862" s="10" t="s">
        <v>1575</v>
      </c>
      <c r="U2862" s="10" t="s">
        <v>1575</v>
      </c>
      <c r="V2862" s="10">
        <v>1.9480000000000001E-2</v>
      </c>
      <c r="W2862" s="10">
        <f>0.134856-0.065795</f>
        <v>6.9060999999999997E-2</v>
      </c>
      <c r="X2862" s="10">
        <f t="shared" si="2662"/>
        <v>8.8540999999999995E-2</v>
      </c>
      <c r="Y2862" s="10" t="str">
        <f t="shared" si="2663"/>
        <v>NA</v>
      </c>
      <c r="Z2862" s="10" t="str">
        <f t="shared" si="2664"/>
        <v>NA</v>
      </c>
      <c r="AA2862" s="10">
        <f t="shared" si="2665"/>
        <v>1.4835728952772072E-2</v>
      </c>
      <c r="AB2862" s="10" t="str">
        <f t="shared" si="2666"/>
        <v>NA</v>
      </c>
      <c r="AC2862" s="10" t="str">
        <f t="shared" si="2667"/>
        <v>NA</v>
      </c>
      <c r="AD2862" s="10" t="str">
        <f t="shared" si="2668"/>
        <v>NA</v>
      </c>
      <c r="AE2862" s="10">
        <f t="shared" si="2669"/>
        <v>0.78325295625755298</v>
      </c>
      <c r="AF2862" s="1" t="s">
        <v>2948</v>
      </c>
    </row>
    <row r="2863" spans="1:32" x14ac:dyDescent="0.2">
      <c r="A2863" s="1" t="s">
        <v>6652</v>
      </c>
      <c r="B2863" s="1" t="s">
        <v>5</v>
      </c>
      <c r="C2863" s="1" t="s">
        <v>1575</v>
      </c>
      <c r="D2863" s="1" t="s">
        <v>1813</v>
      </c>
      <c r="E2863" s="1" t="s">
        <v>1587</v>
      </c>
      <c r="F2863" s="1" t="s">
        <v>2181</v>
      </c>
      <c r="G2863" s="4">
        <v>1</v>
      </c>
      <c r="H2863" s="28">
        <v>44985</v>
      </c>
      <c r="I2863" s="29">
        <f t="shared" si="2671"/>
        <v>2023</v>
      </c>
      <c r="J2863" s="1" t="s">
        <v>6653</v>
      </c>
      <c r="K2863" s="1" t="s">
        <v>7</v>
      </c>
      <c r="L2863" s="11" t="str">
        <f t="shared" si="2540"/>
        <v>НЕТ</v>
      </c>
      <c r="M2863" s="10">
        <v>0</v>
      </c>
      <c r="N2863" s="10">
        <v>0</v>
      </c>
      <c r="O2863" s="10">
        <v>0.43186799999999997</v>
      </c>
      <c r="P2863" s="10">
        <f t="shared" si="2687"/>
        <v>0.43186799999999997</v>
      </c>
      <c r="Q2863" s="10" t="str">
        <f t="shared" si="2688"/>
        <v>NA</v>
      </c>
      <c r="R2863" s="10" t="s">
        <v>1575</v>
      </c>
      <c r="S2863" s="10" t="s">
        <v>1575</v>
      </c>
      <c r="T2863" s="10" t="s">
        <v>1575</v>
      </c>
      <c r="U2863" s="10" t="s">
        <v>1575</v>
      </c>
      <c r="V2863" s="10">
        <v>0.52172399999999997</v>
      </c>
      <c r="W2863" s="10" t="s">
        <v>1575</v>
      </c>
      <c r="X2863" s="10" t="str">
        <f t="shared" si="2662"/>
        <v>NA</v>
      </c>
      <c r="Y2863" s="10" t="str">
        <f t="shared" si="2663"/>
        <v>NA</v>
      </c>
      <c r="Z2863" s="10" t="str">
        <f t="shared" si="2664"/>
        <v>NA</v>
      </c>
      <c r="AA2863" s="10">
        <f t="shared" si="2665"/>
        <v>0.82777100535915538</v>
      </c>
      <c r="AB2863" s="10" t="str">
        <f t="shared" si="2666"/>
        <v>NA</v>
      </c>
      <c r="AC2863" s="10" t="str">
        <f t="shared" si="2667"/>
        <v>NA</v>
      </c>
      <c r="AD2863" s="10" t="str">
        <f t="shared" si="2668"/>
        <v>NA</v>
      </c>
      <c r="AE2863" s="10" t="str">
        <f t="shared" si="2669"/>
        <v>NA</v>
      </c>
      <c r="AF2863" s="1" t="s">
        <v>2186</v>
      </c>
    </row>
    <row r="2864" spans="1:32" x14ac:dyDescent="0.2">
      <c r="A2864" s="1" t="s">
        <v>2180</v>
      </c>
      <c r="B2864" s="1" t="s">
        <v>5</v>
      </c>
      <c r="C2864" s="1" t="s">
        <v>1575</v>
      </c>
      <c r="D2864" s="1" t="s">
        <v>2160</v>
      </c>
      <c r="E2864" s="1" t="s">
        <v>2161</v>
      </c>
      <c r="F2864" s="1" t="s">
        <v>2182</v>
      </c>
      <c r="G2864" s="4">
        <v>1</v>
      </c>
      <c r="H2864" s="28">
        <v>44926</v>
      </c>
      <c r="I2864" s="29">
        <f t="shared" si="2671"/>
        <v>2022</v>
      </c>
      <c r="J2864" s="1" t="s">
        <v>6653</v>
      </c>
      <c r="K2864" s="1" t="s">
        <v>7</v>
      </c>
      <c r="L2864" s="11" t="str">
        <f t="shared" si="2540"/>
        <v>НЕТ</v>
      </c>
      <c r="M2864" s="10">
        <v>0</v>
      </c>
      <c r="N2864" s="10">
        <v>0</v>
      </c>
      <c r="O2864" s="10">
        <v>0.77428399999999997</v>
      </c>
      <c r="P2864" s="10">
        <f t="shared" si="2687"/>
        <v>0.77428399999999997</v>
      </c>
      <c r="Q2864" s="10" t="str">
        <f t="shared" si="2688"/>
        <v>NA</v>
      </c>
      <c r="R2864" s="10" t="s">
        <v>1575</v>
      </c>
      <c r="S2864" s="10" t="s">
        <v>1575</v>
      </c>
      <c r="T2864" s="10" t="s">
        <v>1575</v>
      </c>
      <c r="U2864" s="10" t="s">
        <v>1575</v>
      </c>
      <c r="V2864" s="10">
        <v>0.83304999999999996</v>
      </c>
      <c r="W2864" s="10" t="s">
        <v>1575</v>
      </c>
      <c r="X2864" s="10" t="str">
        <f t="shared" si="2662"/>
        <v>NA</v>
      </c>
      <c r="Y2864" s="10" t="str">
        <f t="shared" si="2663"/>
        <v>NA</v>
      </c>
      <c r="Z2864" s="10" t="str">
        <f t="shared" si="2664"/>
        <v>NA</v>
      </c>
      <c r="AA2864" s="10">
        <f t="shared" si="2665"/>
        <v>0.92945681531720792</v>
      </c>
      <c r="AB2864" s="10" t="str">
        <f t="shared" si="2666"/>
        <v>NA</v>
      </c>
      <c r="AC2864" s="10" t="str">
        <f t="shared" si="2667"/>
        <v>NA</v>
      </c>
      <c r="AD2864" s="10" t="str">
        <f t="shared" si="2668"/>
        <v>NA</v>
      </c>
      <c r="AE2864" s="10" t="str">
        <f t="shared" si="2669"/>
        <v>NA</v>
      </c>
      <c r="AF2864" s="1" t="s">
        <v>2185</v>
      </c>
    </row>
    <row r="2865" spans="1:32" x14ac:dyDescent="0.2">
      <c r="A2865" s="1" t="s">
        <v>2179</v>
      </c>
      <c r="B2865" s="1" t="s">
        <v>5</v>
      </c>
      <c r="C2865" s="1" t="s">
        <v>1575</v>
      </c>
      <c r="D2865" s="1" t="s">
        <v>1813</v>
      </c>
      <c r="E2865" s="1" t="s">
        <v>1971</v>
      </c>
      <c r="F2865" s="1" t="s">
        <v>2183</v>
      </c>
      <c r="G2865" s="4">
        <v>1</v>
      </c>
      <c r="H2865" s="28">
        <v>44895</v>
      </c>
      <c r="I2865" s="29">
        <f t="shared" si="2671"/>
        <v>2022</v>
      </c>
      <c r="J2865" s="1" t="s">
        <v>6653</v>
      </c>
      <c r="K2865" s="1" t="s">
        <v>7</v>
      </c>
      <c r="L2865" s="11" t="str">
        <f t="shared" si="2540"/>
        <v>НЕТ</v>
      </c>
      <c r="M2865" s="10">
        <v>0</v>
      </c>
      <c r="N2865" s="10">
        <v>0</v>
      </c>
      <c r="O2865" s="10">
        <v>1.0000000000000001E-5</v>
      </c>
      <c r="P2865" s="10">
        <f t="shared" si="2687"/>
        <v>1.0000000000000001E-5</v>
      </c>
      <c r="Q2865" s="10" t="str">
        <f t="shared" si="2688"/>
        <v>NA</v>
      </c>
      <c r="R2865" s="10" t="s">
        <v>1575</v>
      </c>
      <c r="S2865" s="10" t="s">
        <v>1575</v>
      </c>
      <c r="T2865" s="10" t="s">
        <v>1575</v>
      </c>
      <c r="U2865" s="10" t="s">
        <v>1575</v>
      </c>
      <c r="V2865" s="10">
        <v>7.0080000000000003E-3</v>
      </c>
      <c r="W2865" s="10" t="s">
        <v>1575</v>
      </c>
      <c r="X2865" s="10" t="str">
        <f t="shared" si="2662"/>
        <v>NA</v>
      </c>
      <c r="Y2865" s="10" t="str">
        <f t="shared" si="2663"/>
        <v>NA</v>
      </c>
      <c r="Z2865" s="10" t="str">
        <f t="shared" si="2664"/>
        <v>NA</v>
      </c>
      <c r="AA2865" s="10">
        <f t="shared" si="2665"/>
        <v>1.4269406392694065E-3</v>
      </c>
      <c r="AB2865" s="10" t="str">
        <f t="shared" si="2666"/>
        <v>NA</v>
      </c>
      <c r="AC2865" s="10" t="str">
        <f t="shared" si="2667"/>
        <v>NA</v>
      </c>
      <c r="AD2865" s="10" t="str">
        <f t="shared" si="2668"/>
        <v>NA</v>
      </c>
      <c r="AE2865" s="10" t="str">
        <f t="shared" si="2669"/>
        <v>NA</v>
      </c>
      <c r="AF2865" s="1" t="s">
        <v>2184</v>
      </c>
    </row>
    <row r="2866" spans="1:32" x14ac:dyDescent="0.2">
      <c r="A2866" s="1" t="s">
        <v>6654</v>
      </c>
      <c r="B2866" s="1" t="s">
        <v>5</v>
      </c>
      <c r="C2866" s="1" t="s">
        <v>1575</v>
      </c>
      <c r="D2866" s="1" t="s">
        <v>1813</v>
      </c>
      <c r="E2866" s="1" t="s">
        <v>1587</v>
      </c>
      <c r="F2866" s="1" t="s">
        <v>2188</v>
      </c>
      <c r="G2866" s="4">
        <v>1</v>
      </c>
      <c r="H2866" s="28">
        <v>44340</v>
      </c>
      <c r="I2866" s="29">
        <f t="shared" si="2671"/>
        <v>2021</v>
      </c>
      <c r="J2866" s="1" t="s">
        <v>6653</v>
      </c>
      <c r="K2866" s="1" t="s">
        <v>7</v>
      </c>
      <c r="L2866" s="11" t="str">
        <f t="shared" si="2540"/>
        <v>НЕТ</v>
      </c>
      <c r="M2866" s="10">
        <v>0</v>
      </c>
      <c r="N2866" s="10">
        <v>0</v>
      </c>
      <c r="O2866" s="10">
        <v>6.0470000000000003E-3</v>
      </c>
      <c r="P2866" s="10">
        <f t="shared" si="2687"/>
        <v>6.0470000000000003E-3</v>
      </c>
      <c r="Q2866" s="10" t="str">
        <f t="shared" si="2688"/>
        <v>NA</v>
      </c>
      <c r="R2866" s="10" t="s">
        <v>1575</v>
      </c>
      <c r="S2866" s="10" t="s">
        <v>1575</v>
      </c>
      <c r="T2866" s="10" t="s">
        <v>1575</v>
      </c>
      <c r="U2866" s="10" t="s">
        <v>1575</v>
      </c>
      <c r="V2866" s="10">
        <v>1.1202999999999999E-2</v>
      </c>
      <c r="W2866" s="10" t="s">
        <v>1575</v>
      </c>
      <c r="X2866" s="10" t="str">
        <f t="shared" si="2662"/>
        <v>NA</v>
      </c>
      <c r="Y2866" s="10" t="str">
        <f t="shared" si="2663"/>
        <v>NA</v>
      </c>
      <c r="Z2866" s="10" t="str">
        <f t="shared" si="2664"/>
        <v>NA</v>
      </c>
      <c r="AA2866" s="10">
        <f t="shared" si="2665"/>
        <v>0.53976613407123097</v>
      </c>
      <c r="AB2866" s="10" t="str">
        <f t="shared" si="2666"/>
        <v>NA</v>
      </c>
      <c r="AC2866" s="10" t="str">
        <f t="shared" si="2667"/>
        <v>NA</v>
      </c>
      <c r="AD2866" s="10" t="str">
        <f t="shared" si="2668"/>
        <v>NA</v>
      </c>
      <c r="AE2866" s="10" t="str">
        <f t="shared" si="2669"/>
        <v>NA</v>
      </c>
      <c r="AF2866" s="1" t="s">
        <v>2187</v>
      </c>
    </row>
    <row r="2867" spans="1:32" x14ac:dyDescent="0.2">
      <c r="A2867" s="1" t="s">
        <v>6655</v>
      </c>
      <c r="B2867" s="1" t="s">
        <v>5</v>
      </c>
      <c r="C2867" s="1" t="s">
        <v>1575</v>
      </c>
      <c r="D2867" s="1" t="s">
        <v>1595</v>
      </c>
      <c r="E2867" s="16" t="s">
        <v>9208</v>
      </c>
      <c r="F2867" s="1" t="s">
        <v>1947</v>
      </c>
      <c r="G2867" s="4">
        <v>0.99</v>
      </c>
      <c r="H2867" s="28">
        <v>43769</v>
      </c>
      <c r="I2867" s="29">
        <f t="shared" si="2671"/>
        <v>2019</v>
      </c>
      <c r="J2867" s="1" t="s">
        <v>7</v>
      </c>
      <c r="K2867" s="1" t="s">
        <v>6653</v>
      </c>
      <c r="L2867" s="11" t="str">
        <f t="shared" si="2540"/>
        <v>НЕТ</v>
      </c>
      <c r="M2867" s="10">
        <v>0</v>
      </c>
      <c r="N2867" s="10">
        <v>0</v>
      </c>
      <c r="O2867" s="10" t="s">
        <v>1575</v>
      </c>
      <c r="P2867" s="10" t="str">
        <f t="shared" si="2687"/>
        <v>NA</v>
      </c>
      <c r="Q2867" s="10" t="str">
        <f t="shared" si="2688"/>
        <v>NA</v>
      </c>
      <c r="R2867" s="10" t="s">
        <v>1575</v>
      </c>
      <c r="S2867" s="10" t="s">
        <v>1575</v>
      </c>
      <c r="T2867" s="10" t="s">
        <v>1575</v>
      </c>
      <c r="U2867" s="10" t="s">
        <v>1575</v>
      </c>
      <c r="V2867" s="10" t="s">
        <v>1575</v>
      </c>
      <c r="W2867" s="10" t="s">
        <v>1575</v>
      </c>
      <c r="X2867" s="10" t="str">
        <f t="shared" si="2662"/>
        <v>NA</v>
      </c>
      <c r="Y2867" s="10" t="str">
        <f t="shared" si="2663"/>
        <v>NA</v>
      </c>
      <c r="Z2867" s="10" t="str">
        <f t="shared" si="2664"/>
        <v>NA</v>
      </c>
      <c r="AA2867" s="10" t="str">
        <f t="shared" si="2665"/>
        <v>NA</v>
      </c>
      <c r="AB2867" s="10" t="str">
        <f t="shared" si="2666"/>
        <v>NA</v>
      </c>
      <c r="AC2867" s="10" t="str">
        <f t="shared" si="2667"/>
        <v>NA</v>
      </c>
      <c r="AD2867" s="10" t="str">
        <f t="shared" si="2668"/>
        <v>NA</v>
      </c>
      <c r="AE2867" s="10" t="str">
        <f t="shared" si="2669"/>
        <v>NA</v>
      </c>
      <c r="AF2867" s="1" t="s">
        <v>2189</v>
      </c>
    </row>
    <row r="2868" spans="1:32" x14ac:dyDescent="0.2">
      <c r="A2868" s="1" t="s">
        <v>6656</v>
      </c>
      <c r="B2868" s="1" t="s">
        <v>5</v>
      </c>
      <c r="C2868" s="1" t="s">
        <v>1575</v>
      </c>
      <c r="D2868" s="1" t="s">
        <v>1595</v>
      </c>
      <c r="E2868" s="1" t="s">
        <v>1810</v>
      </c>
      <c r="F2868" s="1" t="s">
        <v>2190</v>
      </c>
      <c r="G2868" s="4">
        <v>1</v>
      </c>
      <c r="H2868" s="28">
        <v>41091</v>
      </c>
      <c r="I2868" s="29">
        <f t="shared" si="2671"/>
        <v>2012</v>
      </c>
      <c r="J2868" s="1" t="s">
        <v>6653</v>
      </c>
      <c r="K2868" s="1" t="s">
        <v>7</v>
      </c>
      <c r="L2868" s="11" t="str">
        <f t="shared" si="2540"/>
        <v>НЕТ</v>
      </c>
      <c r="M2868" s="10">
        <v>0</v>
      </c>
      <c r="N2868" s="10">
        <v>0</v>
      </c>
      <c r="O2868" s="10">
        <v>0.02</v>
      </c>
      <c r="P2868" s="10">
        <f t="shared" si="2687"/>
        <v>0.02</v>
      </c>
      <c r="Q2868" s="10" t="str">
        <f t="shared" si="2688"/>
        <v>NA</v>
      </c>
      <c r="R2868" s="10" t="s">
        <v>1575</v>
      </c>
      <c r="S2868" s="10" t="s">
        <v>1575</v>
      </c>
      <c r="T2868" s="10" t="s">
        <v>1575</v>
      </c>
      <c r="U2868" s="10" t="s">
        <v>1575</v>
      </c>
      <c r="V2868" s="10">
        <v>1.6540000000000001E-3</v>
      </c>
      <c r="W2868" s="10" t="s">
        <v>1575</v>
      </c>
      <c r="X2868" s="10" t="str">
        <f t="shared" si="2662"/>
        <v>NA</v>
      </c>
      <c r="Y2868" s="10" t="str">
        <f t="shared" si="2663"/>
        <v>NA</v>
      </c>
      <c r="Z2868" s="10" t="str">
        <f t="shared" si="2664"/>
        <v>NA</v>
      </c>
      <c r="AA2868" s="10">
        <f t="shared" si="2665"/>
        <v>12.091898428053204</v>
      </c>
      <c r="AB2868" s="10" t="str">
        <f t="shared" si="2666"/>
        <v>NA</v>
      </c>
      <c r="AC2868" s="10" t="str">
        <f t="shared" si="2667"/>
        <v>NA</v>
      </c>
      <c r="AD2868" s="10" t="str">
        <f t="shared" si="2668"/>
        <v>NA</v>
      </c>
      <c r="AE2868" s="10" t="str">
        <f t="shared" si="2669"/>
        <v>NA</v>
      </c>
      <c r="AF2868" s="1" t="s">
        <v>2191</v>
      </c>
    </row>
    <row r="2869" spans="1:32" x14ac:dyDescent="0.2">
      <c r="A2869" s="1" t="s">
        <v>6657</v>
      </c>
      <c r="B2869" s="1" t="s">
        <v>5</v>
      </c>
      <c r="C2869" s="1" t="s">
        <v>1575</v>
      </c>
      <c r="D2869" s="1" t="s">
        <v>1578</v>
      </c>
      <c r="E2869" s="1" t="s">
        <v>2707</v>
      </c>
      <c r="F2869" s="1" t="s">
        <v>2709</v>
      </c>
      <c r="G2869" s="4" t="s">
        <v>1575</v>
      </c>
      <c r="H2869" s="28">
        <v>43830</v>
      </c>
      <c r="I2869" s="29">
        <f t="shared" si="2671"/>
        <v>2019</v>
      </c>
      <c r="J2869" s="1" t="s">
        <v>7</v>
      </c>
      <c r="K2869" s="1" t="s">
        <v>2706</v>
      </c>
      <c r="L2869" s="11" t="str">
        <f t="shared" si="2540"/>
        <v>НЕТ</v>
      </c>
      <c r="M2869" s="10">
        <v>0</v>
      </c>
      <c r="N2869" s="10">
        <v>0</v>
      </c>
      <c r="O2869" s="10" t="s">
        <v>1575</v>
      </c>
      <c r="P2869" s="10" t="str">
        <f t="shared" si="2687"/>
        <v>NA</v>
      </c>
      <c r="Q2869" s="10" t="str">
        <f t="shared" si="2688"/>
        <v>NA</v>
      </c>
      <c r="R2869" s="10" t="s">
        <v>1575</v>
      </c>
      <c r="S2869" s="10" t="s">
        <v>1575</v>
      </c>
      <c r="T2869" s="10" t="s">
        <v>1575</v>
      </c>
      <c r="U2869" s="10" t="s">
        <v>1575</v>
      </c>
      <c r="V2869" s="10" t="s">
        <v>1575</v>
      </c>
      <c r="W2869" s="10" t="s">
        <v>1575</v>
      </c>
      <c r="X2869" s="10" t="str">
        <f t="shared" si="2662"/>
        <v>NA</v>
      </c>
      <c r="Y2869" s="10" t="str">
        <f t="shared" si="2663"/>
        <v>NA</v>
      </c>
      <c r="Z2869" s="10" t="str">
        <f t="shared" si="2664"/>
        <v>NA</v>
      </c>
      <c r="AA2869" s="10" t="str">
        <f t="shared" si="2665"/>
        <v>NA</v>
      </c>
      <c r="AB2869" s="10" t="str">
        <f t="shared" si="2666"/>
        <v>NA</v>
      </c>
      <c r="AC2869" s="10" t="str">
        <f t="shared" si="2667"/>
        <v>NA</v>
      </c>
      <c r="AD2869" s="10" t="str">
        <f t="shared" si="2668"/>
        <v>NA</v>
      </c>
      <c r="AE2869" s="10" t="str">
        <f t="shared" si="2669"/>
        <v>NA</v>
      </c>
      <c r="AF2869" s="1" t="s">
        <v>2705</v>
      </c>
    </row>
    <row r="2870" spans="1:32" x14ac:dyDescent="0.2">
      <c r="A2870" s="1" t="s">
        <v>6658</v>
      </c>
      <c r="B2870" s="1" t="s">
        <v>5</v>
      </c>
      <c r="C2870" s="1" t="s">
        <v>1575</v>
      </c>
      <c r="D2870" s="1" t="s">
        <v>1578</v>
      </c>
      <c r="E2870" s="1" t="s">
        <v>9266</v>
      </c>
      <c r="F2870" s="1" t="s">
        <v>2708</v>
      </c>
      <c r="G2870" s="4" t="s">
        <v>1575</v>
      </c>
      <c r="H2870" s="28">
        <v>43830</v>
      </c>
      <c r="I2870" s="29">
        <f t="shared" si="2671"/>
        <v>2019</v>
      </c>
      <c r="J2870" s="1" t="s">
        <v>7</v>
      </c>
      <c r="K2870" s="1" t="s">
        <v>2706</v>
      </c>
      <c r="L2870" s="11" t="str">
        <f t="shared" ref="L2870" si="2805">IF(OR(A2870=J2870,A2870=K2870),"ДА","НЕТ")</f>
        <v>НЕТ</v>
      </c>
      <c r="M2870" s="10">
        <v>0</v>
      </c>
      <c r="N2870" s="10">
        <v>0</v>
      </c>
      <c r="O2870" s="10">
        <v>6.9999999999999999E-6</v>
      </c>
      <c r="P2870" s="10" t="str">
        <f t="shared" si="2687"/>
        <v>NA</v>
      </c>
      <c r="Q2870" s="10" t="str">
        <f t="shared" si="2688"/>
        <v>NA</v>
      </c>
      <c r="R2870" s="10" t="s">
        <v>1575</v>
      </c>
      <c r="S2870" s="10" t="s">
        <v>1575</v>
      </c>
      <c r="T2870" s="10" t="s">
        <v>1575</v>
      </c>
      <c r="U2870" s="10" t="s">
        <v>1575</v>
      </c>
      <c r="V2870" s="10" t="s">
        <v>1575</v>
      </c>
      <c r="W2870" s="10" t="s">
        <v>1575</v>
      </c>
      <c r="X2870" s="10" t="str">
        <f t="shared" si="2662"/>
        <v>NA</v>
      </c>
      <c r="Y2870" s="10" t="str">
        <f t="shared" si="2663"/>
        <v>NA</v>
      </c>
      <c r="Z2870" s="10" t="str">
        <f t="shared" si="2664"/>
        <v>NA</v>
      </c>
      <c r="AA2870" s="10" t="str">
        <f t="shared" si="2665"/>
        <v>NA</v>
      </c>
      <c r="AB2870" s="10" t="str">
        <f t="shared" si="2666"/>
        <v>NA</v>
      </c>
      <c r="AC2870" s="10" t="str">
        <f t="shared" si="2667"/>
        <v>NA</v>
      </c>
      <c r="AD2870" s="10" t="str">
        <f t="shared" si="2668"/>
        <v>NA</v>
      </c>
      <c r="AE2870" s="10" t="str">
        <f t="shared" si="2669"/>
        <v>NA</v>
      </c>
      <c r="AF2870" s="1" t="s">
        <v>2705</v>
      </c>
    </row>
    <row r="2871" spans="1:32" x14ac:dyDescent="0.2">
      <c r="A2871" s="1" t="s">
        <v>568</v>
      </c>
      <c r="B2871" s="1" t="s">
        <v>5</v>
      </c>
      <c r="C2871" s="1" t="s">
        <v>1575</v>
      </c>
      <c r="D2871" s="1" t="s">
        <v>1578</v>
      </c>
      <c r="E2871" s="1" t="s">
        <v>2711</v>
      </c>
      <c r="F2871" s="1" t="s">
        <v>2712</v>
      </c>
      <c r="G2871" s="4" t="s">
        <v>11</v>
      </c>
      <c r="H2871" s="28">
        <v>41729</v>
      </c>
      <c r="I2871" s="29">
        <f t="shared" si="2671"/>
        <v>2014</v>
      </c>
      <c r="J2871" s="1" t="s">
        <v>2706</v>
      </c>
      <c r="K2871" s="1" t="s">
        <v>7</v>
      </c>
      <c r="L2871" s="11" t="str">
        <f t="shared" si="2540"/>
        <v>НЕТ</v>
      </c>
      <c r="M2871" s="10">
        <v>0</v>
      </c>
      <c r="N2871" s="10">
        <v>0</v>
      </c>
      <c r="O2871" s="10">
        <v>2.895E-2</v>
      </c>
      <c r="P2871" s="10" t="str">
        <f t="shared" si="2687"/>
        <v>NA</v>
      </c>
      <c r="Q2871" s="10" t="str">
        <f t="shared" si="2688"/>
        <v>NA</v>
      </c>
      <c r="R2871" s="10" t="s">
        <v>1575</v>
      </c>
      <c r="S2871" s="10" t="s">
        <v>1575</v>
      </c>
      <c r="T2871" s="10" t="s">
        <v>1575</v>
      </c>
      <c r="U2871" s="10" t="s">
        <v>1575</v>
      </c>
      <c r="V2871" s="10">
        <f>0.015168+0.013782</f>
        <v>2.895E-2</v>
      </c>
      <c r="W2871" s="10" t="s">
        <v>1575</v>
      </c>
      <c r="X2871" s="10" t="str">
        <f t="shared" si="2662"/>
        <v>NA</v>
      </c>
      <c r="Y2871" s="10" t="str">
        <f t="shared" si="2663"/>
        <v>NA</v>
      </c>
      <c r="Z2871" s="10" t="str">
        <f t="shared" si="2664"/>
        <v>NA</v>
      </c>
      <c r="AA2871" s="10" t="str">
        <f t="shared" si="2665"/>
        <v>NA</v>
      </c>
      <c r="AB2871" s="10" t="str">
        <f t="shared" si="2666"/>
        <v>NA</v>
      </c>
      <c r="AC2871" s="10" t="str">
        <f t="shared" si="2667"/>
        <v>NA</v>
      </c>
      <c r="AD2871" s="10" t="str">
        <f t="shared" si="2668"/>
        <v>NA</v>
      </c>
      <c r="AE2871" s="10" t="str">
        <f t="shared" si="2669"/>
        <v>NA</v>
      </c>
      <c r="AF2871" s="1" t="s">
        <v>2710</v>
      </c>
    </row>
    <row r="2872" spans="1:32" x14ac:dyDescent="0.2">
      <c r="A2872" s="1" t="s">
        <v>2714</v>
      </c>
      <c r="B2872" s="1" t="s">
        <v>1575</v>
      </c>
      <c r="C2872" s="1" t="s">
        <v>1575</v>
      </c>
      <c r="D2872" s="1" t="s">
        <v>1813</v>
      </c>
      <c r="E2872" s="1" t="s">
        <v>1587</v>
      </c>
      <c r="F2872" s="1" t="s">
        <v>2716</v>
      </c>
      <c r="G2872" s="4">
        <v>0.8</v>
      </c>
      <c r="H2872" s="28">
        <v>44592</v>
      </c>
      <c r="I2872" s="29">
        <f t="shared" si="2671"/>
        <v>2022</v>
      </c>
      <c r="J2872" s="1" t="s">
        <v>2713</v>
      </c>
      <c r="K2872" s="1" t="s">
        <v>7</v>
      </c>
      <c r="L2872" s="11" t="str">
        <f t="shared" ref="L2872" si="2806">IF(OR(A2872=J2872,A2872=K2872),"ДА","НЕТ")</f>
        <v>НЕТ</v>
      </c>
      <c r="M2872" s="10">
        <v>0</v>
      </c>
      <c r="N2872" s="10">
        <v>0</v>
      </c>
      <c r="O2872" s="10">
        <v>0.82199999999999995</v>
      </c>
      <c r="P2872" s="10">
        <f t="shared" si="2687"/>
        <v>1.0274999999999999</v>
      </c>
      <c r="Q2872" s="10">
        <f t="shared" si="2688"/>
        <v>1.0664999999999998</v>
      </c>
      <c r="R2872" s="10" t="s">
        <v>1575</v>
      </c>
      <c r="S2872" s="10" t="s">
        <v>1575</v>
      </c>
      <c r="T2872" s="10" t="s">
        <v>1575</v>
      </c>
      <c r="U2872" s="10" t="s">
        <v>1575</v>
      </c>
      <c r="V2872" s="10">
        <v>0.19400000000000001</v>
      </c>
      <c r="W2872" s="10">
        <v>3.9E-2</v>
      </c>
      <c r="X2872" s="10">
        <f t="shared" si="2662"/>
        <v>0.23300000000000001</v>
      </c>
      <c r="Y2872" s="10" t="str">
        <f t="shared" si="2663"/>
        <v>NA</v>
      </c>
      <c r="Z2872" s="10" t="str">
        <f t="shared" si="2664"/>
        <v>NA</v>
      </c>
      <c r="AA2872" s="10">
        <f t="shared" si="2665"/>
        <v>5.2963917525773185</v>
      </c>
      <c r="AB2872" s="10" t="str">
        <f t="shared" si="2666"/>
        <v>NA</v>
      </c>
      <c r="AC2872" s="10" t="str">
        <f t="shared" si="2667"/>
        <v>NA</v>
      </c>
      <c r="AD2872" s="10" t="str">
        <f t="shared" si="2668"/>
        <v>NA</v>
      </c>
      <c r="AE2872" s="10">
        <f t="shared" si="2669"/>
        <v>4.5772532188841186</v>
      </c>
      <c r="AF2872" s="1" t="s">
        <v>2715</v>
      </c>
    </row>
    <row r="2873" spans="1:32" x14ac:dyDescent="0.2">
      <c r="A2873" s="1" t="s">
        <v>2717</v>
      </c>
      <c r="B2873" s="1" t="s">
        <v>5</v>
      </c>
      <c r="C2873" s="1" t="s">
        <v>1575</v>
      </c>
      <c r="D2873" s="1" t="s">
        <v>1813</v>
      </c>
      <c r="E2873" s="1" t="s">
        <v>1587</v>
      </c>
      <c r="F2873" s="1" t="s">
        <v>2718</v>
      </c>
      <c r="G2873" s="4">
        <v>0.79</v>
      </c>
      <c r="H2873" s="28">
        <v>44926</v>
      </c>
      <c r="I2873" s="29">
        <f t="shared" si="2671"/>
        <v>2022</v>
      </c>
      <c r="J2873" s="1" t="s">
        <v>2713</v>
      </c>
      <c r="K2873" s="1" t="s">
        <v>7</v>
      </c>
      <c r="L2873" s="11" t="str">
        <f t="shared" ref="L2873" si="2807">IF(OR(A2873=J2873,A2873=K2873),"ДА","НЕТ")</f>
        <v>НЕТ</v>
      </c>
      <c r="M2873" s="10">
        <v>0</v>
      </c>
      <c r="N2873" s="10">
        <v>0</v>
      </c>
      <c r="O2873" s="10">
        <v>1.7729999999999999</v>
      </c>
      <c r="P2873" s="10">
        <f t="shared" si="2687"/>
        <v>2.2443037974683544</v>
      </c>
      <c r="Q2873" s="10">
        <f t="shared" si="2688"/>
        <v>-0.70469620253164544</v>
      </c>
      <c r="R2873" s="10" t="s">
        <v>1575</v>
      </c>
      <c r="S2873" s="10" t="s">
        <v>1575</v>
      </c>
      <c r="T2873" s="10" t="s">
        <v>1575</v>
      </c>
      <c r="U2873" s="10" t="s">
        <v>1575</v>
      </c>
      <c r="V2873" s="10">
        <v>1.1850000000000001</v>
      </c>
      <c r="W2873" s="10">
        <f>0.14-3.089</f>
        <v>-2.9489999999999998</v>
      </c>
      <c r="X2873" s="10">
        <f t="shared" si="2662"/>
        <v>-1.7639999999999998</v>
      </c>
      <c r="Y2873" s="10" t="str">
        <f t="shared" si="2663"/>
        <v>NA</v>
      </c>
      <c r="Z2873" s="10" t="str">
        <f t="shared" si="2664"/>
        <v>NA</v>
      </c>
      <c r="AA2873" s="10">
        <f t="shared" si="2665"/>
        <v>1.8939272552475563</v>
      </c>
      <c r="AB2873" s="10" t="str">
        <f t="shared" si="2666"/>
        <v>NA</v>
      </c>
      <c r="AC2873" s="10" t="str">
        <f t="shared" si="2667"/>
        <v>NA</v>
      </c>
      <c r="AD2873" s="10" t="str">
        <f t="shared" si="2668"/>
        <v>NA</v>
      </c>
      <c r="AE2873" s="10">
        <f t="shared" si="2669"/>
        <v>0.39948764315852919</v>
      </c>
      <c r="AF2873" s="1" t="s">
        <v>2719</v>
      </c>
    </row>
    <row r="2874" spans="1:32" x14ac:dyDescent="0.2">
      <c r="A2874" s="1" t="s">
        <v>2720</v>
      </c>
      <c r="B2874" s="1" t="s">
        <v>879</v>
      </c>
      <c r="C2874" s="1" t="s">
        <v>1575</v>
      </c>
      <c r="D2874" s="1" t="s">
        <v>1580</v>
      </c>
      <c r="E2874" s="1" t="s">
        <v>1827</v>
      </c>
      <c r="F2874" s="1" t="s">
        <v>2281</v>
      </c>
      <c r="G2874" s="4">
        <v>9.9099999999999994E-2</v>
      </c>
      <c r="H2874" s="28">
        <v>44834</v>
      </c>
      <c r="I2874" s="29">
        <f t="shared" si="2671"/>
        <v>2022</v>
      </c>
      <c r="J2874" s="1" t="s">
        <v>2713</v>
      </c>
      <c r="K2874" s="1" t="s">
        <v>7</v>
      </c>
      <c r="L2874" s="11" t="str">
        <f t="shared" ref="L2874" si="2808">IF(OR(A2874=J2874,A2874=K2874),"ДА","НЕТ")</f>
        <v>НЕТ</v>
      </c>
      <c r="M2874" s="10">
        <v>0</v>
      </c>
      <c r="N2874" s="10">
        <v>0</v>
      </c>
      <c r="O2874" s="10">
        <v>0.32700000000000001</v>
      </c>
      <c r="P2874" s="10">
        <f t="shared" si="2687"/>
        <v>3.2996972754793141</v>
      </c>
      <c r="Q2874" s="10">
        <f t="shared" si="2688"/>
        <v>3.2086972754793139</v>
      </c>
      <c r="R2874" s="10" t="s">
        <v>1575</v>
      </c>
      <c r="S2874" s="10" t="s">
        <v>1575</v>
      </c>
      <c r="T2874" s="10" t="s">
        <v>1575</v>
      </c>
      <c r="U2874" s="10" t="s">
        <v>1575</v>
      </c>
      <c r="V2874" s="10">
        <v>0.873</v>
      </c>
      <c r="W2874" s="10">
        <f>0.512-0.603</f>
        <v>-9.099999999999997E-2</v>
      </c>
      <c r="X2874" s="10">
        <f t="shared" si="2662"/>
        <v>0.78200000000000003</v>
      </c>
      <c r="Y2874" s="10" t="str">
        <f t="shared" si="2663"/>
        <v>NA</v>
      </c>
      <c r="Z2874" s="10" t="str">
        <f t="shared" si="2664"/>
        <v>NA</v>
      </c>
      <c r="AA2874" s="10">
        <f t="shared" si="2665"/>
        <v>3.7797219650393061</v>
      </c>
      <c r="AB2874" s="10" t="str">
        <f t="shared" si="2666"/>
        <v>NA</v>
      </c>
      <c r="AC2874" s="10" t="str">
        <f t="shared" si="2667"/>
        <v>NA</v>
      </c>
      <c r="AD2874" s="10" t="str">
        <f t="shared" si="2668"/>
        <v>NA</v>
      </c>
      <c r="AE2874" s="10">
        <f t="shared" si="2669"/>
        <v>4.1031934469044931</v>
      </c>
      <c r="AF2874" s="1" t="s">
        <v>2721</v>
      </c>
    </row>
    <row r="2875" spans="1:32" x14ac:dyDescent="0.2">
      <c r="A2875" s="1" t="s">
        <v>6585</v>
      </c>
      <c r="B2875" s="1" t="s">
        <v>5</v>
      </c>
      <c r="C2875" s="1" t="s">
        <v>1575</v>
      </c>
      <c r="D2875" s="1" t="s">
        <v>1580</v>
      </c>
      <c r="E2875" s="1" t="s">
        <v>1827</v>
      </c>
      <c r="F2875" s="1" t="s">
        <v>2281</v>
      </c>
      <c r="G2875" s="4">
        <v>0.4</v>
      </c>
      <c r="H2875" s="28">
        <v>44469</v>
      </c>
      <c r="I2875" s="29">
        <f t="shared" si="2671"/>
        <v>2021</v>
      </c>
      <c r="J2875" s="1" t="s">
        <v>7</v>
      </c>
      <c r="K2875" s="1" t="s">
        <v>2713</v>
      </c>
      <c r="L2875" s="11" t="str">
        <f t="shared" ref="L2875:L2878" si="2809">IF(OR(A2875=J2875,A2875=K2875),"ДА","НЕТ")</f>
        <v>НЕТ</v>
      </c>
      <c r="M2875" s="10">
        <v>0</v>
      </c>
      <c r="N2875" s="10">
        <v>0</v>
      </c>
      <c r="O2875" s="10">
        <v>8.1769999999999996</v>
      </c>
      <c r="P2875" s="10">
        <f t="shared" si="2687"/>
        <v>20.442499999999999</v>
      </c>
      <c r="Q2875" s="10" t="str">
        <f t="shared" si="2688"/>
        <v>NA</v>
      </c>
      <c r="R2875" s="10" t="s">
        <v>1575</v>
      </c>
      <c r="S2875" s="10" t="s">
        <v>1575</v>
      </c>
      <c r="T2875" s="10" t="s">
        <v>1575</v>
      </c>
      <c r="U2875" s="10" t="s">
        <v>1575</v>
      </c>
      <c r="V2875" s="10" t="s">
        <v>1575</v>
      </c>
      <c r="W2875" s="10" t="s">
        <v>1575</v>
      </c>
      <c r="X2875" s="10" t="str">
        <f t="shared" si="2662"/>
        <v>NA</v>
      </c>
      <c r="Y2875" s="10" t="str">
        <f t="shared" si="2663"/>
        <v>NA</v>
      </c>
      <c r="Z2875" s="10" t="str">
        <f t="shared" si="2664"/>
        <v>NA</v>
      </c>
      <c r="AA2875" s="10" t="str">
        <f t="shared" si="2665"/>
        <v>NA</v>
      </c>
      <c r="AB2875" s="10" t="str">
        <f t="shared" si="2666"/>
        <v>NA</v>
      </c>
      <c r="AC2875" s="10" t="str">
        <f t="shared" si="2667"/>
        <v>NA</v>
      </c>
      <c r="AD2875" s="10" t="str">
        <f t="shared" si="2668"/>
        <v>NA</v>
      </c>
      <c r="AE2875" s="10" t="str">
        <f t="shared" si="2669"/>
        <v>NA</v>
      </c>
      <c r="AF2875" s="1" t="s">
        <v>2722</v>
      </c>
    </row>
    <row r="2876" spans="1:32" x14ac:dyDescent="0.2">
      <c r="A2876" s="1" t="s">
        <v>2727</v>
      </c>
      <c r="B2876" s="1" t="s">
        <v>5</v>
      </c>
      <c r="C2876" s="1" t="s">
        <v>1575</v>
      </c>
      <c r="D2876" s="1" t="s">
        <v>1813</v>
      </c>
      <c r="E2876" s="1" t="s">
        <v>1971</v>
      </c>
      <c r="F2876" s="1" t="s">
        <v>2728</v>
      </c>
      <c r="G2876" s="4">
        <v>1</v>
      </c>
      <c r="H2876" s="28">
        <v>43830</v>
      </c>
      <c r="I2876" s="29">
        <f t="shared" si="2671"/>
        <v>2019</v>
      </c>
      <c r="J2876" s="1" t="s">
        <v>2713</v>
      </c>
      <c r="K2876" s="1" t="s">
        <v>7</v>
      </c>
      <c r="L2876" s="11" t="str">
        <f t="shared" si="2809"/>
        <v>НЕТ</v>
      </c>
      <c r="M2876" s="10">
        <v>0</v>
      </c>
      <c r="N2876" s="10">
        <v>0</v>
      </c>
      <c r="O2876" s="10">
        <v>0.129</v>
      </c>
      <c r="P2876" s="10">
        <f t="shared" si="2687"/>
        <v>0.129</v>
      </c>
      <c r="Q2876" s="10" t="str">
        <f t="shared" si="2688"/>
        <v>NA</v>
      </c>
      <c r="R2876" s="10" t="s">
        <v>1575</v>
      </c>
      <c r="S2876" s="10" t="s">
        <v>1575</v>
      </c>
      <c r="T2876" s="10" t="s">
        <v>1575</v>
      </c>
      <c r="U2876" s="10" t="s">
        <v>1575</v>
      </c>
      <c r="V2876" s="10" t="s">
        <v>1575</v>
      </c>
      <c r="W2876" s="10" t="s">
        <v>1575</v>
      </c>
      <c r="X2876" s="10" t="str">
        <f t="shared" si="2662"/>
        <v>NA</v>
      </c>
      <c r="Y2876" s="10" t="str">
        <f t="shared" si="2663"/>
        <v>NA</v>
      </c>
      <c r="Z2876" s="10" t="str">
        <f t="shared" si="2664"/>
        <v>NA</v>
      </c>
      <c r="AA2876" s="10" t="str">
        <f t="shared" si="2665"/>
        <v>NA</v>
      </c>
      <c r="AB2876" s="10" t="str">
        <f t="shared" si="2666"/>
        <v>NA</v>
      </c>
      <c r="AC2876" s="10" t="str">
        <f t="shared" si="2667"/>
        <v>NA</v>
      </c>
      <c r="AD2876" s="10" t="str">
        <f t="shared" si="2668"/>
        <v>NA</v>
      </c>
      <c r="AE2876" s="10" t="str">
        <f t="shared" si="2669"/>
        <v>NA</v>
      </c>
      <c r="AF2876" s="1" t="s">
        <v>2729</v>
      </c>
    </row>
    <row r="2877" spans="1:32" x14ac:dyDescent="0.2">
      <c r="A2877" s="1" t="s">
        <v>2724</v>
      </c>
      <c r="B2877" s="1" t="s">
        <v>2725</v>
      </c>
      <c r="C2877" s="1" t="s">
        <v>1575</v>
      </c>
      <c r="D2877" s="1" t="s">
        <v>1813</v>
      </c>
      <c r="E2877" s="1" t="s">
        <v>1587</v>
      </c>
      <c r="F2877" s="1" t="s">
        <v>2726</v>
      </c>
      <c r="G2877" s="4">
        <v>0.17</v>
      </c>
      <c r="H2877" s="28">
        <v>43801</v>
      </c>
      <c r="I2877" s="29">
        <f t="shared" si="2671"/>
        <v>2019</v>
      </c>
      <c r="J2877" s="1" t="s">
        <v>2713</v>
      </c>
      <c r="K2877" s="1" t="s">
        <v>7</v>
      </c>
      <c r="L2877" s="11" t="str">
        <f t="shared" ref="L2877" si="2810">IF(OR(A2877=J2877,A2877=K2877),"ДА","НЕТ")</f>
        <v>НЕТ</v>
      </c>
      <c r="M2877" s="10">
        <v>0</v>
      </c>
      <c r="N2877" s="10">
        <v>0</v>
      </c>
      <c r="O2877" s="10">
        <v>0.214</v>
      </c>
      <c r="P2877" s="10">
        <f t="shared" si="2687"/>
        <v>1.2588235294117647</v>
      </c>
      <c r="Q2877" s="10">
        <f t="shared" si="2688"/>
        <v>1.2008235294117646</v>
      </c>
      <c r="R2877" s="10" t="s">
        <v>1575</v>
      </c>
      <c r="S2877" s="10" t="s">
        <v>1575</v>
      </c>
      <c r="T2877" s="10" t="s">
        <v>1575</v>
      </c>
      <c r="U2877" s="10" t="s">
        <v>1575</v>
      </c>
      <c r="V2877" s="10">
        <v>0.47499999999999998</v>
      </c>
      <c r="W2877" s="10">
        <f>0.074+0.046-0.178</f>
        <v>-5.7999999999999996E-2</v>
      </c>
      <c r="X2877" s="10">
        <f t="shared" si="2662"/>
        <v>0.41699999999999998</v>
      </c>
      <c r="Y2877" s="10" t="str">
        <f t="shared" si="2663"/>
        <v>NA</v>
      </c>
      <c r="Z2877" s="10" t="str">
        <f t="shared" si="2664"/>
        <v>NA</v>
      </c>
      <c r="AA2877" s="10">
        <f t="shared" si="2665"/>
        <v>2.6501547987616099</v>
      </c>
      <c r="AB2877" s="10" t="str">
        <f t="shared" si="2666"/>
        <v>NA</v>
      </c>
      <c r="AC2877" s="10" t="str">
        <f t="shared" si="2667"/>
        <v>NA</v>
      </c>
      <c r="AD2877" s="10" t="str">
        <f t="shared" si="2668"/>
        <v>NA</v>
      </c>
      <c r="AE2877" s="10">
        <f t="shared" si="2669"/>
        <v>2.8796727324023133</v>
      </c>
      <c r="AF2877" s="1" t="s">
        <v>2723</v>
      </c>
    </row>
    <row r="2878" spans="1:32" x14ac:dyDescent="0.2">
      <c r="A2878" s="1" t="s">
        <v>2724</v>
      </c>
      <c r="B2878" s="1" t="s">
        <v>2725</v>
      </c>
      <c r="C2878" s="1" t="s">
        <v>1575</v>
      </c>
      <c r="D2878" s="1" t="s">
        <v>1813</v>
      </c>
      <c r="E2878" s="1" t="s">
        <v>1587</v>
      </c>
      <c r="F2878" s="1" t="s">
        <v>2726</v>
      </c>
      <c r="G2878" s="4">
        <v>0.82</v>
      </c>
      <c r="H2878" s="28">
        <v>42816</v>
      </c>
      <c r="I2878" s="29">
        <f t="shared" si="2671"/>
        <v>2017</v>
      </c>
      <c r="J2878" s="1" t="s">
        <v>2713</v>
      </c>
      <c r="K2878" s="1" t="s">
        <v>7</v>
      </c>
      <c r="L2878" s="11" t="str">
        <f t="shared" si="2809"/>
        <v>НЕТ</v>
      </c>
      <c r="M2878" s="10">
        <v>0</v>
      </c>
      <c r="N2878" s="10">
        <v>0</v>
      </c>
      <c r="O2878" s="10">
        <v>0.98399999999999999</v>
      </c>
      <c r="P2878" s="10">
        <f t="shared" si="2687"/>
        <v>1.2</v>
      </c>
      <c r="Q2878" s="10">
        <f t="shared" si="2688"/>
        <v>1.1419999999999999</v>
      </c>
      <c r="R2878" s="10" t="s">
        <v>1575</v>
      </c>
      <c r="S2878" s="10" t="s">
        <v>1575</v>
      </c>
      <c r="T2878" s="10" t="s">
        <v>1575</v>
      </c>
      <c r="U2878" s="10" t="s">
        <v>1575</v>
      </c>
      <c r="V2878" s="10">
        <v>1.4750000000000001</v>
      </c>
      <c r="W2878" s="10">
        <f>0.074+0.046-0.178</f>
        <v>-5.7999999999999996E-2</v>
      </c>
      <c r="X2878" s="10">
        <f t="shared" si="2662"/>
        <v>1.417</v>
      </c>
      <c r="Y2878" s="10" t="str">
        <f t="shared" si="2663"/>
        <v>NA</v>
      </c>
      <c r="Z2878" s="10" t="str">
        <f t="shared" si="2664"/>
        <v>NA</v>
      </c>
      <c r="AA2878" s="10">
        <f t="shared" si="2665"/>
        <v>0.81355932203389825</v>
      </c>
      <c r="AB2878" s="10" t="str">
        <f t="shared" si="2666"/>
        <v>NA</v>
      </c>
      <c r="AC2878" s="10" t="str">
        <f t="shared" si="2667"/>
        <v>NA</v>
      </c>
      <c r="AD2878" s="10" t="str">
        <f t="shared" si="2668"/>
        <v>NA</v>
      </c>
      <c r="AE2878" s="10">
        <f t="shared" si="2669"/>
        <v>0.80592801693719118</v>
      </c>
      <c r="AF2878" s="1" t="s">
        <v>2723</v>
      </c>
    </row>
    <row r="2879" spans="1:32" x14ac:dyDescent="0.2">
      <c r="A2879" s="1" t="s">
        <v>2731</v>
      </c>
      <c r="B2879" s="1" t="s">
        <v>5</v>
      </c>
      <c r="C2879" s="1" t="s">
        <v>1575</v>
      </c>
      <c r="D2879" s="1" t="s">
        <v>1580</v>
      </c>
      <c r="E2879" s="1" t="s">
        <v>1827</v>
      </c>
      <c r="F2879" s="1" t="s">
        <v>2281</v>
      </c>
      <c r="G2879" s="4">
        <v>1</v>
      </c>
      <c r="H2879" s="28">
        <v>43312</v>
      </c>
      <c r="I2879" s="29">
        <f t="shared" si="2671"/>
        <v>2018</v>
      </c>
      <c r="J2879" s="1" t="s">
        <v>2713</v>
      </c>
      <c r="K2879" s="1" t="s">
        <v>7</v>
      </c>
      <c r="L2879" s="11" t="str">
        <f t="shared" ref="L2879" si="2811">IF(OR(A2879=J2879,A2879=K2879),"ДА","НЕТ")</f>
        <v>НЕТ</v>
      </c>
      <c r="M2879" s="10">
        <v>0</v>
      </c>
      <c r="N2879" s="10">
        <v>0</v>
      </c>
      <c r="O2879" s="10">
        <v>0.183</v>
      </c>
      <c r="P2879" s="10">
        <f t="shared" si="2687"/>
        <v>0.183</v>
      </c>
      <c r="Q2879" s="10" t="str">
        <f t="shared" si="2688"/>
        <v>NA</v>
      </c>
      <c r="R2879" s="10" t="s">
        <v>1575</v>
      </c>
      <c r="S2879" s="10" t="s">
        <v>1575</v>
      </c>
      <c r="T2879" s="10" t="s">
        <v>1575</v>
      </c>
      <c r="U2879" s="10" t="s">
        <v>1575</v>
      </c>
      <c r="V2879" s="10">
        <v>0.09</v>
      </c>
      <c r="W2879" s="10" t="s">
        <v>1575</v>
      </c>
      <c r="X2879" s="10" t="str">
        <f t="shared" si="2662"/>
        <v>NA</v>
      </c>
      <c r="Y2879" s="10" t="str">
        <f t="shared" si="2663"/>
        <v>NA</v>
      </c>
      <c r="Z2879" s="10" t="str">
        <f t="shared" si="2664"/>
        <v>NA</v>
      </c>
      <c r="AA2879" s="10">
        <f t="shared" si="2665"/>
        <v>2.0333333333333332</v>
      </c>
      <c r="AB2879" s="10" t="str">
        <f t="shared" si="2666"/>
        <v>NA</v>
      </c>
      <c r="AC2879" s="10" t="str">
        <f t="shared" si="2667"/>
        <v>NA</v>
      </c>
      <c r="AD2879" s="10" t="str">
        <f t="shared" si="2668"/>
        <v>NA</v>
      </c>
      <c r="AE2879" s="10" t="str">
        <f t="shared" si="2669"/>
        <v>NA</v>
      </c>
      <c r="AF2879" s="1" t="s">
        <v>2730</v>
      </c>
    </row>
    <row r="2880" spans="1:32" x14ac:dyDescent="0.2">
      <c r="A2880" s="1" t="s">
        <v>6585</v>
      </c>
      <c r="B2880" s="1" t="s">
        <v>5</v>
      </c>
      <c r="C2880" s="1" t="s">
        <v>1575</v>
      </c>
      <c r="D2880" s="1" t="s">
        <v>1580</v>
      </c>
      <c r="E2880" s="1" t="s">
        <v>1827</v>
      </c>
      <c r="F2880" s="1" t="s">
        <v>2281</v>
      </c>
      <c r="G2880" s="4">
        <v>0.45</v>
      </c>
      <c r="H2880" s="28">
        <v>43281</v>
      </c>
      <c r="I2880" s="29">
        <f t="shared" si="2671"/>
        <v>2018</v>
      </c>
      <c r="J2880" s="1" t="s">
        <v>2713</v>
      </c>
      <c r="K2880" s="1" t="s">
        <v>7</v>
      </c>
      <c r="L2880" s="11" t="str">
        <f t="shared" ref="L2880:L2881" si="2812">IF(OR(A2880=J2880,A2880=K2880),"ДА","НЕТ")</f>
        <v>НЕТ</v>
      </c>
      <c r="M2880" s="10">
        <v>0</v>
      </c>
      <c r="N2880" s="10">
        <v>0</v>
      </c>
      <c r="O2880" s="10">
        <v>1.117</v>
      </c>
      <c r="P2880" s="10">
        <f t="shared" si="2687"/>
        <v>2.4822222222222221</v>
      </c>
      <c r="Q2880" s="10">
        <f t="shared" si="2688"/>
        <v>0.72922222222222222</v>
      </c>
      <c r="R2880" s="10" t="s">
        <v>1575</v>
      </c>
      <c r="S2880" s="10" t="s">
        <v>1575</v>
      </c>
      <c r="T2880" s="10" t="s">
        <v>1575</v>
      </c>
      <c r="U2880" s="10" t="s">
        <v>1575</v>
      </c>
      <c r="V2880" s="10">
        <v>1.8879999999999999</v>
      </c>
      <c r="W2880" s="10">
        <f>0-1.753</f>
        <v>-1.7529999999999999</v>
      </c>
      <c r="X2880" s="10">
        <f t="shared" si="2662"/>
        <v>0.13500000000000001</v>
      </c>
      <c r="Y2880" s="10" t="str">
        <f t="shared" si="2663"/>
        <v>NA</v>
      </c>
      <c r="Z2880" s="10" t="str">
        <f t="shared" si="2664"/>
        <v>NA</v>
      </c>
      <c r="AA2880" s="10">
        <f t="shared" si="2665"/>
        <v>1.3147363465160076</v>
      </c>
      <c r="AB2880" s="10" t="str">
        <f t="shared" si="2666"/>
        <v>NA</v>
      </c>
      <c r="AC2880" s="10" t="str">
        <f t="shared" si="2667"/>
        <v>NA</v>
      </c>
      <c r="AD2880" s="10" t="str">
        <f t="shared" si="2668"/>
        <v>NA</v>
      </c>
      <c r="AE2880" s="10">
        <f t="shared" si="2669"/>
        <v>5.401646090534979</v>
      </c>
      <c r="AF2880" s="1" t="s">
        <v>2732</v>
      </c>
    </row>
    <row r="2881" spans="1:32" x14ac:dyDescent="0.2">
      <c r="A2881" s="1" t="s">
        <v>6659</v>
      </c>
      <c r="B2881" s="1" t="s">
        <v>5</v>
      </c>
      <c r="C2881" s="1" t="s">
        <v>1575</v>
      </c>
      <c r="D2881" s="1" t="s">
        <v>1580</v>
      </c>
      <c r="E2881" s="1" t="s">
        <v>1827</v>
      </c>
      <c r="F2881" s="1" t="s">
        <v>2734</v>
      </c>
      <c r="G2881" s="4">
        <v>1</v>
      </c>
      <c r="H2881" s="28">
        <v>42735</v>
      </c>
      <c r="I2881" s="29">
        <f t="shared" si="2671"/>
        <v>2016</v>
      </c>
      <c r="J2881" s="1" t="s">
        <v>7</v>
      </c>
      <c r="K2881" s="1" t="s">
        <v>2713</v>
      </c>
      <c r="L2881" s="11" t="str">
        <f t="shared" si="2812"/>
        <v>НЕТ</v>
      </c>
      <c r="M2881" s="10">
        <v>0</v>
      </c>
      <c r="N2881" s="10">
        <v>0</v>
      </c>
      <c r="O2881" s="10" t="s">
        <v>1575</v>
      </c>
      <c r="P2881" s="10" t="str">
        <f t="shared" si="2687"/>
        <v>NA</v>
      </c>
      <c r="Q2881" s="10" t="str">
        <f t="shared" si="2688"/>
        <v>NA</v>
      </c>
      <c r="R2881" s="10" t="s">
        <v>1575</v>
      </c>
      <c r="S2881" s="10" t="s">
        <v>1575</v>
      </c>
      <c r="T2881" s="10" t="s">
        <v>1575</v>
      </c>
      <c r="U2881" s="10" t="s">
        <v>1575</v>
      </c>
      <c r="V2881" s="10">
        <f>0.013-0.243</f>
        <v>-0.22999999999999998</v>
      </c>
      <c r="W2881" s="10" t="s">
        <v>1575</v>
      </c>
      <c r="X2881" s="10" t="str">
        <f t="shared" si="2662"/>
        <v>NA</v>
      </c>
      <c r="Y2881" s="10" t="str">
        <f t="shared" si="2663"/>
        <v>NA</v>
      </c>
      <c r="Z2881" s="10" t="str">
        <f t="shared" si="2664"/>
        <v>NA</v>
      </c>
      <c r="AA2881" s="10" t="str">
        <f t="shared" si="2665"/>
        <v>NA</v>
      </c>
      <c r="AB2881" s="10" t="str">
        <f t="shared" si="2666"/>
        <v>NA</v>
      </c>
      <c r="AC2881" s="10" t="str">
        <f t="shared" si="2667"/>
        <v>NA</v>
      </c>
      <c r="AD2881" s="10" t="str">
        <f t="shared" si="2668"/>
        <v>NA</v>
      </c>
      <c r="AE2881" s="10" t="str">
        <f t="shared" si="2669"/>
        <v>NA</v>
      </c>
      <c r="AF2881" s="1" t="s">
        <v>2733</v>
      </c>
    </row>
    <row r="2882" spans="1:32" x14ac:dyDescent="0.2">
      <c r="A2882" s="1" t="s">
        <v>6660</v>
      </c>
      <c r="B2882" s="1" t="s">
        <v>5</v>
      </c>
      <c r="C2882" s="1" t="s">
        <v>1575</v>
      </c>
      <c r="D2882" s="1" t="s">
        <v>1580</v>
      </c>
      <c r="E2882" s="1" t="s">
        <v>1827</v>
      </c>
      <c r="F2882" s="1" t="s">
        <v>2740</v>
      </c>
      <c r="G2882" s="4">
        <v>1</v>
      </c>
      <c r="H2882" s="28">
        <v>42367</v>
      </c>
      <c r="I2882" s="29">
        <f t="shared" si="2671"/>
        <v>2015</v>
      </c>
      <c r="J2882" s="1" t="s">
        <v>7</v>
      </c>
      <c r="K2882" s="1" t="s">
        <v>2713</v>
      </c>
      <c r="L2882" s="11" t="str">
        <f t="shared" ref="L2882" si="2813">IF(OR(A2882=J2882,A2882=K2882),"ДА","НЕТ")</f>
        <v>НЕТ</v>
      </c>
      <c r="M2882" s="10">
        <v>0</v>
      </c>
      <c r="N2882" s="10">
        <v>0</v>
      </c>
      <c r="O2882" s="10" t="s">
        <v>1575</v>
      </c>
      <c r="P2882" s="10" t="str">
        <f t="shared" si="2687"/>
        <v>NA</v>
      </c>
      <c r="Q2882" s="10" t="str">
        <f t="shared" si="2688"/>
        <v>NA</v>
      </c>
      <c r="R2882" s="10" t="s">
        <v>1575</v>
      </c>
      <c r="S2882" s="10" t="s">
        <v>1575</v>
      </c>
      <c r="T2882" s="10" t="s">
        <v>1575</v>
      </c>
      <c r="U2882" s="10" t="s">
        <v>1575</v>
      </c>
      <c r="V2882" s="10">
        <f>0.119-0.019</f>
        <v>9.9999999999999992E-2</v>
      </c>
      <c r="W2882" s="10">
        <f>0-0.041</f>
        <v>-4.1000000000000002E-2</v>
      </c>
      <c r="X2882" s="10">
        <f t="shared" si="2662"/>
        <v>5.899999999999999E-2</v>
      </c>
      <c r="Y2882" s="10" t="str">
        <f t="shared" si="2663"/>
        <v>NA</v>
      </c>
      <c r="Z2882" s="10" t="str">
        <f t="shared" si="2664"/>
        <v>NA</v>
      </c>
      <c r="AA2882" s="10" t="str">
        <f t="shared" si="2665"/>
        <v>NA</v>
      </c>
      <c r="AB2882" s="10" t="str">
        <f t="shared" si="2666"/>
        <v>NA</v>
      </c>
      <c r="AC2882" s="10" t="str">
        <f t="shared" si="2667"/>
        <v>NA</v>
      </c>
      <c r="AD2882" s="10" t="str">
        <f t="shared" si="2668"/>
        <v>NA</v>
      </c>
      <c r="AE2882" s="10" t="str">
        <f t="shared" si="2669"/>
        <v>NA</v>
      </c>
      <c r="AF2882" s="1" t="s">
        <v>2735</v>
      </c>
    </row>
    <row r="2883" spans="1:32" x14ac:dyDescent="0.2">
      <c r="A2883" s="1" t="s">
        <v>2737</v>
      </c>
      <c r="B2883" s="1" t="s">
        <v>75</v>
      </c>
      <c r="C2883" s="1" t="s">
        <v>1575</v>
      </c>
      <c r="D2883" s="1" t="s">
        <v>1580</v>
      </c>
      <c r="E2883" s="1" t="s">
        <v>1827</v>
      </c>
      <c r="F2883" s="1" t="s">
        <v>2738</v>
      </c>
      <c r="G2883" s="4">
        <v>1</v>
      </c>
      <c r="H2883" s="28">
        <v>42125</v>
      </c>
      <c r="I2883" s="29">
        <f t="shared" si="2671"/>
        <v>2015</v>
      </c>
      <c r="J2883" s="1" t="s">
        <v>7</v>
      </c>
      <c r="K2883" s="1" t="s">
        <v>2713</v>
      </c>
      <c r="L2883" s="11" t="str">
        <f t="shared" ref="L2883:L2884" si="2814">IF(OR(A2883=J2883,A2883=K2883),"ДА","НЕТ")</f>
        <v>НЕТ</v>
      </c>
      <c r="M2883" s="10">
        <v>0</v>
      </c>
      <c r="N2883" s="10">
        <v>0</v>
      </c>
      <c r="O2883" s="10" t="s">
        <v>1575</v>
      </c>
      <c r="P2883" s="10" t="str">
        <f t="shared" ref="P2883:P2946" si="2815">IFERROR(O2883/G2883,"NA")</f>
        <v>NA</v>
      </c>
      <c r="Q2883" s="10" t="str">
        <f t="shared" ref="Q2883:Q2946" si="2816">IFERROR(P2883+W2883,"NA")</f>
        <v>NA</v>
      </c>
      <c r="R2883" s="10" t="s">
        <v>1575</v>
      </c>
      <c r="S2883" s="10" t="s">
        <v>1575</v>
      </c>
      <c r="T2883" s="10" t="s">
        <v>1575</v>
      </c>
      <c r="U2883" s="10" t="s">
        <v>1575</v>
      </c>
      <c r="V2883" s="10">
        <f>0.125-0.299</f>
        <v>-0.17399999999999999</v>
      </c>
      <c r="W2883" s="10">
        <f>0.016-0.27-0.001</f>
        <v>-0.255</v>
      </c>
      <c r="X2883" s="10">
        <f t="shared" si="2662"/>
        <v>-0.42899999999999999</v>
      </c>
      <c r="Y2883" s="10" t="str">
        <f t="shared" si="2663"/>
        <v>NA</v>
      </c>
      <c r="Z2883" s="10" t="str">
        <f t="shared" si="2664"/>
        <v>NA</v>
      </c>
      <c r="AA2883" s="10" t="str">
        <f t="shared" si="2665"/>
        <v>NA</v>
      </c>
      <c r="AB2883" s="10" t="str">
        <f t="shared" si="2666"/>
        <v>NA</v>
      </c>
      <c r="AC2883" s="10" t="str">
        <f t="shared" si="2667"/>
        <v>NA</v>
      </c>
      <c r="AD2883" s="10" t="str">
        <f t="shared" si="2668"/>
        <v>NA</v>
      </c>
      <c r="AE2883" s="10" t="str">
        <f t="shared" si="2669"/>
        <v>NA</v>
      </c>
      <c r="AF2883" s="1" t="s">
        <v>2736</v>
      </c>
    </row>
    <row r="2884" spans="1:32" x14ac:dyDescent="0.2">
      <c r="A2884" s="1" t="s">
        <v>6661</v>
      </c>
      <c r="B2884" s="1" t="s">
        <v>5</v>
      </c>
      <c r="C2884" s="1" t="s">
        <v>1575</v>
      </c>
      <c r="D2884" s="1" t="s">
        <v>1580</v>
      </c>
      <c r="E2884" s="1" t="s">
        <v>1827</v>
      </c>
      <c r="F2884" s="1" t="s">
        <v>2734</v>
      </c>
      <c r="G2884" s="4">
        <v>1</v>
      </c>
      <c r="H2884" s="28">
        <v>42185</v>
      </c>
      <c r="I2884" s="29">
        <f t="shared" si="2671"/>
        <v>2015</v>
      </c>
      <c r="J2884" s="1" t="s">
        <v>2713</v>
      </c>
      <c r="K2884" s="1" t="s">
        <v>7</v>
      </c>
      <c r="L2884" s="11" t="str">
        <f t="shared" si="2814"/>
        <v>НЕТ</v>
      </c>
      <c r="M2884" s="10">
        <v>0</v>
      </c>
      <c r="N2884" s="10">
        <v>0</v>
      </c>
      <c r="O2884" s="10">
        <v>9.0241290000000003</v>
      </c>
      <c r="P2884" s="10">
        <f t="shared" si="2815"/>
        <v>9.0241290000000003</v>
      </c>
      <c r="Q2884" s="10">
        <f t="shared" si="2816"/>
        <v>8.1597740000000005</v>
      </c>
      <c r="R2884" s="10" t="s">
        <v>1575</v>
      </c>
      <c r="S2884" s="10" t="s">
        <v>1575</v>
      </c>
      <c r="T2884" s="10" t="s">
        <v>1575</v>
      </c>
      <c r="U2884" s="10" t="s">
        <v>1575</v>
      </c>
      <c r="V2884" s="10">
        <v>4.3703000000000003</v>
      </c>
      <c r="W2884" s="10">
        <f>1.089522+1.246398-3.200275</f>
        <v>-0.86435500000000021</v>
      </c>
      <c r="X2884" s="10">
        <f t="shared" si="2662"/>
        <v>3.5059450000000001</v>
      </c>
      <c r="Y2884" s="10" t="str">
        <f t="shared" si="2663"/>
        <v>NA</v>
      </c>
      <c r="Z2884" s="10" t="str">
        <f t="shared" si="2664"/>
        <v>NA</v>
      </c>
      <c r="AA2884" s="10">
        <f t="shared" si="2665"/>
        <v>2.0648763242797976</v>
      </c>
      <c r="AB2884" s="10" t="str">
        <f t="shared" si="2666"/>
        <v>NA</v>
      </c>
      <c r="AC2884" s="10" t="str">
        <f t="shared" si="2667"/>
        <v>NA</v>
      </c>
      <c r="AD2884" s="10" t="str">
        <f t="shared" si="2668"/>
        <v>NA</v>
      </c>
      <c r="AE2884" s="10">
        <f t="shared" si="2669"/>
        <v>2.3274107266371833</v>
      </c>
      <c r="AF2884" s="1" t="s">
        <v>2739</v>
      </c>
    </row>
    <row r="2885" spans="1:32" x14ac:dyDescent="0.2">
      <c r="A2885" s="1" t="s">
        <v>6662</v>
      </c>
      <c r="B2885" s="1" t="s">
        <v>5</v>
      </c>
      <c r="C2885" s="1" t="s">
        <v>1575</v>
      </c>
      <c r="D2885" s="1" t="s">
        <v>1584</v>
      </c>
      <c r="E2885" s="1" t="s">
        <v>1587</v>
      </c>
      <c r="F2885" s="1" t="s">
        <v>2378</v>
      </c>
      <c r="G2885" s="4">
        <v>0.625</v>
      </c>
      <c r="H2885" s="28">
        <v>41635</v>
      </c>
      <c r="I2885" s="29">
        <f t="shared" si="2671"/>
        <v>2013</v>
      </c>
      <c r="J2885" s="1" t="s">
        <v>2713</v>
      </c>
      <c r="K2885" s="1" t="s">
        <v>7</v>
      </c>
      <c r="L2885" s="11" t="str">
        <f t="shared" ref="L2885:L2887" si="2817">IF(OR(A2885=J2885,A2885=K2885),"ДА","НЕТ")</f>
        <v>НЕТ</v>
      </c>
      <c r="M2885" s="10">
        <v>0</v>
      </c>
      <c r="N2885" s="10">
        <v>0</v>
      </c>
      <c r="O2885" s="10">
        <v>5.6000000000000001E-2</v>
      </c>
      <c r="P2885" s="10">
        <f t="shared" si="2815"/>
        <v>8.9599999999999999E-2</v>
      </c>
      <c r="Q2885" s="10">
        <f t="shared" si="2816"/>
        <v>0.28093899999999999</v>
      </c>
      <c r="R2885" s="10" t="s">
        <v>1575</v>
      </c>
      <c r="S2885" s="10" t="s">
        <v>1575</v>
      </c>
      <c r="T2885" s="10" t="s">
        <v>1575</v>
      </c>
      <c r="U2885" s="10" t="s">
        <v>1575</v>
      </c>
      <c r="V2885" s="10">
        <v>0.116622</v>
      </c>
      <c r="W2885" s="10">
        <f>0.182276+0.009075-0.000012</f>
        <v>0.19133899999999998</v>
      </c>
      <c r="X2885" s="10">
        <f t="shared" si="2662"/>
        <v>0.30796099999999998</v>
      </c>
      <c r="Y2885" s="10" t="str">
        <f t="shared" si="2663"/>
        <v>NA</v>
      </c>
      <c r="Z2885" s="10" t="str">
        <f t="shared" si="2664"/>
        <v>NA</v>
      </c>
      <c r="AA2885" s="10">
        <f t="shared" si="2665"/>
        <v>0.76829414690195674</v>
      </c>
      <c r="AB2885" s="10" t="str">
        <f t="shared" si="2666"/>
        <v>NA</v>
      </c>
      <c r="AC2885" s="10" t="str">
        <f t="shared" si="2667"/>
        <v>NA</v>
      </c>
      <c r="AD2885" s="10" t="str">
        <f t="shared" si="2668"/>
        <v>NA</v>
      </c>
      <c r="AE2885" s="10">
        <f t="shared" si="2669"/>
        <v>0.91225512321365365</v>
      </c>
      <c r="AF2885" s="1" t="s">
        <v>2741</v>
      </c>
    </row>
    <row r="2886" spans="1:32" x14ac:dyDescent="0.2">
      <c r="A2886" s="1" t="s">
        <v>2742</v>
      </c>
      <c r="B2886" s="1" t="s">
        <v>5</v>
      </c>
      <c r="C2886" s="1" t="s">
        <v>1575</v>
      </c>
      <c r="D2886" s="1" t="s">
        <v>1580</v>
      </c>
      <c r="E2886" s="1" t="s">
        <v>1827</v>
      </c>
      <c r="F2886" s="1" t="s">
        <v>2281</v>
      </c>
      <c r="G2886" s="4">
        <v>1</v>
      </c>
      <c r="H2886" s="28">
        <v>41090</v>
      </c>
      <c r="I2886" s="29">
        <f t="shared" si="2671"/>
        <v>2012</v>
      </c>
      <c r="J2886" s="1" t="s">
        <v>7</v>
      </c>
      <c r="K2886" s="1" t="s">
        <v>2713</v>
      </c>
      <c r="L2886" s="11" t="str">
        <f t="shared" si="2817"/>
        <v>НЕТ</v>
      </c>
      <c r="M2886" s="10">
        <v>0</v>
      </c>
      <c r="N2886" s="10">
        <v>0</v>
      </c>
      <c r="O2886" s="10">
        <v>7.8039999999999998E-2</v>
      </c>
      <c r="P2886" s="10">
        <f t="shared" si="2815"/>
        <v>7.8039999999999998E-2</v>
      </c>
      <c r="Q2886" s="10" t="str">
        <f t="shared" si="2816"/>
        <v>NA</v>
      </c>
      <c r="R2886" s="10">
        <v>0.15512699999999999</v>
      </c>
      <c r="S2886" s="10" t="s">
        <v>1575</v>
      </c>
      <c r="T2886" s="10">
        <v>-0.94303999999999999</v>
      </c>
      <c r="U2886" s="10">
        <v>-0.24036299999999999</v>
      </c>
      <c r="V2886" s="10">
        <v>3.8760999999999997E-2</v>
      </c>
      <c r="W2886" s="10" t="s">
        <v>1575</v>
      </c>
      <c r="X2886" s="10" t="str">
        <f t="shared" si="2662"/>
        <v>NA</v>
      </c>
      <c r="Y2886" s="10">
        <f t="shared" si="2663"/>
        <v>0.50307167675517483</v>
      </c>
      <c r="Z2886" s="10">
        <f t="shared" si="2664"/>
        <v>-0.32467559482948705</v>
      </c>
      <c r="AA2886" s="10">
        <f t="shared" si="2665"/>
        <v>2.0133639482985477</v>
      </c>
      <c r="AB2886" s="10" t="str">
        <f t="shared" si="2666"/>
        <v>NA</v>
      </c>
      <c r="AC2886" s="10" t="str">
        <f t="shared" si="2667"/>
        <v>NA</v>
      </c>
      <c r="AD2886" s="10" t="str">
        <f t="shared" si="2668"/>
        <v>NA</v>
      </c>
      <c r="AE2886" s="10" t="str">
        <f t="shared" si="2669"/>
        <v>NA</v>
      </c>
      <c r="AF2886" s="1" t="s">
        <v>2743</v>
      </c>
    </row>
    <row r="2887" spans="1:32" x14ac:dyDescent="0.2">
      <c r="A2887" s="1" t="s">
        <v>2746</v>
      </c>
      <c r="B2887" s="1" t="s">
        <v>179</v>
      </c>
      <c r="C2887" s="1" t="s">
        <v>1575</v>
      </c>
      <c r="D2887" s="1" t="s">
        <v>1813</v>
      </c>
      <c r="E2887" s="1" t="s">
        <v>3258</v>
      </c>
      <c r="F2887" s="1" t="s">
        <v>3260</v>
      </c>
      <c r="G2887" s="4">
        <v>0.49</v>
      </c>
      <c r="H2887" s="28">
        <v>41044</v>
      </c>
      <c r="I2887" s="29">
        <f t="shared" si="2671"/>
        <v>2012</v>
      </c>
      <c r="J2887" s="1" t="s">
        <v>2713</v>
      </c>
      <c r="K2887" s="1" t="s">
        <v>7</v>
      </c>
      <c r="L2887" s="11" t="str">
        <f t="shared" si="2817"/>
        <v>НЕТ</v>
      </c>
      <c r="M2887" s="10">
        <v>3</v>
      </c>
      <c r="N2887" s="10">
        <v>0</v>
      </c>
      <c r="O2887" s="10">
        <v>9.0796000000000002E-2</v>
      </c>
      <c r="P2887" s="10">
        <f t="shared" si="2815"/>
        <v>0.18529795918367348</v>
      </c>
      <c r="Q2887" s="10">
        <f t="shared" si="2816"/>
        <v>0.17138095918367349</v>
      </c>
      <c r="R2887" s="10" t="s">
        <v>1575</v>
      </c>
      <c r="S2887" s="10" t="s">
        <v>1575</v>
      </c>
      <c r="T2887" s="10" t="s">
        <v>1575</v>
      </c>
      <c r="U2887" s="10" t="s">
        <v>1575</v>
      </c>
      <c r="V2887" s="10">
        <v>-0.16984099999999999</v>
      </c>
      <c r="W2887" s="10">
        <f>0.016785+0.105231+0.019761-0.155694</f>
        <v>-1.3916999999999985E-2</v>
      </c>
      <c r="X2887" s="10">
        <f t="shared" ref="X2887:X2950" si="2818">IFERROR(V2887+W2887,"NA")</f>
        <v>-0.18375799999999998</v>
      </c>
      <c r="Y2887" s="10" t="str">
        <f t="shared" ref="Y2887:Y2950" si="2819">IFERROR(P2887/R2887,"NA")</f>
        <v>NA</v>
      </c>
      <c r="Z2887" s="10" t="str">
        <f t="shared" ref="Z2887:Z2950" si="2820">IFERROR(P2887/U2887,"NA")</f>
        <v>NA</v>
      </c>
      <c r="AA2887" s="10">
        <f t="shared" ref="AA2887:AA2950" si="2821">IFERROR(P2887/V2887,"NA")</f>
        <v>-1.0910084089452694</v>
      </c>
      <c r="AB2887" s="10" t="str">
        <f t="shared" ref="AB2887:AB2950" si="2822">IFERROR(Q2887/R2887,"NA")</f>
        <v>NA</v>
      </c>
      <c r="AC2887" s="10" t="str">
        <f t="shared" ref="AC2887:AC2950" si="2823">IFERROR(Q2887/S2887,"NA")</f>
        <v>NA</v>
      </c>
      <c r="AD2887" s="10" t="str">
        <f t="shared" ref="AD2887:AD2950" si="2824">IFERROR(Q2887/T2887,"NA")</f>
        <v>NA</v>
      </c>
      <c r="AE2887" s="10">
        <f t="shared" ref="AE2887:AE2950" si="2825">IFERROR(Q2887/X2887,"NA")</f>
        <v>-0.93264488720857608</v>
      </c>
      <c r="AF2887" s="1" t="s">
        <v>2747</v>
      </c>
    </row>
    <row r="2888" spans="1:32" x14ac:dyDescent="0.2">
      <c r="A2888" s="1" t="s">
        <v>6663</v>
      </c>
      <c r="B2888" s="1" t="s">
        <v>617</v>
      </c>
      <c r="C2888" s="1" t="s">
        <v>1575</v>
      </c>
      <c r="D2888" s="1" t="s">
        <v>1813</v>
      </c>
      <c r="E2888" s="1" t="s">
        <v>3258</v>
      </c>
      <c r="F2888" s="1" t="s">
        <v>3260</v>
      </c>
      <c r="G2888" s="4">
        <v>1</v>
      </c>
      <c r="H2888" s="28">
        <v>40583</v>
      </c>
      <c r="I2888" s="29">
        <f t="shared" si="2671"/>
        <v>2011</v>
      </c>
      <c r="J2888" s="1" t="s">
        <v>2713</v>
      </c>
      <c r="K2888" s="1" t="s">
        <v>7</v>
      </c>
      <c r="L2888" s="11" t="str">
        <f t="shared" ref="L2888" si="2826">IF(OR(A2888=J2888,A2888=K2888),"ДА","НЕТ")</f>
        <v>НЕТ</v>
      </c>
      <c r="M2888" s="10">
        <v>0</v>
      </c>
      <c r="N2888" s="10">
        <v>0</v>
      </c>
      <c r="O2888" s="10">
        <v>2.5197000000000001E-2</v>
      </c>
      <c r="P2888" s="10">
        <f t="shared" si="2815"/>
        <v>2.5197000000000001E-2</v>
      </c>
      <c r="Q2888" s="10">
        <f t="shared" si="2816"/>
        <v>1.5940000000000003E-2</v>
      </c>
      <c r="R2888" s="10" t="s">
        <v>1575</v>
      </c>
      <c r="S2888" s="10" t="s">
        <v>1575</v>
      </c>
      <c r="T2888" s="10" t="s">
        <v>1575</v>
      </c>
      <c r="U2888" s="10" t="s">
        <v>1575</v>
      </c>
      <c r="V2888" s="10">
        <v>1.2557E-2</v>
      </c>
      <c r="W2888" s="10">
        <v>-9.2569999999999996E-3</v>
      </c>
      <c r="X2888" s="10">
        <f t="shared" si="2818"/>
        <v>3.3000000000000008E-3</v>
      </c>
      <c r="Y2888" s="10" t="str">
        <f t="shared" si="2819"/>
        <v>NA</v>
      </c>
      <c r="Z2888" s="10" t="str">
        <f t="shared" si="2820"/>
        <v>NA</v>
      </c>
      <c r="AA2888" s="10">
        <f t="shared" si="2821"/>
        <v>2.006609859042765</v>
      </c>
      <c r="AB2888" s="10" t="str">
        <f t="shared" si="2822"/>
        <v>NA</v>
      </c>
      <c r="AC2888" s="10" t="str">
        <f t="shared" si="2823"/>
        <v>NA</v>
      </c>
      <c r="AD2888" s="10" t="str">
        <f t="shared" si="2824"/>
        <v>NA</v>
      </c>
      <c r="AE2888" s="10">
        <f t="shared" si="2825"/>
        <v>4.8303030303030301</v>
      </c>
      <c r="AF2888" s="1" t="s">
        <v>2744</v>
      </c>
    </row>
    <row r="2889" spans="1:32" x14ac:dyDescent="0.2">
      <c r="A2889" s="1" t="s">
        <v>6664</v>
      </c>
      <c r="B2889" s="1" t="s">
        <v>21</v>
      </c>
      <c r="C2889" s="1" t="s">
        <v>1575</v>
      </c>
      <c r="D2889" s="1" t="s">
        <v>1813</v>
      </c>
      <c r="E2889" s="1" t="s">
        <v>3258</v>
      </c>
      <c r="F2889" s="1" t="s">
        <v>3260</v>
      </c>
      <c r="G2889" s="4">
        <v>0.6</v>
      </c>
      <c r="H2889" s="28">
        <v>40900</v>
      </c>
      <c r="I2889" s="29">
        <f t="shared" si="2671"/>
        <v>2011</v>
      </c>
      <c r="J2889" s="1" t="s">
        <v>6610</v>
      </c>
      <c r="K2889" s="1" t="s">
        <v>7</v>
      </c>
      <c r="L2889" s="11" t="str">
        <f t="shared" ref="L2889" si="2827">IF(OR(A2889=J2889,A2889=K2889),"ДА","НЕТ")</f>
        <v>НЕТ</v>
      </c>
      <c r="M2889" s="10">
        <v>0</v>
      </c>
      <c r="N2889" s="10">
        <v>0</v>
      </c>
      <c r="O2889" s="10">
        <v>6.0000000000000001E-3</v>
      </c>
      <c r="P2889" s="10">
        <f t="shared" si="2815"/>
        <v>0.01</v>
      </c>
      <c r="Q2889" s="10" t="str">
        <f t="shared" si="2816"/>
        <v>NA</v>
      </c>
      <c r="R2889" s="10" t="s">
        <v>1575</v>
      </c>
      <c r="S2889" s="10" t="s">
        <v>1575</v>
      </c>
      <c r="T2889" s="10" t="s">
        <v>1575</v>
      </c>
      <c r="U2889" s="10" t="s">
        <v>1575</v>
      </c>
      <c r="V2889" s="10" t="s">
        <v>1575</v>
      </c>
      <c r="W2889" s="10" t="s">
        <v>1575</v>
      </c>
      <c r="X2889" s="10" t="str">
        <f t="shared" si="2818"/>
        <v>NA</v>
      </c>
      <c r="Y2889" s="10" t="str">
        <f t="shared" si="2819"/>
        <v>NA</v>
      </c>
      <c r="Z2889" s="10" t="str">
        <f t="shared" si="2820"/>
        <v>NA</v>
      </c>
      <c r="AA2889" s="10" t="str">
        <f t="shared" si="2821"/>
        <v>NA</v>
      </c>
      <c r="AB2889" s="10" t="str">
        <f t="shared" si="2822"/>
        <v>NA</v>
      </c>
      <c r="AC2889" s="10" t="str">
        <f t="shared" si="2823"/>
        <v>NA</v>
      </c>
      <c r="AD2889" s="10" t="str">
        <f t="shared" si="2824"/>
        <v>NA</v>
      </c>
      <c r="AE2889" s="10" t="str">
        <f t="shared" si="2825"/>
        <v>NA</v>
      </c>
      <c r="AF2889" s="1" t="s">
        <v>2745</v>
      </c>
    </row>
    <row r="2890" spans="1:32" x14ac:dyDescent="0.2">
      <c r="A2890" s="1" t="s">
        <v>6665</v>
      </c>
      <c r="B2890" s="1" t="s">
        <v>5</v>
      </c>
      <c r="C2890" s="1" t="s">
        <v>1575</v>
      </c>
      <c r="D2890" s="1" t="s">
        <v>2160</v>
      </c>
      <c r="E2890" s="1" t="s">
        <v>2172</v>
      </c>
      <c r="F2890" s="1" t="s">
        <v>2798</v>
      </c>
      <c r="G2890" s="4">
        <v>0.6</v>
      </c>
      <c r="H2890" s="28">
        <v>39964</v>
      </c>
      <c r="I2890" s="29">
        <f t="shared" si="2671"/>
        <v>2009</v>
      </c>
      <c r="J2890" s="1" t="s">
        <v>2748</v>
      </c>
      <c r="K2890" s="1" t="s">
        <v>7</v>
      </c>
      <c r="L2890" s="11" t="str">
        <f t="shared" si="2540"/>
        <v>НЕТ</v>
      </c>
      <c r="M2890" s="10">
        <v>0</v>
      </c>
      <c r="N2890" s="10">
        <v>0</v>
      </c>
      <c r="O2890" s="10">
        <v>0.82599999999999996</v>
      </c>
      <c r="P2890" s="10">
        <f t="shared" si="2815"/>
        <v>1.3766666666666667</v>
      </c>
      <c r="Q2890" s="10">
        <f t="shared" si="2816"/>
        <v>8.5816666666666652</v>
      </c>
      <c r="R2890" s="10" t="s">
        <v>1575</v>
      </c>
      <c r="S2890" s="10" t="s">
        <v>1575</v>
      </c>
      <c r="T2890" s="10" t="s">
        <v>1575</v>
      </c>
      <c r="U2890" s="10" t="s">
        <v>1575</v>
      </c>
      <c r="V2890" s="10">
        <v>-3.7450000000000001</v>
      </c>
      <c r="W2890" s="10">
        <f>6.302+1.222-0.319</f>
        <v>7.2049999999999992</v>
      </c>
      <c r="X2890" s="10">
        <f t="shared" si="2818"/>
        <v>3.4599999999999991</v>
      </c>
      <c r="Y2890" s="10" t="str">
        <f t="shared" si="2819"/>
        <v>NA</v>
      </c>
      <c r="Z2890" s="10" t="str">
        <f t="shared" si="2820"/>
        <v>NA</v>
      </c>
      <c r="AA2890" s="10">
        <f t="shared" si="2821"/>
        <v>-0.36760124610591899</v>
      </c>
      <c r="AB2890" s="10" t="str">
        <f t="shared" si="2822"/>
        <v>NA</v>
      </c>
      <c r="AC2890" s="10" t="str">
        <f t="shared" si="2823"/>
        <v>NA</v>
      </c>
      <c r="AD2890" s="10" t="str">
        <f t="shared" si="2824"/>
        <v>NA</v>
      </c>
      <c r="AE2890" s="10">
        <f t="shared" si="2825"/>
        <v>2.4802504816955686</v>
      </c>
      <c r="AF2890" s="1" t="s">
        <v>2749</v>
      </c>
    </row>
    <row r="2891" spans="1:32" x14ac:dyDescent="0.2">
      <c r="A2891" s="1" t="s">
        <v>6666</v>
      </c>
      <c r="B2891" s="1" t="s">
        <v>5</v>
      </c>
      <c r="C2891" s="1" t="s">
        <v>1575</v>
      </c>
      <c r="D2891" s="1" t="s">
        <v>2160</v>
      </c>
      <c r="E2891" s="1" t="s">
        <v>2172</v>
      </c>
      <c r="F2891" s="1" t="s">
        <v>2798</v>
      </c>
      <c r="G2891" s="4">
        <v>1</v>
      </c>
      <c r="H2891" s="28">
        <v>43879</v>
      </c>
      <c r="I2891" s="29">
        <f t="shared" si="2671"/>
        <v>2020</v>
      </c>
      <c r="J2891" s="1" t="s">
        <v>2773</v>
      </c>
      <c r="K2891" s="1" t="s">
        <v>7</v>
      </c>
      <c r="L2891" s="11" t="str">
        <f t="shared" ref="L2891:L2901" si="2828">IF(OR(A2891=J2891,A2891=K2891),"ДА","НЕТ")</f>
        <v>НЕТ</v>
      </c>
      <c r="M2891" s="10">
        <v>0</v>
      </c>
      <c r="N2891" s="10">
        <v>0</v>
      </c>
      <c r="O2891" s="10">
        <v>22.391518999999999</v>
      </c>
      <c r="P2891" s="10">
        <f t="shared" si="2815"/>
        <v>22.391518999999999</v>
      </c>
      <c r="Q2891" s="10">
        <f t="shared" si="2816"/>
        <v>73.510966999999994</v>
      </c>
      <c r="R2891" s="10" t="s">
        <v>1575</v>
      </c>
      <c r="S2891" s="10" t="s">
        <v>1575</v>
      </c>
      <c r="T2891" s="10" t="s">
        <v>1575</v>
      </c>
      <c r="U2891" s="10" t="s">
        <v>1575</v>
      </c>
      <c r="V2891" s="10">
        <v>-3.22648</v>
      </c>
      <c r="W2891" s="10">
        <f>61.752952-10.633504</f>
        <v>51.119447999999998</v>
      </c>
      <c r="X2891" s="10">
        <f t="shared" si="2818"/>
        <v>47.892967999999996</v>
      </c>
      <c r="Y2891" s="10" t="str">
        <f t="shared" si="2819"/>
        <v>NA</v>
      </c>
      <c r="Z2891" s="10" t="str">
        <f t="shared" si="2820"/>
        <v>NA</v>
      </c>
      <c r="AA2891" s="10">
        <f t="shared" si="2821"/>
        <v>-6.9399218343209936</v>
      </c>
      <c r="AB2891" s="10" t="str">
        <f t="shared" si="2822"/>
        <v>NA</v>
      </c>
      <c r="AC2891" s="10" t="str">
        <f t="shared" si="2823"/>
        <v>NA</v>
      </c>
      <c r="AD2891" s="10" t="str">
        <f t="shared" si="2824"/>
        <v>NA</v>
      </c>
      <c r="AE2891" s="10">
        <f t="shared" si="2825"/>
        <v>1.5349010526973397</v>
      </c>
      <c r="AF2891" s="1" t="s">
        <v>2772</v>
      </c>
    </row>
    <row r="2892" spans="1:32" x14ac:dyDescent="0.2">
      <c r="A2892" s="1" t="s">
        <v>6667</v>
      </c>
      <c r="B2892" s="1" t="s">
        <v>5</v>
      </c>
      <c r="C2892" s="1" t="s">
        <v>1575</v>
      </c>
      <c r="D2892" s="1" t="s">
        <v>2160</v>
      </c>
      <c r="E2892" s="1" t="s">
        <v>2172</v>
      </c>
      <c r="F2892" s="1" t="s">
        <v>2798</v>
      </c>
      <c r="G2892" s="4">
        <v>1</v>
      </c>
      <c r="H2892" s="28">
        <v>43879</v>
      </c>
      <c r="I2892" s="29">
        <f t="shared" si="2671"/>
        <v>2020</v>
      </c>
      <c r="J2892" s="1" t="s">
        <v>2773</v>
      </c>
      <c r="K2892" s="1" t="s">
        <v>7</v>
      </c>
      <c r="L2892" s="11" t="str">
        <f t="shared" si="2828"/>
        <v>НЕТ</v>
      </c>
      <c r="M2892" s="10">
        <v>0</v>
      </c>
      <c r="N2892" s="10">
        <v>0</v>
      </c>
      <c r="O2892" s="10">
        <v>0.15240000000000001</v>
      </c>
      <c r="P2892" s="10">
        <f t="shared" si="2815"/>
        <v>0.15240000000000001</v>
      </c>
      <c r="Q2892" s="10">
        <f t="shared" si="2816"/>
        <v>0.21438699999999999</v>
      </c>
      <c r="R2892" s="10" t="s">
        <v>1575</v>
      </c>
      <c r="S2892" s="10" t="s">
        <v>1575</v>
      </c>
      <c r="T2892" s="10" t="s">
        <v>1575</v>
      </c>
      <c r="U2892" s="10" t="s">
        <v>1575</v>
      </c>
      <c r="V2892" s="10">
        <v>-1.4069999999999999E-2</v>
      </c>
      <c r="W2892" s="10">
        <f>0.062046-0.000059</f>
        <v>6.1987E-2</v>
      </c>
      <c r="X2892" s="10">
        <f t="shared" si="2818"/>
        <v>4.7917000000000001E-2</v>
      </c>
      <c r="Y2892" s="10" t="str">
        <f t="shared" si="2819"/>
        <v>NA</v>
      </c>
      <c r="Z2892" s="10" t="str">
        <f t="shared" si="2820"/>
        <v>NA</v>
      </c>
      <c r="AA2892" s="10">
        <f t="shared" si="2821"/>
        <v>-10.831556503198295</v>
      </c>
      <c r="AB2892" s="10" t="str">
        <f t="shared" si="2822"/>
        <v>NA</v>
      </c>
      <c r="AC2892" s="10" t="str">
        <f t="shared" si="2823"/>
        <v>NA</v>
      </c>
      <c r="AD2892" s="10" t="str">
        <f t="shared" si="2824"/>
        <v>NA</v>
      </c>
      <c r="AE2892" s="10">
        <f t="shared" si="2825"/>
        <v>4.4741323538618856</v>
      </c>
      <c r="AF2892" s="1" t="s">
        <v>2772</v>
      </c>
    </row>
    <row r="2893" spans="1:32" x14ac:dyDescent="0.2">
      <c r="A2893" s="1" t="s">
        <v>6668</v>
      </c>
      <c r="B2893" s="1" t="s">
        <v>5</v>
      </c>
      <c r="C2893" s="1" t="s">
        <v>1575</v>
      </c>
      <c r="D2893" s="1" t="s">
        <v>2160</v>
      </c>
      <c r="E2893" s="1" t="s">
        <v>2172</v>
      </c>
      <c r="F2893" s="1" t="s">
        <v>2798</v>
      </c>
      <c r="G2893" s="4">
        <v>1</v>
      </c>
      <c r="H2893" s="28">
        <v>43891</v>
      </c>
      <c r="I2893" s="29">
        <f t="shared" ref="I2893:I2956" si="2829">YEAR(H2893)</f>
        <v>2020</v>
      </c>
      <c r="J2893" s="1" t="s">
        <v>2773</v>
      </c>
      <c r="K2893" s="1" t="s">
        <v>7</v>
      </c>
      <c r="L2893" s="11" t="str">
        <f t="shared" si="2828"/>
        <v>НЕТ</v>
      </c>
      <c r="M2893" s="10">
        <v>0</v>
      </c>
      <c r="N2893" s="10">
        <v>0</v>
      </c>
      <c r="O2893" s="10">
        <v>7.2560000000000002</v>
      </c>
      <c r="P2893" s="10">
        <f t="shared" si="2815"/>
        <v>7.2560000000000002</v>
      </c>
      <c r="Q2893" s="10">
        <f t="shared" si="2816"/>
        <v>7.113893</v>
      </c>
      <c r="R2893" s="10" t="s">
        <v>1575</v>
      </c>
      <c r="S2893" s="10" t="s">
        <v>1575</v>
      </c>
      <c r="T2893" s="10" t="s">
        <v>1575</v>
      </c>
      <c r="U2893" s="10" t="s">
        <v>1575</v>
      </c>
      <c r="V2893" s="10">
        <v>4.3516310000000002</v>
      </c>
      <c r="W2893" s="10">
        <f>0.160443-0.30255</f>
        <v>-0.14210699999999998</v>
      </c>
      <c r="X2893" s="10">
        <f t="shared" si="2818"/>
        <v>4.209524</v>
      </c>
      <c r="Y2893" s="10" t="str">
        <f t="shared" si="2819"/>
        <v>NA</v>
      </c>
      <c r="Z2893" s="10" t="str">
        <f t="shared" si="2820"/>
        <v>NA</v>
      </c>
      <c r="AA2893" s="10">
        <f t="shared" si="2821"/>
        <v>1.6674207900440088</v>
      </c>
      <c r="AB2893" s="10" t="str">
        <f t="shared" si="2822"/>
        <v>NA</v>
      </c>
      <c r="AC2893" s="10" t="str">
        <f t="shared" si="2823"/>
        <v>NA</v>
      </c>
      <c r="AD2893" s="10" t="str">
        <f t="shared" si="2824"/>
        <v>NA</v>
      </c>
      <c r="AE2893" s="10">
        <f t="shared" si="2825"/>
        <v>1.6899518805451637</v>
      </c>
      <c r="AF2893" s="1" t="s">
        <v>2772</v>
      </c>
    </row>
    <row r="2894" spans="1:32" x14ac:dyDescent="0.2">
      <c r="A2894" s="1" t="s">
        <v>2840</v>
      </c>
      <c r="B2894" s="1" t="s">
        <v>5</v>
      </c>
      <c r="C2894" s="1" t="s">
        <v>2837</v>
      </c>
      <c r="D2894" s="1" t="s">
        <v>2160</v>
      </c>
      <c r="E2894" s="1" t="s">
        <v>2838</v>
      </c>
      <c r="F2894" s="1" t="s">
        <v>2839</v>
      </c>
      <c r="G2894" s="4">
        <f>59.477934/610.391993</f>
        <v>9.7442192365062699E-2</v>
      </c>
      <c r="H2894" s="28">
        <v>43100</v>
      </c>
      <c r="I2894" s="29">
        <f t="shared" si="2829"/>
        <v>2017</v>
      </c>
      <c r="J2894" s="1" t="s">
        <v>7</v>
      </c>
      <c r="K2894" s="1" t="s">
        <v>2840</v>
      </c>
      <c r="L2894" s="11" t="str">
        <f t="shared" ref="L2894" si="2830">IF(OR(A2894=J2894,A2894=K2894),"ДА","НЕТ")</f>
        <v>ДА</v>
      </c>
      <c r="M2894" s="10">
        <v>0</v>
      </c>
      <c r="N2894" s="10">
        <v>0</v>
      </c>
      <c r="O2894" s="10">
        <v>1.6E-2</v>
      </c>
      <c r="P2894" s="10">
        <f t="shared" si="2815"/>
        <v>0.16419991804019285</v>
      </c>
      <c r="Q2894" s="10">
        <f t="shared" si="2816"/>
        <v>35.873199918040193</v>
      </c>
      <c r="R2894" s="10">
        <v>82.918999999999997</v>
      </c>
      <c r="S2894" s="10">
        <v>25.178000000000001</v>
      </c>
      <c r="T2894" s="10">
        <v>21.459</v>
      </c>
      <c r="U2894" s="10">
        <v>16.794</v>
      </c>
      <c r="V2894" s="10">
        <v>30.251999999999999</v>
      </c>
      <c r="W2894" s="10">
        <v>35.709000000000003</v>
      </c>
      <c r="X2894" s="10">
        <f t="shared" si="2818"/>
        <v>65.960999999999999</v>
      </c>
      <c r="Y2894" s="10">
        <f t="shared" si="2819"/>
        <v>1.9802447935960738E-3</v>
      </c>
      <c r="Z2894" s="10">
        <f t="shared" si="2820"/>
        <v>9.7772965368698849E-3</v>
      </c>
      <c r="AA2894" s="10">
        <f t="shared" si="2821"/>
        <v>5.4277376054539484E-3</v>
      </c>
      <c r="AB2894" s="10">
        <f t="shared" si="2822"/>
        <v>0.43262943255514652</v>
      </c>
      <c r="AC2894" s="10">
        <f t="shared" si="2823"/>
        <v>1.4247835379315352</v>
      </c>
      <c r="AD2894" s="10">
        <f t="shared" si="2824"/>
        <v>1.6717088362943378</v>
      </c>
      <c r="AE2894" s="10">
        <f t="shared" si="2825"/>
        <v>0.54385470077834164</v>
      </c>
    </row>
    <row r="2895" spans="1:32" x14ac:dyDescent="0.2">
      <c r="A2895" s="1" t="s">
        <v>2840</v>
      </c>
      <c r="B2895" s="1" t="s">
        <v>5</v>
      </c>
      <c r="C2895" s="1" t="s">
        <v>2837</v>
      </c>
      <c r="D2895" s="1" t="s">
        <v>2160</v>
      </c>
      <c r="E2895" s="1" t="s">
        <v>2838</v>
      </c>
      <c r="F2895" s="1" t="s">
        <v>2839</v>
      </c>
      <c r="G2895" s="4">
        <f>0.749413/553.912922</f>
        <v>1.3529437033064919E-3</v>
      </c>
      <c r="H2895" s="28">
        <v>42735</v>
      </c>
      <c r="I2895" s="29">
        <f t="shared" si="2829"/>
        <v>2016</v>
      </c>
      <c r="J2895" s="1" t="s">
        <v>2840</v>
      </c>
      <c r="K2895" s="1" t="s">
        <v>7</v>
      </c>
      <c r="L2895" s="11" t="str">
        <f t="shared" ref="L2895" si="2831">IF(OR(A2895=J2895,A2895=K2895),"ДА","НЕТ")</f>
        <v>ДА</v>
      </c>
      <c r="M2895" s="10">
        <v>0</v>
      </c>
      <c r="N2895" s="10">
        <v>0</v>
      </c>
      <c r="O2895" s="10">
        <v>1.6E-2</v>
      </c>
      <c r="P2895" s="10">
        <f t="shared" si="2815"/>
        <v>11.826064869437813</v>
      </c>
      <c r="Q2895" s="10">
        <f t="shared" si="2816"/>
        <v>53.928064869437819</v>
      </c>
      <c r="R2895" s="10">
        <v>71.602000000000004</v>
      </c>
      <c r="S2895" s="10">
        <v>21.391999999999999</v>
      </c>
      <c r="T2895" s="10">
        <v>18.646999999999998</v>
      </c>
      <c r="U2895" s="10">
        <v>15.662000000000001</v>
      </c>
      <c r="V2895" s="10">
        <v>13.664999999999999</v>
      </c>
      <c r="W2895" s="10">
        <v>42.102000000000004</v>
      </c>
      <c r="X2895" s="10">
        <f t="shared" si="2818"/>
        <v>55.767000000000003</v>
      </c>
      <c r="Y2895" s="10">
        <f t="shared" si="2819"/>
        <v>0.1651638902466106</v>
      </c>
      <c r="Z2895" s="10">
        <f t="shared" si="2820"/>
        <v>0.75508012191532448</v>
      </c>
      <c r="AA2895" s="10">
        <f t="shared" si="2821"/>
        <v>0.8654273596368689</v>
      </c>
      <c r="AB2895" s="10">
        <f t="shared" si="2822"/>
        <v>0.75316422543277861</v>
      </c>
      <c r="AC2895" s="10">
        <f t="shared" si="2823"/>
        <v>2.5209454407927177</v>
      </c>
      <c r="AD2895" s="10">
        <f t="shared" si="2824"/>
        <v>2.8920504568798102</v>
      </c>
      <c r="AE2895" s="10">
        <f t="shared" si="2825"/>
        <v>0.96702467174920326</v>
      </c>
    </row>
    <row r="2896" spans="1:32" x14ac:dyDescent="0.2">
      <c r="A2896" s="1" t="s">
        <v>2840</v>
      </c>
      <c r="B2896" s="1" t="s">
        <v>5</v>
      </c>
      <c r="C2896" s="1" t="s">
        <v>2837</v>
      </c>
      <c r="D2896" s="1" t="s">
        <v>2160</v>
      </c>
      <c r="E2896" s="1" t="s">
        <v>2838</v>
      </c>
      <c r="F2896" s="1" t="s">
        <v>2839</v>
      </c>
      <c r="G2896" s="4">
        <f>3.017675/553.912922</f>
        <v>5.4479230943090366E-3</v>
      </c>
      <c r="H2896" s="28">
        <v>42369</v>
      </c>
      <c r="I2896" s="29">
        <f t="shared" si="2829"/>
        <v>2015</v>
      </c>
      <c r="J2896" s="1" t="s">
        <v>7</v>
      </c>
      <c r="K2896" s="1" t="s">
        <v>2840</v>
      </c>
      <c r="L2896" s="11" t="str">
        <f t="shared" ref="L2896" si="2832">IF(OR(A2896=J2896,A2896=K2896),"ДА","НЕТ")</f>
        <v>ДА</v>
      </c>
      <c r="M2896" s="10">
        <v>0</v>
      </c>
      <c r="N2896" s="10">
        <v>0</v>
      </c>
      <c r="O2896" s="10">
        <v>1.6E-2</v>
      </c>
      <c r="P2896" s="10">
        <f t="shared" si="2815"/>
        <v>2.9368990206036103</v>
      </c>
      <c r="Q2896" s="10">
        <f t="shared" si="2816"/>
        <v>45.654899020603615</v>
      </c>
      <c r="R2896" s="10">
        <v>69.864000000000004</v>
      </c>
      <c r="S2896" s="10">
        <v>22.067</v>
      </c>
      <c r="T2896" s="10">
        <v>19.503</v>
      </c>
      <c r="U2896" s="10">
        <v>9.0389999999999997</v>
      </c>
      <c r="V2896" s="10">
        <v>-1.859</v>
      </c>
      <c r="W2896" s="10">
        <v>42.718000000000004</v>
      </c>
      <c r="X2896" s="10">
        <f t="shared" si="2818"/>
        <v>40.859000000000002</v>
      </c>
      <c r="Y2896" s="10">
        <f t="shared" si="2819"/>
        <v>4.2037372904551847E-2</v>
      </c>
      <c r="Z2896" s="10">
        <f t="shared" si="2820"/>
        <v>0.32491415207474394</v>
      </c>
      <c r="AA2896" s="10">
        <f t="shared" si="2821"/>
        <v>-1.5798273376028027</v>
      </c>
      <c r="AB2896" s="10">
        <f t="shared" si="2822"/>
        <v>0.65348246622872452</v>
      </c>
      <c r="AC2896" s="10">
        <f t="shared" si="2823"/>
        <v>2.0689218752256138</v>
      </c>
      <c r="AD2896" s="10">
        <f t="shared" si="2824"/>
        <v>2.3409167318158035</v>
      </c>
      <c r="AE2896" s="10">
        <f t="shared" si="2825"/>
        <v>1.1173768085514479</v>
      </c>
    </row>
    <row r="2897" spans="1:32" x14ac:dyDescent="0.2">
      <c r="A2897" s="1" t="s">
        <v>2840</v>
      </c>
      <c r="B2897" s="1" t="s">
        <v>5</v>
      </c>
      <c r="C2897" s="1" t="s">
        <v>2837</v>
      </c>
      <c r="D2897" s="1" t="s">
        <v>2160</v>
      </c>
      <c r="E2897" s="1" t="s">
        <v>2838</v>
      </c>
      <c r="F2897" s="1" t="s">
        <v>2839</v>
      </c>
      <c r="G2897" s="4">
        <f>0.071876/553.912922</f>
        <v>1.2976046801811206E-4</v>
      </c>
      <c r="H2897" s="28">
        <v>42004</v>
      </c>
      <c r="I2897" s="29">
        <f t="shared" si="2829"/>
        <v>2014</v>
      </c>
      <c r="J2897" s="1" t="s">
        <v>2840</v>
      </c>
      <c r="K2897" s="1" t="s">
        <v>7</v>
      </c>
      <c r="L2897" s="11" t="str">
        <f t="shared" ref="L2897" si="2833">IF(OR(A2897=J2897,A2897=K2897),"ДА","НЕТ")</f>
        <v>ДА</v>
      </c>
      <c r="M2897" s="10">
        <v>0</v>
      </c>
      <c r="N2897" s="10">
        <v>0</v>
      </c>
      <c r="O2897" s="10">
        <v>6.5000000000000002E-2</v>
      </c>
      <c r="P2897" s="10">
        <f t="shared" si="2815"/>
        <v>500.92297748900887</v>
      </c>
      <c r="Q2897" s="10">
        <f t="shared" si="2816"/>
        <v>537.87097748900885</v>
      </c>
      <c r="R2897" s="10">
        <v>51.287999999999997</v>
      </c>
      <c r="S2897" s="10">
        <v>11.181000000000001</v>
      </c>
      <c r="T2897" s="10">
        <v>9.1460000000000008</v>
      </c>
      <c r="U2897" s="10">
        <v>-3.4470000000000001</v>
      </c>
      <c r="V2897" s="10">
        <v>-6.8689999999999998</v>
      </c>
      <c r="W2897" s="10">
        <v>36.948</v>
      </c>
      <c r="X2897" s="10">
        <f t="shared" si="2818"/>
        <v>30.079000000000001</v>
      </c>
      <c r="Y2897" s="10">
        <f t="shared" si="2819"/>
        <v>9.7668651046835304</v>
      </c>
      <c r="Z2897" s="10">
        <f t="shared" si="2820"/>
        <v>-145.32143240180125</v>
      </c>
      <c r="AA2897" s="10">
        <f t="shared" si="2821"/>
        <v>-72.925167781192158</v>
      </c>
      <c r="AB2897" s="10">
        <f t="shared" si="2822"/>
        <v>10.487267538001266</v>
      </c>
      <c r="AC2897" s="10">
        <f t="shared" si="2823"/>
        <v>48.105802476434022</v>
      </c>
      <c r="AD2897" s="10">
        <f t="shared" si="2824"/>
        <v>58.80942242390212</v>
      </c>
      <c r="AE2897" s="10">
        <f t="shared" si="2825"/>
        <v>17.881943465175333</v>
      </c>
    </row>
    <row r="2898" spans="1:32" x14ac:dyDescent="0.2">
      <c r="A2898" s="1" t="s">
        <v>2840</v>
      </c>
      <c r="B2898" s="1" t="s">
        <v>5</v>
      </c>
      <c r="C2898" s="1" t="s">
        <v>2837</v>
      </c>
      <c r="D2898" s="1" t="s">
        <v>2160</v>
      </c>
      <c r="E2898" s="1" t="s">
        <v>2838</v>
      </c>
      <c r="F2898" s="1" t="s">
        <v>2839</v>
      </c>
      <c r="G2898" s="4">
        <f>2.945799/553.912922</f>
        <v>5.3181626262909249E-3</v>
      </c>
      <c r="H2898" s="28">
        <v>42004</v>
      </c>
      <c r="I2898" s="29">
        <f t="shared" si="2829"/>
        <v>2014</v>
      </c>
      <c r="J2898" s="1" t="s">
        <v>7</v>
      </c>
      <c r="K2898" s="1" t="s">
        <v>2840</v>
      </c>
      <c r="L2898" s="11" t="str">
        <f t="shared" ref="L2898" si="2834">IF(OR(A2898=J2898,A2898=K2898),"ДА","НЕТ")</f>
        <v>ДА</v>
      </c>
      <c r="M2898" s="10">
        <v>0</v>
      </c>
      <c r="N2898" s="10">
        <v>0</v>
      </c>
      <c r="O2898" s="10">
        <v>1E-3</v>
      </c>
      <c r="P2898" s="10">
        <f t="shared" si="2815"/>
        <v>0.18803486660155699</v>
      </c>
      <c r="Q2898" s="10">
        <f t="shared" si="2816"/>
        <v>37.136034866601555</v>
      </c>
      <c r="R2898" s="10">
        <v>51.287999999999997</v>
      </c>
      <c r="S2898" s="10">
        <v>11.181000000000001</v>
      </c>
      <c r="T2898" s="10">
        <v>9.1460000000000008</v>
      </c>
      <c r="U2898" s="10">
        <v>-3.4470000000000001</v>
      </c>
      <c r="V2898" s="10">
        <v>-6.8689999999999998</v>
      </c>
      <c r="W2898" s="10">
        <v>36.948</v>
      </c>
      <c r="X2898" s="10">
        <f t="shared" si="2818"/>
        <v>30.079000000000001</v>
      </c>
      <c r="Y2898" s="10">
        <f t="shared" si="2819"/>
        <v>3.666254613195231E-3</v>
      </c>
      <c r="Z2898" s="10">
        <f t="shared" si="2820"/>
        <v>-5.4550294923573252E-2</v>
      </c>
      <c r="AA2898" s="10">
        <f t="shared" si="2821"/>
        <v>-2.7374416450947299E-2</v>
      </c>
      <c r="AB2898" s="10">
        <f t="shared" si="2822"/>
        <v>0.72406868793093038</v>
      </c>
      <c r="AC2898" s="10">
        <f t="shared" si="2823"/>
        <v>3.3213518349522899</v>
      </c>
      <c r="AD2898" s="10">
        <f t="shared" si="2824"/>
        <v>4.0603580654495461</v>
      </c>
      <c r="AE2898" s="10">
        <f t="shared" si="2825"/>
        <v>1.2346166716513698</v>
      </c>
    </row>
    <row r="2899" spans="1:32" x14ac:dyDescent="0.2">
      <c r="A2899" s="1" t="s">
        <v>6669</v>
      </c>
      <c r="B2899" s="1" t="s">
        <v>5</v>
      </c>
      <c r="C2899" s="1" t="s">
        <v>1575</v>
      </c>
      <c r="D2899" s="1" t="s">
        <v>2160</v>
      </c>
      <c r="E2899" s="1" t="s">
        <v>2838</v>
      </c>
      <c r="F2899" s="1" t="s">
        <v>2839</v>
      </c>
      <c r="G2899" s="4">
        <v>0.27729999999999999</v>
      </c>
      <c r="H2899" s="28">
        <v>41305</v>
      </c>
      <c r="I2899" s="29">
        <f t="shared" si="2829"/>
        <v>2013</v>
      </c>
      <c r="J2899" s="1" t="s">
        <v>2840</v>
      </c>
      <c r="K2899" s="1" t="s">
        <v>7</v>
      </c>
      <c r="L2899" s="11" t="str">
        <f t="shared" ref="L2899" si="2835">IF(OR(A2899=J2899,A2899=K2899),"ДА","НЕТ")</f>
        <v>НЕТ</v>
      </c>
      <c r="M2899" s="10">
        <v>0</v>
      </c>
      <c r="N2899" s="10">
        <v>0</v>
      </c>
      <c r="O2899" s="10" t="s">
        <v>1575</v>
      </c>
      <c r="P2899" s="10" t="str">
        <f t="shared" si="2815"/>
        <v>NA</v>
      </c>
      <c r="Q2899" s="10" t="str">
        <f t="shared" si="2816"/>
        <v>NA</v>
      </c>
      <c r="R2899" s="10" t="s">
        <v>1575</v>
      </c>
      <c r="S2899" s="10" t="s">
        <v>1575</v>
      </c>
      <c r="T2899" s="10" t="s">
        <v>1575</v>
      </c>
      <c r="U2899" s="10" t="s">
        <v>1575</v>
      </c>
      <c r="V2899" s="10" t="s">
        <v>1575</v>
      </c>
      <c r="W2899" s="10" t="s">
        <v>1575</v>
      </c>
      <c r="X2899" s="10" t="str">
        <f t="shared" si="2818"/>
        <v>NA</v>
      </c>
      <c r="Y2899" s="10" t="str">
        <f t="shared" si="2819"/>
        <v>NA</v>
      </c>
      <c r="Z2899" s="10" t="str">
        <f t="shared" si="2820"/>
        <v>NA</v>
      </c>
      <c r="AA2899" s="10" t="str">
        <f t="shared" si="2821"/>
        <v>NA</v>
      </c>
      <c r="AB2899" s="10" t="str">
        <f t="shared" si="2822"/>
        <v>NA</v>
      </c>
      <c r="AC2899" s="10" t="str">
        <f t="shared" si="2823"/>
        <v>NA</v>
      </c>
      <c r="AD2899" s="10" t="str">
        <f t="shared" si="2824"/>
        <v>NA</v>
      </c>
      <c r="AE2899" s="10" t="str">
        <f t="shared" si="2825"/>
        <v>NA</v>
      </c>
      <c r="AF2899" s="1" t="s">
        <v>2842</v>
      </c>
    </row>
    <row r="2900" spans="1:32" x14ac:dyDescent="0.2">
      <c r="A2900" s="1" t="s">
        <v>6670</v>
      </c>
      <c r="B2900" s="1" t="s">
        <v>5</v>
      </c>
      <c r="C2900" s="1" t="s">
        <v>1575</v>
      </c>
      <c r="D2900" s="1" t="s">
        <v>2160</v>
      </c>
      <c r="E2900" s="1" t="s">
        <v>2838</v>
      </c>
      <c r="F2900" s="1" t="s">
        <v>2839</v>
      </c>
      <c r="G2900" s="4" t="s">
        <v>11</v>
      </c>
      <c r="H2900" s="28">
        <v>41455</v>
      </c>
      <c r="I2900" s="29">
        <f t="shared" si="2829"/>
        <v>2013</v>
      </c>
      <c r="J2900" s="1" t="s">
        <v>2840</v>
      </c>
      <c r="K2900" s="1" t="s">
        <v>7</v>
      </c>
      <c r="L2900" s="11" t="str">
        <f t="shared" ref="L2900" si="2836">IF(OR(A2900=J2900,A2900=K2900),"ДА","НЕТ")</f>
        <v>НЕТ</v>
      </c>
      <c r="M2900" s="10">
        <v>0</v>
      </c>
      <c r="N2900" s="10">
        <v>0</v>
      </c>
      <c r="O2900" s="10">
        <v>2.8180000000000001</v>
      </c>
      <c r="P2900" s="10" t="str">
        <f t="shared" si="2815"/>
        <v>NA</v>
      </c>
      <c r="Q2900" s="10" t="str">
        <f t="shared" si="2816"/>
        <v>NA</v>
      </c>
      <c r="R2900" s="10" t="s">
        <v>1575</v>
      </c>
      <c r="S2900" s="10" t="s">
        <v>1575</v>
      </c>
      <c r="T2900" s="10" t="s">
        <v>1575</v>
      </c>
      <c r="U2900" s="10" t="s">
        <v>1575</v>
      </c>
      <c r="V2900" s="10">
        <v>0.152</v>
      </c>
      <c r="W2900" s="10">
        <v>0</v>
      </c>
      <c r="X2900" s="10">
        <f t="shared" si="2818"/>
        <v>0.152</v>
      </c>
      <c r="Y2900" s="10" t="str">
        <f t="shared" si="2819"/>
        <v>NA</v>
      </c>
      <c r="Z2900" s="10" t="str">
        <f t="shared" si="2820"/>
        <v>NA</v>
      </c>
      <c r="AA2900" s="10" t="str">
        <f t="shared" si="2821"/>
        <v>NA</v>
      </c>
      <c r="AB2900" s="10" t="str">
        <f t="shared" si="2822"/>
        <v>NA</v>
      </c>
      <c r="AC2900" s="10" t="str">
        <f t="shared" si="2823"/>
        <v>NA</v>
      </c>
      <c r="AD2900" s="10" t="str">
        <f t="shared" si="2824"/>
        <v>NA</v>
      </c>
      <c r="AE2900" s="10" t="str">
        <f t="shared" si="2825"/>
        <v>NA</v>
      </c>
      <c r="AF2900" s="1" t="s">
        <v>2843</v>
      </c>
    </row>
    <row r="2901" spans="1:32" x14ac:dyDescent="0.2">
      <c r="A2901" s="1" t="s">
        <v>2840</v>
      </c>
      <c r="B2901" s="1" t="s">
        <v>5</v>
      </c>
      <c r="C2901" s="1" t="s">
        <v>2837</v>
      </c>
      <c r="D2901" s="1" t="s">
        <v>2160</v>
      </c>
      <c r="E2901" s="1" t="s">
        <v>2838</v>
      </c>
      <c r="F2901" s="1" t="s">
        <v>2839</v>
      </c>
      <c r="G2901" s="4">
        <f>4.745909/309.114463</f>
        <v>1.5353241494882755E-2</v>
      </c>
      <c r="H2901" s="28">
        <v>41639</v>
      </c>
      <c r="I2901" s="29">
        <f t="shared" si="2829"/>
        <v>2013</v>
      </c>
      <c r="J2901" s="1" t="s">
        <v>2840</v>
      </c>
      <c r="K2901" s="1" t="s">
        <v>7</v>
      </c>
      <c r="L2901" s="11" t="str">
        <f t="shared" si="2828"/>
        <v>ДА</v>
      </c>
      <c r="M2901" s="10">
        <v>0</v>
      </c>
      <c r="N2901" s="10">
        <v>0</v>
      </c>
      <c r="O2901" s="10">
        <v>0.1</v>
      </c>
      <c r="P2901" s="10">
        <f t="shared" si="2815"/>
        <v>6.5132825555652252</v>
      </c>
      <c r="Q2901" s="10">
        <f t="shared" si="2816"/>
        <v>27.683282555565228</v>
      </c>
      <c r="R2901" s="10">
        <v>38.698999999999998</v>
      </c>
      <c r="S2901" s="10">
        <v>7.0579999999999998</v>
      </c>
      <c r="T2901" s="10">
        <v>4.9530000000000003</v>
      </c>
      <c r="U2901" s="10">
        <v>3.4860000000000002</v>
      </c>
      <c r="V2901" s="10">
        <v>6.6340000000000003</v>
      </c>
      <c r="W2901" s="10">
        <v>21.17</v>
      </c>
      <c r="X2901" s="10">
        <f t="shared" si="2818"/>
        <v>27.804000000000002</v>
      </c>
      <c r="Y2901" s="10">
        <f t="shared" si="2819"/>
        <v>0.16830622381883836</v>
      </c>
      <c r="Z2901" s="10">
        <f t="shared" si="2820"/>
        <v>1.8684115190950157</v>
      </c>
      <c r="AA2901" s="10">
        <f t="shared" si="2821"/>
        <v>0.98180321910841495</v>
      </c>
      <c r="AB2901" s="10">
        <f t="shared" si="2822"/>
        <v>0.71534878305809524</v>
      </c>
      <c r="AC2901" s="10">
        <f t="shared" si="2823"/>
        <v>3.922255958566907</v>
      </c>
      <c r="AD2901" s="10">
        <f t="shared" si="2824"/>
        <v>5.5891949435827231</v>
      </c>
      <c r="AE2901" s="10">
        <f t="shared" si="2825"/>
        <v>0.99565827059290846</v>
      </c>
    </row>
    <row r="2902" spans="1:32" x14ac:dyDescent="0.2">
      <c r="A2902" s="1" t="s">
        <v>2840</v>
      </c>
      <c r="B2902" s="1" t="s">
        <v>5</v>
      </c>
      <c r="C2902" s="1" t="s">
        <v>2837</v>
      </c>
      <c r="D2902" s="1" t="s">
        <v>2160</v>
      </c>
      <c r="E2902" s="1" t="s">
        <v>2838</v>
      </c>
      <c r="F2902" s="1" t="s">
        <v>2839</v>
      </c>
      <c r="G2902" s="4">
        <f>53.275295/284.483373</f>
        <v>0.18727032950358052</v>
      </c>
      <c r="H2902" s="28">
        <v>41274</v>
      </c>
      <c r="I2902" s="29">
        <f t="shared" si="2829"/>
        <v>2012</v>
      </c>
      <c r="J2902" s="1" t="s">
        <v>2840</v>
      </c>
      <c r="K2902" s="1" t="s">
        <v>7</v>
      </c>
      <c r="L2902" s="11" t="str">
        <f t="shared" ref="L2902:L2903" si="2837">IF(OR(A2902=J2902,A2902=K2902),"ДА","НЕТ")</f>
        <v>ДА</v>
      </c>
      <c r="M2902" s="10">
        <v>0</v>
      </c>
      <c r="N2902" s="10">
        <v>0</v>
      </c>
      <c r="O2902" s="10">
        <v>1.6919999999999999</v>
      </c>
      <c r="P2902" s="10">
        <f t="shared" si="2815"/>
        <v>9.0350671378919625</v>
      </c>
      <c r="Q2902" s="10">
        <f t="shared" si="2816"/>
        <v>27.807067137891963</v>
      </c>
      <c r="R2902" s="10">
        <v>27.231999999999999</v>
      </c>
      <c r="S2902" s="10">
        <v>4.2119999999999997</v>
      </c>
      <c r="T2902" s="10">
        <v>2.827</v>
      </c>
      <c r="U2902" s="10">
        <v>1.9790000000000001</v>
      </c>
      <c r="V2902" s="10">
        <v>4.1319999999999997</v>
      </c>
      <c r="W2902" s="10">
        <v>18.772000000000002</v>
      </c>
      <c r="X2902" s="10">
        <f t="shared" si="2818"/>
        <v>22.904000000000003</v>
      </c>
      <c r="Y2902" s="10">
        <f t="shared" si="2819"/>
        <v>0.33178125506360029</v>
      </c>
      <c r="Z2902" s="10">
        <f t="shared" si="2820"/>
        <v>4.5654710145992734</v>
      </c>
      <c r="AA2902" s="10">
        <f t="shared" si="2821"/>
        <v>2.1866086974569128</v>
      </c>
      <c r="AB2902" s="10">
        <f t="shared" si="2822"/>
        <v>1.0211173302692407</v>
      </c>
      <c r="AC2902" s="10">
        <f t="shared" si="2823"/>
        <v>6.6018677915223085</v>
      </c>
      <c r="AD2902" s="10">
        <f t="shared" si="2824"/>
        <v>9.8362458924272946</v>
      </c>
      <c r="AE2902" s="10">
        <f t="shared" si="2825"/>
        <v>1.2140703430794604</v>
      </c>
    </row>
    <row r="2903" spans="1:32" x14ac:dyDescent="0.2">
      <c r="A2903" s="1" t="s">
        <v>2844</v>
      </c>
      <c r="B2903" s="1" t="s">
        <v>5</v>
      </c>
      <c r="C2903" s="1" t="s">
        <v>1575</v>
      </c>
      <c r="D2903" s="1" t="s">
        <v>2160</v>
      </c>
      <c r="E2903" s="1" t="s">
        <v>2838</v>
      </c>
      <c r="F2903" s="1" t="s">
        <v>2839</v>
      </c>
      <c r="G2903" s="4">
        <v>0.81</v>
      </c>
      <c r="H2903" s="28">
        <v>41090</v>
      </c>
      <c r="I2903" s="29">
        <f t="shared" si="2829"/>
        <v>2012</v>
      </c>
      <c r="J2903" s="1" t="s">
        <v>653</v>
      </c>
      <c r="K2903" s="1" t="s">
        <v>2840</v>
      </c>
      <c r="L2903" s="11" t="str">
        <f t="shared" si="2837"/>
        <v>НЕТ</v>
      </c>
      <c r="M2903" s="10">
        <v>0</v>
      </c>
      <c r="N2903" s="10">
        <v>0</v>
      </c>
      <c r="O2903" s="10" t="s">
        <v>1575</v>
      </c>
      <c r="P2903" s="10" t="str">
        <f t="shared" si="2815"/>
        <v>NA</v>
      </c>
      <c r="Q2903" s="10" t="str">
        <f t="shared" si="2816"/>
        <v>NA</v>
      </c>
      <c r="R2903" s="10" t="s">
        <v>1575</v>
      </c>
      <c r="S2903" s="10" t="s">
        <v>1575</v>
      </c>
      <c r="T2903" s="10" t="s">
        <v>1575</v>
      </c>
      <c r="U2903" s="10" t="s">
        <v>1575</v>
      </c>
      <c r="V2903" s="10" t="s">
        <v>1575</v>
      </c>
      <c r="W2903" s="10" t="s">
        <v>1575</v>
      </c>
      <c r="X2903" s="10" t="str">
        <f t="shared" si="2818"/>
        <v>NA</v>
      </c>
      <c r="Y2903" s="10" t="str">
        <f t="shared" si="2819"/>
        <v>NA</v>
      </c>
      <c r="Z2903" s="10" t="str">
        <f t="shared" si="2820"/>
        <v>NA</v>
      </c>
      <c r="AA2903" s="10" t="str">
        <f t="shared" si="2821"/>
        <v>NA</v>
      </c>
      <c r="AB2903" s="10" t="str">
        <f t="shared" si="2822"/>
        <v>NA</v>
      </c>
      <c r="AC2903" s="10" t="str">
        <f t="shared" si="2823"/>
        <v>NA</v>
      </c>
      <c r="AD2903" s="10" t="str">
        <f t="shared" si="2824"/>
        <v>NA</v>
      </c>
      <c r="AE2903" s="10" t="str">
        <f t="shared" si="2825"/>
        <v>NA</v>
      </c>
      <c r="AF2903" s="1" t="s">
        <v>2846</v>
      </c>
    </row>
    <row r="2904" spans="1:32" x14ac:dyDescent="0.2">
      <c r="A2904" s="1" t="s">
        <v>2840</v>
      </c>
      <c r="B2904" s="1" t="s">
        <v>5</v>
      </c>
      <c r="C2904" s="1" t="s">
        <v>2837</v>
      </c>
      <c r="D2904" s="1" t="s">
        <v>2160</v>
      </c>
      <c r="E2904" s="1" t="s">
        <v>2838</v>
      </c>
      <c r="F2904" s="1" t="s">
        <v>2839</v>
      </c>
      <c r="G2904" s="4">
        <f>50.419449/284.483373</f>
        <v>0.17723161978960367</v>
      </c>
      <c r="H2904" s="28">
        <v>41090</v>
      </c>
      <c r="I2904" s="29">
        <f t="shared" si="2829"/>
        <v>2012</v>
      </c>
      <c r="J2904" s="1" t="s">
        <v>2844</v>
      </c>
      <c r="L2904" s="11" t="str">
        <f t="shared" ref="L2904" si="2838">IF(OR(A2904=J2904,A2904=K2904),"ДА","НЕТ")</f>
        <v>НЕТ</v>
      </c>
      <c r="M2904" s="10">
        <v>0</v>
      </c>
      <c r="N2904" s="10">
        <v>0</v>
      </c>
      <c r="O2904" s="10">
        <v>1.5</v>
      </c>
      <c r="P2904" s="10">
        <f t="shared" si="2815"/>
        <v>8.4635010489702101</v>
      </c>
      <c r="Q2904" s="10">
        <f t="shared" si="2816"/>
        <v>24.01450104897021</v>
      </c>
      <c r="R2904" s="10">
        <v>21.963000000000001</v>
      </c>
      <c r="S2904" s="10">
        <v>4.4640000000000004</v>
      </c>
      <c r="T2904" s="10">
        <v>3.125</v>
      </c>
      <c r="U2904" s="10">
        <v>2.077</v>
      </c>
      <c r="V2904" s="10">
        <v>6.8799999999999955</v>
      </c>
      <c r="W2904" s="10">
        <v>15.551000000000002</v>
      </c>
      <c r="X2904" s="10">
        <f t="shared" si="2818"/>
        <v>22.430999999999997</v>
      </c>
      <c r="Y2904" s="10">
        <f t="shared" si="2819"/>
        <v>0.3853526862892232</v>
      </c>
      <c r="Z2904" s="10">
        <f t="shared" si="2820"/>
        <v>4.0748681025374145</v>
      </c>
      <c r="AA2904" s="10">
        <f t="shared" si="2821"/>
        <v>1.2301600361875313</v>
      </c>
      <c r="AB2904" s="10">
        <f t="shared" si="2822"/>
        <v>1.0934071415093662</v>
      </c>
      <c r="AC2904" s="10">
        <f t="shared" si="2823"/>
        <v>5.3795925288911759</v>
      </c>
      <c r="AD2904" s="10">
        <f t="shared" si="2824"/>
        <v>7.6846403356704673</v>
      </c>
      <c r="AE2904" s="10">
        <f t="shared" si="2825"/>
        <v>1.0705943136271328</v>
      </c>
      <c r="AF2904" s="1" t="s">
        <v>2845</v>
      </c>
    </row>
    <row r="2905" spans="1:32" x14ac:dyDescent="0.2">
      <c r="A2905" s="1" t="s">
        <v>2840</v>
      </c>
      <c r="B2905" s="1" t="s">
        <v>5</v>
      </c>
      <c r="C2905" s="1" t="s">
        <v>2837</v>
      </c>
      <c r="D2905" s="1" t="s">
        <v>2160</v>
      </c>
      <c r="E2905" s="1" t="s">
        <v>2838</v>
      </c>
      <c r="F2905" s="1" t="s">
        <v>2839</v>
      </c>
      <c r="G2905" s="4">
        <f>0.572/284.483373</f>
        <v>2.0106623243671962E-3</v>
      </c>
      <c r="H2905" s="28">
        <v>40877</v>
      </c>
      <c r="I2905" s="29">
        <f t="shared" si="2829"/>
        <v>2011</v>
      </c>
      <c r="J2905" s="1" t="s">
        <v>7</v>
      </c>
      <c r="K2905" s="1" t="s">
        <v>2840</v>
      </c>
      <c r="L2905" s="11" t="str">
        <f>IF(OR(A2905=J2905,A2905=K2905),"ДА","НЕТ")</f>
        <v>ДА</v>
      </c>
      <c r="M2905" s="10">
        <v>0</v>
      </c>
      <c r="N2905" s="10">
        <v>0</v>
      </c>
      <c r="O2905" s="10">
        <v>0.01</v>
      </c>
      <c r="P2905" s="10">
        <f t="shared" si="2815"/>
        <v>4.9734855419580413</v>
      </c>
      <c r="Q2905" s="10">
        <f t="shared" si="2816"/>
        <v>17.883485541958041</v>
      </c>
      <c r="R2905" s="10" t="s">
        <v>1575</v>
      </c>
      <c r="S2905" s="10" t="s">
        <v>1575</v>
      </c>
      <c r="T2905" s="10" t="s">
        <v>1575</v>
      </c>
      <c r="U2905" s="10" t="s">
        <v>1575</v>
      </c>
      <c r="V2905" s="10">
        <v>4.8879999999999999</v>
      </c>
      <c r="W2905" s="10">
        <v>12.91</v>
      </c>
      <c r="X2905" s="10">
        <f t="shared" si="2818"/>
        <v>17.798000000000002</v>
      </c>
      <c r="Y2905" s="10" t="str">
        <f t="shared" si="2819"/>
        <v>NA</v>
      </c>
      <c r="Z2905" s="10" t="str">
        <f t="shared" si="2820"/>
        <v>NA</v>
      </c>
      <c r="AA2905" s="10">
        <f t="shared" si="2821"/>
        <v>1.0174888588293864</v>
      </c>
      <c r="AB2905" s="10" t="str">
        <f t="shared" si="2822"/>
        <v>NA</v>
      </c>
      <c r="AC2905" s="10" t="str">
        <f t="shared" si="2823"/>
        <v>NA</v>
      </c>
      <c r="AD2905" s="10" t="str">
        <f t="shared" si="2824"/>
        <v>NA</v>
      </c>
      <c r="AE2905" s="10">
        <f t="shared" si="2825"/>
        <v>1.0048030982109248</v>
      </c>
      <c r="AF2905" s="1" t="s">
        <v>2841</v>
      </c>
    </row>
    <row r="2906" spans="1:32" x14ac:dyDescent="0.2">
      <c r="A2906" s="1" t="s">
        <v>2888</v>
      </c>
      <c r="B2906" s="1" t="s">
        <v>5</v>
      </c>
      <c r="C2906" s="1" t="s">
        <v>2887</v>
      </c>
      <c r="D2906" s="1" t="s">
        <v>2160</v>
      </c>
      <c r="E2906" s="1" t="s">
        <v>2172</v>
      </c>
      <c r="F2906" s="1" t="s">
        <v>2798</v>
      </c>
      <c r="G2906" s="4">
        <f>546518/11789500</f>
        <v>4.635633402604012E-2</v>
      </c>
      <c r="H2906" s="28">
        <v>44227</v>
      </c>
      <c r="I2906" s="29">
        <f t="shared" si="2829"/>
        <v>2021</v>
      </c>
      <c r="J2906" s="1" t="s">
        <v>7</v>
      </c>
      <c r="K2906" s="1" t="s">
        <v>2888</v>
      </c>
      <c r="L2906" s="11" t="str">
        <f t="shared" ref="L2906:L2910" si="2839">IF(OR(A2906=J2906,A2906=K2906),"ДА","НЕТ")</f>
        <v>ДА</v>
      </c>
      <c r="M2906" s="10">
        <v>0</v>
      </c>
      <c r="N2906" s="10">
        <v>0</v>
      </c>
      <c r="O2906" s="10">
        <f>546518*182/10^9</f>
        <v>9.9466276000000006E-2</v>
      </c>
      <c r="P2906" s="10">
        <f t="shared" si="2815"/>
        <v>2.145689</v>
      </c>
      <c r="Q2906" s="10">
        <f t="shared" si="2816"/>
        <v>2.5397759999999998</v>
      </c>
      <c r="R2906" s="10">
        <v>1.854109</v>
      </c>
      <c r="S2906" s="10">
        <v>0.29927999999999999</v>
      </c>
      <c r="T2906" s="10">
        <v>0.114871</v>
      </c>
      <c r="U2906" s="10">
        <v>2.0607E-2</v>
      </c>
      <c r="V2906" s="10">
        <v>3.0799509999999999</v>
      </c>
      <c r="W2906" s="10">
        <v>0.39408699999999985</v>
      </c>
      <c r="X2906" s="10">
        <f t="shared" si="2818"/>
        <v>3.4740379999999997</v>
      </c>
      <c r="Y2906" s="10">
        <f t="shared" si="2819"/>
        <v>1.1572615202234604</v>
      </c>
      <c r="Z2906" s="10">
        <f t="shared" si="2820"/>
        <v>104.1242781579075</v>
      </c>
      <c r="AA2906" s="10">
        <f t="shared" si="2821"/>
        <v>0.6966633560079365</v>
      </c>
      <c r="AB2906" s="10">
        <f t="shared" si="2822"/>
        <v>1.3698094340731855</v>
      </c>
      <c r="AC2906" s="10">
        <f t="shared" si="2823"/>
        <v>8.4862870890136328</v>
      </c>
      <c r="AD2906" s="10">
        <f t="shared" si="2824"/>
        <v>22.109810134846914</v>
      </c>
      <c r="AE2906" s="10">
        <f t="shared" si="2825"/>
        <v>0.73107317766817748</v>
      </c>
      <c r="AF2906" s="1" t="s">
        <v>2885</v>
      </c>
    </row>
    <row r="2907" spans="1:32" x14ac:dyDescent="0.2">
      <c r="A2907" s="1" t="s">
        <v>2888</v>
      </c>
      <c r="B2907" s="1" t="s">
        <v>5</v>
      </c>
      <c r="C2907" s="1" t="s">
        <v>2887</v>
      </c>
      <c r="D2907" s="1" t="s">
        <v>2160</v>
      </c>
      <c r="E2907" s="1" t="s">
        <v>2172</v>
      </c>
      <c r="F2907" s="1" t="s">
        <v>2798</v>
      </c>
      <c r="G2907" s="4">
        <f>546518/11789500</f>
        <v>4.635633402604012E-2</v>
      </c>
      <c r="H2907" s="28">
        <v>44196</v>
      </c>
      <c r="I2907" s="29">
        <f t="shared" si="2829"/>
        <v>2020</v>
      </c>
      <c r="J2907" s="1" t="s">
        <v>2888</v>
      </c>
      <c r="K2907" s="1" t="s">
        <v>7</v>
      </c>
      <c r="L2907" s="11" t="str">
        <f t="shared" si="2839"/>
        <v>ДА</v>
      </c>
      <c r="M2907" s="10">
        <v>0</v>
      </c>
      <c r="N2907" s="10">
        <v>0</v>
      </c>
      <c r="O2907" s="10">
        <f>546518*196.24/10^9</f>
        <v>0.10724869232000001</v>
      </c>
      <c r="P2907" s="10">
        <f t="shared" si="2815"/>
        <v>2.3135714800000002</v>
      </c>
      <c r="Q2907" s="10">
        <f t="shared" si="2816"/>
        <v>2.7076584800000001</v>
      </c>
      <c r="R2907" s="10">
        <v>1.854109</v>
      </c>
      <c r="S2907" s="10">
        <v>0.29927999999999999</v>
      </c>
      <c r="T2907" s="10">
        <v>0.114871</v>
      </c>
      <c r="U2907" s="10">
        <v>2.0607E-2</v>
      </c>
      <c r="V2907" s="10">
        <v>3.0799509999999999</v>
      </c>
      <c r="W2907" s="10">
        <v>0.39408699999999985</v>
      </c>
      <c r="X2907" s="10">
        <f t="shared" si="2818"/>
        <v>3.4740379999999997</v>
      </c>
      <c r="Y2907" s="10">
        <f t="shared" si="2819"/>
        <v>1.2478076963112741</v>
      </c>
      <c r="Z2907" s="10">
        <f t="shared" si="2820"/>
        <v>112.2711447566361</v>
      </c>
      <c r="AA2907" s="10">
        <f t="shared" si="2821"/>
        <v>0.75117152188460157</v>
      </c>
      <c r="AB2907" s="10">
        <f t="shared" si="2822"/>
        <v>1.4603556101609991</v>
      </c>
      <c r="AC2907" s="10">
        <f t="shared" si="2823"/>
        <v>9.0472416466185521</v>
      </c>
      <c r="AD2907" s="10">
        <f t="shared" si="2824"/>
        <v>23.571297194243979</v>
      </c>
      <c r="AE2907" s="10">
        <f t="shared" si="2825"/>
        <v>0.77939806070054507</v>
      </c>
      <c r="AF2907" s="1" t="s">
        <v>2886</v>
      </c>
    </row>
    <row r="2908" spans="1:32" x14ac:dyDescent="0.2">
      <c r="A2908" s="1" t="s">
        <v>2889</v>
      </c>
      <c r="B2908" s="1" t="s">
        <v>5</v>
      </c>
      <c r="C2908" s="1" t="s">
        <v>2890</v>
      </c>
      <c r="D2908" s="1" t="s">
        <v>1578</v>
      </c>
      <c r="E2908" s="1" t="s">
        <v>3030</v>
      </c>
      <c r="F2908" s="1" t="s">
        <v>2891</v>
      </c>
      <c r="G2908" s="4">
        <f>36040/12000000</f>
        <v>3.0033333333333335E-3</v>
      </c>
      <c r="H2908" s="28">
        <v>41850</v>
      </c>
      <c r="I2908" s="29">
        <f t="shared" si="2829"/>
        <v>2014</v>
      </c>
      <c r="J2908" s="1" t="s">
        <v>7</v>
      </c>
      <c r="K2908" s="1" t="s">
        <v>2889</v>
      </c>
      <c r="L2908" s="11" t="str">
        <f t="shared" ref="L2908" si="2840">IF(OR(A2908=J2908,A2908=K2908),"ДА","НЕТ")</f>
        <v>ДА</v>
      </c>
      <c r="M2908" s="10">
        <v>0</v>
      </c>
      <c r="N2908" s="10">
        <v>0</v>
      </c>
      <c r="O2908" s="10">
        <v>2.5999999999999999E-3</v>
      </c>
      <c r="P2908" s="10">
        <f t="shared" si="2815"/>
        <v>0.86570477247502764</v>
      </c>
      <c r="Q2908" s="10">
        <f t="shared" si="2816"/>
        <v>0.46785677247502766</v>
      </c>
      <c r="R2908" s="10">
        <v>1.0088029999999999</v>
      </c>
      <c r="S2908" s="10">
        <v>4.3332000000000002E-2</v>
      </c>
      <c r="T2908" s="10">
        <v>3.5312000000000003E-2</v>
      </c>
      <c r="U2908" s="10">
        <v>8.0000000000000002E-3</v>
      </c>
      <c r="V2908" s="10">
        <v>0.52351599999999998</v>
      </c>
      <c r="W2908" s="10">
        <v>-0.39784799999999998</v>
      </c>
      <c r="X2908" s="10">
        <f t="shared" si="2818"/>
        <v>0.125668</v>
      </c>
      <c r="Y2908" s="10">
        <f t="shared" si="2819"/>
        <v>0.8581504738536937</v>
      </c>
      <c r="Z2908" s="10">
        <f t="shared" si="2820"/>
        <v>108.21309655937846</v>
      </c>
      <c r="AA2908" s="10">
        <f t="shared" si="2821"/>
        <v>1.6536357484299002</v>
      </c>
      <c r="AB2908" s="10">
        <f t="shared" si="2822"/>
        <v>0.46377416846998643</v>
      </c>
      <c r="AC2908" s="10">
        <f t="shared" si="2823"/>
        <v>10.797026965638041</v>
      </c>
      <c r="AD2908" s="10">
        <f t="shared" si="2824"/>
        <v>13.249228944127424</v>
      </c>
      <c r="AE2908" s="10">
        <f t="shared" si="2825"/>
        <v>3.7229586885685113</v>
      </c>
      <c r="AF2908" s="1" t="s">
        <v>2892</v>
      </c>
    </row>
    <row r="2909" spans="1:32" x14ac:dyDescent="0.2">
      <c r="A2909" s="1" t="s">
        <v>2889</v>
      </c>
      <c r="B2909" s="1" t="s">
        <v>5</v>
      </c>
      <c r="C2909" s="1" t="s">
        <v>2890</v>
      </c>
      <c r="D2909" s="1" t="s">
        <v>1578</v>
      </c>
      <c r="E2909" s="1" t="s">
        <v>3030</v>
      </c>
      <c r="F2909" s="1" t="s">
        <v>2891</v>
      </c>
      <c r="G2909" s="4">
        <f>(578948+80000+334000)/12000000</f>
        <v>8.2745666666666662E-2</v>
      </c>
      <c r="H2909" s="28">
        <v>41820</v>
      </c>
      <c r="I2909" s="29">
        <f t="shared" si="2829"/>
        <v>2014</v>
      </c>
      <c r="J2909" s="1" t="s">
        <v>2889</v>
      </c>
      <c r="K2909" s="1" t="s">
        <v>7</v>
      </c>
      <c r="L2909" s="11" t="str">
        <f t="shared" ref="L2909" si="2841">IF(OR(A2909=J2909,A2909=K2909),"ДА","НЕТ")</f>
        <v>ДА</v>
      </c>
      <c r="M2909" s="10">
        <v>0</v>
      </c>
      <c r="N2909" s="10">
        <v>0</v>
      </c>
      <c r="O2909" s="10">
        <f>0.074684+0.01032+0.0334</f>
        <v>0.118404</v>
      </c>
      <c r="P2909" s="10">
        <f t="shared" si="2815"/>
        <v>1.4309389816989408</v>
      </c>
      <c r="Q2909" s="10">
        <f t="shared" si="2816"/>
        <v>1.0330909816989409</v>
      </c>
      <c r="R2909" s="10">
        <v>1.0088029999999999</v>
      </c>
      <c r="S2909" s="10">
        <v>4.3332000000000002E-2</v>
      </c>
      <c r="T2909" s="10">
        <v>3.5312000000000003E-2</v>
      </c>
      <c r="U2909" s="10">
        <v>8.0000000000000002E-3</v>
      </c>
      <c r="V2909" s="10">
        <v>0.52351599999999998</v>
      </c>
      <c r="W2909" s="10">
        <v>-0.39784799999999998</v>
      </c>
      <c r="X2909" s="10">
        <f t="shared" si="2818"/>
        <v>0.125668</v>
      </c>
      <c r="Y2909" s="10">
        <f t="shared" si="2819"/>
        <v>1.4184523456997462</v>
      </c>
      <c r="Z2909" s="10">
        <f t="shared" si="2820"/>
        <v>178.8673727123676</v>
      </c>
      <c r="AA2909" s="10">
        <f t="shared" si="2821"/>
        <v>2.7333242569452336</v>
      </c>
      <c r="AB2909" s="10">
        <f t="shared" si="2822"/>
        <v>1.0240760403160389</v>
      </c>
      <c r="AC2909" s="10">
        <f t="shared" si="2823"/>
        <v>23.841294694427692</v>
      </c>
      <c r="AD2909" s="10">
        <f t="shared" si="2824"/>
        <v>29.256088063517808</v>
      </c>
      <c r="AE2909" s="10">
        <f t="shared" si="2825"/>
        <v>8.2207959201940106</v>
      </c>
      <c r="AF2909" s="1" t="s">
        <v>2893</v>
      </c>
    </row>
    <row r="2910" spans="1:32" x14ac:dyDescent="0.2">
      <c r="A2910" s="1" t="s">
        <v>6671</v>
      </c>
      <c r="B2910" s="1" t="s">
        <v>5</v>
      </c>
      <c r="C2910" s="1" t="s">
        <v>1575</v>
      </c>
      <c r="D2910" s="1" t="s">
        <v>2160</v>
      </c>
      <c r="E2910" s="1" t="s">
        <v>2804</v>
      </c>
      <c r="F2910" s="1" t="s">
        <v>2806</v>
      </c>
      <c r="G2910" s="4">
        <v>0.99990000000000001</v>
      </c>
      <c r="H2910" s="28">
        <v>42643</v>
      </c>
      <c r="I2910" s="29">
        <f t="shared" si="2829"/>
        <v>2016</v>
      </c>
      <c r="J2910" s="1" t="s">
        <v>2801</v>
      </c>
      <c r="K2910" s="1" t="s">
        <v>7</v>
      </c>
      <c r="L2910" s="11" t="str">
        <f t="shared" si="2839"/>
        <v>НЕТ</v>
      </c>
      <c r="M2910" s="10">
        <v>0</v>
      </c>
      <c r="N2910" s="10">
        <v>0</v>
      </c>
      <c r="O2910" s="10">
        <v>0.86699999999999999</v>
      </c>
      <c r="P2910" s="10">
        <f t="shared" si="2815"/>
        <v>0.86708670867086712</v>
      </c>
      <c r="Q2910" s="10">
        <f t="shared" si="2816"/>
        <v>0.95508670867086709</v>
      </c>
      <c r="R2910" s="10" t="s">
        <v>1575</v>
      </c>
      <c r="S2910" s="10" t="s">
        <v>1575</v>
      </c>
      <c r="T2910" s="10" t="s">
        <v>1575</v>
      </c>
      <c r="U2910" s="10" t="s">
        <v>1575</v>
      </c>
      <c r="V2910" s="10">
        <v>0.66800000000000004</v>
      </c>
      <c r="W2910" s="10">
        <f>0.065+0.07-0.047</f>
        <v>8.8000000000000009E-2</v>
      </c>
      <c r="X2910" s="10">
        <f t="shared" si="2818"/>
        <v>0.75600000000000001</v>
      </c>
      <c r="Y2910" s="10" t="str">
        <f t="shared" si="2819"/>
        <v>NA</v>
      </c>
      <c r="Z2910" s="10" t="str">
        <f t="shared" si="2820"/>
        <v>NA</v>
      </c>
      <c r="AA2910" s="10">
        <f t="shared" si="2821"/>
        <v>1.298033995016268</v>
      </c>
      <c r="AB2910" s="10" t="str">
        <f t="shared" si="2822"/>
        <v>NA</v>
      </c>
      <c r="AC2910" s="10" t="str">
        <f t="shared" si="2823"/>
        <v>NA</v>
      </c>
      <c r="AD2910" s="10" t="str">
        <f t="shared" si="2824"/>
        <v>NA</v>
      </c>
      <c r="AE2910" s="10">
        <f t="shared" si="2825"/>
        <v>1.2633422072365967</v>
      </c>
      <c r="AF2910" s="1" t="s">
        <v>2803</v>
      </c>
    </row>
    <row r="2911" spans="1:32" x14ac:dyDescent="0.2">
      <c r="A2911" s="1" t="s">
        <v>6672</v>
      </c>
      <c r="B2911" s="1" t="s">
        <v>5</v>
      </c>
      <c r="C2911" s="1" t="s">
        <v>1575</v>
      </c>
      <c r="D2911" s="1" t="s">
        <v>2160</v>
      </c>
      <c r="E2911" s="1" t="s">
        <v>2172</v>
      </c>
      <c r="F2911" s="1" t="s">
        <v>2807</v>
      </c>
      <c r="G2911" s="4" t="s">
        <v>11</v>
      </c>
      <c r="H2911" s="28">
        <v>42247</v>
      </c>
      <c r="I2911" s="29">
        <f t="shared" si="2829"/>
        <v>2015</v>
      </c>
      <c r="J2911" s="1" t="s">
        <v>2801</v>
      </c>
      <c r="K2911" s="1" t="s">
        <v>7</v>
      </c>
      <c r="L2911" s="11" t="str">
        <f t="shared" ref="L2911" si="2842">IF(OR(A2911=J2911,A2911=K2911),"ДА","НЕТ")</f>
        <v>НЕТ</v>
      </c>
      <c r="M2911" s="10">
        <v>0</v>
      </c>
      <c r="N2911" s="10">
        <v>0</v>
      </c>
      <c r="O2911" s="10">
        <v>3.1179999999999999</v>
      </c>
      <c r="P2911" s="10" t="str">
        <f t="shared" si="2815"/>
        <v>NA</v>
      </c>
      <c r="Q2911" s="10" t="str">
        <f t="shared" si="2816"/>
        <v>NA</v>
      </c>
      <c r="R2911" s="10" t="s">
        <v>1575</v>
      </c>
      <c r="S2911" s="10" t="s">
        <v>1575</v>
      </c>
      <c r="T2911" s="10" t="s">
        <v>1575</v>
      </c>
      <c r="U2911" s="10" t="s">
        <v>1575</v>
      </c>
      <c r="V2911" s="10">
        <v>3.2669999999999999</v>
      </c>
      <c r="W2911" s="10">
        <f>0.372+0.329-0.644</f>
        <v>5.7000000000000051E-2</v>
      </c>
      <c r="X2911" s="10">
        <f t="shared" si="2818"/>
        <v>3.3239999999999998</v>
      </c>
      <c r="Y2911" s="10" t="str">
        <f t="shared" si="2819"/>
        <v>NA</v>
      </c>
      <c r="Z2911" s="10" t="str">
        <f t="shared" si="2820"/>
        <v>NA</v>
      </c>
      <c r="AA2911" s="10" t="str">
        <f t="shared" si="2821"/>
        <v>NA</v>
      </c>
      <c r="AB2911" s="10" t="str">
        <f t="shared" si="2822"/>
        <v>NA</v>
      </c>
      <c r="AC2911" s="10" t="str">
        <f t="shared" si="2823"/>
        <v>NA</v>
      </c>
      <c r="AD2911" s="10" t="str">
        <f t="shared" si="2824"/>
        <v>NA</v>
      </c>
      <c r="AE2911" s="10" t="str">
        <f t="shared" si="2825"/>
        <v>NA</v>
      </c>
      <c r="AF2911" s="1" t="s">
        <v>2802</v>
      </c>
    </row>
    <row r="2912" spans="1:32" x14ac:dyDescent="0.2">
      <c r="A2912" s="1" t="s">
        <v>6673</v>
      </c>
      <c r="B2912" s="1" t="s">
        <v>5</v>
      </c>
      <c r="C2912" s="1" t="s">
        <v>1575</v>
      </c>
      <c r="D2912" s="1" t="s">
        <v>1582</v>
      </c>
      <c r="E2912" s="1" t="s">
        <v>2019</v>
      </c>
      <c r="F2912" s="1" t="s">
        <v>668</v>
      </c>
      <c r="G2912" s="4">
        <v>1</v>
      </c>
      <c r="H2912" s="28">
        <v>41835</v>
      </c>
      <c r="I2912" s="29">
        <f t="shared" si="2829"/>
        <v>2014</v>
      </c>
      <c r="J2912" s="1" t="s">
        <v>2801</v>
      </c>
      <c r="K2912" s="1" t="s">
        <v>7</v>
      </c>
      <c r="L2912" s="11" t="str">
        <f t="shared" ref="L2912:L2924" si="2843">IF(OR(A2912=J2912,A2912=K2912),"ДА","НЕТ")</f>
        <v>НЕТ</v>
      </c>
      <c r="M2912" s="10">
        <v>0</v>
      </c>
      <c r="N2912" s="10">
        <v>0</v>
      </c>
      <c r="O2912" s="10">
        <v>2.2709999999999999</v>
      </c>
      <c r="P2912" s="10">
        <f t="shared" si="2815"/>
        <v>2.2709999999999999</v>
      </c>
      <c r="Q2912" s="10" t="str">
        <f t="shared" si="2816"/>
        <v>NA</v>
      </c>
      <c r="R2912" s="10" t="s">
        <v>1575</v>
      </c>
      <c r="S2912" s="10" t="s">
        <v>1575</v>
      </c>
      <c r="T2912" s="10" t="s">
        <v>1575</v>
      </c>
      <c r="U2912" s="10" t="s">
        <v>1575</v>
      </c>
      <c r="V2912" s="10" t="s">
        <v>1575</v>
      </c>
      <c r="W2912" s="10" t="s">
        <v>1575</v>
      </c>
      <c r="X2912" s="10" t="str">
        <f t="shared" si="2818"/>
        <v>NA</v>
      </c>
      <c r="Y2912" s="10" t="str">
        <f t="shared" si="2819"/>
        <v>NA</v>
      </c>
      <c r="Z2912" s="10" t="str">
        <f t="shared" si="2820"/>
        <v>NA</v>
      </c>
      <c r="AA2912" s="10" t="str">
        <f t="shared" si="2821"/>
        <v>NA</v>
      </c>
      <c r="AB2912" s="10" t="str">
        <f t="shared" si="2822"/>
        <v>NA</v>
      </c>
      <c r="AC2912" s="10" t="str">
        <f t="shared" si="2823"/>
        <v>NA</v>
      </c>
      <c r="AD2912" s="10" t="str">
        <f t="shared" si="2824"/>
        <v>NA</v>
      </c>
      <c r="AE2912" s="10" t="str">
        <f t="shared" si="2825"/>
        <v>NA</v>
      </c>
      <c r="AF2912" s="1" t="s">
        <v>2800</v>
      </c>
    </row>
    <row r="2913" spans="1:32" x14ac:dyDescent="0.2">
      <c r="A2913" s="1" t="s">
        <v>6674</v>
      </c>
      <c r="B2913" s="1" t="s">
        <v>5</v>
      </c>
      <c r="C2913" s="1" t="s">
        <v>1575</v>
      </c>
      <c r="D2913" s="1" t="s">
        <v>2160</v>
      </c>
      <c r="E2913" s="1" t="s">
        <v>2804</v>
      </c>
      <c r="F2913" s="1" t="s">
        <v>2805</v>
      </c>
      <c r="G2913" s="4">
        <v>0.5</v>
      </c>
      <c r="H2913" s="28">
        <v>41421</v>
      </c>
      <c r="I2913" s="29">
        <f t="shared" si="2829"/>
        <v>2013</v>
      </c>
      <c r="J2913" s="1" t="s">
        <v>7</v>
      </c>
      <c r="K2913" s="1" t="s">
        <v>6675</v>
      </c>
      <c r="L2913" s="11" t="str">
        <f t="shared" si="2843"/>
        <v>НЕТ</v>
      </c>
      <c r="M2913" s="10">
        <v>0</v>
      </c>
      <c r="N2913" s="10">
        <v>0</v>
      </c>
      <c r="O2913" s="10">
        <v>1.0000000000000001E-5</v>
      </c>
      <c r="P2913" s="10">
        <f t="shared" si="2815"/>
        <v>2.0000000000000002E-5</v>
      </c>
      <c r="Q2913" s="10" t="str">
        <f t="shared" si="2816"/>
        <v>NA</v>
      </c>
      <c r="R2913" s="10" t="s">
        <v>1575</v>
      </c>
      <c r="S2913" s="10" t="s">
        <v>1575</v>
      </c>
      <c r="T2913" s="10" t="s">
        <v>1575</v>
      </c>
      <c r="U2913" s="10" t="s">
        <v>1575</v>
      </c>
      <c r="V2913" s="10" t="s">
        <v>1575</v>
      </c>
      <c r="W2913" s="10" t="s">
        <v>1575</v>
      </c>
      <c r="X2913" s="10" t="str">
        <f t="shared" si="2818"/>
        <v>NA</v>
      </c>
      <c r="Y2913" s="10" t="str">
        <f t="shared" si="2819"/>
        <v>NA</v>
      </c>
      <c r="Z2913" s="10" t="str">
        <f t="shared" si="2820"/>
        <v>NA</v>
      </c>
      <c r="AA2913" s="10" t="str">
        <f t="shared" si="2821"/>
        <v>NA</v>
      </c>
      <c r="AB2913" s="10" t="str">
        <f t="shared" si="2822"/>
        <v>NA</v>
      </c>
      <c r="AC2913" s="10" t="str">
        <f t="shared" si="2823"/>
        <v>NA</v>
      </c>
      <c r="AD2913" s="10" t="str">
        <f t="shared" si="2824"/>
        <v>NA</v>
      </c>
      <c r="AE2913" s="10" t="str">
        <f t="shared" si="2825"/>
        <v>NA</v>
      </c>
      <c r="AF2913" s="1" t="s">
        <v>2799</v>
      </c>
    </row>
    <row r="2914" spans="1:32" x14ac:dyDescent="0.2">
      <c r="A2914" s="1" t="s">
        <v>6676</v>
      </c>
      <c r="B2914" s="1" t="s">
        <v>5</v>
      </c>
      <c r="C2914" s="1" t="s">
        <v>1575</v>
      </c>
      <c r="D2914" s="1" t="s">
        <v>2160</v>
      </c>
      <c r="E2914" s="1" t="s">
        <v>2804</v>
      </c>
      <c r="F2914" s="1" t="s">
        <v>2805</v>
      </c>
      <c r="G2914" s="4">
        <f>88.2%-80.8%</f>
        <v>7.4000000000000066E-2</v>
      </c>
      <c r="H2914" s="28">
        <v>40931</v>
      </c>
      <c r="I2914" s="29">
        <f t="shared" si="2829"/>
        <v>2012</v>
      </c>
      <c r="J2914" s="1" t="s">
        <v>2801</v>
      </c>
      <c r="K2914" s="1" t="s">
        <v>7</v>
      </c>
      <c r="L2914" s="11" t="str">
        <f t="shared" si="2843"/>
        <v>НЕТ</v>
      </c>
      <c r="M2914" s="10">
        <v>0</v>
      </c>
      <c r="N2914" s="10">
        <v>0</v>
      </c>
      <c r="O2914" s="10">
        <v>4.4999999999999998E-2</v>
      </c>
      <c r="P2914" s="10">
        <f t="shared" si="2815"/>
        <v>0.60810810810810756</v>
      </c>
      <c r="Q2914" s="10" t="str">
        <f t="shared" si="2816"/>
        <v>NA</v>
      </c>
      <c r="R2914" s="10" t="s">
        <v>1575</v>
      </c>
      <c r="S2914" s="10" t="s">
        <v>1575</v>
      </c>
      <c r="T2914" s="10" t="s">
        <v>1575</v>
      </c>
      <c r="U2914" s="10" t="s">
        <v>1575</v>
      </c>
      <c r="V2914" s="10" t="s">
        <v>1575</v>
      </c>
      <c r="W2914" s="10" t="s">
        <v>1575</v>
      </c>
      <c r="X2914" s="10" t="str">
        <f t="shared" si="2818"/>
        <v>NA</v>
      </c>
      <c r="Y2914" s="10" t="str">
        <f t="shared" si="2819"/>
        <v>NA</v>
      </c>
      <c r="Z2914" s="10" t="str">
        <f t="shared" si="2820"/>
        <v>NA</v>
      </c>
      <c r="AA2914" s="10" t="str">
        <f t="shared" si="2821"/>
        <v>NA</v>
      </c>
      <c r="AB2914" s="10" t="str">
        <f t="shared" si="2822"/>
        <v>NA</v>
      </c>
      <c r="AC2914" s="10" t="str">
        <f t="shared" si="2823"/>
        <v>NA</v>
      </c>
      <c r="AD2914" s="10" t="str">
        <f t="shared" si="2824"/>
        <v>NA</v>
      </c>
      <c r="AE2914" s="10" t="str">
        <f t="shared" si="2825"/>
        <v>NA</v>
      </c>
      <c r="AF2914" s="1" t="s">
        <v>2811</v>
      </c>
    </row>
    <row r="2915" spans="1:32" x14ac:dyDescent="0.2">
      <c r="A2915" s="1" t="s">
        <v>6677</v>
      </c>
      <c r="B2915" s="1" t="s">
        <v>5</v>
      </c>
      <c r="C2915" s="1" t="s">
        <v>1575</v>
      </c>
      <c r="D2915" s="1" t="s">
        <v>2160</v>
      </c>
      <c r="E2915" s="1" t="s">
        <v>2804</v>
      </c>
      <c r="F2915" s="1" t="s">
        <v>2805</v>
      </c>
      <c r="G2915" s="4" t="s">
        <v>1575</v>
      </c>
      <c r="H2915" s="28">
        <v>40997</v>
      </c>
      <c r="I2915" s="29">
        <f t="shared" si="2829"/>
        <v>2012</v>
      </c>
      <c r="J2915" s="1" t="s">
        <v>2813</v>
      </c>
      <c r="K2915" s="1" t="s">
        <v>7</v>
      </c>
      <c r="L2915" s="11" t="str">
        <f t="shared" si="2843"/>
        <v>НЕТ</v>
      </c>
      <c r="M2915" s="10">
        <v>0</v>
      </c>
      <c r="N2915" s="10">
        <v>0</v>
      </c>
      <c r="O2915" s="10">
        <v>0.153</v>
      </c>
      <c r="P2915" s="10" t="str">
        <f t="shared" si="2815"/>
        <v>NA</v>
      </c>
      <c r="Q2915" s="10" t="str">
        <f t="shared" si="2816"/>
        <v>NA</v>
      </c>
      <c r="R2915" s="10" t="s">
        <v>1575</v>
      </c>
      <c r="S2915" s="10" t="s">
        <v>1575</v>
      </c>
      <c r="T2915" s="10" t="s">
        <v>1575</v>
      </c>
      <c r="U2915" s="10" t="s">
        <v>1575</v>
      </c>
      <c r="V2915" s="10" t="s">
        <v>1575</v>
      </c>
      <c r="W2915" s="10" t="s">
        <v>1575</v>
      </c>
      <c r="X2915" s="10" t="str">
        <f t="shared" si="2818"/>
        <v>NA</v>
      </c>
      <c r="Y2915" s="10" t="str">
        <f t="shared" si="2819"/>
        <v>NA</v>
      </c>
      <c r="Z2915" s="10" t="str">
        <f t="shared" si="2820"/>
        <v>NA</v>
      </c>
      <c r="AA2915" s="10" t="str">
        <f t="shared" si="2821"/>
        <v>NA</v>
      </c>
      <c r="AB2915" s="10" t="str">
        <f t="shared" si="2822"/>
        <v>NA</v>
      </c>
      <c r="AC2915" s="10" t="str">
        <f t="shared" si="2823"/>
        <v>NA</v>
      </c>
      <c r="AD2915" s="10" t="str">
        <f t="shared" si="2824"/>
        <v>NA</v>
      </c>
      <c r="AE2915" s="10" t="str">
        <f t="shared" si="2825"/>
        <v>NA</v>
      </c>
      <c r="AF2915" s="1" t="s">
        <v>2812</v>
      </c>
    </row>
    <row r="2916" spans="1:32" x14ac:dyDescent="0.2">
      <c r="A2916" s="1" t="s">
        <v>6678</v>
      </c>
      <c r="B2916" s="1" t="s">
        <v>5</v>
      </c>
      <c r="C2916" s="1" t="s">
        <v>2815</v>
      </c>
      <c r="D2916" s="1" t="s">
        <v>2160</v>
      </c>
      <c r="E2916" s="1" t="s">
        <v>2804</v>
      </c>
      <c r="F2916" s="1" t="s">
        <v>2805</v>
      </c>
      <c r="G2916" s="4">
        <f>81%-80.2%</f>
        <v>8.0000000000000071E-3</v>
      </c>
      <c r="H2916" s="28">
        <v>40988</v>
      </c>
      <c r="I2916" s="29">
        <f t="shared" si="2829"/>
        <v>2012</v>
      </c>
      <c r="J2916" s="1" t="s">
        <v>7</v>
      </c>
      <c r="K2916" s="1" t="s">
        <v>2801</v>
      </c>
      <c r="L2916" s="11" t="str">
        <f t="shared" si="2843"/>
        <v>НЕТ</v>
      </c>
      <c r="M2916" s="10">
        <v>0</v>
      </c>
      <c r="N2916" s="10">
        <v>0</v>
      </c>
      <c r="O2916" s="10">
        <v>0.124</v>
      </c>
      <c r="P2916" s="10">
        <f t="shared" si="2815"/>
        <v>15.499999999999986</v>
      </c>
      <c r="Q2916" s="10">
        <f t="shared" si="2816"/>
        <v>21.988999999999987</v>
      </c>
      <c r="R2916" s="10" t="s">
        <v>1575</v>
      </c>
      <c r="S2916" s="10" t="s">
        <v>1575</v>
      </c>
      <c r="T2916" s="10" t="s">
        <v>1575</v>
      </c>
      <c r="U2916" s="10" t="s">
        <v>1575</v>
      </c>
      <c r="V2916" s="10">
        <v>11.493</v>
      </c>
      <c r="W2916" s="10">
        <v>6.4889999999999999</v>
      </c>
      <c r="X2916" s="10">
        <f t="shared" si="2818"/>
        <v>17.981999999999999</v>
      </c>
      <c r="Y2916" s="10" t="str">
        <f t="shared" si="2819"/>
        <v>NA</v>
      </c>
      <c r="Z2916" s="10" t="str">
        <f t="shared" si="2820"/>
        <v>NA</v>
      </c>
      <c r="AA2916" s="10">
        <f t="shared" si="2821"/>
        <v>1.3486470025232737</v>
      </c>
      <c r="AB2916" s="10" t="str">
        <f t="shared" si="2822"/>
        <v>NA</v>
      </c>
      <c r="AC2916" s="10" t="str">
        <f t="shared" si="2823"/>
        <v>NA</v>
      </c>
      <c r="AD2916" s="10" t="str">
        <f t="shared" si="2824"/>
        <v>NA</v>
      </c>
      <c r="AE2916" s="10">
        <f t="shared" si="2825"/>
        <v>1.2228339450561665</v>
      </c>
      <c r="AF2916" s="1" t="s">
        <v>2819</v>
      </c>
    </row>
    <row r="2917" spans="1:32" x14ac:dyDescent="0.2">
      <c r="A2917" s="1" t="s">
        <v>6678</v>
      </c>
      <c r="B2917" s="1" t="s">
        <v>5</v>
      </c>
      <c r="C2917" s="1" t="s">
        <v>2815</v>
      </c>
      <c r="D2917" s="1" t="s">
        <v>2160</v>
      </c>
      <c r="E2917" s="1" t="s">
        <v>2804</v>
      </c>
      <c r="F2917" s="1" t="s">
        <v>2805</v>
      </c>
      <c r="G2917" s="4">
        <f>94.6%-81%</f>
        <v>0.1359999999999999</v>
      </c>
      <c r="H2917" s="28">
        <v>41107</v>
      </c>
      <c r="I2917" s="29">
        <f t="shared" si="2829"/>
        <v>2012</v>
      </c>
      <c r="J2917" s="1" t="s">
        <v>7</v>
      </c>
      <c r="K2917" s="1" t="s">
        <v>2801</v>
      </c>
      <c r="L2917" s="11" t="str">
        <f t="shared" si="2843"/>
        <v>НЕТ</v>
      </c>
      <c r="M2917" s="10">
        <v>0</v>
      </c>
      <c r="N2917" s="10">
        <v>0</v>
      </c>
      <c r="O2917" s="10">
        <v>2.29</v>
      </c>
      <c r="P2917" s="10">
        <f t="shared" si="2815"/>
        <v>16.838235294117659</v>
      </c>
      <c r="Q2917" s="10">
        <f t="shared" si="2816"/>
        <v>23.32723529411766</v>
      </c>
      <c r="R2917" s="10" t="s">
        <v>1575</v>
      </c>
      <c r="S2917" s="10" t="s">
        <v>1575</v>
      </c>
      <c r="T2917" s="10" t="s">
        <v>1575</v>
      </c>
      <c r="U2917" s="10" t="s">
        <v>1575</v>
      </c>
      <c r="V2917" s="10">
        <v>11.493</v>
      </c>
      <c r="W2917" s="10">
        <v>6.4889999999999999</v>
      </c>
      <c r="X2917" s="10">
        <f t="shared" si="2818"/>
        <v>17.981999999999999</v>
      </c>
      <c r="Y2917" s="10" t="str">
        <f t="shared" si="2819"/>
        <v>NA</v>
      </c>
      <c r="Z2917" s="10" t="str">
        <f t="shared" si="2820"/>
        <v>NA</v>
      </c>
      <c r="AA2917" s="10">
        <f t="shared" si="2821"/>
        <v>1.4650861649802192</v>
      </c>
      <c r="AB2917" s="10" t="str">
        <f t="shared" si="2822"/>
        <v>NA</v>
      </c>
      <c r="AC2917" s="10" t="str">
        <f t="shared" si="2823"/>
        <v>NA</v>
      </c>
      <c r="AD2917" s="10" t="str">
        <f t="shared" si="2824"/>
        <v>NA</v>
      </c>
      <c r="AE2917" s="10">
        <f t="shared" si="2825"/>
        <v>1.297254771110981</v>
      </c>
      <c r="AF2917" s="1" t="s">
        <v>2820</v>
      </c>
    </row>
    <row r="2918" spans="1:32" x14ac:dyDescent="0.2">
      <c r="A2918" s="1" t="s">
        <v>6679</v>
      </c>
      <c r="B2918" s="1" t="s">
        <v>5</v>
      </c>
      <c r="C2918" s="1" t="s">
        <v>2836</v>
      </c>
      <c r="D2918" s="1" t="s">
        <v>2160</v>
      </c>
      <c r="E2918" s="1" t="s">
        <v>2804</v>
      </c>
      <c r="F2918" s="1" t="s">
        <v>2805</v>
      </c>
      <c r="G2918" s="4">
        <f>94.3%-93.4%</f>
        <v>8.999999999999897E-3</v>
      </c>
      <c r="H2918" s="28">
        <v>40995</v>
      </c>
      <c r="I2918" s="29">
        <f t="shared" si="2829"/>
        <v>2012</v>
      </c>
      <c r="J2918" s="1" t="s">
        <v>2821</v>
      </c>
      <c r="K2918" s="1" t="s">
        <v>2801</v>
      </c>
      <c r="L2918" s="11" t="str">
        <f t="shared" si="2843"/>
        <v>НЕТ</v>
      </c>
      <c r="M2918" s="10">
        <v>0</v>
      </c>
      <c r="N2918" s="10">
        <v>0</v>
      </c>
      <c r="O2918" s="10">
        <v>5.0999999999999997E-2</v>
      </c>
      <c r="P2918" s="10">
        <f t="shared" si="2815"/>
        <v>5.6666666666667309</v>
      </c>
      <c r="Q2918" s="10" t="str">
        <f t="shared" si="2816"/>
        <v>NA</v>
      </c>
      <c r="R2918" s="10" t="s">
        <v>1575</v>
      </c>
      <c r="S2918" s="10" t="s">
        <v>1575</v>
      </c>
      <c r="T2918" s="10" t="s">
        <v>1575</v>
      </c>
      <c r="U2918" s="10" t="s">
        <v>1575</v>
      </c>
      <c r="V2918" s="10">
        <v>0.2</v>
      </c>
      <c r="W2918" s="10" t="s">
        <v>1575</v>
      </c>
      <c r="X2918" s="10" t="str">
        <f t="shared" si="2818"/>
        <v>NA</v>
      </c>
      <c r="Y2918" s="10" t="str">
        <f t="shared" si="2819"/>
        <v>NA</v>
      </c>
      <c r="Z2918" s="10" t="str">
        <f t="shared" si="2820"/>
        <v>NA</v>
      </c>
      <c r="AA2918" s="10">
        <f t="shared" si="2821"/>
        <v>28.333333333333652</v>
      </c>
      <c r="AB2918" s="10" t="str">
        <f t="shared" si="2822"/>
        <v>NA</v>
      </c>
      <c r="AC2918" s="10" t="str">
        <f t="shared" si="2823"/>
        <v>NA</v>
      </c>
      <c r="AD2918" s="10" t="str">
        <f t="shared" si="2824"/>
        <v>NA</v>
      </c>
      <c r="AE2918" s="10" t="str">
        <f t="shared" si="2825"/>
        <v>NA</v>
      </c>
      <c r="AF2918" s="1" t="s">
        <v>2826</v>
      </c>
    </row>
    <row r="2919" spans="1:32" x14ac:dyDescent="0.2">
      <c r="A2919" s="1" t="s">
        <v>6679</v>
      </c>
      <c r="B2919" s="1" t="s">
        <v>5</v>
      </c>
      <c r="C2919" s="1" t="s">
        <v>2836</v>
      </c>
      <c r="D2919" s="1" t="s">
        <v>2160</v>
      </c>
      <c r="E2919" s="1" t="s">
        <v>2804</v>
      </c>
      <c r="F2919" s="1" t="s">
        <v>2805</v>
      </c>
      <c r="G2919" s="4">
        <f>94.2%-93.1%</f>
        <v>1.1000000000000121E-2</v>
      </c>
      <c r="H2919" s="28">
        <v>40998</v>
      </c>
      <c r="I2919" s="29">
        <f t="shared" si="2829"/>
        <v>2012</v>
      </c>
      <c r="J2919" s="1" t="s">
        <v>2801</v>
      </c>
      <c r="K2919" s="1" t="s">
        <v>7</v>
      </c>
      <c r="L2919" s="11" t="str">
        <f t="shared" si="2843"/>
        <v>НЕТ</v>
      </c>
      <c r="M2919" s="10">
        <v>0</v>
      </c>
      <c r="N2919" s="10">
        <v>0</v>
      </c>
      <c r="O2919" s="10">
        <v>6.7000000000000004E-2</v>
      </c>
      <c r="P2919" s="10">
        <f t="shared" si="2815"/>
        <v>6.0909090909090242</v>
      </c>
      <c r="Q2919" s="10" t="str">
        <f t="shared" si="2816"/>
        <v>NA</v>
      </c>
      <c r="R2919" s="10" t="s">
        <v>1575</v>
      </c>
      <c r="S2919" s="10" t="s">
        <v>1575</v>
      </c>
      <c r="T2919" s="10" t="s">
        <v>1575</v>
      </c>
      <c r="U2919" s="10" t="s">
        <v>1575</v>
      </c>
      <c r="V2919" s="10">
        <v>0.2</v>
      </c>
      <c r="W2919" s="10" t="s">
        <v>1575</v>
      </c>
      <c r="X2919" s="10" t="str">
        <f t="shared" si="2818"/>
        <v>NA</v>
      </c>
      <c r="Y2919" s="10" t="str">
        <f t="shared" si="2819"/>
        <v>NA</v>
      </c>
      <c r="Z2919" s="10" t="str">
        <f t="shared" si="2820"/>
        <v>NA</v>
      </c>
      <c r="AA2919" s="10">
        <f t="shared" si="2821"/>
        <v>30.454545454545119</v>
      </c>
      <c r="AB2919" s="10" t="str">
        <f t="shared" si="2822"/>
        <v>NA</v>
      </c>
      <c r="AC2919" s="10" t="str">
        <f t="shared" si="2823"/>
        <v>NA</v>
      </c>
      <c r="AD2919" s="10" t="str">
        <f t="shared" si="2824"/>
        <v>NA</v>
      </c>
      <c r="AE2919" s="10" t="str">
        <f t="shared" si="2825"/>
        <v>NA</v>
      </c>
      <c r="AF2919" s="1" t="s">
        <v>2827</v>
      </c>
    </row>
    <row r="2920" spans="1:32" x14ac:dyDescent="0.2">
      <c r="A2920" s="1" t="s">
        <v>6680</v>
      </c>
      <c r="B2920" s="1" t="s">
        <v>5</v>
      </c>
      <c r="C2920" s="1" t="s">
        <v>1575</v>
      </c>
      <c r="D2920" s="1" t="s">
        <v>2160</v>
      </c>
      <c r="E2920" s="1" t="s">
        <v>2804</v>
      </c>
      <c r="F2920" s="1" t="s">
        <v>2805</v>
      </c>
      <c r="G2920" s="4">
        <f>99.8%-92.5%</f>
        <v>7.2999999999999954E-2</v>
      </c>
      <c r="H2920" s="28">
        <v>40994</v>
      </c>
      <c r="I2920" s="29">
        <f t="shared" si="2829"/>
        <v>2012</v>
      </c>
      <c r="J2920" s="1" t="s">
        <v>2821</v>
      </c>
      <c r="K2920" s="1" t="s">
        <v>7</v>
      </c>
      <c r="L2920" s="11" t="str">
        <f t="shared" si="2843"/>
        <v>НЕТ</v>
      </c>
      <c r="M2920" s="10">
        <v>0</v>
      </c>
      <c r="N2920" s="10">
        <v>0</v>
      </c>
      <c r="O2920" s="10">
        <v>0.13600000000000001</v>
      </c>
      <c r="P2920" s="10">
        <f t="shared" si="2815"/>
        <v>1.8630136986301382</v>
      </c>
      <c r="Q2920" s="10" t="str">
        <f t="shared" si="2816"/>
        <v>NA</v>
      </c>
      <c r="R2920" s="10" t="s">
        <v>1575</v>
      </c>
      <c r="S2920" s="10" t="s">
        <v>1575</v>
      </c>
      <c r="T2920" s="10" t="s">
        <v>1575</v>
      </c>
      <c r="U2920" s="10" t="s">
        <v>1575</v>
      </c>
      <c r="V2920" s="10" t="s">
        <v>1575</v>
      </c>
      <c r="W2920" s="10" t="s">
        <v>1575</v>
      </c>
      <c r="X2920" s="10" t="str">
        <f t="shared" si="2818"/>
        <v>NA</v>
      </c>
      <c r="Y2920" s="10" t="str">
        <f t="shared" si="2819"/>
        <v>NA</v>
      </c>
      <c r="Z2920" s="10" t="str">
        <f t="shared" si="2820"/>
        <v>NA</v>
      </c>
      <c r="AA2920" s="10" t="str">
        <f t="shared" si="2821"/>
        <v>NA</v>
      </c>
      <c r="AB2920" s="10" t="str">
        <f t="shared" si="2822"/>
        <v>NA</v>
      </c>
      <c r="AC2920" s="10" t="str">
        <f t="shared" si="2823"/>
        <v>NA</v>
      </c>
      <c r="AD2920" s="10" t="str">
        <f t="shared" si="2824"/>
        <v>NA</v>
      </c>
      <c r="AE2920" s="10" t="str">
        <f t="shared" si="2825"/>
        <v>NA</v>
      </c>
      <c r="AF2920" s="1" t="s">
        <v>2829</v>
      </c>
    </row>
    <row r="2921" spans="1:32" x14ac:dyDescent="0.2">
      <c r="A2921" s="1" t="s">
        <v>6680</v>
      </c>
      <c r="B2921" s="1" t="s">
        <v>5</v>
      </c>
      <c r="C2921" s="1" t="s">
        <v>1575</v>
      </c>
      <c r="D2921" s="1" t="s">
        <v>2160</v>
      </c>
      <c r="E2921" s="1" t="s">
        <v>2804</v>
      </c>
      <c r="F2921" s="1" t="s">
        <v>2805</v>
      </c>
      <c r="G2921" s="4">
        <f>99.8%-92.5%</f>
        <v>7.2999999999999954E-2</v>
      </c>
      <c r="H2921" s="28">
        <v>40570</v>
      </c>
      <c r="I2921" s="29">
        <f t="shared" si="2829"/>
        <v>2011</v>
      </c>
      <c r="J2921" s="1" t="s">
        <v>2801</v>
      </c>
      <c r="K2921" s="1" t="s">
        <v>7</v>
      </c>
      <c r="L2921" s="11" t="str">
        <f t="shared" si="2843"/>
        <v>НЕТ</v>
      </c>
      <c r="M2921" s="10">
        <v>0</v>
      </c>
      <c r="N2921" s="10">
        <v>0</v>
      </c>
      <c r="O2921" s="10">
        <v>0.13600000000000001</v>
      </c>
      <c r="P2921" s="10">
        <f t="shared" si="2815"/>
        <v>1.8630136986301382</v>
      </c>
      <c r="Q2921" s="10" t="str">
        <f t="shared" si="2816"/>
        <v>NA</v>
      </c>
      <c r="R2921" s="10" t="s">
        <v>1575</v>
      </c>
      <c r="S2921" s="10" t="s">
        <v>1575</v>
      </c>
      <c r="T2921" s="10" t="s">
        <v>1575</v>
      </c>
      <c r="U2921" s="10" t="s">
        <v>1575</v>
      </c>
      <c r="V2921" s="10" t="s">
        <v>1575</v>
      </c>
      <c r="W2921" s="10" t="s">
        <v>1575</v>
      </c>
      <c r="X2921" s="10" t="str">
        <f t="shared" si="2818"/>
        <v>NA</v>
      </c>
      <c r="Y2921" s="10" t="str">
        <f t="shared" si="2819"/>
        <v>NA</v>
      </c>
      <c r="Z2921" s="10" t="str">
        <f t="shared" si="2820"/>
        <v>NA</v>
      </c>
      <c r="AA2921" s="10" t="str">
        <f t="shared" si="2821"/>
        <v>NA</v>
      </c>
      <c r="AB2921" s="10" t="str">
        <f t="shared" si="2822"/>
        <v>NA</v>
      </c>
      <c r="AC2921" s="10" t="str">
        <f t="shared" si="2823"/>
        <v>NA</v>
      </c>
      <c r="AD2921" s="10" t="str">
        <f t="shared" si="2824"/>
        <v>NA</v>
      </c>
      <c r="AE2921" s="10" t="str">
        <f t="shared" si="2825"/>
        <v>NA</v>
      </c>
      <c r="AF2921" s="1" t="s">
        <v>2829</v>
      </c>
    </row>
    <row r="2922" spans="1:32" x14ac:dyDescent="0.2">
      <c r="A2922" s="1" t="s">
        <v>6679</v>
      </c>
      <c r="B2922" s="1" t="s">
        <v>5</v>
      </c>
      <c r="C2922" s="1" t="s">
        <v>2836</v>
      </c>
      <c r="D2922" s="1" t="s">
        <v>2160</v>
      </c>
      <c r="E2922" s="1" t="s">
        <v>2804</v>
      </c>
      <c r="F2922" s="1" t="s">
        <v>2805</v>
      </c>
      <c r="G2922" s="4">
        <f>88.5%-75%</f>
        <v>0.13500000000000001</v>
      </c>
      <c r="H2922" s="28">
        <v>40661</v>
      </c>
      <c r="I2922" s="29">
        <f t="shared" si="2829"/>
        <v>2011</v>
      </c>
      <c r="J2922" s="1" t="s">
        <v>2801</v>
      </c>
      <c r="K2922" s="1" t="s">
        <v>7</v>
      </c>
      <c r="L2922" s="11" t="str">
        <f t="shared" si="2843"/>
        <v>НЕТ</v>
      </c>
      <c r="M2922" s="10">
        <v>0</v>
      </c>
      <c r="N2922" s="10">
        <v>0</v>
      </c>
      <c r="O2922" s="10">
        <v>3.05</v>
      </c>
      <c r="P2922" s="10">
        <f t="shared" si="2815"/>
        <v>22.592592592592588</v>
      </c>
      <c r="Q2922" s="10" t="str">
        <f t="shared" si="2816"/>
        <v>NA</v>
      </c>
      <c r="R2922" s="10" t="s">
        <v>1575</v>
      </c>
      <c r="S2922" s="10" t="s">
        <v>1575</v>
      </c>
      <c r="T2922" s="10" t="s">
        <v>1575</v>
      </c>
      <c r="U2922" s="10" t="s">
        <v>1575</v>
      </c>
      <c r="V2922" s="10">
        <v>0.2</v>
      </c>
      <c r="W2922" s="10" t="s">
        <v>1575</v>
      </c>
      <c r="X2922" s="10" t="str">
        <f t="shared" si="2818"/>
        <v>NA</v>
      </c>
      <c r="Y2922" s="10" t="str">
        <f t="shared" si="2819"/>
        <v>NA</v>
      </c>
      <c r="Z2922" s="10" t="str">
        <f t="shared" si="2820"/>
        <v>NA</v>
      </c>
      <c r="AA2922" s="10">
        <f t="shared" si="2821"/>
        <v>112.96296296296293</v>
      </c>
      <c r="AB2922" s="10" t="str">
        <f t="shared" si="2822"/>
        <v>NA</v>
      </c>
      <c r="AC2922" s="10" t="str">
        <f t="shared" si="2823"/>
        <v>NA</v>
      </c>
      <c r="AD2922" s="10" t="str">
        <f t="shared" si="2824"/>
        <v>NA</v>
      </c>
      <c r="AE2922" s="10" t="str">
        <f t="shared" si="2825"/>
        <v>NA</v>
      </c>
      <c r="AF2922" s="1" t="s">
        <v>2823</v>
      </c>
    </row>
    <row r="2923" spans="1:32" x14ac:dyDescent="0.2">
      <c r="A2923" s="1" t="s">
        <v>6679</v>
      </c>
      <c r="B2923" s="1" t="s">
        <v>5</v>
      </c>
      <c r="C2923" s="1" t="s">
        <v>2836</v>
      </c>
      <c r="D2923" s="1" t="s">
        <v>2160</v>
      </c>
      <c r="E2923" s="1" t="s">
        <v>2804</v>
      </c>
      <c r="F2923" s="1" t="s">
        <v>2805</v>
      </c>
      <c r="G2923" s="4">
        <f>92.5%-88.5%</f>
        <v>4.0000000000000036E-2</v>
      </c>
      <c r="H2923" s="28">
        <v>40781</v>
      </c>
      <c r="I2923" s="29">
        <f t="shared" si="2829"/>
        <v>2011</v>
      </c>
      <c r="J2923" s="1" t="s">
        <v>2801</v>
      </c>
      <c r="K2923" s="1" t="s">
        <v>7</v>
      </c>
      <c r="L2923" s="11" t="str">
        <f t="shared" si="2843"/>
        <v>НЕТ</v>
      </c>
      <c r="M2923" s="10">
        <v>0</v>
      </c>
      <c r="N2923" s="10">
        <v>0</v>
      </c>
      <c r="O2923" s="10">
        <v>0.19900000000000001</v>
      </c>
      <c r="P2923" s="10">
        <f t="shared" si="2815"/>
        <v>4.9749999999999961</v>
      </c>
      <c r="Q2923" s="10" t="str">
        <f t="shared" si="2816"/>
        <v>NA</v>
      </c>
      <c r="R2923" s="10" t="s">
        <v>1575</v>
      </c>
      <c r="S2923" s="10" t="s">
        <v>1575</v>
      </c>
      <c r="T2923" s="10" t="s">
        <v>1575</v>
      </c>
      <c r="U2923" s="10" t="s">
        <v>1575</v>
      </c>
      <c r="V2923" s="10">
        <v>0.2</v>
      </c>
      <c r="W2923" s="10" t="s">
        <v>1575</v>
      </c>
      <c r="X2923" s="10" t="str">
        <f t="shared" si="2818"/>
        <v>NA</v>
      </c>
      <c r="Y2923" s="10" t="str">
        <f t="shared" si="2819"/>
        <v>NA</v>
      </c>
      <c r="Z2923" s="10" t="str">
        <f t="shared" si="2820"/>
        <v>NA</v>
      </c>
      <c r="AA2923" s="10">
        <f t="shared" si="2821"/>
        <v>24.874999999999979</v>
      </c>
      <c r="AB2923" s="10" t="str">
        <f t="shared" si="2822"/>
        <v>NA</v>
      </c>
      <c r="AC2923" s="10" t="str">
        <f t="shared" si="2823"/>
        <v>NA</v>
      </c>
      <c r="AD2923" s="10" t="str">
        <f t="shared" si="2824"/>
        <v>NA</v>
      </c>
      <c r="AE2923" s="10" t="str">
        <f t="shared" si="2825"/>
        <v>NA</v>
      </c>
      <c r="AF2923" s="1" t="s">
        <v>2824</v>
      </c>
    </row>
    <row r="2924" spans="1:32" x14ac:dyDescent="0.2">
      <c r="A2924" s="1" t="s">
        <v>6679</v>
      </c>
      <c r="B2924" s="1" t="s">
        <v>5</v>
      </c>
      <c r="C2924" s="1" t="s">
        <v>2836</v>
      </c>
      <c r="D2924" s="1" t="s">
        <v>2160</v>
      </c>
      <c r="E2924" s="1" t="s">
        <v>2804</v>
      </c>
      <c r="F2924" s="1" t="s">
        <v>2805</v>
      </c>
      <c r="G2924" s="4">
        <f>93.1%-92.5%</f>
        <v>5.9999999999998943E-3</v>
      </c>
      <c r="H2924" s="28">
        <v>40908</v>
      </c>
      <c r="I2924" s="29">
        <f t="shared" si="2829"/>
        <v>2011</v>
      </c>
      <c r="J2924" s="1" t="s">
        <v>2801</v>
      </c>
      <c r="K2924" s="1" t="s">
        <v>7</v>
      </c>
      <c r="L2924" s="11" t="str">
        <f t="shared" si="2843"/>
        <v>НЕТ</v>
      </c>
      <c r="M2924" s="10">
        <v>0</v>
      </c>
      <c r="N2924" s="10">
        <v>0</v>
      </c>
      <c r="O2924" s="10">
        <v>3.3000000000000002E-2</v>
      </c>
      <c r="P2924" s="10">
        <f t="shared" si="2815"/>
        <v>5.5000000000000968</v>
      </c>
      <c r="Q2924" s="10" t="str">
        <f t="shared" si="2816"/>
        <v>NA</v>
      </c>
      <c r="R2924" s="10" t="s">
        <v>1575</v>
      </c>
      <c r="S2924" s="10" t="s">
        <v>1575</v>
      </c>
      <c r="T2924" s="10" t="s">
        <v>1575</v>
      </c>
      <c r="U2924" s="10" t="s">
        <v>1575</v>
      </c>
      <c r="V2924" s="10">
        <v>0.2</v>
      </c>
      <c r="W2924" s="10" t="s">
        <v>1575</v>
      </c>
      <c r="X2924" s="10" t="str">
        <f t="shared" si="2818"/>
        <v>NA</v>
      </c>
      <c r="Y2924" s="10" t="str">
        <f t="shared" si="2819"/>
        <v>NA</v>
      </c>
      <c r="Z2924" s="10" t="str">
        <f t="shared" si="2820"/>
        <v>NA</v>
      </c>
      <c r="AA2924" s="10">
        <f t="shared" si="2821"/>
        <v>27.500000000000483</v>
      </c>
      <c r="AB2924" s="10" t="str">
        <f t="shared" si="2822"/>
        <v>NA</v>
      </c>
      <c r="AC2924" s="10" t="str">
        <f t="shared" si="2823"/>
        <v>NA</v>
      </c>
      <c r="AD2924" s="10" t="str">
        <f t="shared" si="2824"/>
        <v>NA</v>
      </c>
      <c r="AE2924" s="10" t="str">
        <f t="shared" si="2825"/>
        <v>NA</v>
      </c>
      <c r="AF2924" s="1" t="s">
        <v>2825</v>
      </c>
    </row>
    <row r="2925" spans="1:32" x14ac:dyDescent="0.2">
      <c r="A2925" s="1" t="s">
        <v>6681</v>
      </c>
      <c r="B2925" s="1" t="s">
        <v>5</v>
      </c>
      <c r="C2925" s="1" t="s">
        <v>1575</v>
      </c>
      <c r="D2925" s="1" t="s">
        <v>2160</v>
      </c>
      <c r="E2925" s="1" t="s">
        <v>2804</v>
      </c>
      <c r="F2925" s="1" t="s">
        <v>2805</v>
      </c>
      <c r="G2925" s="4">
        <v>0.95</v>
      </c>
      <c r="H2925" s="28">
        <v>40633</v>
      </c>
      <c r="I2925" s="29">
        <f t="shared" si="2829"/>
        <v>2011</v>
      </c>
      <c r="J2925" s="1" t="s">
        <v>6682</v>
      </c>
      <c r="K2925" s="1" t="s">
        <v>7</v>
      </c>
      <c r="L2925" s="11" t="str">
        <f t="shared" ref="L2925" si="2844">IF(OR(A2925=J2925,A2925=K2925),"ДА","НЕТ")</f>
        <v>НЕТ</v>
      </c>
      <c r="M2925" s="10">
        <v>0</v>
      </c>
      <c r="N2925" s="10">
        <v>0</v>
      </c>
      <c r="O2925" s="10">
        <v>0.62</v>
      </c>
      <c r="P2925" s="10">
        <f t="shared" si="2815"/>
        <v>0.65263157894736845</v>
      </c>
      <c r="Q2925" s="10">
        <f t="shared" si="2816"/>
        <v>0.66663157894736846</v>
      </c>
      <c r="R2925" s="10" t="s">
        <v>1575</v>
      </c>
      <c r="S2925" s="10" t="s">
        <v>1575</v>
      </c>
      <c r="T2925" s="10" t="s">
        <v>1575</v>
      </c>
      <c r="U2925" s="10" t="s">
        <v>1575</v>
      </c>
      <c r="V2925" s="10">
        <v>0.48199999999999998</v>
      </c>
      <c r="W2925" s="10">
        <f>0.016+0.018-0.02</f>
        <v>1.4000000000000002E-2</v>
      </c>
      <c r="X2925" s="10">
        <f t="shared" si="2818"/>
        <v>0.496</v>
      </c>
      <c r="Y2925" s="10" t="str">
        <f t="shared" si="2819"/>
        <v>NA</v>
      </c>
      <c r="Z2925" s="10" t="str">
        <f t="shared" si="2820"/>
        <v>NA</v>
      </c>
      <c r="AA2925" s="10">
        <f t="shared" si="2821"/>
        <v>1.3540074252020093</v>
      </c>
      <c r="AB2925" s="10" t="str">
        <f t="shared" si="2822"/>
        <v>NA</v>
      </c>
      <c r="AC2925" s="10" t="str">
        <f t="shared" si="2823"/>
        <v>NA</v>
      </c>
      <c r="AD2925" s="10" t="str">
        <f t="shared" si="2824"/>
        <v>NA</v>
      </c>
      <c r="AE2925" s="10">
        <f t="shared" si="2825"/>
        <v>1.3440152801358236</v>
      </c>
      <c r="AF2925" s="1" t="s">
        <v>2808</v>
      </c>
    </row>
    <row r="2926" spans="1:32" x14ac:dyDescent="0.2">
      <c r="A2926" s="1" t="s">
        <v>6683</v>
      </c>
      <c r="B2926" s="1" t="s">
        <v>5</v>
      </c>
      <c r="C2926" s="1" t="s">
        <v>1575</v>
      </c>
      <c r="D2926" s="1" t="s">
        <v>1578</v>
      </c>
      <c r="E2926" s="1" t="s">
        <v>2007</v>
      </c>
      <c r="F2926" s="1" t="s">
        <v>3495</v>
      </c>
      <c r="G2926" s="4">
        <v>0.98</v>
      </c>
      <c r="H2926" s="28">
        <v>40633</v>
      </c>
      <c r="I2926" s="29">
        <f t="shared" si="2829"/>
        <v>2011</v>
      </c>
      <c r="J2926" s="1" t="s">
        <v>6682</v>
      </c>
      <c r="K2926" s="1" t="s">
        <v>7</v>
      </c>
      <c r="L2926" s="11" t="str">
        <f t="shared" ref="L2926" si="2845">IF(OR(A2926=J2926,A2926=K2926),"ДА","НЕТ")</f>
        <v>НЕТ</v>
      </c>
      <c r="M2926" s="10">
        <v>0</v>
      </c>
      <c r="N2926" s="10">
        <v>0</v>
      </c>
      <c r="O2926" s="10">
        <v>0.13</v>
      </c>
      <c r="P2926" s="10">
        <f t="shared" si="2815"/>
        <v>0.1326530612244898</v>
      </c>
      <c r="Q2926" s="10" t="str">
        <f t="shared" si="2816"/>
        <v>NA</v>
      </c>
      <c r="R2926" s="10" t="s">
        <v>1575</v>
      </c>
      <c r="S2926" s="10" t="s">
        <v>1575</v>
      </c>
      <c r="T2926" s="10" t="s">
        <v>1575</v>
      </c>
      <c r="U2926" s="10" t="s">
        <v>1575</v>
      </c>
      <c r="V2926" s="10" t="s">
        <v>1575</v>
      </c>
      <c r="W2926" s="10" t="s">
        <v>1575</v>
      </c>
      <c r="X2926" s="10" t="str">
        <f t="shared" si="2818"/>
        <v>NA</v>
      </c>
      <c r="Y2926" s="10" t="str">
        <f t="shared" si="2819"/>
        <v>NA</v>
      </c>
      <c r="Z2926" s="10" t="str">
        <f t="shared" si="2820"/>
        <v>NA</v>
      </c>
      <c r="AA2926" s="10" t="str">
        <f t="shared" si="2821"/>
        <v>NA</v>
      </c>
      <c r="AB2926" s="10" t="str">
        <f t="shared" si="2822"/>
        <v>NA</v>
      </c>
      <c r="AC2926" s="10" t="str">
        <f t="shared" si="2823"/>
        <v>NA</v>
      </c>
      <c r="AD2926" s="10" t="str">
        <f t="shared" si="2824"/>
        <v>NA</v>
      </c>
      <c r="AE2926" s="10" t="str">
        <f t="shared" si="2825"/>
        <v>NA</v>
      </c>
      <c r="AF2926" s="1" t="s">
        <v>2809</v>
      </c>
    </row>
    <row r="2927" spans="1:32" x14ac:dyDescent="0.2">
      <c r="A2927" s="1" t="s">
        <v>6678</v>
      </c>
      <c r="B2927" s="1" t="s">
        <v>5</v>
      </c>
      <c r="C2927" s="1" t="s">
        <v>2815</v>
      </c>
      <c r="D2927" s="1" t="s">
        <v>2160</v>
      </c>
      <c r="E2927" s="1" t="s">
        <v>2804</v>
      </c>
      <c r="F2927" s="1" t="s">
        <v>2805</v>
      </c>
      <c r="G2927" s="4">
        <f>87.4%-65.9%</f>
        <v>0.21500000000000008</v>
      </c>
      <c r="H2927" s="28">
        <v>40567</v>
      </c>
      <c r="I2927" s="29">
        <f t="shared" si="2829"/>
        <v>2011</v>
      </c>
      <c r="J2927" s="1" t="s">
        <v>2813</v>
      </c>
      <c r="K2927" s="1" t="s">
        <v>7</v>
      </c>
      <c r="L2927" s="11" t="str">
        <f t="shared" ref="L2927" si="2846">IF(OR(A2927=J2927,A2927=K2927),"ДА","НЕТ")</f>
        <v>НЕТ</v>
      </c>
      <c r="M2927" s="10">
        <v>0</v>
      </c>
      <c r="N2927" s="10">
        <v>0</v>
      </c>
      <c r="O2927" s="10">
        <v>3.403</v>
      </c>
      <c r="P2927" s="10">
        <f t="shared" si="2815"/>
        <v>15.827906976744181</v>
      </c>
      <c r="Q2927" s="10" t="str">
        <f t="shared" si="2816"/>
        <v>NA</v>
      </c>
      <c r="R2927" s="10" t="s">
        <v>1575</v>
      </c>
      <c r="S2927" s="10" t="s">
        <v>1575</v>
      </c>
      <c r="T2927" s="10" t="s">
        <v>1575</v>
      </c>
      <c r="U2927" s="10" t="s">
        <v>1575</v>
      </c>
      <c r="V2927" s="10" t="s">
        <v>1575</v>
      </c>
      <c r="W2927" s="10" t="s">
        <v>1575</v>
      </c>
      <c r="X2927" s="10" t="str">
        <f t="shared" si="2818"/>
        <v>NA</v>
      </c>
      <c r="Y2927" s="10" t="str">
        <f t="shared" si="2819"/>
        <v>NA</v>
      </c>
      <c r="Z2927" s="10" t="str">
        <f t="shared" si="2820"/>
        <v>NA</v>
      </c>
      <c r="AA2927" s="10" t="str">
        <f t="shared" si="2821"/>
        <v>NA</v>
      </c>
      <c r="AB2927" s="10" t="str">
        <f t="shared" si="2822"/>
        <v>NA</v>
      </c>
      <c r="AC2927" s="10" t="str">
        <f t="shared" si="2823"/>
        <v>NA</v>
      </c>
      <c r="AD2927" s="10" t="str">
        <f t="shared" si="2824"/>
        <v>NA</v>
      </c>
      <c r="AE2927" s="10" t="str">
        <f t="shared" si="2825"/>
        <v>NA</v>
      </c>
      <c r="AF2927" s="1" t="s">
        <v>2817</v>
      </c>
    </row>
    <row r="2928" spans="1:32" x14ac:dyDescent="0.2">
      <c r="A2928" s="1" t="s">
        <v>6678</v>
      </c>
      <c r="B2928" s="1" t="s">
        <v>5</v>
      </c>
      <c r="C2928" s="1" t="s">
        <v>2815</v>
      </c>
      <c r="D2928" s="1" t="s">
        <v>2160</v>
      </c>
      <c r="E2928" s="1" t="s">
        <v>2804</v>
      </c>
      <c r="F2928" s="1" t="s">
        <v>2805</v>
      </c>
      <c r="G2928" s="4">
        <f>93.5%-87.4%</f>
        <v>6.0999999999999943E-2</v>
      </c>
      <c r="H2928" s="28">
        <v>40721</v>
      </c>
      <c r="I2928" s="29">
        <f t="shared" si="2829"/>
        <v>2011</v>
      </c>
      <c r="J2928" s="1" t="s">
        <v>2813</v>
      </c>
      <c r="K2928" s="1" t="s">
        <v>7</v>
      </c>
      <c r="L2928" s="11" t="str">
        <f t="shared" ref="L2928" si="2847">IF(OR(A2928=J2928,A2928=K2928),"ДА","НЕТ")</f>
        <v>НЕТ</v>
      </c>
      <c r="M2928" s="10">
        <v>0</v>
      </c>
      <c r="N2928" s="10">
        <v>0</v>
      </c>
      <c r="O2928" s="10">
        <v>0.97</v>
      </c>
      <c r="P2928" s="10">
        <f t="shared" si="2815"/>
        <v>15.901639344262309</v>
      </c>
      <c r="Q2928" s="10" t="str">
        <f t="shared" si="2816"/>
        <v>NA</v>
      </c>
      <c r="R2928" s="10" t="s">
        <v>1575</v>
      </c>
      <c r="S2928" s="10" t="s">
        <v>1575</v>
      </c>
      <c r="T2928" s="10" t="s">
        <v>1575</v>
      </c>
      <c r="U2928" s="10" t="s">
        <v>1575</v>
      </c>
      <c r="V2928" s="10" t="s">
        <v>1575</v>
      </c>
      <c r="W2928" s="10" t="s">
        <v>1575</v>
      </c>
      <c r="X2928" s="10" t="str">
        <f t="shared" si="2818"/>
        <v>NA</v>
      </c>
      <c r="Y2928" s="10" t="str">
        <f t="shared" si="2819"/>
        <v>NA</v>
      </c>
      <c r="Z2928" s="10" t="str">
        <f t="shared" si="2820"/>
        <v>NA</v>
      </c>
      <c r="AA2928" s="10" t="str">
        <f t="shared" si="2821"/>
        <v>NA</v>
      </c>
      <c r="AB2928" s="10" t="str">
        <f t="shared" si="2822"/>
        <v>NA</v>
      </c>
      <c r="AC2928" s="10" t="str">
        <f t="shared" si="2823"/>
        <v>NA</v>
      </c>
      <c r="AD2928" s="10" t="str">
        <f t="shared" si="2824"/>
        <v>NA</v>
      </c>
      <c r="AE2928" s="10" t="str">
        <f t="shared" si="2825"/>
        <v>NA</v>
      </c>
      <c r="AF2928" s="1" t="s">
        <v>2818</v>
      </c>
    </row>
    <row r="2929" spans="1:32" x14ac:dyDescent="0.2">
      <c r="A2929" s="1" t="s">
        <v>6678</v>
      </c>
      <c r="B2929" s="1" t="s">
        <v>5</v>
      </c>
      <c r="C2929" s="1" t="s">
        <v>2815</v>
      </c>
      <c r="D2929" s="1" t="s">
        <v>2160</v>
      </c>
      <c r="E2929" s="1" t="s">
        <v>2804</v>
      </c>
      <c r="F2929" s="1" t="s">
        <v>2805</v>
      </c>
      <c r="G2929" s="4">
        <f>93.5%-80.2%</f>
        <v>0.13300000000000001</v>
      </c>
      <c r="H2929" s="28">
        <v>40855</v>
      </c>
      <c r="I2929" s="29">
        <f t="shared" si="2829"/>
        <v>2011</v>
      </c>
      <c r="J2929" s="1" t="s">
        <v>7</v>
      </c>
      <c r="K2929" s="1" t="s">
        <v>2801</v>
      </c>
      <c r="L2929" s="11" t="str">
        <f t="shared" ref="L2929" si="2848">IF(OR(A2929=J2929,A2929=K2929),"ДА","НЕТ")</f>
        <v>НЕТ</v>
      </c>
      <c r="M2929" s="10">
        <v>0</v>
      </c>
      <c r="N2929" s="10">
        <v>0</v>
      </c>
      <c r="O2929" s="10">
        <v>2.101</v>
      </c>
      <c r="P2929" s="10">
        <f t="shared" si="2815"/>
        <v>15.796992481203006</v>
      </c>
      <c r="Q2929" s="10" t="str">
        <f t="shared" si="2816"/>
        <v>NA</v>
      </c>
      <c r="R2929" s="10" t="s">
        <v>1575</v>
      </c>
      <c r="S2929" s="10" t="s">
        <v>1575</v>
      </c>
      <c r="T2929" s="10" t="s">
        <v>1575</v>
      </c>
      <c r="U2929" s="10" t="s">
        <v>1575</v>
      </c>
      <c r="V2929" s="10" t="s">
        <v>1575</v>
      </c>
      <c r="W2929" s="10" t="s">
        <v>1575</v>
      </c>
      <c r="X2929" s="10" t="str">
        <f t="shared" si="2818"/>
        <v>NA</v>
      </c>
      <c r="Y2929" s="10" t="str">
        <f t="shared" si="2819"/>
        <v>NA</v>
      </c>
      <c r="Z2929" s="10" t="str">
        <f t="shared" si="2820"/>
        <v>NA</v>
      </c>
      <c r="AA2929" s="10" t="str">
        <f t="shared" si="2821"/>
        <v>NA</v>
      </c>
      <c r="AB2929" s="10" t="str">
        <f t="shared" si="2822"/>
        <v>NA</v>
      </c>
      <c r="AC2929" s="10" t="str">
        <f t="shared" si="2823"/>
        <v>NA</v>
      </c>
      <c r="AD2929" s="10" t="str">
        <f t="shared" si="2824"/>
        <v>NA</v>
      </c>
      <c r="AE2929" s="10" t="str">
        <f t="shared" si="2825"/>
        <v>NA</v>
      </c>
      <c r="AF2929" s="1" t="s">
        <v>2814</v>
      </c>
    </row>
    <row r="2930" spans="1:32" x14ac:dyDescent="0.2">
      <c r="A2930" s="1" t="s">
        <v>6684</v>
      </c>
      <c r="B2930" s="1" t="s">
        <v>5</v>
      </c>
      <c r="C2930" s="1" t="s">
        <v>2815</v>
      </c>
      <c r="D2930" s="1" t="s">
        <v>2160</v>
      </c>
      <c r="E2930" s="1" t="s">
        <v>2804</v>
      </c>
      <c r="F2930" s="1" t="s">
        <v>2805</v>
      </c>
      <c r="G2930" s="4">
        <f>57.5%-54.5%</f>
        <v>2.9999999999999916E-2</v>
      </c>
      <c r="H2930" s="28">
        <v>40389</v>
      </c>
      <c r="I2930" s="29">
        <f t="shared" si="2829"/>
        <v>2010</v>
      </c>
      <c r="J2930" s="1" t="s">
        <v>7</v>
      </c>
      <c r="K2930" s="1" t="s">
        <v>6685</v>
      </c>
      <c r="L2930" s="11" t="str">
        <f t="shared" ref="L2930:L2932" si="2849">IF(OR(A2930=J2930,A2930=K2930),"ДА","НЕТ")</f>
        <v>НЕТ</v>
      </c>
      <c r="M2930" s="10">
        <v>0</v>
      </c>
      <c r="N2930" s="10">
        <v>0</v>
      </c>
      <c r="O2930" s="10">
        <v>0.47599999999999998</v>
      </c>
      <c r="P2930" s="10">
        <f t="shared" si="2815"/>
        <v>15.86666666666671</v>
      </c>
      <c r="Q2930" s="10" t="str">
        <f t="shared" si="2816"/>
        <v>NA</v>
      </c>
      <c r="R2930" s="10" t="s">
        <v>1575</v>
      </c>
      <c r="S2930" s="10" t="s">
        <v>1575</v>
      </c>
      <c r="T2930" s="10" t="s">
        <v>1575</v>
      </c>
      <c r="U2930" s="10" t="s">
        <v>1575</v>
      </c>
      <c r="V2930" s="10" t="s">
        <v>1575</v>
      </c>
      <c r="W2930" s="10" t="s">
        <v>1575</v>
      </c>
      <c r="X2930" s="10" t="str">
        <f t="shared" si="2818"/>
        <v>NA</v>
      </c>
      <c r="Y2930" s="10" t="str">
        <f t="shared" si="2819"/>
        <v>NA</v>
      </c>
      <c r="Z2930" s="10" t="str">
        <f t="shared" si="2820"/>
        <v>NA</v>
      </c>
      <c r="AA2930" s="10" t="str">
        <f t="shared" si="2821"/>
        <v>NA</v>
      </c>
      <c r="AB2930" s="10" t="str">
        <f t="shared" si="2822"/>
        <v>NA</v>
      </c>
      <c r="AC2930" s="10" t="str">
        <f t="shared" si="2823"/>
        <v>NA</v>
      </c>
      <c r="AD2930" s="10" t="str">
        <f t="shared" si="2824"/>
        <v>NA</v>
      </c>
      <c r="AE2930" s="10" t="str">
        <f t="shared" si="2825"/>
        <v>NA</v>
      </c>
      <c r="AF2930" s="1" t="s">
        <v>2816</v>
      </c>
    </row>
    <row r="2931" spans="1:32" x14ac:dyDescent="0.2">
      <c r="A2931" s="1" t="s">
        <v>6686</v>
      </c>
      <c r="B2931" s="1" t="s">
        <v>5</v>
      </c>
      <c r="C2931" s="1" t="s">
        <v>1575</v>
      </c>
      <c r="D2931" s="1" t="s">
        <v>2160</v>
      </c>
      <c r="E2931" s="1" t="s">
        <v>2804</v>
      </c>
      <c r="F2931" s="1" t="s">
        <v>2805</v>
      </c>
      <c r="G2931" s="4">
        <v>0.52300000000000002</v>
      </c>
      <c r="H2931" s="28">
        <v>40523</v>
      </c>
      <c r="I2931" s="29">
        <f t="shared" si="2829"/>
        <v>2010</v>
      </c>
      <c r="J2931" s="1" t="s">
        <v>2801</v>
      </c>
      <c r="K2931" s="1" t="s">
        <v>7</v>
      </c>
      <c r="L2931" s="11" t="str">
        <f t="shared" si="2849"/>
        <v>НЕТ</v>
      </c>
      <c r="M2931" s="10">
        <v>0</v>
      </c>
      <c r="N2931" s="10">
        <v>0</v>
      </c>
      <c r="O2931" s="10">
        <v>3.23</v>
      </c>
      <c r="P2931" s="10">
        <f t="shared" si="2815"/>
        <v>6.1759082217973225</v>
      </c>
      <c r="Q2931" s="10">
        <f t="shared" si="2816"/>
        <v>11.303908221797322</v>
      </c>
      <c r="R2931" s="10">
        <v>81.307000000000002</v>
      </c>
      <c r="S2931" s="10" t="s">
        <v>1575</v>
      </c>
      <c r="T2931" s="10" t="s">
        <v>1575</v>
      </c>
      <c r="U2931" s="10">
        <v>6.2</v>
      </c>
      <c r="V2931" s="10">
        <v>7.2560000000000002</v>
      </c>
      <c r="W2931" s="10">
        <f>5.126+0.076+0.915-0.989</f>
        <v>5.1280000000000001</v>
      </c>
      <c r="X2931" s="10">
        <f t="shared" si="2818"/>
        <v>12.384</v>
      </c>
      <c r="Y2931" s="10">
        <f t="shared" si="2819"/>
        <v>7.595789073262231E-2</v>
      </c>
      <c r="Z2931" s="10">
        <f t="shared" si="2820"/>
        <v>0.99611422932214877</v>
      </c>
      <c r="AA2931" s="10">
        <f t="shared" si="2821"/>
        <v>0.85114501402939946</v>
      </c>
      <c r="AB2931" s="10">
        <f t="shared" si="2822"/>
        <v>0.13902749113603161</v>
      </c>
      <c r="AC2931" s="10" t="str">
        <f t="shared" si="2823"/>
        <v>NA</v>
      </c>
      <c r="AD2931" s="10" t="str">
        <f t="shared" si="2824"/>
        <v>NA</v>
      </c>
      <c r="AE2931" s="10">
        <f t="shared" si="2825"/>
        <v>0.91278328664384056</v>
      </c>
      <c r="AF2931" s="1" t="s">
        <v>2810</v>
      </c>
    </row>
    <row r="2932" spans="1:32" x14ac:dyDescent="0.2">
      <c r="A2932" s="1" t="s">
        <v>6679</v>
      </c>
      <c r="B2932" s="1" t="s">
        <v>5</v>
      </c>
      <c r="C2932" s="1" t="s">
        <v>1575</v>
      </c>
      <c r="D2932" s="1" t="s">
        <v>2160</v>
      </c>
      <c r="E2932" s="1" t="s">
        <v>2804</v>
      </c>
      <c r="F2932" s="1" t="s">
        <v>2805</v>
      </c>
      <c r="G2932" s="4">
        <v>0.25</v>
      </c>
      <c r="H2932" s="28">
        <v>40259</v>
      </c>
      <c r="I2932" s="29">
        <f t="shared" si="2829"/>
        <v>2010</v>
      </c>
      <c r="J2932" s="1" t="s">
        <v>2821</v>
      </c>
      <c r="K2932" s="1" t="s">
        <v>7</v>
      </c>
      <c r="L2932" s="11" t="str">
        <f t="shared" si="2849"/>
        <v>НЕТ</v>
      </c>
      <c r="M2932" s="10">
        <v>0</v>
      </c>
      <c r="N2932" s="10">
        <v>0</v>
      </c>
      <c r="O2932" s="10">
        <v>0.44</v>
      </c>
      <c r="P2932" s="10">
        <f t="shared" si="2815"/>
        <v>1.76</v>
      </c>
      <c r="Q2932" s="10" t="str">
        <f t="shared" si="2816"/>
        <v>NA</v>
      </c>
      <c r="R2932" s="10" t="s">
        <v>1575</v>
      </c>
      <c r="S2932" s="10" t="s">
        <v>1575</v>
      </c>
      <c r="T2932" s="10" t="s">
        <v>1575</v>
      </c>
      <c r="U2932" s="10" t="s">
        <v>1575</v>
      </c>
      <c r="V2932" s="10">
        <v>0.2</v>
      </c>
      <c r="W2932" s="10" t="s">
        <v>1575</v>
      </c>
      <c r="X2932" s="10" t="str">
        <f t="shared" si="2818"/>
        <v>NA</v>
      </c>
      <c r="Y2932" s="10" t="str">
        <f t="shared" si="2819"/>
        <v>NA</v>
      </c>
      <c r="Z2932" s="10" t="str">
        <f t="shared" si="2820"/>
        <v>NA</v>
      </c>
      <c r="AA2932" s="10">
        <f t="shared" si="2821"/>
        <v>8.7999999999999989</v>
      </c>
      <c r="AB2932" s="10" t="str">
        <f t="shared" si="2822"/>
        <v>NA</v>
      </c>
      <c r="AC2932" s="10" t="str">
        <f t="shared" si="2823"/>
        <v>NA</v>
      </c>
      <c r="AD2932" s="10" t="str">
        <f t="shared" si="2824"/>
        <v>NA</v>
      </c>
      <c r="AE2932" s="10" t="str">
        <f t="shared" si="2825"/>
        <v>NA</v>
      </c>
      <c r="AF2932" s="1" t="s">
        <v>2822</v>
      </c>
    </row>
    <row r="2933" spans="1:32" x14ac:dyDescent="0.2">
      <c r="A2933" s="1" t="s">
        <v>6687</v>
      </c>
      <c r="B2933" s="1" t="s">
        <v>5</v>
      </c>
      <c r="C2933" s="1" t="s">
        <v>1575</v>
      </c>
      <c r="D2933" s="1" t="s">
        <v>2160</v>
      </c>
      <c r="E2933" s="1" t="s">
        <v>2804</v>
      </c>
      <c r="F2933" s="1" t="s">
        <v>2805</v>
      </c>
      <c r="G2933" s="4">
        <f>84.8%-75.1%</f>
        <v>9.7000000000000086E-2</v>
      </c>
      <c r="H2933" s="28">
        <v>40855</v>
      </c>
      <c r="I2933" s="29">
        <f t="shared" si="2829"/>
        <v>2011</v>
      </c>
      <c r="J2933" s="1" t="s">
        <v>2801</v>
      </c>
      <c r="K2933" s="1" t="s">
        <v>7</v>
      </c>
      <c r="L2933" s="11" t="str">
        <f t="shared" ref="L2933:L2935" si="2850">IF(OR(A2933=J2933,A2933=K2933),"ДА","НЕТ")</f>
        <v>НЕТ</v>
      </c>
      <c r="M2933" s="10">
        <v>0</v>
      </c>
      <c r="N2933" s="10">
        <v>0</v>
      </c>
      <c r="O2933" s="10">
        <v>2.1110000000000002</v>
      </c>
      <c r="P2933" s="10">
        <f t="shared" si="2815"/>
        <v>21.762886597938127</v>
      </c>
      <c r="Q2933" s="10" t="str">
        <f t="shared" si="2816"/>
        <v>NA</v>
      </c>
      <c r="R2933" s="10" t="s">
        <v>1575</v>
      </c>
      <c r="S2933" s="10" t="s">
        <v>1575</v>
      </c>
      <c r="T2933" s="10" t="s">
        <v>1575</v>
      </c>
      <c r="U2933" s="10" t="s">
        <v>1575</v>
      </c>
      <c r="V2933" s="10" t="s">
        <v>1575</v>
      </c>
      <c r="W2933" s="10" t="s">
        <v>1575</v>
      </c>
      <c r="X2933" s="10" t="str">
        <f t="shared" si="2818"/>
        <v>NA</v>
      </c>
      <c r="Y2933" s="10" t="str">
        <f t="shared" si="2819"/>
        <v>NA</v>
      </c>
      <c r="Z2933" s="10" t="str">
        <f t="shared" si="2820"/>
        <v>NA</v>
      </c>
      <c r="AA2933" s="10" t="str">
        <f t="shared" si="2821"/>
        <v>NA</v>
      </c>
      <c r="AB2933" s="10" t="str">
        <f t="shared" si="2822"/>
        <v>NA</v>
      </c>
      <c r="AC2933" s="10" t="str">
        <f t="shared" si="2823"/>
        <v>NA</v>
      </c>
      <c r="AD2933" s="10" t="str">
        <f t="shared" si="2824"/>
        <v>NA</v>
      </c>
      <c r="AE2933" s="10" t="str">
        <f t="shared" si="2825"/>
        <v>NA</v>
      </c>
      <c r="AF2933" s="1" t="s">
        <v>2830</v>
      </c>
    </row>
    <row r="2934" spans="1:32" x14ac:dyDescent="0.2">
      <c r="A2934" s="1" t="s">
        <v>6686</v>
      </c>
      <c r="B2934" s="1" t="s">
        <v>5</v>
      </c>
      <c r="C2934" s="1" t="s">
        <v>2828</v>
      </c>
      <c r="D2934" s="1" t="s">
        <v>2160</v>
      </c>
      <c r="E2934" s="1" t="s">
        <v>2804</v>
      </c>
      <c r="F2934" s="1" t="s">
        <v>2805</v>
      </c>
      <c r="G2934" s="4">
        <v>0.52300000000000002</v>
      </c>
      <c r="H2934" s="28">
        <v>40523</v>
      </c>
      <c r="I2934" s="29">
        <f t="shared" si="2829"/>
        <v>2010</v>
      </c>
      <c r="J2934" s="1" t="s">
        <v>2801</v>
      </c>
      <c r="K2934" s="1" t="s">
        <v>7</v>
      </c>
      <c r="L2934" s="11" t="str">
        <f t="shared" si="2850"/>
        <v>НЕТ</v>
      </c>
      <c r="M2934" s="10">
        <v>0</v>
      </c>
      <c r="N2934" s="10">
        <v>0</v>
      </c>
      <c r="O2934" s="10">
        <v>3.23</v>
      </c>
      <c r="P2934" s="10">
        <f t="shared" si="2815"/>
        <v>6.1759082217973225</v>
      </c>
      <c r="Q2934" s="10">
        <f t="shared" si="2816"/>
        <v>11.303908221797322</v>
      </c>
      <c r="R2934" s="10">
        <v>81.307000000000002</v>
      </c>
      <c r="S2934" s="10" t="s">
        <v>1575</v>
      </c>
      <c r="T2934" s="10" t="s">
        <v>1575</v>
      </c>
      <c r="U2934" s="10">
        <v>6.2</v>
      </c>
      <c r="V2934" s="10">
        <v>7.2560000000000002</v>
      </c>
      <c r="W2934" s="10">
        <f>5.126+0.076+0.915-0.989</f>
        <v>5.1280000000000001</v>
      </c>
      <c r="X2934" s="10">
        <f t="shared" si="2818"/>
        <v>12.384</v>
      </c>
      <c r="Y2934" s="10">
        <f t="shared" si="2819"/>
        <v>7.595789073262231E-2</v>
      </c>
      <c r="Z2934" s="10">
        <f t="shared" si="2820"/>
        <v>0.99611422932214877</v>
      </c>
      <c r="AA2934" s="10">
        <f t="shared" si="2821"/>
        <v>0.85114501402939946</v>
      </c>
      <c r="AB2934" s="10">
        <f t="shared" si="2822"/>
        <v>0.13902749113603161</v>
      </c>
      <c r="AC2934" s="10" t="str">
        <f t="shared" si="2823"/>
        <v>NA</v>
      </c>
      <c r="AD2934" s="10" t="str">
        <f t="shared" si="2824"/>
        <v>NA</v>
      </c>
      <c r="AE2934" s="10">
        <f t="shared" si="2825"/>
        <v>0.91278328664384056</v>
      </c>
      <c r="AF2934" s="1" t="s">
        <v>2810</v>
      </c>
    </row>
    <row r="2935" spans="1:32" x14ac:dyDescent="0.2">
      <c r="A2935" s="1" t="s">
        <v>6688</v>
      </c>
      <c r="B2935" s="1" t="s">
        <v>5</v>
      </c>
      <c r="C2935" s="1" t="s">
        <v>1575</v>
      </c>
      <c r="D2935" s="1" t="s">
        <v>2160</v>
      </c>
      <c r="E2935" s="1" t="s">
        <v>2804</v>
      </c>
      <c r="F2935" s="1" t="s">
        <v>2805</v>
      </c>
      <c r="G2935" s="4">
        <v>2.5999999999999999E-2</v>
      </c>
      <c r="H2935" s="28">
        <v>40236</v>
      </c>
      <c r="I2935" s="29">
        <f t="shared" si="2829"/>
        <v>2010</v>
      </c>
      <c r="J2935" s="1" t="s">
        <v>6682</v>
      </c>
      <c r="K2935" s="1" t="s">
        <v>7</v>
      </c>
      <c r="L2935" s="11" t="str">
        <f t="shared" si="2850"/>
        <v>НЕТ</v>
      </c>
      <c r="M2935" s="10">
        <v>0</v>
      </c>
      <c r="N2935" s="10">
        <v>0</v>
      </c>
      <c r="O2935" s="10">
        <v>4.8000000000000001E-2</v>
      </c>
      <c r="P2935" s="10">
        <f t="shared" si="2815"/>
        <v>1.8461538461538463</v>
      </c>
      <c r="Q2935" s="10" t="str">
        <f t="shared" si="2816"/>
        <v>NA</v>
      </c>
      <c r="R2935" s="10" t="s">
        <v>1575</v>
      </c>
      <c r="S2935" s="10" t="s">
        <v>1575</v>
      </c>
      <c r="T2935" s="10" t="s">
        <v>1575</v>
      </c>
      <c r="U2935" s="10" t="s">
        <v>1575</v>
      </c>
      <c r="V2935" s="10" t="s">
        <v>1575</v>
      </c>
      <c r="W2935" s="10" t="s">
        <v>1575</v>
      </c>
      <c r="X2935" s="10" t="str">
        <f t="shared" si="2818"/>
        <v>NA</v>
      </c>
      <c r="Y2935" s="10" t="str">
        <f t="shared" si="2819"/>
        <v>NA</v>
      </c>
      <c r="Z2935" s="10" t="str">
        <f t="shared" si="2820"/>
        <v>NA</v>
      </c>
      <c r="AA2935" s="10" t="str">
        <f t="shared" si="2821"/>
        <v>NA</v>
      </c>
      <c r="AB2935" s="10" t="str">
        <f t="shared" si="2822"/>
        <v>NA</v>
      </c>
      <c r="AC2935" s="10" t="str">
        <f t="shared" si="2823"/>
        <v>NA</v>
      </c>
      <c r="AD2935" s="10" t="str">
        <f t="shared" si="2824"/>
        <v>NA</v>
      </c>
      <c r="AE2935" s="10" t="str">
        <f t="shared" si="2825"/>
        <v>NA</v>
      </c>
      <c r="AF2935" s="1" t="s">
        <v>2831</v>
      </c>
    </row>
    <row r="2936" spans="1:32" x14ac:dyDescent="0.2">
      <c r="A2936" s="1" t="s">
        <v>2833</v>
      </c>
      <c r="B2936" s="1" t="s">
        <v>5</v>
      </c>
      <c r="C2936" s="1" t="s">
        <v>1575</v>
      </c>
      <c r="D2936" s="1" t="s">
        <v>2160</v>
      </c>
      <c r="E2936" s="1" t="s">
        <v>2804</v>
      </c>
      <c r="F2936" s="1" t="s">
        <v>2805</v>
      </c>
      <c r="G2936" s="4">
        <v>1</v>
      </c>
      <c r="H2936" s="28">
        <v>39933</v>
      </c>
      <c r="I2936" s="29">
        <f t="shared" si="2829"/>
        <v>2009</v>
      </c>
      <c r="J2936" s="1" t="s">
        <v>2834</v>
      </c>
      <c r="K2936" s="1" t="s">
        <v>7</v>
      </c>
      <c r="L2936" s="11" t="str">
        <f t="shared" ref="L2936" si="2851">IF(OR(A2936=J2936,A2936=K2936),"ДА","НЕТ")</f>
        <v>НЕТ</v>
      </c>
      <c r="M2936" s="10">
        <v>0</v>
      </c>
      <c r="N2936" s="10">
        <v>0</v>
      </c>
      <c r="O2936" s="10">
        <v>0.74399999999999999</v>
      </c>
      <c r="P2936" s="10">
        <f t="shared" si="2815"/>
        <v>0.74399999999999999</v>
      </c>
      <c r="Q2936" s="10" t="str">
        <f t="shared" si="2816"/>
        <v>NA</v>
      </c>
      <c r="R2936" s="10" t="s">
        <v>1575</v>
      </c>
      <c r="S2936" s="10" t="s">
        <v>1575</v>
      </c>
      <c r="T2936" s="10" t="s">
        <v>1575</v>
      </c>
      <c r="U2936" s="10" t="s">
        <v>1575</v>
      </c>
      <c r="V2936" s="10" t="s">
        <v>1575</v>
      </c>
      <c r="W2936" s="10" t="s">
        <v>1575</v>
      </c>
      <c r="X2936" s="10" t="str">
        <f t="shared" si="2818"/>
        <v>NA</v>
      </c>
      <c r="Y2936" s="10" t="str">
        <f t="shared" si="2819"/>
        <v>NA</v>
      </c>
      <c r="Z2936" s="10" t="str">
        <f t="shared" si="2820"/>
        <v>NA</v>
      </c>
      <c r="AA2936" s="10" t="str">
        <f t="shared" si="2821"/>
        <v>NA</v>
      </c>
      <c r="AB2936" s="10" t="str">
        <f t="shared" si="2822"/>
        <v>NA</v>
      </c>
      <c r="AC2936" s="10" t="str">
        <f t="shared" si="2823"/>
        <v>NA</v>
      </c>
      <c r="AD2936" s="10" t="str">
        <f t="shared" si="2824"/>
        <v>NA</v>
      </c>
      <c r="AE2936" s="10" t="str">
        <f t="shared" si="2825"/>
        <v>NA</v>
      </c>
      <c r="AF2936" s="1" t="s">
        <v>2835</v>
      </c>
    </row>
    <row r="2937" spans="1:32" x14ac:dyDescent="0.2">
      <c r="A2937" s="1" t="s">
        <v>6689</v>
      </c>
      <c r="B2937" s="1" t="s">
        <v>5</v>
      </c>
      <c r="C2937" s="1" t="s">
        <v>1575</v>
      </c>
      <c r="D2937" s="1" t="s">
        <v>2160</v>
      </c>
      <c r="E2937" s="1" t="s">
        <v>2804</v>
      </c>
      <c r="F2937" s="1" t="s">
        <v>2806</v>
      </c>
      <c r="G2937" s="4">
        <v>0.95099999999999996</v>
      </c>
      <c r="H2937" s="28">
        <v>39691</v>
      </c>
      <c r="I2937" s="29">
        <f t="shared" si="2829"/>
        <v>2008</v>
      </c>
      <c r="J2937" s="1" t="s">
        <v>6690</v>
      </c>
      <c r="K2937" s="1" t="s">
        <v>7</v>
      </c>
      <c r="L2937" s="11" t="str">
        <f t="shared" ref="L2937:L2938" si="2852">IF(OR(A2937=J2937,A2937=K2937),"ДА","НЕТ")</f>
        <v>НЕТ</v>
      </c>
      <c r="M2937" s="10">
        <v>0</v>
      </c>
      <c r="N2937" s="10">
        <v>0</v>
      </c>
      <c r="O2937" s="10">
        <v>0.49</v>
      </c>
      <c r="P2937" s="10">
        <f t="shared" si="2815"/>
        <v>0.51524710830704523</v>
      </c>
      <c r="Q2937" s="10" t="str">
        <f t="shared" si="2816"/>
        <v>NA</v>
      </c>
      <c r="R2937" s="10" t="s">
        <v>1575</v>
      </c>
      <c r="S2937" s="10" t="s">
        <v>1575</v>
      </c>
      <c r="T2937" s="10" t="s">
        <v>1575</v>
      </c>
      <c r="U2937" s="10" t="s">
        <v>1575</v>
      </c>
      <c r="V2937" s="10" t="s">
        <v>1575</v>
      </c>
      <c r="W2937" s="10" t="s">
        <v>1575</v>
      </c>
      <c r="X2937" s="10" t="str">
        <f t="shared" si="2818"/>
        <v>NA</v>
      </c>
      <c r="Y2937" s="10" t="str">
        <f t="shared" si="2819"/>
        <v>NA</v>
      </c>
      <c r="Z2937" s="10" t="str">
        <f t="shared" si="2820"/>
        <v>NA</v>
      </c>
      <c r="AA2937" s="10" t="str">
        <f t="shared" si="2821"/>
        <v>NA</v>
      </c>
      <c r="AB2937" s="10" t="str">
        <f t="shared" si="2822"/>
        <v>NA</v>
      </c>
      <c r="AC2937" s="10" t="str">
        <f t="shared" si="2823"/>
        <v>NA</v>
      </c>
      <c r="AD2937" s="10" t="str">
        <f t="shared" si="2824"/>
        <v>NA</v>
      </c>
      <c r="AE2937" s="10" t="str">
        <f t="shared" si="2825"/>
        <v>NA</v>
      </c>
      <c r="AF2937" s="1" t="s">
        <v>2832</v>
      </c>
    </row>
    <row r="2938" spans="1:32" x14ac:dyDescent="0.2">
      <c r="A2938" s="1" t="s">
        <v>6691</v>
      </c>
      <c r="B2938" s="1" t="s">
        <v>5</v>
      </c>
      <c r="C2938" s="1" t="s">
        <v>1575</v>
      </c>
      <c r="D2938" s="1" t="s">
        <v>1600</v>
      </c>
      <c r="E2938" s="1" t="s">
        <v>2050</v>
      </c>
      <c r="F2938" s="1" t="s">
        <v>120</v>
      </c>
      <c r="G2938" s="4">
        <v>1</v>
      </c>
      <c r="H2938" s="28">
        <v>43799</v>
      </c>
      <c r="I2938" s="29">
        <f t="shared" si="2829"/>
        <v>2019</v>
      </c>
      <c r="J2938" s="1" t="s">
        <v>6679</v>
      </c>
      <c r="K2938" s="1" t="s">
        <v>7</v>
      </c>
      <c r="L2938" s="11" t="str">
        <f t="shared" si="2852"/>
        <v>НЕТ</v>
      </c>
      <c r="M2938" s="10">
        <v>0</v>
      </c>
      <c r="N2938" s="10">
        <v>0</v>
      </c>
      <c r="O2938" s="10">
        <v>4.8170999999999999E-2</v>
      </c>
      <c r="P2938" s="10">
        <f t="shared" si="2815"/>
        <v>4.8170999999999999E-2</v>
      </c>
      <c r="Q2938" s="10">
        <f t="shared" si="2816"/>
        <v>9.1709999999999986E-3</v>
      </c>
      <c r="R2938" s="10" t="s">
        <v>1575</v>
      </c>
      <c r="S2938" s="10" t="s">
        <v>1575</v>
      </c>
      <c r="T2938" s="10" t="s">
        <v>1575</v>
      </c>
      <c r="U2938" s="10" t="s">
        <v>1575</v>
      </c>
      <c r="V2938" s="10">
        <v>0.04</v>
      </c>
      <c r="W2938" s="10">
        <f>0.003-0.015-0.027</f>
        <v>-3.9E-2</v>
      </c>
      <c r="X2938" s="10">
        <f t="shared" si="2818"/>
        <v>1.0000000000000009E-3</v>
      </c>
      <c r="Y2938" s="10" t="str">
        <f t="shared" si="2819"/>
        <v>NA</v>
      </c>
      <c r="Z2938" s="10" t="str">
        <f t="shared" si="2820"/>
        <v>NA</v>
      </c>
      <c r="AA2938" s="10">
        <f t="shared" si="2821"/>
        <v>1.204275</v>
      </c>
      <c r="AB2938" s="10" t="str">
        <f t="shared" si="2822"/>
        <v>NA</v>
      </c>
      <c r="AC2938" s="10" t="str">
        <f t="shared" si="2823"/>
        <v>NA</v>
      </c>
      <c r="AD2938" s="10" t="str">
        <f t="shared" si="2824"/>
        <v>NA</v>
      </c>
      <c r="AE2938" s="10">
        <f t="shared" si="2825"/>
        <v>9.1709999999999905</v>
      </c>
      <c r="AF2938" s="1" t="s">
        <v>2847</v>
      </c>
    </row>
    <row r="2939" spans="1:32" x14ac:dyDescent="0.2">
      <c r="A2939" s="1" t="s">
        <v>6692</v>
      </c>
      <c r="C2939" s="1" t="s">
        <v>1575</v>
      </c>
      <c r="D2939" s="1" t="s">
        <v>2160</v>
      </c>
      <c r="E2939" s="1" t="s">
        <v>2762</v>
      </c>
      <c r="F2939" s="1" t="s">
        <v>2764</v>
      </c>
      <c r="G2939" s="4" t="s">
        <v>1575</v>
      </c>
      <c r="H2939" s="28">
        <v>44616</v>
      </c>
      <c r="I2939" s="29">
        <f t="shared" si="2829"/>
        <v>2022</v>
      </c>
      <c r="J2939" s="1" t="s">
        <v>7</v>
      </c>
      <c r="K2939" s="1" t="s">
        <v>2766</v>
      </c>
      <c r="L2939" s="11" t="str">
        <f t="shared" si="2540"/>
        <v>НЕТ</v>
      </c>
      <c r="M2939" s="10">
        <v>0</v>
      </c>
      <c r="N2939" s="10">
        <v>0</v>
      </c>
      <c r="O2939" s="10" t="s">
        <v>1575</v>
      </c>
      <c r="P2939" s="10" t="str">
        <f t="shared" si="2815"/>
        <v>NA</v>
      </c>
      <c r="Q2939" s="10" t="str">
        <f t="shared" si="2816"/>
        <v>NA</v>
      </c>
      <c r="R2939" s="10" t="s">
        <v>1575</v>
      </c>
      <c r="S2939" s="10" t="s">
        <v>1575</v>
      </c>
      <c r="T2939" s="10" t="s">
        <v>1575</v>
      </c>
      <c r="U2939" s="10" t="s">
        <v>1575</v>
      </c>
      <c r="V2939" s="10" t="s">
        <v>1575</v>
      </c>
      <c r="W2939" s="10" t="s">
        <v>1575</v>
      </c>
      <c r="X2939" s="10" t="str">
        <f t="shared" si="2818"/>
        <v>NA</v>
      </c>
      <c r="Y2939" s="10" t="str">
        <f t="shared" si="2819"/>
        <v>NA</v>
      </c>
      <c r="Z2939" s="10" t="str">
        <f t="shared" si="2820"/>
        <v>NA</v>
      </c>
      <c r="AA2939" s="10" t="str">
        <f t="shared" si="2821"/>
        <v>NA</v>
      </c>
      <c r="AB2939" s="10" t="str">
        <f t="shared" si="2822"/>
        <v>NA</v>
      </c>
      <c r="AC2939" s="10" t="str">
        <f t="shared" si="2823"/>
        <v>NA</v>
      </c>
      <c r="AD2939" s="10" t="str">
        <f t="shared" si="2824"/>
        <v>NA</v>
      </c>
      <c r="AE2939" s="10" t="str">
        <f t="shared" si="2825"/>
        <v>NA</v>
      </c>
      <c r="AF2939" s="1" t="s">
        <v>2771</v>
      </c>
    </row>
    <row r="2940" spans="1:32" x14ac:dyDescent="0.2">
      <c r="A2940" s="1" t="s">
        <v>6693</v>
      </c>
      <c r="B2940" s="1" t="s">
        <v>5</v>
      </c>
      <c r="C2940" s="1" t="s">
        <v>1575</v>
      </c>
      <c r="D2940" s="1" t="s">
        <v>1615</v>
      </c>
      <c r="E2940" s="1" t="s">
        <v>2176</v>
      </c>
      <c r="F2940" s="1" t="s">
        <v>2769</v>
      </c>
      <c r="G2940" s="4">
        <v>1</v>
      </c>
      <c r="H2940" s="28">
        <v>42691</v>
      </c>
      <c r="I2940" s="29">
        <f t="shared" si="2829"/>
        <v>2016</v>
      </c>
      <c r="J2940" s="1" t="s">
        <v>7</v>
      </c>
      <c r="K2940" s="1" t="s">
        <v>2766</v>
      </c>
      <c r="L2940" s="11" t="str">
        <f t="shared" ref="L2940" si="2853">IF(OR(A2940=J2940,A2940=K2940),"ДА","НЕТ")</f>
        <v>НЕТ</v>
      </c>
      <c r="M2940" s="10">
        <v>0</v>
      </c>
      <c r="N2940" s="10">
        <v>0</v>
      </c>
      <c r="O2940" s="10">
        <v>1.2849999999999999</v>
      </c>
      <c r="P2940" s="10">
        <f t="shared" si="2815"/>
        <v>1.2849999999999999</v>
      </c>
      <c r="Q2940" s="10">
        <f t="shared" si="2816"/>
        <v>1.1379869999999999</v>
      </c>
      <c r="R2940" s="10">
        <v>12.364380000000001</v>
      </c>
      <c r="S2940" s="10" t="s">
        <v>1575</v>
      </c>
      <c r="T2940" s="10">
        <f>12.36438+0.090405-11.21565-0.308623</f>
        <v>0.930512000000001</v>
      </c>
      <c r="U2940" s="10">
        <v>0.75982499999999997</v>
      </c>
      <c r="V2940" s="10">
        <v>0.72321500000000005</v>
      </c>
      <c r="W2940" s="10">
        <v>-0.147013</v>
      </c>
      <c r="X2940" s="10">
        <f t="shared" si="2818"/>
        <v>0.5762020000000001</v>
      </c>
      <c r="Y2940" s="10">
        <f t="shared" si="2819"/>
        <v>0.1039275725915897</v>
      </c>
      <c r="Z2940" s="10">
        <f t="shared" si="2820"/>
        <v>1.6911788898759583</v>
      </c>
      <c r="AA2940" s="10">
        <f t="shared" si="2821"/>
        <v>1.7767883686040802</v>
      </c>
      <c r="AB2940" s="10">
        <f t="shared" si="2822"/>
        <v>9.2037530389716252E-2</v>
      </c>
      <c r="AC2940" s="10" t="str">
        <f t="shared" si="2823"/>
        <v>NA</v>
      </c>
      <c r="AD2940" s="10">
        <f t="shared" si="2824"/>
        <v>1.2229686452189747</v>
      </c>
      <c r="AE2940" s="10">
        <f t="shared" si="2825"/>
        <v>1.9749792607453631</v>
      </c>
      <c r="AF2940" s="1" t="s">
        <v>2770</v>
      </c>
    </row>
    <row r="2941" spans="1:32" x14ac:dyDescent="0.2">
      <c r="A2941" s="1" t="s">
        <v>6694</v>
      </c>
      <c r="B2941" s="1" t="s">
        <v>5</v>
      </c>
      <c r="C2941" s="1" t="s">
        <v>1575</v>
      </c>
      <c r="D2941" s="1" t="s">
        <v>2160</v>
      </c>
      <c r="E2941" s="1" t="s">
        <v>2762</v>
      </c>
      <c r="F2941" s="1" t="s">
        <v>2764</v>
      </c>
      <c r="G2941" s="4">
        <v>1</v>
      </c>
      <c r="H2941" s="28">
        <v>42369</v>
      </c>
      <c r="I2941" s="29">
        <f t="shared" si="2829"/>
        <v>2015</v>
      </c>
      <c r="J2941" s="1" t="s">
        <v>2766</v>
      </c>
      <c r="K2941" s="1" t="s">
        <v>7</v>
      </c>
      <c r="L2941" s="11" t="str">
        <f t="shared" ref="L2941" si="2854">IF(OR(A2941=J2941,A2941=K2941),"ДА","НЕТ")</f>
        <v>НЕТ</v>
      </c>
      <c r="M2941" s="10">
        <v>0</v>
      </c>
      <c r="N2941" s="10">
        <v>0</v>
      </c>
      <c r="O2941" s="10">
        <v>1.9508479999999999</v>
      </c>
      <c r="P2941" s="10">
        <f t="shared" si="2815"/>
        <v>1.9508479999999999</v>
      </c>
      <c r="Q2941" s="10">
        <f t="shared" si="2816"/>
        <v>2.9794580000000002</v>
      </c>
      <c r="R2941" s="10" t="s">
        <v>1575</v>
      </c>
      <c r="S2941" s="10" t="s">
        <v>1575</v>
      </c>
      <c r="T2941" s="10" t="s">
        <v>1575</v>
      </c>
      <c r="U2941" s="10" t="s">
        <v>1575</v>
      </c>
      <c r="V2941" s="10">
        <v>-0.54753300000000005</v>
      </c>
      <c r="W2941" s="10">
        <f>0.851028+0.007013+0.170569</f>
        <v>1.02861</v>
      </c>
      <c r="X2941" s="10">
        <f t="shared" si="2818"/>
        <v>0.48107699999999998</v>
      </c>
      <c r="Y2941" s="10" t="str">
        <f t="shared" si="2819"/>
        <v>NA</v>
      </c>
      <c r="Z2941" s="10" t="str">
        <f t="shared" si="2820"/>
        <v>NA</v>
      </c>
      <c r="AA2941" s="10">
        <f t="shared" si="2821"/>
        <v>-3.5629779392292331</v>
      </c>
      <c r="AB2941" s="10" t="str">
        <f t="shared" si="2822"/>
        <v>NA</v>
      </c>
      <c r="AC2941" s="10" t="str">
        <f t="shared" si="2823"/>
        <v>NA</v>
      </c>
      <c r="AD2941" s="10" t="str">
        <f t="shared" si="2824"/>
        <v>NA</v>
      </c>
      <c r="AE2941" s="10">
        <f t="shared" si="2825"/>
        <v>6.193307931994255</v>
      </c>
      <c r="AF2941" s="1" t="s">
        <v>2768</v>
      </c>
    </row>
    <row r="2942" spans="1:32" x14ac:dyDescent="0.2">
      <c r="A2942" s="1" t="s">
        <v>6695</v>
      </c>
      <c r="B2942" s="1" t="s">
        <v>5</v>
      </c>
      <c r="C2942" s="1" t="s">
        <v>1575</v>
      </c>
      <c r="D2942" s="1" t="s">
        <v>1601</v>
      </c>
      <c r="E2942" s="1" t="s">
        <v>1608</v>
      </c>
      <c r="F2942" s="1" t="s">
        <v>1562</v>
      </c>
      <c r="G2942" s="4">
        <v>1</v>
      </c>
      <c r="H2942" s="28">
        <v>42369</v>
      </c>
      <c r="I2942" s="29">
        <f t="shared" si="2829"/>
        <v>2015</v>
      </c>
      <c r="J2942" s="1" t="s">
        <v>2766</v>
      </c>
      <c r="K2942" s="1" t="s">
        <v>7</v>
      </c>
      <c r="L2942" s="11" t="str">
        <f t="shared" ref="L2942" si="2855">IF(OR(A2942=J2942,A2942=K2942),"ДА","НЕТ")</f>
        <v>НЕТ</v>
      </c>
      <c r="M2942" s="10">
        <v>0</v>
      </c>
      <c r="N2942" s="10">
        <v>0</v>
      </c>
      <c r="O2942" s="10">
        <v>6.0039999999999996</v>
      </c>
      <c r="P2942" s="10">
        <f t="shared" si="2815"/>
        <v>6.0039999999999996</v>
      </c>
      <c r="Q2942" s="10">
        <f t="shared" si="2816"/>
        <v>13.192964999999999</v>
      </c>
      <c r="R2942" s="10" t="s">
        <v>1575</v>
      </c>
      <c r="S2942" s="10" t="s">
        <v>1575</v>
      </c>
      <c r="T2942" s="10" t="s">
        <v>1575</v>
      </c>
      <c r="U2942" s="10" t="s">
        <v>1575</v>
      </c>
      <c r="V2942" s="10">
        <v>-0.36131600000000003</v>
      </c>
      <c r="W2942" s="10">
        <f>5.8965+0.241718+1.051208-0.000461</f>
        <v>7.1889649999999996</v>
      </c>
      <c r="X2942" s="10">
        <f t="shared" si="2818"/>
        <v>6.8276489999999992</v>
      </c>
      <c r="Y2942" s="10" t="str">
        <f t="shared" si="2819"/>
        <v>NA</v>
      </c>
      <c r="Z2942" s="10" t="str">
        <f t="shared" si="2820"/>
        <v>NA</v>
      </c>
      <c r="AA2942" s="10">
        <f t="shared" si="2821"/>
        <v>-16.617033289419787</v>
      </c>
      <c r="AB2942" s="10" t="str">
        <f t="shared" si="2822"/>
        <v>NA</v>
      </c>
      <c r="AC2942" s="10" t="str">
        <f t="shared" si="2823"/>
        <v>NA</v>
      </c>
      <c r="AD2942" s="10" t="str">
        <f t="shared" si="2824"/>
        <v>NA</v>
      </c>
      <c r="AE2942" s="10">
        <f t="shared" si="2825"/>
        <v>1.9322851833771773</v>
      </c>
      <c r="AF2942" s="1" t="s">
        <v>2767</v>
      </c>
    </row>
    <row r="2943" spans="1:32" x14ac:dyDescent="0.2">
      <c r="A2943" s="1" t="s">
        <v>6696</v>
      </c>
      <c r="B2943" s="1" t="s">
        <v>5</v>
      </c>
      <c r="C2943" s="1" t="s">
        <v>1575</v>
      </c>
      <c r="D2943" s="1" t="s">
        <v>2160</v>
      </c>
      <c r="E2943" s="1" t="s">
        <v>5352</v>
      </c>
      <c r="F2943" s="1" t="s">
        <v>2753</v>
      </c>
      <c r="G2943" s="4">
        <f>89.99%-45%</f>
        <v>0.44989999999999991</v>
      </c>
      <c r="H2943" s="28">
        <v>42369</v>
      </c>
      <c r="I2943" s="29">
        <f t="shared" si="2829"/>
        <v>2015</v>
      </c>
      <c r="J2943" s="1" t="s">
        <v>2751</v>
      </c>
      <c r="K2943" s="1" t="s">
        <v>7</v>
      </c>
      <c r="L2943" s="11" t="str">
        <f t="shared" si="2540"/>
        <v>НЕТ</v>
      </c>
      <c r="M2943" s="10">
        <v>0</v>
      </c>
      <c r="N2943" s="10">
        <v>0</v>
      </c>
      <c r="O2943" s="10">
        <v>0</v>
      </c>
      <c r="P2943" s="10">
        <f t="shared" si="2815"/>
        <v>0</v>
      </c>
      <c r="Q2943" s="10">
        <f t="shared" si="2816"/>
        <v>4.3040000000000003</v>
      </c>
      <c r="R2943" s="10" t="s">
        <v>1575</v>
      </c>
      <c r="S2943" s="10" t="s">
        <v>1575</v>
      </c>
      <c r="T2943" s="10" t="s">
        <v>1575</v>
      </c>
      <c r="U2943" s="10" t="s">
        <v>1575</v>
      </c>
      <c r="V2943" s="10">
        <v>-3.359</v>
      </c>
      <c r="W2943" s="10">
        <f>2.298+1.942+0.093-0.029</f>
        <v>4.3040000000000003</v>
      </c>
      <c r="X2943" s="10">
        <f t="shared" si="2818"/>
        <v>0.94500000000000028</v>
      </c>
      <c r="Y2943" s="10" t="str">
        <f t="shared" si="2819"/>
        <v>NA</v>
      </c>
      <c r="Z2943" s="10" t="str">
        <f t="shared" si="2820"/>
        <v>NA</v>
      </c>
      <c r="AA2943" s="10">
        <f t="shared" si="2821"/>
        <v>0</v>
      </c>
      <c r="AB2943" s="10" t="str">
        <f t="shared" si="2822"/>
        <v>NA</v>
      </c>
      <c r="AC2943" s="10" t="str">
        <f t="shared" si="2823"/>
        <v>NA</v>
      </c>
      <c r="AD2943" s="10" t="str">
        <f t="shared" si="2824"/>
        <v>NA</v>
      </c>
      <c r="AE2943" s="10">
        <f t="shared" si="2825"/>
        <v>4.5544973544973537</v>
      </c>
      <c r="AF2943" s="1" t="s">
        <v>2752</v>
      </c>
    </row>
    <row r="2944" spans="1:32" x14ac:dyDescent="0.2">
      <c r="A2944" s="1" t="s">
        <v>6697</v>
      </c>
      <c r="B2944" s="1" t="s">
        <v>5</v>
      </c>
      <c r="C2944" s="1" t="s">
        <v>1575</v>
      </c>
      <c r="D2944" s="1" t="s">
        <v>2160</v>
      </c>
      <c r="E2944" s="1" t="s">
        <v>5352</v>
      </c>
      <c r="F2944" s="1" t="s">
        <v>2754</v>
      </c>
      <c r="G2944" s="4">
        <v>0.25</v>
      </c>
      <c r="H2944" s="28">
        <v>42035</v>
      </c>
      <c r="I2944" s="29">
        <f t="shared" si="2829"/>
        <v>2015</v>
      </c>
      <c r="J2944" s="1" t="s">
        <v>2751</v>
      </c>
      <c r="K2944" s="1" t="s">
        <v>653</v>
      </c>
      <c r="L2944" s="11" t="str">
        <f t="shared" si="2540"/>
        <v>НЕТ</v>
      </c>
      <c r="M2944" s="10">
        <v>0</v>
      </c>
      <c r="N2944" s="10">
        <v>0</v>
      </c>
      <c r="O2944" s="10" t="s">
        <v>1575</v>
      </c>
      <c r="P2944" s="10" t="str">
        <f t="shared" si="2815"/>
        <v>NA</v>
      </c>
      <c r="Q2944" s="10" t="str">
        <f t="shared" si="2816"/>
        <v>NA</v>
      </c>
      <c r="R2944" s="10" t="s">
        <v>1575</v>
      </c>
      <c r="S2944" s="10" t="s">
        <v>1575</v>
      </c>
      <c r="T2944" s="10" t="s">
        <v>1575</v>
      </c>
      <c r="U2944" s="10" t="s">
        <v>1575</v>
      </c>
      <c r="V2944" s="10" t="s">
        <v>1575</v>
      </c>
      <c r="W2944" s="10" t="s">
        <v>1575</v>
      </c>
      <c r="X2944" s="10" t="str">
        <f t="shared" si="2818"/>
        <v>NA</v>
      </c>
      <c r="Y2944" s="10" t="str">
        <f t="shared" si="2819"/>
        <v>NA</v>
      </c>
      <c r="Z2944" s="10" t="str">
        <f t="shared" si="2820"/>
        <v>NA</v>
      </c>
      <c r="AA2944" s="10" t="str">
        <f t="shared" si="2821"/>
        <v>NA</v>
      </c>
      <c r="AB2944" s="10" t="str">
        <f t="shared" si="2822"/>
        <v>NA</v>
      </c>
      <c r="AC2944" s="10" t="str">
        <f t="shared" si="2823"/>
        <v>NA</v>
      </c>
      <c r="AD2944" s="10" t="str">
        <f t="shared" si="2824"/>
        <v>NA</v>
      </c>
      <c r="AE2944" s="10" t="str">
        <f t="shared" si="2825"/>
        <v>NA</v>
      </c>
      <c r="AF2944" s="1" t="s">
        <v>2750</v>
      </c>
    </row>
    <row r="2945" spans="1:32" x14ac:dyDescent="0.2">
      <c r="A2945" s="1" t="s">
        <v>6698</v>
      </c>
      <c r="B2945" s="1" t="s">
        <v>5</v>
      </c>
      <c r="C2945" s="1" t="s">
        <v>1575</v>
      </c>
      <c r="D2945" s="1" t="s">
        <v>2160</v>
      </c>
      <c r="E2945" s="1" t="s">
        <v>5352</v>
      </c>
      <c r="F2945" s="1" t="s">
        <v>2753</v>
      </c>
      <c r="G2945" s="4" t="s">
        <v>11</v>
      </c>
      <c r="H2945" s="28">
        <v>42369</v>
      </c>
      <c r="I2945" s="29">
        <f t="shared" si="2829"/>
        <v>2015</v>
      </c>
      <c r="J2945" s="1" t="s">
        <v>2751</v>
      </c>
      <c r="K2945" s="1" t="s">
        <v>7</v>
      </c>
      <c r="L2945" s="11" t="str">
        <f t="shared" ref="L2945" si="2856">IF(OR(A2945=J2945,A2945=K2945),"ДА","НЕТ")</f>
        <v>НЕТ</v>
      </c>
      <c r="M2945" s="10">
        <v>0</v>
      </c>
      <c r="N2945" s="10">
        <v>0</v>
      </c>
      <c r="O2945" s="10">
        <v>0.45800000000000002</v>
      </c>
      <c r="P2945" s="10" t="str">
        <f t="shared" si="2815"/>
        <v>NA</v>
      </c>
      <c r="Q2945" s="10" t="str">
        <f t="shared" si="2816"/>
        <v>NA</v>
      </c>
      <c r="R2945" s="10" t="s">
        <v>1575</v>
      </c>
      <c r="S2945" s="10" t="s">
        <v>1575</v>
      </c>
      <c r="T2945" s="10" t="s">
        <v>1575</v>
      </c>
      <c r="U2945" s="10" t="s">
        <v>1575</v>
      </c>
      <c r="V2945" s="10">
        <v>1.7849999999999999</v>
      </c>
      <c r="W2945" s="10">
        <f>1.957+0.911+0.029+0.007-0.582</f>
        <v>2.3220000000000005</v>
      </c>
      <c r="X2945" s="10">
        <f t="shared" si="2818"/>
        <v>4.1070000000000002</v>
      </c>
      <c r="Y2945" s="10" t="str">
        <f t="shared" si="2819"/>
        <v>NA</v>
      </c>
      <c r="Z2945" s="10" t="str">
        <f t="shared" si="2820"/>
        <v>NA</v>
      </c>
      <c r="AA2945" s="10" t="str">
        <f t="shared" si="2821"/>
        <v>NA</v>
      </c>
      <c r="AB2945" s="10" t="str">
        <f t="shared" si="2822"/>
        <v>NA</v>
      </c>
      <c r="AC2945" s="10" t="str">
        <f t="shared" si="2823"/>
        <v>NA</v>
      </c>
      <c r="AD2945" s="10" t="str">
        <f t="shared" si="2824"/>
        <v>NA</v>
      </c>
      <c r="AE2945" s="10" t="str">
        <f t="shared" si="2825"/>
        <v>NA</v>
      </c>
      <c r="AF2945" s="1" t="s">
        <v>2755</v>
      </c>
    </row>
    <row r="2946" spans="1:32" x14ac:dyDescent="0.2">
      <c r="A2946" s="1" t="s">
        <v>6699</v>
      </c>
      <c r="B2946" s="1" t="s">
        <v>5</v>
      </c>
      <c r="C2946" s="1" t="s">
        <v>1575</v>
      </c>
      <c r="D2946" s="1" t="s">
        <v>2160</v>
      </c>
      <c r="E2946" s="1" t="s">
        <v>5352</v>
      </c>
      <c r="F2946" s="1" t="s">
        <v>2753</v>
      </c>
      <c r="G2946" s="4">
        <v>0.84250000000000003</v>
      </c>
      <c r="H2946" s="28">
        <v>42370</v>
      </c>
      <c r="I2946" s="29">
        <f t="shared" si="2829"/>
        <v>2016</v>
      </c>
      <c r="J2946" s="1" t="s">
        <v>2751</v>
      </c>
      <c r="K2946" s="1" t="s">
        <v>7</v>
      </c>
      <c r="L2946" s="11" t="str">
        <f t="shared" ref="L2946:L2948" si="2857">IF(OR(A2946=J2946,A2946=K2946),"ДА","НЕТ")</f>
        <v>НЕТ</v>
      </c>
      <c r="M2946" s="10">
        <v>0</v>
      </c>
      <c r="N2946" s="10">
        <v>0</v>
      </c>
      <c r="O2946" s="10">
        <v>1.4999999999999999E-2</v>
      </c>
      <c r="P2946" s="10">
        <f t="shared" si="2815"/>
        <v>1.780415430267062E-2</v>
      </c>
      <c r="Q2946" s="10">
        <f t="shared" si="2816"/>
        <v>11.817804154302671</v>
      </c>
      <c r="R2946" s="10" t="s">
        <v>1575</v>
      </c>
      <c r="S2946" s="10" t="s">
        <v>1575</v>
      </c>
      <c r="T2946" s="10" t="s">
        <v>1575</v>
      </c>
      <c r="U2946" s="10" t="s">
        <v>1575</v>
      </c>
      <c r="V2946" s="10">
        <v>-0.64900000000000002</v>
      </c>
      <c r="W2946" s="10">
        <f>9.561+0.336+2.311-0.408</f>
        <v>11.8</v>
      </c>
      <c r="X2946" s="10">
        <f t="shared" si="2818"/>
        <v>11.151</v>
      </c>
      <c r="Y2946" s="10" t="str">
        <f t="shared" si="2819"/>
        <v>NA</v>
      </c>
      <c r="Z2946" s="10" t="str">
        <f t="shared" si="2820"/>
        <v>NA</v>
      </c>
      <c r="AA2946" s="10">
        <f t="shared" si="2821"/>
        <v>-2.7433211560355348E-2</v>
      </c>
      <c r="AB2946" s="10" t="str">
        <f t="shared" si="2822"/>
        <v>NA</v>
      </c>
      <c r="AC2946" s="10" t="str">
        <f t="shared" si="2823"/>
        <v>NA</v>
      </c>
      <c r="AD2946" s="10" t="str">
        <f t="shared" si="2824"/>
        <v>NA</v>
      </c>
      <c r="AE2946" s="10">
        <f t="shared" si="2825"/>
        <v>1.0597977001437244</v>
      </c>
      <c r="AF2946" s="1" t="s">
        <v>2756</v>
      </c>
    </row>
    <row r="2947" spans="1:32" x14ac:dyDescent="0.2">
      <c r="A2947" s="1" t="s">
        <v>6700</v>
      </c>
      <c r="B2947" s="1" t="s">
        <v>5</v>
      </c>
      <c r="C2947" s="1" t="s">
        <v>1575</v>
      </c>
      <c r="D2947" s="1" t="s">
        <v>2160</v>
      </c>
      <c r="E2947" s="1" t="s">
        <v>2762</v>
      </c>
      <c r="F2947" s="1" t="s">
        <v>2764</v>
      </c>
      <c r="G2947" s="4">
        <v>0.42480000000000001</v>
      </c>
      <c r="H2947" s="28">
        <v>41333</v>
      </c>
      <c r="I2947" s="29">
        <f t="shared" si="2829"/>
        <v>2013</v>
      </c>
      <c r="J2947" s="1" t="s">
        <v>2751</v>
      </c>
      <c r="K2947" s="1" t="s">
        <v>7</v>
      </c>
      <c r="L2947" s="11" t="str">
        <f t="shared" si="2857"/>
        <v>НЕТ</v>
      </c>
      <c r="M2947" s="10">
        <v>0</v>
      </c>
      <c r="N2947" s="10">
        <v>0</v>
      </c>
      <c r="O2947" s="10" t="s">
        <v>1575</v>
      </c>
      <c r="P2947" s="10" t="str">
        <f t="shared" ref="P2947:P3010" si="2858">IFERROR(O2947/G2947,"NA")</f>
        <v>NA</v>
      </c>
      <c r="Q2947" s="10" t="str">
        <f t="shared" ref="Q2947:Q3010" si="2859">IFERROR(P2947+W2947,"NA")</f>
        <v>NA</v>
      </c>
      <c r="R2947" s="10" t="s">
        <v>1575</v>
      </c>
      <c r="S2947" s="10" t="s">
        <v>1575</v>
      </c>
      <c r="T2947" s="10" t="s">
        <v>1575</v>
      </c>
      <c r="U2947" s="10" t="s">
        <v>1575</v>
      </c>
      <c r="V2947" s="10" t="s">
        <v>1575</v>
      </c>
      <c r="W2947" s="10" t="s">
        <v>1575</v>
      </c>
      <c r="X2947" s="10" t="str">
        <f t="shared" si="2818"/>
        <v>NA</v>
      </c>
      <c r="Y2947" s="10" t="str">
        <f t="shared" si="2819"/>
        <v>NA</v>
      </c>
      <c r="Z2947" s="10" t="str">
        <f t="shared" si="2820"/>
        <v>NA</v>
      </c>
      <c r="AA2947" s="10" t="str">
        <f t="shared" si="2821"/>
        <v>NA</v>
      </c>
      <c r="AB2947" s="10" t="str">
        <f t="shared" si="2822"/>
        <v>NA</v>
      </c>
      <c r="AC2947" s="10" t="str">
        <f t="shared" si="2823"/>
        <v>NA</v>
      </c>
      <c r="AD2947" s="10" t="str">
        <f t="shared" si="2824"/>
        <v>NA</v>
      </c>
      <c r="AE2947" s="10" t="str">
        <f t="shared" si="2825"/>
        <v>NA</v>
      </c>
      <c r="AF2947" s="1" t="s">
        <v>2761</v>
      </c>
    </row>
    <row r="2948" spans="1:32" x14ac:dyDescent="0.2">
      <c r="A2948" s="1" t="s">
        <v>6701</v>
      </c>
      <c r="B2948" s="1" t="s">
        <v>5</v>
      </c>
      <c r="C2948" s="1" t="s">
        <v>1575</v>
      </c>
      <c r="D2948" s="1" t="s">
        <v>2160</v>
      </c>
      <c r="E2948" s="1" t="s">
        <v>2161</v>
      </c>
      <c r="F2948" s="1" t="s">
        <v>2753</v>
      </c>
      <c r="G2948" s="4">
        <v>0.99990000000000001</v>
      </c>
      <c r="H2948" s="28">
        <v>41333</v>
      </c>
      <c r="I2948" s="29">
        <f t="shared" si="2829"/>
        <v>2013</v>
      </c>
      <c r="J2948" s="1" t="s">
        <v>2751</v>
      </c>
      <c r="K2948" s="1" t="s">
        <v>7</v>
      </c>
      <c r="L2948" s="11" t="str">
        <f t="shared" si="2857"/>
        <v>НЕТ</v>
      </c>
      <c r="M2948" s="10">
        <v>0</v>
      </c>
      <c r="N2948" s="10">
        <v>0</v>
      </c>
      <c r="O2948" s="10" t="s">
        <v>1575</v>
      </c>
      <c r="P2948" s="10" t="str">
        <f t="shared" si="2858"/>
        <v>NA</v>
      </c>
      <c r="Q2948" s="10" t="str">
        <f t="shared" si="2859"/>
        <v>NA</v>
      </c>
      <c r="R2948" s="10" t="s">
        <v>1575</v>
      </c>
      <c r="S2948" s="10" t="s">
        <v>1575</v>
      </c>
      <c r="T2948" s="10" t="s">
        <v>1575</v>
      </c>
      <c r="U2948" s="10" t="s">
        <v>1575</v>
      </c>
      <c r="V2948" s="10" t="s">
        <v>1575</v>
      </c>
      <c r="W2948" s="10" t="s">
        <v>1575</v>
      </c>
      <c r="X2948" s="10" t="str">
        <f t="shared" si="2818"/>
        <v>NA</v>
      </c>
      <c r="Y2948" s="10" t="str">
        <f t="shared" si="2819"/>
        <v>NA</v>
      </c>
      <c r="Z2948" s="10" t="str">
        <f t="shared" si="2820"/>
        <v>NA</v>
      </c>
      <c r="AA2948" s="10" t="str">
        <f t="shared" si="2821"/>
        <v>NA</v>
      </c>
      <c r="AB2948" s="10" t="str">
        <f t="shared" si="2822"/>
        <v>NA</v>
      </c>
      <c r="AC2948" s="10" t="str">
        <f t="shared" si="2823"/>
        <v>NA</v>
      </c>
      <c r="AD2948" s="10" t="str">
        <f t="shared" si="2824"/>
        <v>NA</v>
      </c>
      <c r="AE2948" s="10" t="str">
        <f t="shared" si="2825"/>
        <v>NA</v>
      </c>
      <c r="AF2948" s="1" t="s">
        <v>2761</v>
      </c>
    </row>
    <row r="2949" spans="1:32" x14ac:dyDescent="0.2">
      <c r="A2949" s="1" t="s">
        <v>6702</v>
      </c>
      <c r="B2949" s="1" t="s">
        <v>5</v>
      </c>
      <c r="C2949" s="1" t="s">
        <v>1575</v>
      </c>
      <c r="D2949" s="1" t="s">
        <v>1615</v>
      </c>
      <c r="E2949" s="1" t="s">
        <v>5352</v>
      </c>
      <c r="F2949" s="1" t="s">
        <v>126</v>
      </c>
      <c r="G2949" s="4">
        <v>0.48949999999999999</v>
      </c>
      <c r="H2949" s="28">
        <v>41274</v>
      </c>
      <c r="I2949" s="29">
        <f t="shared" si="2829"/>
        <v>2012</v>
      </c>
      <c r="J2949" s="1" t="s">
        <v>7</v>
      </c>
      <c r="K2949" s="1" t="s">
        <v>2751</v>
      </c>
      <c r="L2949" s="11" t="str">
        <f t="shared" ref="L2949:L2952" si="2860">IF(OR(A2949=J2949,A2949=K2949),"ДА","НЕТ")</f>
        <v>НЕТ</v>
      </c>
      <c r="M2949" s="10">
        <v>0</v>
      </c>
      <c r="N2949" s="10">
        <v>0</v>
      </c>
      <c r="O2949" s="10">
        <v>3.6</v>
      </c>
      <c r="P2949" s="10">
        <f t="shared" si="2858"/>
        <v>7.3544433094994899</v>
      </c>
      <c r="Q2949" s="10" t="str">
        <f t="shared" si="2859"/>
        <v>NA</v>
      </c>
      <c r="R2949" s="10" t="s">
        <v>1575</v>
      </c>
      <c r="S2949" s="10" t="s">
        <v>1575</v>
      </c>
      <c r="T2949" s="10" t="s">
        <v>1575</v>
      </c>
      <c r="U2949" s="10" t="s">
        <v>1575</v>
      </c>
      <c r="V2949" s="10">
        <v>3.5529999999999999</v>
      </c>
      <c r="W2949" s="10" t="s">
        <v>1575</v>
      </c>
      <c r="X2949" s="10" t="str">
        <f t="shared" si="2818"/>
        <v>NA</v>
      </c>
      <c r="Y2949" s="10" t="str">
        <f t="shared" si="2819"/>
        <v>NA</v>
      </c>
      <c r="Z2949" s="10" t="str">
        <f t="shared" si="2820"/>
        <v>NA</v>
      </c>
      <c r="AA2949" s="10">
        <f t="shared" si="2821"/>
        <v>2.0699249393468873</v>
      </c>
      <c r="AB2949" s="10" t="str">
        <f t="shared" si="2822"/>
        <v>NA</v>
      </c>
      <c r="AC2949" s="10" t="str">
        <f t="shared" si="2823"/>
        <v>NA</v>
      </c>
      <c r="AD2949" s="10" t="str">
        <f t="shared" si="2824"/>
        <v>NA</v>
      </c>
      <c r="AE2949" s="10" t="str">
        <f t="shared" si="2825"/>
        <v>NA</v>
      </c>
      <c r="AF2949" s="1" t="s">
        <v>2757</v>
      </c>
    </row>
    <row r="2950" spans="1:32" x14ac:dyDescent="0.2">
      <c r="A2950" s="1" t="s">
        <v>6703</v>
      </c>
      <c r="B2950" s="1" t="s">
        <v>5</v>
      </c>
      <c r="C2950" s="1" t="s">
        <v>1575</v>
      </c>
      <c r="D2950" s="1" t="s">
        <v>2160</v>
      </c>
      <c r="E2950" s="1" t="s">
        <v>5352</v>
      </c>
      <c r="F2950" s="1" t="s">
        <v>2753</v>
      </c>
      <c r="G2950" s="4" t="s">
        <v>11</v>
      </c>
      <c r="H2950" s="28">
        <v>41284</v>
      </c>
      <c r="I2950" s="29">
        <f t="shared" si="2829"/>
        <v>2013</v>
      </c>
      <c r="J2950" s="1" t="s">
        <v>2751</v>
      </c>
      <c r="K2950" s="1" t="s">
        <v>7</v>
      </c>
      <c r="L2950" s="11" t="str">
        <f t="shared" ref="L2950" si="2861">IF(OR(A2950=J2950,A2950=K2950),"ДА","НЕТ")</f>
        <v>НЕТ</v>
      </c>
      <c r="M2950" s="10">
        <v>0</v>
      </c>
      <c r="N2950" s="10">
        <v>0</v>
      </c>
      <c r="O2950" s="10">
        <v>4.4999999999999998E-2</v>
      </c>
      <c r="P2950" s="10" t="str">
        <f t="shared" si="2858"/>
        <v>NA</v>
      </c>
      <c r="Q2950" s="10" t="str">
        <f t="shared" si="2859"/>
        <v>NA</v>
      </c>
      <c r="R2950" s="10" t="s">
        <v>1575</v>
      </c>
      <c r="S2950" s="10" t="s">
        <v>1575</v>
      </c>
      <c r="T2950" s="10" t="s">
        <v>1575</v>
      </c>
      <c r="U2950" s="10" t="s">
        <v>1575</v>
      </c>
      <c r="V2950" s="10" t="s">
        <v>1575</v>
      </c>
      <c r="W2950" s="10" t="s">
        <v>1575</v>
      </c>
      <c r="X2950" s="10" t="str">
        <f t="shared" si="2818"/>
        <v>NA</v>
      </c>
      <c r="Y2950" s="10" t="str">
        <f t="shared" si="2819"/>
        <v>NA</v>
      </c>
      <c r="Z2950" s="10" t="str">
        <f t="shared" si="2820"/>
        <v>NA</v>
      </c>
      <c r="AA2950" s="10" t="str">
        <f t="shared" si="2821"/>
        <v>NA</v>
      </c>
      <c r="AB2950" s="10" t="str">
        <f t="shared" si="2822"/>
        <v>NA</v>
      </c>
      <c r="AC2950" s="10" t="str">
        <f t="shared" si="2823"/>
        <v>NA</v>
      </c>
      <c r="AD2950" s="10" t="str">
        <f t="shared" si="2824"/>
        <v>NA</v>
      </c>
      <c r="AE2950" s="10" t="str">
        <f t="shared" si="2825"/>
        <v>NA</v>
      </c>
      <c r="AF2950" s="1" t="s">
        <v>2759</v>
      </c>
    </row>
    <row r="2951" spans="1:32" x14ac:dyDescent="0.2">
      <c r="A2951" s="1" t="s">
        <v>6704</v>
      </c>
      <c r="B2951" s="1" t="s">
        <v>5</v>
      </c>
      <c r="C2951" s="1" t="s">
        <v>1575</v>
      </c>
      <c r="D2951" s="1" t="s">
        <v>2160</v>
      </c>
      <c r="E2951" s="1" t="s">
        <v>5352</v>
      </c>
      <c r="F2951" s="1" t="s">
        <v>2753</v>
      </c>
      <c r="G2951" s="4" t="s">
        <v>11</v>
      </c>
      <c r="H2951" s="28">
        <v>41240</v>
      </c>
      <c r="I2951" s="29">
        <f t="shared" si="2829"/>
        <v>2012</v>
      </c>
      <c r="J2951" s="1" t="s">
        <v>2751</v>
      </c>
      <c r="K2951" s="1" t="s">
        <v>7</v>
      </c>
      <c r="L2951" s="11" t="str">
        <f t="shared" si="2860"/>
        <v>НЕТ</v>
      </c>
      <c r="M2951" s="10">
        <v>0</v>
      </c>
      <c r="N2951" s="10">
        <v>0</v>
      </c>
      <c r="O2951" s="10">
        <v>0.34799999999999998</v>
      </c>
      <c r="P2951" s="10" t="str">
        <f t="shared" si="2858"/>
        <v>NA</v>
      </c>
      <c r="Q2951" s="10" t="str">
        <f t="shared" si="2859"/>
        <v>NA</v>
      </c>
      <c r="R2951" s="10" t="s">
        <v>1575</v>
      </c>
      <c r="S2951" s="10" t="s">
        <v>1575</v>
      </c>
      <c r="T2951" s="10" t="s">
        <v>1575</v>
      </c>
      <c r="U2951" s="10" t="s">
        <v>1575</v>
      </c>
      <c r="V2951" s="10" t="s">
        <v>1575</v>
      </c>
      <c r="W2951" s="10" t="s">
        <v>1575</v>
      </c>
      <c r="X2951" s="10" t="str">
        <f t="shared" ref="X2951:X3014" si="2862">IFERROR(V2951+W2951,"NA")</f>
        <v>NA</v>
      </c>
      <c r="Y2951" s="10" t="str">
        <f t="shared" ref="Y2951:Y3014" si="2863">IFERROR(P2951/R2951,"NA")</f>
        <v>NA</v>
      </c>
      <c r="Z2951" s="10" t="str">
        <f t="shared" ref="Z2951:Z3014" si="2864">IFERROR(P2951/U2951,"NA")</f>
        <v>NA</v>
      </c>
      <c r="AA2951" s="10" t="str">
        <f t="shared" ref="AA2951:AA3014" si="2865">IFERROR(P2951/V2951,"NA")</f>
        <v>NA</v>
      </c>
      <c r="AB2951" s="10" t="str">
        <f t="shared" ref="AB2951:AB3014" si="2866">IFERROR(Q2951/R2951,"NA")</f>
        <v>NA</v>
      </c>
      <c r="AC2951" s="10" t="str">
        <f t="shared" ref="AC2951:AC3014" si="2867">IFERROR(Q2951/S2951,"NA")</f>
        <v>NA</v>
      </c>
      <c r="AD2951" s="10" t="str">
        <f t="shared" ref="AD2951:AD3014" si="2868">IFERROR(Q2951/T2951,"NA")</f>
        <v>NA</v>
      </c>
      <c r="AE2951" s="10" t="str">
        <f t="shared" ref="AE2951:AE3014" si="2869">IFERROR(Q2951/X2951,"NA")</f>
        <v>NA</v>
      </c>
      <c r="AF2951" s="1" t="s">
        <v>2758</v>
      </c>
    </row>
    <row r="2952" spans="1:32" x14ac:dyDescent="0.2">
      <c r="A2952" s="1" t="s">
        <v>6705</v>
      </c>
      <c r="B2952" s="1" t="s">
        <v>5</v>
      </c>
      <c r="C2952" s="1" t="s">
        <v>1575</v>
      </c>
      <c r="D2952" s="1" t="s">
        <v>2160</v>
      </c>
      <c r="E2952" s="1" t="s">
        <v>5352</v>
      </c>
      <c r="F2952" s="1" t="s">
        <v>2753</v>
      </c>
      <c r="G2952" s="4" t="s">
        <v>11</v>
      </c>
      <c r="H2952" s="28">
        <v>41242</v>
      </c>
      <c r="I2952" s="29">
        <f t="shared" si="2829"/>
        <v>2012</v>
      </c>
      <c r="J2952" s="1" t="s">
        <v>2751</v>
      </c>
      <c r="K2952" s="1" t="s">
        <v>7</v>
      </c>
      <c r="L2952" s="11" t="str">
        <f t="shared" si="2860"/>
        <v>НЕТ</v>
      </c>
      <c r="M2952" s="10">
        <v>0</v>
      </c>
      <c r="N2952" s="10">
        <v>0</v>
      </c>
      <c r="O2952" s="10">
        <v>0.46500000000000002</v>
      </c>
      <c r="P2952" s="10" t="str">
        <f t="shared" si="2858"/>
        <v>NA</v>
      </c>
      <c r="Q2952" s="10" t="str">
        <f t="shared" si="2859"/>
        <v>NA</v>
      </c>
      <c r="R2952" s="10" t="s">
        <v>1575</v>
      </c>
      <c r="S2952" s="10" t="s">
        <v>1575</v>
      </c>
      <c r="T2952" s="10" t="s">
        <v>1575</v>
      </c>
      <c r="U2952" s="10" t="s">
        <v>1575</v>
      </c>
      <c r="V2952" s="10" t="s">
        <v>1575</v>
      </c>
      <c r="W2952" s="10" t="s">
        <v>1575</v>
      </c>
      <c r="X2952" s="10" t="str">
        <f t="shared" si="2862"/>
        <v>NA</v>
      </c>
      <c r="Y2952" s="10" t="str">
        <f t="shared" si="2863"/>
        <v>NA</v>
      </c>
      <c r="Z2952" s="10" t="str">
        <f t="shared" si="2864"/>
        <v>NA</v>
      </c>
      <c r="AA2952" s="10" t="str">
        <f t="shared" si="2865"/>
        <v>NA</v>
      </c>
      <c r="AB2952" s="10" t="str">
        <f t="shared" si="2866"/>
        <v>NA</v>
      </c>
      <c r="AC2952" s="10" t="str">
        <f t="shared" si="2867"/>
        <v>NA</v>
      </c>
      <c r="AD2952" s="10" t="str">
        <f t="shared" si="2868"/>
        <v>NA</v>
      </c>
      <c r="AE2952" s="10" t="str">
        <f t="shared" si="2869"/>
        <v>NA</v>
      </c>
      <c r="AF2952" s="1" t="s">
        <v>2760</v>
      </c>
    </row>
    <row r="2953" spans="1:32" x14ac:dyDescent="0.2">
      <c r="A2953" s="1" t="s">
        <v>2763</v>
      </c>
      <c r="B2953" s="1" t="s">
        <v>99</v>
      </c>
      <c r="C2953" s="1" t="s">
        <v>1575</v>
      </c>
      <c r="D2953" s="1" t="s">
        <v>2160</v>
      </c>
      <c r="E2953" s="1" t="s">
        <v>2762</v>
      </c>
      <c r="F2953" s="1" t="s">
        <v>2764</v>
      </c>
      <c r="G2953" s="4">
        <v>0.52100000000000002</v>
      </c>
      <c r="H2953" s="28">
        <v>40543</v>
      </c>
      <c r="I2953" s="29">
        <f t="shared" si="2829"/>
        <v>2010</v>
      </c>
      <c r="J2953" s="1" t="s">
        <v>2751</v>
      </c>
      <c r="K2953" s="1" t="s">
        <v>7</v>
      </c>
      <c r="L2953" s="11" t="str">
        <f t="shared" ref="L2953" si="2870">IF(OR(A2953=J2953,A2953=K2953),"ДА","НЕТ")</f>
        <v>НЕТ</v>
      </c>
      <c r="M2953" s="10">
        <v>0</v>
      </c>
      <c r="N2953" s="10">
        <v>0</v>
      </c>
      <c r="O2953" s="10">
        <v>0.36</v>
      </c>
      <c r="P2953" s="10">
        <f t="shared" si="2858"/>
        <v>0.69097888675623798</v>
      </c>
      <c r="Q2953" s="10" t="str">
        <f t="shared" si="2859"/>
        <v>NA</v>
      </c>
      <c r="R2953" s="10">
        <v>0.63600000000000001</v>
      </c>
      <c r="S2953" s="10" t="s">
        <v>1575</v>
      </c>
      <c r="T2953" s="10" t="s">
        <v>1575</v>
      </c>
      <c r="U2953" s="10">
        <v>-6.6000000000000003E-2</v>
      </c>
      <c r="V2953" s="10" t="s">
        <v>1575</v>
      </c>
      <c r="W2953" s="10" t="s">
        <v>1575</v>
      </c>
      <c r="X2953" s="10" t="str">
        <f t="shared" si="2862"/>
        <v>NA</v>
      </c>
      <c r="Y2953" s="10">
        <f t="shared" si="2863"/>
        <v>1.0864447904972294</v>
      </c>
      <c r="Z2953" s="10">
        <f t="shared" si="2864"/>
        <v>-10.469377072064212</v>
      </c>
      <c r="AA2953" s="10" t="str">
        <f t="shared" si="2865"/>
        <v>NA</v>
      </c>
      <c r="AB2953" s="10" t="str">
        <f t="shared" si="2866"/>
        <v>NA</v>
      </c>
      <c r="AC2953" s="10" t="str">
        <f t="shared" si="2867"/>
        <v>NA</v>
      </c>
      <c r="AD2953" s="10" t="str">
        <f t="shared" si="2868"/>
        <v>NA</v>
      </c>
      <c r="AE2953" s="10" t="str">
        <f t="shared" si="2869"/>
        <v>NA</v>
      </c>
      <c r="AF2953" s="1" t="s">
        <v>2765</v>
      </c>
    </row>
    <row r="2954" spans="1:32" x14ac:dyDescent="0.2">
      <c r="A2954" s="1" t="s">
        <v>6706</v>
      </c>
      <c r="B2954" s="1" t="s">
        <v>5</v>
      </c>
      <c r="C2954" s="1" t="s">
        <v>1575</v>
      </c>
      <c r="D2954" s="1" t="s">
        <v>1584</v>
      </c>
      <c r="E2954" s="1" t="s">
        <v>1586</v>
      </c>
      <c r="F2954" s="1" t="s">
        <v>66</v>
      </c>
      <c r="G2954" s="4">
        <v>1</v>
      </c>
      <c r="H2954" s="28">
        <v>44377</v>
      </c>
      <c r="I2954" s="29">
        <f t="shared" si="2829"/>
        <v>2021</v>
      </c>
      <c r="J2954" s="1" t="s">
        <v>2774</v>
      </c>
      <c r="K2954" s="1" t="s">
        <v>7</v>
      </c>
      <c r="L2954" s="11" t="str">
        <f t="shared" ref="L2954" si="2871">IF(OR(A2954=J2954,A2954=K2954),"ДА","НЕТ")</f>
        <v>НЕТ</v>
      </c>
      <c r="M2954" s="10">
        <v>0</v>
      </c>
      <c r="N2954" s="10">
        <v>0</v>
      </c>
      <c r="O2954" s="10">
        <v>0.66</v>
      </c>
      <c r="P2954" s="10">
        <f t="shared" si="2858"/>
        <v>0.66</v>
      </c>
      <c r="Q2954" s="10" t="str">
        <f t="shared" si="2859"/>
        <v>NA</v>
      </c>
      <c r="R2954" s="10" t="s">
        <v>1575</v>
      </c>
      <c r="S2954" s="10" t="s">
        <v>1575</v>
      </c>
      <c r="T2954" s="10" t="s">
        <v>1575</v>
      </c>
      <c r="U2954" s="10" t="s">
        <v>1575</v>
      </c>
      <c r="V2954" s="10">
        <v>0.42899999999999999</v>
      </c>
      <c r="W2954" s="10" t="s">
        <v>1575</v>
      </c>
      <c r="X2954" s="10" t="str">
        <f t="shared" si="2862"/>
        <v>NA</v>
      </c>
      <c r="Y2954" s="10" t="str">
        <f t="shared" si="2863"/>
        <v>NA</v>
      </c>
      <c r="Z2954" s="10" t="str">
        <f t="shared" si="2864"/>
        <v>NA</v>
      </c>
      <c r="AA2954" s="10">
        <f t="shared" si="2865"/>
        <v>1.5384615384615385</v>
      </c>
      <c r="AB2954" s="10" t="str">
        <f t="shared" si="2866"/>
        <v>NA</v>
      </c>
      <c r="AC2954" s="10" t="str">
        <f t="shared" si="2867"/>
        <v>NA</v>
      </c>
      <c r="AD2954" s="10" t="str">
        <f t="shared" si="2868"/>
        <v>NA</v>
      </c>
      <c r="AE2954" s="10" t="str">
        <f t="shared" si="2869"/>
        <v>NA</v>
      </c>
      <c r="AF2954" s="1" t="s">
        <v>2775</v>
      </c>
    </row>
    <row r="2955" spans="1:32" x14ac:dyDescent="0.2">
      <c r="A2955" s="1" t="s">
        <v>6707</v>
      </c>
      <c r="B2955" s="1" t="s">
        <v>5</v>
      </c>
      <c r="C2955" s="1" t="s">
        <v>1575</v>
      </c>
      <c r="D2955" s="1" t="s">
        <v>2160</v>
      </c>
      <c r="E2955" s="1" t="s">
        <v>2838</v>
      </c>
      <c r="F2955" s="1" t="s">
        <v>2776</v>
      </c>
      <c r="G2955" s="4">
        <f>79.36%-78.95%</f>
        <v>4.0999999999999925E-3</v>
      </c>
      <c r="H2955" s="28">
        <v>43738</v>
      </c>
      <c r="I2955" s="29">
        <f t="shared" si="2829"/>
        <v>2019</v>
      </c>
      <c r="J2955" s="1" t="s">
        <v>2774</v>
      </c>
      <c r="K2955" s="1" t="s">
        <v>7</v>
      </c>
      <c r="L2955" s="11" t="str">
        <f t="shared" ref="L2955" si="2872">IF(OR(A2955=J2955,A2955=K2955),"ДА","НЕТ")</f>
        <v>НЕТ</v>
      </c>
      <c r="M2955" s="10">
        <v>0</v>
      </c>
      <c r="N2955" s="10">
        <v>0</v>
      </c>
      <c r="O2955" s="10" t="s">
        <v>1575</v>
      </c>
      <c r="P2955" s="10" t="str">
        <f t="shared" si="2858"/>
        <v>NA</v>
      </c>
      <c r="Q2955" s="10" t="str">
        <f t="shared" si="2859"/>
        <v>NA</v>
      </c>
      <c r="R2955" s="10">
        <v>3.0019999999999998</v>
      </c>
      <c r="S2955" s="10" t="s">
        <v>1575</v>
      </c>
      <c r="T2955" s="10">
        <f>3.002-2.509-0.273</f>
        <v>0.21999999999999986</v>
      </c>
      <c r="U2955" s="10">
        <v>0.14199999999999999</v>
      </c>
      <c r="V2955" s="10">
        <v>1.19</v>
      </c>
      <c r="W2955" s="10" t="s">
        <v>1575</v>
      </c>
      <c r="X2955" s="10" t="str">
        <f t="shared" si="2862"/>
        <v>NA</v>
      </c>
      <c r="Y2955" s="10" t="str">
        <f t="shared" si="2863"/>
        <v>NA</v>
      </c>
      <c r="Z2955" s="10" t="str">
        <f t="shared" si="2864"/>
        <v>NA</v>
      </c>
      <c r="AA2955" s="10" t="str">
        <f t="shared" si="2865"/>
        <v>NA</v>
      </c>
      <c r="AB2955" s="10" t="str">
        <f t="shared" si="2866"/>
        <v>NA</v>
      </c>
      <c r="AC2955" s="10" t="str">
        <f t="shared" si="2867"/>
        <v>NA</v>
      </c>
      <c r="AD2955" s="10" t="str">
        <f t="shared" si="2868"/>
        <v>NA</v>
      </c>
      <c r="AE2955" s="10" t="str">
        <f t="shared" si="2869"/>
        <v>NA</v>
      </c>
      <c r="AF2955" s="1" t="s">
        <v>2777</v>
      </c>
    </row>
    <row r="2956" spans="1:32" x14ac:dyDescent="0.2">
      <c r="A2956" s="1" t="s">
        <v>6707</v>
      </c>
      <c r="B2956" s="1" t="s">
        <v>5</v>
      </c>
      <c r="C2956" s="1" t="s">
        <v>1575</v>
      </c>
      <c r="D2956" s="1" t="s">
        <v>2160</v>
      </c>
      <c r="E2956" s="1" t="s">
        <v>2838</v>
      </c>
      <c r="F2956" s="1" t="s">
        <v>2776</v>
      </c>
      <c r="G2956" s="4">
        <f>78.95%-67.87%</f>
        <v>0.1107999999999999</v>
      </c>
      <c r="H2956" s="28">
        <v>43251</v>
      </c>
      <c r="I2956" s="29">
        <f t="shared" si="2829"/>
        <v>2018</v>
      </c>
      <c r="J2956" s="1" t="s">
        <v>2774</v>
      </c>
      <c r="K2956" s="1" t="s">
        <v>7</v>
      </c>
      <c r="L2956" s="11" t="str">
        <f t="shared" ref="L2956" si="2873">IF(OR(A2956=J2956,A2956=K2956),"ДА","НЕТ")</f>
        <v>НЕТ</v>
      </c>
      <c r="M2956" s="10">
        <v>0</v>
      </c>
      <c r="N2956" s="10">
        <v>0</v>
      </c>
      <c r="O2956" s="10" t="s">
        <v>1575</v>
      </c>
      <c r="P2956" s="10" t="str">
        <f t="shared" si="2858"/>
        <v>NA</v>
      </c>
      <c r="Q2956" s="10" t="str">
        <f t="shared" si="2859"/>
        <v>NA</v>
      </c>
      <c r="R2956" s="10">
        <v>3.1640000000000001</v>
      </c>
      <c r="S2956" s="10" t="s">
        <v>1575</v>
      </c>
      <c r="T2956" s="10">
        <f>3.164-2.619-0.327</f>
        <v>0.21799999999999992</v>
      </c>
      <c r="U2956" s="10">
        <v>0.25600000000000001</v>
      </c>
      <c r="V2956" s="10">
        <v>1.085</v>
      </c>
      <c r="W2956" s="10" t="s">
        <v>1575</v>
      </c>
      <c r="X2956" s="10" t="str">
        <f t="shared" si="2862"/>
        <v>NA</v>
      </c>
      <c r="Y2956" s="10" t="str">
        <f t="shared" si="2863"/>
        <v>NA</v>
      </c>
      <c r="Z2956" s="10" t="str">
        <f t="shared" si="2864"/>
        <v>NA</v>
      </c>
      <c r="AA2956" s="10" t="str">
        <f t="shared" si="2865"/>
        <v>NA</v>
      </c>
      <c r="AB2956" s="10" t="str">
        <f t="shared" si="2866"/>
        <v>NA</v>
      </c>
      <c r="AC2956" s="10" t="str">
        <f t="shared" si="2867"/>
        <v>NA</v>
      </c>
      <c r="AD2956" s="10" t="str">
        <f t="shared" si="2868"/>
        <v>NA</v>
      </c>
      <c r="AE2956" s="10" t="str">
        <f t="shared" si="2869"/>
        <v>NA</v>
      </c>
      <c r="AF2956" s="1" t="s">
        <v>2778</v>
      </c>
    </row>
    <row r="2957" spans="1:32" x14ac:dyDescent="0.2">
      <c r="A2957" s="1" t="s">
        <v>6708</v>
      </c>
      <c r="B2957" s="1" t="s">
        <v>5</v>
      </c>
      <c r="C2957" s="1" t="s">
        <v>1575</v>
      </c>
      <c r="D2957" s="1" t="s">
        <v>2160</v>
      </c>
      <c r="E2957" s="1" t="s">
        <v>1750</v>
      </c>
      <c r="F2957" s="1" t="s">
        <v>2780</v>
      </c>
      <c r="G2957" s="4">
        <v>0.49</v>
      </c>
      <c r="H2957" s="28">
        <v>43130</v>
      </c>
      <c r="I2957" s="29">
        <f t="shared" ref="I2957:I3226" si="2874">YEAR(H2957)</f>
        <v>2018</v>
      </c>
      <c r="J2957" s="1" t="s">
        <v>2774</v>
      </c>
      <c r="K2957" s="1" t="s">
        <v>7</v>
      </c>
      <c r="L2957" s="11" t="str">
        <f t="shared" ref="L2957:L2958" si="2875">IF(OR(A2957=J2957,A2957=K2957),"ДА","НЕТ")</f>
        <v>НЕТ</v>
      </c>
      <c r="M2957" s="10">
        <v>0</v>
      </c>
      <c r="N2957" s="10">
        <v>0</v>
      </c>
      <c r="O2957" s="10">
        <v>0</v>
      </c>
      <c r="P2957" s="10">
        <f t="shared" si="2858"/>
        <v>0</v>
      </c>
      <c r="Q2957" s="10">
        <f t="shared" si="2859"/>
        <v>7.6779999999999999</v>
      </c>
      <c r="R2957" s="10" t="s">
        <v>1575</v>
      </c>
      <c r="S2957" s="10" t="s">
        <v>1575</v>
      </c>
      <c r="T2957" s="10" t="s">
        <v>1575</v>
      </c>
      <c r="U2957" s="10" t="s">
        <v>1575</v>
      </c>
      <c r="V2957" s="10">
        <v>-6.8819999999999997</v>
      </c>
      <c r="W2957" s="10">
        <f>6.741+1.139-0.202</f>
        <v>7.6779999999999999</v>
      </c>
      <c r="X2957" s="10">
        <f t="shared" si="2862"/>
        <v>0.79600000000000026</v>
      </c>
      <c r="Y2957" s="10" t="str">
        <f t="shared" si="2863"/>
        <v>NA</v>
      </c>
      <c r="Z2957" s="10" t="str">
        <f t="shared" si="2864"/>
        <v>NA</v>
      </c>
      <c r="AA2957" s="10">
        <f t="shared" si="2865"/>
        <v>0</v>
      </c>
      <c r="AB2957" s="10" t="str">
        <f t="shared" si="2866"/>
        <v>NA</v>
      </c>
      <c r="AC2957" s="10" t="str">
        <f t="shared" si="2867"/>
        <v>NA</v>
      </c>
      <c r="AD2957" s="10" t="str">
        <f t="shared" si="2868"/>
        <v>NA</v>
      </c>
      <c r="AE2957" s="10">
        <f t="shared" si="2869"/>
        <v>9.6457286432160778</v>
      </c>
      <c r="AF2957" s="1" t="s">
        <v>2779</v>
      </c>
    </row>
    <row r="2958" spans="1:32" x14ac:dyDescent="0.2">
      <c r="A2958" s="1" t="s">
        <v>6707</v>
      </c>
      <c r="B2958" s="1" t="s">
        <v>5</v>
      </c>
      <c r="C2958" s="1" t="s">
        <v>1575</v>
      </c>
      <c r="D2958" s="1" t="s">
        <v>2160</v>
      </c>
      <c r="E2958" s="1" t="s">
        <v>2838</v>
      </c>
      <c r="F2958" s="1" t="s">
        <v>2776</v>
      </c>
      <c r="G2958" s="4">
        <v>0.31780000000000003</v>
      </c>
      <c r="H2958" s="28">
        <v>42643</v>
      </c>
      <c r="I2958" s="29">
        <f t="shared" si="2874"/>
        <v>2016</v>
      </c>
      <c r="J2958" s="1" t="s">
        <v>2774</v>
      </c>
      <c r="K2958" s="1" t="s">
        <v>7</v>
      </c>
      <c r="L2958" s="11" t="str">
        <f t="shared" si="2875"/>
        <v>НЕТ</v>
      </c>
      <c r="M2958" s="10">
        <v>0</v>
      </c>
      <c r="N2958" s="10">
        <v>0</v>
      </c>
      <c r="O2958" s="10">
        <v>0.372</v>
      </c>
      <c r="P2958" s="10">
        <f t="shared" si="2858"/>
        <v>1.1705475141598489</v>
      </c>
      <c r="Q2958" s="10">
        <f t="shared" si="2859"/>
        <v>1.4365475141598489</v>
      </c>
      <c r="R2958" s="10" t="s">
        <v>1575</v>
      </c>
      <c r="S2958" s="10" t="s">
        <v>1575</v>
      </c>
      <c r="T2958" s="10" t="s">
        <v>1575</v>
      </c>
      <c r="U2958" s="10" t="s">
        <v>1575</v>
      </c>
      <c r="V2958" s="10">
        <v>0.90500000000000003</v>
      </c>
      <c r="W2958" s="10">
        <f>0.328-0.062</f>
        <v>0.26600000000000001</v>
      </c>
      <c r="X2958" s="10">
        <f t="shared" si="2862"/>
        <v>1.171</v>
      </c>
      <c r="Y2958" s="10" t="str">
        <f t="shared" si="2863"/>
        <v>NA</v>
      </c>
      <c r="Z2958" s="10" t="str">
        <f t="shared" si="2864"/>
        <v>NA</v>
      </c>
      <c r="AA2958" s="10">
        <f t="shared" si="2865"/>
        <v>1.2934226675799436</v>
      </c>
      <c r="AB2958" s="10" t="str">
        <f t="shared" si="2866"/>
        <v>NA</v>
      </c>
      <c r="AC2958" s="10" t="str">
        <f t="shared" si="2867"/>
        <v>NA</v>
      </c>
      <c r="AD2958" s="10" t="str">
        <f t="shared" si="2868"/>
        <v>NA</v>
      </c>
      <c r="AE2958" s="10">
        <f t="shared" si="2869"/>
        <v>1.2267698669170357</v>
      </c>
      <c r="AF2958" s="1" t="s">
        <v>2781</v>
      </c>
    </row>
    <row r="2959" spans="1:32" x14ac:dyDescent="0.2">
      <c r="A2959" s="1" t="s">
        <v>2783</v>
      </c>
      <c r="B2959" s="1" t="s">
        <v>21</v>
      </c>
      <c r="C2959" s="1" t="s">
        <v>1575</v>
      </c>
      <c r="D2959" s="1" t="s">
        <v>1578</v>
      </c>
      <c r="E2959" s="16" t="s">
        <v>9256</v>
      </c>
      <c r="F2959" s="1" t="s">
        <v>2784</v>
      </c>
      <c r="G2959" s="4" t="s">
        <v>11</v>
      </c>
      <c r="H2959" s="28">
        <v>42155</v>
      </c>
      <c r="I2959" s="29">
        <f t="shared" si="2874"/>
        <v>2015</v>
      </c>
      <c r="J2959" s="1" t="s">
        <v>7</v>
      </c>
      <c r="K2959" s="1" t="s">
        <v>2774</v>
      </c>
      <c r="L2959" s="11" t="str">
        <f t="shared" ref="L2959" si="2876">IF(OR(A2959=J2959,A2959=K2959),"ДА","НЕТ")</f>
        <v>НЕТ</v>
      </c>
      <c r="M2959" s="10">
        <v>0</v>
      </c>
      <c r="N2959" s="10">
        <v>0</v>
      </c>
      <c r="O2959" s="10" t="s">
        <v>1575</v>
      </c>
      <c r="P2959" s="10" t="str">
        <f t="shared" si="2858"/>
        <v>NA</v>
      </c>
      <c r="Q2959" s="10" t="str">
        <f t="shared" si="2859"/>
        <v>NA</v>
      </c>
      <c r="R2959" s="10" t="s">
        <v>1575</v>
      </c>
      <c r="S2959" s="10" t="s">
        <v>1575</v>
      </c>
      <c r="T2959" s="10" t="s">
        <v>1575</v>
      </c>
      <c r="U2959" s="10" t="s">
        <v>1575</v>
      </c>
      <c r="V2959" s="10" t="s">
        <v>1575</v>
      </c>
      <c r="W2959" s="10" t="s">
        <v>1575</v>
      </c>
      <c r="X2959" s="10" t="str">
        <f t="shared" si="2862"/>
        <v>NA</v>
      </c>
      <c r="Y2959" s="10" t="str">
        <f t="shared" si="2863"/>
        <v>NA</v>
      </c>
      <c r="Z2959" s="10" t="str">
        <f t="shared" si="2864"/>
        <v>NA</v>
      </c>
      <c r="AA2959" s="10" t="str">
        <f t="shared" si="2865"/>
        <v>NA</v>
      </c>
      <c r="AB2959" s="10" t="str">
        <f t="shared" si="2866"/>
        <v>NA</v>
      </c>
      <c r="AC2959" s="10" t="str">
        <f t="shared" si="2867"/>
        <v>NA</v>
      </c>
      <c r="AD2959" s="10" t="str">
        <f t="shared" si="2868"/>
        <v>NA</v>
      </c>
      <c r="AE2959" s="10" t="str">
        <f t="shared" si="2869"/>
        <v>NA</v>
      </c>
      <c r="AF2959" s="1" t="s">
        <v>2785</v>
      </c>
    </row>
    <row r="2960" spans="1:32" x14ac:dyDescent="0.2">
      <c r="A2960" s="1" t="s">
        <v>6707</v>
      </c>
      <c r="B2960" s="1" t="s">
        <v>5</v>
      </c>
      <c r="C2960" s="1" t="s">
        <v>1575</v>
      </c>
      <c r="D2960" s="1" t="s">
        <v>2160</v>
      </c>
      <c r="E2960" s="1" t="s">
        <v>2838</v>
      </c>
      <c r="F2960" s="1" t="s">
        <v>2776</v>
      </c>
      <c r="G2960" s="4">
        <v>0.18870000000000001</v>
      </c>
      <c r="H2960" s="28">
        <v>42338</v>
      </c>
      <c r="I2960" s="29">
        <f t="shared" si="2874"/>
        <v>2015</v>
      </c>
      <c r="J2960" s="1" t="s">
        <v>2774</v>
      </c>
      <c r="K2960" s="1" t="s">
        <v>7</v>
      </c>
      <c r="L2960" s="11" t="str">
        <f t="shared" ref="L2960" si="2877">IF(OR(A2960=J2960,A2960=K2960),"ДА","НЕТ")</f>
        <v>НЕТ</v>
      </c>
      <c r="M2960" s="10">
        <v>0</v>
      </c>
      <c r="N2960" s="10">
        <v>0</v>
      </c>
      <c r="O2960" s="10" t="s">
        <v>1575</v>
      </c>
      <c r="P2960" s="10" t="str">
        <f t="shared" si="2858"/>
        <v>NA</v>
      </c>
      <c r="Q2960" s="10" t="str">
        <f t="shared" si="2859"/>
        <v>NA</v>
      </c>
      <c r="R2960" s="10" t="s">
        <v>1575</v>
      </c>
      <c r="S2960" s="10" t="s">
        <v>1575</v>
      </c>
      <c r="T2960" s="10" t="s">
        <v>1575</v>
      </c>
      <c r="U2960" s="10" t="s">
        <v>1575</v>
      </c>
      <c r="V2960" s="10" t="s">
        <v>1575</v>
      </c>
      <c r="W2960" s="10" t="s">
        <v>1575</v>
      </c>
      <c r="X2960" s="10" t="str">
        <f t="shared" si="2862"/>
        <v>NA</v>
      </c>
      <c r="Y2960" s="10" t="str">
        <f t="shared" si="2863"/>
        <v>NA</v>
      </c>
      <c r="Z2960" s="10" t="str">
        <f t="shared" si="2864"/>
        <v>NA</v>
      </c>
      <c r="AA2960" s="10" t="str">
        <f t="shared" si="2865"/>
        <v>NA</v>
      </c>
      <c r="AB2960" s="10" t="str">
        <f t="shared" si="2866"/>
        <v>NA</v>
      </c>
      <c r="AC2960" s="10" t="str">
        <f t="shared" si="2867"/>
        <v>NA</v>
      </c>
      <c r="AD2960" s="10" t="str">
        <f t="shared" si="2868"/>
        <v>NA</v>
      </c>
      <c r="AE2960" s="10" t="str">
        <f t="shared" si="2869"/>
        <v>NA</v>
      </c>
      <c r="AF2960" s="1" t="s">
        <v>2782</v>
      </c>
    </row>
    <row r="2961" spans="1:32" x14ac:dyDescent="0.2">
      <c r="A2961" s="1" t="s">
        <v>6709</v>
      </c>
      <c r="B2961" s="1" t="s">
        <v>5</v>
      </c>
      <c r="C2961" s="1" t="s">
        <v>1575</v>
      </c>
      <c r="D2961" s="1" t="s">
        <v>2160</v>
      </c>
      <c r="E2961" s="1" t="s">
        <v>1750</v>
      </c>
      <c r="F2961" s="1" t="s">
        <v>2787</v>
      </c>
      <c r="G2961" s="4">
        <v>0.34599999999999997</v>
      </c>
      <c r="H2961" s="28">
        <v>41851</v>
      </c>
      <c r="I2961" s="29">
        <f t="shared" si="2874"/>
        <v>2014</v>
      </c>
      <c r="J2961" s="1" t="s">
        <v>2774</v>
      </c>
      <c r="K2961" s="1" t="s">
        <v>7</v>
      </c>
      <c r="L2961" s="11" t="str">
        <f t="shared" ref="L2961:L2963" si="2878">IF(OR(A2961=J2961,A2961=K2961),"ДА","НЕТ")</f>
        <v>НЕТ</v>
      </c>
      <c r="M2961" s="10">
        <v>0</v>
      </c>
      <c r="N2961" s="10">
        <v>0</v>
      </c>
      <c r="O2961" s="10" t="s">
        <v>1575</v>
      </c>
      <c r="P2961" s="10" t="str">
        <f t="shared" si="2858"/>
        <v>NA</v>
      </c>
      <c r="Q2961" s="10" t="str">
        <f t="shared" si="2859"/>
        <v>NA</v>
      </c>
      <c r="R2961" s="10" t="s">
        <v>1575</v>
      </c>
      <c r="S2961" s="10" t="s">
        <v>1575</v>
      </c>
      <c r="T2961" s="10" t="s">
        <v>1575</v>
      </c>
      <c r="U2961" s="10" t="s">
        <v>1575</v>
      </c>
      <c r="V2961" s="10" t="s">
        <v>1575</v>
      </c>
      <c r="W2961" s="10" t="s">
        <v>1575</v>
      </c>
      <c r="X2961" s="10" t="str">
        <f t="shared" si="2862"/>
        <v>NA</v>
      </c>
      <c r="Y2961" s="10" t="str">
        <f t="shared" si="2863"/>
        <v>NA</v>
      </c>
      <c r="Z2961" s="10" t="str">
        <f t="shared" si="2864"/>
        <v>NA</v>
      </c>
      <c r="AA2961" s="10" t="str">
        <f t="shared" si="2865"/>
        <v>NA</v>
      </c>
      <c r="AB2961" s="10" t="str">
        <f t="shared" si="2866"/>
        <v>NA</v>
      </c>
      <c r="AC2961" s="10" t="str">
        <f t="shared" si="2867"/>
        <v>NA</v>
      </c>
      <c r="AD2961" s="10" t="str">
        <f t="shared" si="2868"/>
        <v>NA</v>
      </c>
      <c r="AE2961" s="10" t="str">
        <f t="shared" si="2869"/>
        <v>NA</v>
      </c>
      <c r="AF2961" s="1" t="s">
        <v>2786</v>
      </c>
    </row>
    <row r="2962" spans="1:32" x14ac:dyDescent="0.2">
      <c r="A2962" s="1" t="s">
        <v>2783</v>
      </c>
      <c r="B2962" s="1" t="s">
        <v>91</v>
      </c>
      <c r="C2962" s="1" t="s">
        <v>1575</v>
      </c>
      <c r="D2962" s="1" t="s">
        <v>1578</v>
      </c>
      <c r="E2962" s="16" t="s">
        <v>9256</v>
      </c>
      <c r="F2962" s="1" t="s">
        <v>2784</v>
      </c>
      <c r="G2962" s="4" t="s">
        <v>11</v>
      </c>
      <c r="H2962" s="28">
        <v>41729</v>
      </c>
      <c r="I2962" s="29">
        <f t="shared" si="2874"/>
        <v>2014</v>
      </c>
      <c r="J2962" s="1" t="s">
        <v>7</v>
      </c>
      <c r="K2962" s="1" t="s">
        <v>2774</v>
      </c>
      <c r="L2962" s="11" t="str">
        <f t="shared" si="2878"/>
        <v>НЕТ</v>
      </c>
      <c r="M2962" s="10">
        <v>0</v>
      </c>
      <c r="N2962" s="10">
        <v>0</v>
      </c>
      <c r="O2962" s="10" t="s">
        <v>1575</v>
      </c>
      <c r="P2962" s="10" t="str">
        <f t="shared" si="2858"/>
        <v>NA</v>
      </c>
      <c r="Q2962" s="10" t="str">
        <f t="shared" si="2859"/>
        <v>NA</v>
      </c>
      <c r="R2962" s="10" t="s">
        <v>1575</v>
      </c>
      <c r="S2962" s="10" t="s">
        <v>1575</v>
      </c>
      <c r="T2962" s="10" t="s">
        <v>1575</v>
      </c>
      <c r="U2962" s="10" t="s">
        <v>1575</v>
      </c>
      <c r="V2962" s="10" t="s">
        <v>1575</v>
      </c>
      <c r="W2962" s="10" t="s">
        <v>1575</v>
      </c>
      <c r="X2962" s="10" t="str">
        <f t="shared" si="2862"/>
        <v>NA</v>
      </c>
      <c r="Y2962" s="10" t="str">
        <f t="shared" si="2863"/>
        <v>NA</v>
      </c>
      <c r="Z2962" s="10" t="str">
        <f t="shared" si="2864"/>
        <v>NA</v>
      </c>
      <c r="AA2962" s="10" t="str">
        <f t="shared" si="2865"/>
        <v>NA</v>
      </c>
      <c r="AB2962" s="10" t="str">
        <f t="shared" si="2866"/>
        <v>NA</v>
      </c>
      <c r="AC2962" s="10" t="str">
        <f t="shared" si="2867"/>
        <v>NA</v>
      </c>
      <c r="AD2962" s="10" t="str">
        <f t="shared" si="2868"/>
        <v>NA</v>
      </c>
      <c r="AE2962" s="10" t="str">
        <f t="shared" si="2869"/>
        <v>NA</v>
      </c>
      <c r="AF2962" s="1" t="s">
        <v>2788</v>
      </c>
    </row>
    <row r="2963" spans="1:32" x14ac:dyDescent="0.2">
      <c r="A2963" s="1" t="s">
        <v>2791</v>
      </c>
      <c r="B2963" s="1" t="s">
        <v>5</v>
      </c>
      <c r="C2963" s="1" t="s">
        <v>1575</v>
      </c>
      <c r="D2963" s="1" t="s">
        <v>1615</v>
      </c>
      <c r="E2963" s="1" t="s">
        <v>2172</v>
      </c>
      <c r="F2963" s="1" t="s">
        <v>2790</v>
      </c>
      <c r="G2963" s="4" t="s">
        <v>11</v>
      </c>
      <c r="H2963" s="28">
        <v>41729</v>
      </c>
      <c r="I2963" s="29">
        <f t="shared" si="2874"/>
        <v>2014</v>
      </c>
      <c r="J2963" s="1" t="s">
        <v>7</v>
      </c>
      <c r="K2963" s="1" t="s">
        <v>2774</v>
      </c>
      <c r="L2963" s="11" t="str">
        <f t="shared" si="2878"/>
        <v>НЕТ</v>
      </c>
      <c r="M2963" s="10">
        <v>0</v>
      </c>
      <c r="N2963" s="10">
        <v>0</v>
      </c>
      <c r="O2963" s="10" t="s">
        <v>1575</v>
      </c>
      <c r="P2963" s="10" t="str">
        <f t="shared" si="2858"/>
        <v>NA</v>
      </c>
      <c r="Q2963" s="10" t="str">
        <f t="shared" si="2859"/>
        <v>NA</v>
      </c>
      <c r="R2963" s="10" t="s">
        <v>1575</v>
      </c>
      <c r="S2963" s="10" t="s">
        <v>1575</v>
      </c>
      <c r="T2963" s="10" t="s">
        <v>1575</v>
      </c>
      <c r="U2963" s="10" t="s">
        <v>1575</v>
      </c>
      <c r="V2963" s="10" t="s">
        <v>1575</v>
      </c>
      <c r="W2963" s="10" t="s">
        <v>1575</v>
      </c>
      <c r="X2963" s="10" t="str">
        <f t="shared" si="2862"/>
        <v>NA</v>
      </c>
      <c r="Y2963" s="10" t="str">
        <f t="shared" si="2863"/>
        <v>NA</v>
      </c>
      <c r="Z2963" s="10" t="str">
        <f t="shared" si="2864"/>
        <v>NA</v>
      </c>
      <c r="AA2963" s="10" t="str">
        <f t="shared" si="2865"/>
        <v>NA</v>
      </c>
      <c r="AB2963" s="10" t="str">
        <f t="shared" si="2866"/>
        <v>NA</v>
      </c>
      <c r="AC2963" s="10" t="str">
        <f t="shared" si="2867"/>
        <v>NA</v>
      </c>
      <c r="AD2963" s="10" t="str">
        <f t="shared" si="2868"/>
        <v>NA</v>
      </c>
      <c r="AE2963" s="10" t="str">
        <f t="shared" si="2869"/>
        <v>NA</v>
      </c>
      <c r="AF2963" s="1" t="s">
        <v>2789</v>
      </c>
    </row>
    <row r="2964" spans="1:32" x14ac:dyDescent="0.2">
      <c r="A2964" s="1" t="s">
        <v>2774</v>
      </c>
      <c r="B2964" s="1" t="s">
        <v>5</v>
      </c>
      <c r="C2964" s="1" t="s">
        <v>2792</v>
      </c>
      <c r="D2964" s="1" t="s">
        <v>2160</v>
      </c>
      <c r="E2964" s="1" t="s">
        <v>1750</v>
      </c>
      <c r="F2964" s="1" t="s">
        <v>2780</v>
      </c>
      <c r="G2964" s="4">
        <v>3.7199999999999997E-2</v>
      </c>
      <c r="H2964" s="28">
        <v>41578</v>
      </c>
      <c r="I2964" s="29">
        <f t="shared" si="2874"/>
        <v>2013</v>
      </c>
      <c r="J2964" s="1" t="s">
        <v>2774</v>
      </c>
      <c r="K2964" s="1" t="s">
        <v>7</v>
      </c>
      <c r="L2964" s="11" t="str">
        <f t="shared" ref="L2964" si="2879">IF(OR(A2964=J2964,A2964=K2964),"ДА","НЕТ")</f>
        <v>ДА</v>
      </c>
      <c r="M2964" s="10">
        <v>0</v>
      </c>
      <c r="N2964" s="10">
        <v>0</v>
      </c>
      <c r="O2964" s="10" t="s">
        <v>1575</v>
      </c>
      <c r="P2964" s="10" t="str">
        <f t="shared" si="2858"/>
        <v>NA</v>
      </c>
      <c r="Q2964" s="10" t="str">
        <f t="shared" si="2859"/>
        <v>NA</v>
      </c>
      <c r="R2964" s="10">
        <v>118.51</v>
      </c>
      <c r="S2964" s="10">
        <v>10.786</v>
      </c>
      <c r="T2964" s="10">
        <v>8.08</v>
      </c>
      <c r="U2964" s="10">
        <v>5.8170000000000002</v>
      </c>
      <c r="V2964" s="10">
        <v>37.893999999999998</v>
      </c>
      <c r="W2964" s="10">
        <v>10.142000000000001</v>
      </c>
      <c r="X2964" s="10">
        <f t="shared" si="2862"/>
        <v>48.036000000000001</v>
      </c>
      <c r="Y2964" s="10" t="str">
        <f t="shared" si="2863"/>
        <v>NA</v>
      </c>
      <c r="Z2964" s="10" t="str">
        <f t="shared" si="2864"/>
        <v>NA</v>
      </c>
      <c r="AA2964" s="10" t="str">
        <f t="shared" si="2865"/>
        <v>NA</v>
      </c>
      <c r="AB2964" s="10" t="str">
        <f t="shared" si="2866"/>
        <v>NA</v>
      </c>
      <c r="AC2964" s="10" t="str">
        <f t="shared" si="2867"/>
        <v>NA</v>
      </c>
      <c r="AD2964" s="10" t="str">
        <f t="shared" si="2868"/>
        <v>NA</v>
      </c>
      <c r="AE2964" s="10" t="str">
        <f t="shared" si="2869"/>
        <v>NA</v>
      </c>
      <c r="AF2964" s="1" t="s">
        <v>2793</v>
      </c>
    </row>
    <row r="2965" spans="1:32" x14ac:dyDescent="0.2">
      <c r="A2965" s="1" t="s">
        <v>6710</v>
      </c>
      <c r="B2965" s="1" t="s">
        <v>617</v>
      </c>
      <c r="C2965" s="1" t="s">
        <v>1575</v>
      </c>
      <c r="D2965" s="1" t="s">
        <v>1578</v>
      </c>
      <c r="E2965" s="16" t="s">
        <v>9256</v>
      </c>
      <c r="F2965" s="1" t="s">
        <v>2795</v>
      </c>
      <c r="G2965" s="4">
        <v>0.42070000000000002</v>
      </c>
      <c r="H2965" s="28">
        <v>41639</v>
      </c>
      <c r="I2965" s="29">
        <f t="shared" si="2874"/>
        <v>2013</v>
      </c>
      <c r="J2965" s="1" t="s">
        <v>2774</v>
      </c>
      <c r="K2965" s="1" t="s">
        <v>7</v>
      </c>
      <c r="L2965" s="11" t="str">
        <f t="shared" ref="L2965:L3173" si="2880">IF(OR(A2965=J2965,A2965=K2965),"ДА","НЕТ")</f>
        <v>НЕТ</v>
      </c>
      <c r="M2965" s="10">
        <v>0</v>
      </c>
      <c r="N2965" s="10">
        <v>0</v>
      </c>
      <c r="O2965" s="10">
        <v>6.8000000000000005E-2</v>
      </c>
      <c r="P2965" s="10">
        <f t="shared" si="2858"/>
        <v>0.16163536962205849</v>
      </c>
      <c r="Q2965" s="10" t="str">
        <f t="shared" si="2859"/>
        <v>NA</v>
      </c>
      <c r="R2965" s="10" t="s">
        <v>1575</v>
      </c>
      <c r="S2965" s="10" t="s">
        <v>1575</v>
      </c>
      <c r="T2965" s="10" t="s">
        <v>1575</v>
      </c>
      <c r="U2965" s="10" t="s">
        <v>1575</v>
      </c>
      <c r="V2965" s="10">
        <v>6.8000000000000005E-2</v>
      </c>
      <c r="W2965" s="10" t="s">
        <v>1575</v>
      </c>
      <c r="X2965" s="10" t="str">
        <f t="shared" si="2862"/>
        <v>NA</v>
      </c>
      <c r="Y2965" s="10" t="str">
        <f t="shared" si="2863"/>
        <v>NA</v>
      </c>
      <c r="Z2965" s="10" t="str">
        <f t="shared" si="2864"/>
        <v>NA</v>
      </c>
      <c r="AA2965" s="10">
        <f t="shared" si="2865"/>
        <v>2.3769907297361539</v>
      </c>
      <c r="AB2965" s="10" t="str">
        <f t="shared" si="2866"/>
        <v>NA</v>
      </c>
      <c r="AC2965" s="10" t="str">
        <f t="shared" si="2867"/>
        <v>NA</v>
      </c>
      <c r="AD2965" s="10" t="str">
        <f t="shared" si="2868"/>
        <v>NA</v>
      </c>
      <c r="AE2965" s="10" t="str">
        <f t="shared" si="2869"/>
        <v>NA</v>
      </c>
      <c r="AF2965" s="1" t="s">
        <v>2794</v>
      </c>
    </row>
    <row r="2966" spans="1:32" x14ac:dyDescent="0.2">
      <c r="A2966" s="1" t="s">
        <v>6711</v>
      </c>
      <c r="B2966" s="1" t="s">
        <v>5</v>
      </c>
      <c r="C2966" s="1" t="s">
        <v>1575</v>
      </c>
      <c r="D2966" s="1" t="s">
        <v>2160</v>
      </c>
      <c r="E2966" s="1" t="s">
        <v>1750</v>
      </c>
      <c r="F2966" s="1" t="s">
        <v>2796</v>
      </c>
      <c r="G2966" s="4">
        <v>0.96499999999999997</v>
      </c>
      <c r="H2966" s="28">
        <v>41243</v>
      </c>
      <c r="I2966" s="29">
        <f t="shared" si="2874"/>
        <v>2012</v>
      </c>
      <c r="J2966" s="1" t="s">
        <v>7</v>
      </c>
      <c r="K2966" s="1" t="s">
        <v>2774</v>
      </c>
      <c r="L2966" s="11" t="str">
        <f t="shared" si="2880"/>
        <v>НЕТ</v>
      </c>
      <c r="M2966" s="10">
        <v>0</v>
      </c>
      <c r="N2966" s="10">
        <v>0</v>
      </c>
      <c r="O2966" s="10">
        <v>0</v>
      </c>
      <c r="P2966" s="10">
        <f t="shared" si="2858"/>
        <v>0</v>
      </c>
      <c r="Q2966" s="10" t="str">
        <f t="shared" si="2859"/>
        <v>NA</v>
      </c>
      <c r="R2966" s="10" t="s">
        <v>1575</v>
      </c>
      <c r="S2966" s="10" t="s">
        <v>1575</v>
      </c>
      <c r="T2966" s="10" t="s">
        <v>1575</v>
      </c>
      <c r="U2966" s="10" t="s">
        <v>1575</v>
      </c>
      <c r="V2966" s="10" t="s">
        <v>1575</v>
      </c>
      <c r="W2966" s="10" t="s">
        <v>1575</v>
      </c>
      <c r="X2966" s="10" t="str">
        <f t="shared" si="2862"/>
        <v>NA</v>
      </c>
      <c r="Y2966" s="10" t="str">
        <f t="shared" si="2863"/>
        <v>NA</v>
      </c>
      <c r="Z2966" s="10" t="str">
        <f t="shared" si="2864"/>
        <v>NA</v>
      </c>
      <c r="AA2966" s="10" t="str">
        <f t="shared" si="2865"/>
        <v>NA</v>
      </c>
      <c r="AB2966" s="10" t="str">
        <f t="shared" si="2866"/>
        <v>NA</v>
      </c>
      <c r="AC2966" s="10" t="str">
        <f t="shared" si="2867"/>
        <v>NA</v>
      </c>
      <c r="AD2966" s="10" t="str">
        <f t="shared" si="2868"/>
        <v>NA</v>
      </c>
      <c r="AE2966" s="10" t="str">
        <f t="shared" si="2869"/>
        <v>NA</v>
      </c>
      <c r="AF2966" s="1" t="s">
        <v>2797</v>
      </c>
    </row>
    <row r="2967" spans="1:32" x14ac:dyDescent="0.2">
      <c r="A2967" s="1" t="s">
        <v>2954</v>
      </c>
      <c r="B2967" s="1" t="s">
        <v>5</v>
      </c>
      <c r="C2967" s="1" t="s">
        <v>2962</v>
      </c>
      <c r="D2967" s="1" t="s">
        <v>2160</v>
      </c>
      <c r="E2967" s="1" t="s">
        <v>1750</v>
      </c>
      <c r="F2967" s="1" t="s">
        <v>2966</v>
      </c>
      <c r="G2967" s="4">
        <f>643000/32557000</f>
        <v>1.9749976963479438E-2</v>
      </c>
      <c r="H2967" s="28">
        <v>45107</v>
      </c>
      <c r="I2967" s="29">
        <f t="shared" si="2874"/>
        <v>2023</v>
      </c>
      <c r="J2967" s="1" t="s">
        <v>7</v>
      </c>
      <c r="K2967" s="1" t="s">
        <v>2954</v>
      </c>
      <c r="L2967" s="11" t="str">
        <f t="shared" si="2880"/>
        <v>ДА</v>
      </c>
      <c r="M2967" s="10">
        <v>0</v>
      </c>
      <c r="N2967" s="10">
        <v>0</v>
      </c>
      <c r="O2967" s="10">
        <f>643000*495/10^9</f>
        <v>0.31828499999999998</v>
      </c>
      <c r="P2967" s="10">
        <f t="shared" si="2858"/>
        <v>16.115714999999998</v>
      </c>
      <c r="Q2967" s="10" t="str">
        <f t="shared" si="2859"/>
        <v>NA</v>
      </c>
      <c r="R2967" s="10" t="s">
        <v>1575</v>
      </c>
      <c r="S2967" s="10" t="s">
        <v>1575</v>
      </c>
      <c r="T2967" s="10" t="s">
        <v>1575</v>
      </c>
      <c r="U2967" s="10" t="s">
        <v>1575</v>
      </c>
      <c r="V2967" s="10" t="s">
        <v>1575</v>
      </c>
      <c r="W2967" s="10" t="s">
        <v>1575</v>
      </c>
      <c r="X2967" s="10" t="str">
        <f t="shared" si="2862"/>
        <v>NA</v>
      </c>
      <c r="Y2967" s="10" t="str">
        <f t="shared" si="2863"/>
        <v>NA</v>
      </c>
      <c r="Z2967" s="10" t="str">
        <f t="shared" si="2864"/>
        <v>NA</v>
      </c>
      <c r="AA2967" s="10" t="str">
        <f t="shared" si="2865"/>
        <v>NA</v>
      </c>
      <c r="AB2967" s="10" t="str">
        <f t="shared" si="2866"/>
        <v>NA</v>
      </c>
      <c r="AC2967" s="10" t="str">
        <f t="shared" si="2867"/>
        <v>NA</v>
      </c>
      <c r="AD2967" s="10" t="str">
        <f t="shared" si="2868"/>
        <v>NA</v>
      </c>
      <c r="AE2967" s="10" t="str">
        <f t="shared" si="2869"/>
        <v>NA</v>
      </c>
      <c r="AF2967" s="1" t="s">
        <v>2960</v>
      </c>
    </row>
    <row r="2968" spans="1:32" x14ac:dyDescent="0.2">
      <c r="A2968" s="1" t="s">
        <v>6712</v>
      </c>
      <c r="B2968" s="1" t="s">
        <v>5</v>
      </c>
      <c r="C2968" s="1" t="s">
        <v>1575</v>
      </c>
      <c r="D2968" s="1" t="s">
        <v>2160</v>
      </c>
      <c r="E2968" s="1" t="s">
        <v>1750</v>
      </c>
      <c r="F2968" s="1" t="s">
        <v>2959</v>
      </c>
      <c r="G2968" s="4">
        <v>1</v>
      </c>
      <c r="H2968" s="28">
        <v>45107</v>
      </c>
      <c r="I2968" s="29">
        <f t="shared" si="2874"/>
        <v>2023</v>
      </c>
      <c r="J2968" s="1" t="s">
        <v>2954</v>
      </c>
      <c r="K2968" s="1" t="s">
        <v>2958</v>
      </c>
      <c r="L2968" s="11" t="str">
        <f t="shared" ref="L2968" si="2881">IF(OR(A2968=J2968,A2968=K2968),"ДА","НЕТ")</f>
        <v>НЕТ</v>
      </c>
      <c r="M2968" s="10">
        <v>0</v>
      </c>
      <c r="N2968" s="10">
        <v>0</v>
      </c>
      <c r="O2968" s="10">
        <v>2.819</v>
      </c>
      <c r="P2968" s="10">
        <f t="shared" si="2858"/>
        <v>2.819</v>
      </c>
      <c r="Q2968" s="10" t="str">
        <f t="shared" si="2859"/>
        <v>NA</v>
      </c>
      <c r="R2968" s="10" t="s">
        <v>1575</v>
      </c>
      <c r="S2968" s="10" t="s">
        <v>1575</v>
      </c>
      <c r="T2968" s="10" t="s">
        <v>1575</v>
      </c>
      <c r="U2968" s="10" t="s">
        <v>1575</v>
      </c>
      <c r="V2968" s="10" t="s">
        <v>1575</v>
      </c>
      <c r="W2968" s="10" t="s">
        <v>1575</v>
      </c>
      <c r="X2968" s="10" t="str">
        <f t="shared" si="2862"/>
        <v>NA</v>
      </c>
      <c r="Y2968" s="10" t="str">
        <f t="shared" si="2863"/>
        <v>NA</v>
      </c>
      <c r="Z2968" s="10" t="str">
        <f t="shared" si="2864"/>
        <v>NA</v>
      </c>
      <c r="AA2968" s="10" t="str">
        <f t="shared" si="2865"/>
        <v>NA</v>
      </c>
      <c r="AB2968" s="10" t="str">
        <f t="shared" si="2866"/>
        <v>NA</v>
      </c>
      <c r="AC2968" s="10" t="str">
        <f t="shared" si="2867"/>
        <v>NA</v>
      </c>
      <c r="AD2968" s="10" t="str">
        <f t="shared" si="2868"/>
        <v>NA</v>
      </c>
      <c r="AE2968" s="10" t="str">
        <f t="shared" si="2869"/>
        <v>NA</v>
      </c>
      <c r="AF2968" s="1" t="s">
        <v>2957</v>
      </c>
    </row>
    <row r="2969" spans="1:32" x14ac:dyDescent="0.2">
      <c r="A2969" s="1" t="s">
        <v>6713</v>
      </c>
      <c r="B2969" s="1" t="s">
        <v>5</v>
      </c>
      <c r="C2969" s="1" t="s">
        <v>1575</v>
      </c>
      <c r="D2969" s="1" t="s">
        <v>2160</v>
      </c>
      <c r="E2969" s="1" t="s">
        <v>1750</v>
      </c>
      <c r="F2969" s="1" t="s">
        <v>2955</v>
      </c>
      <c r="G2969" s="4">
        <v>0.5</v>
      </c>
      <c r="H2969" s="28">
        <v>44753</v>
      </c>
      <c r="I2969" s="29">
        <f t="shared" si="2874"/>
        <v>2022</v>
      </c>
      <c r="J2969" s="1" t="s">
        <v>7</v>
      </c>
      <c r="K2969" s="1" t="s">
        <v>2954</v>
      </c>
      <c r="L2969" s="11" t="str">
        <f t="shared" ref="L2969" si="2882">IF(OR(A2969=J2969,A2969=K2969),"ДА","НЕТ")</f>
        <v>НЕТ</v>
      </c>
      <c r="M2969" s="10">
        <v>0</v>
      </c>
      <c r="N2969" s="10">
        <v>0</v>
      </c>
      <c r="O2969" s="10">
        <v>0.34</v>
      </c>
      <c r="P2969" s="10">
        <f t="shared" si="2858"/>
        <v>0.68</v>
      </c>
      <c r="Q2969" s="10" t="str">
        <f t="shared" si="2859"/>
        <v>NA</v>
      </c>
      <c r="R2969" s="10">
        <v>0.91400000000000003</v>
      </c>
      <c r="S2969" s="10" t="s">
        <v>1575</v>
      </c>
      <c r="T2969" s="10">
        <v>5.0999999999999997E-2</v>
      </c>
      <c r="U2969" s="10">
        <v>4.2999999999999997E-2</v>
      </c>
      <c r="V2969" s="10">
        <f>0.827-0.344</f>
        <v>0.48299999999999998</v>
      </c>
      <c r="W2969" s="10" t="s">
        <v>1575</v>
      </c>
      <c r="X2969" s="10" t="str">
        <f t="shared" si="2862"/>
        <v>NA</v>
      </c>
      <c r="Y2969" s="10">
        <f t="shared" si="2863"/>
        <v>0.74398249452954046</v>
      </c>
      <c r="Z2969" s="10">
        <f t="shared" si="2864"/>
        <v>15.813953488372096</v>
      </c>
      <c r="AA2969" s="10">
        <f t="shared" si="2865"/>
        <v>1.4078674948240166</v>
      </c>
      <c r="AB2969" s="10" t="str">
        <f t="shared" si="2866"/>
        <v>NA</v>
      </c>
      <c r="AC2969" s="10" t="str">
        <f t="shared" si="2867"/>
        <v>NA</v>
      </c>
      <c r="AD2969" s="10" t="str">
        <f t="shared" si="2868"/>
        <v>NA</v>
      </c>
      <c r="AE2969" s="10" t="str">
        <f t="shared" si="2869"/>
        <v>NA</v>
      </c>
      <c r="AF2969" s="1" t="s">
        <v>2956</v>
      </c>
    </row>
    <row r="2970" spans="1:32" x14ac:dyDescent="0.2">
      <c r="A2970" s="1" t="s">
        <v>2954</v>
      </c>
      <c r="B2970" s="1" t="s">
        <v>5</v>
      </c>
      <c r="C2970" s="1" t="s">
        <v>2962</v>
      </c>
      <c r="D2970" s="1" t="s">
        <v>2160</v>
      </c>
      <c r="E2970" s="1" t="s">
        <v>1750</v>
      </c>
      <c r="F2970" s="1" t="s">
        <v>2966</v>
      </c>
      <c r="G2970" s="4">
        <v>5.2630000000000003E-2</v>
      </c>
      <c r="H2970" s="28">
        <v>44538</v>
      </c>
      <c r="I2970" s="29">
        <f t="shared" si="2874"/>
        <v>2021</v>
      </c>
      <c r="J2970" s="1" t="s">
        <v>2954</v>
      </c>
      <c r="K2970" s="1" t="s">
        <v>7</v>
      </c>
      <c r="L2970" s="11" t="str">
        <f t="shared" ref="L2970" si="2883">IF(OR(A2970=J2970,A2970=K2970),"ДА","НЕТ")</f>
        <v>ДА</v>
      </c>
      <c r="M2970" s="10">
        <v>0</v>
      </c>
      <c r="N2970" s="10">
        <v>0</v>
      </c>
      <c r="O2970" s="10">
        <f>1713469*240.5/10^9</f>
        <v>0.41208929449999998</v>
      </c>
      <c r="P2970" s="10">
        <f t="shared" si="2858"/>
        <v>7.8299314934448025</v>
      </c>
      <c r="Q2970" s="10">
        <f t="shared" si="2859"/>
        <v>9.7119314934448049</v>
      </c>
      <c r="R2970" s="10">
        <v>65.984999999999999</v>
      </c>
      <c r="S2970" s="10">
        <v>2.9770000000000003</v>
      </c>
      <c r="T2970" s="10">
        <v>-0.51699999999999968</v>
      </c>
      <c r="U2970" s="10">
        <v>-1.7450000000000001</v>
      </c>
      <c r="V2970" s="10">
        <v>25.231000000000002</v>
      </c>
      <c r="W2970" s="10">
        <v>1.8820000000000021</v>
      </c>
      <c r="X2970" s="10">
        <f t="shared" si="2862"/>
        <v>27.113000000000003</v>
      </c>
      <c r="Y2970" s="10">
        <f t="shared" si="2863"/>
        <v>0.11866229436151857</v>
      </c>
      <c r="Z2970" s="10">
        <f t="shared" si="2864"/>
        <v>-4.4870667584210899</v>
      </c>
      <c r="AA2970" s="10">
        <f t="shared" si="2865"/>
        <v>0.31032981227239514</v>
      </c>
      <c r="AB2970" s="10">
        <f t="shared" si="2866"/>
        <v>0.14718392806614844</v>
      </c>
      <c r="AC2970" s="10">
        <f t="shared" si="2867"/>
        <v>3.2623216303140086</v>
      </c>
      <c r="AD2970" s="10">
        <f t="shared" si="2868"/>
        <v>-18.785167298732709</v>
      </c>
      <c r="AE2970" s="10">
        <f t="shared" si="2869"/>
        <v>0.35820202461715056</v>
      </c>
      <c r="AF2970" s="1" t="s">
        <v>2964</v>
      </c>
    </row>
    <row r="2971" spans="1:32" x14ac:dyDescent="0.2">
      <c r="A2971" s="1" t="s">
        <v>2954</v>
      </c>
      <c r="B2971" s="1" t="s">
        <v>5</v>
      </c>
      <c r="C2971" s="1" t="s">
        <v>2962</v>
      </c>
      <c r="D2971" s="1" t="s">
        <v>2160</v>
      </c>
      <c r="E2971" s="1" t="s">
        <v>1750</v>
      </c>
      <c r="F2971" s="1" t="s">
        <v>2966</v>
      </c>
      <c r="G2971" s="4">
        <v>4.9999700000000001E-2</v>
      </c>
      <c r="H2971" s="28">
        <v>44127</v>
      </c>
      <c r="I2971" s="29">
        <f t="shared" si="2874"/>
        <v>2020</v>
      </c>
      <c r="J2971" s="1" t="s">
        <v>2954</v>
      </c>
      <c r="K2971" s="1" t="s">
        <v>7</v>
      </c>
      <c r="L2971" s="11" t="str">
        <f t="shared" ref="L2971" si="2884">IF(OR(A2971=J2971,A2971=K2971),"ДА","НЕТ")</f>
        <v>ДА</v>
      </c>
      <c r="M2971" s="10">
        <v>0</v>
      </c>
      <c r="N2971" s="10">
        <v>0</v>
      </c>
      <c r="O2971" s="10">
        <f>1713499*267/10^9</f>
        <v>0.45750423299999998</v>
      </c>
      <c r="P2971" s="10">
        <f t="shared" si="2858"/>
        <v>9.1501395608373652</v>
      </c>
      <c r="Q2971" s="10">
        <f t="shared" si="2859"/>
        <v>5.5801395608373667</v>
      </c>
      <c r="R2971" s="10">
        <v>57.838999999999999</v>
      </c>
      <c r="S2971" s="10">
        <v>5.4049999999999994</v>
      </c>
      <c r="T2971" s="10">
        <v>2.7449999999999997</v>
      </c>
      <c r="U2971" s="10">
        <v>1.349</v>
      </c>
      <c r="V2971" s="10">
        <v>26.975999999999999</v>
      </c>
      <c r="W2971" s="10">
        <v>-3.5699999999999985</v>
      </c>
      <c r="X2971" s="10">
        <f t="shared" si="2862"/>
        <v>23.405999999999999</v>
      </c>
      <c r="Y2971" s="10">
        <f t="shared" si="2863"/>
        <v>0.15820016875875043</v>
      </c>
      <c r="Z2971" s="10">
        <f t="shared" si="2864"/>
        <v>6.7829055306429691</v>
      </c>
      <c r="AA2971" s="10">
        <f t="shared" si="2865"/>
        <v>0.33919556497766035</v>
      </c>
      <c r="AB2971" s="10">
        <f t="shared" si="2866"/>
        <v>9.6477109923016766E-2</v>
      </c>
      <c r="AC2971" s="10">
        <f t="shared" si="2867"/>
        <v>1.0324032489985879</v>
      </c>
      <c r="AD2971" s="10">
        <f t="shared" si="2868"/>
        <v>2.0328377270810081</v>
      </c>
      <c r="AE2971" s="10">
        <f t="shared" si="2869"/>
        <v>0.23840637276071808</v>
      </c>
      <c r="AF2971" s="1" t="s">
        <v>2963</v>
      </c>
    </row>
    <row r="2972" spans="1:32" x14ac:dyDescent="0.2">
      <c r="A2972" s="1" t="s">
        <v>6714</v>
      </c>
      <c r="B2972" s="1" t="s">
        <v>30</v>
      </c>
      <c r="C2972" s="1" t="s">
        <v>1575</v>
      </c>
      <c r="D2972" s="1" t="s">
        <v>2160</v>
      </c>
      <c r="E2972" s="1" t="s">
        <v>1750</v>
      </c>
      <c r="F2972" s="1" t="s">
        <v>2966</v>
      </c>
      <c r="G2972" s="4">
        <v>0.51</v>
      </c>
      <c r="H2972" s="28">
        <v>43647</v>
      </c>
      <c r="I2972" s="29">
        <f t="shared" si="2874"/>
        <v>2019</v>
      </c>
      <c r="J2972" s="1" t="s">
        <v>2954</v>
      </c>
      <c r="K2972" s="1" t="s">
        <v>7</v>
      </c>
      <c r="L2972" s="11" t="str">
        <f t="shared" ref="L2972" si="2885">IF(OR(A2972=J2972,A2972=K2972),"ДА","НЕТ")</f>
        <v>НЕТ</v>
      </c>
      <c r="M2972" s="10">
        <v>0</v>
      </c>
      <c r="N2972" s="10">
        <v>0</v>
      </c>
      <c r="O2972" s="10">
        <v>4.7300000000000004</v>
      </c>
      <c r="P2972" s="10">
        <f t="shared" si="2858"/>
        <v>9.2745098039215694</v>
      </c>
      <c r="Q2972" s="10" t="str">
        <f t="shared" si="2859"/>
        <v>NA</v>
      </c>
      <c r="R2972" s="10" t="s">
        <v>1575</v>
      </c>
      <c r="S2972" s="10" t="s">
        <v>1575</v>
      </c>
      <c r="T2972" s="10" t="s">
        <v>1575</v>
      </c>
      <c r="U2972" s="10" t="s">
        <v>1575</v>
      </c>
      <c r="V2972" s="10">
        <v>13.587999999999999</v>
      </c>
      <c r="W2972" s="10" t="s">
        <v>1575</v>
      </c>
      <c r="X2972" s="10" t="str">
        <f t="shared" si="2862"/>
        <v>NA</v>
      </c>
      <c r="Y2972" s="10" t="str">
        <f t="shared" si="2863"/>
        <v>NA</v>
      </c>
      <c r="Z2972" s="10" t="str">
        <f t="shared" si="2864"/>
        <v>NA</v>
      </c>
      <c r="AA2972" s="10">
        <f t="shared" si="2865"/>
        <v>0.68255150161330369</v>
      </c>
      <c r="AB2972" s="10" t="str">
        <f t="shared" si="2866"/>
        <v>NA</v>
      </c>
      <c r="AC2972" s="10" t="str">
        <f t="shared" si="2867"/>
        <v>NA</v>
      </c>
      <c r="AD2972" s="10" t="str">
        <f t="shared" si="2868"/>
        <v>NA</v>
      </c>
      <c r="AE2972" s="10" t="str">
        <f t="shared" si="2869"/>
        <v>NA</v>
      </c>
      <c r="AF2972" s="1" t="s">
        <v>2965</v>
      </c>
    </row>
    <row r="2973" spans="1:32" x14ac:dyDescent="0.2">
      <c r="A2973" s="1" t="s">
        <v>6715</v>
      </c>
      <c r="B2973" s="1" t="s">
        <v>5</v>
      </c>
      <c r="C2973" s="1" t="s">
        <v>2967</v>
      </c>
      <c r="D2973" s="1" t="s">
        <v>2160</v>
      </c>
      <c r="E2973" s="1" t="s">
        <v>1750</v>
      </c>
      <c r="F2973" s="1" t="s">
        <v>2961</v>
      </c>
      <c r="G2973" s="4">
        <f>96.37%-96.19%</f>
        <v>1.8000000000000238E-3</v>
      </c>
      <c r="H2973" s="28">
        <v>43830</v>
      </c>
      <c r="I2973" s="29">
        <f t="shared" si="2874"/>
        <v>2019</v>
      </c>
      <c r="J2973" s="1" t="s">
        <v>2954</v>
      </c>
      <c r="K2973" s="1" t="s">
        <v>7</v>
      </c>
      <c r="L2973" s="11" t="str">
        <f t="shared" ref="L2973:L2974" si="2886">IF(OR(A2973=J2973,A2973=K2973),"ДА","НЕТ")</f>
        <v>НЕТ</v>
      </c>
      <c r="M2973" s="10">
        <v>0</v>
      </c>
      <c r="N2973" s="10">
        <v>0</v>
      </c>
      <c r="O2973" s="10">
        <v>8.0000000000000002E-3</v>
      </c>
      <c r="P2973" s="10">
        <f t="shared" si="2858"/>
        <v>4.444444444444386</v>
      </c>
      <c r="Q2973" s="10" t="str">
        <f t="shared" si="2859"/>
        <v>NA</v>
      </c>
      <c r="R2973" s="10">
        <v>2.3740000000000001</v>
      </c>
      <c r="S2973" s="10" t="s">
        <v>1575</v>
      </c>
      <c r="T2973" s="10" t="s">
        <v>1575</v>
      </c>
      <c r="U2973" s="10">
        <v>-0.27</v>
      </c>
      <c r="V2973" s="10">
        <f>10.025-0.749</f>
        <v>9.2759999999999998</v>
      </c>
      <c r="W2973" s="10" t="s">
        <v>1575</v>
      </c>
      <c r="X2973" s="10" t="str">
        <f t="shared" si="2862"/>
        <v>NA</v>
      </c>
      <c r="Y2973" s="10">
        <f t="shared" si="2863"/>
        <v>1.8721332958906427</v>
      </c>
      <c r="Z2973" s="10">
        <f t="shared" si="2864"/>
        <v>-16.460905349794022</v>
      </c>
      <c r="AA2973" s="10">
        <f t="shared" si="2865"/>
        <v>0.47913372622298256</v>
      </c>
      <c r="AB2973" s="10" t="str">
        <f t="shared" si="2866"/>
        <v>NA</v>
      </c>
      <c r="AC2973" s="10" t="str">
        <f t="shared" si="2867"/>
        <v>NA</v>
      </c>
      <c r="AD2973" s="10" t="str">
        <f t="shared" si="2868"/>
        <v>NA</v>
      </c>
      <c r="AE2973" s="10" t="str">
        <f t="shared" si="2869"/>
        <v>NA</v>
      </c>
      <c r="AF2973" s="1" t="s">
        <v>2968</v>
      </c>
    </row>
    <row r="2974" spans="1:32" x14ac:dyDescent="0.2">
      <c r="A2974" s="1" t="s">
        <v>6715</v>
      </c>
      <c r="B2974" s="1" t="s">
        <v>5</v>
      </c>
      <c r="C2974" s="1" t="s">
        <v>2967</v>
      </c>
      <c r="D2974" s="1" t="s">
        <v>2160</v>
      </c>
      <c r="E2974" s="1" t="s">
        <v>1750</v>
      </c>
      <c r="F2974" s="1" t="s">
        <v>2961</v>
      </c>
      <c r="G2974" s="4">
        <f>96.19%-94.98%</f>
        <v>1.2099999999999889E-2</v>
      </c>
      <c r="H2974" s="28">
        <v>43465</v>
      </c>
      <c r="I2974" s="29">
        <f t="shared" si="2874"/>
        <v>2018</v>
      </c>
      <c r="J2974" s="1" t="s">
        <v>2954</v>
      </c>
      <c r="K2974" s="1" t="s">
        <v>7</v>
      </c>
      <c r="L2974" s="11" t="str">
        <f t="shared" si="2886"/>
        <v>НЕТ</v>
      </c>
      <c r="M2974" s="10">
        <v>0</v>
      </c>
      <c r="N2974" s="10">
        <v>0</v>
      </c>
      <c r="O2974" s="10">
        <v>5.3999999999999999E-2</v>
      </c>
      <c r="P2974" s="10">
        <f t="shared" si="2858"/>
        <v>4.462809917355413</v>
      </c>
      <c r="Q2974" s="10" t="str">
        <f t="shared" si="2859"/>
        <v>NA</v>
      </c>
      <c r="R2974" s="10">
        <v>2.5859999999999999</v>
      </c>
      <c r="S2974" s="10" t="s">
        <v>1575</v>
      </c>
      <c r="T2974" s="10" t="s">
        <v>1575</v>
      </c>
      <c r="U2974" s="10">
        <v>0.37</v>
      </c>
      <c r="V2974" s="10">
        <f>10.972-1.426</f>
        <v>9.5459999999999994</v>
      </c>
      <c r="W2974" s="10" t="s">
        <v>1575</v>
      </c>
      <c r="X2974" s="10" t="str">
        <f t="shared" si="2862"/>
        <v>NA</v>
      </c>
      <c r="Y2974" s="10">
        <f t="shared" si="2863"/>
        <v>1.7257578953423871</v>
      </c>
      <c r="Z2974" s="10">
        <f t="shared" si="2864"/>
        <v>12.061648425284901</v>
      </c>
      <c r="AA2974" s="10">
        <f t="shared" si="2865"/>
        <v>0.46750575291801943</v>
      </c>
      <c r="AB2974" s="10" t="str">
        <f t="shared" si="2866"/>
        <v>NA</v>
      </c>
      <c r="AC2974" s="10" t="str">
        <f t="shared" si="2867"/>
        <v>NA</v>
      </c>
      <c r="AD2974" s="10" t="str">
        <f t="shared" si="2868"/>
        <v>NA</v>
      </c>
      <c r="AE2974" s="10" t="str">
        <f t="shared" si="2869"/>
        <v>NA</v>
      </c>
      <c r="AF2974" s="1" t="s">
        <v>2969</v>
      </c>
    </row>
    <row r="2975" spans="1:32" x14ac:dyDescent="0.2">
      <c r="A2975" s="1" t="s">
        <v>6716</v>
      </c>
      <c r="B2975" s="1" t="s">
        <v>5</v>
      </c>
      <c r="C2975" s="1" t="s">
        <v>1575</v>
      </c>
      <c r="D2975" s="1" t="s">
        <v>2160</v>
      </c>
      <c r="E2975" s="1" t="s">
        <v>1750</v>
      </c>
      <c r="F2975" s="1" t="s">
        <v>2961</v>
      </c>
      <c r="G2975" s="4">
        <v>0.5</v>
      </c>
      <c r="H2975" s="28">
        <v>42369</v>
      </c>
      <c r="I2975" s="29">
        <f t="shared" si="2874"/>
        <v>2015</v>
      </c>
      <c r="J2975" s="1" t="s">
        <v>7</v>
      </c>
      <c r="K2975" s="1" t="s">
        <v>2954</v>
      </c>
      <c r="L2975" s="11" t="str">
        <f t="shared" ref="L2975:L2976" si="2887">IF(OR(A2975=J2975,A2975=K2975),"ДА","НЕТ")</f>
        <v>НЕТ</v>
      </c>
      <c r="M2975" s="10">
        <v>0</v>
      </c>
      <c r="N2975" s="10">
        <v>0</v>
      </c>
      <c r="O2975" s="10">
        <v>1.35</v>
      </c>
      <c r="P2975" s="10">
        <f t="shared" si="2858"/>
        <v>2.7</v>
      </c>
      <c r="Q2975" s="10" t="str">
        <f t="shared" si="2859"/>
        <v>NA</v>
      </c>
      <c r="R2975" s="10">
        <v>4.2670000000000003</v>
      </c>
      <c r="S2975" s="10" t="s">
        <v>1575</v>
      </c>
      <c r="T2975" s="10">
        <v>9.1999999999999998E-2</v>
      </c>
      <c r="U2975" s="10">
        <v>-0.40699999999999997</v>
      </c>
      <c r="V2975" s="10" t="s">
        <v>1575</v>
      </c>
      <c r="W2975" s="10" t="s">
        <v>1575</v>
      </c>
      <c r="X2975" s="10" t="str">
        <f t="shared" si="2862"/>
        <v>NA</v>
      </c>
      <c r="Y2975" s="10">
        <f t="shared" si="2863"/>
        <v>0.63276306538551674</v>
      </c>
      <c r="Z2975" s="10">
        <f t="shared" si="2864"/>
        <v>-6.6339066339066344</v>
      </c>
      <c r="AA2975" s="10" t="str">
        <f t="shared" si="2865"/>
        <v>NA</v>
      </c>
      <c r="AB2975" s="10" t="str">
        <f t="shared" si="2866"/>
        <v>NA</v>
      </c>
      <c r="AC2975" s="10" t="str">
        <f t="shared" si="2867"/>
        <v>NA</v>
      </c>
      <c r="AD2975" s="10" t="str">
        <f t="shared" si="2868"/>
        <v>NA</v>
      </c>
      <c r="AE2975" s="10" t="str">
        <f t="shared" si="2869"/>
        <v>NA</v>
      </c>
      <c r="AF2975" s="1" t="s">
        <v>2970</v>
      </c>
    </row>
    <row r="2976" spans="1:32" x14ac:dyDescent="0.2">
      <c r="A2976" s="1" t="s">
        <v>6717</v>
      </c>
      <c r="B2976" s="1" t="s">
        <v>5</v>
      </c>
      <c r="C2976" s="1" t="s">
        <v>2973</v>
      </c>
      <c r="D2976" s="1" t="s">
        <v>2160</v>
      </c>
      <c r="E2976" s="1" t="s">
        <v>1750</v>
      </c>
      <c r="F2976" s="1" t="s">
        <v>2961</v>
      </c>
      <c r="G2976" s="4">
        <v>3.5999999999999997E-2</v>
      </c>
      <c r="H2976" s="28">
        <v>42369</v>
      </c>
      <c r="I2976" s="29">
        <f t="shared" si="2874"/>
        <v>2015</v>
      </c>
      <c r="J2976" s="1" t="s">
        <v>2954</v>
      </c>
      <c r="K2976" s="1" t="s">
        <v>7</v>
      </c>
      <c r="L2976" s="11" t="str">
        <f t="shared" si="2887"/>
        <v>НЕТ</v>
      </c>
      <c r="M2976" s="10">
        <v>0</v>
      </c>
      <c r="N2976" s="10">
        <v>0</v>
      </c>
      <c r="O2976" s="10">
        <v>0.19600000000000001</v>
      </c>
      <c r="P2976" s="10">
        <f t="shared" si="2858"/>
        <v>5.4444444444444446</v>
      </c>
      <c r="Q2976" s="10" t="str">
        <f t="shared" si="2859"/>
        <v>NA</v>
      </c>
      <c r="R2976" s="10" t="s">
        <v>1575</v>
      </c>
      <c r="S2976" s="10" t="s">
        <v>1575</v>
      </c>
      <c r="T2976" s="10" t="s">
        <v>1575</v>
      </c>
      <c r="U2976" s="10" t="s">
        <v>1575</v>
      </c>
      <c r="V2976" s="10" t="s">
        <v>1575</v>
      </c>
      <c r="W2976" s="10" t="s">
        <v>1575</v>
      </c>
      <c r="X2976" s="10" t="str">
        <f t="shared" si="2862"/>
        <v>NA</v>
      </c>
      <c r="Y2976" s="10" t="str">
        <f t="shared" si="2863"/>
        <v>NA</v>
      </c>
      <c r="Z2976" s="10" t="str">
        <f t="shared" si="2864"/>
        <v>NA</v>
      </c>
      <c r="AA2976" s="10" t="str">
        <f t="shared" si="2865"/>
        <v>NA</v>
      </c>
      <c r="AB2976" s="10" t="str">
        <f t="shared" si="2866"/>
        <v>NA</v>
      </c>
      <c r="AC2976" s="10" t="str">
        <f t="shared" si="2867"/>
        <v>NA</v>
      </c>
      <c r="AD2976" s="10" t="str">
        <f t="shared" si="2868"/>
        <v>NA</v>
      </c>
      <c r="AE2976" s="10" t="str">
        <f t="shared" si="2869"/>
        <v>NA</v>
      </c>
      <c r="AF2976" s="1" t="s">
        <v>2972</v>
      </c>
    </row>
    <row r="2977" spans="1:32" x14ac:dyDescent="0.2">
      <c r="A2977" s="1" t="s">
        <v>6715</v>
      </c>
      <c r="B2977" s="1" t="s">
        <v>5</v>
      </c>
      <c r="C2977" s="1" t="s">
        <v>2967</v>
      </c>
      <c r="D2977" s="1" t="s">
        <v>2160</v>
      </c>
      <c r="E2977" s="1" t="s">
        <v>1750</v>
      </c>
      <c r="F2977" s="1" t="s">
        <v>2961</v>
      </c>
      <c r="G2977" s="4">
        <f>94%-92%</f>
        <v>1.9999999999999907E-2</v>
      </c>
      <c r="H2977" s="28">
        <v>42004</v>
      </c>
      <c r="I2977" s="29">
        <f t="shared" si="2874"/>
        <v>2014</v>
      </c>
      <c r="J2977" s="1" t="s">
        <v>2954</v>
      </c>
      <c r="K2977" s="1" t="s">
        <v>7</v>
      </c>
      <c r="L2977" s="11" t="str">
        <f t="shared" ref="L2977:L2978" si="2888">IF(OR(A2977=J2977,A2977=K2977),"ДА","НЕТ")</f>
        <v>НЕТ</v>
      </c>
      <c r="M2977" s="10">
        <v>0</v>
      </c>
      <c r="N2977" s="10">
        <v>0</v>
      </c>
      <c r="O2977" s="10">
        <v>0.51200000000000001</v>
      </c>
      <c r="P2977" s="10">
        <f t="shared" si="2858"/>
        <v>25.600000000000119</v>
      </c>
      <c r="Q2977" s="10" t="str">
        <f t="shared" si="2859"/>
        <v>NA</v>
      </c>
      <c r="R2977" s="10">
        <v>5.0730000000000004</v>
      </c>
      <c r="S2977" s="10" t="s">
        <v>1575</v>
      </c>
      <c r="T2977" s="10" t="s">
        <v>1575</v>
      </c>
      <c r="U2977" s="10">
        <v>-1.03</v>
      </c>
      <c r="V2977" s="10">
        <f>13.026-3.714</f>
        <v>9.3119999999999994</v>
      </c>
      <c r="W2977" s="10" t="s">
        <v>1575</v>
      </c>
      <c r="X2977" s="10" t="str">
        <f t="shared" si="2862"/>
        <v>NA</v>
      </c>
      <c r="Y2977" s="10">
        <f t="shared" si="2863"/>
        <v>5.046323674354448</v>
      </c>
      <c r="Z2977" s="10">
        <f t="shared" si="2864"/>
        <v>-24.854368932038948</v>
      </c>
      <c r="AA2977" s="10">
        <f t="shared" si="2865"/>
        <v>2.7491408934708033</v>
      </c>
      <c r="AB2977" s="10" t="str">
        <f t="shared" si="2866"/>
        <v>NA</v>
      </c>
      <c r="AC2977" s="10" t="str">
        <f t="shared" si="2867"/>
        <v>NA</v>
      </c>
      <c r="AD2977" s="10" t="str">
        <f t="shared" si="2868"/>
        <v>NA</v>
      </c>
      <c r="AE2977" s="10" t="str">
        <f t="shared" si="2869"/>
        <v>NA</v>
      </c>
      <c r="AF2977" s="1" t="s">
        <v>2974</v>
      </c>
    </row>
    <row r="2978" spans="1:32" x14ac:dyDescent="0.2">
      <c r="A2978" s="1" t="s">
        <v>6717</v>
      </c>
      <c r="B2978" s="1" t="s">
        <v>5</v>
      </c>
      <c r="C2978" s="1" t="s">
        <v>2973</v>
      </c>
      <c r="D2978" s="1" t="s">
        <v>2160</v>
      </c>
      <c r="E2978" s="1" t="s">
        <v>1750</v>
      </c>
      <c r="F2978" s="1" t="s">
        <v>2961</v>
      </c>
      <c r="G2978" s="4">
        <f>100%-96%</f>
        <v>4.0000000000000036E-2</v>
      </c>
      <c r="H2978" s="28">
        <v>42004</v>
      </c>
      <c r="I2978" s="29">
        <f t="shared" si="2874"/>
        <v>2014</v>
      </c>
      <c r="J2978" s="1" t="s">
        <v>2954</v>
      </c>
      <c r="K2978" s="1" t="s">
        <v>7</v>
      </c>
      <c r="L2978" s="11" t="str">
        <f t="shared" si="2888"/>
        <v>НЕТ</v>
      </c>
      <c r="M2978" s="10">
        <v>0</v>
      </c>
      <c r="N2978" s="10">
        <v>0</v>
      </c>
      <c r="O2978" s="10">
        <v>1.268</v>
      </c>
      <c r="P2978" s="10">
        <f t="shared" si="2858"/>
        <v>31.699999999999971</v>
      </c>
      <c r="Q2978" s="10" t="str">
        <f t="shared" si="2859"/>
        <v>NA</v>
      </c>
      <c r="R2978" s="10">
        <v>23.888999999999999</v>
      </c>
      <c r="S2978" s="10" t="s">
        <v>1575</v>
      </c>
      <c r="T2978" s="10" t="s">
        <v>1575</v>
      </c>
      <c r="U2978" s="10">
        <v>2.5670000000000002</v>
      </c>
      <c r="V2978" s="10">
        <f>27.348-18.745</f>
        <v>8.602999999999998</v>
      </c>
      <c r="W2978" s="10" t="s">
        <v>1575</v>
      </c>
      <c r="X2978" s="10" t="str">
        <f t="shared" si="2862"/>
        <v>NA</v>
      </c>
      <c r="Y2978" s="10">
        <f t="shared" si="2863"/>
        <v>1.3269705722298955</v>
      </c>
      <c r="Z2978" s="10">
        <f t="shared" si="2864"/>
        <v>12.349045578496288</v>
      </c>
      <c r="AA2978" s="10">
        <f t="shared" si="2865"/>
        <v>3.6847611298384257</v>
      </c>
      <c r="AB2978" s="10" t="str">
        <f t="shared" si="2866"/>
        <v>NA</v>
      </c>
      <c r="AC2978" s="10" t="str">
        <f t="shared" si="2867"/>
        <v>NA</v>
      </c>
      <c r="AD2978" s="10" t="str">
        <f t="shared" si="2868"/>
        <v>NA</v>
      </c>
      <c r="AE2978" s="10" t="str">
        <f t="shared" si="2869"/>
        <v>NA</v>
      </c>
      <c r="AF2978" s="1" t="s">
        <v>2975</v>
      </c>
    </row>
    <row r="2979" spans="1:32" x14ac:dyDescent="0.2">
      <c r="A2979" s="1" t="s">
        <v>6717</v>
      </c>
      <c r="B2979" s="1" t="s">
        <v>5</v>
      </c>
      <c r="C2979" s="1" t="s">
        <v>2973</v>
      </c>
      <c r="D2979" s="1" t="s">
        <v>2160</v>
      </c>
      <c r="E2979" s="1" t="s">
        <v>1750</v>
      </c>
      <c r="F2979" s="1" t="s">
        <v>2961</v>
      </c>
      <c r="G2979" s="4">
        <v>0.13</v>
      </c>
      <c r="H2979" s="28">
        <v>41608</v>
      </c>
      <c r="I2979" s="29">
        <f t="shared" si="2874"/>
        <v>2013</v>
      </c>
      <c r="J2979" s="1" t="s">
        <v>2954</v>
      </c>
      <c r="K2979" s="1" t="s">
        <v>7</v>
      </c>
      <c r="L2979" s="11" t="str">
        <f t="shared" ref="L2979" si="2889">IF(OR(A2979=J2979,A2979=K2979),"ДА","НЕТ")</f>
        <v>НЕТ</v>
      </c>
      <c r="M2979" s="10">
        <v>0</v>
      </c>
      <c r="N2979" s="10">
        <v>0</v>
      </c>
      <c r="O2979" s="10">
        <v>0.9</v>
      </c>
      <c r="P2979" s="10">
        <f t="shared" si="2858"/>
        <v>6.9230769230769234</v>
      </c>
      <c r="Q2979" s="10" t="str">
        <f t="shared" si="2859"/>
        <v>NA</v>
      </c>
      <c r="R2979" s="10">
        <v>28.303999999999998</v>
      </c>
      <c r="S2979" s="10" t="s">
        <v>1575</v>
      </c>
      <c r="T2979" s="10" t="s">
        <v>1575</v>
      </c>
      <c r="U2979" s="10">
        <v>3.7999999999999999E-2</v>
      </c>
      <c r="V2979" s="10">
        <f>23.483-14.892</f>
        <v>8.5910000000000011</v>
      </c>
      <c r="W2979" s="10" t="s">
        <v>1575</v>
      </c>
      <c r="X2979" s="10" t="str">
        <f t="shared" si="2862"/>
        <v>NA</v>
      </c>
      <c r="Y2979" s="10">
        <f t="shared" si="2863"/>
        <v>0.24459712136365616</v>
      </c>
      <c r="Z2979" s="10">
        <f t="shared" si="2864"/>
        <v>182.18623481781378</v>
      </c>
      <c r="AA2979" s="10">
        <f t="shared" si="2865"/>
        <v>0.80585227832346906</v>
      </c>
      <c r="AB2979" s="10" t="str">
        <f t="shared" si="2866"/>
        <v>NA</v>
      </c>
      <c r="AC2979" s="10" t="str">
        <f t="shared" si="2867"/>
        <v>NA</v>
      </c>
      <c r="AD2979" s="10" t="str">
        <f t="shared" si="2868"/>
        <v>NA</v>
      </c>
      <c r="AE2979" s="10" t="str">
        <f t="shared" si="2869"/>
        <v>NA</v>
      </c>
      <c r="AF2979" s="1" t="s">
        <v>2976</v>
      </c>
    </row>
    <row r="2980" spans="1:32" x14ac:dyDescent="0.2">
      <c r="A2980" s="1" t="s">
        <v>6716</v>
      </c>
      <c r="B2980" s="1" t="s">
        <v>5</v>
      </c>
      <c r="C2980" s="1" t="s">
        <v>1575</v>
      </c>
      <c r="D2980" s="1" t="s">
        <v>2160</v>
      </c>
      <c r="E2980" s="1" t="s">
        <v>1750</v>
      </c>
      <c r="F2980" s="1" t="s">
        <v>2961</v>
      </c>
      <c r="G2980" s="4">
        <v>0.16</v>
      </c>
      <c r="H2980" s="28">
        <v>41274</v>
      </c>
      <c r="I2980" s="29">
        <f t="shared" si="2874"/>
        <v>2012</v>
      </c>
      <c r="J2980" s="1" t="s">
        <v>7</v>
      </c>
      <c r="K2980" s="1" t="s">
        <v>2954</v>
      </c>
      <c r="L2980" s="11" t="str">
        <f t="shared" ref="L2980:L2982" si="2890">IF(OR(A2980=J2980,A2980=K2980),"ДА","НЕТ")</f>
        <v>НЕТ</v>
      </c>
      <c r="M2980" s="10">
        <v>0</v>
      </c>
      <c r="N2980" s="10">
        <v>0</v>
      </c>
      <c r="O2980" s="10">
        <v>0.25700000000000001</v>
      </c>
      <c r="P2980" s="10">
        <f t="shared" si="2858"/>
        <v>1.60625</v>
      </c>
      <c r="Q2980" s="10" t="str">
        <f t="shared" si="2859"/>
        <v>NA</v>
      </c>
      <c r="R2980" s="10" t="s">
        <v>1575</v>
      </c>
      <c r="S2980" s="10" t="s">
        <v>1575</v>
      </c>
      <c r="T2980" s="10" t="s">
        <v>1575</v>
      </c>
      <c r="U2980" s="10" t="s">
        <v>1575</v>
      </c>
      <c r="V2980" s="10">
        <v>-0.68300000000000005</v>
      </c>
      <c r="W2980" s="10" t="s">
        <v>1575</v>
      </c>
      <c r="X2980" s="10" t="str">
        <f t="shared" si="2862"/>
        <v>NA</v>
      </c>
      <c r="Y2980" s="10" t="str">
        <f t="shared" si="2863"/>
        <v>NA</v>
      </c>
      <c r="Z2980" s="10" t="str">
        <f t="shared" si="2864"/>
        <v>NA</v>
      </c>
      <c r="AA2980" s="10">
        <f t="shared" si="2865"/>
        <v>-2.3517569546120054</v>
      </c>
      <c r="AB2980" s="10" t="str">
        <f t="shared" si="2866"/>
        <v>NA</v>
      </c>
      <c r="AC2980" s="10" t="str">
        <f t="shared" si="2867"/>
        <v>NA</v>
      </c>
      <c r="AD2980" s="10" t="str">
        <f t="shared" si="2868"/>
        <v>NA</v>
      </c>
      <c r="AE2980" s="10" t="str">
        <f t="shared" si="2869"/>
        <v>NA</v>
      </c>
      <c r="AF2980" s="1" t="s">
        <v>2971</v>
      </c>
    </row>
    <row r="2981" spans="1:32" x14ac:dyDescent="0.2">
      <c r="A2981" s="1" t="s">
        <v>2978</v>
      </c>
      <c r="B2981" s="1" t="s">
        <v>5</v>
      </c>
      <c r="C2981" s="1" t="s">
        <v>1575</v>
      </c>
      <c r="D2981" s="1" t="s">
        <v>1580</v>
      </c>
      <c r="E2981" s="1" t="s">
        <v>2057</v>
      </c>
      <c r="F2981" s="1" t="s">
        <v>2977</v>
      </c>
      <c r="G2981" s="4">
        <v>1</v>
      </c>
      <c r="H2981" s="28">
        <v>40481</v>
      </c>
      <c r="I2981" s="29">
        <f t="shared" si="2874"/>
        <v>2010</v>
      </c>
      <c r="J2981" s="1" t="s">
        <v>2954</v>
      </c>
      <c r="K2981" s="1" t="s">
        <v>7</v>
      </c>
      <c r="L2981" s="11" t="str">
        <f t="shared" si="2890"/>
        <v>НЕТ</v>
      </c>
      <c r="M2981" s="10">
        <v>0</v>
      </c>
      <c r="N2981" s="10">
        <v>0</v>
      </c>
      <c r="O2981" s="10">
        <v>0.29699999999999999</v>
      </c>
      <c r="P2981" s="10">
        <f t="shared" si="2858"/>
        <v>0.29699999999999999</v>
      </c>
      <c r="Q2981" s="10" t="str">
        <f t="shared" si="2859"/>
        <v>NA</v>
      </c>
      <c r="R2981" s="10" t="s">
        <v>1575</v>
      </c>
      <c r="S2981" s="10" t="s">
        <v>1575</v>
      </c>
      <c r="T2981" s="10" t="s">
        <v>1575</v>
      </c>
      <c r="U2981" s="10" t="s">
        <v>1575</v>
      </c>
      <c r="V2981" s="10">
        <v>0.25900000000000001</v>
      </c>
      <c r="W2981" s="10" t="s">
        <v>1575</v>
      </c>
      <c r="X2981" s="10" t="str">
        <f t="shared" si="2862"/>
        <v>NA</v>
      </c>
      <c r="Y2981" s="10" t="str">
        <f t="shared" si="2863"/>
        <v>NA</v>
      </c>
      <c r="Z2981" s="10" t="str">
        <f t="shared" si="2864"/>
        <v>NA</v>
      </c>
      <c r="AA2981" s="10">
        <f t="shared" si="2865"/>
        <v>1.1467181467181466</v>
      </c>
      <c r="AB2981" s="10" t="str">
        <f t="shared" si="2866"/>
        <v>NA</v>
      </c>
      <c r="AC2981" s="10" t="str">
        <f t="shared" si="2867"/>
        <v>NA</v>
      </c>
      <c r="AD2981" s="10" t="str">
        <f t="shared" si="2868"/>
        <v>NA</v>
      </c>
      <c r="AE2981" s="10" t="str">
        <f t="shared" si="2869"/>
        <v>NA</v>
      </c>
      <c r="AF2981" s="1" t="s">
        <v>2979</v>
      </c>
    </row>
    <row r="2982" spans="1:32" x14ac:dyDescent="0.2">
      <c r="A2982" s="1" t="s">
        <v>2954</v>
      </c>
      <c r="B2982" s="1" t="s">
        <v>5</v>
      </c>
      <c r="C2982" s="1" t="s">
        <v>2962</v>
      </c>
      <c r="D2982" s="1" t="s">
        <v>2160</v>
      </c>
      <c r="E2982" s="1" t="s">
        <v>1750</v>
      </c>
      <c r="F2982" s="1" t="s">
        <v>2966</v>
      </c>
      <c r="G2982" s="4">
        <f>1047000/34270159</f>
        <v>3.0551361025199796E-2</v>
      </c>
      <c r="H2982" s="28">
        <v>41274</v>
      </c>
      <c r="I2982" s="29">
        <f t="shared" si="2874"/>
        <v>2012</v>
      </c>
      <c r="J2982" s="1" t="s">
        <v>7</v>
      </c>
      <c r="K2982" s="1" t="s">
        <v>2954</v>
      </c>
      <c r="L2982" s="11" t="str">
        <f t="shared" si="2890"/>
        <v>ДА</v>
      </c>
      <c r="M2982" s="10">
        <v>0</v>
      </c>
      <c r="N2982" s="10">
        <v>0</v>
      </c>
      <c r="O2982" s="10" t="s">
        <v>1575</v>
      </c>
      <c r="P2982" s="10" t="str">
        <f t="shared" si="2858"/>
        <v>NA</v>
      </c>
      <c r="Q2982" s="10" t="str">
        <f t="shared" si="2859"/>
        <v>NA</v>
      </c>
      <c r="R2982" s="10">
        <v>65.549000000000007</v>
      </c>
      <c r="S2982" s="10">
        <v>8.3579999999999988</v>
      </c>
      <c r="T2982" s="10">
        <v>7.2449999999999992</v>
      </c>
      <c r="U2982" s="10">
        <v>5.8810000000000002</v>
      </c>
      <c r="V2982" s="10">
        <v>19.88</v>
      </c>
      <c r="W2982" s="10">
        <v>-5.7470000000000017</v>
      </c>
      <c r="X2982" s="10">
        <f t="shared" si="2862"/>
        <v>14.132999999999997</v>
      </c>
      <c r="Y2982" s="10" t="str">
        <f t="shared" si="2863"/>
        <v>NA</v>
      </c>
      <c r="Z2982" s="10" t="str">
        <f t="shared" si="2864"/>
        <v>NA</v>
      </c>
      <c r="AA2982" s="10" t="str">
        <f t="shared" si="2865"/>
        <v>NA</v>
      </c>
      <c r="AB2982" s="10" t="str">
        <f t="shared" si="2866"/>
        <v>NA</v>
      </c>
      <c r="AC2982" s="10" t="str">
        <f t="shared" si="2867"/>
        <v>NA</v>
      </c>
      <c r="AD2982" s="10" t="str">
        <f t="shared" si="2868"/>
        <v>NA</v>
      </c>
      <c r="AE2982" s="10" t="str">
        <f t="shared" si="2869"/>
        <v>NA</v>
      </c>
      <c r="AF2982" s="1" t="s">
        <v>2980</v>
      </c>
    </row>
    <row r="2983" spans="1:32" x14ac:dyDescent="0.2">
      <c r="A2983" s="1" t="s">
        <v>2954</v>
      </c>
      <c r="B2983" s="1" t="s">
        <v>5</v>
      </c>
      <c r="C2983" s="1" t="s">
        <v>2962</v>
      </c>
      <c r="D2983" s="1" t="s">
        <v>2160</v>
      </c>
      <c r="E2983" s="1" t="s">
        <v>1750</v>
      </c>
      <c r="F2983" s="1" t="s">
        <v>2966</v>
      </c>
      <c r="G2983" s="4">
        <f>248000/34270159</f>
        <v>7.2366165561122721E-3</v>
      </c>
      <c r="H2983" s="28">
        <v>41274</v>
      </c>
      <c r="I2983" s="29">
        <f t="shared" si="2874"/>
        <v>2012</v>
      </c>
      <c r="J2983" s="1" t="s">
        <v>2954</v>
      </c>
      <c r="K2983" s="1" t="s">
        <v>7</v>
      </c>
      <c r="L2983" s="11" t="str">
        <f t="shared" ref="L2983:L2984" si="2891">IF(OR(A2983=J2983,A2983=K2983),"ДА","НЕТ")</f>
        <v>ДА</v>
      </c>
      <c r="M2983" s="10">
        <v>0</v>
      </c>
      <c r="N2983" s="10">
        <v>0</v>
      </c>
      <c r="O2983" s="10" t="s">
        <v>1575</v>
      </c>
      <c r="P2983" s="10" t="str">
        <f t="shared" si="2858"/>
        <v>NA</v>
      </c>
      <c r="Q2983" s="10" t="str">
        <f t="shared" si="2859"/>
        <v>NA</v>
      </c>
      <c r="R2983" s="10">
        <v>65.549000000000007</v>
      </c>
      <c r="S2983" s="10">
        <v>8.3579999999999988</v>
      </c>
      <c r="T2983" s="10">
        <v>7.2449999999999992</v>
      </c>
      <c r="U2983" s="10">
        <v>5.8810000000000002</v>
      </c>
      <c r="V2983" s="10">
        <v>19.88</v>
      </c>
      <c r="W2983" s="10">
        <v>-5.7470000000000017</v>
      </c>
      <c r="X2983" s="10">
        <f t="shared" si="2862"/>
        <v>14.132999999999997</v>
      </c>
      <c r="Y2983" s="10" t="str">
        <f t="shared" si="2863"/>
        <v>NA</v>
      </c>
      <c r="Z2983" s="10" t="str">
        <f t="shared" si="2864"/>
        <v>NA</v>
      </c>
      <c r="AA2983" s="10" t="str">
        <f t="shared" si="2865"/>
        <v>NA</v>
      </c>
      <c r="AB2983" s="10" t="str">
        <f t="shared" si="2866"/>
        <v>NA</v>
      </c>
      <c r="AC2983" s="10" t="str">
        <f t="shared" si="2867"/>
        <v>NA</v>
      </c>
      <c r="AD2983" s="10" t="str">
        <f t="shared" si="2868"/>
        <v>NA</v>
      </c>
      <c r="AE2983" s="10" t="str">
        <f t="shared" si="2869"/>
        <v>NA</v>
      </c>
      <c r="AF2983" s="1" t="s">
        <v>2980</v>
      </c>
    </row>
    <row r="2984" spans="1:32" x14ac:dyDescent="0.2">
      <c r="A2984" s="1" t="s">
        <v>2954</v>
      </c>
      <c r="B2984" s="1" t="s">
        <v>5</v>
      </c>
      <c r="C2984" s="1" t="s">
        <v>2962</v>
      </c>
      <c r="D2984" s="1" t="s">
        <v>2160</v>
      </c>
      <c r="E2984" s="1" t="s">
        <v>1750</v>
      </c>
      <c r="F2984" s="1" t="s">
        <v>2966</v>
      </c>
      <c r="G2984" s="4">
        <f>228000/34270159</f>
        <v>6.6530184467483797E-3</v>
      </c>
      <c r="H2984" s="28">
        <v>40908</v>
      </c>
      <c r="I2984" s="29">
        <f t="shared" si="2874"/>
        <v>2011</v>
      </c>
      <c r="J2984" s="1" t="s">
        <v>7</v>
      </c>
      <c r="K2984" s="1" t="s">
        <v>2954</v>
      </c>
      <c r="L2984" s="11" t="str">
        <f t="shared" si="2891"/>
        <v>ДА</v>
      </c>
      <c r="M2984" s="10">
        <v>0</v>
      </c>
      <c r="N2984" s="10">
        <v>0</v>
      </c>
      <c r="O2984" s="10" t="s">
        <v>1575</v>
      </c>
      <c r="P2984" s="10" t="str">
        <f t="shared" si="2858"/>
        <v>NA</v>
      </c>
      <c r="Q2984" s="10" t="str">
        <f t="shared" si="2859"/>
        <v>NA</v>
      </c>
      <c r="R2984" s="10">
        <v>69.531000000000006</v>
      </c>
      <c r="S2984" s="10">
        <v>10.130000000000001</v>
      </c>
      <c r="T2984" s="10">
        <v>8.5090000000000003</v>
      </c>
      <c r="U2984" s="10">
        <v>4.694</v>
      </c>
      <c r="V2984" s="10">
        <v>13.554</v>
      </c>
      <c r="W2984" s="10">
        <v>3.1899999999999995</v>
      </c>
      <c r="X2984" s="10">
        <f t="shared" si="2862"/>
        <v>16.744</v>
      </c>
      <c r="Y2984" s="10" t="str">
        <f t="shared" si="2863"/>
        <v>NA</v>
      </c>
      <c r="Z2984" s="10" t="str">
        <f t="shared" si="2864"/>
        <v>NA</v>
      </c>
      <c r="AA2984" s="10" t="str">
        <f t="shared" si="2865"/>
        <v>NA</v>
      </c>
      <c r="AB2984" s="10" t="str">
        <f t="shared" si="2866"/>
        <v>NA</v>
      </c>
      <c r="AC2984" s="10" t="str">
        <f t="shared" si="2867"/>
        <v>NA</v>
      </c>
      <c r="AD2984" s="10" t="str">
        <f t="shared" si="2868"/>
        <v>NA</v>
      </c>
      <c r="AE2984" s="10" t="str">
        <f t="shared" si="2869"/>
        <v>NA</v>
      </c>
      <c r="AF2984" s="1" t="s">
        <v>2981</v>
      </c>
    </row>
    <row r="2985" spans="1:32" x14ac:dyDescent="0.2">
      <c r="A2985" s="1" t="s">
        <v>2954</v>
      </c>
      <c r="B2985" s="1" t="s">
        <v>5</v>
      </c>
      <c r="C2985" s="1" t="s">
        <v>2962</v>
      </c>
      <c r="D2985" s="1" t="s">
        <v>2160</v>
      </c>
      <c r="E2985" s="1" t="s">
        <v>1750</v>
      </c>
      <c r="F2985" s="1" t="s">
        <v>2966</v>
      </c>
      <c r="G2985" s="4">
        <f>285000/34270159</f>
        <v>8.3162730584354742E-3</v>
      </c>
      <c r="H2985" s="28">
        <v>40543</v>
      </c>
      <c r="I2985" s="29">
        <f t="shared" si="2874"/>
        <v>2010</v>
      </c>
      <c r="J2985" s="1" t="s">
        <v>7</v>
      </c>
      <c r="K2985" s="1" t="s">
        <v>2954</v>
      </c>
      <c r="L2985" s="11" t="str">
        <f t="shared" ref="L2985:L2999" si="2892">IF(OR(A2985=J2985,A2985=K2985),"ДА","НЕТ")</f>
        <v>ДА</v>
      </c>
      <c r="M2985" s="10">
        <v>0</v>
      </c>
      <c r="N2985" s="10">
        <v>0</v>
      </c>
      <c r="O2985" s="10" t="s">
        <v>1575</v>
      </c>
      <c r="P2985" s="10" t="str">
        <f t="shared" si="2858"/>
        <v>NA</v>
      </c>
      <c r="Q2985" s="10" t="str">
        <f t="shared" si="2859"/>
        <v>NA</v>
      </c>
      <c r="R2985" s="10" t="s">
        <v>1575</v>
      </c>
      <c r="S2985" s="10" t="s">
        <v>1575</v>
      </c>
      <c r="T2985" s="10" t="s">
        <v>1575</v>
      </c>
      <c r="U2985" s="10" t="s">
        <v>1575</v>
      </c>
      <c r="V2985" s="10">
        <v>8.9580000000000002</v>
      </c>
      <c r="W2985" s="10">
        <v>23.521000000000004</v>
      </c>
      <c r="X2985" s="10">
        <f t="shared" si="2862"/>
        <v>32.479000000000006</v>
      </c>
      <c r="Y2985" s="10" t="str">
        <f t="shared" si="2863"/>
        <v>NA</v>
      </c>
      <c r="Z2985" s="10" t="str">
        <f t="shared" si="2864"/>
        <v>NA</v>
      </c>
      <c r="AA2985" s="10" t="str">
        <f t="shared" si="2865"/>
        <v>NA</v>
      </c>
      <c r="AB2985" s="10" t="str">
        <f t="shared" si="2866"/>
        <v>NA</v>
      </c>
      <c r="AC2985" s="10" t="str">
        <f t="shared" si="2867"/>
        <v>NA</v>
      </c>
      <c r="AD2985" s="10" t="str">
        <f t="shared" si="2868"/>
        <v>NA</v>
      </c>
      <c r="AE2985" s="10" t="str">
        <f t="shared" si="2869"/>
        <v>NA</v>
      </c>
      <c r="AF2985" s="1" t="s">
        <v>2982</v>
      </c>
    </row>
    <row r="2986" spans="1:32" x14ac:dyDescent="0.2">
      <c r="A2986" s="1" t="s">
        <v>2954</v>
      </c>
      <c r="B2986" s="1" t="s">
        <v>5</v>
      </c>
      <c r="C2986" s="1" t="s">
        <v>2962</v>
      </c>
      <c r="D2986" s="1" t="s">
        <v>2160</v>
      </c>
      <c r="E2986" s="1" t="s">
        <v>1750</v>
      </c>
      <c r="F2986" s="1" t="s">
        <v>2966</v>
      </c>
      <c r="G2986" s="4">
        <f>285000/34270159</f>
        <v>8.3162730584354742E-3</v>
      </c>
      <c r="H2986" s="28">
        <v>40543</v>
      </c>
      <c r="I2986" s="29">
        <f t="shared" si="2874"/>
        <v>2010</v>
      </c>
      <c r="J2986" s="1" t="s">
        <v>2954</v>
      </c>
      <c r="K2986" s="1" t="s">
        <v>7</v>
      </c>
      <c r="L2986" s="11" t="str">
        <f t="shared" ref="L2986:L2987" si="2893">IF(OR(A2986=J2986,A2986=K2986),"ДА","НЕТ")</f>
        <v>ДА</v>
      </c>
      <c r="M2986" s="10">
        <v>0</v>
      </c>
      <c r="N2986" s="10">
        <v>0</v>
      </c>
      <c r="O2986" s="10" t="s">
        <v>1575</v>
      </c>
      <c r="P2986" s="10" t="str">
        <f t="shared" si="2858"/>
        <v>NA</v>
      </c>
      <c r="Q2986" s="10" t="str">
        <f t="shared" si="2859"/>
        <v>NA</v>
      </c>
      <c r="R2986" s="10" t="s">
        <v>1575</v>
      </c>
      <c r="S2986" s="10" t="s">
        <v>1575</v>
      </c>
      <c r="T2986" s="10" t="s">
        <v>1575</v>
      </c>
      <c r="U2986" s="10" t="s">
        <v>1575</v>
      </c>
      <c r="V2986" s="10">
        <v>8.9580000000000002</v>
      </c>
      <c r="W2986" s="10">
        <v>23.521000000000004</v>
      </c>
      <c r="X2986" s="10">
        <f t="shared" si="2862"/>
        <v>32.479000000000006</v>
      </c>
      <c r="Y2986" s="10" t="str">
        <f t="shared" si="2863"/>
        <v>NA</v>
      </c>
      <c r="Z2986" s="10" t="str">
        <f t="shared" si="2864"/>
        <v>NA</v>
      </c>
      <c r="AA2986" s="10" t="str">
        <f t="shared" si="2865"/>
        <v>NA</v>
      </c>
      <c r="AB2986" s="10" t="str">
        <f t="shared" si="2866"/>
        <v>NA</v>
      </c>
      <c r="AC2986" s="10" t="str">
        <f t="shared" si="2867"/>
        <v>NA</v>
      </c>
      <c r="AD2986" s="10" t="str">
        <f t="shared" si="2868"/>
        <v>NA</v>
      </c>
      <c r="AE2986" s="10" t="str">
        <f t="shared" si="2869"/>
        <v>NA</v>
      </c>
      <c r="AF2986" s="1" t="s">
        <v>2982</v>
      </c>
    </row>
    <row r="2987" spans="1:32" x14ac:dyDescent="0.2">
      <c r="A2987" s="1" t="s">
        <v>2954</v>
      </c>
      <c r="B2987" s="1" t="s">
        <v>5</v>
      </c>
      <c r="C2987" s="1" t="s">
        <v>2962</v>
      </c>
      <c r="D2987" s="1" t="s">
        <v>2160</v>
      </c>
      <c r="E2987" s="1" t="s">
        <v>1750</v>
      </c>
      <c r="F2987" s="1" t="s">
        <v>2966</v>
      </c>
      <c r="G2987" s="4">
        <f>807000/34270159</f>
        <v>2.3548183712833081E-2</v>
      </c>
      <c r="H2987" s="28">
        <v>40178</v>
      </c>
      <c r="I2987" s="29">
        <f t="shared" si="2874"/>
        <v>2009</v>
      </c>
      <c r="J2987" s="1" t="s">
        <v>7</v>
      </c>
      <c r="K2987" s="1" t="s">
        <v>2954</v>
      </c>
      <c r="L2987" s="11" t="str">
        <f t="shared" si="2893"/>
        <v>ДА</v>
      </c>
      <c r="M2987" s="10">
        <v>0</v>
      </c>
      <c r="N2987" s="10">
        <v>0</v>
      </c>
      <c r="O2987" s="10" t="s">
        <v>1575</v>
      </c>
      <c r="P2987" s="10" t="str">
        <f t="shared" si="2858"/>
        <v>NA</v>
      </c>
      <c r="Q2987" s="10" t="str">
        <f t="shared" si="2859"/>
        <v>NA</v>
      </c>
      <c r="R2987" s="10" t="s">
        <v>1575</v>
      </c>
      <c r="S2987" s="10" t="s">
        <v>1575</v>
      </c>
      <c r="T2987" s="10" t="s">
        <v>1575</v>
      </c>
      <c r="U2987" s="10" t="s">
        <v>1575</v>
      </c>
      <c r="V2987" s="10" t="s">
        <v>1575</v>
      </c>
      <c r="W2987" s="10" t="s">
        <v>1575</v>
      </c>
      <c r="X2987" s="10" t="str">
        <f t="shared" si="2862"/>
        <v>NA</v>
      </c>
      <c r="Y2987" s="10" t="str">
        <f t="shared" si="2863"/>
        <v>NA</v>
      </c>
      <c r="Z2987" s="10" t="str">
        <f t="shared" si="2864"/>
        <v>NA</v>
      </c>
      <c r="AA2987" s="10" t="str">
        <f t="shared" si="2865"/>
        <v>NA</v>
      </c>
      <c r="AB2987" s="10" t="str">
        <f t="shared" si="2866"/>
        <v>NA</v>
      </c>
      <c r="AC2987" s="10" t="str">
        <f t="shared" si="2867"/>
        <v>NA</v>
      </c>
      <c r="AD2987" s="10" t="str">
        <f t="shared" si="2868"/>
        <v>NA</v>
      </c>
      <c r="AE2987" s="10" t="str">
        <f t="shared" si="2869"/>
        <v>NA</v>
      </c>
      <c r="AF2987" s="1" t="s">
        <v>2983</v>
      </c>
    </row>
    <row r="2988" spans="1:32" x14ac:dyDescent="0.2">
      <c r="A2988" s="1" t="s">
        <v>2954</v>
      </c>
      <c r="B2988" s="1" t="s">
        <v>5</v>
      </c>
      <c r="C2988" s="1" t="s">
        <v>2962</v>
      </c>
      <c r="D2988" s="1" t="s">
        <v>2160</v>
      </c>
      <c r="E2988" s="1" t="s">
        <v>1750</v>
      </c>
      <c r="F2988" s="1" t="s">
        <v>2966</v>
      </c>
      <c r="G2988" s="4">
        <f>130000/34270159</f>
        <v>3.7933877108653042E-3</v>
      </c>
      <c r="H2988" s="28">
        <v>40178</v>
      </c>
      <c r="I2988" s="29">
        <f t="shared" si="2874"/>
        <v>2009</v>
      </c>
      <c r="J2988" s="1" t="s">
        <v>2954</v>
      </c>
      <c r="K2988" s="1" t="s">
        <v>7</v>
      </c>
      <c r="L2988" s="11" t="str">
        <f t="shared" si="2892"/>
        <v>ДА</v>
      </c>
      <c r="M2988" s="10">
        <v>0</v>
      </c>
      <c r="N2988" s="10">
        <v>0</v>
      </c>
      <c r="O2988" s="10" t="s">
        <v>1575</v>
      </c>
      <c r="P2988" s="10" t="str">
        <f t="shared" si="2858"/>
        <v>NA</v>
      </c>
      <c r="Q2988" s="10" t="str">
        <f t="shared" si="2859"/>
        <v>NA</v>
      </c>
      <c r="R2988" s="10" t="s">
        <v>1575</v>
      </c>
      <c r="S2988" s="10" t="s">
        <v>1575</v>
      </c>
      <c r="T2988" s="10" t="s">
        <v>1575</v>
      </c>
      <c r="U2988" s="10" t="s">
        <v>1575</v>
      </c>
      <c r="V2988" s="10" t="s">
        <v>1575</v>
      </c>
      <c r="W2988" s="10" t="s">
        <v>1575</v>
      </c>
      <c r="X2988" s="10" t="str">
        <f t="shared" si="2862"/>
        <v>NA</v>
      </c>
      <c r="Y2988" s="10" t="str">
        <f t="shared" si="2863"/>
        <v>NA</v>
      </c>
      <c r="Z2988" s="10" t="str">
        <f t="shared" si="2864"/>
        <v>NA</v>
      </c>
      <c r="AA2988" s="10" t="str">
        <f t="shared" si="2865"/>
        <v>NA</v>
      </c>
      <c r="AB2988" s="10" t="str">
        <f t="shared" si="2866"/>
        <v>NA</v>
      </c>
      <c r="AC2988" s="10" t="str">
        <f t="shared" si="2867"/>
        <v>NA</v>
      </c>
      <c r="AD2988" s="10" t="str">
        <f t="shared" si="2868"/>
        <v>NA</v>
      </c>
      <c r="AE2988" s="10" t="str">
        <f t="shared" si="2869"/>
        <v>NA</v>
      </c>
      <c r="AF2988" s="1" t="s">
        <v>2983</v>
      </c>
    </row>
    <row r="2989" spans="1:32" x14ac:dyDescent="0.2">
      <c r="A2989" s="1" t="s">
        <v>2954</v>
      </c>
      <c r="B2989" s="1" t="s">
        <v>5</v>
      </c>
      <c r="C2989" s="1" t="s">
        <v>2962</v>
      </c>
      <c r="D2989" s="1" t="s">
        <v>2160</v>
      </c>
      <c r="E2989" s="1" t="s">
        <v>1750</v>
      </c>
      <c r="F2989" s="1" t="s">
        <v>2966</v>
      </c>
      <c r="G2989" s="4">
        <f>726000/34270159</f>
        <v>2.1184611369909314E-2</v>
      </c>
      <c r="H2989" s="28">
        <v>39813</v>
      </c>
      <c r="I2989" s="29">
        <f t="shared" si="2874"/>
        <v>2008</v>
      </c>
      <c r="J2989" s="1" t="s">
        <v>2954</v>
      </c>
      <c r="K2989" s="1" t="s">
        <v>7</v>
      </c>
      <c r="L2989" s="11" t="str">
        <f t="shared" si="2892"/>
        <v>ДА</v>
      </c>
      <c r="M2989" s="10">
        <v>0</v>
      </c>
      <c r="N2989" s="10">
        <v>0</v>
      </c>
      <c r="O2989" s="10">
        <v>0.874</v>
      </c>
      <c r="P2989" s="10">
        <f t="shared" si="2858"/>
        <v>41.256362212121211</v>
      </c>
      <c r="Q2989" s="10" t="str">
        <f t="shared" si="2859"/>
        <v>NA</v>
      </c>
      <c r="R2989" s="10" t="s">
        <v>1575</v>
      </c>
      <c r="S2989" s="10" t="s">
        <v>1575</v>
      </c>
      <c r="T2989" s="10" t="s">
        <v>1575</v>
      </c>
      <c r="U2989" s="10" t="s">
        <v>1575</v>
      </c>
      <c r="V2989" s="10" t="s">
        <v>1575</v>
      </c>
      <c r="W2989" s="10" t="s">
        <v>1575</v>
      </c>
      <c r="X2989" s="10" t="str">
        <f t="shared" si="2862"/>
        <v>NA</v>
      </c>
      <c r="Y2989" s="10" t="str">
        <f t="shared" si="2863"/>
        <v>NA</v>
      </c>
      <c r="Z2989" s="10" t="str">
        <f t="shared" si="2864"/>
        <v>NA</v>
      </c>
      <c r="AA2989" s="10" t="str">
        <f t="shared" si="2865"/>
        <v>NA</v>
      </c>
      <c r="AB2989" s="10" t="str">
        <f t="shared" si="2866"/>
        <v>NA</v>
      </c>
      <c r="AC2989" s="10" t="str">
        <f t="shared" si="2867"/>
        <v>NA</v>
      </c>
      <c r="AD2989" s="10" t="str">
        <f t="shared" si="2868"/>
        <v>NA</v>
      </c>
      <c r="AE2989" s="10" t="str">
        <f t="shared" si="2869"/>
        <v>NA</v>
      </c>
      <c r="AF2989" s="1" t="s">
        <v>2984</v>
      </c>
    </row>
    <row r="2990" spans="1:32" x14ac:dyDescent="0.2">
      <c r="A2990" s="1" t="s">
        <v>6718</v>
      </c>
      <c r="B2990" s="1" t="s">
        <v>5</v>
      </c>
      <c r="C2990" s="1" t="s">
        <v>1575</v>
      </c>
      <c r="D2990" s="1" t="s">
        <v>2160</v>
      </c>
      <c r="E2990" s="1" t="s">
        <v>1750</v>
      </c>
      <c r="F2990" s="1" t="s">
        <v>2753</v>
      </c>
      <c r="G2990" s="4">
        <v>0.999</v>
      </c>
      <c r="H2990" s="28">
        <v>42794</v>
      </c>
      <c r="I2990" s="29">
        <f t="shared" si="2874"/>
        <v>2017</v>
      </c>
      <c r="J2990" s="1" t="s">
        <v>3001</v>
      </c>
      <c r="K2990" s="1" t="s">
        <v>7</v>
      </c>
      <c r="L2990" s="11" t="str">
        <f t="shared" ref="L2990" si="2894">IF(OR(A2990=J2990,A2990=K2990),"ДА","НЕТ")</f>
        <v>НЕТ</v>
      </c>
      <c r="M2990" s="10">
        <v>0</v>
      </c>
      <c r="N2990" s="10">
        <v>0</v>
      </c>
      <c r="O2990" s="10">
        <v>3.0299999999999999E-4</v>
      </c>
      <c r="P2990" s="10">
        <f t="shared" si="2858"/>
        <v>3.0330330330330331E-4</v>
      </c>
      <c r="Q2990" s="10" t="str">
        <f t="shared" si="2859"/>
        <v>NA</v>
      </c>
      <c r="R2990" s="10" t="s">
        <v>1575</v>
      </c>
      <c r="S2990" s="10" t="s">
        <v>1575</v>
      </c>
      <c r="T2990" s="10" t="s">
        <v>1575</v>
      </c>
      <c r="U2990" s="10" t="s">
        <v>1575</v>
      </c>
      <c r="V2990" s="10" t="s">
        <v>1575</v>
      </c>
      <c r="W2990" s="10" t="s">
        <v>1575</v>
      </c>
      <c r="X2990" s="10" t="str">
        <f t="shared" si="2862"/>
        <v>NA</v>
      </c>
      <c r="Y2990" s="10" t="str">
        <f t="shared" si="2863"/>
        <v>NA</v>
      </c>
      <c r="Z2990" s="10" t="str">
        <f t="shared" si="2864"/>
        <v>NA</v>
      </c>
      <c r="AA2990" s="10" t="str">
        <f t="shared" si="2865"/>
        <v>NA</v>
      </c>
      <c r="AB2990" s="10" t="str">
        <f t="shared" si="2866"/>
        <v>NA</v>
      </c>
      <c r="AC2990" s="10" t="str">
        <f t="shared" si="2867"/>
        <v>NA</v>
      </c>
      <c r="AD2990" s="10" t="str">
        <f t="shared" si="2868"/>
        <v>NA</v>
      </c>
      <c r="AE2990" s="10" t="str">
        <f t="shared" si="2869"/>
        <v>NA</v>
      </c>
      <c r="AF2990" s="1" t="s">
        <v>3000</v>
      </c>
    </row>
    <row r="2991" spans="1:32" x14ac:dyDescent="0.2">
      <c r="A2991" s="1" t="s">
        <v>6719</v>
      </c>
      <c r="B2991" s="1" t="s">
        <v>5</v>
      </c>
      <c r="C2991" s="1" t="s">
        <v>1575</v>
      </c>
      <c r="D2991" s="1" t="s">
        <v>2160</v>
      </c>
      <c r="E2991" s="1" t="s">
        <v>1750</v>
      </c>
      <c r="F2991" s="1" t="s">
        <v>3003</v>
      </c>
      <c r="G2991" s="4">
        <v>0.99990000000000001</v>
      </c>
      <c r="H2991" s="28">
        <v>42855</v>
      </c>
      <c r="I2991" s="29">
        <f t="shared" si="2874"/>
        <v>2017</v>
      </c>
      <c r="J2991" s="1" t="s">
        <v>3001</v>
      </c>
      <c r="K2991" s="1" t="s">
        <v>7</v>
      </c>
      <c r="L2991" s="11" t="str">
        <f t="shared" ref="L2991" si="2895">IF(OR(A2991=J2991,A2991=K2991),"ДА","НЕТ")</f>
        <v>НЕТ</v>
      </c>
      <c r="M2991" s="10">
        <v>0</v>
      </c>
      <c r="N2991" s="10">
        <v>0</v>
      </c>
      <c r="O2991" s="10">
        <v>0.94010000000000005</v>
      </c>
      <c r="P2991" s="10">
        <f t="shared" si="2858"/>
        <v>0.94019401940194025</v>
      </c>
      <c r="Q2991" s="10" t="str">
        <f t="shared" si="2859"/>
        <v>NA</v>
      </c>
      <c r="R2991" s="10" t="s">
        <v>1575</v>
      </c>
      <c r="S2991" s="10" t="s">
        <v>1575</v>
      </c>
      <c r="T2991" s="10" t="s">
        <v>1575</v>
      </c>
      <c r="U2991" s="10" t="s">
        <v>1575</v>
      </c>
      <c r="V2991" s="10" t="s">
        <v>1575</v>
      </c>
      <c r="W2991" s="10" t="s">
        <v>1575</v>
      </c>
      <c r="X2991" s="10" t="str">
        <f t="shared" si="2862"/>
        <v>NA</v>
      </c>
      <c r="Y2991" s="10" t="str">
        <f t="shared" si="2863"/>
        <v>NA</v>
      </c>
      <c r="Z2991" s="10" t="str">
        <f t="shared" si="2864"/>
        <v>NA</v>
      </c>
      <c r="AA2991" s="10" t="str">
        <f t="shared" si="2865"/>
        <v>NA</v>
      </c>
      <c r="AB2991" s="10" t="str">
        <f t="shared" si="2866"/>
        <v>NA</v>
      </c>
      <c r="AC2991" s="10" t="str">
        <f t="shared" si="2867"/>
        <v>NA</v>
      </c>
      <c r="AD2991" s="10" t="str">
        <f t="shared" si="2868"/>
        <v>NA</v>
      </c>
      <c r="AE2991" s="10" t="str">
        <f t="shared" si="2869"/>
        <v>NA</v>
      </c>
      <c r="AF2991" s="1" t="s">
        <v>3002</v>
      </c>
    </row>
    <row r="2992" spans="1:32" x14ac:dyDescent="0.2">
      <c r="A2992" s="1" t="s">
        <v>3004</v>
      </c>
      <c r="B2992" s="1" t="s">
        <v>5</v>
      </c>
      <c r="C2992" s="1" t="s">
        <v>1575</v>
      </c>
      <c r="D2992" s="1" t="s">
        <v>2160</v>
      </c>
      <c r="E2992" s="1" t="s">
        <v>1750</v>
      </c>
      <c r="F2992" s="1" t="s">
        <v>2753</v>
      </c>
      <c r="G2992" s="4">
        <v>1</v>
      </c>
      <c r="H2992" s="28">
        <v>43038</v>
      </c>
      <c r="I2992" s="29">
        <f t="shared" si="2874"/>
        <v>2017</v>
      </c>
      <c r="J2992" s="1" t="s">
        <v>7</v>
      </c>
      <c r="K2992" s="1" t="s">
        <v>3001</v>
      </c>
      <c r="L2992" s="11" t="str">
        <f t="shared" ref="L2992" si="2896">IF(OR(A2992=J2992,A2992=K2992),"ДА","НЕТ")</f>
        <v>НЕТ</v>
      </c>
      <c r="M2992" s="10">
        <v>0</v>
      </c>
      <c r="N2992" s="10">
        <v>0</v>
      </c>
      <c r="O2992" s="10">
        <v>0.63170000000000004</v>
      </c>
      <c r="P2992" s="10">
        <f t="shared" si="2858"/>
        <v>0.63170000000000004</v>
      </c>
      <c r="Q2992" s="10" t="str">
        <f t="shared" si="2859"/>
        <v>NA</v>
      </c>
      <c r="R2992" s="10">
        <v>0.55747100000000005</v>
      </c>
      <c r="S2992" s="10" t="s">
        <v>1575</v>
      </c>
      <c r="T2992" s="10" t="s">
        <v>1575</v>
      </c>
      <c r="U2992" s="10">
        <v>3.6870000000000002E-3</v>
      </c>
      <c r="V2992" s="10">
        <v>1.1026290000000001</v>
      </c>
      <c r="W2992" s="10" t="s">
        <v>1575</v>
      </c>
      <c r="X2992" s="10" t="str">
        <f t="shared" si="2862"/>
        <v>NA</v>
      </c>
      <c r="Y2992" s="10">
        <f t="shared" si="2863"/>
        <v>1.1331531146911678</v>
      </c>
      <c r="Z2992" s="10">
        <f t="shared" si="2864"/>
        <v>171.33170599403309</v>
      </c>
      <c r="AA2992" s="10">
        <f t="shared" si="2865"/>
        <v>0.57290348793655888</v>
      </c>
      <c r="AB2992" s="10" t="str">
        <f t="shared" si="2866"/>
        <v>NA</v>
      </c>
      <c r="AC2992" s="10" t="str">
        <f t="shared" si="2867"/>
        <v>NA</v>
      </c>
      <c r="AD2992" s="10" t="str">
        <f t="shared" si="2868"/>
        <v>NA</v>
      </c>
      <c r="AE2992" s="10" t="str">
        <f t="shared" si="2869"/>
        <v>NA</v>
      </c>
      <c r="AF2992" s="1" t="s">
        <v>3005</v>
      </c>
    </row>
    <row r="2993" spans="1:32" x14ac:dyDescent="0.2">
      <c r="A2993" s="1" t="s">
        <v>6720</v>
      </c>
      <c r="B2993" s="1" t="s">
        <v>5</v>
      </c>
      <c r="C2993" s="1" t="s">
        <v>1575</v>
      </c>
      <c r="D2993" s="1" t="s">
        <v>2160</v>
      </c>
      <c r="E2993" s="1" t="s">
        <v>1750</v>
      </c>
      <c r="F2993" s="1" t="s">
        <v>2753</v>
      </c>
      <c r="G2993" s="4">
        <f>94%-63%</f>
        <v>0.30999999999999994</v>
      </c>
      <c r="H2993" s="28">
        <v>43100</v>
      </c>
      <c r="I2993" s="29">
        <f t="shared" si="2874"/>
        <v>2017</v>
      </c>
      <c r="J2993" s="1" t="s">
        <v>3001</v>
      </c>
      <c r="K2993" s="1" t="s">
        <v>7</v>
      </c>
      <c r="L2993" s="11" t="str">
        <f t="shared" ref="L2993" si="2897">IF(OR(A2993=J2993,A2993=K2993),"ДА","НЕТ")</f>
        <v>НЕТ</v>
      </c>
      <c r="M2993" s="10">
        <v>0</v>
      </c>
      <c r="N2993" s="10">
        <v>0</v>
      </c>
      <c r="O2993" s="10">
        <v>0.62439999999999996</v>
      </c>
      <c r="P2993" s="10">
        <f t="shared" si="2858"/>
        <v>2.0141935483870972</v>
      </c>
      <c r="Q2993" s="10" t="str">
        <f t="shared" si="2859"/>
        <v>NA</v>
      </c>
      <c r="R2993" s="10">
        <v>21.426842000000001</v>
      </c>
      <c r="S2993" s="10" t="s">
        <v>1575</v>
      </c>
      <c r="T2993" s="10" t="s">
        <v>1575</v>
      </c>
      <c r="U2993" s="10">
        <v>0.91219899999999998</v>
      </c>
      <c r="V2993" s="10">
        <v>6.6225480000000001</v>
      </c>
      <c r="W2993" s="10" t="s">
        <v>1575</v>
      </c>
      <c r="X2993" s="10" t="str">
        <f t="shared" si="2862"/>
        <v>NA</v>
      </c>
      <c r="Y2993" s="10">
        <f t="shared" si="2863"/>
        <v>9.4003285616569024E-2</v>
      </c>
      <c r="Z2993" s="10">
        <f t="shared" si="2864"/>
        <v>2.2080637540570613</v>
      </c>
      <c r="AA2993" s="10">
        <f t="shared" si="2865"/>
        <v>0.30414178174127199</v>
      </c>
      <c r="AB2993" s="10" t="str">
        <f t="shared" si="2866"/>
        <v>NA</v>
      </c>
      <c r="AC2993" s="10" t="str">
        <f t="shared" si="2867"/>
        <v>NA</v>
      </c>
      <c r="AD2993" s="10" t="str">
        <f t="shared" si="2868"/>
        <v>NA</v>
      </c>
      <c r="AE2993" s="10" t="str">
        <f t="shared" si="2869"/>
        <v>NA</v>
      </c>
      <c r="AF2993" s="1" t="s">
        <v>3006</v>
      </c>
    </row>
    <row r="2994" spans="1:32" x14ac:dyDescent="0.2">
      <c r="A2994" s="1" t="s">
        <v>3007</v>
      </c>
      <c r="B2994" s="1" t="s">
        <v>5</v>
      </c>
      <c r="C2994" s="1" t="s">
        <v>1575</v>
      </c>
      <c r="D2994" s="1" t="s">
        <v>2160</v>
      </c>
      <c r="E2994" s="1" t="s">
        <v>1750</v>
      </c>
      <c r="F2994" s="1" t="s">
        <v>3009</v>
      </c>
      <c r="G2994" s="4">
        <v>0.49</v>
      </c>
      <c r="H2994" s="28">
        <v>41820</v>
      </c>
      <c r="I2994" s="29">
        <f t="shared" si="2874"/>
        <v>2014</v>
      </c>
      <c r="J2994" s="1" t="s">
        <v>3001</v>
      </c>
      <c r="K2994" s="1" t="s">
        <v>7</v>
      </c>
      <c r="L2994" s="11" t="str">
        <f t="shared" ref="L2994" si="2898">IF(OR(A2994=J2994,A2994=K2994),"ДА","НЕТ")</f>
        <v>НЕТ</v>
      </c>
      <c r="M2994" s="10">
        <v>0</v>
      </c>
      <c r="N2994" s="10">
        <v>0</v>
      </c>
      <c r="O2994" s="10">
        <v>0.7</v>
      </c>
      <c r="P2994" s="10">
        <f t="shared" si="2858"/>
        <v>1.4285714285714286</v>
      </c>
      <c r="Q2994" s="10" t="str">
        <f t="shared" si="2859"/>
        <v>NA</v>
      </c>
      <c r="R2994" s="10" t="s">
        <v>1575</v>
      </c>
      <c r="S2994" s="10" t="s">
        <v>1575</v>
      </c>
      <c r="T2994" s="10" t="s">
        <v>1575</v>
      </c>
      <c r="U2994" s="10" t="s">
        <v>1575</v>
      </c>
      <c r="V2994" s="10">
        <v>1.3178909999999999</v>
      </c>
      <c r="W2994" s="10" t="s">
        <v>1575</v>
      </c>
      <c r="X2994" s="10" t="str">
        <f t="shared" si="2862"/>
        <v>NA</v>
      </c>
      <c r="Y2994" s="10" t="str">
        <f t="shared" si="2863"/>
        <v>NA</v>
      </c>
      <c r="Z2994" s="10" t="str">
        <f t="shared" si="2864"/>
        <v>NA</v>
      </c>
      <c r="AA2994" s="10">
        <f t="shared" si="2865"/>
        <v>1.0839829914396779</v>
      </c>
      <c r="AB2994" s="10" t="str">
        <f t="shared" si="2866"/>
        <v>NA</v>
      </c>
      <c r="AC2994" s="10" t="str">
        <f t="shared" si="2867"/>
        <v>NA</v>
      </c>
      <c r="AD2994" s="10" t="str">
        <f t="shared" si="2868"/>
        <v>NA</v>
      </c>
      <c r="AE2994" s="10" t="str">
        <f t="shared" si="2869"/>
        <v>NA</v>
      </c>
      <c r="AF2994" s="1" t="s">
        <v>3013</v>
      </c>
    </row>
    <row r="2995" spans="1:32" x14ac:dyDescent="0.2">
      <c r="A2995" s="1" t="s">
        <v>3008</v>
      </c>
      <c r="B2995" s="1" t="s">
        <v>1575</v>
      </c>
      <c r="C2995" s="1" t="s">
        <v>1575</v>
      </c>
      <c r="D2995" s="1" t="s">
        <v>2160</v>
      </c>
      <c r="E2995" s="1" t="s">
        <v>1750</v>
      </c>
      <c r="F2995" s="1" t="s">
        <v>2753</v>
      </c>
      <c r="G2995" s="4">
        <v>0.98</v>
      </c>
      <c r="H2995" s="28">
        <v>41394</v>
      </c>
      <c r="I2995" s="29">
        <f t="shared" si="2874"/>
        <v>2013</v>
      </c>
      <c r="J2995" s="1" t="s">
        <v>3001</v>
      </c>
      <c r="K2995" s="1" t="s">
        <v>7</v>
      </c>
      <c r="L2995" s="11" t="str">
        <f t="shared" ref="L2995" si="2899">IF(OR(A2995=J2995,A2995=K2995),"ДА","НЕТ")</f>
        <v>НЕТ</v>
      </c>
      <c r="M2995" s="10">
        <v>0</v>
      </c>
      <c r="N2995" s="10">
        <v>0</v>
      </c>
      <c r="O2995" s="10">
        <v>1.6</v>
      </c>
      <c r="P2995" s="10">
        <f t="shared" si="2858"/>
        <v>1.6326530612244898</v>
      </c>
      <c r="Q2995" s="10" t="str">
        <f t="shared" si="2859"/>
        <v>NA</v>
      </c>
      <c r="R2995" s="10" t="s">
        <v>1575</v>
      </c>
      <c r="S2995" s="10" t="s">
        <v>1575</v>
      </c>
      <c r="T2995" s="10" t="s">
        <v>1575</v>
      </c>
      <c r="U2995" s="10" t="s">
        <v>1575</v>
      </c>
      <c r="V2995" s="10">
        <v>0.996251</v>
      </c>
      <c r="W2995" s="10" t="s">
        <v>1575</v>
      </c>
      <c r="X2995" s="10" t="str">
        <f t="shared" si="2862"/>
        <v>NA</v>
      </c>
      <c r="Y2995" s="10" t="str">
        <f t="shared" si="2863"/>
        <v>NA</v>
      </c>
      <c r="Z2995" s="10" t="str">
        <f t="shared" si="2864"/>
        <v>NA</v>
      </c>
      <c r="AA2995" s="10">
        <f t="shared" si="2865"/>
        <v>1.6387969108432412</v>
      </c>
      <c r="AB2995" s="10" t="str">
        <f t="shared" si="2866"/>
        <v>NA</v>
      </c>
      <c r="AC2995" s="10" t="str">
        <f t="shared" si="2867"/>
        <v>NA</v>
      </c>
      <c r="AD2995" s="10" t="str">
        <f t="shared" si="2868"/>
        <v>NA</v>
      </c>
      <c r="AE2995" s="10" t="str">
        <f t="shared" si="2869"/>
        <v>NA</v>
      </c>
      <c r="AF2995" s="1" t="s">
        <v>3012</v>
      </c>
    </row>
    <row r="2996" spans="1:32" x14ac:dyDescent="0.2">
      <c r="A2996" s="1" t="s">
        <v>6720</v>
      </c>
      <c r="B2996" s="1" t="s">
        <v>5</v>
      </c>
      <c r="C2996" s="1" t="s">
        <v>1575</v>
      </c>
      <c r="D2996" s="1" t="s">
        <v>2160</v>
      </c>
      <c r="E2996" s="1" t="s">
        <v>1750</v>
      </c>
      <c r="F2996" s="1" t="s">
        <v>2753</v>
      </c>
      <c r="G2996" s="6" t="s">
        <v>3015</v>
      </c>
      <c r="H2996" s="28">
        <v>40908</v>
      </c>
      <c r="I2996" s="29">
        <f t="shared" si="2874"/>
        <v>2011</v>
      </c>
      <c r="J2996" s="1" t="s">
        <v>3001</v>
      </c>
      <c r="K2996" s="1" t="s">
        <v>7</v>
      </c>
      <c r="L2996" s="11" t="str">
        <f t="shared" ref="L2996" si="2900">IF(OR(A2996=J2996,A2996=K2996),"ДА","НЕТ")</f>
        <v>НЕТ</v>
      </c>
      <c r="M2996" s="10">
        <v>0</v>
      </c>
      <c r="N2996" s="10">
        <v>0</v>
      </c>
      <c r="O2996" s="10">
        <v>1.4912E-2</v>
      </c>
      <c r="P2996" s="10" t="str">
        <f t="shared" si="2858"/>
        <v>NA</v>
      </c>
      <c r="Q2996" s="10" t="str">
        <f t="shared" si="2859"/>
        <v>NA</v>
      </c>
      <c r="R2996" s="10" t="s">
        <v>1575</v>
      </c>
      <c r="S2996" s="10" t="s">
        <v>1575</v>
      </c>
      <c r="T2996" s="10" t="s">
        <v>1575</v>
      </c>
      <c r="U2996" s="10" t="s">
        <v>1575</v>
      </c>
      <c r="V2996" s="10" t="s">
        <v>1575</v>
      </c>
      <c r="W2996" s="10" t="s">
        <v>1575</v>
      </c>
      <c r="X2996" s="10" t="str">
        <f t="shared" si="2862"/>
        <v>NA</v>
      </c>
      <c r="Y2996" s="10" t="str">
        <f t="shared" si="2863"/>
        <v>NA</v>
      </c>
      <c r="Z2996" s="10" t="str">
        <f t="shared" si="2864"/>
        <v>NA</v>
      </c>
      <c r="AA2996" s="10" t="str">
        <f t="shared" si="2865"/>
        <v>NA</v>
      </c>
      <c r="AB2996" s="10" t="str">
        <f t="shared" si="2866"/>
        <v>NA</v>
      </c>
      <c r="AC2996" s="10" t="str">
        <f t="shared" si="2867"/>
        <v>NA</v>
      </c>
      <c r="AD2996" s="10" t="str">
        <f t="shared" si="2868"/>
        <v>NA</v>
      </c>
      <c r="AE2996" s="10" t="str">
        <f t="shared" si="2869"/>
        <v>NA</v>
      </c>
      <c r="AF2996" s="1" t="s">
        <v>3014</v>
      </c>
    </row>
    <row r="2997" spans="1:32" x14ac:dyDescent="0.2">
      <c r="A2997" s="1" t="s">
        <v>6720</v>
      </c>
      <c r="B2997" s="1" t="s">
        <v>5</v>
      </c>
      <c r="C2997" s="1" t="s">
        <v>1575</v>
      </c>
      <c r="D2997" s="1" t="s">
        <v>2160</v>
      </c>
      <c r="E2997" s="1" t="s">
        <v>1750</v>
      </c>
      <c r="F2997" s="1" t="s">
        <v>2753</v>
      </c>
      <c r="G2997" s="6" t="s">
        <v>3015</v>
      </c>
      <c r="H2997" s="28">
        <v>40543</v>
      </c>
      <c r="I2997" s="29">
        <f t="shared" si="2874"/>
        <v>2010</v>
      </c>
      <c r="J2997" s="1" t="s">
        <v>3001</v>
      </c>
      <c r="K2997" s="1" t="s">
        <v>7</v>
      </c>
      <c r="L2997" s="11" t="str">
        <f t="shared" ref="L2997" si="2901">IF(OR(A2997=J2997,A2997=K2997),"ДА","НЕТ")</f>
        <v>НЕТ</v>
      </c>
      <c r="M2997" s="10">
        <v>0</v>
      </c>
      <c r="N2997" s="10">
        <v>0</v>
      </c>
      <c r="O2997" s="10">
        <v>1.9817000000000001E-2</v>
      </c>
      <c r="P2997" s="10" t="str">
        <f t="shared" si="2858"/>
        <v>NA</v>
      </c>
      <c r="Q2997" s="10" t="str">
        <f t="shared" si="2859"/>
        <v>NA</v>
      </c>
      <c r="R2997" s="10" t="s">
        <v>1575</v>
      </c>
      <c r="S2997" s="10" t="s">
        <v>1575</v>
      </c>
      <c r="T2997" s="10" t="s">
        <v>1575</v>
      </c>
      <c r="U2997" s="10" t="s">
        <v>1575</v>
      </c>
      <c r="V2997" s="10" t="s">
        <v>1575</v>
      </c>
      <c r="W2997" s="10" t="s">
        <v>1575</v>
      </c>
      <c r="X2997" s="10" t="str">
        <f t="shared" si="2862"/>
        <v>NA</v>
      </c>
      <c r="Y2997" s="10" t="str">
        <f t="shared" si="2863"/>
        <v>NA</v>
      </c>
      <c r="Z2997" s="10" t="str">
        <f t="shared" si="2864"/>
        <v>NA</v>
      </c>
      <c r="AA2997" s="10" t="str">
        <f t="shared" si="2865"/>
        <v>NA</v>
      </c>
      <c r="AB2997" s="10" t="str">
        <f t="shared" si="2866"/>
        <v>NA</v>
      </c>
      <c r="AC2997" s="10" t="str">
        <f t="shared" si="2867"/>
        <v>NA</v>
      </c>
      <c r="AD2997" s="10" t="str">
        <f t="shared" si="2868"/>
        <v>NA</v>
      </c>
      <c r="AE2997" s="10" t="str">
        <f t="shared" si="2869"/>
        <v>NA</v>
      </c>
      <c r="AF2997" s="1" t="s">
        <v>3011</v>
      </c>
    </row>
    <row r="2998" spans="1:32" x14ac:dyDescent="0.2">
      <c r="A2998" s="1" t="s">
        <v>6721</v>
      </c>
      <c r="B2998" s="1" t="s">
        <v>5</v>
      </c>
      <c r="C2998" s="1" t="s">
        <v>1575</v>
      </c>
      <c r="D2998" s="1" t="s">
        <v>2160</v>
      </c>
      <c r="E2998" s="1" t="s">
        <v>1750</v>
      </c>
      <c r="F2998" s="1" t="s">
        <v>2753</v>
      </c>
      <c r="G2998" s="4" t="s">
        <v>1575</v>
      </c>
      <c r="H2998" s="28">
        <v>40543</v>
      </c>
      <c r="I2998" s="29">
        <f t="shared" si="2874"/>
        <v>2010</v>
      </c>
      <c r="J2998" s="1" t="s">
        <v>3001</v>
      </c>
      <c r="K2998" s="1" t="s">
        <v>7</v>
      </c>
      <c r="L2998" s="11" t="str">
        <f t="shared" ref="L2998" si="2902">IF(OR(A2998=J2998,A2998=K2998),"ДА","НЕТ")</f>
        <v>НЕТ</v>
      </c>
      <c r="M2998" s="10">
        <v>0</v>
      </c>
      <c r="N2998" s="10">
        <v>0</v>
      </c>
      <c r="O2998" s="10">
        <v>0.32747500000000002</v>
      </c>
      <c r="P2998" s="10" t="str">
        <f t="shared" si="2858"/>
        <v>NA</v>
      </c>
      <c r="Q2998" s="10" t="str">
        <f t="shared" si="2859"/>
        <v>NA</v>
      </c>
      <c r="R2998" s="10" t="s">
        <v>1575</v>
      </c>
      <c r="S2998" s="10" t="s">
        <v>1575</v>
      </c>
      <c r="T2998" s="10" t="s">
        <v>1575</v>
      </c>
      <c r="U2998" s="10" t="s">
        <v>1575</v>
      </c>
      <c r="V2998" s="10">
        <v>-0.52687399999999995</v>
      </c>
      <c r="W2998" s="10" t="s">
        <v>1575</v>
      </c>
      <c r="X2998" s="10" t="str">
        <f t="shared" si="2862"/>
        <v>NA</v>
      </c>
      <c r="Y2998" s="10" t="str">
        <f t="shared" si="2863"/>
        <v>NA</v>
      </c>
      <c r="Z2998" s="10" t="str">
        <f t="shared" si="2864"/>
        <v>NA</v>
      </c>
      <c r="AA2998" s="10" t="str">
        <f t="shared" si="2865"/>
        <v>NA</v>
      </c>
      <c r="AB2998" s="10" t="str">
        <f t="shared" si="2866"/>
        <v>NA</v>
      </c>
      <c r="AC2998" s="10" t="str">
        <f t="shared" si="2867"/>
        <v>NA</v>
      </c>
      <c r="AD2998" s="10" t="str">
        <f t="shared" si="2868"/>
        <v>NA</v>
      </c>
      <c r="AE2998" s="10" t="str">
        <f t="shared" si="2869"/>
        <v>NA</v>
      </c>
      <c r="AF2998" s="1" t="s">
        <v>3010</v>
      </c>
    </row>
    <row r="2999" spans="1:32" x14ac:dyDescent="0.2">
      <c r="A2999" s="1" t="s">
        <v>6722</v>
      </c>
      <c r="B2999" s="1" t="s">
        <v>5</v>
      </c>
      <c r="C2999" s="1" t="s">
        <v>1575</v>
      </c>
      <c r="D2999" s="1" t="s">
        <v>2160</v>
      </c>
      <c r="E2999" s="1" t="s">
        <v>1698</v>
      </c>
      <c r="F2999" s="1" t="s">
        <v>2986</v>
      </c>
      <c r="G2999" s="4">
        <v>6.0699999999999997E-2</v>
      </c>
      <c r="H2999" s="28">
        <v>44561</v>
      </c>
      <c r="I2999" s="29">
        <f t="shared" si="2874"/>
        <v>2021</v>
      </c>
      <c r="J2999" s="1" t="s">
        <v>2987</v>
      </c>
      <c r="K2999" s="1" t="s">
        <v>7</v>
      </c>
      <c r="L2999" s="11" t="str">
        <f t="shared" si="2892"/>
        <v>НЕТ</v>
      </c>
      <c r="M2999" s="10">
        <v>0</v>
      </c>
      <c r="N2999" s="10">
        <v>0</v>
      </c>
      <c r="O2999" s="10">
        <v>0.36354599999999998</v>
      </c>
      <c r="P2999" s="10">
        <f t="shared" si="2858"/>
        <v>5.9892257001647442</v>
      </c>
      <c r="Q2999" s="10" t="str">
        <f t="shared" si="2859"/>
        <v>NA</v>
      </c>
      <c r="R2999" s="10">
        <v>8.9910479999999993</v>
      </c>
      <c r="S2999" s="10" t="s">
        <v>1575</v>
      </c>
      <c r="T2999" s="10" t="s">
        <v>1575</v>
      </c>
      <c r="U2999" s="10">
        <v>0.850769</v>
      </c>
      <c r="V2999" s="10">
        <v>5.6456989999999996</v>
      </c>
      <c r="W2999" s="10" t="s">
        <v>1575</v>
      </c>
      <c r="X2999" s="10" t="str">
        <f t="shared" si="2862"/>
        <v>NA</v>
      </c>
      <c r="Y2999" s="10">
        <f t="shared" si="2863"/>
        <v>0.66613210163762271</v>
      </c>
      <c r="Z2999" s="10">
        <f t="shared" si="2864"/>
        <v>7.0397789531174082</v>
      </c>
      <c r="AA2999" s="10">
        <f t="shared" si="2865"/>
        <v>1.06084750536023</v>
      </c>
      <c r="AB2999" s="10" t="str">
        <f t="shared" si="2866"/>
        <v>NA</v>
      </c>
      <c r="AC2999" s="10" t="str">
        <f t="shared" si="2867"/>
        <v>NA</v>
      </c>
      <c r="AD2999" s="10" t="str">
        <f t="shared" si="2868"/>
        <v>NA</v>
      </c>
      <c r="AE2999" s="10" t="str">
        <f t="shared" si="2869"/>
        <v>NA</v>
      </c>
      <c r="AF2999" s="1" t="s">
        <v>2985</v>
      </c>
    </row>
    <row r="3000" spans="1:32" x14ac:dyDescent="0.2">
      <c r="A3000" s="1" t="s">
        <v>6723</v>
      </c>
      <c r="B3000" s="1" t="s">
        <v>5</v>
      </c>
      <c r="C3000" s="1" t="s">
        <v>1575</v>
      </c>
      <c r="D3000" s="1" t="s">
        <v>2160</v>
      </c>
      <c r="E3000" s="1" t="s">
        <v>1698</v>
      </c>
      <c r="F3000" s="1" t="s">
        <v>2753</v>
      </c>
      <c r="G3000" s="4" t="s">
        <v>11</v>
      </c>
      <c r="H3000" s="28">
        <v>43555</v>
      </c>
      <c r="I3000" s="29">
        <f t="shared" si="2874"/>
        <v>2019</v>
      </c>
      <c r="J3000" s="1" t="s">
        <v>7</v>
      </c>
      <c r="K3000" s="1" t="s">
        <v>2987</v>
      </c>
      <c r="L3000" s="11" t="str">
        <f t="shared" ref="L3000" si="2903">IF(OR(A3000=J3000,A3000=K3000),"ДА","НЕТ")</f>
        <v>НЕТ</v>
      </c>
      <c r="M3000" s="10">
        <v>0</v>
      </c>
      <c r="N3000" s="10">
        <v>0</v>
      </c>
      <c r="O3000" s="10">
        <v>4.95E-4</v>
      </c>
      <c r="P3000" s="10" t="str">
        <f t="shared" si="2858"/>
        <v>NA</v>
      </c>
      <c r="Q3000" s="10" t="str">
        <f t="shared" si="2859"/>
        <v>NA</v>
      </c>
      <c r="R3000" s="10">
        <v>0.126915</v>
      </c>
      <c r="S3000" s="10">
        <f>T3000+0.015874</f>
        <v>4.0287000000000003E-2</v>
      </c>
      <c r="T3000" s="10">
        <f>U3000-0.078368+0.12387-0.000721</f>
        <v>2.4413000000000004E-2</v>
      </c>
      <c r="U3000" s="10">
        <v>-2.0368000000000001E-2</v>
      </c>
      <c r="V3000" s="10">
        <v>1.177308</v>
      </c>
      <c r="W3000" s="10">
        <v>-0.25558199999999998</v>
      </c>
      <c r="X3000" s="10">
        <f t="shared" si="2862"/>
        <v>0.92172600000000005</v>
      </c>
      <c r="Y3000" s="10" t="str">
        <f t="shared" si="2863"/>
        <v>NA</v>
      </c>
      <c r="Z3000" s="10" t="str">
        <f t="shared" si="2864"/>
        <v>NA</v>
      </c>
      <c r="AA3000" s="10" t="str">
        <f t="shared" si="2865"/>
        <v>NA</v>
      </c>
      <c r="AB3000" s="10" t="str">
        <f t="shared" si="2866"/>
        <v>NA</v>
      </c>
      <c r="AC3000" s="10" t="str">
        <f t="shared" si="2867"/>
        <v>NA</v>
      </c>
      <c r="AD3000" s="10" t="str">
        <f t="shared" si="2868"/>
        <v>NA</v>
      </c>
      <c r="AE3000" s="10" t="str">
        <f t="shared" si="2869"/>
        <v>NA</v>
      </c>
      <c r="AF3000" s="1" t="s">
        <v>2988</v>
      </c>
    </row>
    <row r="3001" spans="1:32" x14ac:dyDescent="0.2">
      <c r="A3001" s="1" t="s">
        <v>6724</v>
      </c>
      <c r="B3001" s="1" t="s">
        <v>5</v>
      </c>
      <c r="C3001" s="1" t="s">
        <v>1575</v>
      </c>
      <c r="D3001" s="1" t="s">
        <v>2160</v>
      </c>
      <c r="E3001" s="1" t="s">
        <v>1698</v>
      </c>
      <c r="F3001" s="1" t="s">
        <v>2992</v>
      </c>
      <c r="G3001" s="4">
        <v>0.88100000000000001</v>
      </c>
      <c r="H3001" s="28">
        <v>42825</v>
      </c>
      <c r="I3001" s="29">
        <f t="shared" si="2874"/>
        <v>2017</v>
      </c>
      <c r="J3001" s="1" t="s">
        <v>7</v>
      </c>
      <c r="K3001" s="1" t="s">
        <v>2987</v>
      </c>
      <c r="L3001" s="11" t="str">
        <f t="shared" ref="L3001:L3002" si="2904">IF(OR(A3001=J3001,A3001=K3001),"ДА","НЕТ")</f>
        <v>НЕТ</v>
      </c>
      <c r="M3001" s="10">
        <v>0</v>
      </c>
      <c r="N3001" s="10">
        <v>0</v>
      </c>
      <c r="O3001" s="10">
        <v>0.98</v>
      </c>
      <c r="P3001" s="10">
        <f t="shared" si="2858"/>
        <v>1.1123723041997731</v>
      </c>
      <c r="Q3001" s="10">
        <f t="shared" si="2859"/>
        <v>4.618075304199774</v>
      </c>
      <c r="R3001" s="10">
        <v>4.8388799999999996</v>
      </c>
      <c r="S3001" s="10" t="s">
        <v>1575</v>
      </c>
      <c r="T3001" s="10" t="s">
        <v>1575</v>
      </c>
      <c r="U3001" s="10">
        <v>-1.0511E-2</v>
      </c>
      <c r="V3001" s="10">
        <v>1.386682</v>
      </c>
      <c r="W3001" s="10">
        <f>1.588342+1.993254+0.01968-0.095573</f>
        <v>3.5057030000000005</v>
      </c>
      <c r="X3001" s="10">
        <f t="shared" si="2862"/>
        <v>4.8923850000000009</v>
      </c>
      <c r="Y3001" s="10">
        <f t="shared" si="2863"/>
        <v>0.22988218434839738</v>
      </c>
      <c r="Z3001" s="10">
        <f t="shared" si="2864"/>
        <v>-105.82935060410742</v>
      </c>
      <c r="AA3001" s="10">
        <f t="shared" si="2865"/>
        <v>0.802182695239264</v>
      </c>
      <c r="AB3001" s="10">
        <f t="shared" si="2866"/>
        <v>0.95436863575864128</v>
      </c>
      <c r="AC3001" s="10" t="str">
        <f t="shared" si="2867"/>
        <v>NA</v>
      </c>
      <c r="AD3001" s="10" t="str">
        <f t="shared" si="2868"/>
        <v>NA</v>
      </c>
      <c r="AE3001" s="10">
        <f t="shared" si="2869"/>
        <v>0.9439312940824921</v>
      </c>
      <c r="AF3001" s="1" t="s">
        <v>2989</v>
      </c>
    </row>
    <row r="3002" spans="1:32" x14ac:dyDescent="0.2">
      <c r="A3002" s="1" t="s">
        <v>6725</v>
      </c>
      <c r="B3002" s="1" t="s">
        <v>5</v>
      </c>
      <c r="C3002" s="1" t="s">
        <v>1575</v>
      </c>
      <c r="D3002" s="1" t="s">
        <v>1600</v>
      </c>
      <c r="E3002" s="1" t="s">
        <v>2991</v>
      </c>
      <c r="F3002" s="1" t="s">
        <v>2993</v>
      </c>
      <c r="G3002" s="4">
        <v>1</v>
      </c>
      <c r="H3002" s="28">
        <v>43100</v>
      </c>
      <c r="I3002" s="29">
        <f t="shared" si="2874"/>
        <v>2017</v>
      </c>
      <c r="J3002" s="1" t="s">
        <v>7</v>
      </c>
      <c r="K3002" s="1" t="s">
        <v>2987</v>
      </c>
      <c r="L3002" s="11" t="str">
        <f t="shared" si="2904"/>
        <v>НЕТ</v>
      </c>
      <c r="M3002" s="10">
        <v>0</v>
      </c>
      <c r="N3002" s="10">
        <v>0</v>
      </c>
      <c r="O3002" s="10">
        <v>0</v>
      </c>
      <c r="P3002" s="10">
        <f t="shared" si="2858"/>
        <v>0</v>
      </c>
      <c r="Q3002" s="10">
        <f t="shared" si="2859"/>
        <v>1.770556</v>
      </c>
      <c r="R3002" s="10" t="s">
        <v>1575</v>
      </c>
      <c r="S3002" s="10" t="s">
        <v>1575</v>
      </c>
      <c r="T3002" s="10" t="s">
        <v>1575</v>
      </c>
      <c r="U3002" s="10" t="s">
        <v>1575</v>
      </c>
      <c r="V3002" s="10">
        <v>-0.78852699999999998</v>
      </c>
      <c r="W3002" s="10">
        <f>0.8974+0.87998-0.006824</f>
        <v>1.770556</v>
      </c>
      <c r="X3002" s="10">
        <f t="shared" si="2862"/>
        <v>0.98202900000000004</v>
      </c>
      <c r="Y3002" s="10" t="str">
        <f t="shared" si="2863"/>
        <v>NA</v>
      </c>
      <c r="Z3002" s="10" t="str">
        <f t="shared" si="2864"/>
        <v>NA</v>
      </c>
      <c r="AA3002" s="10">
        <f t="shared" si="2865"/>
        <v>0</v>
      </c>
      <c r="AB3002" s="10" t="str">
        <f t="shared" si="2866"/>
        <v>NA</v>
      </c>
      <c r="AC3002" s="10" t="str">
        <f t="shared" si="2867"/>
        <v>NA</v>
      </c>
      <c r="AD3002" s="10" t="str">
        <f t="shared" si="2868"/>
        <v>NA</v>
      </c>
      <c r="AE3002" s="10">
        <f t="shared" si="2869"/>
        <v>1.8029569391535281</v>
      </c>
      <c r="AF3002" s="1" t="s">
        <v>2990</v>
      </c>
    </row>
    <row r="3003" spans="1:32" x14ac:dyDescent="0.2">
      <c r="A3003" s="1" t="s">
        <v>6726</v>
      </c>
      <c r="B3003" s="1" t="s">
        <v>5</v>
      </c>
      <c r="C3003" s="1" t="s">
        <v>1575</v>
      </c>
      <c r="D3003" s="1" t="s">
        <v>2160</v>
      </c>
      <c r="E3003" s="1" t="s">
        <v>1698</v>
      </c>
      <c r="F3003" s="1" t="s">
        <v>2996</v>
      </c>
      <c r="G3003" s="4">
        <v>1.4999999999999999E-2</v>
      </c>
      <c r="H3003" s="28">
        <v>42308</v>
      </c>
      <c r="I3003" s="29">
        <f t="shared" si="2874"/>
        <v>2015</v>
      </c>
      <c r="J3003" s="1" t="s">
        <v>2987</v>
      </c>
      <c r="K3003" s="1" t="s">
        <v>7</v>
      </c>
      <c r="L3003" s="11" t="str">
        <f t="shared" ref="L3003:L3004" si="2905">IF(OR(A3003=J3003,A3003=K3003),"ДА","НЕТ")</f>
        <v>НЕТ</v>
      </c>
      <c r="M3003" s="10">
        <v>0</v>
      </c>
      <c r="N3003" s="10">
        <v>0</v>
      </c>
      <c r="O3003" s="10">
        <v>7.9832E-2</v>
      </c>
      <c r="P3003" s="10">
        <f t="shared" si="2858"/>
        <v>5.3221333333333334</v>
      </c>
      <c r="Q3003" s="10" t="str">
        <f t="shared" si="2859"/>
        <v>NA</v>
      </c>
      <c r="R3003" s="10" t="s">
        <v>1575</v>
      </c>
      <c r="S3003" s="10" t="s">
        <v>1575</v>
      </c>
      <c r="T3003" s="10" t="s">
        <v>1575</v>
      </c>
      <c r="U3003" s="10" t="s">
        <v>1575</v>
      </c>
      <c r="V3003" s="10" t="s">
        <v>1575</v>
      </c>
      <c r="W3003" s="10" t="s">
        <v>1575</v>
      </c>
      <c r="X3003" s="10" t="str">
        <f t="shared" si="2862"/>
        <v>NA</v>
      </c>
      <c r="Y3003" s="10" t="str">
        <f t="shared" si="2863"/>
        <v>NA</v>
      </c>
      <c r="Z3003" s="10" t="str">
        <f t="shared" si="2864"/>
        <v>NA</v>
      </c>
      <c r="AA3003" s="10" t="str">
        <f t="shared" si="2865"/>
        <v>NA</v>
      </c>
      <c r="AB3003" s="10" t="str">
        <f t="shared" si="2866"/>
        <v>NA</v>
      </c>
      <c r="AC3003" s="10" t="str">
        <f t="shared" si="2867"/>
        <v>NA</v>
      </c>
      <c r="AD3003" s="10" t="str">
        <f t="shared" si="2868"/>
        <v>NA</v>
      </c>
      <c r="AE3003" s="10" t="str">
        <f t="shared" si="2869"/>
        <v>NA</v>
      </c>
      <c r="AF3003" s="1" t="s">
        <v>2994</v>
      </c>
    </row>
    <row r="3004" spans="1:32" x14ac:dyDescent="0.2">
      <c r="A3004" s="1" t="s">
        <v>6727</v>
      </c>
      <c r="B3004" s="1" t="s">
        <v>5</v>
      </c>
      <c r="C3004" s="1" t="s">
        <v>1575</v>
      </c>
      <c r="D3004" s="1" t="s">
        <v>2160</v>
      </c>
      <c r="E3004" s="1" t="s">
        <v>1698</v>
      </c>
      <c r="F3004" s="1" t="s">
        <v>2753</v>
      </c>
      <c r="G3004" s="4" t="s">
        <v>11</v>
      </c>
      <c r="H3004" s="28">
        <v>42308</v>
      </c>
      <c r="I3004" s="29">
        <f t="shared" si="2874"/>
        <v>2015</v>
      </c>
      <c r="J3004" s="1" t="s">
        <v>7</v>
      </c>
      <c r="K3004" s="1" t="s">
        <v>2987</v>
      </c>
      <c r="L3004" s="11" t="str">
        <f t="shared" si="2905"/>
        <v>НЕТ</v>
      </c>
      <c r="M3004" s="10">
        <v>0</v>
      </c>
      <c r="N3004" s="10">
        <v>0</v>
      </c>
      <c r="O3004" s="10">
        <v>7.9832E-2</v>
      </c>
      <c r="P3004" s="10" t="str">
        <f t="shared" si="2858"/>
        <v>NA</v>
      </c>
      <c r="Q3004" s="10" t="str">
        <f t="shared" si="2859"/>
        <v>NA</v>
      </c>
      <c r="R3004" s="10">
        <v>2.9855610000000001</v>
      </c>
      <c r="S3004" s="10" t="s">
        <v>1575</v>
      </c>
      <c r="T3004" s="10" t="s">
        <v>1575</v>
      </c>
      <c r="U3004" s="10">
        <v>-1.103936</v>
      </c>
      <c r="V3004" s="10">
        <v>-4.4905619999999997</v>
      </c>
      <c r="W3004" s="10">
        <f>12.853071+3.445653+0.038903+0.026764+0.005476-0.134137</f>
        <v>16.235730000000004</v>
      </c>
      <c r="X3004" s="10">
        <f t="shared" si="2862"/>
        <v>11.745168000000003</v>
      </c>
      <c r="Y3004" s="10" t="str">
        <f t="shared" si="2863"/>
        <v>NA</v>
      </c>
      <c r="Z3004" s="10" t="str">
        <f t="shared" si="2864"/>
        <v>NA</v>
      </c>
      <c r="AA3004" s="10" t="str">
        <f t="shared" si="2865"/>
        <v>NA</v>
      </c>
      <c r="AB3004" s="10" t="str">
        <f t="shared" si="2866"/>
        <v>NA</v>
      </c>
      <c r="AC3004" s="10" t="str">
        <f t="shared" si="2867"/>
        <v>NA</v>
      </c>
      <c r="AD3004" s="10" t="str">
        <f t="shared" si="2868"/>
        <v>NA</v>
      </c>
      <c r="AE3004" s="10" t="str">
        <f t="shared" si="2869"/>
        <v>NA</v>
      </c>
      <c r="AF3004" s="1" t="s">
        <v>2995</v>
      </c>
    </row>
    <row r="3005" spans="1:32" x14ac:dyDescent="0.2">
      <c r="A3005" s="1" t="s">
        <v>2998</v>
      </c>
      <c r="B3005" s="1" t="s">
        <v>1192</v>
      </c>
      <c r="C3005" s="1" t="s">
        <v>1575</v>
      </c>
      <c r="D3005" s="1" t="s">
        <v>2160</v>
      </c>
      <c r="E3005" s="1" t="s">
        <v>1698</v>
      </c>
      <c r="F3005" s="1" t="s">
        <v>2753</v>
      </c>
      <c r="G3005" s="4">
        <v>0.34</v>
      </c>
      <c r="H3005" s="28">
        <v>41639</v>
      </c>
      <c r="I3005" s="29">
        <f t="shared" si="2874"/>
        <v>2013</v>
      </c>
      <c r="J3005" s="1" t="s">
        <v>2997</v>
      </c>
      <c r="K3005" s="1" t="s">
        <v>7</v>
      </c>
      <c r="L3005" s="11" t="str">
        <f t="shared" ref="L3005" si="2906">IF(OR(A3005=J3005,A3005=K3005),"ДА","НЕТ")</f>
        <v>НЕТ</v>
      </c>
      <c r="M3005" s="10">
        <v>0</v>
      </c>
      <c r="N3005" s="10">
        <v>0</v>
      </c>
      <c r="O3005" s="10" t="s">
        <v>1575</v>
      </c>
      <c r="P3005" s="10" t="str">
        <f t="shared" si="2858"/>
        <v>NA</v>
      </c>
      <c r="Q3005" s="10" t="str">
        <f t="shared" si="2859"/>
        <v>NA</v>
      </c>
      <c r="R3005" s="10" t="s">
        <v>1575</v>
      </c>
      <c r="S3005" s="10" t="s">
        <v>1575</v>
      </c>
      <c r="T3005" s="10" t="s">
        <v>1575</v>
      </c>
      <c r="U3005" s="10" t="s">
        <v>1575</v>
      </c>
      <c r="V3005" s="10" t="s">
        <v>1575</v>
      </c>
      <c r="W3005" s="10" t="s">
        <v>1575</v>
      </c>
      <c r="X3005" s="10" t="str">
        <f t="shared" si="2862"/>
        <v>NA</v>
      </c>
      <c r="Y3005" s="10" t="str">
        <f t="shared" si="2863"/>
        <v>NA</v>
      </c>
      <c r="Z3005" s="10" t="str">
        <f t="shared" si="2864"/>
        <v>NA</v>
      </c>
      <c r="AA3005" s="10" t="str">
        <f t="shared" si="2865"/>
        <v>NA</v>
      </c>
      <c r="AB3005" s="10" t="str">
        <f t="shared" si="2866"/>
        <v>NA</v>
      </c>
      <c r="AC3005" s="10" t="str">
        <f t="shared" si="2867"/>
        <v>NA</v>
      </c>
      <c r="AD3005" s="10" t="str">
        <f t="shared" si="2868"/>
        <v>NA</v>
      </c>
      <c r="AE3005" s="10" t="str">
        <f t="shared" si="2869"/>
        <v>NA</v>
      </c>
      <c r="AF3005" s="1" t="s">
        <v>2999</v>
      </c>
    </row>
    <row r="3006" spans="1:32" x14ac:dyDescent="0.2">
      <c r="A3006" s="1" t="s">
        <v>6728</v>
      </c>
      <c r="B3006" s="1" t="s">
        <v>5</v>
      </c>
      <c r="C3006" s="1" t="s">
        <v>1575</v>
      </c>
      <c r="D3006" s="1" t="s">
        <v>2160</v>
      </c>
      <c r="E3006" s="1" t="s">
        <v>2161</v>
      </c>
      <c r="F3006" s="1" t="s">
        <v>2862</v>
      </c>
      <c r="G3006" s="4">
        <v>1</v>
      </c>
      <c r="H3006" s="28">
        <v>43236</v>
      </c>
      <c r="I3006" s="29">
        <f t="shared" si="2874"/>
        <v>2018</v>
      </c>
      <c r="J3006" s="1" t="s">
        <v>6729</v>
      </c>
      <c r="K3006" s="1" t="s">
        <v>7</v>
      </c>
      <c r="L3006" s="11" t="str">
        <f t="shared" si="2880"/>
        <v>НЕТ</v>
      </c>
      <c r="M3006" s="10">
        <v>0</v>
      </c>
      <c r="N3006" s="10">
        <v>0</v>
      </c>
      <c r="O3006" s="10" t="s">
        <v>1575</v>
      </c>
      <c r="P3006" s="10" t="str">
        <f t="shared" si="2858"/>
        <v>NA</v>
      </c>
      <c r="Q3006" s="10" t="str">
        <f t="shared" si="2859"/>
        <v>NA</v>
      </c>
      <c r="R3006" s="10" t="s">
        <v>1575</v>
      </c>
      <c r="S3006" s="10" t="s">
        <v>1575</v>
      </c>
      <c r="T3006" s="10" t="s">
        <v>1575</v>
      </c>
      <c r="U3006" s="10" t="s">
        <v>1575</v>
      </c>
      <c r="V3006" s="10" t="s">
        <v>1575</v>
      </c>
      <c r="W3006" s="10" t="s">
        <v>1575</v>
      </c>
      <c r="X3006" s="10" t="str">
        <f t="shared" si="2862"/>
        <v>NA</v>
      </c>
      <c r="Y3006" s="10" t="str">
        <f t="shared" si="2863"/>
        <v>NA</v>
      </c>
      <c r="Z3006" s="10" t="str">
        <f t="shared" si="2864"/>
        <v>NA</v>
      </c>
      <c r="AA3006" s="10" t="str">
        <f t="shared" si="2865"/>
        <v>NA</v>
      </c>
      <c r="AB3006" s="10" t="str">
        <f t="shared" si="2866"/>
        <v>NA</v>
      </c>
      <c r="AC3006" s="10" t="str">
        <f t="shared" si="2867"/>
        <v>NA</v>
      </c>
      <c r="AD3006" s="10" t="str">
        <f t="shared" si="2868"/>
        <v>NA</v>
      </c>
      <c r="AE3006" s="10" t="str">
        <f t="shared" si="2869"/>
        <v>NA</v>
      </c>
      <c r="AF3006" s="1" t="s">
        <v>2861</v>
      </c>
    </row>
    <row r="3007" spans="1:32" x14ac:dyDescent="0.2">
      <c r="A3007" s="1" t="s">
        <v>6730</v>
      </c>
      <c r="B3007" s="1" t="s">
        <v>5</v>
      </c>
      <c r="C3007" s="1" t="s">
        <v>1575</v>
      </c>
      <c r="D3007" s="1" t="s">
        <v>2160</v>
      </c>
      <c r="E3007" s="1" t="s">
        <v>2882</v>
      </c>
      <c r="F3007" s="1" t="s">
        <v>1442</v>
      </c>
      <c r="G3007" s="4">
        <v>1</v>
      </c>
      <c r="H3007" s="28">
        <v>40806</v>
      </c>
      <c r="I3007" s="29">
        <f t="shared" si="2874"/>
        <v>2011</v>
      </c>
      <c r="J3007" s="1" t="s">
        <v>6731</v>
      </c>
      <c r="K3007" s="1" t="s">
        <v>7</v>
      </c>
      <c r="L3007" s="11" t="str">
        <f t="shared" ref="L3007:L3008" si="2907">IF(OR(A3007=J3007,A3007=K3007),"ДА","НЕТ")</f>
        <v>НЕТ</v>
      </c>
      <c r="M3007" s="10">
        <v>0</v>
      </c>
      <c r="N3007" s="10">
        <v>0</v>
      </c>
      <c r="O3007" s="10">
        <v>1.158E-4</v>
      </c>
      <c r="P3007" s="10">
        <f t="shared" si="2858"/>
        <v>1.158E-4</v>
      </c>
      <c r="Q3007" s="10">
        <f t="shared" si="2859"/>
        <v>-3.1199999999999999E-5</v>
      </c>
      <c r="R3007" s="10" t="s">
        <v>1575</v>
      </c>
      <c r="S3007" s="10" t="s">
        <v>1575</v>
      </c>
      <c r="T3007" s="10" t="s">
        <v>1575</v>
      </c>
      <c r="U3007" s="10" t="s">
        <v>1575</v>
      </c>
      <c r="V3007" s="10">
        <v>1.536E-3</v>
      </c>
      <c r="W3007" s="10">
        <f>0.000744-0.000416-0.000475</f>
        <v>-1.47E-4</v>
      </c>
      <c r="X3007" s="10">
        <f t="shared" si="2862"/>
        <v>1.389E-3</v>
      </c>
      <c r="Y3007" s="10" t="str">
        <f t="shared" si="2863"/>
        <v>NA</v>
      </c>
      <c r="Z3007" s="10" t="str">
        <f t="shared" si="2864"/>
        <v>NA</v>
      </c>
      <c r="AA3007" s="10">
        <f t="shared" si="2865"/>
        <v>7.5390624999999989E-2</v>
      </c>
      <c r="AB3007" s="10" t="str">
        <f t="shared" si="2866"/>
        <v>NA</v>
      </c>
      <c r="AC3007" s="10" t="str">
        <f t="shared" si="2867"/>
        <v>NA</v>
      </c>
      <c r="AD3007" s="10" t="str">
        <f t="shared" si="2868"/>
        <v>NA</v>
      </c>
      <c r="AE3007" s="10">
        <f t="shared" si="2869"/>
        <v>-2.24622030237581E-2</v>
      </c>
      <c r="AF3007" s="1" t="s">
        <v>2883</v>
      </c>
    </row>
    <row r="3008" spans="1:32" x14ac:dyDescent="0.2">
      <c r="A3008" s="1" t="s">
        <v>6732</v>
      </c>
      <c r="B3008" s="1" t="s">
        <v>5</v>
      </c>
      <c r="C3008" s="1" t="s">
        <v>1575</v>
      </c>
      <c r="D3008" s="1" t="s">
        <v>2160</v>
      </c>
      <c r="E3008" s="1" t="s">
        <v>2882</v>
      </c>
      <c r="F3008" s="1" t="s">
        <v>1442</v>
      </c>
      <c r="G3008" s="4">
        <v>1</v>
      </c>
      <c r="H3008" s="28">
        <v>40807</v>
      </c>
      <c r="I3008" s="29">
        <f t="shared" si="2874"/>
        <v>2011</v>
      </c>
      <c r="J3008" s="1" t="s">
        <v>6731</v>
      </c>
      <c r="K3008" s="1" t="s">
        <v>7</v>
      </c>
      <c r="L3008" s="11" t="str">
        <f t="shared" si="2907"/>
        <v>НЕТ</v>
      </c>
      <c r="M3008" s="10">
        <v>0</v>
      </c>
      <c r="N3008" s="10">
        <v>0</v>
      </c>
      <c r="O3008" s="10">
        <v>-1.63E-4</v>
      </c>
      <c r="P3008" s="10">
        <f t="shared" si="2858"/>
        <v>-1.63E-4</v>
      </c>
      <c r="Q3008" s="10">
        <f t="shared" si="2859"/>
        <v>-6.5000000000000008E-5</v>
      </c>
      <c r="R3008" s="10" t="s">
        <v>1575</v>
      </c>
      <c r="S3008" s="10" t="s">
        <v>1575</v>
      </c>
      <c r="T3008" s="10" t="s">
        <v>1575</v>
      </c>
      <c r="U3008" s="10" t="s">
        <v>1575</v>
      </c>
      <c r="V3008" s="10">
        <v>-2.2100000000000001E-4</v>
      </c>
      <c r="W3008" s="10">
        <f>0.000363-0.000265</f>
        <v>9.7999999999999997E-5</v>
      </c>
      <c r="X3008" s="10">
        <f t="shared" si="2862"/>
        <v>-1.2300000000000001E-4</v>
      </c>
      <c r="Y3008" s="10" t="str">
        <f t="shared" si="2863"/>
        <v>NA</v>
      </c>
      <c r="Z3008" s="10" t="str">
        <f t="shared" si="2864"/>
        <v>NA</v>
      </c>
      <c r="AA3008" s="10">
        <f t="shared" si="2865"/>
        <v>0.73755656108597289</v>
      </c>
      <c r="AB3008" s="10" t="str">
        <f t="shared" si="2866"/>
        <v>NA</v>
      </c>
      <c r="AC3008" s="10" t="str">
        <f t="shared" si="2867"/>
        <v>NA</v>
      </c>
      <c r="AD3008" s="10" t="str">
        <f t="shared" si="2868"/>
        <v>NA</v>
      </c>
      <c r="AE3008" s="10">
        <f t="shared" si="2869"/>
        <v>0.52845528455284552</v>
      </c>
      <c r="AF3008" s="1" t="s">
        <v>2884</v>
      </c>
    </row>
    <row r="3009" spans="1:32" x14ac:dyDescent="0.2">
      <c r="A3009" s="1" t="s">
        <v>3339</v>
      </c>
      <c r="B3009" s="1" t="s">
        <v>5</v>
      </c>
      <c r="C3009" s="1" t="s">
        <v>3351</v>
      </c>
      <c r="D3009" s="1" t="s">
        <v>1615</v>
      </c>
      <c r="E3009" s="1" t="s">
        <v>2172</v>
      </c>
      <c r="F3009" s="1" t="s">
        <v>3340</v>
      </c>
      <c r="G3009" s="4">
        <f>1531235767/2396717652</f>
        <v>0.6388886758197081</v>
      </c>
      <c r="H3009" s="28">
        <v>44804</v>
      </c>
      <c r="I3009" s="29">
        <f t="shared" si="2874"/>
        <v>2022</v>
      </c>
      <c r="J3009" s="1" t="s">
        <v>7</v>
      </c>
      <c r="K3009" s="1" t="s">
        <v>3339</v>
      </c>
      <c r="L3009" s="11" t="str">
        <f t="shared" ref="L3009" si="2908">IF(OR(A3009=J3009,A3009=K3009),"ДА","НЕТ")</f>
        <v>ДА</v>
      </c>
      <c r="M3009" s="10">
        <v>0</v>
      </c>
      <c r="N3009" s="10">
        <v>0</v>
      </c>
      <c r="O3009" s="10">
        <v>52.5</v>
      </c>
      <c r="P3009" s="10">
        <f t="shared" si="2858"/>
        <v>82.173940448453493</v>
      </c>
      <c r="Q3009" s="10">
        <f t="shared" si="2859"/>
        <v>1063.2489404484534</v>
      </c>
      <c r="R3009" s="10">
        <v>491.733</v>
      </c>
      <c r="S3009" s="10">
        <v>115.49099999999999</v>
      </c>
      <c r="T3009" s="10">
        <v>-5.0150000000000077</v>
      </c>
      <c r="U3009" s="10">
        <v>-34.46</v>
      </c>
      <c r="V3009" s="10">
        <v>-146.43799999999999</v>
      </c>
      <c r="W3009" s="10">
        <v>981.07499999999993</v>
      </c>
      <c r="X3009" s="10">
        <f t="shared" si="2862"/>
        <v>834.63699999999994</v>
      </c>
      <c r="Y3009" s="10">
        <f t="shared" si="2863"/>
        <v>0.16711089239171154</v>
      </c>
      <c r="Z3009" s="10">
        <f t="shared" si="2864"/>
        <v>-2.3846181209649879</v>
      </c>
      <c r="AA3009" s="10">
        <f t="shared" si="2865"/>
        <v>-0.56115175329117783</v>
      </c>
      <c r="AB3009" s="10">
        <f t="shared" si="2866"/>
        <v>2.1622484975554892</v>
      </c>
      <c r="AC3009" s="10">
        <f t="shared" si="2867"/>
        <v>9.2063359088453076</v>
      </c>
      <c r="AD3009" s="10">
        <f t="shared" si="2868"/>
        <v>-212.01374684914293</v>
      </c>
      <c r="AE3009" s="10">
        <f t="shared" si="2869"/>
        <v>1.2739058302572897</v>
      </c>
      <c r="AF3009" s="1" t="s">
        <v>3352</v>
      </c>
    </row>
    <row r="3010" spans="1:32" x14ac:dyDescent="0.2">
      <c r="A3010" s="1" t="s">
        <v>3339</v>
      </c>
      <c r="B3010" s="1" t="s">
        <v>5</v>
      </c>
      <c r="C3010" s="1" t="s">
        <v>3351</v>
      </c>
      <c r="D3010" s="1" t="s">
        <v>1615</v>
      </c>
      <c r="E3010" s="1" t="s">
        <v>2172</v>
      </c>
      <c r="F3010" s="1" t="s">
        <v>3340</v>
      </c>
      <c r="G3010" s="4">
        <f>1333919149/2396717652</f>
        <v>0.55656082304349797</v>
      </c>
      <c r="H3010" s="28">
        <v>44104</v>
      </c>
      <c r="I3010" s="29">
        <f t="shared" si="2874"/>
        <v>2020</v>
      </c>
      <c r="J3010" s="1" t="s">
        <v>7</v>
      </c>
      <c r="K3010" s="1" t="s">
        <v>3339</v>
      </c>
      <c r="L3010" s="11" t="str">
        <f t="shared" ref="L3010" si="2909">IF(OR(A3010=J3010,A3010=K3010),"ДА","НЕТ")</f>
        <v>ДА</v>
      </c>
      <c r="M3010" s="10">
        <v>0</v>
      </c>
      <c r="N3010" s="10">
        <v>0</v>
      </c>
      <c r="O3010" s="10">
        <v>80.034999999999997</v>
      </c>
      <c r="P3010" s="10">
        <f t="shared" si="2858"/>
        <v>143.80279151223129</v>
      </c>
      <c r="Q3010" s="10">
        <f t="shared" si="2859"/>
        <v>866.6607915122313</v>
      </c>
      <c r="R3010" s="10">
        <v>677.88099999999997</v>
      </c>
      <c r="S3010" s="10">
        <v>168.14</v>
      </c>
      <c r="T3010" s="10">
        <v>60.662999999999997</v>
      </c>
      <c r="U3010" s="10">
        <v>13.512</v>
      </c>
      <c r="V3010" s="10">
        <v>1.9499999999999993</v>
      </c>
      <c r="W3010" s="10">
        <v>722.85800000000006</v>
      </c>
      <c r="X3010" s="10">
        <f t="shared" si="2862"/>
        <v>724.80800000000011</v>
      </c>
      <c r="Y3010" s="10">
        <f t="shared" si="2863"/>
        <v>0.21213574582003522</v>
      </c>
      <c r="Z3010" s="10">
        <f t="shared" si="2864"/>
        <v>10.642598542941926</v>
      </c>
      <c r="AA3010" s="10">
        <f t="shared" si="2865"/>
        <v>73.74502128832377</v>
      </c>
      <c r="AB3010" s="10">
        <f t="shared" si="2866"/>
        <v>1.2784851493289107</v>
      </c>
      <c r="AC3010" s="10">
        <f t="shared" si="2867"/>
        <v>5.1543998543608387</v>
      </c>
      <c r="AD3010" s="10">
        <f t="shared" si="2868"/>
        <v>14.286480911135806</v>
      </c>
      <c r="AE3010" s="10">
        <f t="shared" si="2869"/>
        <v>1.195710852408129</v>
      </c>
      <c r="AF3010" s="1" t="s">
        <v>3353</v>
      </c>
    </row>
    <row r="3011" spans="1:32" x14ac:dyDescent="0.2">
      <c r="A3011" s="1" t="s">
        <v>6733</v>
      </c>
      <c r="B3011" s="1" t="s">
        <v>5</v>
      </c>
      <c r="C3011" s="1" t="s">
        <v>1575</v>
      </c>
      <c r="D3011" s="1" t="s">
        <v>1615</v>
      </c>
      <c r="E3011" s="1" t="s">
        <v>2172</v>
      </c>
      <c r="F3011" s="1" t="s">
        <v>3340</v>
      </c>
      <c r="G3011" s="4">
        <v>0.51</v>
      </c>
      <c r="H3011" s="28">
        <v>44196</v>
      </c>
      <c r="I3011" s="29">
        <f t="shared" si="2874"/>
        <v>2020</v>
      </c>
      <c r="J3011" s="1" t="s">
        <v>6734</v>
      </c>
      <c r="K3011" s="1" t="s">
        <v>3339</v>
      </c>
      <c r="L3011" s="11" t="str">
        <f t="shared" ref="L3011" si="2910">IF(OR(A3011=J3011,A3011=K3011),"ДА","НЕТ")</f>
        <v>НЕТ</v>
      </c>
      <c r="M3011" s="10">
        <v>0</v>
      </c>
      <c r="N3011" s="10">
        <v>0</v>
      </c>
      <c r="O3011" s="10">
        <v>1.0000000000000001E-9</v>
      </c>
      <c r="P3011" s="10">
        <f t="shared" ref="P3011:P3074" si="2911">IFERROR(O3011/G3011,"NA")</f>
        <v>1.9607843137254903E-9</v>
      </c>
      <c r="Q3011" s="10">
        <f t="shared" ref="Q3011:Q3074" si="2912">IFERROR(P3011+W3011,"NA")</f>
        <v>1.8850000019607838</v>
      </c>
      <c r="R3011" s="10" t="s">
        <v>1575</v>
      </c>
      <c r="S3011" s="10" t="s">
        <v>1575</v>
      </c>
      <c r="T3011" s="10" t="s">
        <v>1575</v>
      </c>
      <c r="U3011" s="10" t="s">
        <v>1575</v>
      </c>
      <c r="V3011" s="10">
        <f>27.573-16.133</f>
        <v>11.440000000000001</v>
      </c>
      <c r="W3011" s="10">
        <f>1.727+0.458+1.63+1.559+0.015+2.218-2.045-3.677</f>
        <v>1.8849999999999993</v>
      </c>
      <c r="X3011" s="10">
        <f t="shared" si="2862"/>
        <v>13.325000000000001</v>
      </c>
      <c r="Y3011" s="10" t="str">
        <f t="shared" si="2863"/>
        <v>NA</v>
      </c>
      <c r="Z3011" s="10" t="str">
        <f t="shared" si="2864"/>
        <v>NA</v>
      </c>
      <c r="AA3011" s="10">
        <f t="shared" si="2865"/>
        <v>1.7139723022075963E-10</v>
      </c>
      <c r="AB3011" s="10" t="str">
        <f t="shared" si="2866"/>
        <v>NA</v>
      </c>
      <c r="AC3011" s="10" t="str">
        <f t="shared" si="2867"/>
        <v>NA</v>
      </c>
      <c r="AD3011" s="10" t="str">
        <f t="shared" si="2868"/>
        <v>NA</v>
      </c>
      <c r="AE3011" s="10">
        <f t="shared" si="2869"/>
        <v>0.14146341478129709</v>
      </c>
      <c r="AF3011" s="1" t="s">
        <v>3338</v>
      </c>
    </row>
    <row r="3012" spans="1:32" x14ac:dyDescent="0.2">
      <c r="A3012" s="1" t="s">
        <v>6735</v>
      </c>
      <c r="B3012" s="1" t="s">
        <v>5</v>
      </c>
      <c r="C3012" s="1" t="s">
        <v>1575</v>
      </c>
      <c r="D3012" s="1" t="s">
        <v>1615</v>
      </c>
      <c r="E3012" s="1" t="s">
        <v>2172</v>
      </c>
      <c r="F3012" s="1" t="s">
        <v>3340</v>
      </c>
      <c r="G3012" s="4" t="s">
        <v>11</v>
      </c>
      <c r="H3012" s="28">
        <v>43830</v>
      </c>
      <c r="I3012" s="29">
        <f t="shared" si="2874"/>
        <v>2019</v>
      </c>
      <c r="J3012" s="1" t="s">
        <v>7</v>
      </c>
      <c r="K3012" s="1" t="s">
        <v>3339</v>
      </c>
      <c r="L3012" s="11" t="str">
        <f t="shared" ref="L3012" si="2913">IF(OR(A3012=J3012,A3012=K3012),"ДА","НЕТ")</f>
        <v>НЕТ</v>
      </c>
      <c r="M3012" s="10">
        <v>0</v>
      </c>
      <c r="N3012" s="10">
        <v>0</v>
      </c>
      <c r="O3012" s="10" t="s">
        <v>1575</v>
      </c>
      <c r="P3012" s="10" t="str">
        <f t="shared" si="2911"/>
        <v>NA</v>
      </c>
      <c r="Q3012" s="10" t="str">
        <f t="shared" si="2912"/>
        <v>NA</v>
      </c>
      <c r="R3012" s="10" t="s">
        <v>1575</v>
      </c>
      <c r="S3012" s="10" t="s">
        <v>1575</v>
      </c>
      <c r="T3012" s="10" t="s">
        <v>1575</v>
      </c>
      <c r="U3012" s="10" t="s">
        <v>1575</v>
      </c>
      <c r="V3012" s="10">
        <v>-2.5169999999999999</v>
      </c>
      <c r="W3012" s="10" t="s">
        <v>1575</v>
      </c>
      <c r="X3012" s="10" t="str">
        <f t="shared" si="2862"/>
        <v>NA</v>
      </c>
      <c r="Y3012" s="10" t="str">
        <f t="shared" si="2863"/>
        <v>NA</v>
      </c>
      <c r="Z3012" s="10" t="str">
        <f t="shared" si="2864"/>
        <v>NA</v>
      </c>
      <c r="AA3012" s="10" t="str">
        <f t="shared" si="2865"/>
        <v>NA</v>
      </c>
      <c r="AB3012" s="10" t="str">
        <f t="shared" si="2866"/>
        <v>NA</v>
      </c>
      <c r="AC3012" s="10" t="str">
        <f t="shared" si="2867"/>
        <v>NA</v>
      </c>
      <c r="AD3012" s="10" t="str">
        <f t="shared" si="2868"/>
        <v>NA</v>
      </c>
      <c r="AE3012" s="10" t="str">
        <f t="shared" si="2869"/>
        <v>NA</v>
      </c>
      <c r="AF3012" s="1" t="s">
        <v>3341</v>
      </c>
    </row>
    <row r="3013" spans="1:32" x14ac:dyDescent="0.2">
      <c r="A3013" s="1" t="s">
        <v>6736</v>
      </c>
      <c r="B3013" s="1" t="s">
        <v>5</v>
      </c>
      <c r="C3013" s="1" t="s">
        <v>1575</v>
      </c>
      <c r="D3013" s="1" t="s">
        <v>1615</v>
      </c>
      <c r="E3013" s="1" t="s">
        <v>2172</v>
      </c>
      <c r="F3013" s="1" t="s">
        <v>3340</v>
      </c>
      <c r="G3013" s="4" t="s">
        <v>11</v>
      </c>
      <c r="H3013" s="28">
        <v>43465</v>
      </c>
      <c r="I3013" s="29">
        <f t="shared" si="2874"/>
        <v>2018</v>
      </c>
      <c r="J3013" s="1" t="s">
        <v>7</v>
      </c>
      <c r="K3013" s="1" t="s">
        <v>3339</v>
      </c>
      <c r="L3013" s="11" t="str">
        <f t="shared" ref="L3013:L3014" si="2914">IF(OR(A3013=J3013,A3013=K3013),"ДА","НЕТ")</f>
        <v>НЕТ</v>
      </c>
      <c r="M3013" s="10">
        <v>0</v>
      </c>
      <c r="N3013" s="10">
        <v>0</v>
      </c>
      <c r="O3013" s="10" t="s">
        <v>1575</v>
      </c>
      <c r="P3013" s="10" t="str">
        <f t="shared" si="2911"/>
        <v>NA</v>
      </c>
      <c r="Q3013" s="10" t="str">
        <f t="shared" si="2912"/>
        <v>NA</v>
      </c>
      <c r="R3013" s="10" t="s">
        <v>1575</v>
      </c>
      <c r="S3013" s="10" t="s">
        <v>1575</v>
      </c>
      <c r="T3013" s="10" t="s">
        <v>1575</v>
      </c>
      <c r="U3013" s="10" t="s">
        <v>1575</v>
      </c>
      <c r="V3013" s="10">
        <v>-18.324999999999999</v>
      </c>
      <c r="W3013" s="10" t="s">
        <v>1575</v>
      </c>
      <c r="X3013" s="10" t="str">
        <f t="shared" si="2862"/>
        <v>NA</v>
      </c>
      <c r="Y3013" s="10" t="str">
        <f t="shared" si="2863"/>
        <v>NA</v>
      </c>
      <c r="Z3013" s="10" t="str">
        <f t="shared" si="2864"/>
        <v>NA</v>
      </c>
      <c r="AA3013" s="10" t="str">
        <f t="shared" si="2865"/>
        <v>NA</v>
      </c>
      <c r="AB3013" s="10" t="str">
        <f t="shared" si="2866"/>
        <v>NA</v>
      </c>
      <c r="AC3013" s="10" t="str">
        <f t="shared" si="2867"/>
        <v>NA</v>
      </c>
      <c r="AD3013" s="10" t="str">
        <f t="shared" si="2868"/>
        <v>NA</v>
      </c>
      <c r="AE3013" s="10" t="str">
        <f t="shared" si="2869"/>
        <v>NA</v>
      </c>
      <c r="AF3013" s="1" t="s">
        <v>3342</v>
      </c>
    </row>
    <row r="3014" spans="1:32" x14ac:dyDescent="0.2">
      <c r="A3014" s="1" t="s">
        <v>3339</v>
      </c>
      <c r="B3014" s="1" t="s">
        <v>5</v>
      </c>
      <c r="C3014" s="1" t="s">
        <v>3351</v>
      </c>
      <c r="D3014" s="1" t="s">
        <v>1615</v>
      </c>
      <c r="E3014" s="1" t="s">
        <v>2172</v>
      </c>
      <c r="F3014" s="1" t="s">
        <v>3340</v>
      </c>
      <c r="G3014" s="4">
        <f>53716189/1056900110</f>
        <v>5.0824281776259819E-2</v>
      </c>
      <c r="H3014" s="28">
        <v>43008</v>
      </c>
      <c r="I3014" s="29">
        <f t="shared" si="2874"/>
        <v>2017</v>
      </c>
      <c r="J3014" s="1" t="s">
        <v>6737</v>
      </c>
      <c r="K3014" s="1" t="s">
        <v>3339</v>
      </c>
      <c r="L3014" s="11" t="str">
        <f t="shared" si="2914"/>
        <v>ДА</v>
      </c>
      <c r="M3014" s="10">
        <v>0</v>
      </c>
      <c r="N3014" s="10">
        <v>0</v>
      </c>
      <c r="O3014" s="10" t="s">
        <v>1575</v>
      </c>
      <c r="P3014" s="10" t="str">
        <f t="shared" si="2911"/>
        <v>NA</v>
      </c>
      <c r="Q3014" s="10" t="str">
        <f t="shared" si="2912"/>
        <v>NA</v>
      </c>
      <c r="R3014" s="10">
        <v>495.88</v>
      </c>
      <c r="S3014" s="10">
        <v>76.649000000000001</v>
      </c>
      <c r="T3014" s="10">
        <v>63.253999999999998</v>
      </c>
      <c r="U3014" s="10">
        <v>38.826000000000001</v>
      </c>
      <c r="V3014" s="10">
        <v>40.768999999999998</v>
      </c>
      <c r="W3014" s="10">
        <v>121.51599999999998</v>
      </c>
      <c r="X3014" s="10">
        <f t="shared" si="2862"/>
        <v>162.28499999999997</v>
      </c>
      <c r="Y3014" s="10" t="str">
        <f t="shared" si="2863"/>
        <v>NA</v>
      </c>
      <c r="Z3014" s="10" t="str">
        <f t="shared" si="2864"/>
        <v>NA</v>
      </c>
      <c r="AA3014" s="10" t="str">
        <f t="shared" si="2865"/>
        <v>NA</v>
      </c>
      <c r="AB3014" s="10" t="str">
        <f t="shared" si="2866"/>
        <v>NA</v>
      </c>
      <c r="AC3014" s="10" t="str">
        <f t="shared" si="2867"/>
        <v>NA</v>
      </c>
      <c r="AD3014" s="10" t="str">
        <f t="shared" si="2868"/>
        <v>NA</v>
      </c>
      <c r="AE3014" s="10" t="str">
        <f t="shared" si="2869"/>
        <v>NA</v>
      </c>
      <c r="AF3014" s="1" t="s">
        <v>3354</v>
      </c>
    </row>
    <row r="3015" spans="1:32" x14ac:dyDescent="0.2">
      <c r="A3015" s="1" t="s">
        <v>6738</v>
      </c>
      <c r="B3015" s="1" t="s">
        <v>1575</v>
      </c>
      <c r="C3015" s="1" t="s">
        <v>1575</v>
      </c>
      <c r="D3015" s="1" t="s">
        <v>1615</v>
      </c>
      <c r="E3015" s="1" t="s">
        <v>2172</v>
      </c>
      <c r="F3015" s="1" t="s">
        <v>3343</v>
      </c>
      <c r="G3015" s="4" t="s">
        <v>11</v>
      </c>
      <c r="H3015" s="28">
        <v>42565</v>
      </c>
      <c r="I3015" s="29">
        <f t="shared" si="2874"/>
        <v>2016</v>
      </c>
      <c r="J3015" s="1" t="s">
        <v>7</v>
      </c>
      <c r="K3015" s="1" t="s">
        <v>3339</v>
      </c>
      <c r="L3015" s="11" t="str">
        <f t="shared" ref="L3015" si="2915">IF(OR(A3015=J3015,A3015=K3015),"ДА","НЕТ")</f>
        <v>НЕТ</v>
      </c>
      <c r="M3015" s="10">
        <v>0</v>
      </c>
      <c r="N3015" s="10">
        <v>0</v>
      </c>
      <c r="O3015" s="10" t="s">
        <v>1575</v>
      </c>
      <c r="P3015" s="10" t="str">
        <f t="shared" si="2911"/>
        <v>NA</v>
      </c>
      <c r="Q3015" s="10" t="str">
        <f t="shared" si="2912"/>
        <v>NA</v>
      </c>
      <c r="R3015" s="10" t="s">
        <v>1575</v>
      </c>
      <c r="S3015" s="10" t="s">
        <v>1575</v>
      </c>
      <c r="T3015" s="10" t="s">
        <v>1575</v>
      </c>
      <c r="U3015" s="10" t="s">
        <v>1575</v>
      </c>
      <c r="V3015" s="10" t="s">
        <v>1575</v>
      </c>
      <c r="W3015" s="10" t="s">
        <v>1575</v>
      </c>
      <c r="X3015" s="10" t="str">
        <f t="shared" ref="X3015:X3078" si="2916">IFERROR(V3015+W3015,"NA")</f>
        <v>NA</v>
      </c>
      <c r="Y3015" s="10" t="str">
        <f t="shared" ref="Y3015:Y3078" si="2917">IFERROR(P3015/R3015,"NA")</f>
        <v>NA</v>
      </c>
      <c r="Z3015" s="10" t="str">
        <f t="shared" ref="Z3015:Z3078" si="2918">IFERROR(P3015/U3015,"NA")</f>
        <v>NA</v>
      </c>
      <c r="AA3015" s="10" t="str">
        <f t="shared" ref="AA3015:AA3078" si="2919">IFERROR(P3015/V3015,"NA")</f>
        <v>NA</v>
      </c>
      <c r="AB3015" s="10" t="str">
        <f t="shared" ref="AB3015:AB3078" si="2920">IFERROR(Q3015/R3015,"NA")</f>
        <v>NA</v>
      </c>
      <c r="AC3015" s="10" t="str">
        <f t="shared" ref="AC3015:AC3078" si="2921">IFERROR(Q3015/S3015,"NA")</f>
        <v>NA</v>
      </c>
      <c r="AD3015" s="10" t="str">
        <f t="shared" ref="AD3015:AD3078" si="2922">IFERROR(Q3015/T3015,"NA")</f>
        <v>NA</v>
      </c>
      <c r="AE3015" s="10" t="str">
        <f t="shared" ref="AE3015:AE3078" si="2923">IFERROR(Q3015/X3015,"NA")</f>
        <v>NA</v>
      </c>
      <c r="AF3015" s="1" t="s">
        <v>3344</v>
      </c>
    </row>
    <row r="3016" spans="1:32" x14ac:dyDescent="0.2">
      <c r="A3016" s="1" t="s">
        <v>6739</v>
      </c>
      <c r="B3016" s="1" t="s">
        <v>5</v>
      </c>
      <c r="C3016" s="1" t="s">
        <v>1575</v>
      </c>
      <c r="D3016" s="1" t="s">
        <v>1578</v>
      </c>
      <c r="E3016" s="16" t="s">
        <v>9250</v>
      </c>
      <c r="F3016" s="1" t="s">
        <v>190</v>
      </c>
      <c r="G3016" s="4">
        <v>0.66669999999999996</v>
      </c>
      <c r="H3016" s="28">
        <v>41305</v>
      </c>
      <c r="I3016" s="29">
        <f t="shared" si="2874"/>
        <v>2013</v>
      </c>
      <c r="J3016" s="1" t="s">
        <v>7</v>
      </c>
      <c r="K3016" s="1" t="s">
        <v>3339</v>
      </c>
      <c r="L3016" s="11" t="str">
        <f t="shared" ref="L3016" si="2924">IF(OR(A3016=J3016,A3016=K3016),"ДА","НЕТ")</f>
        <v>НЕТ</v>
      </c>
      <c r="M3016" s="10">
        <v>0</v>
      </c>
      <c r="N3016" s="10">
        <v>0</v>
      </c>
      <c r="O3016" s="10">
        <v>1.23</v>
      </c>
      <c r="P3016" s="10">
        <f t="shared" si="2911"/>
        <v>1.8449077546122694</v>
      </c>
      <c r="Q3016" s="10">
        <f t="shared" si="2912"/>
        <v>1.7938077546122695</v>
      </c>
      <c r="R3016" s="10" t="s">
        <v>1575</v>
      </c>
      <c r="S3016" s="10" t="s">
        <v>1575</v>
      </c>
      <c r="T3016" s="10" t="s">
        <v>1575</v>
      </c>
      <c r="U3016" s="10" t="s">
        <v>1575</v>
      </c>
      <c r="V3016" s="10">
        <v>1.0494000000000001</v>
      </c>
      <c r="W3016" s="10">
        <f>0.0605-0.1116</f>
        <v>-5.1100000000000007E-2</v>
      </c>
      <c r="X3016" s="10">
        <f t="shared" si="2916"/>
        <v>0.99830000000000008</v>
      </c>
      <c r="Y3016" s="10" t="str">
        <f t="shared" si="2917"/>
        <v>NA</v>
      </c>
      <c r="Z3016" s="10" t="str">
        <f t="shared" si="2918"/>
        <v>NA</v>
      </c>
      <c r="AA3016" s="10">
        <f t="shared" si="2919"/>
        <v>1.7580596098839996</v>
      </c>
      <c r="AB3016" s="10" t="str">
        <f t="shared" si="2920"/>
        <v>NA</v>
      </c>
      <c r="AC3016" s="10" t="str">
        <f t="shared" si="2921"/>
        <v>NA</v>
      </c>
      <c r="AD3016" s="10" t="str">
        <f t="shared" si="2922"/>
        <v>NA</v>
      </c>
      <c r="AE3016" s="10">
        <f t="shared" si="2923"/>
        <v>1.7968624207275061</v>
      </c>
      <c r="AF3016" s="1" t="s">
        <v>3345</v>
      </c>
    </row>
    <row r="3017" spans="1:32" x14ac:dyDescent="0.2">
      <c r="A3017" s="1" t="s">
        <v>6740</v>
      </c>
      <c r="B3017" s="1" t="s">
        <v>5</v>
      </c>
      <c r="C3017" s="1" t="s">
        <v>1575</v>
      </c>
      <c r="D3017" s="1" t="s">
        <v>1615</v>
      </c>
      <c r="E3017" s="1" t="s">
        <v>2172</v>
      </c>
      <c r="F3017" s="1" t="s">
        <v>3340</v>
      </c>
      <c r="G3017" s="4" t="s">
        <v>11</v>
      </c>
      <c r="H3017" s="28">
        <v>40862</v>
      </c>
      <c r="I3017" s="29">
        <f t="shared" si="2874"/>
        <v>2011</v>
      </c>
      <c r="J3017" s="1" t="s">
        <v>3339</v>
      </c>
      <c r="K3017" s="1" t="s">
        <v>7</v>
      </c>
      <c r="L3017" s="11" t="str">
        <f t="shared" ref="L3017:L3018" si="2925">IF(OR(A3017=J3017,A3017=K3017),"ДА","НЕТ")</f>
        <v>НЕТ</v>
      </c>
      <c r="M3017" s="10">
        <v>61.2</v>
      </c>
      <c r="N3017" s="10">
        <v>0</v>
      </c>
      <c r="O3017" s="10">
        <f>M3017*30.2921/1000</f>
        <v>1.8538765200000002</v>
      </c>
      <c r="P3017" s="10" t="str">
        <f t="shared" si="2911"/>
        <v>NA</v>
      </c>
      <c r="Q3017" s="10" t="str">
        <f t="shared" si="2912"/>
        <v>NA</v>
      </c>
      <c r="R3017" s="10" t="s">
        <v>1575</v>
      </c>
      <c r="S3017" s="10" t="s">
        <v>1575</v>
      </c>
      <c r="T3017" s="10" t="s">
        <v>1575</v>
      </c>
      <c r="U3017" s="10" t="s">
        <v>1575</v>
      </c>
      <c r="V3017" s="10">
        <f>-0.3042*30.2921</f>
        <v>-9.2148568200000014</v>
      </c>
      <c r="W3017" s="10" t="s">
        <v>1575</v>
      </c>
      <c r="X3017" s="10" t="str">
        <f t="shared" si="2916"/>
        <v>NA</v>
      </c>
      <c r="Y3017" s="10" t="str">
        <f t="shared" si="2917"/>
        <v>NA</v>
      </c>
      <c r="Z3017" s="10" t="str">
        <f t="shared" si="2918"/>
        <v>NA</v>
      </c>
      <c r="AA3017" s="10" t="str">
        <f t="shared" si="2919"/>
        <v>NA</v>
      </c>
      <c r="AB3017" s="10" t="str">
        <f t="shared" si="2920"/>
        <v>NA</v>
      </c>
      <c r="AC3017" s="10" t="str">
        <f t="shared" si="2921"/>
        <v>NA</v>
      </c>
      <c r="AD3017" s="10" t="str">
        <f t="shared" si="2922"/>
        <v>NA</v>
      </c>
      <c r="AE3017" s="10" t="str">
        <f t="shared" si="2923"/>
        <v>NA</v>
      </c>
      <c r="AF3017" s="1" t="s">
        <v>3346</v>
      </c>
    </row>
    <row r="3018" spans="1:32" x14ac:dyDescent="0.2">
      <c r="A3018" s="1" t="s">
        <v>6741</v>
      </c>
      <c r="B3018" s="1" t="s">
        <v>5</v>
      </c>
      <c r="C3018" s="1" t="s">
        <v>1575</v>
      </c>
      <c r="D3018" s="1" t="s">
        <v>1615</v>
      </c>
      <c r="E3018" s="1" t="s">
        <v>2172</v>
      </c>
      <c r="F3018" s="1" t="s">
        <v>3340</v>
      </c>
      <c r="G3018" s="4">
        <v>0.51</v>
      </c>
      <c r="H3018" s="28">
        <v>40908</v>
      </c>
      <c r="I3018" s="29">
        <f t="shared" si="2874"/>
        <v>2011</v>
      </c>
      <c r="J3018" s="1" t="s">
        <v>7</v>
      </c>
      <c r="K3018" s="1" t="s">
        <v>3339</v>
      </c>
      <c r="L3018" s="11" t="str">
        <f t="shared" si="2925"/>
        <v>НЕТ</v>
      </c>
      <c r="M3018" s="10">
        <v>0</v>
      </c>
      <c r="N3018" s="10">
        <v>0</v>
      </c>
      <c r="O3018" s="10" t="s">
        <v>1575</v>
      </c>
      <c r="P3018" s="10" t="str">
        <f t="shared" si="2911"/>
        <v>NA</v>
      </c>
      <c r="Q3018" s="10" t="str">
        <f t="shared" si="2912"/>
        <v>NA</v>
      </c>
      <c r="R3018" s="10" t="s">
        <v>1575</v>
      </c>
      <c r="S3018" s="10" t="s">
        <v>1575</v>
      </c>
      <c r="T3018" s="10" t="s">
        <v>1575</v>
      </c>
      <c r="U3018" s="10" t="s">
        <v>1575</v>
      </c>
      <c r="V3018" s="10" t="s">
        <v>1575</v>
      </c>
      <c r="W3018" s="10" t="s">
        <v>1575</v>
      </c>
      <c r="X3018" s="10" t="str">
        <f t="shared" si="2916"/>
        <v>NA</v>
      </c>
      <c r="Y3018" s="10" t="str">
        <f t="shared" si="2917"/>
        <v>NA</v>
      </c>
      <c r="Z3018" s="10" t="str">
        <f t="shared" si="2918"/>
        <v>NA</v>
      </c>
      <c r="AA3018" s="10" t="str">
        <f t="shared" si="2919"/>
        <v>NA</v>
      </c>
      <c r="AB3018" s="10" t="str">
        <f t="shared" si="2920"/>
        <v>NA</v>
      </c>
      <c r="AC3018" s="10" t="str">
        <f t="shared" si="2921"/>
        <v>NA</v>
      </c>
      <c r="AD3018" s="10" t="str">
        <f t="shared" si="2922"/>
        <v>NA</v>
      </c>
      <c r="AE3018" s="10" t="str">
        <f t="shared" si="2923"/>
        <v>NA</v>
      </c>
      <c r="AF3018" s="1" t="s">
        <v>3347</v>
      </c>
    </row>
    <row r="3019" spans="1:32" x14ac:dyDescent="0.2">
      <c r="A3019" s="1" t="s">
        <v>6742</v>
      </c>
      <c r="B3019" s="1" t="s">
        <v>5</v>
      </c>
      <c r="C3019" s="1" t="s">
        <v>1575</v>
      </c>
      <c r="D3019" s="1" t="s">
        <v>1615</v>
      </c>
      <c r="E3019" s="1" t="s">
        <v>2172</v>
      </c>
      <c r="F3019" s="1" t="s">
        <v>3343</v>
      </c>
      <c r="G3019" s="4" t="s">
        <v>11</v>
      </c>
      <c r="H3019" s="28">
        <v>40908</v>
      </c>
      <c r="I3019" s="29">
        <f t="shared" si="2874"/>
        <v>2011</v>
      </c>
      <c r="J3019" s="1" t="s">
        <v>7</v>
      </c>
      <c r="K3019" s="1" t="s">
        <v>3339</v>
      </c>
      <c r="L3019" s="11" t="str">
        <f t="shared" ref="L3019:L3020" si="2926">IF(OR(A3019=J3019,A3019=K3019),"ДА","НЕТ")</f>
        <v>НЕТ</v>
      </c>
      <c r="M3019" s="10">
        <v>0</v>
      </c>
      <c r="N3019" s="10">
        <v>0</v>
      </c>
      <c r="O3019" s="10" t="s">
        <v>1575</v>
      </c>
      <c r="P3019" s="10" t="str">
        <f t="shared" si="2911"/>
        <v>NA</v>
      </c>
      <c r="Q3019" s="10" t="str">
        <f t="shared" si="2912"/>
        <v>NA</v>
      </c>
      <c r="R3019" s="10" t="s">
        <v>1575</v>
      </c>
      <c r="S3019" s="10" t="s">
        <v>1575</v>
      </c>
      <c r="T3019" s="10" t="s">
        <v>1575</v>
      </c>
      <c r="U3019" s="10" t="s">
        <v>1575</v>
      </c>
      <c r="V3019" s="10" t="s">
        <v>1575</v>
      </c>
      <c r="W3019" s="10" t="s">
        <v>1575</v>
      </c>
      <c r="X3019" s="10" t="str">
        <f t="shared" si="2916"/>
        <v>NA</v>
      </c>
      <c r="Y3019" s="10" t="str">
        <f t="shared" si="2917"/>
        <v>NA</v>
      </c>
      <c r="Z3019" s="10" t="str">
        <f t="shared" si="2918"/>
        <v>NA</v>
      </c>
      <c r="AA3019" s="10" t="str">
        <f t="shared" si="2919"/>
        <v>NA</v>
      </c>
      <c r="AB3019" s="10" t="str">
        <f t="shared" si="2920"/>
        <v>NA</v>
      </c>
      <c r="AC3019" s="10" t="str">
        <f t="shared" si="2921"/>
        <v>NA</v>
      </c>
      <c r="AD3019" s="10" t="str">
        <f t="shared" si="2922"/>
        <v>NA</v>
      </c>
      <c r="AE3019" s="10" t="str">
        <f t="shared" si="2923"/>
        <v>NA</v>
      </c>
      <c r="AF3019" s="1" t="s">
        <v>3348</v>
      </c>
    </row>
    <row r="3020" spans="1:32" x14ac:dyDescent="0.2">
      <c r="A3020" s="1" t="s">
        <v>6743</v>
      </c>
      <c r="B3020" s="1" t="s">
        <v>5</v>
      </c>
      <c r="C3020" s="1" t="s">
        <v>1575</v>
      </c>
      <c r="D3020" s="1" t="s">
        <v>1615</v>
      </c>
      <c r="E3020" s="1" t="s">
        <v>2172</v>
      </c>
      <c r="F3020" s="1" t="s">
        <v>3350</v>
      </c>
      <c r="G3020" s="4">
        <v>0.5282</v>
      </c>
      <c r="H3020" s="28">
        <v>40890</v>
      </c>
      <c r="I3020" s="29">
        <f t="shared" si="2874"/>
        <v>2011</v>
      </c>
      <c r="J3020" s="1" t="s">
        <v>6744</v>
      </c>
      <c r="K3020" s="1" t="s">
        <v>3339</v>
      </c>
      <c r="L3020" s="11" t="str">
        <f t="shared" si="2926"/>
        <v>НЕТ</v>
      </c>
      <c r="M3020" s="10">
        <v>0</v>
      </c>
      <c r="N3020" s="10">
        <v>0</v>
      </c>
      <c r="O3020" s="10" t="s">
        <v>1575</v>
      </c>
      <c r="P3020" s="10" t="str">
        <f t="shared" si="2911"/>
        <v>NA</v>
      </c>
      <c r="Q3020" s="10" t="str">
        <f t="shared" si="2912"/>
        <v>NA</v>
      </c>
      <c r="R3020" s="10">
        <f>0.0692*32.1961</f>
        <v>2.2279701200000002</v>
      </c>
      <c r="S3020" s="10" t="s">
        <v>1575</v>
      </c>
      <c r="T3020" s="10">
        <f>(0.0692-0.1185)*32.1961</f>
        <v>-1.58726773</v>
      </c>
      <c r="U3020" s="10">
        <f>-0.1412*32.1961</f>
        <v>-4.5460893200000001</v>
      </c>
      <c r="V3020" s="10" t="s">
        <v>1575</v>
      </c>
      <c r="W3020" s="10" t="s">
        <v>1575</v>
      </c>
      <c r="X3020" s="10" t="str">
        <f t="shared" si="2916"/>
        <v>NA</v>
      </c>
      <c r="Y3020" s="10" t="str">
        <f t="shared" si="2917"/>
        <v>NA</v>
      </c>
      <c r="Z3020" s="10" t="str">
        <f t="shared" si="2918"/>
        <v>NA</v>
      </c>
      <c r="AA3020" s="10" t="str">
        <f t="shared" si="2919"/>
        <v>NA</v>
      </c>
      <c r="AB3020" s="10" t="str">
        <f t="shared" si="2920"/>
        <v>NA</v>
      </c>
      <c r="AC3020" s="10" t="str">
        <f t="shared" si="2921"/>
        <v>NA</v>
      </c>
      <c r="AD3020" s="10" t="str">
        <f t="shared" si="2922"/>
        <v>NA</v>
      </c>
      <c r="AE3020" s="10" t="str">
        <f t="shared" si="2923"/>
        <v>NA</v>
      </c>
      <c r="AF3020" s="1" t="s">
        <v>3349</v>
      </c>
    </row>
    <row r="3021" spans="1:32" x14ac:dyDescent="0.2">
      <c r="A3021" s="1" t="s">
        <v>3849</v>
      </c>
      <c r="B3021" s="1" t="s">
        <v>3850</v>
      </c>
      <c r="C3021" s="1" t="s">
        <v>1575</v>
      </c>
      <c r="D3021" s="1" t="s">
        <v>1615</v>
      </c>
      <c r="E3021" s="1" t="s">
        <v>2172</v>
      </c>
      <c r="F3021" s="1" t="s">
        <v>3855</v>
      </c>
      <c r="G3021" s="4">
        <v>0.91080000000000005</v>
      </c>
      <c r="H3021" s="28">
        <v>44742</v>
      </c>
      <c r="I3021" s="29">
        <f t="shared" si="2874"/>
        <v>2022</v>
      </c>
      <c r="J3021" s="1" t="s">
        <v>7</v>
      </c>
      <c r="K3021" s="1" t="s">
        <v>3851</v>
      </c>
      <c r="L3021" s="11" t="str">
        <f t="shared" ref="L3021" si="2927">IF(OR(A3021=J3021,A3021=K3021),"ДА","НЕТ")</f>
        <v>НЕТ</v>
      </c>
      <c r="M3021" s="10">
        <v>0</v>
      </c>
      <c r="N3021" s="10">
        <v>0</v>
      </c>
      <c r="O3021" s="10">
        <v>0.92948900000000001</v>
      </c>
      <c r="P3021" s="10">
        <f t="shared" si="2911"/>
        <v>1.0205193236714976</v>
      </c>
      <c r="Q3021" s="10">
        <f t="shared" si="2912"/>
        <v>2.3341973236714977</v>
      </c>
      <c r="R3021" s="10" t="s">
        <v>1575</v>
      </c>
      <c r="S3021" s="10" t="s">
        <v>1575</v>
      </c>
      <c r="T3021" s="10" t="s">
        <v>1575</v>
      </c>
      <c r="U3021" s="10" t="s">
        <v>1575</v>
      </c>
      <c r="V3021" s="10">
        <v>1.3841950000000001</v>
      </c>
      <c r="W3021" s="10">
        <f>0.198849+0.725249+0.078883+0.414862-0.104165</f>
        <v>1.3136780000000001</v>
      </c>
      <c r="X3021" s="10">
        <f t="shared" si="2916"/>
        <v>2.6978730000000004</v>
      </c>
      <c r="Y3021" s="10" t="str">
        <f t="shared" si="2917"/>
        <v>NA</v>
      </c>
      <c r="Z3021" s="10" t="str">
        <f t="shared" si="2918"/>
        <v>NA</v>
      </c>
      <c r="AA3021" s="10">
        <f t="shared" si="2919"/>
        <v>0.7372655757833958</v>
      </c>
      <c r="AB3021" s="10" t="str">
        <f t="shared" si="2920"/>
        <v>NA</v>
      </c>
      <c r="AC3021" s="10" t="str">
        <f t="shared" si="2921"/>
        <v>NA</v>
      </c>
      <c r="AD3021" s="10" t="str">
        <f t="shared" si="2922"/>
        <v>NA</v>
      </c>
      <c r="AE3021" s="10">
        <f t="shared" si="2923"/>
        <v>0.86519911191946297</v>
      </c>
      <c r="AF3021" s="1" t="s">
        <v>3852</v>
      </c>
    </row>
    <row r="3022" spans="1:32" x14ac:dyDescent="0.2">
      <c r="A3022" s="1" t="s">
        <v>6745</v>
      </c>
      <c r="B3022" s="1" t="s">
        <v>5</v>
      </c>
      <c r="C3022" s="1" t="s">
        <v>1575</v>
      </c>
      <c r="D3022" s="1" t="s">
        <v>1615</v>
      </c>
      <c r="E3022" s="1" t="s">
        <v>2172</v>
      </c>
      <c r="F3022" s="1" t="s">
        <v>3854</v>
      </c>
      <c r="G3022" s="4">
        <v>0.25690000000000002</v>
      </c>
      <c r="H3022" s="28">
        <v>43830</v>
      </c>
      <c r="I3022" s="29">
        <f t="shared" si="2874"/>
        <v>2019</v>
      </c>
      <c r="J3022" s="1" t="s">
        <v>3851</v>
      </c>
      <c r="K3022" s="1" t="s">
        <v>7</v>
      </c>
      <c r="L3022" s="11" t="str">
        <f t="shared" ref="L3022" si="2928">IF(OR(A3022=J3022,A3022=K3022),"ДА","НЕТ")</f>
        <v>НЕТ</v>
      </c>
      <c r="M3022" s="10">
        <v>0</v>
      </c>
      <c r="N3022" s="10">
        <v>0</v>
      </c>
      <c r="O3022" s="10">
        <v>0.142957</v>
      </c>
      <c r="P3022" s="10">
        <f t="shared" si="2911"/>
        <v>0.55646944336317627</v>
      </c>
      <c r="Q3022" s="10" t="str">
        <f t="shared" si="2912"/>
        <v>NA</v>
      </c>
      <c r="R3022" s="10" t="s">
        <v>1575</v>
      </c>
      <c r="S3022" s="10" t="s">
        <v>1575</v>
      </c>
      <c r="T3022" s="10" t="s">
        <v>1575</v>
      </c>
      <c r="U3022" s="10" t="s">
        <v>1575</v>
      </c>
      <c r="V3022" s="10" t="s">
        <v>1575</v>
      </c>
      <c r="W3022" s="10" t="s">
        <v>1575</v>
      </c>
      <c r="X3022" s="10" t="str">
        <f t="shared" si="2916"/>
        <v>NA</v>
      </c>
      <c r="Y3022" s="10" t="str">
        <f t="shared" si="2917"/>
        <v>NA</v>
      </c>
      <c r="Z3022" s="10" t="str">
        <f t="shared" si="2918"/>
        <v>NA</v>
      </c>
      <c r="AA3022" s="10" t="str">
        <f t="shared" si="2919"/>
        <v>NA</v>
      </c>
      <c r="AB3022" s="10" t="str">
        <f t="shared" si="2920"/>
        <v>NA</v>
      </c>
      <c r="AC3022" s="10" t="str">
        <f t="shared" si="2921"/>
        <v>NA</v>
      </c>
      <c r="AD3022" s="10" t="str">
        <f t="shared" si="2922"/>
        <v>NA</v>
      </c>
      <c r="AE3022" s="10" t="str">
        <f t="shared" si="2923"/>
        <v>NA</v>
      </c>
      <c r="AF3022" s="1" t="s">
        <v>3853</v>
      </c>
    </row>
    <row r="3023" spans="1:32" x14ac:dyDescent="0.2">
      <c r="A3023" s="1" t="s">
        <v>6746</v>
      </c>
      <c r="B3023" s="1" t="s">
        <v>5</v>
      </c>
      <c r="C3023" s="1" t="s">
        <v>1575</v>
      </c>
      <c r="D3023" s="1" t="s">
        <v>1615</v>
      </c>
      <c r="E3023" s="1" t="s">
        <v>2172</v>
      </c>
      <c r="F3023" s="1" t="s">
        <v>3350</v>
      </c>
      <c r="G3023" s="4">
        <v>0.48</v>
      </c>
      <c r="H3023" s="28">
        <v>43147</v>
      </c>
      <c r="I3023" s="29">
        <f t="shared" si="2874"/>
        <v>2018</v>
      </c>
      <c r="J3023" s="1" t="s">
        <v>3851</v>
      </c>
      <c r="K3023" s="1" t="s">
        <v>7</v>
      </c>
      <c r="L3023" s="11" t="str">
        <f t="shared" ref="L3023:L3024" si="2929">IF(OR(A3023=J3023,A3023=K3023),"ДА","НЕТ")</f>
        <v>НЕТ</v>
      </c>
      <c r="M3023" s="10">
        <v>0</v>
      </c>
      <c r="N3023" s="10">
        <v>0</v>
      </c>
      <c r="O3023" s="10">
        <v>0.71861399999999998</v>
      </c>
      <c r="P3023" s="10">
        <f t="shared" si="2911"/>
        <v>1.4971125000000001</v>
      </c>
      <c r="Q3023" s="10" t="str">
        <f t="shared" si="2912"/>
        <v>NA</v>
      </c>
      <c r="R3023" s="10">
        <v>2.8107139999999999</v>
      </c>
      <c r="S3023" s="10" t="s">
        <v>1575</v>
      </c>
      <c r="T3023" s="10" t="s">
        <v>1575</v>
      </c>
      <c r="U3023" s="10">
        <v>0.113869</v>
      </c>
      <c r="V3023" s="10">
        <v>0.79162999999999994</v>
      </c>
      <c r="W3023" s="10" t="s">
        <v>1575</v>
      </c>
      <c r="X3023" s="10" t="str">
        <f t="shared" si="2916"/>
        <v>NA</v>
      </c>
      <c r="Y3023" s="10">
        <f t="shared" si="2917"/>
        <v>0.53264490801981279</v>
      </c>
      <c r="Z3023" s="10">
        <f t="shared" si="2918"/>
        <v>13.147674081620108</v>
      </c>
      <c r="AA3023" s="10">
        <f t="shared" si="2919"/>
        <v>1.8911770650430126</v>
      </c>
      <c r="AB3023" s="10" t="str">
        <f t="shared" si="2920"/>
        <v>NA</v>
      </c>
      <c r="AC3023" s="10" t="str">
        <f t="shared" si="2921"/>
        <v>NA</v>
      </c>
      <c r="AD3023" s="10" t="str">
        <f t="shared" si="2922"/>
        <v>NA</v>
      </c>
      <c r="AE3023" s="10" t="str">
        <f t="shared" si="2923"/>
        <v>NA</v>
      </c>
      <c r="AF3023" s="1" t="s">
        <v>3856</v>
      </c>
    </row>
    <row r="3024" spans="1:32" x14ac:dyDescent="0.2">
      <c r="A3024" s="1" t="s">
        <v>6745</v>
      </c>
      <c r="B3024" s="1" t="s">
        <v>5</v>
      </c>
      <c r="C3024" s="1" t="s">
        <v>1575</v>
      </c>
      <c r="D3024" s="1" t="s">
        <v>1615</v>
      </c>
      <c r="E3024" s="1" t="s">
        <v>2172</v>
      </c>
      <c r="F3024" s="1" t="s">
        <v>3854</v>
      </c>
      <c r="G3024" s="4">
        <f>74.31%-52.99%</f>
        <v>0.21319999999999995</v>
      </c>
      <c r="H3024" s="28">
        <v>43465</v>
      </c>
      <c r="I3024" s="29">
        <f t="shared" ref="I3024:I3045" si="2930">YEAR(H3024)</f>
        <v>2018</v>
      </c>
      <c r="J3024" s="1" t="s">
        <v>3851</v>
      </c>
      <c r="K3024" s="1" t="s">
        <v>7</v>
      </c>
      <c r="L3024" s="11" t="str">
        <f t="shared" si="2929"/>
        <v>НЕТ</v>
      </c>
      <c r="M3024" s="10">
        <v>0</v>
      </c>
      <c r="N3024" s="10">
        <v>0</v>
      </c>
      <c r="O3024" s="10">
        <v>0.11197600000000001</v>
      </c>
      <c r="P3024" s="10">
        <f t="shared" si="2911"/>
        <v>0.52521575984990632</v>
      </c>
      <c r="Q3024" s="10" t="str">
        <f t="shared" si="2912"/>
        <v>NA</v>
      </c>
      <c r="R3024" s="10">
        <v>1.8872180000000001</v>
      </c>
      <c r="S3024" s="10" t="s">
        <v>1575</v>
      </c>
      <c r="T3024" s="10" t="s">
        <v>1575</v>
      </c>
      <c r="U3024" s="10">
        <v>-9.2894000000000004E-2</v>
      </c>
      <c r="V3024" s="10">
        <f>0.571475+1.608263-0.138029-0.257204</f>
        <v>1.784505</v>
      </c>
      <c r="W3024" s="10" t="s">
        <v>1575</v>
      </c>
      <c r="X3024" s="10" t="str">
        <f t="shared" si="2916"/>
        <v>NA</v>
      </c>
      <c r="Y3024" s="10">
        <f t="shared" si="2917"/>
        <v>0.27830158458106391</v>
      </c>
      <c r="Z3024" s="10">
        <f t="shared" si="2918"/>
        <v>-5.6539255479353487</v>
      </c>
      <c r="AA3024" s="10">
        <f t="shared" si="2919"/>
        <v>0.29432013911415567</v>
      </c>
      <c r="AB3024" s="10" t="str">
        <f t="shared" si="2920"/>
        <v>NA</v>
      </c>
      <c r="AC3024" s="10" t="str">
        <f t="shared" si="2921"/>
        <v>NA</v>
      </c>
      <c r="AD3024" s="10" t="str">
        <f t="shared" si="2922"/>
        <v>NA</v>
      </c>
      <c r="AE3024" s="10" t="str">
        <f t="shared" si="2923"/>
        <v>NA</v>
      </c>
      <c r="AF3024" s="1" t="s">
        <v>3857</v>
      </c>
    </row>
    <row r="3025" spans="1:32" x14ac:dyDescent="0.2">
      <c r="A3025" s="1" t="s">
        <v>3851</v>
      </c>
      <c r="B3025" s="1" t="s">
        <v>5</v>
      </c>
      <c r="C3025" s="1" t="s">
        <v>3860</v>
      </c>
      <c r="D3025" s="1" t="s">
        <v>1615</v>
      </c>
      <c r="E3025" s="1" t="s">
        <v>2172</v>
      </c>
      <c r="F3025" s="1" t="s">
        <v>3343</v>
      </c>
      <c r="G3025" s="4">
        <f>3125000000/3702208000</f>
        <v>0.84409087766003421</v>
      </c>
      <c r="H3025" s="28">
        <v>42363</v>
      </c>
      <c r="I3025" s="29">
        <f t="shared" si="2930"/>
        <v>2015</v>
      </c>
      <c r="J3025" s="1" t="s">
        <v>7</v>
      </c>
      <c r="K3025" s="1" t="s">
        <v>3851</v>
      </c>
      <c r="L3025" s="11" t="str">
        <f t="shared" ref="L3025:L3026" si="2931">IF(OR(A3025=J3025,A3025=K3025),"ДА","НЕТ")</f>
        <v>ДА</v>
      </c>
      <c r="M3025" s="10">
        <v>0</v>
      </c>
      <c r="N3025" s="10">
        <v>0</v>
      </c>
      <c r="O3025" s="10">
        <v>25</v>
      </c>
      <c r="P3025" s="10">
        <f t="shared" si="2911"/>
        <v>29.617664000000001</v>
      </c>
      <c r="Q3025" s="10">
        <f t="shared" si="2912"/>
        <v>133.71328600000001</v>
      </c>
      <c r="R3025" s="10">
        <v>76.589799999999997</v>
      </c>
      <c r="S3025" s="10">
        <v>-41.779910000000001</v>
      </c>
      <c r="T3025" s="10">
        <v>-48.350977</v>
      </c>
      <c r="U3025" s="10">
        <v>-62.034533000000003</v>
      </c>
      <c r="V3025" s="10">
        <v>-43.556091000000002</v>
      </c>
      <c r="W3025" s="10">
        <v>104.09562200000001</v>
      </c>
      <c r="X3025" s="10">
        <f t="shared" si="2916"/>
        <v>60.539531000000004</v>
      </c>
      <c r="Y3025" s="10">
        <f t="shared" si="2917"/>
        <v>0.38670507038796292</v>
      </c>
      <c r="Z3025" s="10">
        <f t="shared" si="2918"/>
        <v>-0.47743833261386848</v>
      </c>
      <c r="AA3025" s="10">
        <f t="shared" si="2919"/>
        <v>-0.67998902840018405</v>
      </c>
      <c r="AB3025" s="10">
        <f t="shared" si="2920"/>
        <v>1.7458367302173399</v>
      </c>
      <c r="AC3025" s="10">
        <f t="shared" si="2921"/>
        <v>-3.2004206327873854</v>
      </c>
      <c r="AD3025" s="10">
        <f t="shared" si="2922"/>
        <v>-2.7654722674993724</v>
      </c>
      <c r="AE3025" s="10">
        <f t="shared" si="2923"/>
        <v>2.2086937872049255</v>
      </c>
      <c r="AF3025" s="1" t="s">
        <v>3858</v>
      </c>
    </row>
    <row r="3026" spans="1:32" x14ac:dyDescent="0.2">
      <c r="A3026" s="1" t="s">
        <v>6747</v>
      </c>
      <c r="B3026" s="1" t="s">
        <v>5</v>
      </c>
      <c r="C3026" s="1" t="s">
        <v>1575</v>
      </c>
      <c r="D3026" s="1" t="s">
        <v>1615</v>
      </c>
      <c r="E3026" s="1" t="s">
        <v>2172</v>
      </c>
      <c r="F3026" s="1" t="s">
        <v>3854</v>
      </c>
      <c r="G3026" s="4">
        <v>0.25</v>
      </c>
      <c r="H3026" s="28">
        <v>42460</v>
      </c>
      <c r="I3026" s="29">
        <f t="shared" si="2930"/>
        <v>2016</v>
      </c>
      <c r="J3026" s="1" t="s">
        <v>6748</v>
      </c>
      <c r="K3026" s="1" t="s">
        <v>7</v>
      </c>
      <c r="L3026" s="11" t="str">
        <f t="shared" si="2931"/>
        <v>НЕТ</v>
      </c>
      <c r="M3026" s="10">
        <v>0</v>
      </c>
      <c r="N3026" s="10">
        <v>0</v>
      </c>
      <c r="O3026" s="10">
        <v>0.18</v>
      </c>
      <c r="P3026" s="10">
        <f t="shared" si="2911"/>
        <v>0.72</v>
      </c>
      <c r="Q3026" s="10" t="str">
        <f t="shared" si="2912"/>
        <v>NA</v>
      </c>
      <c r="R3026" s="10" t="s">
        <v>1575</v>
      </c>
      <c r="S3026" s="10" t="s">
        <v>1575</v>
      </c>
      <c r="T3026" s="10" t="s">
        <v>1575</v>
      </c>
      <c r="U3026" s="10" t="s">
        <v>1575</v>
      </c>
      <c r="V3026" s="10" t="s">
        <v>1575</v>
      </c>
      <c r="W3026" s="10" t="s">
        <v>1575</v>
      </c>
      <c r="X3026" s="10" t="str">
        <f t="shared" si="2916"/>
        <v>NA</v>
      </c>
      <c r="Y3026" s="10" t="str">
        <f t="shared" si="2917"/>
        <v>NA</v>
      </c>
      <c r="Z3026" s="10" t="str">
        <f t="shared" si="2918"/>
        <v>NA</v>
      </c>
      <c r="AA3026" s="10" t="str">
        <f t="shared" si="2919"/>
        <v>NA</v>
      </c>
      <c r="AB3026" s="10" t="str">
        <f t="shared" si="2920"/>
        <v>NA</v>
      </c>
      <c r="AC3026" s="10" t="str">
        <f t="shared" si="2921"/>
        <v>NA</v>
      </c>
      <c r="AD3026" s="10" t="str">
        <f t="shared" si="2922"/>
        <v>NA</v>
      </c>
      <c r="AE3026" s="10" t="str">
        <f t="shared" si="2923"/>
        <v>NA</v>
      </c>
      <c r="AF3026" s="1" t="s">
        <v>3859</v>
      </c>
    </row>
    <row r="3027" spans="1:32" x14ac:dyDescent="0.2">
      <c r="A3027" s="1" t="s">
        <v>6749</v>
      </c>
      <c r="B3027" s="1" t="s">
        <v>5</v>
      </c>
      <c r="C3027" s="1" t="s">
        <v>1575</v>
      </c>
      <c r="D3027" s="1" t="s">
        <v>1580</v>
      </c>
      <c r="E3027" s="1" t="s">
        <v>1587</v>
      </c>
      <c r="F3027" s="1" t="s">
        <v>2163</v>
      </c>
      <c r="G3027" s="4">
        <v>1</v>
      </c>
      <c r="H3027" s="28">
        <v>42613</v>
      </c>
      <c r="I3027" s="29">
        <f t="shared" si="2930"/>
        <v>2016</v>
      </c>
      <c r="J3027" s="1" t="s">
        <v>7</v>
      </c>
      <c r="K3027" s="1" t="s">
        <v>3851</v>
      </c>
      <c r="L3027" s="11" t="str">
        <f t="shared" ref="L3027" si="2932">IF(OR(A3027=J3027,A3027=K3027),"ДА","НЕТ")</f>
        <v>НЕТ</v>
      </c>
      <c r="M3027" s="10">
        <v>0</v>
      </c>
      <c r="N3027" s="10">
        <v>0</v>
      </c>
      <c r="O3027" s="10" t="s">
        <v>1575</v>
      </c>
      <c r="P3027" s="10" t="str">
        <f t="shared" si="2911"/>
        <v>NA</v>
      </c>
      <c r="Q3027" s="10" t="str">
        <f t="shared" si="2912"/>
        <v>NA</v>
      </c>
      <c r="R3027" s="10" t="s">
        <v>1575</v>
      </c>
      <c r="S3027" s="10" t="s">
        <v>1575</v>
      </c>
      <c r="T3027" s="10" t="s">
        <v>1575</v>
      </c>
      <c r="U3027" s="10" t="s">
        <v>1575</v>
      </c>
      <c r="V3027" s="10" t="s">
        <v>1575</v>
      </c>
      <c r="W3027" s="10" t="s">
        <v>1575</v>
      </c>
      <c r="X3027" s="10" t="str">
        <f t="shared" si="2916"/>
        <v>NA</v>
      </c>
      <c r="Y3027" s="10" t="str">
        <f t="shared" si="2917"/>
        <v>NA</v>
      </c>
      <c r="Z3027" s="10" t="str">
        <f t="shared" si="2918"/>
        <v>NA</v>
      </c>
      <c r="AA3027" s="10" t="str">
        <f t="shared" si="2919"/>
        <v>NA</v>
      </c>
      <c r="AB3027" s="10" t="str">
        <f t="shared" si="2920"/>
        <v>NA</v>
      </c>
      <c r="AC3027" s="10" t="str">
        <f t="shared" si="2921"/>
        <v>NA</v>
      </c>
      <c r="AD3027" s="10" t="str">
        <f t="shared" si="2922"/>
        <v>NA</v>
      </c>
      <c r="AE3027" s="10" t="str">
        <f t="shared" si="2923"/>
        <v>NA</v>
      </c>
      <c r="AF3027" s="1" t="s">
        <v>3861</v>
      </c>
    </row>
    <row r="3028" spans="1:32" x14ac:dyDescent="0.2">
      <c r="A3028" s="1" t="s">
        <v>6750</v>
      </c>
      <c r="B3028" s="1" t="s">
        <v>5</v>
      </c>
      <c r="C3028" s="1" t="s">
        <v>1575</v>
      </c>
      <c r="D3028" s="1" t="s">
        <v>1615</v>
      </c>
      <c r="E3028" s="1" t="s">
        <v>2172</v>
      </c>
      <c r="F3028" s="1" t="s">
        <v>3343</v>
      </c>
      <c r="G3028" s="4">
        <v>0.51</v>
      </c>
      <c r="H3028" s="28">
        <v>42643</v>
      </c>
      <c r="I3028" s="29">
        <f t="shared" si="2930"/>
        <v>2016</v>
      </c>
      <c r="J3028" s="1" t="s">
        <v>7</v>
      </c>
      <c r="K3028" s="1" t="s">
        <v>3851</v>
      </c>
      <c r="L3028" s="11" t="str">
        <f t="shared" ref="L3028" si="2933">IF(OR(A3028=J3028,A3028=K3028),"ДА","НЕТ")</f>
        <v>НЕТ</v>
      </c>
      <c r="M3028" s="10">
        <v>0</v>
      </c>
      <c r="N3028" s="10">
        <v>0</v>
      </c>
      <c r="O3028" s="10">
        <v>2.9190000000000001E-2</v>
      </c>
      <c r="P3028" s="10">
        <f t="shared" si="2911"/>
        <v>5.7235294117647058E-2</v>
      </c>
      <c r="Q3028" s="10" t="str">
        <f t="shared" si="2912"/>
        <v>NA</v>
      </c>
      <c r="R3028" s="10" t="s">
        <v>1575</v>
      </c>
      <c r="S3028" s="10" t="s">
        <v>1575</v>
      </c>
      <c r="T3028" s="10" t="s">
        <v>1575</v>
      </c>
      <c r="U3028" s="10" t="s">
        <v>1575</v>
      </c>
      <c r="V3028" s="10" t="s">
        <v>1575</v>
      </c>
      <c r="W3028" s="10" t="s">
        <v>1575</v>
      </c>
      <c r="X3028" s="10" t="str">
        <f t="shared" si="2916"/>
        <v>NA</v>
      </c>
      <c r="Y3028" s="10" t="str">
        <f t="shared" si="2917"/>
        <v>NA</v>
      </c>
      <c r="Z3028" s="10" t="str">
        <f t="shared" si="2918"/>
        <v>NA</v>
      </c>
      <c r="AA3028" s="10" t="str">
        <f t="shared" si="2919"/>
        <v>NA</v>
      </c>
      <c r="AB3028" s="10" t="str">
        <f t="shared" si="2920"/>
        <v>NA</v>
      </c>
      <c r="AC3028" s="10" t="str">
        <f t="shared" si="2921"/>
        <v>NA</v>
      </c>
      <c r="AD3028" s="10" t="str">
        <f t="shared" si="2922"/>
        <v>NA</v>
      </c>
      <c r="AE3028" s="10" t="str">
        <f t="shared" si="2923"/>
        <v>NA</v>
      </c>
      <c r="AF3028" s="1" t="s">
        <v>3862</v>
      </c>
    </row>
    <row r="3029" spans="1:32" x14ac:dyDescent="0.2">
      <c r="A3029" s="1" t="s">
        <v>6751</v>
      </c>
      <c r="B3029" s="1" t="s">
        <v>91</v>
      </c>
      <c r="C3029" s="1" t="s">
        <v>1575</v>
      </c>
      <c r="D3029" s="1" t="s">
        <v>1615</v>
      </c>
      <c r="E3029" s="1" t="s">
        <v>2172</v>
      </c>
      <c r="F3029" s="1" t="s">
        <v>3343</v>
      </c>
      <c r="G3029" s="4">
        <v>1</v>
      </c>
      <c r="H3029" s="28">
        <v>42643</v>
      </c>
      <c r="I3029" s="29">
        <f t="shared" si="2930"/>
        <v>2016</v>
      </c>
      <c r="J3029" s="1" t="s">
        <v>7</v>
      </c>
      <c r="K3029" s="1" t="s">
        <v>3851</v>
      </c>
      <c r="L3029" s="11" t="str">
        <f t="shared" ref="L3029:L3030" si="2934">IF(OR(A3029=J3029,A3029=K3029),"ДА","НЕТ")</f>
        <v>НЕТ</v>
      </c>
      <c r="M3029" s="10">
        <v>0</v>
      </c>
      <c r="N3029" s="10">
        <v>0</v>
      </c>
      <c r="O3029" s="10">
        <v>4.3699999999999998E-3</v>
      </c>
      <c r="P3029" s="10">
        <f t="shared" si="2911"/>
        <v>4.3699999999999998E-3</v>
      </c>
      <c r="Q3029" s="10">
        <f t="shared" si="2912"/>
        <v>0.27290999999999999</v>
      </c>
      <c r="R3029" s="10" t="s">
        <v>1575</v>
      </c>
      <c r="S3029" s="10" t="s">
        <v>1575</v>
      </c>
      <c r="T3029" s="10" t="s">
        <v>1575</v>
      </c>
      <c r="U3029" s="10" t="s">
        <v>1575</v>
      </c>
      <c r="V3029" s="10">
        <v>-2.571755</v>
      </c>
      <c r="W3029" s="10">
        <f>0.283986+0.000017-0.015463</f>
        <v>0.26854</v>
      </c>
      <c r="X3029" s="10">
        <f t="shared" si="2916"/>
        <v>-2.3032149999999998</v>
      </c>
      <c r="Y3029" s="10" t="str">
        <f t="shared" si="2917"/>
        <v>NA</v>
      </c>
      <c r="Z3029" s="10" t="str">
        <f t="shared" si="2918"/>
        <v>NA</v>
      </c>
      <c r="AA3029" s="10">
        <f t="shared" si="2919"/>
        <v>-1.6992287367964677E-3</v>
      </c>
      <c r="AB3029" s="10" t="str">
        <f t="shared" si="2920"/>
        <v>NA</v>
      </c>
      <c r="AC3029" s="10" t="str">
        <f t="shared" si="2921"/>
        <v>NA</v>
      </c>
      <c r="AD3029" s="10" t="str">
        <f t="shared" si="2922"/>
        <v>NA</v>
      </c>
      <c r="AE3029" s="10">
        <f t="shared" si="2923"/>
        <v>-0.11849089207911551</v>
      </c>
      <c r="AF3029" s="1" t="s">
        <v>3863</v>
      </c>
    </row>
    <row r="3030" spans="1:32" x14ac:dyDescent="0.2">
      <c r="A3030" s="1" t="s">
        <v>6752</v>
      </c>
      <c r="B3030" s="1" t="s">
        <v>5</v>
      </c>
      <c r="C3030" s="1" t="s">
        <v>1575</v>
      </c>
      <c r="D3030" s="1" t="s">
        <v>1615</v>
      </c>
      <c r="E3030" s="1" t="s">
        <v>2172</v>
      </c>
      <c r="F3030" s="1" t="s">
        <v>3865</v>
      </c>
      <c r="G3030" s="4">
        <v>0.14510000000000001</v>
      </c>
      <c r="H3030" s="28">
        <v>42185</v>
      </c>
      <c r="I3030" s="29">
        <f t="shared" si="2930"/>
        <v>2015</v>
      </c>
      <c r="J3030" s="1" t="s">
        <v>6748</v>
      </c>
      <c r="K3030" s="1" t="s">
        <v>7</v>
      </c>
      <c r="L3030" s="11" t="str">
        <f t="shared" si="2934"/>
        <v>НЕТ</v>
      </c>
      <c r="M3030" s="10">
        <v>0</v>
      </c>
      <c r="N3030" s="10">
        <v>0</v>
      </c>
      <c r="O3030" s="10">
        <v>8.2070000000000008E-3</v>
      </c>
      <c r="P3030" s="10">
        <f t="shared" si="2911"/>
        <v>5.6560992419021371E-2</v>
      </c>
      <c r="Q3030" s="10" t="str">
        <f t="shared" si="2912"/>
        <v>NA</v>
      </c>
      <c r="R3030" s="10" t="s">
        <v>1575</v>
      </c>
      <c r="S3030" s="10" t="s">
        <v>1575</v>
      </c>
      <c r="T3030" s="10" t="s">
        <v>1575</v>
      </c>
      <c r="U3030" s="10" t="s">
        <v>1575</v>
      </c>
      <c r="V3030" s="10" t="s">
        <v>1575</v>
      </c>
      <c r="W3030" s="10" t="s">
        <v>1575</v>
      </c>
      <c r="X3030" s="10" t="str">
        <f t="shared" si="2916"/>
        <v>NA</v>
      </c>
      <c r="Y3030" s="10" t="str">
        <f t="shared" si="2917"/>
        <v>NA</v>
      </c>
      <c r="Z3030" s="10" t="str">
        <f t="shared" si="2918"/>
        <v>NA</v>
      </c>
      <c r="AA3030" s="10" t="str">
        <f t="shared" si="2919"/>
        <v>NA</v>
      </c>
      <c r="AB3030" s="10" t="str">
        <f t="shared" si="2920"/>
        <v>NA</v>
      </c>
      <c r="AC3030" s="10" t="str">
        <f t="shared" si="2921"/>
        <v>NA</v>
      </c>
      <c r="AD3030" s="10" t="str">
        <f t="shared" si="2922"/>
        <v>NA</v>
      </c>
      <c r="AE3030" s="10" t="str">
        <f t="shared" si="2923"/>
        <v>NA</v>
      </c>
      <c r="AF3030" s="1" t="s">
        <v>3864</v>
      </c>
    </row>
    <row r="3031" spans="1:32" x14ac:dyDescent="0.2">
      <c r="A3031" s="1" t="s">
        <v>6753</v>
      </c>
      <c r="B3031" s="1" t="s">
        <v>5</v>
      </c>
      <c r="C3031" s="1" t="s">
        <v>1575</v>
      </c>
      <c r="D3031" s="1" t="s">
        <v>1615</v>
      </c>
      <c r="E3031" s="1" t="s">
        <v>2172</v>
      </c>
      <c r="F3031" s="1" t="s">
        <v>3867</v>
      </c>
      <c r="G3031" s="4">
        <v>0.5</v>
      </c>
      <c r="H3031" s="28">
        <v>42035</v>
      </c>
      <c r="I3031" s="29">
        <f t="shared" si="2930"/>
        <v>2015</v>
      </c>
      <c r="J3031" s="1" t="s">
        <v>7</v>
      </c>
      <c r="K3031" s="1" t="s">
        <v>3851</v>
      </c>
      <c r="L3031" s="11" t="str">
        <f t="shared" ref="L3031" si="2935">IF(OR(A3031=J3031,A3031=K3031),"ДА","НЕТ")</f>
        <v>НЕТ</v>
      </c>
      <c r="M3031" s="10">
        <v>0</v>
      </c>
      <c r="N3031" s="10">
        <v>0</v>
      </c>
      <c r="O3031" s="10" t="s">
        <v>1575</v>
      </c>
      <c r="P3031" s="10" t="str">
        <f t="shared" si="2911"/>
        <v>NA</v>
      </c>
      <c r="Q3031" s="10" t="str">
        <f t="shared" si="2912"/>
        <v>NA</v>
      </c>
      <c r="R3031" s="10" t="s">
        <v>1575</v>
      </c>
      <c r="S3031" s="10" t="s">
        <v>1575</v>
      </c>
      <c r="T3031" s="10" t="s">
        <v>1575</v>
      </c>
      <c r="U3031" s="10" t="s">
        <v>1575</v>
      </c>
      <c r="V3031" s="10" t="s">
        <v>1575</v>
      </c>
      <c r="W3031" s="10" t="s">
        <v>1575</v>
      </c>
      <c r="X3031" s="10" t="str">
        <f t="shared" si="2916"/>
        <v>NA</v>
      </c>
      <c r="Y3031" s="10" t="str">
        <f t="shared" si="2917"/>
        <v>NA</v>
      </c>
      <c r="Z3031" s="10" t="str">
        <f t="shared" si="2918"/>
        <v>NA</v>
      </c>
      <c r="AA3031" s="10" t="str">
        <f t="shared" si="2919"/>
        <v>NA</v>
      </c>
      <c r="AB3031" s="10" t="str">
        <f t="shared" si="2920"/>
        <v>NA</v>
      </c>
      <c r="AC3031" s="10" t="str">
        <f t="shared" si="2921"/>
        <v>NA</v>
      </c>
      <c r="AD3031" s="10" t="str">
        <f t="shared" si="2922"/>
        <v>NA</v>
      </c>
      <c r="AE3031" s="10" t="str">
        <f t="shared" si="2923"/>
        <v>NA</v>
      </c>
      <c r="AF3031" s="1" t="s">
        <v>3866</v>
      </c>
    </row>
    <row r="3032" spans="1:32" x14ac:dyDescent="0.2">
      <c r="A3032" s="1" t="s">
        <v>6754</v>
      </c>
      <c r="B3032" s="1" t="s">
        <v>5</v>
      </c>
      <c r="C3032" s="1" t="s">
        <v>1575</v>
      </c>
      <c r="D3032" s="1" t="s">
        <v>1615</v>
      </c>
      <c r="E3032" s="1" t="s">
        <v>2172</v>
      </c>
      <c r="F3032" s="1" t="s">
        <v>3869</v>
      </c>
      <c r="G3032" s="4">
        <v>1</v>
      </c>
      <c r="H3032" s="28">
        <v>42094</v>
      </c>
      <c r="I3032" s="29">
        <f t="shared" si="2930"/>
        <v>2015</v>
      </c>
      <c r="J3032" s="1" t="s">
        <v>7</v>
      </c>
      <c r="K3032" s="1" t="s">
        <v>3851</v>
      </c>
      <c r="L3032" s="11" t="str">
        <f t="shared" ref="L3032" si="2936">IF(OR(A3032=J3032,A3032=K3032),"ДА","НЕТ")</f>
        <v>НЕТ</v>
      </c>
      <c r="M3032" s="10">
        <v>0</v>
      </c>
      <c r="N3032" s="10">
        <v>0</v>
      </c>
      <c r="O3032" s="10">
        <v>0.189418</v>
      </c>
      <c r="P3032" s="10">
        <f t="shared" si="2911"/>
        <v>0.189418</v>
      </c>
      <c r="Q3032" s="10">
        <f t="shared" si="2912"/>
        <v>0.21463199999999999</v>
      </c>
      <c r="R3032" s="10" t="s">
        <v>1575</v>
      </c>
      <c r="S3032" s="10" t="s">
        <v>1575</v>
      </c>
      <c r="T3032" s="10" t="s">
        <v>1575</v>
      </c>
      <c r="U3032" s="10" t="s">
        <v>1575</v>
      </c>
      <c r="V3032" s="10">
        <v>-0.20784</v>
      </c>
      <c r="W3032" s="10">
        <f>0.028371-0.003157</f>
        <v>2.5214E-2</v>
      </c>
      <c r="X3032" s="10">
        <f t="shared" si="2916"/>
        <v>-0.18262600000000001</v>
      </c>
      <c r="Y3032" s="10" t="str">
        <f t="shared" si="2917"/>
        <v>NA</v>
      </c>
      <c r="Z3032" s="10" t="str">
        <f t="shared" si="2918"/>
        <v>NA</v>
      </c>
      <c r="AA3032" s="10">
        <f t="shared" si="2919"/>
        <v>-0.91136451116243267</v>
      </c>
      <c r="AB3032" s="10" t="str">
        <f t="shared" si="2920"/>
        <v>NA</v>
      </c>
      <c r="AC3032" s="10" t="str">
        <f t="shared" si="2921"/>
        <v>NA</v>
      </c>
      <c r="AD3032" s="10" t="str">
        <f t="shared" si="2922"/>
        <v>NA</v>
      </c>
      <c r="AE3032" s="10">
        <f t="shared" si="2923"/>
        <v>-1.1752543449454074</v>
      </c>
      <c r="AF3032" s="1" t="s">
        <v>3868</v>
      </c>
    </row>
    <row r="3033" spans="1:32" x14ac:dyDescent="0.2">
      <c r="A3033" s="1" t="s">
        <v>3871</v>
      </c>
      <c r="B3033" s="1" t="s">
        <v>3850</v>
      </c>
      <c r="C3033" s="1" t="s">
        <v>1575</v>
      </c>
      <c r="D3033" s="1" t="s">
        <v>1615</v>
      </c>
      <c r="E3033" s="1" t="s">
        <v>2172</v>
      </c>
      <c r="F3033" s="1" t="s">
        <v>3865</v>
      </c>
      <c r="G3033" s="4">
        <v>1</v>
      </c>
      <c r="H3033" s="28">
        <v>42277</v>
      </c>
      <c r="I3033" s="29">
        <f t="shared" si="2930"/>
        <v>2015</v>
      </c>
      <c r="J3033" s="1" t="s">
        <v>7</v>
      </c>
      <c r="K3033" s="1" t="s">
        <v>3851</v>
      </c>
      <c r="L3033" s="11" t="str">
        <f t="shared" ref="L3033" si="2937">IF(OR(A3033=J3033,A3033=K3033),"ДА","НЕТ")</f>
        <v>НЕТ</v>
      </c>
      <c r="M3033" s="10">
        <v>0</v>
      </c>
      <c r="N3033" s="10">
        <v>0</v>
      </c>
      <c r="O3033" s="10" t="s">
        <v>1575</v>
      </c>
      <c r="P3033" s="10" t="str">
        <f t="shared" si="2911"/>
        <v>NA</v>
      </c>
      <c r="Q3033" s="10" t="str">
        <f t="shared" si="2912"/>
        <v>NA</v>
      </c>
      <c r="R3033" s="10" t="s">
        <v>1575</v>
      </c>
      <c r="S3033" s="10" t="s">
        <v>1575</v>
      </c>
      <c r="T3033" s="10" t="s">
        <v>1575</v>
      </c>
      <c r="U3033" s="10" t="s">
        <v>1575</v>
      </c>
      <c r="V3033" s="10" t="s">
        <v>1575</v>
      </c>
      <c r="W3033" s="10" t="s">
        <v>1575</v>
      </c>
      <c r="X3033" s="10" t="str">
        <f t="shared" si="2916"/>
        <v>NA</v>
      </c>
      <c r="Y3033" s="10" t="str">
        <f t="shared" si="2917"/>
        <v>NA</v>
      </c>
      <c r="Z3033" s="10" t="str">
        <f t="shared" si="2918"/>
        <v>NA</v>
      </c>
      <c r="AA3033" s="10" t="str">
        <f t="shared" si="2919"/>
        <v>NA</v>
      </c>
      <c r="AB3033" s="10" t="str">
        <f t="shared" si="2920"/>
        <v>NA</v>
      </c>
      <c r="AC3033" s="10" t="str">
        <f t="shared" si="2921"/>
        <v>NA</v>
      </c>
      <c r="AD3033" s="10" t="str">
        <f t="shared" si="2922"/>
        <v>NA</v>
      </c>
      <c r="AE3033" s="10" t="str">
        <f t="shared" si="2923"/>
        <v>NA</v>
      </c>
      <c r="AF3033" s="1" t="s">
        <v>3870</v>
      </c>
    </row>
    <row r="3034" spans="1:32" x14ac:dyDescent="0.2">
      <c r="A3034" s="1" t="s">
        <v>3872</v>
      </c>
      <c r="B3034" s="1" t="s">
        <v>3874</v>
      </c>
      <c r="C3034" s="1" t="s">
        <v>1575</v>
      </c>
      <c r="D3034" s="1" t="s">
        <v>1615</v>
      </c>
      <c r="E3034" s="1" t="s">
        <v>2172</v>
      </c>
      <c r="F3034" s="1" t="s">
        <v>3873</v>
      </c>
      <c r="G3034" s="4">
        <v>0.99</v>
      </c>
      <c r="H3034" s="28">
        <v>42277</v>
      </c>
      <c r="I3034" s="29">
        <f t="shared" si="2930"/>
        <v>2015</v>
      </c>
      <c r="J3034" s="1" t="s">
        <v>7</v>
      </c>
      <c r="K3034" s="1" t="s">
        <v>3851</v>
      </c>
      <c r="L3034" s="11" t="str">
        <f t="shared" ref="L3034:L3037" si="2938">IF(OR(A3034=J3034,A3034=K3034),"ДА","НЕТ")</f>
        <v>НЕТ</v>
      </c>
      <c r="M3034" s="10">
        <v>0</v>
      </c>
      <c r="N3034" s="10">
        <v>0</v>
      </c>
      <c r="O3034" s="10" t="s">
        <v>1575</v>
      </c>
      <c r="P3034" s="10" t="str">
        <f t="shared" si="2911"/>
        <v>NA</v>
      </c>
      <c r="Q3034" s="10" t="str">
        <f t="shared" si="2912"/>
        <v>NA</v>
      </c>
      <c r="R3034" s="10" t="s">
        <v>1575</v>
      </c>
      <c r="S3034" s="10" t="s">
        <v>1575</v>
      </c>
      <c r="T3034" s="10" t="s">
        <v>1575</v>
      </c>
      <c r="U3034" s="10" t="s">
        <v>1575</v>
      </c>
      <c r="V3034" s="10" t="s">
        <v>1575</v>
      </c>
      <c r="W3034" s="10" t="s">
        <v>1575</v>
      </c>
      <c r="X3034" s="10" t="str">
        <f t="shared" si="2916"/>
        <v>NA</v>
      </c>
      <c r="Y3034" s="10" t="str">
        <f t="shared" si="2917"/>
        <v>NA</v>
      </c>
      <c r="Z3034" s="10" t="str">
        <f t="shared" si="2918"/>
        <v>NA</v>
      </c>
      <c r="AA3034" s="10" t="str">
        <f t="shared" si="2919"/>
        <v>NA</v>
      </c>
      <c r="AB3034" s="10" t="str">
        <f t="shared" si="2920"/>
        <v>NA</v>
      </c>
      <c r="AC3034" s="10" t="str">
        <f t="shared" si="2921"/>
        <v>NA</v>
      </c>
      <c r="AD3034" s="10" t="str">
        <f t="shared" si="2922"/>
        <v>NA</v>
      </c>
      <c r="AE3034" s="10" t="str">
        <f t="shared" si="2923"/>
        <v>NA</v>
      </c>
      <c r="AF3034" s="1" t="s">
        <v>3875</v>
      </c>
    </row>
    <row r="3035" spans="1:32" x14ac:dyDescent="0.2">
      <c r="A3035" s="1" t="s">
        <v>6755</v>
      </c>
      <c r="B3035" s="1" t="s">
        <v>5</v>
      </c>
      <c r="C3035" s="1" t="s">
        <v>1575</v>
      </c>
      <c r="D3035" s="1" t="s">
        <v>1615</v>
      </c>
      <c r="E3035" s="1" t="s">
        <v>2172</v>
      </c>
      <c r="F3035" s="1" t="s">
        <v>3877</v>
      </c>
      <c r="G3035" s="4">
        <v>1</v>
      </c>
      <c r="H3035" s="28">
        <v>42308</v>
      </c>
      <c r="I3035" s="29">
        <f t="shared" si="2930"/>
        <v>2015</v>
      </c>
      <c r="J3035" s="1" t="s">
        <v>7</v>
      </c>
      <c r="K3035" s="1" t="s">
        <v>3851</v>
      </c>
      <c r="L3035" s="11" t="str">
        <f t="shared" si="2938"/>
        <v>НЕТ</v>
      </c>
      <c r="M3035" s="10">
        <v>0</v>
      </c>
      <c r="N3035" s="10">
        <v>0</v>
      </c>
      <c r="O3035" s="10" t="s">
        <v>1575</v>
      </c>
      <c r="P3035" s="10" t="str">
        <f t="shared" si="2911"/>
        <v>NA</v>
      </c>
      <c r="Q3035" s="10" t="str">
        <f t="shared" si="2912"/>
        <v>NA</v>
      </c>
      <c r="R3035" s="10" t="s">
        <v>1575</v>
      </c>
      <c r="S3035" s="10" t="s">
        <v>1575</v>
      </c>
      <c r="T3035" s="10" t="s">
        <v>1575</v>
      </c>
      <c r="U3035" s="10" t="s">
        <v>1575</v>
      </c>
      <c r="V3035" s="10" t="s">
        <v>1575</v>
      </c>
      <c r="W3035" s="10" t="s">
        <v>1575</v>
      </c>
      <c r="X3035" s="10" t="str">
        <f t="shared" si="2916"/>
        <v>NA</v>
      </c>
      <c r="Y3035" s="10" t="str">
        <f t="shared" si="2917"/>
        <v>NA</v>
      </c>
      <c r="Z3035" s="10" t="str">
        <f t="shared" si="2918"/>
        <v>NA</v>
      </c>
      <c r="AA3035" s="10" t="str">
        <f t="shared" si="2919"/>
        <v>NA</v>
      </c>
      <c r="AB3035" s="10" t="str">
        <f t="shared" si="2920"/>
        <v>NA</v>
      </c>
      <c r="AC3035" s="10" t="str">
        <f t="shared" si="2921"/>
        <v>NA</v>
      </c>
      <c r="AD3035" s="10" t="str">
        <f t="shared" si="2922"/>
        <v>NA</v>
      </c>
      <c r="AE3035" s="10" t="str">
        <f t="shared" si="2923"/>
        <v>NA</v>
      </c>
      <c r="AF3035" s="1" t="s">
        <v>3876</v>
      </c>
    </row>
    <row r="3036" spans="1:32" x14ac:dyDescent="0.2">
      <c r="A3036" s="1" t="s">
        <v>6756</v>
      </c>
      <c r="B3036" s="1" t="s">
        <v>5</v>
      </c>
      <c r="C3036" s="1" t="s">
        <v>1575</v>
      </c>
      <c r="D3036" s="1" t="s">
        <v>1615</v>
      </c>
      <c r="E3036" s="1" t="s">
        <v>2172</v>
      </c>
      <c r="F3036" s="1" t="s">
        <v>3878</v>
      </c>
      <c r="G3036" s="4">
        <v>1</v>
      </c>
      <c r="H3036" s="28">
        <v>42308</v>
      </c>
      <c r="I3036" s="29">
        <f t="shared" si="2930"/>
        <v>2015</v>
      </c>
      <c r="J3036" s="1" t="s">
        <v>7</v>
      </c>
      <c r="K3036" s="1" t="s">
        <v>3851</v>
      </c>
      <c r="L3036" s="11" t="str">
        <f t="shared" si="2938"/>
        <v>НЕТ</v>
      </c>
      <c r="M3036" s="10">
        <v>0</v>
      </c>
      <c r="N3036" s="10">
        <v>0</v>
      </c>
      <c r="O3036" s="10" t="s">
        <v>1575</v>
      </c>
      <c r="P3036" s="10" t="str">
        <f t="shared" si="2911"/>
        <v>NA</v>
      </c>
      <c r="Q3036" s="10" t="str">
        <f t="shared" si="2912"/>
        <v>NA</v>
      </c>
      <c r="R3036" s="10" t="s">
        <v>1575</v>
      </c>
      <c r="S3036" s="10" t="s">
        <v>1575</v>
      </c>
      <c r="T3036" s="10" t="s">
        <v>1575</v>
      </c>
      <c r="U3036" s="10" t="s">
        <v>1575</v>
      </c>
      <c r="V3036" s="10" t="s">
        <v>1575</v>
      </c>
      <c r="W3036" s="10" t="s">
        <v>1575</v>
      </c>
      <c r="X3036" s="10" t="str">
        <f t="shared" si="2916"/>
        <v>NA</v>
      </c>
      <c r="Y3036" s="10" t="str">
        <f t="shared" si="2917"/>
        <v>NA</v>
      </c>
      <c r="Z3036" s="10" t="str">
        <f t="shared" si="2918"/>
        <v>NA</v>
      </c>
      <c r="AA3036" s="10" t="str">
        <f t="shared" si="2919"/>
        <v>NA</v>
      </c>
      <c r="AB3036" s="10" t="str">
        <f t="shared" si="2920"/>
        <v>NA</v>
      </c>
      <c r="AC3036" s="10" t="str">
        <f t="shared" si="2921"/>
        <v>NA</v>
      </c>
      <c r="AD3036" s="10" t="str">
        <f t="shared" si="2922"/>
        <v>NA</v>
      </c>
      <c r="AE3036" s="10" t="str">
        <f t="shared" si="2923"/>
        <v>NA</v>
      </c>
      <c r="AF3036" s="1" t="s">
        <v>3879</v>
      </c>
    </row>
    <row r="3037" spans="1:32" x14ac:dyDescent="0.2">
      <c r="A3037" s="1" t="s">
        <v>6754</v>
      </c>
      <c r="B3037" s="1" t="s">
        <v>5</v>
      </c>
      <c r="C3037" s="1" t="s">
        <v>1575</v>
      </c>
      <c r="D3037" s="1" t="s">
        <v>1615</v>
      </c>
      <c r="E3037" s="1" t="s">
        <v>2172</v>
      </c>
      <c r="F3037" s="1" t="s">
        <v>3869</v>
      </c>
      <c r="G3037" s="4">
        <v>0.25</v>
      </c>
      <c r="H3037" s="28">
        <v>42004</v>
      </c>
      <c r="I3037" s="29">
        <f t="shared" si="2930"/>
        <v>2014</v>
      </c>
      <c r="J3037" s="1" t="s">
        <v>6748</v>
      </c>
      <c r="K3037" s="1" t="s">
        <v>7</v>
      </c>
      <c r="L3037" s="11" t="str">
        <f t="shared" si="2938"/>
        <v>НЕТ</v>
      </c>
      <c r="M3037" s="10">
        <v>0</v>
      </c>
      <c r="N3037" s="10">
        <v>0</v>
      </c>
      <c r="O3037" s="10" t="s">
        <v>1575</v>
      </c>
      <c r="P3037" s="10" t="str">
        <f t="shared" si="2911"/>
        <v>NA</v>
      </c>
      <c r="Q3037" s="10" t="str">
        <f t="shared" si="2912"/>
        <v>NA</v>
      </c>
      <c r="R3037" s="10" t="s">
        <v>1575</v>
      </c>
      <c r="S3037" s="10" t="s">
        <v>1575</v>
      </c>
      <c r="T3037" s="10" t="s">
        <v>1575</v>
      </c>
      <c r="U3037" s="10" t="s">
        <v>1575</v>
      </c>
      <c r="V3037" s="10" t="s">
        <v>1575</v>
      </c>
      <c r="W3037" s="10" t="s">
        <v>1575</v>
      </c>
      <c r="X3037" s="10" t="str">
        <f t="shared" si="2916"/>
        <v>NA</v>
      </c>
      <c r="Y3037" s="10" t="str">
        <f t="shared" si="2917"/>
        <v>NA</v>
      </c>
      <c r="Z3037" s="10" t="str">
        <f t="shared" si="2918"/>
        <v>NA</v>
      </c>
      <c r="AA3037" s="10" t="str">
        <f t="shared" si="2919"/>
        <v>NA</v>
      </c>
      <c r="AB3037" s="10" t="str">
        <f t="shared" si="2920"/>
        <v>NA</v>
      </c>
      <c r="AC3037" s="10" t="str">
        <f t="shared" si="2921"/>
        <v>NA</v>
      </c>
      <c r="AD3037" s="10" t="str">
        <f t="shared" si="2922"/>
        <v>NA</v>
      </c>
      <c r="AE3037" s="10" t="str">
        <f t="shared" si="2923"/>
        <v>NA</v>
      </c>
      <c r="AF3037" s="1" t="s">
        <v>3880</v>
      </c>
    </row>
    <row r="3038" spans="1:32" x14ac:dyDescent="0.2">
      <c r="A3038" s="1" t="s">
        <v>6757</v>
      </c>
      <c r="B3038" s="1" t="s">
        <v>5</v>
      </c>
      <c r="C3038" s="1" t="s">
        <v>1575</v>
      </c>
      <c r="D3038" s="1" t="s">
        <v>1584</v>
      </c>
      <c r="E3038" s="1" t="s">
        <v>1589</v>
      </c>
      <c r="F3038" s="1" t="s">
        <v>495</v>
      </c>
      <c r="G3038" s="4">
        <v>1</v>
      </c>
      <c r="H3038" s="28">
        <v>41820</v>
      </c>
      <c r="I3038" s="29">
        <f t="shared" si="2930"/>
        <v>2014</v>
      </c>
      <c r="J3038" s="1" t="s">
        <v>6748</v>
      </c>
      <c r="K3038" s="1" t="s">
        <v>7</v>
      </c>
      <c r="L3038" s="11" t="str">
        <f t="shared" ref="L3038" si="2939">IF(OR(A3038=J3038,A3038=K3038),"ДА","НЕТ")</f>
        <v>НЕТ</v>
      </c>
      <c r="M3038" s="10">
        <v>0</v>
      </c>
      <c r="N3038" s="10">
        <v>0</v>
      </c>
      <c r="O3038" s="10">
        <v>1.0000000000000001E-5</v>
      </c>
      <c r="P3038" s="10">
        <f t="shared" si="2911"/>
        <v>1.0000000000000001E-5</v>
      </c>
      <c r="Q3038" s="10" t="str">
        <f t="shared" si="2912"/>
        <v>NA</v>
      </c>
      <c r="R3038" s="10" t="s">
        <v>1575</v>
      </c>
      <c r="S3038" s="10" t="s">
        <v>1575</v>
      </c>
      <c r="T3038" s="10" t="s">
        <v>1575</v>
      </c>
      <c r="U3038" s="10" t="s">
        <v>1575</v>
      </c>
      <c r="V3038" s="10">
        <f>0.432034-0.432024</f>
        <v>9.9999999999544897E-6</v>
      </c>
      <c r="W3038" s="10" t="s">
        <v>1575</v>
      </c>
      <c r="X3038" s="10" t="str">
        <f t="shared" si="2916"/>
        <v>NA</v>
      </c>
      <c r="Y3038" s="10" t="str">
        <f t="shared" si="2917"/>
        <v>NA</v>
      </c>
      <c r="Z3038" s="10" t="str">
        <f t="shared" si="2918"/>
        <v>NA</v>
      </c>
      <c r="AA3038" s="10">
        <f t="shared" si="2919"/>
        <v>1.000000000004551</v>
      </c>
      <c r="AB3038" s="10" t="str">
        <f t="shared" si="2920"/>
        <v>NA</v>
      </c>
      <c r="AC3038" s="10" t="str">
        <f t="shared" si="2921"/>
        <v>NA</v>
      </c>
      <c r="AD3038" s="10" t="str">
        <f t="shared" si="2922"/>
        <v>NA</v>
      </c>
      <c r="AE3038" s="10" t="str">
        <f t="shared" si="2923"/>
        <v>NA</v>
      </c>
      <c r="AF3038" s="1" t="s">
        <v>3881</v>
      </c>
    </row>
    <row r="3039" spans="1:32" x14ac:dyDescent="0.2">
      <c r="A3039" s="1" t="s">
        <v>3882</v>
      </c>
      <c r="B3039" s="1" t="s">
        <v>3883</v>
      </c>
      <c r="C3039" s="1" t="s">
        <v>1575</v>
      </c>
      <c r="D3039" s="1" t="s">
        <v>1615</v>
      </c>
      <c r="E3039" s="1" t="s">
        <v>2172</v>
      </c>
      <c r="F3039" s="1" t="s">
        <v>3886</v>
      </c>
      <c r="G3039" s="4" t="s">
        <v>11</v>
      </c>
      <c r="H3039" s="28">
        <v>42124</v>
      </c>
      <c r="I3039" s="29">
        <f t="shared" si="2930"/>
        <v>2015</v>
      </c>
      <c r="J3039" s="1" t="s">
        <v>7</v>
      </c>
      <c r="K3039" s="1" t="s">
        <v>3884</v>
      </c>
      <c r="L3039" s="11" t="str">
        <f t="shared" ref="L3039" si="2940">IF(OR(A3039=J3039,A3039=K3039),"ДА","НЕТ")</f>
        <v>НЕТ</v>
      </c>
      <c r="M3039" s="10">
        <v>0</v>
      </c>
      <c r="N3039" s="10">
        <v>0</v>
      </c>
      <c r="O3039" s="10" t="s">
        <v>1575</v>
      </c>
      <c r="P3039" s="10" t="str">
        <f t="shared" si="2911"/>
        <v>NA</v>
      </c>
      <c r="Q3039" s="10" t="str">
        <f t="shared" si="2912"/>
        <v>NA</v>
      </c>
      <c r="R3039" s="10" t="s">
        <v>1575</v>
      </c>
      <c r="S3039" s="10" t="s">
        <v>1575</v>
      </c>
      <c r="T3039" s="10" t="s">
        <v>1575</v>
      </c>
      <c r="U3039" s="10" t="s">
        <v>1575</v>
      </c>
      <c r="V3039" s="10" t="s">
        <v>1575</v>
      </c>
      <c r="W3039" s="10" t="s">
        <v>1575</v>
      </c>
      <c r="X3039" s="10" t="str">
        <f t="shared" si="2916"/>
        <v>NA</v>
      </c>
      <c r="Y3039" s="10" t="str">
        <f t="shared" si="2917"/>
        <v>NA</v>
      </c>
      <c r="Z3039" s="10" t="str">
        <f t="shared" si="2918"/>
        <v>NA</v>
      </c>
      <c r="AA3039" s="10" t="str">
        <f t="shared" si="2919"/>
        <v>NA</v>
      </c>
      <c r="AB3039" s="10" t="str">
        <f t="shared" si="2920"/>
        <v>NA</v>
      </c>
      <c r="AC3039" s="10" t="str">
        <f t="shared" si="2921"/>
        <v>NA</v>
      </c>
      <c r="AD3039" s="10" t="str">
        <f t="shared" si="2922"/>
        <v>NA</v>
      </c>
      <c r="AE3039" s="10" t="str">
        <f t="shared" si="2923"/>
        <v>NA</v>
      </c>
      <c r="AF3039" s="1" t="s">
        <v>3885</v>
      </c>
    </row>
    <row r="3040" spans="1:32" x14ac:dyDescent="0.2">
      <c r="A3040" s="1" t="s">
        <v>3882</v>
      </c>
      <c r="B3040" s="1" t="s">
        <v>3883</v>
      </c>
      <c r="C3040" s="1" t="s">
        <v>1575</v>
      </c>
      <c r="D3040" s="1" t="s">
        <v>1615</v>
      </c>
      <c r="E3040" s="1" t="s">
        <v>2172</v>
      </c>
      <c r="F3040" s="1" t="s">
        <v>3886</v>
      </c>
      <c r="G3040" s="4" t="s">
        <v>11</v>
      </c>
      <c r="H3040" s="28">
        <v>41274</v>
      </c>
      <c r="I3040" s="29">
        <f t="shared" si="2930"/>
        <v>2012</v>
      </c>
      <c r="J3040" s="1" t="s">
        <v>3884</v>
      </c>
      <c r="K3040" s="1" t="s">
        <v>7</v>
      </c>
      <c r="L3040" s="11" t="str">
        <f t="shared" ref="L3040" si="2941">IF(OR(A3040=J3040,A3040=K3040),"ДА","НЕТ")</f>
        <v>НЕТ</v>
      </c>
      <c r="M3040" s="10">
        <v>0</v>
      </c>
      <c r="N3040" s="10">
        <v>0</v>
      </c>
      <c r="O3040" s="10" t="s">
        <v>1575</v>
      </c>
      <c r="P3040" s="10" t="str">
        <f t="shared" si="2911"/>
        <v>NA</v>
      </c>
      <c r="Q3040" s="10" t="str">
        <f t="shared" si="2912"/>
        <v>NA</v>
      </c>
      <c r="R3040" s="10" t="s">
        <v>1575</v>
      </c>
      <c r="S3040" s="10" t="s">
        <v>1575</v>
      </c>
      <c r="T3040" s="10" t="s">
        <v>1575</v>
      </c>
      <c r="U3040" s="10" t="s">
        <v>1575</v>
      </c>
      <c r="V3040" s="10" t="s">
        <v>1575</v>
      </c>
      <c r="W3040" s="10" t="s">
        <v>1575</v>
      </c>
      <c r="X3040" s="10" t="str">
        <f t="shared" si="2916"/>
        <v>NA</v>
      </c>
      <c r="Y3040" s="10" t="str">
        <f t="shared" si="2917"/>
        <v>NA</v>
      </c>
      <c r="Z3040" s="10" t="str">
        <f t="shared" si="2918"/>
        <v>NA</v>
      </c>
      <c r="AA3040" s="10" t="str">
        <f t="shared" si="2919"/>
        <v>NA</v>
      </c>
      <c r="AB3040" s="10" t="str">
        <f t="shared" si="2920"/>
        <v>NA</v>
      </c>
      <c r="AC3040" s="10" t="str">
        <f t="shared" si="2921"/>
        <v>NA</v>
      </c>
      <c r="AD3040" s="10" t="str">
        <f t="shared" si="2922"/>
        <v>NA</v>
      </c>
      <c r="AE3040" s="10" t="str">
        <f t="shared" si="2923"/>
        <v>NA</v>
      </c>
      <c r="AF3040" s="1" t="s">
        <v>3885</v>
      </c>
    </row>
    <row r="3041" spans="1:32" x14ac:dyDescent="0.2">
      <c r="A3041" s="1" t="s">
        <v>6758</v>
      </c>
      <c r="B3041" s="1" t="s">
        <v>5</v>
      </c>
      <c r="C3041" s="1" t="s">
        <v>1575</v>
      </c>
      <c r="D3041" s="1" t="s">
        <v>1615</v>
      </c>
      <c r="E3041" s="1" t="s">
        <v>2176</v>
      </c>
      <c r="F3041" s="1" t="s">
        <v>3356</v>
      </c>
      <c r="G3041" s="4">
        <v>1</v>
      </c>
      <c r="H3041" s="28">
        <v>44012</v>
      </c>
      <c r="I3041" s="29">
        <f t="shared" si="2930"/>
        <v>2020</v>
      </c>
      <c r="J3041" s="1" t="s">
        <v>7</v>
      </c>
      <c r="K3041" s="1" t="s">
        <v>3357</v>
      </c>
      <c r="L3041" s="11" t="str">
        <f t="shared" ref="L3041:L3042" si="2942">IF(OR(A3041=J3041,A3041=K3041),"ДА","НЕТ")</f>
        <v>НЕТ</v>
      </c>
      <c r="M3041" s="10">
        <v>0</v>
      </c>
      <c r="N3041" s="10">
        <v>0</v>
      </c>
      <c r="O3041" s="10">
        <v>10.7</v>
      </c>
      <c r="P3041" s="10">
        <f t="shared" si="2911"/>
        <v>10.7</v>
      </c>
      <c r="Q3041" s="10" t="str">
        <f t="shared" si="2912"/>
        <v>NA</v>
      </c>
      <c r="R3041" s="10" t="s">
        <v>1575</v>
      </c>
      <c r="S3041" s="10" t="s">
        <v>1575</v>
      </c>
      <c r="T3041" s="10" t="s">
        <v>1575</v>
      </c>
      <c r="U3041" s="10" t="s">
        <v>1575</v>
      </c>
      <c r="V3041" s="10">
        <f>O3041-7.256</f>
        <v>3.4439999999999991</v>
      </c>
      <c r="W3041" s="10" t="s">
        <v>1575</v>
      </c>
      <c r="X3041" s="10" t="str">
        <f t="shared" si="2916"/>
        <v>NA</v>
      </c>
      <c r="Y3041" s="10" t="str">
        <f t="shared" si="2917"/>
        <v>NA</v>
      </c>
      <c r="Z3041" s="10" t="str">
        <f t="shared" si="2918"/>
        <v>NA</v>
      </c>
      <c r="AA3041" s="10">
        <f t="shared" si="2919"/>
        <v>3.1068524970964</v>
      </c>
      <c r="AB3041" s="10" t="str">
        <f t="shared" si="2920"/>
        <v>NA</v>
      </c>
      <c r="AC3041" s="10" t="str">
        <f t="shared" si="2921"/>
        <v>NA</v>
      </c>
      <c r="AD3041" s="10" t="str">
        <f t="shared" si="2922"/>
        <v>NA</v>
      </c>
      <c r="AE3041" s="10" t="str">
        <f t="shared" si="2923"/>
        <v>NA</v>
      </c>
      <c r="AF3041" s="1" t="s">
        <v>3355</v>
      </c>
    </row>
    <row r="3042" spans="1:32" x14ac:dyDescent="0.2">
      <c r="A3042" s="1" t="s">
        <v>6759</v>
      </c>
      <c r="B3042" s="1" t="s">
        <v>5</v>
      </c>
      <c r="C3042" s="1" t="s">
        <v>1575</v>
      </c>
      <c r="D3042" s="1" t="s">
        <v>1578</v>
      </c>
      <c r="E3042" s="1" t="s">
        <v>2531</v>
      </c>
      <c r="F3042" s="1" t="s">
        <v>486</v>
      </c>
      <c r="G3042" s="4">
        <v>1</v>
      </c>
      <c r="H3042" s="28">
        <v>44165</v>
      </c>
      <c r="I3042" s="29">
        <f t="shared" si="2930"/>
        <v>2020</v>
      </c>
      <c r="J3042" s="1" t="s">
        <v>7</v>
      </c>
      <c r="K3042" s="1" t="s">
        <v>3357</v>
      </c>
      <c r="L3042" s="11" t="str">
        <f t="shared" si="2942"/>
        <v>НЕТ</v>
      </c>
      <c r="M3042" s="10">
        <v>0</v>
      </c>
      <c r="N3042" s="10">
        <v>0</v>
      </c>
      <c r="O3042" s="10">
        <v>6.6740000000000004</v>
      </c>
      <c r="P3042" s="10">
        <f t="shared" si="2911"/>
        <v>6.6740000000000004</v>
      </c>
      <c r="Q3042" s="10" t="str">
        <f t="shared" si="2912"/>
        <v>NA</v>
      </c>
      <c r="R3042" s="10" t="s">
        <v>1575</v>
      </c>
      <c r="S3042" s="10" t="s">
        <v>1575</v>
      </c>
      <c r="T3042" s="10" t="s">
        <v>1575</v>
      </c>
      <c r="U3042" s="10" t="s">
        <v>1575</v>
      </c>
      <c r="V3042" s="10">
        <f>O3042-2.611</f>
        <v>4.0630000000000006</v>
      </c>
      <c r="W3042" s="10" t="s">
        <v>1575</v>
      </c>
      <c r="X3042" s="10" t="str">
        <f t="shared" si="2916"/>
        <v>NA</v>
      </c>
      <c r="Y3042" s="10" t="str">
        <f t="shared" si="2917"/>
        <v>NA</v>
      </c>
      <c r="Z3042" s="10" t="str">
        <f t="shared" si="2918"/>
        <v>NA</v>
      </c>
      <c r="AA3042" s="10">
        <f t="shared" si="2919"/>
        <v>1.6426285995569774</v>
      </c>
      <c r="AB3042" s="10" t="str">
        <f t="shared" si="2920"/>
        <v>NA</v>
      </c>
      <c r="AC3042" s="10" t="str">
        <f t="shared" si="2921"/>
        <v>NA</v>
      </c>
      <c r="AD3042" s="10" t="str">
        <f t="shared" si="2922"/>
        <v>NA</v>
      </c>
      <c r="AE3042" s="10" t="str">
        <f t="shared" si="2923"/>
        <v>NA</v>
      </c>
      <c r="AF3042" s="1" t="s">
        <v>3358</v>
      </c>
    </row>
    <row r="3043" spans="1:32" x14ac:dyDescent="0.2">
      <c r="A3043" s="1" t="s">
        <v>3922</v>
      </c>
      <c r="B3043" s="1" t="s">
        <v>5</v>
      </c>
      <c r="C3043" s="1" t="s">
        <v>3361</v>
      </c>
      <c r="D3043" s="1" t="s">
        <v>1615</v>
      </c>
      <c r="E3043" s="1" t="s">
        <v>2176</v>
      </c>
      <c r="F3043" s="1" t="s">
        <v>3362</v>
      </c>
      <c r="G3043" s="6" t="s">
        <v>3376</v>
      </c>
      <c r="H3043" s="28">
        <v>43830</v>
      </c>
      <c r="I3043" s="29">
        <f t="shared" si="2930"/>
        <v>2019</v>
      </c>
      <c r="J3043" s="1" t="s">
        <v>7</v>
      </c>
      <c r="K3043" s="1" t="s">
        <v>3357</v>
      </c>
      <c r="L3043" s="11" t="str">
        <f t="shared" ref="L3043:L3044" si="2943">IF(OR(A3043=J3043,A3043=K3043),"ДА","НЕТ")</f>
        <v>НЕТ</v>
      </c>
      <c r="M3043" s="10">
        <v>0</v>
      </c>
      <c r="N3043" s="10">
        <v>0</v>
      </c>
      <c r="O3043" s="10">
        <v>60.3</v>
      </c>
      <c r="P3043" s="10" t="str">
        <f t="shared" si="2911"/>
        <v>NA</v>
      </c>
      <c r="Q3043" s="10" t="str">
        <f t="shared" si="2912"/>
        <v>NA</v>
      </c>
      <c r="R3043" s="10">
        <v>86.179000000000002</v>
      </c>
      <c r="S3043" s="10">
        <v>19.244</v>
      </c>
      <c r="T3043" s="10">
        <v>15.771000000000001</v>
      </c>
      <c r="U3043" s="10">
        <v>11.75</v>
      </c>
      <c r="V3043" s="10">
        <v>48.433999999999997</v>
      </c>
      <c r="W3043" s="10">
        <v>19.158999999999999</v>
      </c>
      <c r="X3043" s="10">
        <f t="shared" si="2916"/>
        <v>67.592999999999989</v>
      </c>
      <c r="Y3043" s="10" t="str">
        <f t="shared" si="2917"/>
        <v>NA</v>
      </c>
      <c r="Z3043" s="10" t="str">
        <f t="shared" si="2918"/>
        <v>NA</v>
      </c>
      <c r="AA3043" s="10" t="str">
        <f t="shared" si="2919"/>
        <v>NA</v>
      </c>
      <c r="AB3043" s="10" t="str">
        <f t="shared" si="2920"/>
        <v>NA</v>
      </c>
      <c r="AC3043" s="10" t="str">
        <f t="shared" si="2921"/>
        <v>NA</v>
      </c>
      <c r="AD3043" s="10" t="str">
        <f t="shared" si="2922"/>
        <v>NA</v>
      </c>
      <c r="AE3043" s="10" t="str">
        <f t="shared" si="2923"/>
        <v>NA</v>
      </c>
      <c r="AF3043" s="1" t="s">
        <v>3359</v>
      </c>
    </row>
    <row r="3044" spans="1:32" x14ac:dyDescent="0.2">
      <c r="A3044" s="1" t="s">
        <v>6760</v>
      </c>
      <c r="B3044" s="1" t="s">
        <v>5</v>
      </c>
      <c r="C3044" s="1" t="s">
        <v>1575</v>
      </c>
      <c r="D3044" s="1" t="s">
        <v>1615</v>
      </c>
      <c r="E3044" s="1" t="s">
        <v>1587</v>
      </c>
      <c r="F3044" s="1" t="s">
        <v>3356</v>
      </c>
      <c r="G3044" s="4">
        <v>1</v>
      </c>
      <c r="H3044" s="28">
        <v>43769</v>
      </c>
      <c r="I3044" s="29">
        <f t="shared" si="2930"/>
        <v>2019</v>
      </c>
      <c r="J3044" s="1" t="s">
        <v>7</v>
      </c>
      <c r="K3044" s="1" t="s">
        <v>3357</v>
      </c>
      <c r="L3044" s="11" t="str">
        <f t="shared" si="2943"/>
        <v>НЕТ</v>
      </c>
      <c r="M3044" s="10">
        <v>0</v>
      </c>
      <c r="N3044" s="10">
        <v>0</v>
      </c>
      <c r="O3044" s="10">
        <v>8.65</v>
      </c>
      <c r="P3044" s="10">
        <f t="shared" si="2911"/>
        <v>8.65</v>
      </c>
      <c r="Q3044" s="10" t="str">
        <f t="shared" si="2912"/>
        <v>NA</v>
      </c>
      <c r="R3044" s="10" t="s">
        <v>1575</v>
      </c>
      <c r="S3044" s="10" t="s">
        <v>1575</v>
      </c>
      <c r="T3044" s="10" t="s">
        <v>1575</v>
      </c>
      <c r="U3044" s="10" t="s">
        <v>1575</v>
      </c>
      <c r="V3044" s="10">
        <f>O3044-4.652</f>
        <v>3.9980000000000002</v>
      </c>
      <c r="W3044" s="10" t="s">
        <v>1575</v>
      </c>
      <c r="X3044" s="10" t="str">
        <f t="shared" si="2916"/>
        <v>NA</v>
      </c>
      <c r="Y3044" s="10" t="str">
        <f t="shared" si="2917"/>
        <v>NA</v>
      </c>
      <c r="Z3044" s="10" t="str">
        <f t="shared" si="2918"/>
        <v>NA</v>
      </c>
      <c r="AA3044" s="10">
        <f t="shared" si="2919"/>
        <v>2.1635817908954476</v>
      </c>
      <c r="AB3044" s="10" t="str">
        <f t="shared" si="2920"/>
        <v>NA</v>
      </c>
      <c r="AC3044" s="10" t="str">
        <f t="shared" si="2921"/>
        <v>NA</v>
      </c>
      <c r="AD3044" s="10" t="str">
        <f t="shared" si="2922"/>
        <v>NA</v>
      </c>
      <c r="AE3044" s="10" t="str">
        <f t="shared" si="2923"/>
        <v>NA</v>
      </c>
      <c r="AF3044" s="1" t="s">
        <v>3360</v>
      </c>
    </row>
    <row r="3045" spans="1:32" x14ac:dyDescent="0.2">
      <c r="A3045" s="1" t="s">
        <v>6761</v>
      </c>
      <c r="B3045" s="1" t="s">
        <v>5</v>
      </c>
      <c r="C3045" s="1" t="s">
        <v>1575</v>
      </c>
      <c r="D3045" s="1" t="s">
        <v>1615</v>
      </c>
      <c r="E3045" s="1" t="s">
        <v>2176</v>
      </c>
      <c r="F3045" s="1" t="s">
        <v>3362</v>
      </c>
      <c r="G3045" s="4">
        <v>1</v>
      </c>
      <c r="H3045" s="28">
        <v>43555</v>
      </c>
      <c r="I3045" s="29">
        <f t="shared" si="2930"/>
        <v>2019</v>
      </c>
      <c r="J3045" s="1" t="s">
        <v>7</v>
      </c>
      <c r="K3045" s="1" t="s">
        <v>3357</v>
      </c>
      <c r="L3045" s="11" t="str">
        <f t="shared" ref="L3045" si="2944">IF(OR(A3045=J3045,A3045=K3045),"ДА","НЕТ")</f>
        <v>НЕТ</v>
      </c>
      <c r="M3045" s="10">
        <v>0</v>
      </c>
      <c r="N3045" s="10">
        <v>0</v>
      </c>
      <c r="O3045" s="10">
        <v>2.46</v>
      </c>
      <c r="P3045" s="10">
        <f t="shared" si="2911"/>
        <v>2.46</v>
      </c>
      <c r="Q3045" s="10" t="str">
        <f t="shared" si="2912"/>
        <v>NA</v>
      </c>
      <c r="R3045" s="10" t="s">
        <v>1575</v>
      </c>
      <c r="S3045" s="10" t="s">
        <v>1575</v>
      </c>
      <c r="T3045" s="10" t="s">
        <v>1575</v>
      </c>
      <c r="U3045" s="10" t="s">
        <v>1575</v>
      </c>
      <c r="V3045" s="10">
        <f>O3045-0.228</f>
        <v>2.2319999999999998</v>
      </c>
      <c r="W3045" s="10" t="s">
        <v>1575</v>
      </c>
      <c r="X3045" s="10" t="str">
        <f t="shared" si="2916"/>
        <v>NA</v>
      </c>
      <c r="Y3045" s="10" t="str">
        <f t="shared" si="2917"/>
        <v>NA</v>
      </c>
      <c r="Z3045" s="10" t="str">
        <f t="shared" si="2918"/>
        <v>NA</v>
      </c>
      <c r="AA3045" s="10">
        <f t="shared" si="2919"/>
        <v>1.1021505376344087</v>
      </c>
      <c r="AB3045" s="10" t="str">
        <f t="shared" si="2920"/>
        <v>NA</v>
      </c>
      <c r="AC3045" s="10" t="str">
        <f t="shared" si="2921"/>
        <v>NA</v>
      </c>
      <c r="AD3045" s="10" t="str">
        <f t="shared" si="2922"/>
        <v>NA</v>
      </c>
      <c r="AE3045" s="10" t="str">
        <f t="shared" si="2923"/>
        <v>NA</v>
      </c>
      <c r="AF3045" s="1" t="s">
        <v>3367</v>
      </c>
    </row>
    <row r="3046" spans="1:32" x14ac:dyDescent="0.2">
      <c r="A3046" s="1" t="s">
        <v>3364</v>
      </c>
      <c r="B3046" s="1" t="s">
        <v>1059</v>
      </c>
      <c r="C3046" s="1" t="s">
        <v>1575</v>
      </c>
      <c r="D3046" s="1" t="s">
        <v>1615</v>
      </c>
      <c r="E3046" s="1" t="s">
        <v>1750</v>
      </c>
      <c r="F3046" s="1" t="s">
        <v>3365</v>
      </c>
      <c r="G3046" s="4" t="s">
        <v>11</v>
      </c>
      <c r="H3046" s="28">
        <v>43496</v>
      </c>
      <c r="I3046" s="29">
        <f t="shared" si="2874"/>
        <v>2019</v>
      </c>
      <c r="J3046" s="1" t="s">
        <v>3366</v>
      </c>
      <c r="K3046" s="1" t="s">
        <v>7</v>
      </c>
      <c r="L3046" s="11" t="str">
        <f t="shared" ref="L3046" si="2945">IF(OR(A3046=J3046,A3046=K3046),"ДА","НЕТ")</f>
        <v>НЕТ</v>
      </c>
      <c r="M3046" s="10">
        <v>0</v>
      </c>
      <c r="N3046" s="10">
        <v>0</v>
      </c>
      <c r="O3046" s="10">
        <v>2.0680000000000001</v>
      </c>
      <c r="P3046" s="10" t="str">
        <f t="shared" si="2911"/>
        <v>NA</v>
      </c>
      <c r="Q3046" s="10" t="str">
        <f t="shared" si="2912"/>
        <v>NA</v>
      </c>
      <c r="R3046" s="10" t="s">
        <v>1575</v>
      </c>
      <c r="S3046" s="10" t="s">
        <v>1575</v>
      </c>
      <c r="T3046" s="10" t="s">
        <v>1575</v>
      </c>
      <c r="U3046" s="10" t="s">
        <v>1575</v>
      </c>
      <c r="V3046" s="10">
        <v>3.6589999999999998</v>
      </c>
      <c r="W3046" s="10" t="s">
        <v>1575</v>
      </c>
      <c r="X3046" s="10" t="str">
        <f t="shared" si="2916"/>
        <v>NA</v>
      </c>
      <c r="Y3046" s="10" t="str">
        <f t="shared" si="2917"/>
        <v>NA</v>
      </c>
      <c r="Z3046" s="10" t="str">
        <f t="shared" si="2918"/>
        <v>NA</v>
      </c>
      <c r="AA3046" s="10" t="str">
        <f t="shared" si="2919"/>
        <v>NA</v>
      </c>
      <c r="AB3046" s="10" t="str">
        <f t="shared" si="2920"/>
        <v>NA</v>
      </c>
      <c r="AC3046" s="10" t="str">
        <f t="shared" si="2921"/>
        <v>NA</v>
      </c>
      <c r="AD3046" s="10" t="str">
        <f t="shared" si="2922"/>
        <v>NA</v>
      </c>
      <c r="AE3046" s="10" t="str">
        <f t="shared" si="2923"/>
        <v>NA</v>
      </c>
      <c r="AF3046" s="1" t="s">
        <v>3363</v>
      </c>
    </row>
    <row r="3047" spans="1:32" x14ac:dyDescent="0.2">
      <c r="A3047" s="1" t="s">
        <v>3369</v>
      </c>
      <c r="B3047" s="1" t="s">
        <v>1059</v>
      </c>
      <c r="C3047" s="1" t="s">
        <v>1575</v>
      </c>
      <c r="D3047" s="1" t="s">
        <v>1615</v>
      </c>
      <c r="E3047" s="1" t="s">
        <v>2176</v>
      </c>
      <c r="F3047" s="1" t="s">
        <v>3372</v>
      </c>
      <c r="G3047" s="4">
        <v>1</v>
      </c>
      <c r="H3047" s="28">
        <v>43343</v>
      </c>
      <c r="I3047" s="29">
        <f t="shared" si="2874"/>
        <v>2018</v>
      </c>
      <c r="J3047" s="1" t="s">
        <v>3366</v>
      </c>
      <c r="K3047" s="1" t="s">
        <v>7</v>
      </c>
      <c r="L3047" s="11" t="str">
        <f t="shared" ref="L3047" si="2946">IF(OR(A3047=J3047,A3047=K3047),"ДА","НЕТ")</f>
        <v>НЕТ</v>
      </c>
      <c r="M3047" s="10">
        <v>0</v>
      </c>
      <c r="N3047" s="10">
        <v>16.8</v>
      </c>
      <c r="O3047" s="10">
        <v>1.2330000000000001</v>
      </c>
      <c r="P3047" s="10">
        <f t="shared" si="2911"/>
        <v>1.2330000000000001</v>
      </c>
      <c r="Q3047" s="10" t="str">
        <f t="shared" si="2912"/>
        <v>NA</v>
      </c>
      <c r="R3047" s="10" t="s">
        <v>1575</v>
      </c>
      <c r="S3047" s="10" t="s">
        <v>1575</v>
      </c>
      <c r="T3047" s="10" t="s">
        <v>1575</v>
      </c>
      <c r="U3047" s="10" t="s">
        <v>1575</v>
      </c>
      <c r="V3047" s="10">
        <f>O3047-0.844</f>
        <v>0.38900000000000012</v>
      </c>
      <c r="W3047" s="10" t="s">
        <v>1575</v>
      </c>
      <c r="X3047" s="10" t="str">
        <f t="shared" si="2916"/>
        <v>NA</v>
      </c>
      <c r="Y3047" s="10" t="str">
        <f t="shared" si="2917"/>
        <v>NA</v>
      </c>
      <c r="Z3047" s="10" t="str">
        <f t="shared" si="2918"/>
        <v>NA</v>
      </c>
      <c r="AA3047" s="10">
        <f t="shared" si="2919"/>
        <v>3.1696658097686368</v>
      </c>
      <c r="AB3047" s="10" t="str">
        <f t="shared" si="2920"/>
        <v>NA</v>
      </c>
      <c r="AC3047" s="10" t="str">
        <f t="shared" si="2921"/>
        <v>NA</v>
      </c>
      <c r="AD3047" s="10" t="str">
        <f t="shared" si="2922"/>
        <v>NA</v>
      </c>
      <c r="AE3047" s="10" t="str">
        <f t="shared" si="2923"/>
        <v>NA</v>
      </c>
      <c r="AF3047" s="1" t="s">
        <v>3368</v>
      </c>
    </row>
    <row r="3048" spans="1:32" x14ac:dyDescent="0.2">
      <c r="A3048" s="1" t="s">
        <v>6762</v>
      </c>
      <c r="B3048" s="1" t="s">
        <v>5</v>
      </c>
      <c r="C3048" s="1" t="s">
        <v>1575</v>
      </c>
      <c r="D3048" s="1" t="s">
        <v>1615</v>
      </c>
      <c r="E3048" s="1" t="s">
        <v>2176</v>
      </c>
      <c r="F3048" s="1" t="s">
        <v>3371</v>
      </c>
      <c r="G3048" s="4">
        <v>1</v>
      </c>
      <c r="H3048" s="28">
        <v>43373</v>
      </c>
      <c r="I3048" s="29">
        <f t="shared" si="2874"/>
        <v>2018</v>
      </c>
      <c r="J3048" s="1" t="s">
        <v>6763</v>
      </c>
      <c r="K3048" s="1" t="s">
        <v>7</v>
      </c>
      <c r="L3048" s="11" t="str">
        <f t="shared" ref="L3048:L3049" si="2947">IF(OR(A3048=J3048,A3048=K3048),"ДА","НЕТ")</f>
        <v>НЕТ</v>
      </c>
      <c r="M3048" s="10">
        <v>0</v>
      </c>
      <c r="N3048" s="10">
        <v>0</v>
      </c>
      <c r="O3048" s="10">
        <v>1.9</v>
      </c>
      <c r="P3048" s="10">
        <f t="shared" si="2911"/>
        <v>1.9</v>
      </c>
      <c r="Q3048" s="10" t="str">
        <f t="shared" si="2912"/>
        <v>NA</v>
      </c>
      <c r="R3048" s="10" t="s">
        <v>1575</v>
      </c>
      <c r="S3048" s="10" t="s">
        <v>1575</v>
      </c>
      <c r="T3048" s="10" t="s">
        <v>1575</v>
      </c>
      <c r="U3048" s="10" t="s">
        <v>1575</v>
      </c>
      <c r="V3048" s="10" t="s">
        <v>1575</v>
      </c>
      <c r="W3048" s="10" t="s">
        <v>1575</v>
      </c>
      <c r="X3048" s="10" t="str">
        <f t="shared" si="2916"/>
        <v>NA</v>
      </c>
      <c r="Y3048" s="10" t="str">
        <f t="shared" si="2917"/>
        <v>NA</v>
      </c>
      <c r="Z3048" s="10" t="str">
        <f t="shared" si="2918"/>
        <v>NA</v>
      </c>
      <c r="AA3048" s="10" t="str">
        <f t="shared" si="2919"/>
        <v>NA</v>
      </c>
      <c r="AB3048" s="10" t="str">
        <f t="shared" si="2920"/>
        <v>NA</v>
      </c>
      <c r="AC3048" s="10" t="str">
        <f t="shared" si="2921"/>
        <v>NA</v>
      </c>
      <c r="AD3048" s="10" t="str">
        <f t="shared" si="2922"/>
        <v>NA</v>
      </c>
      <c r="AE3048" s="10" t="str">
        <f t="shared" si="2923"/>
        <v>NA</v>
      </c>
      <c r="AF3048" s="1" t="s">
        <v>3370</v>
      </c>
    </row>
    <row r="3049" spans="1:32" x14ac:dyDescent="0.2">
      <c r="A3049" s="1" t="s">
        <v>6764</v>
      </c>
      <c r="B3049" s="1" t="s">
        <v>5</v>
      </c>
      <c r="C3049" s="1" t="s">
        <v>1575</v>
      </c>
      <c r="D3049" s="1" t="s">
        <v>1615</v>
      </c>
      <c r="E3049" s="1" t="s">
        <v>1587</v>
      </c>
      <c r="F3049" s="1" t="s">
        <v>3379</v>
      </c>
      <c r="G3049" s="12" t="s">
        <v>3375</v>
      </c>
      <c r="H3049" s="28">
        <v>43465</v>
      </c>
      <c r="I3049" s="29">
        <f t="shared" si="2874"/>
        <v>2018</v>
      </c>
      <c r="J3049" s="1" t="s">
        <v>7</v>
      </c>
      <c r="K3049" s="1" t="s">
        <v>3357</v>
      </c>
      <c r="L3049" s="11" t="str">
        <f t="shared" si="2947"/>
        <v>НЕТ</v>
      </c>
      <c r="M3049" s="10">
        <v>0</v>
      </c>
      <c r="N3049" s="10">
        <v>0</v>
      </c>
      <c r="O3049" s="10">
        <v>3.625</v>
      </c>
      <c r="P3049" s="10" t="str">
        <f t="shared" si="2911"/>
        <v>NA</v>
      </c>
      <c r="Q3049" s="10" t="str">
        <f t="shared" si="2912"/>
        <v>NA</v>
      </c>
      <c r="R3049" s="10" t="s">
        <v>1575</v>
      </c>
      <c r="S3049" s="10" t="s">
        <v>1575</v>
      </c>
      <c r="T3049" s="10" t="s">
        <v>1575</v>
      </c>
      <c r="U3049" s="10" t="s">
        <v>1575</v>
      </c>
      <c r="V3049" s="10" t="s">
        <v>1575</v>
      </c>
      <c r="W3049" s="10" t="s">
        <v>1575</v>
      </c>
      <c r="X3049" s="10" t="str">
        <f t="shared" si="2916"/>
        <v>NA</v>
      </c>
      <c r="Y3049" s="10" t="str">
        <f t="shared" si="2917"/>
        <v>NA</v>
      </c>
      <c r="Z3049" s="10" t="str">
        <f t="shared" si="2918"/>
        <v>NA</v>
      </c>
      <c r="AA3049" s="10" t="str">
        <f t="shared" si="2919"/>
        <v>NA</v>
      </c>
      <c r="AB3049" s="10" t="str">
        <f t="shared" si="2920"/>
        <v>NA</v>
      </c>
      <c r="AC3049" s="10" t="str">
        <f t="shared" si="2921"/>
        <v>NA</v>
      </c>
      <c r="AD3049" s="10" t="str">
        <f t="shared" si="2922"/>
        <v>NA</v>
      </c>
      <c r="AE3049" s="10" t="str">
        <f t="shared" si="2923"/>
        <v>NA</v>
      </c>
      <c r="AF3049" s="1" t="s">
        <v>3373</v>
      </c>
    </row>
    <row r="3050" spans="1:32" x14ac:dyDescent="0.2">
      <c r="A3050" s="1" t="s">
        <v>6765</v>
      </c>
      <c r="B3050" s="1" t="s">
        <v>5</v>
      </c>
      <c r="C3050" s="1" t="s">
        <v>1575</v>
      </c>
      <c r="D3050" s="1" t="s">
        <v>1615</v>
      </c>
      <c r="E3050" s="1" t="s">
        <v>1587</v>
      </c>
      <c r="F3050" s="1" t="s">
        <v>486</v>
      </c>
      <c r="G3050" s="4" t="s">
        <v>11</v>
      </c>
      <c r="H3050" s="28">
        <v>43100</v>
      </c>
      <c r="I3050" s="29">
        <f t="shared" si="2874"/>
        <v>2017</v>
      </c>
      <c r="J3050" s="1" t="s">
        <v>7</v>
      </c>
      <c r="K3050" s="1" t="s">
        <v>3357</v>
      </c>
      <c r="L3050" s="11" t="str">
        <f t="shared" ref="L3050:L3051" si="2948">IF(OR(A3050=J3050,A3050=K3050),"ДА","НЕТ")</f>
        <v>НЕТ</v>
      </c>
      <c r="M3050" s="10">
        <v>0</v>
      </c>
      <c r="N3050" s="10">
        <v>0</v>
      </c>
      <c r="O3050" s="10" t="s">
        <v>1575</v>
      </c>
      <c r="P3050" s="10" t="str">
        <f t="shared" si="2911"/>
        <v>NA</v>
      </c>
      <c r="Q3050" s="10" t="str">
        <f t="shared" si="2912"/>
        <v>NA</v>
      </c>
      <c r="R3050" s="10" t="s">
        <v>1575</v>
      </c>
      <c r="S3050" s="10" t="s">
        <v>1575</v>
      </c>
      <c r="T3050" s="10" t="s">
        <v>1575</v>
      </c>
      <c r="U3050" s="10" t="s">
        <v>1575</v>
      </c>
      <c r="V3050" s="10" t="s">
        <v>1575</v>
      </c>
      <c r="W3050" s="10" t="s">
        <v>1575</v>
      </c>
      <c r="X3050" s="10" t="str">
        <f t="shared" si="2916"/>
        <v>NA</v>
      </c>
      <c r="Y3050" s="10" t="str">
        <f t="shared" si="2917"/>
        <v>NA</v>
      </c>
      <c r="Z3050" s="10" t="str">
        <f t="shared" si="2918"/>
        <v>NA</v>
      </c>
      <c r="AA3050" s="10" t="str">
        <f t="shared" si="2919"/>
        <v>NA</v>
      </c>
      <c r="AB3050" s="10" t="str">
        <f t="shared" si="2920"/>
        <v>NA</v>
      </c>
      <c r="AC3050" s="10" t="str">
        <f t="shared" si="2921"/>
        <v>NA</v>
      </c>
      <c r="AD3050" s="10" t="str">
        <f t="shared" si="2922"/>
        <v>NA</v>
      </c>
      <c r="AE3050" s="10" t="str">
        <f t="shared" si="2923"/>
        <v>NA</v>
      </c>
      <c r="AF3050" s="1" t="s">
        <v>3374</v>
      </c>
    </row>
    <row r="3051" spans="1:32" x14ac:dyDescent="0.2">
      <c r="A3051" s="1" t="s">
        <v>3377</v>
      </c>
      <c r="B3051" s="1" t="s">
        <v>30</v>
      </c>
      <c r="C3051" s="1" t="s">
        <v>1575</v>
      </c>
      <c r="D3051" s="1" t="s">
        <v>1615</v>
      </c>
      <c r="E3051" s="1" t="s">
        <v>5352</v>
      </c>
      <c r="F3051" s="1" t="s">
        <v>3380</v>
      </c>
      <c r="G3051" s="4">
        <v>1</v>
      </c>
      <c r="H3051" s="28">
        <v>42308</v>
      </c>
      <c r="I3051" s="29">
        <f t="shared" si="2874"/>
        <v>2015</v>
      </c>
      <c r="J3051" s="1" t="s">
        <v>3366</v>
      </c>
      <c r="K3051" s="1" t="s">
        <v>7</v>
      </c>
      <c r="L3051" s="11" t="str">
        <f t="shared" si="2948"/>
        <v>НЕТ</v>
      </c>
      <c r="M3051" s="10">
        <v>0</v>
      </c>
      <c r="N3051" s="10">
        <v>52</v>
      </c>
      <c r="O3051" s="10">
        <v>3.6080000000000001</v>
      </c>
      <c r="P3051" s="10">
        <f t="shared" si="2911"/>
        <v>3.6080000000000001</v>
      </c>
      <c r="Q3051" s="10" t="str">
        <f t="shared" si="2912"/>
        <v>NA</v>
      </c>
      <c r="R3051" s="10" t="s">
        <v>1575</v>
      </c>
      <c r="S3051" s="10" t="s">
        <v>1575</v>
      </c>
      <c r="T3051" s="10" t="s">
        <v>1575</v>
      </c>
      <c r="U3051" s="10" t="s">
        <v>1575</v>
      </c>
      <c r="V3051" s="10" t="s">
        <v>1575</v>
      </c>
      <c r="W3051" s="10" t="s">
        <v>1575</v>
      </c>
      <c r="X3051" s="10" t="str">
        <f t="shared" si="2916"/>
        <v>NA</v>
      </c>
      <c r="Y3051" s="10" t="str">
        <f t="shared" si="2917"/>
        <v>NA</v>
      </c>
      <c r="Z3051" s="10" t="str">
        <f t="shared" si="2918"/>
        <v>NA</v>
      </c>
      <c r="AA3051" s="10" t="str">
        <f t="shared" si="2919"/>
        <v>NA</v>
      </c>
      <c r="AB3051" s="10" t="str">
        <f t="shared" si="2920"/>
        <v>NA</v>
      </c>
      <c r="AC3051" s="10" t="str">
        <f t="shared" si="2921"/>
        <v>NA</v>
      </c>
      <c r="AD3051" s="10" t="str">
        <f t="shared" si="2922"/>
        <v>NA</v>
      </c>
      <c r="AE3051" s="10" t="str">
        <f t="shared" si="2923"/>
        <v>NA</v>
      </c>
      <c r="AF3051" s="1" t="s">
        <v>3378</v>
      </c>
    </row>
    <row r="3052" spans="1:32" x14ac:dyDescent="0.2">
      <c r="A3052" s="1" t="s">
        <v>6766</v>
      </c>
      <c r="B3052" s="1" t="s">
        <v>5</v>
      </c>
      <c r="C3052" s="1" t="s">
        <v>1575</v>
      </c>
      <c r="D3052" s="1" t="s">
        <v>1615</v>
      </c>
      <c r="E3052" s="1" t="s">
        <v>3134</v>
      </c>
      <c r="F3052" s="1" t="s">
        <v>3382</v>
      </c>
      <c r="G3052" s="4">
        <v>0.25</v>
      </c>
      <c r="H3052" s="28">
        <v>42124</v>
      </c>
      <c r="I3052" s="29">
        <f t="shared" si="2874"/>
        <v>2015</v>
      </c>
      <c r="J3052" s="1" t="s">
        <v>7</v>
      </c>
      <c r="K3052" s="1" t="s">
        <v>3357</v>
      </c>
      <c r="L3052" s="11" t="str">
        <f t="shared" ref="L3052" si="2949">IF(OR(A3052=J3052,A3052=K3052),"ДА","НЕТ")</f>
        <v>НЕТ</v>
      </c>
      <c r="M3052" s="10">
        <v>0</v>
      </c>
      <c r="N3052" s="10">
        <v>0</v>
      </c>
      <c r="O3052" s="10">
        <v>2.4500000000000002</v>
      </c>
      <c r="P3052" s="10">
        <f t="shared" si="2911"/>
        <v>9.8000000000000007</v>
      </c>
      <c r="Q3052" s="10" t="str">
        <f t="shared" si="2912"/>
        <v>NA</v>
      </c>
      <c r="R3052" s="10" t="s">
        <v>1575</v>
      </c>
      <c r="S3052" s="10" t="s">
        <v>1575</v>
      </c>
      <c r="T3052" s="10" t="s">
        <v>1575</v>
      </c>
      <c r="U3052" s="10" t="s">
        <v>1575</v>
      </c>
      <c r="V3052" s="10" t="s">
        <v>1575</v>
      </c>
      <c r="W3052" s="10" t="s">
        <v>1575</v>
      </c>
      <c r="X3052" s="10" t="str">
        <f t="shared" si="2916"/>
        <v>NA</v>
      </c>
      <c r="Y3052" s="10" t="str">
        <f t="shared" si="2917"/>
        <v>NA</v>
      </c>
      <c r="Z3052" s="10" t="str">
        <f t="shared" si="2918"/>
        <v>NA</v>
      </c>
      <c r="AA3052" s="10" t="str">
        <f t="shared" si="2919"/>
        <v>NA</v>
      </c>
      <c r="AB3052" s="10" t="str">
        <f t="shared" si="2920"/>
        <v>NA</v>
      </c>
      <c r="AC3052" s="10" t="str">
        <f t="shared" si="2921"/>
        <v>NA</v>
      </c>
      <c r="AD3052" s="10" t="str">
        <f t="shared" si="2922"/>
        <v>NA</v>
      </c>
      <c r="AE3052" s="10" t="str">
        <f t="shared" si="2923"/>
        <v>NA</v>
      </c>
      <c r="AF3052" s="1" t="s">
        <v>3381</v>
      </c>
    </row>
    <row r="3053" spans="1:32" x14ac:dyDescent="0.2">
      <c r="A3053" s="1" t="s">
        <v>6767</v>
      </c>
      <c r="B3053" s="1" t="s">
        <v>5</v>
      </c>
      <c r="C3053" s="1" t="s">
        <v>1575</v>
      </c>
      <c r="D3053" s="1" t="s">
        <v>1600</v>
      </c>
      <c r="E3053" s="1" t="s">
        <v>3386</v>
      </c>
      <c r="F3053" s="1" t="s">
        <v>3385</v>
      </c>
      <c r="G3053" s="6" t="s">
        <v>3375</v>
      </c>
      <c r="H3053" s="28">
        <v>41820</v>
      </c>
      <c r="I3053" s="29">
        <f t="shared" si="2874"/>
        <v>2014</v>
      </c>
      <c r="J3053" s="1" t="s">
        <v>7</v>
      </c>
      <c r="K3053" s="1" t="s">
        <v>3357</v>
      </c>
      <c r="L3053" s="11" t="str">
        <f t="shared" ref="L3053" si="2950">IF(OR(A3053=J3053,A3053=K3053),"ДА","НЕТ")</f>
        <v>НЕТ</v>
      </c>
      <c r="M3053" s="10">
        <v>0</v>
      </c>
      <c r="N3053" s="10">
        <v>0</v>
      </c>
      <c r="O3053" s="10">
        <f>4.862</f>
        <v>4.8620000000000001</v>
      </c>
      <c r="P3053" s="10" t="str">
        <f t="shared" si="2911"/>
        <v>NA</v>
      </c>
      <c r="Q3053" s="10" t="str">
        <f t="shared" si="2912"/>
        <v>NA</v>
      </c>
      <c r="R3053" s="10" t="s">
        <v>1575</v>
      </c>
      <c r="S3053" s="10" t="s">
        <v>1575</v>
      </c>
      <c r="T3053" s="10" t="s">
        <v>1575</v>
      </c>
      <c r="U3053" s="10" t="s">
        <v>1575</v>
      </c>
      <c r="V3053" s="10" t="s">
        <v>1575</v>
      </c>
      <c r="W3053" s="10" t="s">
        <v>1575</v>
      </c>
      <c r="X3053" s="10" t="str">
        <f t="shared" si="2916"/>
        <v>NA</v>
      </c>
      <c r="Y3053" s="10" t="str">
        <f t="shared" si="2917"/>
        <v>NA</v>
      </c>
      <c r="Z3053" s="10" t="str">
        <f t="shared" si="2918"/>
        <v>NA</v>
      </c>
      <c r="AA3053" s="10" t="str">
        <f t="shared" si="2919"/>
        <v>NA</v>
      </c>
      <c r="AB3053" s="10" t="str">
        <f t="shared" si="2920"/>
        <v>NA</v>
      </c>
      <c r="AC3053" s="10" t="str">
        <f t="shared" si="2921"/>
        <v>NA</v>
      </c>
      <c r="AD3053" s="10" t="str">
        <f t="shared" si="2922"/>
        <v>NA</v>
      </c>
      <c r="AE3053" s="10" t="str">
        <f t="shared" si="2923"/>
        <v>NA</v>
      </c>
      <c r="AF3053" s="1" t="s">
        <v>3383</v>
      </c>
    </row>
    <row r="3054" spans="1:32" x14ac:dyDescent="0.2">
      <c r="A3054" s="1" t="s">
        <v>6768</v>
      </c>
      <c r="B3054" s="1" t="s">
        <v>5</v>
      </c>
      <c r="C3054" s="1" t="s">
        <v>1575</v>
      </c>
      <c r="D3054" s="1" t="s">
        <v>1615</v>
      </c>
      <c r="E3054" s="1" t="s">
        <v>1587</v>
      </c>
      <c r="F3054" s="1" t="s">
        <v>3379</v>
      </c>
      <c r="G3054" s="6" t="s">
        <v>3375</v>
      </c>
      <c r="H3054" s="28">
        <v>41820</v>
      </c>
      <c r="I3054" s="29">
        <f t="shared" si="2874"/>
        <v>2014</v>
      </c>
      <c r="J3054" s="1" t="s">
        <v>7</v>
      </c>
      <c r="K3054" s="1" t="s">
        <v>3357</v>
      </c>
      <c r="L3054" s="11" t="str">
        <f t="shared" ref="L3054:L3055" si="2951">IF(OR(A3054=J3054,A3054=K3054),"ДА","НЕТ")</f>
        <v>НЕТ</v>
      </c>
      <c r="M3054" s="10">
        <v>0</v>
      </c>
      <c r="N3054" s="10">
        <v>0</v>
      </c>
      <c r="O3054" s="10">
        <v>2.5009999999999999</v>
      </c>
      <c r="P3054" s="10" t="str">
        <f t="shared" si="2911"/>
        <v>NA</v>
      </c>
      <c r="Q3054" s="10" t="str">
        <f t="shared" si="2912"/>
        <v>NA</v>
      </c>
      <c r="R3054" s="10" t="s">
        <v>1575</v>
      </c>
      <c r="S3054" s="10" t="s">
        <v>1575</v>
      </c>
      <c r="T3054" s="10" t="s">
        <v>1575</v>
      </c>
      <c r="U3054" s="10" t="s">
        <v>1575</v>
      </c>
      <c r="V3054" s="10" t="s">
        <v>1575</v>
      </c>
      <c r="W3054" s="10" t="s">
        <v>1575</v>
      </c>
      <c r="X3054" s="10" t="str">
        <f t="shared" si="2916"/>
        <v>NA</v>
      </c>
      <c r="Y3054" s="10" t="str">
        <f t="shared" si="2917"/>
        <v>NA</v>
      </c>
      <c r="Z3054" s="10" t="str">
        <f t="shared" si="2918"/>
        <v>NA</v>
      </c>
      <c r="AA3054" s="10" t="str">
        <f t="shared" si="2919"/>
        <v>NA</v>
      </c>
      <c r="AB3054" s="10" t="str">
        <f t="shared" si="2920"/>
        <v>NA</v>
      </c>
      <c r="AC3054" s="10" t="str">
        <f t="shared" si="2921"/>
        <v>NA</v>
      </c>
      <c r="AD3054" s="10" t="str">
        <f t="shared" si="2922"/>
        <v>NA</v>
      </c>
      <c r="AE3054" s="10" t="str">
        <f t="shared" si="2923"/>
        <v>NA</v>
      </c>
      <c r="AF3054" s="1" t="s">
        <v>3384</v>
      </c>
    </row>
    <row r="3055" spans="1:32" x14ac:dyDescent="0.2">
      <c r="A3055" s="1" t="s">
        <v>6769</v>
      </c>
      <c r="B3055" s="1" t="s">
        <v>1575</v>
      </c>
      <c r="C3055" s="1" t="s">
        <v>1575</v>
      </c>
      <c r="D3055" s="1" t="s">
        <v>1615</v>
      </c>
      <c r="E3055" s="1" t="s">
        <v>2176</v>
      </c>
      <c r="F3055" s="1" t="s">
        <v>3388</v>
      </c>
      <c r="G3055" s="4">
        <v>0.502</v>
      </c>
      <c r="H3055" s="28">
        <v>41912</v>
      </c>
      <c r="I3055" s="29">
        <f t="shared" si="2874"/>
        <v>2014</v>
      </c>
      <c r="J3055" s="1" t="s">
        <v>3357</v>
      </c>
      <c r="K3055" s="1" t="s">
        <v>7</v>
      </c>
      <c r="L3055" s="11" t="str">
        <f t="shared" si="2951"/>
        <v>НЕТ</v>
      </c>
      <c r="M3055" s="10">
        <v>47.5</v>
      </c>
      <c r="N3055" s="10">
        <v>0</v>
      </c>
      <c r="O3055" s="10">
        <v>1.871</v>
      </c>
      <c r="P3055" s="10">
        <f t="shared" si="2911"/>
        <v>3.7270916334661353</v>
      </c>
      <c r="Q3055" s="10" t="str">
        <f t="shared" si="2912"/>
        <v>NA</v>
      </c>
      <c r="R3055" s="10" t="s">
        <v>1575</v>
      </c>
      <c r="S3055" s="10" t="s">
        <v>1575</v>
      </c>
      <c r="T3055" s="10" t="s">
        <v>1575</v>
      </c>
      <c r="U3055" s="10" t="s">
        <v>1575</v>
      </c>
      <c r="V3055" s="10">
        <v>1.825</v>
      </c>
      <c r="W3055" s="10" t="s">
        <v>1575</v>
      </c>
      <c r="X3055" s="10" t="str">
        <f t="shared" si="2916"/>
        <v>NA</v>
      </c>
      <c r="Y3055" s="10" t="str">
        <f t="shared" si="2917"/>
        <v>NA</v>
      </c>
      <c r="Z3055" s="10" t="str">
        <f t="shared" si="2918"/>
        <v>NA</v>
      </c>
      <c r="AA3055" s="10">
        <f t="shared" si="2919"/>
        <v>2.0422419909403482</v>
      </c>
      <c r="AB3055" s="10" t="str">
        <f t="shared" si="2920"/>
        <v>NA</v>
      </c>
      <c r="AC3055" s="10" t="str">
        <f t="shared" si="2921"/>
        <v>NA</v>
      </c>
      <c r="AD3055" s="10" t="str">
        <f t="shared" si="2922"/>
        <v>NA</v>
      </c>
      <c r="AE3055" s="10" t="str">
        <f t="shared" si="2923"/>
        <v>NA</v>
      </c>
      <c r="AF3055" s="1" t="s">
        <v>3389</v>
      </c>
    </row>
    <row r="3056" spans="1:32" x14ac:dyDescent="0.2">
      <c r="A3056" s="1" t="s">
        <v>6770</v>
      </c>
      <c r="B3056" s="1" t="s">
        <v>5</v>
      </c>
      <c r="C3056" s="1" t="s">
        <v>1575</v>
      </c>
      <c r="D3056" s="1" t="s">
        <v>1595</v>
      </c>
      <c r="E3056" s="1" t="s">
        <v>1810</v>
      </c>
      <c r="F3056" s="1" t="s">
        <v>3390</v>
      </c>
      <c r="G3056" s="4">
        <v>1</v>
      </c>
      <c r="H3056" s="28">
        <v>41547</v>
      </c>
      <c r="I3056" s="29">
        <f t="shared" si="2874"/>
        <v>2013</v>
      </c>
      <c r="J3056" s="1" t="s">
        <v>6771</v>
      </c>
      <c r="K3056" s="1" t="s">
        <v>7</v>
      </c>
      <c r="L3056" s="11" t="str">
        <f t="shared" ref="L3056:L3059" si="2952">IF(OR(A3056=J3056,A3056=K3056),"ДА","НЕТ")</f>
        <v>НЕТ</v>
      </c>
      <c r="M3056" s="10">
        <v>0</v>
      </c>
      <c r="N3056" s="10">
        <v>0</v>
      </c>
      <c r="O3056" s="10">
        <v>0.95</v>
      </c>
      <c r="P3056" s="10">
        <f t="shared" si="2911"/>
        <v>0.95</v>
      </c>
      <c r="Q3056" s="10" t="str">
        <f t="shared" si="2912"/>
        <v>NA</v>
      </c>
      <c r="R3056" s="10" t="s">
        <v>1575</v>
      </c>
      <c r="S3056" s="10" t="s">
        <v>1575</v>
      </c>
      <c r="T3056" s="10" t="s">
        <v>1575</v>
      </c>
      <c r="U3056" s="10" t="s">
        <v>1575</v>
      </c>
      <c r="V3056" s="10">
        <v>0.35199999999999998</v>
      </c>
      <c r="W3056" s="10" t="s">
        <v>1575</v>
      </c>
      <c r="X3056" s="10" t="str">
        <f t="shared" si="2916"/>
        <v>NA</v>
      </c>
      <c r="Y3056" s="10" t="str">
        <f t="shared" si="2917"/>
        <v>NA</v>
      </c>
      <c r="Z3056" s="10" t="str">
        <f t="shared" si="2918"/>
        <v>NA</v>
      </c>
      <c r="AA3056" s="10">
        <f t="shared" si="2919"/>
        <v>2.6988636363636362</v>
      </c>
      <c r="AB3056" s="10" t="str">
        <f t="shared" si="2920"/>
        <v>NA</v>
      </c>
      <c r="AC3056" s="10" t="str">
        <f t="shared" si="2921"/>
        <v>NA</v>
      </c>
      <c r="AD3056" s="10" t="str">
        <f t="shared" si="2922"/>
        <v>NA</v>
      </c>
      <c r="AE3056" s="10" t="str">
        <f t="shared" si="2923"/>
        <v>NA</v>
      </c>
      <c r="AF3056" s="1" t="s">
        <v>3387</v>
      </c>
    </row>
    <row r="3057" spans="1:32" x14ac:dyDescent="0.2">
      <c r="A3057" s="1" t="s">
        <v>6772</v>
      </c>
      <c r="B3057" s="1" t="s">
        <v>5</v>
      </c>
      <c r="C3057" s="1" t="s">
        <v>1575</v>
      </c>
      <c r="D3057" s="1" t="s">
        <v>1615</v>
      </c>
      <c r="E3057" s="1" t="s">
        <v>1587</v>
      </c>
      <c r="F3057" s="1" t="s">
        <v>3379</v>
      </c>
      <c r="G3057" s="4" t="s">
        <v>3394</v>
      </c>
      <c r="H3057" s="28">
        <v>41305</v>
      </c>
      <c r="I3057" s="29">
        <f t="shared" si="2874"/>
        <v>2013</v>
      </c>
      <c r="J3057" s="1" t="s">
        <v>7</v>
      </c>
      <c r="K3057" s="1" t="s">
        <v>3357</v>
      </c>
      <c r="L3057" s="11" t="str">
        <f t="shared" si="2952"/>
        <v>НЕТ</v>
      </c>
      <c r="M3057" s="10">
        <v>0</v>
      </c>
      <c r="N3057" s="10">
        <v>0</v>
      </c>
      <c r="O3057" s="10">
        <v>1.56</v>
      </c>
      <c r="P3057" s="10" t="str">
        <f t="shared" si="2911"/>
        <v>NA</v>
      </c>
      <c r="Q3057" s="10" t="str">
        <f t="shared" si="2912"/>
        <v>NA</v>
      </c>
      <c r="R3057" s="10" t="s">
        <v>1575</v>
      </c>
      <c r="S3057" s="10" t="s">
        <v>1575</v>
      </c>
      <c r="T3057" s="10" t="s">
        <v>1575</v>
      </c>
      <c r="U3057" s="10" t="s">
        <v>1575</v>
      </c>
      <c r="V3057" s="10">
        <f>O3057-0.992</f>
        <v>0.56800000000000006</v>
      </c>
      <c r="W3057" s="10" t="s">
        <v>1575</v>
      </c>
      <c r="X3057" s="10" t="str">
        <f t="shared" si="2916"/>
        <v>NA</v>
      </c>
      <c r="Y3057" s="10" t="str">
        <f t="shared" si="2917"/>
        <v>NA</v>
      </c>
      <c r="Z3057" s="10" t="str">
        <f t="shared" si="2918"/>
        <v>NA</v>
      </c>
      <c r="AA3057" s="10" t="str">
        <f t="shared" si="2919"/>
        <v>NA</v>
      </c>
      <c r="AB3057" s="10" t="str">
        <f t="shared" si="2920"/>
        <v>NA</v>
      </c>
      <c r="AC3057" s="10" t="str">
        <f t="shared" si="2921"/>
        <v>NA</v>
      </c>
      <c r="AD3057" s="10" t="str">
        <f t="shared" si="2922"/>
        <v>NA</v>
      </c>
      <c r="AE3057" s="10" t="str">
        <f t="shared" si="2923"/>
        <v>NA</v>
      </c>
      <c r="AF3057" s="1" t="s">
        <v>3391</v>
      </c>
    </row>
    <row r="3058" spans="1:32" x14ac:dyDescent="0.2">
      <c r="A3058" s="1" t="s">
        <v>6773</v>
      </c>
      <c r="B3058" s="1" t="s">
        <v>5</v>
      </c>
      <c r="C3058" s="1" t="s">
        <v>1575</v>
      </c>
      <c r="D3058" s="1" t="s">
        <v>1615</v>
      </c>
      <c r="E3058" s="1" t="s">
        <v>1587</v>
      </c>
      <c r="F3058" s="1" t="s">
        <v>3393</v>
      </c>
      <c r="G3058" s="6" t="s">
        <v>3375</v>
      </c>
      <c r="H3058" s="28">
        <v>41485</v>
      </c>
      <c r="I3058" s="29">
        <f t="shared" si="2874"/>
        <v>2013</v>
      </c>
      <c r="J3058" s="1" t="s">
        <v>7</v>
      </c>
      <c r="K3058" s="1" t="s">
        <v>3357</v>
      </c>
      <c r="L3058" s="11" t="str">
        <f t="shared" si="2952"/>
        <v>НЕТ</v>
      </c>
      <c r="M3058" s="10">
        <v>0</v>
      </c>
      <c r="N3058" s="10">
        <v>0</v>
      </c>
      <c r="O3058" s="10">
        <v>2.0299999999999998</v>
      </c>
      <c r="P3058" s="10" t="str">
        <f t="shared" si="2911"/>
        <v>NA</v>
      </c>
      <c r="Q3058" s="10" t="str">
        <f t="shared" si="2912"/>
        <v>NA</v>
      </c>
      <c r="R3058" s="10" t="s">
        <v>1575</v>
      </c>
      <c r="S3058" s="10" t="s">
        <v>1575</v>
      </c>
      <c r="T3058" s="10" t="s">
        <v>1575</v>
      </c>
      <c r="U3058" s="10" t="s">
        <v>1575</v>
      </c>
      <c r="V3058" s="10" t="s">
        <v>1575</v>
      </c>
      <c r="W3058" s="10" t="s">
        <v>1575</v>
      </c>
      <c r="X3058" s="10" t="str">
        <f t="shared" si="2916"/>
        <v>NA</v>
      </c>
      <c r="Y3058" s="10" t="str">
        <f t="shared" si="2917"/>
        <v>NA</v>
      </c>
      <c r="Z3058" s="10" t="str">
        <f t="shared" si="2918"/>
        <v>NA</v>
      </c>
      <c r="AA3058" s="10" t="str">
        <f t="shared" si="2919"/>
        <v>NA</v>
      </c>
      <c r="AB3058" s="10" t="str">
        <f t="shared" si="2920"/>
        <v>NA</v>
      </c>
      <c r="AC3058" s="10" t="str">
        <f t="shared" si="2921"/>
        <v>NA</v>
      </c>
      <c r="AD3058" s="10" t="str">
        <f t="shared" si="2922"/>
        <v>NA</v>
      </c>
      <c r="AE3058" s="10" t="str">
        <f t="shared" si="2923"/>
        <v>NA</v>
      </c>
      <c r="AF3058" s="1" t="s">
        <v>3395</v>
      </c>
    </row>
    <row r="3059" spans="1:32" x14ac:dyDescent="0.2">
      <c r="A3059" s="1" t="s">
        <v>6774</v>
      </c>
      <c r="B3059" s="1" t="s">
        <v>5</v>
      </c>
      <c r="C3059" s="1" t="s">
        <v>1575</v>
      </c>
      <c r="D3059" s="1" t="s">
        <v>1615</v>
      </c>
      <c r="E3059" s="1" t="s">
        <v>2176</v>
      </c>
      <c r="F3059" s="1" t="s">
        <v>3392</v>
      </c>
      <c r="G3059" s="4">
        <v>0.17</v>
      </c>
      <c r="H3059" s="28">
        <v>41639</v>
      </c>
      <c r="I3059" s="29">
        <f t="shared" si="2874"/>
        <v>2013</v>
      </c>
      <c r="J3059" s="1" t="s">
        <v>7</v>
      </c>
      <c r="K3059" s="1" t="s">
        <v>3357</v>
      </c>
      <c r="L3059" s="11" t="str">
        <f t="shared" si="2952"/>
        <v>НЕТ</v>
      </c>
      <c r="M3059" s="10">
        <v>0</v>
      </c>
      <c r="N3059" s="10">
        <v>0</v>
      </c>
      <c r="O3059" s="10">
        <v>0.66500000000000004</v>
      </c>
      <c r="P3059" s="10">
        <f t="shared" si="2911"/>
        <v>3.9117647058823528</v>
      </c>
      <c r="Q3059" s="10" t="str">
        <f t="shared" si="2912"/>
        <v>NA</v>
      </c>
      <c r="R3059" s="10" t="s">
        <v>1575</v>
      </c>
      <c r="S3059" s="10" t="s">
        <v>1575</v>
      </c>
      <c r="T3059" s="10" t="s">
        <v>1575</v>
      </c>
      <c r="U3059" s="10" t="s">
        <v>1575</v>
      </c>
      <c r="V3059" s="10" t="s">
        <v>1575</v>
      </c>
      <c r="W3059" s="10" t="s">
        <v>1575</v>
      </c>
      <c r="X3059" s="10" t="str">
        <f t="shared" si="2916"/>
        <v>NA</v>
      </c>
      <c r="Y3059" s="10" t="str">
        <f t="shared" si="2917"/>
        <v>NA</v>
      </c>
      <c r="Z3059" s="10" t="str">
        <f t="shared" si="2918"/>
        <v>NA</v>
      </c>
      <c r="AA3059" s="10" t="str">
        <f t="shared" si="2919"/>
        <v>NA</v>
      </c>
      <c r="AB3059" s="10" t="str">
        <f t="shared" si="2920"/>
        <v>NA</v>
      </c>
      <c r="AC3059" s="10" t="str">
        <f t="shared" si="2921"/>
        <v>NA</v>
      </c>
      <c r="AD3059" s="10" t="str">
        <f t="shared" si="2922"/>
        <v>NA</v>
      </c>
      <c r="AE3059" s="10" t="str">
        <f t="shared" si="2923"/>
        <v>NA</v>
      </c>
      <c r="AF3059" s="1" t="s">
        <v>3396</v>
      </c>
    </row>
    <row r="3060" spans="1:32" x14ac:dyDescent="0.2">
      <c r="A3060" s="1" t="s">
        <v>3397</v>
      </c>
      <c r="B3060" s="1" t="s">
        <v>99</v>
      </c>
      <c r="C3060" s="1" t="s">
        <v>1575</v>
      </c>
      <c r="D3060" s="1" t="s">
        <v>1615</v>
      </c>
      <c r="E3060" s="1" t="s">
        <v>5352</v>
      </c>
      <c r="F3060" s="1" t="s">
        <v>3401</v>
      </c>
      <c r="G3060" s="4">
        <v>0.75</v>
      </c>
      <c r="H3060" s="28">
        <v>41274</v>
      </c>
      <c r="I3060" s="29">
        <f t="shared" si="2874"/>
        <v>2012</v>
      </c>
      <c r="J3060" s="1" t="s">
        <v>3357</v>
      </c>
      <c r="K3060" s="1" t="s">
        <v>7</v>
      </c>
      <c r="L3060" s="11" t="str">
        <f t="shared" ref="L3060" si="2953">IF(OR(A3060=J3060,A3060=K3060),"ДА","НЕТ")</f>
        <v>НЕТ</v>
      </c>
      <c r="M3060" s="10">
        <v>0</v>
      </c>
      <c r="N3060" s="10">
        <v>800</v>
      </c>
      <c r="O3060" s="10">
        <v>32.625999999999998</v>
      </c>
      <c r="P3060" s="10">
        <f t="shared" si="2911"/>
        <v>43.501333333333328</v>
      </c>
      <c r="Q3060" s="10">
        <f t="shared" si="2912"/>
        <v>54.226333333333329</v>
      </c>
      <c r="R3060" s="10" t="s">
        <v>1575</v>
      </c>
      <c r="S3060" s="10" t="s">
        <v>1575</v>
      </c>
      <c r="T3060" s="10" t="s">
        <v>1575</v>
      </c>
      <c r="U3060" s="10" t="s">
        <v>1575</v>
      </c>
      <c r="V3060" s="10">
        <v>30.646000000000001</v>
      </c>
      <c r="W3060" s="10">
        <f>14.024+3.624-6.923</f>
        <v>10.725</v>
      </c>
      <c r="X3060" s="10">
        <f t="shared" si="2916"/>
        <v>41.371000000000002</v>
      </c>
      <c r="Y3060" s="10" t="str">
        <f t="shared" si="2917"/>
        <v>NA</v>
      </c>
      <c r="Z3060" s="10" t="str">
        <f t="shared" si="2918"/>
        <v>NA</v>
      </c>
      <c r="AA3060" s="10">
        <f t="shared" si="2919"/>
        <v>1.4194783441014596</v>
      </c>
      <c r="AB3060" s="10" t="str">
        <f t="shared" si="2920"/>
        <v>NA</v>
      </c>
      <c r="AC3060" s="10" t="str">
        <f t="shared" si="2921"/>
        <v>NA</v>
      </c>
      <c r="AD3060" s="10" t="str">
        <f t="shared" si="2922"/>
        <v>NA</v>
      </c>
      <c r="AE3060" s="10">
        <f t="shared" si="2923"/>
        <v>1.3107329610919081</v>
      </c>
      <c r="AF3060" s="1" t="s">
        <v>3408</v>
      </c>
    </row>
    <row r="3061" spans="1:32" x14ac:dyDescent="0.2">
      <c r="A3061" s="1" t="s">
        <v>6775</v>
      </c>
      <c r="B3061" s="1" t="s">
        <v>5</v>
      </c>
      <c r="C3061" s="1" t="s">
        <v>1575</v>
      </c>
      <c r="D3061" s="1" t="s">
        <v>1595</v>
      </c>
      <c r="E3061" s="1" t="s">
        <v>1810</v>
      </c>
      <c r="F3061" s="1" t="s">
        <v>3398</v>
      </c>
      <c r="G3061" s="4">
        <v>1</v>
      </c>
      <c r="H3061" s="28">
        <v>40967</v>
      </c>
      <c r="I3061" s="29">
        <f t="shared" si="2874"/>
        <v>2012</v>
      </c>
      <c r="J3061" s="1" t="s">
        <v>6771</v>
      </c>
      <c r="K3061" s="1" t="s">
        <v>7</v>
      </c>
      <c r="L3061" s="11" t="str">
        <f t="shared" ref="L3061" si="2954">IF(OR(A3061=J3061,A3061=K3061),"ДА","НЕТ")</f>
        <v>НЕТ</v>
      </c>
      <c r="M3061" s="10">
        <v>0</v>
      </c>
      <c r="N3061" s="10">
        <v>0</v>
      </c>
      <c r="O3061" s="10">
        <v>2.4380000000000002</v>
      </c>
      <c r="P3061" s="10">
        <f t="shared" si="2911"/>
        <v>2.4380000000000002</v>
      </c>
      <c r="Q3061" s="10" t="str">
        <f t="shared" si="2912"/>
        <v>NA</v>
      </c>
      <c r="R3061" s="10" t="s">
        <v>1575</v>
      </c>
      <c r="S3061" s="10" t="s">
        <v>1575</v>
      </c>
      <c r="T3061" s="10" t="s">
        <v>1575</v>
      </c>
      <c r="U3061" s="10" t="s">
        <v>1575</v>
      </c>
      <c r="V3061" s="10">
        <f>O3061-1.205</f>
        <v>1.2330000000000001</v>
      </c>
      <c r="W3061" s="10" t="s">
        <v>1575</v>
      </c>
      <c r="X3061" s="10" t="str">
        <f t="shared" si="2916"/>
        <v>NA</v>
      </c>
      <c r="Y3061" s="10" t="str">
        <f t="shared" si="2917"/>
        <v>NA</v>
      </c>
      <c r="Z3061" s="10" t="str">
        <f t="shared" si="2918"/>
        <v>NA</v>
      </c>
      <c r="AA3061" s="10">
        <f t="shared" si="2919"/>
        <v>1.9772911597729115</v>
      </c>
      <c r="AB3061" s="10" t="str">
        <f t="shared" si="2920"/>
        <v>NA</v>
      </c>
      <c r="AC3061" s="10" t="str">
        <f t="shared" si="2921"/>
        <v>NA</v>
      </c>
      <c r="AD3061" s="10" t="str">
        <f t="shared" si="2922"/>
        <v>NA</v>
      </c>
      <c r="AE3061" s="10" t="str">
        <f t="shared" si="2923"/>
        <v>NA</v>
      </c>
      <c r="AF3061" s="1" t="s">
        <v>3409</v>
      </c>
    </row>
    <row r="3062" spans="1:32" x14ac:dyDescent="0.2">
      <c r="A3062" s="1" t="s">
        <v>6776</v>
      </c>
      <c r="B3062" s="1" t="s">
        <v>5</v>
      </c>
      <c r="C3062" s="1" t="s">
        <v>1575</v>
      </c>
      <c r="D3062" s="1" t="s">
        <v>1615</v>
      </c>
      <c r="E3062" s="1" t="s">
        <v>2176</v>
      </c>
      <c r="F3062" s="1" t="s">
        <v>3388</v>
      </c>
      <c r="G3062" s="4" t="s">
        <v>2373</v>
      </c>
      <c r="H3062" s="28">
        <v>41090</v>
      </c>
      <c r="I3062" s="29">
        <f t="shared" si="2874"/>
        <v>2012</v>
      </c>
      <c r="J3062" s="1" t="s">
        <v>3357</v>
      </c>
      <c r="K3062" s="1" t="s">
        <v>7</v>
      </c>
      <c r="L3062" s="11" t="str">
        <f t="shared" ref="L3062" si="2955">IF(OR(A3062=J3062,A3062=K3062),"ДА","НЕТ")</f>
        <v>НЕТ</v>
      </c>
      <c r="M3062" s="10">
        <v>0</v>
      </c>
      <c r="N3062" s="10">
        <v>0</v>
      </c>
      <c r="O3062" s="10">
        <v>3.7E-7</v>
      </c>
      <c r="P3062" s="10" t="str">
        <f t="shared" si="2911"/>
        <v>NA</v>
      </c>
      <c r="Q3062" s="10" t="str">
        <f t="shared" si="2912"/>
        <v>NA</v>
      </c>
      <c r="R3062" s="10" t="s">
        <v>1575</v>
      </c>
      <c r="S3062" s="10" t="s">
        <v>1575</v>
      </c>
      <c r="T3062" s="10" t="s">
        <v>1575</v>
      </c>
      <c r="U3062" s="10" t="s">
        <v>1575</v>
      </c>
      <c r="V3062" s="10">
        <v>1.0629999999999999</v>
      </c>
      <c r="W3062" s="10" t="s">
        <v>1575</v>
      </c>
      <c r="X3062" s="10" t="str">
        <f t="shared" si="2916"/>
        <v>NA</v>
      </c>
      <c r="Y3062" s="10" t="str">
        <f t="shared" si="2917"/>
        <v>NA</v>
      </c>
      <c r="Z3062" s="10" t="str">
        <f t="shared" si="2918"/>
        <v>NA</v>
      </c>
      <c r="AA3062" s="10" t="str">
        <f t="shared" si="2919"/>
        <v>NA</v>
      </c>
      <c r="AB3062" s="10" t="str">
        <f t="shared" si="2920"/>
        <v>NA</v>
      </c>
      <c r="AC3062" s="10" t="str">
        <f t="shared" si="2921"/>
        <v>NA</v>
      </c>
      <c r="AD3062" s="10" t="str">
        <f t="shared" si="2922"/>
        <v>NA</v>
      </c>
      <c r="AE3062" s="10" t="str">
        <f t="shared" si="2923"/>
        <v>NA</v>
      </c>
      <c r="AF3062" s="1" t="s">
        <v>3410</v>
      </c>
    </row>
    <row r="3063" spans="1:32" x14ac:dyDescent="0.2">
      <c r="A3063" s="1" t="s">
        <v>6777</v>
      </c>
      <c r="B3063" s="1" t="s">
        <v>5</v>
      </c>
      <c r="C3063" s="1" t="s">
        <v>1575</v>
      </c>
      <c r="D3063" s="1" t="s">
        <v>1584</v>
      </c>
      <c r="E3063" s="1" t="s">
        <v>3486</v>
      </c>
      <c r="F3063" s="1" t="s">
        <v>3399</v>
      </c>
      <c r="G3063" s="4" t="s">
        <v>1575</v>
      </c>
      <c r="H3063" s="28">
        <v>41274</v>
      </c>
      <c r="I3063" s="29">
        <f t="shared" si="2874"/>
        <v>2012</v>
      </c>
      <c r="J3063" s="1" t="s">
        <v>3357</v>
      </c>
      <c r="K3063" s="1" t="s">
        <v>7</v>
      </c>
      <c r="L3063" s="11" t="str">
        <f t="shared" ref="L3063:L3065" si="2956">IF(OR(A3063=J3063,A3063=K3063),"ДА","НЕТ")</f>
        <v>НЕТ</v>
      </c>
      <c r="M3063" s="10">
        <v>0</v>
      </c>
      <c r="N3063" s="10">
        <v>0</v>
      </c>
      <c r="O3063" s="10">
        <v>2.1</v>
      </c>
      <c r="P3063" s="10" t="str">
        <f t="shared" si="2911"/>
        <v>NA</v>
      </c>
      <c r="Q3063" s="10" t="str">
        <f t="shared" si="2912"/>
        <v>NA</v>
      </c>
      <c r="R3063" s="10" t="s">
        <v>1575</v>
      </c>
      <c r="S3063" s="10" t="s">
        <v>1575</v>
      </c>
      <c r="T3063" s="10" t="s">
        <v>1575</v>
      </c>
      <c r="U3063" s="10" t="s">
        <v>1575</v>
      </c>
      <c r="V3063" s="10" t="s">
        <v>1575</v>
      </c>
      <c r="W3063" s="10" t="s">
        <v>1575</v>
      </c>
      <c r="X3063" s="10" t="str">
        <f t="shared" si="2916"/>
        <v>NA</v>
      </c>
      <c r="Y3063" s="10" t="str">
        <f t="shared" si="2917"/>
        <v>NA</v>
      </c>
      <c r="Z3063" s="10" t="str">
        <f t="shared" si="2918"/>
        <v>NA</v>
      </c>
      <c r="AA3063" s="10" t="str">
        <f t="shared" si="2919"/>
        <v>NA</v>
      </c>
      <c r="AB3063" s="10" t="str">
        <f t="shared" si="2920"/>
        <v>NA</v>
      </c>
      <c r="AC3063" s="10" t="str">
        <f t="shared" si="2921"/>
        <v>NA</v>
      </c>
      <c r="AD3063" s="10" t="str">
        <f t="shared" si="2922"/>
        <v>NA</v>
      </c>
      <c r="AE3063" s="10" t="str">
        <f t="shared" si="2923"/>
        <v>NA</v>
      </c>
      <c r="AF3063" s="1" t="s">
        <v>3411</v>
      </c>
    </row>
    <row r="3064" spans="1:32" x14ac:dyDescent="0.2">
      <c r="A3064" s="1" t="s">
        <v>6778</v>
      </c>
      <c r="B3064" s="1" t="s">
        <v>5</v>
      </c>
      <c r="C3064" s="1" t="s">
        <v>1575</v>
      </c>
      <c r="D3064" s="1" t="s">
        <v>1615</v>
      </c>
      <c r="E3064" s="1" t="s">
        <v>1587</v>
      </c>
      <c r="F3064" s="1" t="s">
        <v>3379</v>
      </c>
      <c r="G3064" s="6" t="s">
        <v>3375</v>
      </c>
      <c r="H3064" s="28">
        <v>41274</v>
      </c>
      <c r="I3064" s="29">
        <f t="shared" si="2874"/>
        <v>2012</v>
      </c>
      <c r="J3064" s="1" t="s">
        <v>7</v>
      </c>
      <c r="K3064" s="1" t="s">
        <v>3357</v>
      </c>
      <c r="L3064" s="11" t="str">
        <f t="shared" si="2956"/>
        <v>НЕТ</v>
      </c>
      <c r="M3064" s="10">
        <v>0</v>
      </c>
      <c r="N3064" s="10">
        <v>0</v>
      </c>
      <c r="O3064" s="10">
        <v>7.915</v>
      </c>
      <c r="P3064" s="10" t="str">
        <f t="shared" si="2911"/>
        <v>NA</v>
      </c>
      <c r="Q3064" s="10" t="str">
        <f t="shared" si="2912"/>
        <v>NA</v>
      </c>
      <c r="R3064" s="10" t="s">
        <v>1575</v>
      </c>
      <c r="S3064" s="10" t="s">
        <v>1575</v>
      </c>
      <c r="T3064" s="10" t="s">
        <v>1575</v>
      </c>
      <c r="U3064" s="10" t="s">
        <v>1575</v>
      </c>
      <c r="V3064" s="10" t="s">
        <v>1575</v>
      </c>
      <c r="W3064" s="10" t="s">
        <v>1575</v>
      </c>
      <c r="X3064" s="10" t="str">
        <f t="shared" si="2916"/>
        <v>NA</v>
      </c>
      <c r="Y3064" s="10" t="str">
        <f t="shared" si="2917"/>
        <v>NA</v>
      </c>
      <c r="Z3064" s="10" t="str">
        <f t="shared" si="2918"/>
        <v>NA</v>
      </c>
      <c r="AA3064" s="10" t="str">
        <f t="shared" si="2919"/>
        <v>NA</v>
      </c>
      <c r="AB3064" s="10" t="str">
        <f t="shared" si="2920"/>
        <v>NA</v>
      </c>
      <c r="AC3064" s="10" t="str">
        <f t="shared" si="2921"/>
        <v>NA</v>
      </c>
      <c r="AD3064" s="10" t="str">
        <f t="shared" si="2922"/>
        <v>NA</v>
      </c>
      <c r="AE3064" s="10" t="str">
        <f t="shared" si="2923"/>
        <v>NA</v>
      </c>
      <c r="AF3064" s="1" t="s">
        <v>3414</v>
      </c>
    </row>
    <row r="3065" spans="1:32" x14ac:dyDescent="0.2">
      <c r="A3065" s="1" t="s">
        <v>6774</v>
      </c>
      <c r="B3065" s="1" t="s">
        <v>5</v>
      </c>
      <c r="C3065" s="1" t="s">
        <v>1575</v>
      </c>
      <c r="D3065" s="1" t="s">
        <v>1615</v>
      </c>
      <c r="E3065" s="1" t="s">
        <v>2176</v>
      </c>
      <c r="F3065" s="1" t="s">
        <v>3392</v>
      </c>
      <c r="G3065" s="4">
        <v>0.67</v>
      </c>
      <c r="H3065" s="28">
        <v>40633</v>
      </c>
      <c r="I3065" s="29">
        <f t="shared" si="2874"/>
        <v>2011</v>
      </c>
      <c r="J3065" s="1" t="s">
        <v>6771</v>
      </c>
      <c r="K3065" s="1" t="s">
        <v>7</v>
      </c>
      <c r="L3065" s="11" t="str">
        <f t="shared" si="2956"/>
        <v>НЕТ</v>
      </c>
      <c r="M3065" s="10">
        <v>0</v>
      </c>
      <c r="N3065" s="10">
        <v>0</v>
      </c>
      <c r="O3065" s="10">
        <v>1.9550000000000001</v>
      </c>
      <c r="P3065" s="10">
        <f t="shared" si="2911"/>
        <v>2.9179104477611939</v>
      </c>
      <c r="Q3065" s="10" t="str">
        <f t="shared" si="2912"/>
        <v>NA</v>
      </c>
      <c r="R3065" s="10" t="s">
        <v>1575</v>
      </c>
      <c r="S3065" s="10" t="s">
        <v>1575</v>
      </c>
      <c r="T3065" s="10" t="s">
        <v>1575</v>
      </c>
      <c r="U3065" s="10" t="s">
        <v>1575</v>
      </c>
      <c r="V3065" s="10">
        <v>2.5950000000000002</v>
      </c>
      <c r="W3065" s="10" t="s">
        <v>1575</v>
      </c>
      <c r="X3065" s="10" t="str">
        <f t="shared" si="2916"/>
        <v>NA</v>
      </c>
      <c r="Y3065" s="10" t="str">
        <f t="shared" si="2917"/>
        <v>NA</v>
      </c>
      <c r="Z3065" s="10" t="str">
        <f t="shared" si="2918"/>
        <v>NA</v>
      </c>
      <c r="AA3065" s="10">
        <f t="shared" si="2919"/>
        <v>1.1244356253415004</v>
      </c>
      <c r="AB3065" s="10" t="str">
        <f t="shared" si="2920"/>
        <v>NA</v>
      </c>
      <c r="AC3065" s="10" t="str">
        <f t="shared" si="2921"/>
        <v>NA</v>
      </c>
      <c r="AD3065" s="10" t="str">
        <f t="shared" si="2922"/>
        <v>NA</v>
      </c>
      <c r="AE3065" s="10" t="str">
        <f t="shared" si="2923"/>
        <v>NA</v>
      </c>
      <c r="AF3065" s="1" t="s">
        <v>3412</v>
      </c>
    </row>
    <row r="3066" spans="1:32" x14ac:dyDescent="0.2">
      <c r="A3066" s="1" t="s">
        <v>6779</v>
      </c>
      <c r="B3066" s="1" t="s">
        <v>5</v>
      </c>
      <c r="C3066" s="1" t="s">
        <v>1575</v>
      </c>
      <c r="D3066" s="1" t="s">
        <v>1615</v>
      </c>
      <c r="E3066" s="1" t="s">
        <v>2176</v>
      </c>
      <c r="F3066" s="1" t="s">
        <v>3400</v>
      </c>
      <c r="G3066" s="4" t="s">
        <v>1575</v>
      </c>
      <c r="H3066" s="28">
        <v>40847</v>
      </c>
      <c r="I3066" s="29">
        <f t="shared" si="2874"/>
        <v>2011</v>
      </c>
      <c r="J3066" s="1" t="s">
        <v>6779</v>
      </c>
      <c r="K3066" s="1" t="s">
        <v>7</v>
      </c>
      <c r="L3066" s="11" t="str">
        <f t="shared" ref="L3066" si="2957">IF(OR(A3066=J3066,A3066=K3066),"ДА","НЕТ")</f>
        <v>ДА</v>
      </c>
      <c r="M3066" s="10">
        <v>0</v>
      </c>
      <c r="N3066" s="10">
        <v>0</v>
      </c>
      <c r="O3066" s="10">
        <v>1.1739999999999999</v>
      </c>
      <c r="P3066" s="10" t="str">
        <f t="shared" si="2911"/>
        <v>NA</v>
      </c>
      <c r="Q3066" s="10" t="str">
        <f t="shared" si="2912"/>
        <v>NA</v>
      </c>
      <c r="R3066" s="10" t="s">
        <v>1575</v>
      </c>
      <c r="S3066" s="10" t="s">
        <v>1575</v>
      </c>
      <c r="T3066" s="10" t="s">
        <v>1575</v>
      </c>
      <c r="U3066" s="10" t="s">
        <v>1575</v>
      </c>
      <c r="V3066" s="10">
        <v>-0.35</v>
      </c>
      <c r="W3066" s="10">
        <f>0.91+4.048</f>
        <v>4.9580000000000002</v>
      </c>
      <c r="X3066" s="10">
        <f t="shared" si="2916"/>
        <v>4.6080000000000005</v>
      </c>
      <c r="Y3066" s="10" t="str">
        <f t="shared" si="2917"/>
        <v>NA</v>
      </c>
      <c r="Z3066" s="10" t="str">
        <f t="shared" si="2918"/>
        <v>NA</v>
      </c>
      <c r="AA3066" s="10" t="str">
        <f t="shared" si="2919"/>
        <v>NA</v>
      </c>
      <c r="AB3066" s="10" t="str">
        <f t="shared" si="2920"/>
        <v>NA</v>
      </c>
      <c r="AC3066" s="10" t="str">
        <f t="shared" si="2921"/>
        <v>NA</v>
      </c>
      <c r="AD3066" s="10" t="str">
        <f t="shared" si="2922"/>
        <v>NA</v>
      </c>
      <c r="AE3066" s="10" t="str">
        <f t="shared" si="2923"/>
        <v>NA</v>
      </c>
      <c r="AF3066" s="1" t="s">
        <v>3413</v>
      </c>
    </row>
    <row r="3067" spans="1:32" x14ac:dyDescent="0.2">
      <c r="A3067" s="1" t="s">
        <v>6780</v>
      </c>
      <c r="B3067" s="1" t="s">
        <v>5</v>
      </c>
      <c r="C3067" s="1" t="s">
        <v>1575</v>
      </c>
      <c r="D3067" s="1" t="s">
        <v>1615</v>
      </c>
      <c r="E3067" s="1" t="s">
        <v>2176</v>
      </c>
      <c r="F3067" s="1" t="s">
        <v>3362</v>
      </c>
      <c r="G3067" s="6" t="s">
        <v>3375</v>
      </c>
      <c r="H3067" s="28">
        <v>40908</v>
      </c>
      <c r="I3067" s="29">
        <f t="shared" si="2874"/>
        <v>2011</v>
      </c>
      <c r="J3067" s="1" t="s">
        <v>7</v>
      </c>
      <c r="K3067" s="1" t="s">
        <v>3357</v>
      </c>
      <c r="L3067" s="11" t="str">
        <f t="shared" ref="L3067" si="2958">IF(OR(A3067=J3067,A3067=K3067),"ДА","НЕТ")</f>
        <v>НЕТ</v>
      </c>
      <c r="M3067" s="10">
        <v>0</v>
      </c>
      <c r="N3067" s="10">
        <v>0</v>
      </c>
      <c r="O3067" s="10">
        <v>125.5</v>
      </c>
      <c r="P3067" s="10" t="str">
        <f t="shared" si="2911"/>
        <v>NA</v>
      </c>
      <c r="Q3067" s="10" t="str">
        <f t="shared" si="2912"/>
        <v>NA</v>
      </c>
      <c r="R3067" s="10" t="s">
        <v>1575</v>
      </c>
      <c r="S3067" s="10" t="s">
        <v>1575</v>
      </c>
      <c r="T3067" s="10" t="s">
        <v>1575</v>
      </c>
      <c r="U3067" s="10" t="s">
        <v>1575</v>
      </c>
      <c r="V3067" s="10">
        <v>34.055</v>
      </c>
      <c r="W3067" s="10" t="s">
        <v>1575</v>
      </c>
      <c r="X3067" s="10" t="str">
        <f t="shared" si="2916"/>
        <v>NA</v>
      </c>
      <c r="Y3067" s="10" t="str">
        <f t="shared" si="2917"/>
        <v>NA</v>
      </c>
      <c r="Z3067" s="10" t="str">
        <f t="shared" si="2918"/>
        <v>NA</v>
      </c>
      <c r="AA3067" s="10" t="str">
        <f t="shared" si="2919"/>
        <v>NA</v>
      </c>
      <c r="AB3067" s="10" t="str">
        <f t="shared" si="2920"/>
        <v>NA</v>
      </c>
      <c r="AC3067" s="10" t="str">
        <f t="shared" si="2921"/>
        <v>NA</v>
      </c>
      <c r="AD3067" s="10" t="str">
        <f t="shared" si="2922"/>
        <v>NA</v>
      </c>
      <c r="AE3067" s="10" t="str">
        <f t="shared" si="2923"/>
        <v>NA</v>
      </c>
      <c r="AF3067" s="1" t="s">
        <v>3415</v>
      </c>
    </row>
    <row r="3068" spans="1:32" x14ac:dyDescent="0.2">
      <c r="A3068" s="1" t="s">
        <v>6781</v>
      </c>
      <c r="B3068" s="1" t="s">
        <v>5</v>
      </c>
      <c r="C3068" s="1" t="s">
        <v>1575</v>
      </c>
      <c r="D3068" s="1" t="s">
        <v>1615</v>
      </c>
      <c r="E3068" s="1" t="s">
        <v>1587</v>
      </c>
      <c r="F3068" s="1" t="s">
        <v>3379</v>
      </c>
      <c r="G3068" s="4">
        <v>1</v>
      </c>
      <c r="H3068" s="28">
        <v>40908</v>
      </c>
      <c r="I3068" s="29">
        <f t="shared" si="2874"/>
        <v>2011</v>
      </c>
      <c r="J3068" s="1" t="s">
        <v>7</v>
      </c>
      <c r="K3068" s="1" t="s">
        <v>3357</v>
      </c>
      <c r="L3068" s="11" t="str">
        <f t="shared" ref="L3068:L3069" si="2959">IF(OR(A3068=J3068,A3068=K3068),"ДА","НЕТ")</f>
        <v>НЕТ</v>
      </c>
      <c r="M3068" s="10">
        <v>0</v>
      </c>
      <c r="N3068" s="10">
        <v>0</v>
      </c>
      <c r="O3068" s="10">
        <v>1.25</v>
      </c>
      <c r="P3068" s="10">
        <f t="shared" si="2911"/>
        <v>1.25</v>
      </c>
      <c r="Q3068" s="10" t="str">
        <f t="shared" si="2912"/>
        <v>NA</v>
      </c>
      <c r="R3068" s="10" t="s">
        <v>1575</v>
      </c>
      <c r="S3068" s="10" t="s">
        <v>1575</v>
      </c>
      <c r="T3068" s="10" t="s">
        <v>1575</v>
      </c>
      <c r="U3068" s="10" t="s">
        <v>1575</v>
      </c>
      <c r="V3068" s="10" t="s">
        <v>1575</v>
      </c>
      <c r="W3068" s="10" t="s">
        <v>1575</v>
      </c>
      <c r="X3068" s="10" t="str">
        <f t="shared" si="2916"/>
        <v>NA</v>
      </c>
      <c r="Y3068" s="10" t="str">
        <f t="shared" si="2917"/>
        <v>NA</v>
      </c>
      <c r="Z3068" s="10" t="str">
        <f t="shared" si="2918"/>
        <v>NA</v>
      </c>
      <c r="AA3068" s="10" t="str">
        <f t="shared" si="2919"/>
        <v>NA</v>
      </c>
      <c r="AB3068" s="10" t="str">
        <f t="shared" si="2920"/>
        <v>NA</v>
      </c>
      <c r="AC3068" s="10" t="str">
        <f t="shared" si="2921"/>
        <v>NA</v>
      </c>
      <c r="AD3068" s="10" t="str">
        <f t="shared" si="2922"/>
        <v>NA</v>
      </c>
      <c r="AE3068" s="10" t="str">
        <f t="shared" si="2923"/>
        <v>NA</v>
      </c>
      <c r="AF3068" s="1" t="s">
        <v>3416</v>
      </c>
    </row>
    <row r="3069" spans="1:32" x14ac:dyDescent="0.2">
      <c r="A3069" s="1" t="s">
        <v>6782</v>
      </c>
      <c r="B3069" s="1" t="s">
        <v>5</v>
      </c>
      <c r="C3069" s="1" t="s">
        <v>1575</v>
      </c>
      <c r="D3069" s="1" t="s">
        <v>1615</v>
      </c>
      <c r="E3069" s="1" t="s">
        <v>1587</v>
      </c>
      <c r="F3069" s="1" t="s">
        <v>3379</v>
      </c>
      <c r="G3069" s="4">
        <v>1</v>
      </c>
      <c r="H3069" s="28">
        <v>40908</v>
      </c>
      <c r="I3069" s="29">
        <f t="shared" si="2874"/>
        <v>2011</v>
      </c>
      <c r="J3069" s="1" t="s">
        <v>7</v>
      </c>
      <c r="K3069" s="1" t="s">
        <v>3357</v>
      </c>
      <c r="L3069" s="11" t="str">
        <f t="shared" si="2959"/>
        <v>НЕТ</v>
      </c>
      <c r="M3069" s="10">
        <v>0</v>
      </c>
      <c r="N3069" s="10">
        <v>0</v>
      </c>
      <c r="O3069" s="10">
        <v>2.4500000000000002</v>
      </c>
      <c r="P3069" s="10">
        <f t="shared" si="2911"/>
        <v>2.4500000000000002</v>
      </c>
      <c r="Q3069" s="10" t="str">
        <f t="shared" si="2912"/>
        <v>NA</v>
      </c>
      <c r="R3069" s="10" t="s">
        <v>1575</v>
      </c>
      <c r="S3069" s="10" t="s">
        <v>1575</v>
      </c>
      <c r="T3069" s="10" t="s">
        <v>1575</v>
      </c>
      <c r="U3069" s="10" t="s">
        <v>1575</v>
      </c>
      <c r="V3069" s="10" t="s">
        <v>1575</v>
      </c>
      <c r="W3069" s="10" t="s">
        <v>1575</v>
      </c>
      <c r="X3069" s="10" t="str">
        <f t="shared" si="2916"/>
        <v>NA</v>
      </c>
      <c r="Y3069" s="10" t="str">
        <f t="shared" si="2917"/>
        <v>NA</v>
      </c>
      <c r="Z3069" s="10" t="str">
        <f t="shared" si="2918"/>
        <v>NA</v>
      </c>
      <c r="AA3069" s="10" t="str">
        <f t="shared" si="2919"/>
        <v>NA</v>
      </c>
      <c r="AB3069" s="10" t="str">
        <f t="shared" si="2920"/>
        <v>NA</v>
      </c>
      <c r="AC3069" s="10" t="str">
        <f t="shared" si="2921"/>
        <v>NA</v>
      </c>
      <c r="AD3069" s="10" t="str">
        <f t="shared" si="2922"/>
        <v>NA</v>
      </c>
      <c r="AE3069" s="10" t="str">
        <f t="shared" si="2923"/>
        <v>NA</v>
      </c>
      <c r="AF3069" s="1" t="s">
        <v>3416</v>
      </c>
    </row>
    <row r="3070" spans="1:32" x14ac:dyDescent="0.2">
      <c r="A3070" s="1" t="s">
        <v>6783</v>
      </c>
      <c r="B3070" s="1" t="s">
        <v>5</v>
      </c>
      <c r="C3070" s="1" t="s">
        <v>1575</v>
      </c>
      <c r="D3070" s="1" t="s">
        <v>1575</v>
      </c>
      <c r="E3070" s="1" t="s">
        <v>1575</v>
      </c>
      <c r="F3070" s="1" t="s">
        <v>1575</v>
      </c>
      <c r="G3070" s="4" t="s">
        <v>2223</v>
      </c>
      <c r="H3070" s="28">
        <v>40908</v>
      </c>
      <c r="I3070" s="29">
        <f t="shared" si="2874"/>
        <v>2011</v>
      </c>
      <c r="J3070" s="1" t="s">
        <v>7</v>
      </c>
      <c r="K3070" s="1" t="s">
        <v>3357</v>
      </c>
      <c r="L3070" s="11" t="str">
        <f t="shared" ref="L3070" si="2960">IF(OR(A3070=J3070,A3070=K3070),"ДА","НЕТ")</f>
        <v>НЕТ</v>
      </c>
      <c r="M3070" s="10">
        <v>0</v>
      </c>
      <c r="N3070" s="10">
        <v>0</v>
      </c>
      <c r="O3070" s="10">
        <v>1.992</v>
      </c>
      <c r="P3070" s="10" t="str">
        <f t="shared" si="2911"/>
        <v>NA</v>
      </c>
      <c r="Q3070" s="10" t="str">
        <f t="shared" si="2912"/>
        <v>NA</v>
      </c>
      <c r="R3070" s="10" t="s">
        <v>1575</v>
      </c>
      <c r="S3070" s="10" t="s">
        <v>1575</v>
      </c>
      <c r="T3070" s="10" t="s">
        <v>1575</v>
      </c>
      <c r="U3070" s="10" t="s">
        <v>1575</v>
      </c>
      <c r="V3070" s="10" t="s">
        <v>1575</v>
      </c>
      <c r="W3070" s="10" t="s">
        <v>1575</v>
      </c>
      <c r="X3070" s="10" t="str">
        <f t="shared" si="2916"/>
        <v>NA</v>
      </c>
      <c r="Y3070" s="10" t="str">
        <f t="shared" si="2917"/>
        <v>NA</v>
      </c>
      <c r="Z3070" s="10" t="str">
        <f t="shared" si="2918"/>
        <v>NA</v>
      </c>
      <c r="AA3070" s="10" t="str">
        <f t="shared" si="2919"/>
        <v>NA</v>
      </c>
      <c r="AB3070" s="10" t="str">
        <f t="shared" si="2920"/>
        <v>NA</v>
      </c>
      <c r="AC3070" s="10" t="str">
        <f t="shared" si="2921"/>
        <v>NA</v>
      </c>
      <c r="AD3070" s="10" t="str">
        <f t="shared" si="2922"/>
        <v>NA</v>
      </c>
      <c r="AE3070" s="10" t="str">
        <f t="shared" si="2923"/>
        <v>NA</v>
      </c>
      <c r="AF3070" s="1" t="s">
        <v>3417</v>
      </c>
    </row>
    <row r="3071" spans="1:32" x14ac:dyDescent="0.2">
      <c r="A3071" s="1" t="s">
        <v>3922</v>
      </c>
      <c r="B3071" s="1" t="s">
        <v>5</v>
      </c>
      <c r="C3071" s="1" t="s">
        <v>3361</v>
      </c>
      <c r="D3071" s="1" t="s">
        <v>1615</v>
      </c>
      <c r="E3071" s="1" t="s">
        <v>2176</v>
      </c>
      <c r="F3071" s="1" t="s">
        <v>3362</v>
      </c>
      <c r="G3071" s="6" t="s">
        <v>3402</v>
      </c>
      <c r="H3071" s="28">
        <v>40512</v>
      </c>
      <c r="I3071" s="29">
        <f t="shared" si="2874"/>
        <v>2010</v>
      </c>
      <c r="J3071" s="1" t="s">
        <v>7</v>
      </c>
      <c r="K3071" s="1" t="s">
        <v>3357</v>
      </c>
      <c r="L3071" s="11" t="str">
        <f t="shared" ref="L3071:L3073" si="2961">IF(OR(A3071=J3071,A3071=K3071),"ДА","НЕТ")</f>
        <v>НЕТ</v>
      </c>
      <c r="M3071" s="10">
        <v>388</v>
      </c>
      <c r="N3071" s="10">
        <v>0</v>
      </c>
      <c r="O3071" s="10">
        <v>11.952</v>
      </c>
      <c r="P3071" s="10" t="str">
        <f t="shared" si="2911"/>
        <v>NA</v>
      </c>
      <c r="Q3071" s="10" t="str">
        <f t="shared" si="2912"/>
        <v>NA</v>
      </c>
      <c r="R3071" s="10" t="s">
        <v>1575</v>
      </c>
      <c r="S3071" s="10" t="s">
        <v>1575</v>
      </c>
      <c r="T3071" s="10" t="s">
        <v>1575</v>
      </c>
      <c r="U3071" s="10" t="s">
        <v>1575</v>
      </c>
      <c r="V3071" s="10" t="s">
        <v>1575</v>
      </c>
      <c r="W3071" s="10" t="s">
        <v>1575</v>
      </c>
      <c r="X3071" s="10" t="str">
        <f t="shared" si="2916"/>
        <v>NA</v>
      </c>
      <c r="Y3071" s="10" t="str">
        <f t="shared" si="2917"/>
        <v>NA</v>
      </c>
      <c r="Z3071" s="10" t="str">
        <f t="shared" si="2918"/>
        <v>NA</v>
      </c>
      <c r="AA3071" s="10" t="str">
        <f t="shared" si="2919"/>
        <v>NA</v>
      </c>
      <c r="AB3071" s="10" t="str">
        <f t="shared" si="2920"/>
        <v>NA</v>
      </c>
      <c r="AC3071" s="10" t="str">
        <f t="shared" si="2921"/>
        <v>NA</v>
      </c>
      <c r="AD3071" s="10" t="str">
        <f t="shared" si="2922"/>
        <v>NA</v>
      </c>
      <c r="AE3071" s="10" t="str">
        <f t="shared" si="2923"/>
        <v>NA</v>
      </c>
      <c r="AF3071" s="1" t="s">
        <v>3403</v>
      </c>
    </row>
    <row r="3072" spans="1:32" x14ac:dyDescent="0.2">
      <c r="A3072" s="1" t="s">
        <v>3424</v>
      </c>
      <c r="B3072" s="1" t="s">
        <v>5</v>
      </c>
      <c r="C3072" s="1" t="s">
        <v>1575</v>
      </c>
      <c r="D3072" s="1" t="s">
        <v>1580</v>
      </c>
      <c r="E3072" s="1" t="s">
        <v>1590</v>
      </c>
      <c r="F3072" s="1" t="s">
        <v>545</v>
      </c>
      <c r="G3072" s="4">
        <v>1</v>
      </c>
      <c r="H3072" s="28">
        <v>39844</v>
      </c>
      <c r="I3072" s="29">
        <f t="shared" si="2874"/>
        <v>2009</v>
      </c>
      <c r="J3072" s="1" t="s">
        <v>6784</v>
      </c>
      <c r="K3072" s="1" t="s">
        <v>7</v>
      </c>
      <c r="L3072" s="11" t="str">
        <f t="shared" si="2961"/>
        <v>НЕТ</v>
      </c>
      <c r="M3072" s="10">
        <v>0</v>
      </c>
      <c r="N3072" s="10">
        <v>0</v>
      </c>
      <c r="O3072" s="10">
        <v>2.5840000000000001</v>
      </c>
      <c r="P3072" s="10">
        <f t="shared" si="2911"/>
        <v>2.5840000000000001</v>
      </c>
      <c r="Q3072" s="10" t="str">
        <f t="shared" si="2912"/>
        <v>NA</v>
      </c>
      <c r="R3072" s="10" t="s">
        <v>1575</v>
      </c>
      <c r="S3072" s="10" t="s">
        <v>1575</v>
      </c>
      <c r="T3072" s="10" t="s">
        <v>1575</v>
      </c>
      <c r="U3072" s="10" t="s">
        <v>1575</v>
      </c>
      <c r="V3072" s="10">
        <v>3.2090000000000001</v>
      </c>
      <c r="W3072" s="10" t="s">
        <v>1575</v>
      </c>
      <c r="X3072" s="10" t="str">
        <f t="shared" si="2916"/>
        <v>NA</v>
      </c>
      <c r="Y3072" s="10" t="str">
        <f t="shared" si="2917"/>
        <v>NA</v>
      </c>
      <c r="Z3072" s="10" t="str">
        <f t="shared" si="2918"/>
        <v>NA</v>
      </c>
      <c r="AA3072" s="10">
        <f t="shared" si="2919"/>
        <v>0.8052352757868495</v>
      </c>
      <c r="AB3072" s="10" t="str">
        <f t="shared" si="2920"/>
        <v>NA</v>
      </c>
      <c r="AC3072" s="10" t="str">
        <f t="shared" si="2921"/>
        <v>NA</v>
      </c>
      <c r="AD3072" s="10" t="str">
        <f t="shared" si="2922"/>
        <v>NA</v>
      </c>
      <c r="AE3072" s="10" t="str">
        <f t="shared" si="2923"/>
        <v>NA</v>
      </c>
      <c r="AF3072" s="1" t="s">
        <v>3425</v>
      </c>
    </row>
    <row r="3073" spans="1:32" x14ac:dyDescent="0.2">
      <c r="A3073" s="1" t="s">
        <v>3407</v>
      </c>
      <c r="B3073" s="1" t="s">
        <v>5</v>
      </c>
      <c r="C3073" s="1" t="s">
        <v>1575</v>
      </c>
      <c r="D3073" s="1" t="s">
        <v>1580</v>
      </c>
      <c r="E3073" s="1" t="s">
        <v>1593</v>
      </c>
      <c r="F3073" s="1" t="s">
        <v>545</v>
      </c>
      <c r="G3073" s="4">
        <v>0.54</v>
      </c>
      <c r="H3073" s="28">
        <v>40147</v>
      </c>
      <c r="I3073" s="29">
        <f t="shared" si="2874"/>
        <v>2009</v>
      </c>
      <c r="J3073" s="1" t="s">
        <v>6784</v>
      </c>
      <c r="K3073" s="1" t="s">
        <v>7</v>
      </c>
      <c r="L3073" s="11" t="str">
        <f t="shared" si="2961"/>
        <v>НЕТ</v>
      </c>
      <c r="M3073" s="10">
        <v>0</v>
      </c>
      <c r="N3073" s="10">
        <v>0</v>
      </c>
      <c r="O3073" s="10">
        <v>6.0000000000000001E-3</v>
      </c>
      <c r="P3073" s="10">
        <f t="shared" si="2911"/>
        <v>1.111111111111111E-2</v>
      </c>
      <c r="Q3073" s="10" t="str">
        <f t="shared" si="2912"/>
        <v>NA</v>
      </c>
      <c r="R3073" s="10" t="s">
        <v>1575</v>
      </c>
      <c r="S3073" s="10" t="s">
        <v>1575</v>
      </c>
      <c r="T3073" s="10" t="s">
        <v>1575</v>
      </c>
      <c r="U3073" s="10" t="s">
        <v>1575</v>
      </c>
      <c r="V3073" s="10">
        <v>0.26600000000000001</v>
      </c>
      <c r="W3073" s="10" t="s">
        <v>1575</v>
      </c>
      <c r="X3073" s="10" t="str">
        <f t="shared" si="2916"/>
        <v>NA</v>
      </c>
      <c r="Y3073" s="10" t="str">
        <f t="shared" si="2917"/>
        <v>NA</v>
      </c>
      <c r="Z3073" s="10" t="str">
        <f t="shared" si="2918"/>
        <v>NA</v>
      </c>
      <c r="AA3073" s="10">
        <f t="shared" si="2919"/>
        <v>4.1771094402673341E-2</v>
      </c>
      <c r="AB3073" s="10" t="str">
        <f t="shared" si="2920"/>
        <v>NA</v>
      </c>
      <c r="AC3073" s="10" t="str">
        <f t="shared" si="2921"/>
        <v>NA</v>
      </c>
      <c r="AD3073" s="10" t="str">
        <f t="shared" si="2922"/>
        <v>NA</v>
      </c>
      <c r="AE3073" s="10" t="str">
        <f t="shared" si="2923"/>
        <v>NA</v>
      </c>
    </row>
    <row r="3074" spans="1:32" x14ac:dyDescent="0.2">
      <c r="A3074" s="1" t="s">
        <v>3404</v>
      </c>
      <c r="B3074" s="1" t="s">
        <v>5</v>
      </c>
      <c r="C3074" s="1" t="s">
        <v>1575</v>
      </c>
      <c r="D3074" s="1" t="s">
        <v>1575</v>
      </c>
      <c r="E3074" s="1" t="s">
        <v>1575</v>
      </c>
      <c r="F3074" s="1" t="s">
        <v>1575</v>
      </c>
      <c r="G3074" s="4">
        <v>0.96360000000000001</v>
      </c>
      <c r="H3074" s="28">
        <v>40147</v>
      </c>
      <c r="I3074" s="29">
        <f t="shared" si="2874"/>
        <v>2009</v>
      </c>
      <c r="J3074" s="1" t="s">
        <v>6784</v>
      </c>
      <c r="K3074" s="1" t="s">
        <v>7</v>
      </c>
      <c r="L3074" s="11" t="str">
        <f t="shared" ref="L3074:L3076" si="2962">IF(OR(A3074=J3074,A3074=K3074),"ДА","НЕТ")</f>
        <v>НЕТ</v>
      </c>
      <c r="M3074" s="10">
        <v>0</v>
      </c>
      <c r="N3074" s="10">
        <v>0</v>
      </c>
      <c r="O3074" s="10">
        <v>1.2070000000000001</v>
      </c>
      <c r="P3074" s="10">
        <f t="shared" si="2911"/>
        <v>1.2525944375259443</v>
      </c>
      <c r="Q3074" s="10" t="str">
        <f t="shared" si="2912"/>
        <v>NA</v>
      </c>
      <c r="R3074" s="10" t="s">
        <v>1575</v>
      </c>
      <c r="S3074" s="10" t="s">
        <v>1575</v>
      </c>
      <c r="T3074" s="10" t="s">
        <v>1575</v>
      </c>
      <c r="U3074" s="10" t="s">
        <v>1575</v>
      </c>
      <c r="V3074" s="10">
        <v>1.0900000000000001</v>
      </c>
      <c r="W3074" s="10" t="s">
        <v>1575</v>
      </c>
      <c r="X3074" s="10" t="str">
        <f t="shared" si="2916"/>
        <v>NA</v>
      </c>
      <c r="Y3074" s="10" t="str">
        <f t="shared" si="2917"/>
        <v>NA</v>
      </c>
      <c r="Z3074" s="10" t="str">
        <f t="shared" si="2918"/>
        <v>NA</v>
      </c>
      <c r="AA3074" s="10">
        <f t="shared" si="2919"/>
        <v>1.1491692087393983</v>
      </c>
      <c r="AB3074" s="10" t="str">
        <f t="shared" si="2920"/>
        <v>NA</v>
      </c>
      <c r="AC3074" s="10" t="str">
        <f t="shared" si="2921"/>
        <v>NA</v>
      </c>
      <c r="AD3074" s="10" t="str">
        <f t="shared" si="2922"/>
        <v>NA</v>
      </c>
      <c r="AE3074" s="10" t="str">
        <f t="shared" si="2923"/>
        <v>NA</v>
      </c>
    </row>
    <row r="3075" spans="1:32" x14ac:dyDescent="0.2">
      <c r="A3075" s="1" t="s">
        <v>3419</v>
      </c>
      <c r="B3075" s="1" t="s">
        <v>5</v>
      </c>
      <c r="C3075" s="1" t="s">
        <v>3420</v>
      </c>
      <c r="D3075" s="1" t="s">
        <v>1601</v>
      </c>
      <c r="E3075" s="1" t="s">
        <v>1608</v>
      </c>
      <c r="F3075" s="1" t="s">
        <v>3421</v>
      </c>
      <c r="G3075" s="4">
        <v>3.2300000000000002E-2</v>
      </c>
      <c r="H3075" s="28">
        <v>39933</v>
      </c>
      <c r="I3075" s="29">
        <f t="shared" si="2874"/>
        <v>2009</v>
      </c>
      <c r="J3075" s="1" t="s">
        <v>3422</v>
      </c>
      <c r="K3075" s="1" t="s">
        <v>7</v>
      </c>
      <c r="L3075" s="11" t="str">
        <f t="shared" ref="L3075" si="2963">IF(OR(A3075=J3075,A3075=K3075),"ДА","НЕТ")</f>
        <v>НЕТ</v>
      </c>
      <c r="M3075" s="10">
        <v>0</v>
      </c>
      <c r="N3075" s="10">
        <v>0</v>
      </c>
      <c r="O3075" s="10">
        <v>0.20399999999999999</v>
      </c>
      <c r="P3075" s="10">
        <f t="shared" ref="P3075:P3138" si="2964">IFERROR(O3075/G3075,"NA")</f>
        <v>6.3157894736842097</v>
      </c>
      <c r="Q3075" s="10">
        <f t="shared" ref="Q3075:Q3138" si="2965">IFERROR(P3075+W3075,"NA")</f>
        <v>3.2047894736842095</v>
      </c>
      <c r="R3075" s="10" t="s">
        <v>1575</v>
      </c>
      <c r="S3075" s="10" t="s">
        <v>1575</v>
      </c>
      <c r="T3075" s="10" t="s">
        <v>1575</v>
      </c>
      <c r="U3075" s="10" t="s">
        <v>1575</v>
      </c>
      <c r="V3075" s="10">
        <v>6.548</v>
      </c>
      <c r="W3075" s="10">
        <f>0.011+0.346+0.406-3.874</f>
        <v>-3.1110000000000002</v>
      </c>
      <c r="X3075" s="10">
        <f t="shared" si="2916"/>
        <v>3.4369999999999998</v>
      </c>
      <c r="Y3075" s="10" t="str">
        <f t="shared" si="2917"/>
        <v>NA</v>
      </c>
      <c r="Z3075" s="10" t="str">
        <f t="shared" si="2918"/>
        <v>NA</v>
      </c>
      <c r="AA3075" s="10">
        <f t="shared" si="2919"/>
        <v>0.96453718290840096</v>
      </c>
      <c r="AB3075" s="10" t="str">
        <f t="shared" si="2920"/>
        <v>NA</v>
      </c>
      <c r="AC3075" s="10" t="str">
        <f t="shared" si="2921"/>
        <v>NA</v>
      </c>
      <c r="AD3075" s="10" t="str">
        <f t="shared" si="2922"/>
        <v>NA</v>
      </c>
      <c r="AE3075" s="10">
        <f t="shared" si="2923"/>
        <v>0.93243801969281637</v>
      </c>
      <c r="AF3075" s="1" t="s">
        <v>3423</v>
      </c>
    </row>
    <row r="3076" spans="1:32" x14ac:dyDescent="0.2">
      <c r="A3076" s="1" t="s">
        <v>3419</v>
      </c>
      <c r="B3076" s="1" t="s">
        <v>5</v>
      </c>
      <c r="C3076" s="1" t="s">
        <v>3420</v>
      </c>
      <c r="D3076" s="1" t="s">
        <v>1601</v>
      </c>
      <c r="E3076" s="1" t="s">
        <v>1608</v>
      </c>
      <c r="F3076" s="1" t="s">
        <v>3421</v>
      </c>
      <c r="G3076" s="4">
        <v>0.2767</v>
      </c>
      <c r="H3076" s="28">
        <v>39933</v>
      </c>
      <c r="I3076" s="29">
        <f t="shared" si="2874"/>
        <v>2009</v>
      </c>
      <c r="J3076" s="1" t="s">
        <v>3422</v>
      </c>
      <c r="K3076" s="1" t="s">
        <v>7</v>
      </c>
      <c r="L3076" s="11" t="str">
        <f t="shared" si="2962"/>
        <v>НЕТ</v>
      </c>
      <c r="M3076" s="10">
        <v>0</v>
      </c>
      <c r="N3076" s="10">
        <v>0</v>
      </c>
      <c r="O3076" s="10">
        <v>1.218</v>
      </c>
      <c r="P3076" s="10">
        <f t="shared" si="2964"/>
        <v>4.4018792916516079</v>
      </c>
      <c r="Q3076" s="10">
        <f t="shared" si="2965"/>
        <v>1.2908792916516076</v>
      </c>
      <c r="R3076" s="10" t="s">
        <v>1575</v>
      </c>
      <c r="S3076" s="10" t="s">
        <v>1575</v>
      </c>
      <c r="T3076" s="10" t="s">
        <v>1575</v>
      </c>
      <c r="U3076" s="10" t="s">
        <v>1575</v>
      </c>
      <c r="V3076" s="10">
        <v>6.548</v>
      </c>
      <c r="W3076" s="10">
        <f>0.011+0.346+0.406-3.874</f>
        <v>-3.1110000000000002</v>
      </c>
      <c r="X3076" s="10">
        <f t="shared" si="2916"/>
        <v>3.4369999999999998</v>
      </c>
      <c r="Y3076" s="10" t="str">
        <f t="shared" si="2917"/>
        <v>NA</v>
      </c>
      <c r="Z3076" s="10" t="str">
        <f t="shared" si="2918"/>
        <v>NA</v>
      </c>
      <c r="AA3076" s="10">
        <f t="shared" si="2919"/>
        <v>0.67224790648314103</v>
      </c>
      <c r="AB3076" s="10" t="str">
        <f t="shared" si="2920"/>
        <v>NA</v>
      </c>
      <c r="AC3076" s="10" t="str">
        <f t="shared" si="2921"/>
        <v>NA</v>
      </c>
      <c r="AD3076" s="10" t="str">
        <f t="shared" si="2922"/>
        <v>NA</v>
      </c>
      <c r="AE3076" s="10">
        <f t="shared" si="2923"/>
        <v>0.37558315148431998</v>
      </c>
      <c r="AF3076" s="1" t="s">
        <v>3406</v>
      </c>
    </row>
    <row r="3077" spans="1:32" x14ac:dyDescent="0.2">
      <c r="A3077" s="1" t="s">
        <v>3419</v>
      </c>
      <c r="B3077" s="1" t="s">
        <v>5</v>
      </c>
      <c r="C3077" s="1" t="s">
        <v>3420</v>
      </c>
      <c r="D3077" s="1" t="s">
        <v>1601</v>
      </c>
      <c r="E3077" s="1" t="s">
        <v>1608</v>
      </c>
      <c r="F3077" s="1" t="s">
        <v>3421</v>
      </c>
      <c r="G3077" s="4">
        <v>0.49249999999999999</v>
      </c>
      <c r="H3077" s="28">
        <v>39637</v>
      </c>
      <c r="I3077" s="29">
        <f t="shared" si="2874"/>
        <v>2008</v>
      </c>
      <c r="J3077" s="1" t="s">
        <v>3422</v>
      </c>
      <c r="K3077" s="1" t="s">
        <v>7</v>
      </c>
      <c r="L3077" s="11" t="str">
        <f t="shared" ref="L3077" si="2966">IF(OR(A3077=J3077,A3077=K3077),"ДА","НЕТ")</f>
        <v>НЕТ</v>
      </c>
      <c r="M3077" s="10">
        <v>0</v>
      </c>
      <c r="N3077" s="10">
        <v>0</v>
      </c>
      <c r="O3077" s="10">
        <v>4.9619999999999997</v>
      </c>
      <c r="P3077" s="10">
        <f t="shared" si="2964"/>
        <v>10.075126903553299</v>
      </c>
      <c r="Q3077" s="10">
        <f t="shared" si="2965"/>
        <v>6.9641269035532982</v>
      </c>
      <c r="R3077" s="10" t="s">
        <v>1575</v>
      </c>
      <c r="S3077" s="10" t="s">
        <v>1575</v>
      </c>
      <c r="T3077" s="10" t="s">
        <v>1575</v>
      </c>
      <c r="U3077" s="10" t="s">
        <v>1575</v>
      </c>
      <c r="V3077" s="10">
        <v>6.548</v>
      </c>
      <c r="W3077" s="10">
        <f>0.011+0.346+0.406-3.874</f>
        <v>-3.1110000000000002</v>
      </c>
      <c r="X3077" s="10">
        <f t="shared" si="2916"/>
        <v>3.4369999999999998</v>
      </c>
      <c r="Y3077" s="10" t="str">
        <f t="shared" si="2917"/>
        <v>NA</v>
      </c>
      <c r="Z3077" s="10" t="str">
        <f t="shared" si="2918"/>
        <v>NA</v>
      </c>
      <c r="AA3077" s="10">
        <f t="shared" si="2919"/>
        <v>1.5386571324913407</v>
      </c>
      <c r="AB3077" s="10" t="str">
        <f t="shared" si="2920"/>
        <v>NA</v>
      </c>
      <c r="AC3077" s="10" t="str">
        <f t="shared" si="2921"/>
        <v>NA</v>
      </c>
      <c r="AD3077" s="10" t="str">
        <f t="shared" si="2922"/>
        <v>NA</v>
      </c>
      <c r="AE3077" s="10">
        <f t="shared" si="2923"/>
        <v>2.0262225497681987</v>
      </c>
      <c r="AF3077" s="1" t="s">
        <v>3405</v>
      </c>
    </row>
    <row r="3078" spans="1:32" x14ac:dyDescent="0.2">
      <c r="A3078" s="1" t="s">
        <v>6785</v>
      </c>
      <c r="B3078" s="1" t="s">
        <v>5</v>
      </c>
      <c r="C3078" s="1" t="s">
        <v>1575</v>
      </c>
      <c r="D3078" s="1" t="s">
        <v>1580</v>
      </c>
      <c r="E3078" s="1" t="s">
        <v>1593</v>
      </c>
      <c r="F3078" s="1" t="s">
        <v>545</v>
      </c>
      <c r="G3078" s="4">
        <v>0.45</v>
      </c>
      <c r="H3078" s="28">
        <v>39813</v>
      </c>
      <c r="I3078" s="29">
        <f t="shared" si="2874"/>
        <v>2008</v>
      </c>
      <c r="J3078" s="1" t="s">
        <v>3357</v>
      </c>
      <c r="K3078" s="1" t="s">
        <v>7</v>
      </c>
      <c r="L3078" s="11" t="str">
        <f t="shared" ref="L3078" si="2967">IF(OR(A3078=J3078,A3078=K3078),"ДА","НЕТ")</f>
        <v>НЕТ</v>
      </c>
      <c r="M3078" s="10">
        <v>0</v>
      </c>
      <c r="N3078" s="10">
        <v>0</v>
      </c>
      <c r="O3078" s="10">
        <v>4.4999999999999999E-8</v>
      </c>
      <c r="P3078" s="10">
        <f t="shared" si="2964"/>
        <v>9.9999999999999995E-8</v>
      </c>
      <c r="Q3078" s="10" t="str">
        <f t="shared" si="2965"/>
        <v>NA</v>
      </c>
      <c r="R3078" s="10" t="s">
        <v>1575</v>
      </c>
      <c r="S3078" s="10" t="s">
        <v>1575</v>
      </c>
      <c r="T3078" s="10" t="s">
        <v>1575</v>
      </c>
      <c r="U3078" s="10" t="s">
        <v>1575</v>
      </c>
      <c r="V3078" s="10" t="s">
        <v>1575</v>
      </c>
      <c r="W3078" s="10" t="s">
        <v>1575</v>
      </c>
      <c r="X3078" s="10" t="str">
        <f t="shared" si="2916"/>
        <v>NA</v>
      </c>
      <c r="Y3078" s="10" t="str">
        <f t="shared" si="2917"/>
        <v>NA</v>
      </c>
      <c r="Z3078" s="10" t="str">
        <f t="shared" si="2918"/>
        <v>NA</v>
      </c>
      <c r="AA3078" s="10" t="str">
        <f t="shared" si="2919"/>
        <v>NA</v>
      </c>
      <c r="AB3078" s="10" t="str">
        <f t="shared" si="2920"/>
        <v>NA</v>
      </c>
      <c r="AC3078" s="10" t="str">
        <f t="shared" si="2921"/>
        <v>NA</v>
      </c>
      <c r="AD3078" s="10" t="str">
        <f t="shared" si="2922"/>
        <v>NA</v>
      </c>
      <c r="AE3078" s="10" t="str">
        <f t="shared" si="2923"/>
        <v>NA</v>
      </c>
      <c r="AF3078" s="1" t="s">
        <v>3418</v>
      </c>
    </row>
    <row r="3079" spans="1:32" x14ac:dyDescent="0.2">
      <c r="A3079" s="1" t="s">
        <v>6786</v>
      </c>
      <c r="B3079" s="1" t="s">
        <v>5</v>
      </c>
      <c r="C3079" s="1" t="s">
        <v>1575</v>
      </c>
      <c r="D3079" s="1" t="s">
        <v>1575</v>
      </c>
      <c r="E3079" s="1" t="s">
        <v>1575</v>
      </c>
      <c r="F3079" s="1" t="s">
        <v>3427</v>
      </c>
      <c r="G3079" s="4" t="s">
        <v>11</v>
      </c>
      <c r="H3079" s="28">
        <v>39447</v>
      </c>
      <c r="I3079" s="29">
        <f t="shared" si="2874"/>
        <v>2007</v>
      </c>
      <c r="J3079" s="1" t="s">
        <v>3357</v>
      </c>
      <c r="K3079" s="1" t="s">
        <v>7</v>
      </c>
      <c r="L3079" s="11" t="str">
        <f t="shared" ref="L3079" si="2968">IF(OR(A3079=J3079,A3079=K3079),"ДА","НЕТ")</f>
        <v>НЕТ</v>
      </c>
      <c r="M3079" s="10">
        <v>0</v>
      </c>
      <c r="N3079" s="10">
        <v>0</v>
      </c>
      <c r="O3079" s="10">
        <v>8.8059999999999992</v>
      </c>
      <c r="P3079" s="10" t="str">
        <f t="shared" si="2964"/>
        <v>NA</v>
      </c>
      <c r="Q3079" s="10" t="str">
        <f t="shared" si="2965"/>
        <v>NA</v>
      </c>
      <c r="R3079" s="10" t="s">
        <v>1575</v>
      </c>
      <c r="S3079" s="10" t="s">
        <v>1575</v>
      </c>
      <c r="T3079" s="10" t="s">
        <v>1575</v>
      </c>
      <c r="U3079" s="10" t="s">
        <v>1575</v>
      </c>
      <c r="V3079" s="10" t="s">
        <v>1575</v>
      </c>
      <c r="W3079" s="10" t="s">
        <v>1575</v>
      </c>
      <c r="X3079" s="10" t="str">
        <f t="shared" ref="X3079:X3142" si="2969">IFERROR(V3079+W3079,"NA")</f>
        <v>NA</v>
      </c>
      <c r="Y3079" s="10" t="str">
        <f t="shared" ref="Y3079:Y3142" si="2970">IFERROR(P3079/R3079,"NA")</f>
        <v>NA</v>
      </c>
      <c r="Z3079" s="10" t="str">
        <f t="shared" ref="Z3079:Z3142" si="2971">IFERROR(P3079/U3079,"NA")</f>
        <v>NA</v>
      </c>
      <c r="AA3079" s="10" t="str">
        <f t="shared" ref="AA3079:AA3142" si="2972">IFERROR(P3079/V3079,"NA")</f>
        <v>NA</v>
      </c>
      <c r="AB3079" s="10" t="str">
        <f t="shared" ref="AB3079:AB3142" si="2973">IFERROR(Q3079/R3079,"NA")</f>
        <v>NA</v>
      </c>
      <c r="AC3079" s="10" t="str">
        <f t="shared" ref="AC3079:AC3142" si="2974">IFERROR(Q3079/S3079,"NA")</f>
        <v>NA</v>
      </c>
      <c r="AD3079" s="10" t="str">
        <f t="shared" ref="AD3079:AD3142" si="2975">IFERROR(Q3079/T3079,"NA")</f>
        <v>NA</v>
      </c>
      <c r="AE3079" s="10" t="str">
        <f t="shared" ref="AE3079:AE3142" si="2976">IFERROR(Q3079/X3079,"NA")</f>
        <v>NA</v>
      </c>
      <c r="AF3079" s="1" t="s">
        <v>3426</v>
      </c>
    </row>
    <row r="3080" spans="1:32" x14ac:dyDescent="0.2">
      <c r="A3080" s="1" t="s">
        <v>3429</v>
      </c>
      <c r="B3080" s="1" t="s">
        <v>5</v>
      </c>
      <c r="C3080" s="1" t="s">
        <v>1575</v>
      </c>
      <c r="D3080" s="1" t="s">
        <v>1575</v>
      </c>
      <c r="E3080" s="1" t="s">
        <v>1575</v>
      </c>
      <c r="F3080" s="1" t="s">
        <v>1575</v>
      </c>
      <c r="G3080" s="4">
        <v>1</v>
      </c>
      <c r="H3080" s="28">
        <v>39447</v>
      </c>
      <c r="I3080" s="29">
        <f t="shared" si="2874"/>
        <v>2007</v>
      </c>
      <c r="J3080" s="1" t="s">
        <v>3357</v>
      </c>
      <c r="K3080" s="1" t="s">
        <v>7</v>
      </c>
      <c r="L3080" s="11" t="str">
        <f t="shared" ref="L3080" si="2977">IF(OR(A3080=J3080,A3080=K3080),"ДА","НЕТ")</f>
        <v>НЕТ</v>
      </c>
      <c r="M3080" s="10">
        <v>0</v>
      </c>
      <c r="N3080" s="10">
        <v>0</v>
      </c>
      <c r="O3080" s="10">
        <v>1.3</v>
      </c>
      <c r="P3080" s="10">
        <f t="shared" si="2964"/>
        <v>1.3</v>
      </c>
      <c r="Q3080" s="10" t="str">
        <f t="shared" si="2965"/>
        <v>NA</v>
      </c>
      <c r="R3080" s="10" t="s">
        <v>1575</v>
      </c>
      <c r="S3080" s="10" t="s">
        <v>1575</v>
      </c>
      <c r="T3080" s="10" t="s">
        <v>1575</v>
      </c>
      <c r="U3080" s="10" t="s">
        <v>1575</v>
      </c>
      <c r="V3080" s="10">
        <v>1.107</v>
      </c>
      <c r="W3080" s="10" t="s">
        <v>1575</v>
      </c>
      <c r="X3080" s="10" t="str">
        <f t="shared" si="2969"/>
        <v>NA</v>
      </c>
      <c r="Y3080" s="10" t="str">
        <f t="shared" si="2970"/>
        <v>NA</v>
      </c>
      <c r="Z3080" s="10" t="str">
        <f t="shared" si="2971"/>
        <v>NA</v>
      </c>
      <c r="AA3080" s="10">
        <f t="shared" si="2972"/>
        <v>1.1743450767841013</v>
      </c>
      <c r="AB3080" s="10" t="str">
        <f t="shared" si="2973"/>
        <v>NA</v>
      </c>
      <c r="AC3080" s="10" t="str">
        <f t="shared" si="2974"/>
        <v>NA</v>
      </c>
      <c r="AD3080" s="10" t="str">
        <f t="shared" si="2975"/>
        <v>NA</v>
      </c>
      <c r="AE3080" s="10" t="str">
        <f t="shared" si="2976"/>
        <v>NA</v>
      </c>
      <c r="AF3080" s="1" t="s">
        <v>3428</v>
      </c>
    </row>
    <row r="3081" spans="1:32" x14ac:dyDescent="0.2">
      <c r="A3081" s="1" t="s">
        <v>6787</v>
      </c>
      <c r="B3081" s="1" t="s">
        <v>5</v>
      </c>
      <c r="C3081" s="1" t="s">
        <v>1575</v>
      </c>
      <c r="D3081" s="1" t="s">
        <v>1615</v>
      </c>
      <c r="E3081" s="1" t="s">
        <v>1616</v>
      </c>
      <c r="F3081" s="1" t="s">
        <v>3755</v>
      </c>
      <c r="G3081" s="4">
        <v>0.99996799999999997</v>
      </c>
      <c r="H3081" s="28">
        <v>43830</v>
      </c>
      <c r="I3081" s="29">
        <f t="shared" si="2874"/>
        <v>2019</v>
      </c>
      <c r="J3081" s="1" t="s">
        <v>6788</v>
      </c>
      <c r="K3081" s="1" t="s">
        <v>3749</v>
      </c>
      <c r="L3081" s="11" t="str">
        <f t="shared" ref="L3081:L3082" si="2978">IF(OR(A3081=J3081,A3081=K3081),"ДА","НЕТ")</f>
        <v>НЕТ</v>
      </c>
      <c r="M3081" s="10">
        <v>0</v>
      </c>
      <c r="N3081" s="10">
        <v>0</v>
      </c>
      <c r="O3081" s="10">
        <v>35.758000000000003</v>
      </c>
      <c r="P3081" s="10">
        <f t="shared" si="2964"/>
        <v>35.759144292617364</v>
      </c>
      <c r="Q3081" s="10">
        <f t="shared" si="2965"/>
        <v>35.144144292617362</v>
      </c>
      <c r="R3081" s="10" t="s">
        <v>1575</v>
      </c>
      <c r="S3081" s="10" t="s">
        <v>1575</v>
      </c>
      <c r="T3081" s="10" t="s">
        <v>1575</v>
      </c>
      <c r="U3081" s="10" t="s">
        <v>1575</v>
      </c>
      <c r="V3081" s="10">
        <v>6.7240000000000002</v>
      </c>
      <c r="W3081" s="10">
        <f>0-0.615</f>
        <v>-0.61499999999999999</v>
      </c>
      <c r="X3081" s="10">
        <f t="shared" si="2969"/>
        <v>6.109</v>
      </c>
      <c r="Y3081" s="10" t="str">
        <f t="shared" si="2970"/>
        <v>NA</v>
      </c>
      <c r="Z3081" s="10" t="str">
        <f t="shared" si="2971"/>
        <v>NA</v>
      </c>
      <c r="AA3081" s="10">
        <f t="shared" si="2972"/>
        <v>5.3181356770698045</v>
      </c>
      <c r="AB3081" s="10" t="str">
        <f t="shared" si="2973"/>
        <v>NA</v>
      </c>
      <c r="AC3081" s="10" t="str">
        <f t="shared" si="2974"/>
        <v>NA</v>
      </c>
      <c r="AD3081" s="10" t="str">
        <f t="shared" si="2975"/>
        <v>NA</v>
      </c>
      <c r="AE3081" s="10">
        <f t="shared" si="2976"/>
        <v>5.7528473224124017</v>
      </c>
      <c r="AF3081" s="1" t="s">
        <v>3750</v>
      </c>
    </row>
    <row r="3082" spans="1:32" x14ac:dyDescent="0.2">
      <c r="A3082" s="1" t="s">
        <v>6789</v>
      </c>
      <c r="B3082" s="1" t="s">
        <v>5</v>
      </c>
      <c r="C3082" s="1" t="s">
        <v>1575</v>
      </c>
      <c r="D3082" s="1" t="s">
        <v>1580</v>
      </c>
      <c r="E3082" s="1" t="s">
        <v>1593</v>
      </c>
      <c r="F3082" s="1" t="s">
        <v>545</v>
      </c>
      <c r="G3082" s="4">
        <v>1</v>
      </c>
      <c r="H3082" s="28">
        <v>42842</v>
      </c>
      <c r="I3082" s="29">
        <f t="shared" si="2874"/>
        <v>2017</v>
      </c>
      <c r="J3082" s="1" t="s">
        <v>3749</v>
      </c>
      <c r="K3082" s="1" t="s">
        <v>7</v>
      </c>
      <c r="L3082" s="11" t="str">
        <f t="shared" si="2978"/>
        <v>НЕТ</v>
      </c>
      <c r="M3082" s="10">
        <v>0</v>
      </c>
      <c r="N3082" s="10">
        <v>0</v>
      </c>
      <c r="O3082" s="10">
        <v>1.591</v>
      </c>
      <c r="P3082" s="10">
        <f t="shared" si="2964"/>
        <v>1.591</v>
      </c>
      <c r="Q3082" s="10" t="str">
        <f t="shared" si="2965"/>
        <v>NA</v>
      </c>
      <c r="R3082" s="10" t="s">
        <v>1575</v>
      </c>
      <c r="S3082" s="10" t="s">
        <v>1575</v>
      </c>
      <c r="T3082" s="10" t="s">
        <v>1575</v>
      </c>
      <c r="U3082" s="10" t="s">
        <v>1575</v>
      </c>
      <c r="V3082" s="10" t="s">
        <v>1575</v>
      </c>
      <c r="W3082" s="10" t="s">
        <v>1575</v>
      </c>
      <c r="X3082" s="10" t="str">
        <f t="shared" si="2969"/>
        <v>NA</v>
      </c>
      <c r="Y3082" s="10" t="str">
        <f t="shared" si="2970"/>
        <v>NA</v>
      </c>
      <c r="Z3082" s="10" t="str">
        <f t="shared" si="2971"/>
        <v>NA</v>
      </c>
      <c r="AA3082" s="10" t="str">
        <f t="shared" si="2972"/>
        <v>NA</v>
      </c>
      <c r="AB3082" s="10" t="str">
        <f t="shared" si="2973"/>
        <v>NA</v>
      </c>
      <c r="AC3082" s="10" t="str">
        <f t="shared" si="2974"/>
        <v>NA</v>
      </c>
      <c r="AD3082" s="10" t="str">
        <f t="shared" si="2975"/>
        <v>NA</v>
      </c>
      <c r="AE3082" s="10" t="str">
        <f t="shared" si="2976"/>
        <v>NA</v>
      </c>
      <c r="AF3082" s="1" t="s">
        <v>3754</v>
      </c>
    </row>
    <row r="3083" spans="1:32" x14ac:dyDescent="0.2">
      <c r="A3083" s="1" t="s">
        <v>3751</v>
      </c>
      <c r="B3083" s="1" t="s">
        <v>5</v>
      </c>
      <c r="C3083" s="1" t="s">
        <v>1575</v>
      </c>
      <c r="D3083" s="1" t="s">
        <v>1615</v>
      </c>
      <c r="E3083" s="1" t="s">
        <v>1616</v>
      </c>
      <c r="F3083" s="1" t="s">
        <v>3756</v>
      </c>
      <c r="G3083" s="4">
        <v>2.81E-2</v>
      </c>
      <c r="H3083" s="28">
        <v>42755</v>
      </c>
      <c r="I3083" s="29">
        <f t="shared" si="2874"/>
        <v>2017</v>
      </c>
      <c r="J3083" s="1" t="s">
        <v>3749</v>
      </c>
      <c r="K3083" s="1" t="s">
        <v>7</v>
      </c>
      <c r="L3083" s="11" t="str">
        <f t="shared" ref="L3083:L3084" si="2979">IF(OR(A3083=J3083,A3083=K3083),"ДА","НЕТ")</f>
        <v>НЕТ</v>
      </c>
      <c r="M3083" s="10">
        <v>0</v>
      </c>
      <c r="N3083" s="10">
        <v>0</v>
      </c>
      <c r="O3083" s="10">
        <v>0.14799999999999999</v>
      </c>
      <c r="P3083" s="10">
        <f t="shared" si="2964"/>
        <v>5.2669039145907472</v>
      </c>
      <c r="Q3083" s="10" t="str">
        <f t="shared" si="2965"/>
        <v>NA</v>
      </c>
      <c r="R3083" s="10" t="s">
        <v>1575</v>
      </c>
      <c r="S3083" s="10" t="s">
        <v>1575</v>
      </c>
      <c r="T3083" s="10" t="s">
        <v>1575</v>
      </c>
      <c r="U3083" s="10" t="s">
        <v>1575</v>
      </c>
      <c r="V3083" s="10">
        <v>2.452</v>
      </c>
      <c r="W3083" s="10" t="s">
        <v>1575</v>
      </c>
      <c r="X3083" s="10" t="str">
        <f t="shared" si="2969"/>
        <v>NA</v>
      </c>
      <c r="Y3083" s="10" t="str">
        <f t="shared" si="2970"/>
        <v>NA</v>
      </c>
      <c r="Z3083" s="10" t="str">
        <f t="shared" si="2971"/>
        <v>NA</v>
      </c>
      <c r="AA3083" s="10">
        <f t="shared" si="2972"/>
        <v>2.1480032278102557</v>
      </c>
      <c r="AB3083" s="10" t="str">
        <f t="shared" si="2973"/>
        <v>NA</v>
      </c>
      <c r="AC3083" s="10" t="str">
        <f t="shared" si="2974"/>
        <v>NA</v>
      </c>
      <c r="AD3083" s="10" t="str">
        <f t="shared" si="2975"/>
        <v>NA</v>
      </c>
      <c r="AE3083" s="10" t="str">
        <f t="shared" si="2976"/>
        <v>NA</v>
      </c>
      <c r="AF3083" s="1" t="s">
        <v>3752</v>
      </c>
    </row>
    <row r="3084" spans="1:32" x14ac:dyDescent="0.2">
      <c r="A3084" s="1" t="s">
        <v>3751</v>
      </c>
      <c r="B3084" s="1" t="s">
        <v>5</v>
      </c>
      <c r="C3084" s="1" t="s">
        <v>1575</v>
      </c>
      <c r="D3084" s="1" t="s">
        <v>1615</v>
      </c>
      <c r="E3084" s="1" t="s">
        <v>1616</v>
      </c>
      <c r="F3084" s="1" t="s">
        <v>3756</v>
      </c>
      <c r="G3084" s="4">
        <v>0.30270000000000002</v>
      </c>
      <c r="H3084" s="28">
        <v>42582</v>
      </c>
      <c r="I3084" s="29">
        <f t="shared" ref="I3084:I3115" si="2980">YEAR(H3084)</f>
        <v>2016</v>
      </c>
      <c r="J3084" s="1" t="s">
        <v>3749</v>
      </c>
      <c r="K3084" s="1" t="s">
        <v>7</v>
      </c>
      <c r="L3084" s="11" t="str">
        <f t="shared" si="2979"/>
        <v>НЕТ</v>
      </c>
      <c r="M3084" s="10">
        <v>0</v>
      </c>
      <c r="N3084" s="10">
        <v>0</v>
      </c>
      <c r="O3084" s="10">
        <v>1.101</v>
      </c>
      <c r="P3084" s="10">
        <f t="shared" si="2964"/>
        <v>3.6372646184340929</v>
      </c>
      <c r="Q3084" s="10" t="str">
        <f t="shared" si="2965"/>
        <v>NA</v>
      </c>
      <c r="R3084" s="10" t="s">
        <v>1575</v>
      </c>
      <c r="S3084" s="10" t="s">
        <v>1575</v>
      </c>
      <c r="T3084" s="10" t="s">
        <v>1575</v>
      </c>
      <c r="U3084" s="10" t="s">
        <v>1575</v>
      </c>
      <c r="V3084" s="10">
        <v>2.0259999999999998</v>
      </c>
      <c r="W3084" s="10" t="s">
        <v>1575</v>
      </c>
      <c r="X3084" s="10" t="str">
        <f t="shared" si="2969"/>
        <v>NA</v>
      </c>
      <c r="Y3084" s="10" t="str">
        <f t="shared" si="2970"/>
        <v>NA</v>
      </c>
      <c r="Z3084" s="10" t="str">
        <f t="shared" si="2971"/>
        <v>NA</v>
      </c>
      <c r="AA3084" s="10">
        <f t="shared" si="2972"/>
        <v>1.7952934937976768</v>
      </c>
      <c r="AB3084" s="10" t="str">
        <f t="shared" si="2973"/>
        <v>NA</v>
      </c>
      <c r="AC3084" s="10" t="str">
        <f t="shared" si="2974"/>
        <v>NA</v>
      </c>
      <c r="AD3084" s="10" t="str">
        <f t="shared" si="2975"/>
        <v>NA</v>
      </c>
      <c r="AE3084" s="10" t="str">
        <f t="shared" si="2976"/>
        <v>NA</v>
      </c>
      <c r="AF3084" s="1" t="s">
        <v>3753</v>
      </c>
    </row>
    <row r="3085" spans="1:32" x14ac:dyDescent="0.2">
      <c r="A3085" s="1" t="s">
        <v>3749</v>
      </c>
      <c r="B3085" s="1" t="s">
        <v>5</v>
      </c>
      <c r="C3085" s="1" t="s">
        <v>3758</v>
      </c>
      <c r="D3085" s="1" t="s">
        <v>1615</v>
      </c>
      <c r="E3085" s="1" t="s">
        <v>1616</v>
      </c>
      <c r="F3085" s="1" t="s">
        <v>3755</v>
      </c>
      <c r="G3085" s="4">
        <f>1417475/19259815400</f>
        <v>7.3597538219395396E-5</v>
      </c>
      <c r="H3085" s="28">
        <v>43374</v>
      </c>
      <c r="I3085" s="29">
        <f t="shared" si="2980"/>
        <v>2018</v>
      </c>
      <c r="J3085" s="1" t="s">
        <v>6790</v>
      </c>
      <c r="K3085" s="1" t="s">
        <v>3749</v>
      </c>
      <c r="L3085" s="11" t="str">
        <f t="shared" ref="L3085" si="2981">IF(OR(A3085=J3085,A3085=K3085),"ДА","НЕТ")</f>
        <v>ДА</v>
      </c>
      <c r="M3085" s="10">
        <v>0</v>
      </c>
      <c r="N3085" s="10">
        <v>0</v>
      </c>
      <c r="O3085" s="10">
        <v>0.01</v>
      </c>
      <c r="P3085" s="10">
        <f t="shared" si="2964"/>
        <v>135.87410994902908</v>
      </c>
      <c r="Q3085" s="10">
        <f t="shared" si="2965"/>
        <v>204.94510994902907</v>
      </c>
      <c r="R3085" s="10">
        <v>52.508000000000003</v>
      </c>
      <c r="S3085" s="10">
        <v>37.699999999999996</v>
      </c>
      <c r="T3085" s="10">
        <v>33.409999999999997</v>
      </c>
      <c r="U3085" s="10">
        <v>27.544</v>
      </c>
      <c r="V3085" s="10">
        <v>48.546999999999997</v>
      </c>
      <c r="W3085" s="10">
        <v>69.070999999999984</v>
      </c>
      <c r="X3085" s="10">
        <f t="shared" si="2969"/>
        <v>117.61799999999998</v>
      </c>
      <c r="Y3085" s="10">
        <f t="shared" si="2970"/>
        <v>2.5876839709954496</v>
      </c>
      <c r="Z3085" s="10">
        <f t="shared" si="2971"/>
        <v>4.9329839510974827</v>
      </c>
      <c r="AA3085" s="10">
        <f t="shared" si="2972"/>
        <v>2.7988157857134133</v>
      </c>
      <c r="AB3085" s="10">
        <f t="shared" si="2973"/>
        <v>3.9031216185920061</v>
      </c>
      <c r="AC3085" s="10">
        <f t="shared" si="2974"/>
        <v>5.4362098129715939</v>
      </c>
      <c r="AD3085" s="10">
        <f t="shared" si="2975"/>
        <v>6.1342445360379854</v>
      </c>
      <c r="AE3085" s="10">
        <f t="shared" si="2976"/>
        <v>1.7424638231310607</v>
      </c>
      <c r="AF3085" s="1" t="s">
        <v>3759</v>
      </c>
    </row>
    <row r="3086" spans="1:32" x14ac:dyDescent="0.2">
      <c r="A3086" s="1" t="s">
        <v>3749</v>
      </c>
      <c r="B3086" s="1" t="s">
        <v>5</v>
      </c>
      <c r="C3086" s="1" t="s">
        <v>3758</v>
      </c>
      <c r="D3086" s="1" t="s">
        <v>1615</v>
      </c>
      <c r="E3086" s="1" t="s">
        <v>1616</v>
      </c>
      <c r="F3086" s="1" t="s">
        <v>3755</v>
      </c>
      <c r="G3086" s="4">
        <f>1300000/19259815400</f>
        <v>6.7498050889937402E-5</v>
      </c>
      <c r="H3086" s="28">
        <v>42639</v>
      </c>
      <c r="I3086" s="29">
        <f t="shared" si="2980"/>
        <v>2016</v>
      </c>
      <c r="J3086" s="1" t="s">
        <v>3761</v>
      </c>
      <c r="K3086" s="1" t="s">
        <v>3749</v>
      </c>
      <c r="L3086" s="11" t="str">
        <f t="shared" ref="L3086:L3088" si="2982">IF(OR(A3086=J3086,A3086=K3086),"ДА","НЕТ")</f>
        <v>ДА</v>
      </c>
      <c r="M3086" s="10">
        <v>0</v>
      </c>
      <c r="N3086" s="10">
        <v>0</v>
      </c>
      <c r="O3086" s="10">
        <v>8.0000000000000002E-3</v>
      </c>
      <c r="P3086" s="10">
        <f t="shared" si="2964"/>
        <v>118.52194092307691</v>
      </c>
      <c r="Q3086" s="10">
        <f t="shared" si="2965"/>
        <v>227.87794092307692</v>
      </c>
      <c r="R3086" s="10">
        <v>53.472000000000001</v>
      </c>
      <c r="S3086" s="10">
        <v>21.142000000000003</v>
      </c>
      <c r="T3086" s="10">
        <v>17.850000000000001</v>
      </c>
      <c r="U3086" s="10">
        <v>-5.0860000000000003</v>
      </c>
      <c r="V3086" s="10">
        <v>6.7610000000000001</v>
      </c>
      <c r="W3086" s="10">
        <v>109.35600000000001</v>
      </c>
      <c r="X3086" s="10">
        <f t="shared" si="2969"/>
        <v>116.117</v>
      </c>
      <c r="Y3086" s="10">
        <f t="shared" si="2970"/>
        <v>2.2165234313860882</v>
      </c>
      <c r="Z3086" s="10">
        <f t="shared" si="2971"/>
        <v>-23.303566835052479</v>
      </c>
      <c r="AA3086" s="10">
        <f t="shared" si="2972"/>
        <v>17.530238266983716</v>
      </c>
      <c r="AB3086" s="10">
        <f t="shared" si="2973"/>
        <v>4.2616311513142753</v>
      </c>
      <c r="AC3086" s="10">
        <f t="shared" si="2974"/>
        <v>10.778447683429992</v>
      </c>
      <c r="AD3086" s="10">
        <f t="shared" si="2975"/>
        <v>12.766271200172376</v>
      </c>
      <c r="AE3086" s="10">
        <f t="shared" si="2976"/>
        <v>1.9624856043738377</v>
      </c>
      <c r="AF3086" s="1" t="s">
        <v>3762</v>
      </c>
    </row>
    <row r="3087" spans="1:32" x14ac:dyDescent="0.2">
      <c r="A3087" s="1" t="s">
        <v>3749</v>
      </c>
      <c r="B3087" s="1" t="s">
        <v>5</v>
      </c>
      <c r="C3087" s="1" t="s">
        <v>3758</v>
      </c>
      <c r="D3087" s="1" t="s">
        <v>1615</v>
      </c>
      <c r="E3087" s="1" t="s">
        <v>1616</v>
      </c>
      <c r="F3087" s="1" t="s">
        <v>3755</v>
      </c>
      <c r="G3087" s="4">
        <f>262912311/19259815400</f>
        <v>1.3650821959591575E-2</v>
      </c>
      <c r="H3087" s="28">
        <v>42647</v>
      </c>
      <c r="I3087" s="29">
        <f t="shared" si="2980"/>
        <v>2016</v>
      </c>
      <c r="J3087" s="1" t="s">
        <v>3749</v>
      </c>
      <c r="K3087" s="1" t="s">
        <v>7</v>
      </c>
      <c r="L3087" s="11" t="str">
        <f t="shared" si="2982"/>
        <v>ДА</v>
      </c>
      <c r="M3087" s="10">
        <v>0</v>
      </c>
      <c r="N3087" s="10">
        <v>0</v>
      </c>
      <c r="O3087" s="10">
        <v>2.161</v>
      </c>
      <c r="P3087" s="10">
        <f t="shared" si="2964"/>
        <v>158.30548566209973</v>
      </c>
      <c r="Q3087" s="10">
        <f t="shared" si="2965"/>
        <v>267.66148566209972</v>
      </c>
      <c r="R3087" s="10">
        <v>53.472000000000001</v>
      </c>
      <c r="S3087" s="10">
        <v>21.142000000000003</v>
      </c>
      <c r="T3087" s="10">
        <v>17.850000000000001</v>
      </c>
      <c r="U3087" s="10">
        <v>-5.0860000000000003</v>
      </c>
      <c r="V3087" s="10">
        <v>6.7610000000000001</v>
      </c>
      <c r="W3087" s="10">
        <v>109.35600000000001</v>
      </c>
      <c r="X3087" s="10">
        <f t="shared" si="2969"/>
        <v>116.117</v>
      </c>
      <c r="Y3087" s="10">
        <f t="shared" si="2970"/>
        <v>2.9605304769243665</v>
      </c>
      <c r="Z3087" s="10">
        <f t="shared" si="2971"/>
        <v>-31.125734499036515</v>
      </c>
      <c r="AA3087" s="10">
        <f t="shared" si="2972"/>
        <v>23.414507567238534</v>
      </c>
      <c r="AB3087" s="10">
        <f t="shared" si="2973"/>
        <v>5.0056381968525532</v>
      </c>
      <c r="AC3087" s="10">
        <f t="shared" si="2974"/>
        <v>12.660178112860642</v>
      </c>
      <c r="AD3087" s="10">
        <f t="shared" si="2975"/>
        <v>14.995041213563008</v>
      </c>
      <c r="AE3087" s="10">
        <f t="shared" si="2976"/>
        <v>2.3051016273422471</v>
      </c>
      <c r="AF3087" s="1" t="s">
        <v>3763</v>
      </c>
    </row>
    <row r="3088" spans="1:32" x14ac:dyDescent="0.2">
      <c r="A3088" s="1" t="s">
        <v>6791</v>
      </c>
      <c r="B3088" s="1" t="s">
        <v>5</v>
      </c>
      <c r="C3088" s="1" t="s">
        <v>1575</v>
      </c>
      <c r="D3088" s="1" t="s">
        <v>1615</v>
      </c>
      <c r="E3088" s="1" t="s">
        <v>1616</v>
      </c>
      <c r="F3088" s="1" t="s">
        <v>3755</v>
      </c>
      <c r="G3088" s="4">
        <v>9.7999999999999997E-5</v>
      </c>
      <c r="H3088" s="28">
        <v>41639</v>
      </c>
      <c r="I3088" s="29">
        <f t="shared" ref="I3088" si="2983">YEAR(H3088)</f>
        <v>2013</v>
      </c>
      <c r="J3088" s="1" t="s">
        <v>3749</v>
      </c>
      <c r="K3088" s="1" t="s">
        <v>7</v>
      </c>
      <c r="L3088" s="11" t="str">
        <f t="shared" si="2982"/>
        <v>НЕТ</v>
      </c>
      <c r="M3088" s="10">
        <v>0</v>
      </c>
      <c r="N3088" s="10">
        <v>0</v>
      </c>
      <c r="O3088" s="10">
        <v>0.9</v>
      </c>
      <c r="P3088" s="10">
        <f t="shared" si="2964"/>
        <v>9183.6734693877552</v>
      </c>
      <c r="Q3088" s="10" t="str">
        <f t="shared" si="2965"/>
        <v>NA</v>
      </c>
      <c r="R3088" s="10" t="s">
        <v>1575</v>
      </c>
      <c r="S3088" s="10" t="s">
        <v>1575</v>
      </c>
      <c r="T3088" s="10" t="s">
        <v>1575</v>
      </c>
      <c r="U3088" s="10" t="s">
        <v>1575</v>
      </c>
      <c r="V3088" s="10">
        <v>2.5764309999999999</v>
      </c>
      <c r="W3088" s="10" t="s">
        <v>1575</v>
      </c>
      <c r="X3088" s="10" t="str">
        <f t="shared" si="2969"/>
        <v>NA</v>
      </c>
      <c r="Y3088" s="10" t="str">
        <f t="shared" si="2970"/>
        <v>NA</v>
      </c>
      <c r="Z3088" s="10" t="str">
        <f t="shared" si="2971"/>
        <v>NA</v>
      </c>
      <c r="AA3088" s="10">
        <f t="shared" si="2972"/>
        <v>3564.4942439319179</v>
      </c>
      <c r="AB3088" s="10" t="str">
        <f t="shared" si="2973"/>
        <v>NA</v>
      </c>
      <c r="AC3088" s="10" t="str">
        <f t="shared" si="2974"/>
        <v>NA</v>
      </c>
      <c r="AD3088" s="10" t="str">
        <f t="shared" si="2975"/>
        <v>NA</v>
      </c>
      <c r="AE3088" s="10" t="str">
        <f t="shared" si="2976"/>
        <v>NA</v>
      </c>
      <c r="AF3088" s="1" t="s">
        <v>3757</v>
      </c>
    </row>
    <row r="3089" spans="1:32" x14ac:dyDescent="0.2">
      <c r="A3089" s="1" t="s">
        <v>3749</v>
      </c>
      <c r="B3089" s="1" t="s">
        <v>5</v>
      </c>
      <c r="C3089" s="1" t="s">
        <v>3758</v>
      </c>
      <c r="D3089" s="1" t="s">
        <v>1615</v>
      </c>
      <c r="E3089" s="1" t="s">
        <v>1616</v>
      </c>
      <c r="F3089" s="1" t="s">
        <v>3755</v>
      </c>
      <c r="G3089" s="4">
        <f>516686496/19259815400</f>
        <v>2.6827178000885719E-2</v>
      </c>
      <c r="H3089" s="28">
        <v>40603</v>
      </c>
      <c r="I3089" s="29">
        <f t="shared" si="2980"/>
        <v>2011</v>
      </c>
      <c r="J3089" s="1" t="s">
        <v>3749</v>
      </c>
      <c r="K3089" s="1" t="s">
        <v>7</v>
      </c>
      <c r="L3089" s="11" t="str">
        <f t="shared" ref="L3089:L3090" si="2984">IF(OR(A3089=J3089,A3089=K3089),"ДА","НЕТ")</f>
        <v>ДА</v>
      </c>
      <c r="M3089" s="10">
        <v>0</v>
      </c>
      <c r="N3089" s="10">
        <v>0</v>
      </c>
      <c r="O3089" s="10">
        <v>2.5317639999999999</v>
      </c>
      <c r="P3089" s="10">
        <f t="shared" si="2964"/>
        <v>94.373101781947099</v>
      </c>
      <c r="Q3089" s="10">
        <f t="shared" si="2965"/>
        <v>94.692865416747097</v>
      </c>
      <c r="R3089" s="10" t="s">
        <v>1575</v>
      </c>
      <c r="S3089" s="10" t="s">
        <v>1575</v>
      </c>
      <c r="T3089" s="10" t="s">
        <v>1575</v>
      </c>
      <c r="U3089" s="10" t="s">
        <v>1575</v>
      </c>
      <c r="V3089" s="10">
        <v>30.150736216200002</v>
      </c>
      <c r="W3089" s="10">
        <v>0.31976363479999992</v>
      </c>
      <c r="X3089" s="10">
        <f t="shared" si="2969"/>
        <v>30.470499851000003</v>
      </c>
      <c r="Y3089" s="10" t="str">
        <f t="shared" si="2970"/>
        <v>NA</v>
      </c>
      <c r="Z3089" s="10" t="str">
        <f t="shared" si="2971"/>
        <v>NA</v>
      </c>
      <c r="AA3089" s="10">
        <f t="shared" si="2972"/>
        <v>3.1300430312955476</v>
      </c>
      <c r="AB3089" s="10" t="str">
        <f t="shared" si="2973"/>
        <v>NA</v>
      </c>
      <c r="AC3089" s="10" t="str">
        <f t="shared" si="2974"/>
        <v>NA</v>
      </c>
      <c r="AD3089" s="10" t="str">
        <f t="shared" si="2975"/>
        <v>NA</v>
      </c>
      <c r="AE3089" s="10">
        <f t="shared" si="2976"/>
        <v>3.1076899256590109</v>
      </c>
      <c r="AF3089" s="1" t="s">
        <v>3760</v>
      </c>
    </row>
    <row r="3090" spans="1:32" x14ac:dyDescent="0.2">
      <c r="A3090" s="1" t="s">
        <v>6792</v>
      </c>
      <c r="B3090" s="1" t="s">
        <v>5</v>
      </c>
      <c r="C3090" s="1" t="s">
        <v>1575</v>
      </c>
      <c r="D3090" s="1" t="s">
        <v>1615</v>
      </c>
      <c r="E3090" s="1" t="s">
        <v>1616</v>
      </c>
      <c r="F3090" s="1" t="s">
        <v>1172</v>
      </c>
      <c r="G3090" s="4">
        <v>1</v>
      </c>
      <c r="H3090" s="28">
        <v>40564</v>
      </c>
      <c r="I3090" s="29">
        <f t="shared" si="2980"/>
        <v>2011</v>
      </c>
      <c r="J3090" s="1" t="s">
        <v>3749</v>
      </c>
      <c r="K3090" s="1" t="s">
        <v>3747</v>
      </c>
      <c r="L3090" s="11" t="str">
        <f t="shared" si="2984"/>
        <v>НЕТ</v>
      </c>
      <c r="M3090" s="10">
        <v>2.153</v>
      </c>
      <c r="N3090" s="10">
        <v>0</v>
      </c>
      <c r="O3090" s="10">
        <f>M3090*29.9147</f>
        <v>64.4063491</v>
      </c>
      <c r="P3090" s="10">
        <f t="shared" si="2964"/>
        <v>64.4063491</v>
      </c>
      <c r="Q3090" s="10">
        <f t="shared" si="2965"/>
        <v>82.104753146299998</v>
      </c>
      <c r="R3090" s="10">
        <f>0.24969*29.9147</f>
        <v>7.4694014429999998</v>
      </c>
      <c r="S3090" s="10" t="s">
        <v>1575</v>
      </c>
      <c r="T3090" s="10" t="s">
        <v>1575</v>
      </c>
      <c r="U3090" s="10" t="s">
        <v>1575</v>
      </c>
      <c r="V3090" s="10">
        <f>0.947194*29.9147</f>
        <v>28.335024351799998</v>
      </c>
      <c r="W3090" s="10">
        <f>(0.093232+0.26945+0.28137-0.052423)*29.9147</f>
        <v>17.698404046300002</v>
      </c>
      <c r="X3090" s="10">
        <f t="shared" si="2969"/>
        <v>46.0334283981</v>
      </c>
      <c r="Y3090" s="10">
        <f t="shared" si="2970"/>
        <v>8.6226921382514323</v>
      </c>
      <c r="Z3090" s="10" t="str">
        <f t="shared" si="2971"/>
        <v>NA</v>
      </c>
      <c r="AA3090" s="10">
        <f t="shared" si="2972"/>
        <v>2.2730296011165612</v>
      </c>
      <c r="AB3090" s="10">
        <f t="shared" si="2973"/>
        <v>10.992146261364091</v>
      </c>
      <c r="AC3090" s="10" t="str">
        <f t="shared" si="2974"/>
        <v>NA</v>
      </c>
      <c r="AD3090" s="10" t="str">
        <f t="shared" si="2975"/>
        <v>NA</v>
      </c>
      <c r="AE3090" s="10">
        <f t="shared" si="2976"/>
        <v>1.7835897955775291</v>
      </c>
      <c r="AF3090" s="1" t="s">
        <v>3748</v>
      </c>
    </row>
    <row r="3091" spans="1:32" x14ac:dyDescent="0.2">
      <c r="A3091" s="5" t="s">
        <v>3767</v>
      </c>
      <c r="B3091" s="1" t="s">
        <v>179</v>
      </c>
      <c r="C3091" s="1" t="s">
        <v>1575</v>
      </c>
      <c r="D3091" s="1" t="s">
        <v>1580</v>
      </c>
      <c r="E3091" s="1" t="s">
        <v>1593</v>
      </c>
      <c r="F3091" s="1" t="s">
        <v>545</v>
      </c>
      <c r="G3091" s="4">
        <v>1</v>
      </c>
      <c r="H3091" s="28">
        <v>45199</v>
      </c>
      <c r="I3091" s="29">
        <f t="shared" si="2980"/>
        <v>2023</v>
      </c>
      <c r="J3091" s="1" t="s">
        <v>3768</v>
      </c>
      <c r="K3091" s="1" t="s">
        <v>7</v>
      </c>
      <c r="L3091" s="11" t="str">
        <f t="shared" ref="L3091" si="2985">IF(OR(A3091=J3091,A3091=K3091),"ДА","НЕТ")</f>
        <v>НЕТ</v>
      </c>
      <c r="M3091" s="10">
        <v>0</v>
      </c>
      <c r="N3091" s="10">
        <v>0</v>
      </c>
      <c r="O3091" s="10" t="s">
        <v>1575</v>
      </c>
      <c r="P3091" s="10" t="str">
        <f t="shared" si="2964"/>
        <v>NA</v>
      </c>
      <c r="Q3091" s="10" t="str">
        <f t="shared" si="2965"/>
        <v>NA</v>
      </c>
      <c r="R3091" s="10" t="s">
        <v>1575</v>
      </c>
      <c r="S3091" s="10" t="s">
        <v>1575</v>
      </c>
      <c r="T3091" s="10" t="s">
        <v>1575</v>
      </c>
      <c r="U3091" s="10" t="s">
        <v>1575</v>
      </c>
      <c r="V3091" s="10" t="s">
        <v>1575</v>
      </c>
      <c r="W3091" s="10" t="s">
        <v>1575</v>
      </c>
      <c r="X3091" s="10" t="str">
        <f t="shared" si="2969"/>
        <v>NA</v>
      </c>
      <c r="Y3091" s="10" t="str">
        <f t="shared" si="2970"/>
        <v>NA</v>
      </c>
      <c r="Z3091" s="10" t="str">
        <f t="shared" si="2971"/>
        <v>NA</v>
      </c>
      <c r="AA3091" s="10" t="str">
        <f t="shared" si="2972"/>
        <v>NA</v>
      </c>
      <c r="AB3091" s="10" t="str">
        <f t="shared" si="2973"/>
        <v>NA</v>
      </c>
      <c r="AC3091" s="10" t="str">
        <f t="shared" si="2974"/>
        <v>NA</v>
      </c>
      <c r="AD3091" s="10" t="str">
        <f t="shared" si="2975"/>
        <v>NA</v>
      </c>
      <c r="AE3091" s="10" t="str">
        <f t="shared" si="2976"/>
        <v>NA</v>
      </c>
      <c r="AF3091" s="1" t="s">
        <v>3766</v>
      </c>
    </row>
    <row r="3092" spans="1:32" x14ac:dyDescent="0.2">
      <c r="A3092" s="1" t="s">
        <v>3769</v>
      </c>
      <c r="B3092" s="1" t="s">
        <v>780</v>
      </c>
      <c r="C3092" s="1" t="s">
        <v>1575</v>
      </c>
      <c r="D3092" s="1" t="s">
        <v>1615</v>
      </c>
      <c r="E3092" s="1" t="s">
        <v>2176</v>
      </c>
      <c r="F3092" s="1" t="s">
        <v>3779</v>
      </c>
      <c r="G3092" s="4">
        <v>0.65249999999999997</v>
      </c>
      <c r="H3092" s="28">
        <v>44957</v>
      </c>
      <c r="I3092" s="29">
        <f t="shared" si="2980"/>
        <v>2023</v>
      </c>
      <c r="J3092" s="1" t="s">
        <v>7</v>
      </c>
      <c r="K3092" s="1" t="s">
        <v>3768</v>
      </c>
      <c r="L3092" s="11" t="str">
        <f t="shared" ref="L3092:L3093" si="2986">IF(OR(A3092=J3092,A3092=K3092),"ДА","НЕТ")</f>
        <v>НЕТ</v>
      </c>
      <c r="M3092" s="10">
        <v>0</v>
      </c>
      <c r="N3092" s="10">
        <v>65.3</v>
      </c>
      <c r="O3092" s="10">
        <v>4.9484269999999997</v>
      </c>
      <c r="P3092" s="10">
        <f t="shared" si="2964"/>
        <v>7.5837961685823752</v>
      </c>
      <c r="Q3092" s="10" t="str">
        <f t="shared" si="2965"/>
        <v>NA</v>
      </c>
      <c r="R3092" s="10">
        <v>1.7011529999999999</v>
      </c>
      <c r="S3092" s="10" t="s">
        <v>1575</v>
      </c>
      <c r="T3092" s="10" t="s">
        <v>1575</v>
      </c>
      <c r="U3092" s="10">
        <v>2.3707509999999998</v>
      </c>
      <c r="V3092" s="10">
        <v>6.1388949999999998</v>
      </c>
      <c r="W3092" s="10" t="s">
        <v>1575</v>
      </c>
      <c r="X3092" s="10" t="str">
        <f t="shared" si="2969"/>
        <v>NA</v>
      </c>
      <c r="Y3092" s="10">
        <f t="shared" si="2970"/>
        <v>4.4580329744487273</v>
      </c>
      <c r="Z3092" s="10">
        <f t="shared" si="2971"/>
        <v>3.1989003352028011</v>
      </c>
      <c r="AA3092" s="10">
        <f t="shared" si="2972"/>
        <v>1.2353682818458982</v>
      </c>
      <c r="AB3092" s="10" t="str">
        <f t="shared" si="2973"/>
        <v>NA</v>
      </c>
      <c r="AC3092" s="10" t="str">
        <f t="shared" si="2974"/>
        <v>NA</v>
      </c>
      <c r="AD3092" s="10" t="str">
        <f t="shared" si="2975"/>
        <v>NA</v>
      </c>
      <c r="AE3092" s="10" t="str">
        <f t="shared" si="2976"/>
        <v>NA</v>
      </c>
      <c r="AF3092" s="1" t="s">
        <v>3765</v>
      </c>
    </row>
    <row r="3093" spans="1:32" x14ac:dyDescent="0.2">
      <c r="A3093" s="1" t="s">
        <v>6793</v>
      </c>
      <c r="B3093" s="1" t="s">
        <v>5</v>
      </c>
      <c r="C3093" s="1" t="s">
        <v>1575</v>
      </c>
      <c r="D3093" s="1" t="s">
        <v>1615</v>
      </c>
      <c r="E3093" s="1" t="s">
        <v>2176</v>
      </c>
      <c r="F3093" s="1" t="s">
        <v>3771</v>
      </c>
      <c r="G3093" s="4">
        <v>0.4</v>
      </c>
      <c r="H3093" s="28">
        <v>44620</v>
      </c>
      <c r="I3093" s="29">
        <f t="shared" si="2980"/>
        <v>2022</v>
      </c>
      <c r="J3093" s="1" t="s">
        <v>3768</v>
      </c>
      <c r="K3093" s="1" t="s">
        <v>7</v>
      </c>
      <c r="L3093" s="11" t="str">
        <f t="shared" si="2986"/>
        <v>НЕТ</v>
      </c>
      <c r="M3093" s="10">
        <v>0</v>
      </c>
      <c r="N3093" s="10">
        <v>0</v>
      </c>
      <c r="O3093" s="10">
        <v>8.8000000000000007</v>
      </c>
      <c r="P3093" s="10">
        <f t="shared" si="2964"/>
        <v>22</v>
      </c>
      <c r="Q3093" s="10" t="str">
        <f t="shared" si="2965"/>
        <v>NA</v>
      </c>
      <c r="R3093" s="10">
        <v>26.932362999999999</v>
      </c>
      <c r="S3093" s="10" t="s">
        <v>1575</v>
      </c>
      <c r="T3093" s="10" t="s">
        <v>1575</v>
      </c>
      <c r="U3093" s="10">
        <v>5.0096920000000003</v>
      </c>
      <c r="V3093" s="10">
        <v>6.0445250000000001</v>
      </c>
      <c r="W3093" s="10" t="s">
        <v>1575</v>
      </c>
      <c r="X3093" s="10" t="str">
        <f t="shared" si="2969"/>
        <v>NA</v>
      </c>
      <c r="Y3093" s="10">
        <f t="shared" si="2970"/>
        <v>0.81686111240963155</v>
      </c>
      <c r="Z3093" s="10">
        <f t="shared" si="2971"/>
        <v>4.3914875405513953</v>
      </c>
      <c r="AA3093" s="10">
        <f t="shared" si="2972"/>
        <v>3.6396573758897515</v>
      </c>
      <c r="AB3093" s="10" t="str">
        <f t="shared" si="2973"/>
        <v>NA</v>
      </c>
      <c r="AC3093" s="10" t="str">
        <f t="shared" si="2974"/>
        <v>NA</v>
      </c>
      <c r="AD3093" s="10" t="str">
        <f t="shared" si="2975"/>
        <v>NA</v>
      </c>
      <c r="AE3093" s="10" t="str">
        <f t="shared" si="2976"/>
        <v>NA</v>
      </c>
      <c r="AF3093" s="1" t="s">
        <v>3764</v>
      </c>
    </row>
    <row r="3094" spans="1:32" x14ac:dyDescent="0.2">
      <c r="A3094" s="1" t="s">
        <v>3768</v>
      </c>
      <c r="B3094" s="1" t="s">
        <v>5</v>
      </c>
      <c r="C3094" s="1" t="s">
        <v>3774</v>
      </c>
      <c r="D3094" s="1" t="s">
        <v>1615</v>
      </c>
      <c r="E3094" s="1" t="s">
        <v>2176</v>
      </c>
      <c r="F3094" s="1" t="s">
        <v>3771</v>
      </c>
      <c r="G3094" s="4">
        <f>345780/178740916</f>
        <v>1.9345318785319418E-3</v>
      </c>
      <c r="H3094" s="28">
        <v>44742</v>
      </c>
      <c r="I3094" s="29">
        <f t="shared" ref="I3094:I3095" si="2987">YEAR(H3094)</f>
        <v>2022</v>
      </c>
      <c r="J3094" s="1" t="s">
        <v>3768</v>
      </c>
      <c r="K3094" s="1" t="s">
        <v>7</v>
      </c>
      <c r="L3094" s="11" t="str">
        <f t="shared" ref="L3094:L3096" si="2988">IF(OR(A3094=J3094,A3094=K3094),"ДА","НЕТ")</f>
        <v>ДА</v>
      </c>
      <c r="M3094" s="10">
        <v>0.83199999999999996</v>
      </c>
      <c r="N3094" s="10">
        <v>0</v>
      </c>
      <c r="O3094" s="10">
        <v>114.497</v>
      </c>
      <c r="P3094" s="10">
        <f t="shared" si="2964"/>
        <v>59185.894670750182</v>
      </c>
      <c r="Q3094" s="10">
        <f t="shared" si="2965"/>
        <v>59219.46984675018</v>
      </c>
      <c r="R3094" s="10">
        <v>73.151013000000006</v>
      </c>
      <c r="S3094" s="10">
        <v>29.397897999999998</v>
      </c>
      <c r="T3094" s="10">
        <v>21.627258999999999</v>
      </c>
      <c r="U3094" s="10">
        <v>15.099558999999999</v>
      </c>
      <c r="V3094" s="10">
        <v>56.505223000000001</v>
      </c>
      <c r="W3094" s="10">
        <v>33.575176000000006</v>
      </c>
      <c r="X3094" s="10">
        <f t="shared" si="2969"/>
        <v>90.080399</v>
      </c>
      <c r="Y3094" s="10">
        <f t="shared" si="2970"/>
        <v>809.09193521011355</v>
      </c>
      <c r="Z3094" s="10">
        <f t="shared" si="2971"/>
        <v>3919.7101498626671</v>
      </c>
      <c r="AA3094" s="10">
        <f t="shared" si="2972"/>
        <v>1047.4411307207863</v>
      </c>
      <c r="AB3094" s="10">
        <f t="shared" si="2973"/>
        <v>809.55091964003532</v>
      </c>
      <c r="AC3094" s="10">
        <f t="shared" si="2974"/>
        <v>2014.4117054474502</v>
      </c>
      <c r="AD3094" s="10">
        <f t="shared" si="2975"/>
        <v>2738.1865564540649</v>
      </c>
      <c r="AE3094" s="10">
        <f t="shared" si="2976"/>
        <v>657.40683327512988</v>
      </c>
      <c r="AF3094" s="1" t="s">
        <v>3773</v>
      </c>
    </row>
    <row r="3095" spans="1:32" x14ac:dyDescent="0.2">
      <c r="A3095" s="1" t="s">
        <v>6794</v>
      </c>
      <c r="B3095" s="1" t="s">
        <v>5</v>
      </c>
      <c r="C3095" s="1" t="s">
        <v>1575</v>
      </c>
      <c r="D3095" s="1" t="s">
        <v>1615</v>
      </c>
      <c r="E3095" s="1" t="s">
        <v>2176</v>
      </c>
      <c r="F3095" s="1" t="s">
        <v>3771</v>
      </c>
      <c r="G3095" s="4">
        <v>0.6</v>
      </c>
      <c r="H3095" s="28">
        <v>44561</v>
      </c>
      <c r="I3095" s="29">
        <f t="shared" si="2987"/>
        <v>2021</v>
      </c>
      <c r="J3095" s="1" t="s">
        <v>7</v>
      </c>
      <c r="K3095" s="1" t="s">
        <v>3768</v>
      </c>
      <c r="L3095" s="11" t="str">
        <f t="shared" ref="L3095" si="2989">IF(OR(A3095=J3095,A3095=K3095),"ДА","НЕТ")</f>
        <v>НЕТ</v>
      </c>
      <c r="M3095" s="10">
        <v>0</v>
      </c>
      <c r="N3095" s="10">
        <v>0</v>
      </c>
      <c r="O3095" s="10">
        <v>1.1279999999999999</v>
      </c>
      <c r="P3095" s="10">
        <f t="shared" si="2964"/>
        <v>1.88</v>
      </c>
      <c r="Q3095" s="10" t="str">
        <f t="shared" si="2965"/>
        <v>NA</v>
      </c>
      <c r="R3095" s="10" t="s">
        <v>1575</v>
      </c>
      <c r="S3095" s="10" t="s">
        <v>1575</v>
      </c>
      <c r="T3095" s="10" t="s">
        <v>1575</v>
      </c>
      <c r="U3095" s="10" t="s">
        <v>1575</v>
      </c>
      <c r="V3095" s="10" t="s">
        <v>1575</v>
      </c>
      <c r="W3095" s="10" t="s">
        <v>1575</v>
      </c>
      <c r="X3095" s="10" t="str">
        <f t="shared" si="2969"/>
        <v>NA</v>
      </c>
      <c r="Y3095" s="10" t="str">
        <f t="shared" si="2970"/>
        <v>NA</v>
      </c>
      <c r="Z3095" s="10" t="str">
        <f t="shared" si="2971"/>
        <v>NA</v>
      </c>
      <c r="AA3095" s="10" t="str">
        <f t="shared" si="2972"/>
        <v>NA</v>
      </c>
      <c r="AB3095" s="10" t="str">
        <f t="shared" si="2973"/>
        <v>NA</v>
      </c>
      <c r="AC3095" s="10" t="str">
        <f t="shared" si="2974"/>
        <v>NA</v>
      </c>
      <c r="AD3095" s="10" t="str">
        <f t="shared" si="2975"/>
        <v>NA</v>
      </c>
      <c r="AE3095" s="10" t="str">
        <f t="shared" si="2976"/>
        <v>NA</v>
      </c>
      <c r="AF3095" s="1" t="s">
        <v>3775</v>
      </c>
    </row>
    <row r="3096" spans="1:32" x14ac:dyDescent="0.2">
      <c r="A3096" s="1" t="s">
        <v>3768</v>
      </c>
      <c r="B3096" s="1" t="s">
        <v>5</v>
      </c>
      <c r="C3096" s="1" t="s">
        <v>3774</v>
      </c>
      <c r="D3096" s="1" t="s">
        <v>1615</v>
      </c>
      <c r="E3096" s="1" t="s">
        <v>2176</v>
      </c>
      <c r="F3096" s="1" t="s">
        <v>3771</v>
      </c>
      <c r="G3096" s="4">
        <f>76877/178740916</f>
        <v>4.3010297653392357E-4</v>
      </c>
      <c r="H3096" s="28">
        <v>44196</v>
      </c>
      <c r="I3096" s="29">
        <f t="shared" si="2980"/>
        <v>2020</v>
      </c>
      <c r="J3096" s="1" t="s">
        <v>3768</v>
      </c>
      <c r="K3096" s="1" t="s">
        <v>7</v>
      </c>
      <c r="L3096" s="11" t="str">
        <f t="shared" si="2988"/>
        <v>ДА</v>
      </c>
      <c r="M3096" s="10">
        <v>0.42199999999999999</v>
      </c>
      <c r="N3096" s="10">
        <v>0</v>
      </c>
      <c r="O3096" s="10">
        <v>31.495999999999999</v>
      </c>
      <c r="P3096" s="10">
        <f t="shared" si="2964"/>
        <v>73228.974730231406</v>
      </c>
      <c r="Q3096" s="10">
        <f t="shared" si="2965"/>
        <v>73266.232283231409</v>
      </c>
      <c r="R3096" s="10">
        <v>68.367403999999993</v>
      </c>
      <c r="S3096" s="10">
        <v>26.494691000000003</v>
      </c>
      <c r="T3096" s="10">
        <v>18.811071000000002</v>
      </c>
      <c r="U3096" s="10">
        <v>12.186847</v>
      </c>
      <c r="V3096" s="10">
        <v>52.773813000000004</v>
      </c>
      <c r="W3096" s="10">
        <v>37.257553000000009</v>
      </c>
      <c r="X3096" s="10">
        <f t="shared" si="2969"/>
        <v>90.03136600000002</v>
      </c>
      <c r="Y3096" s="10">
        <f t="shared" si="2970"/>
        <v>1071.1094826743956</v>
      </c>
      <c r="Z3096" s="10">
        <f t="shared" si="2971"/>
        <v>6008.8532111900149</v>
      </c>
      <c r="AA3096" s="10">
        <f t="shared" si="2972"/>
        <v>1387.6006027881936</v>
      </c>
      <c r="AB3096" s="10">
        <f t="shared" si="2973"/>
        <v>1071.6544434425421</v>
      </c>
      <c r="AC3096" s="10">
        <f t="shared" si="2974"/>
        <v>2765.3174850475289</v>
      </c>
      <c r="AD3096" s="10">
        <f t="shared" si="2975"/>
        <v>3894.8464063120809</v>
      </c>
      <c r="AE3096" s="10">
        <f t="shared" si="2976"/>
        <v>813.78563425585912</v>
      </c>
      <c r="AF3096" s="1" t="s">
        <v>3772</v>
      </c>
    </row>
    <row r="3097" spans="1:32" x14ac:dyDescent="0.2">
      <c r="A3097" s="1" t="s">
        <v>3777</v>
      </c>
      <c r="B3097" s="1" t="s">
        <v>780</v>
      </c>
      <c r="C3097" s="1" t="s">
        <v>1575</v>
      </c>
      <c r="D3097" s="1" t="s">
        <v>1615</v>
      </c>
      <c r="E3097" s="1" t="s">
        <v>2176</v>
      </c>
      <c r="F3097" s="1" t="s">
        <v>3770</v>
      </c>
      <c r="G3097" s="4">
        <v>1</v>
      </c>
      <c r="H3097" s="28">
        <v>43465</v>
      </c>
      <c r="I3097" s="29">
        <f t="shared" si="2980"/>
        <v>2018</v>
      </c>
      <c r="J3097" s="1" t="s">
        <v>3778</v>
      </c>
      <c r="K3097" s="1" t="s">
        <v>7</v>
      </c>
      <c r="L3097" s="11" t="str">
        <f t="shared" ref="L3097:L3098" si="2990">IF(OR(A3097=J3097,A3097=K3097),"ДА","НЕТ")</f>
        <v>НЕТ</v>
      </c>
      <c r="M3097" s="10">
        <v>0</v>
      </c>
      <c r="N3097" s="10">
        <v>30.1</v>
      </c>
      <c r="O3097" s="10">
        <v>2.3917609999999998</v>
      </c>
      <c r="P3097" s="10">
        <f t="shared" si="2964"/>
        <v>2.3917609999999998</v>
      </c>
      <c r="Q3097" s="10" t="str">
        <f t="shared" si="2965"/>
        <v>NA</v>
      </c>
      <c r="R3097" s="10">
        <v>0.94340199999999996</v>
      </c>
      <c r="S3097" s="10" t="s">
        <v>1575</v>
      </c>
      <c r="T3097" s="10" t="s">
        <v>1575</v>
      </c>
      <c r="U3097" s="10">
        <v>0.217588</v>
      </c>
      <c r="V3097" s="10">
        <v>11.077721</v>
      </c>
      <c r="W3097" s="10" t="s">
        <v>1575</v>
      </c>
      <c r="X3097" s="10" t="str">
        <f t="shared" si="2969"/>
        <v>NA</v>
      </c>
      <c r="Y3097" s="10">
        <f t="shared" si="2970"/>
        <v>2.5352511442629968</v>
      </c>
      <c r="Z3097" s="10">
        <f t="shared" si="2971"/>
        <v>10.992154898248064</v>
      </c>
      <c r="AA3097" s="10">
        <f t="shared" si="2972"/>
        <v>0.21590731523207704</v>
      </c>
      <c r="AB3097" s="10" t="str">
        <f t="shared" si="2973"/>
        <v>NA</v>
      </c>
      <c r="AC3097" s="10" t="str">
        <f t="shared" si="2974"/>
        <v>NA</v>
      </c>
      <c r="AD3097" s="10" t="str">
        <f t="shared" si="2975"/>
        <v>NA</v>
      </c>
      <c r="AE3097" s="10" t="str">
        <f t="shared" si="2976"/>
        <v>NA</v>
      </c>
      <c r="AF3097" s="1" t="s">
        <v>3776</v>
      </c>
    </row>
    <row r="3098" spans="1:32" x14ac:dyDescent="0.2">
      <c r="A3098" s="1" t="s">
        <v>3781</v>
      </c>
      <c r="B3098" s="1" t="s">
        <v>179</v>
      </c>
      <c r="C3098" s="1" t="s">
        <v>1575</v>
      </c>
      <c r="D3098" s="1" t="s">
        <v>1615</v>
      </c>
      <c r="E3098" s="1" t="s">
        <v>2176</v>
      </c>
      <c r="F3098" s="1" t="s">
        <v>3771</v>
      </c>
      <c r="G3098" s="4">
        <v>0.4</v>
      </c>
      <c r="H3098" s="28">
        <v>42055</v>
      </c>
      <c r="I3098" s="29">
        <f t="shared" si="2980"/>
        <v>2015</v>
      </c>
      <c r="J3098" s="1" t="s">
        <v>7</v>
      </c>
      <c r="K3098" s="1" t="s">
        <v>3768</v>
      </c>
      <c r="L3098" s="11" t="str">
        <f t="shared" si="2990"/>
        <v>НЕТ</v>
      </c>
      <c r="M3098" s="10">
        <v>0</v>
      </c>
      <c r="N3098" s="10">
        <v>0</v>
      </c>
      <c r="O3098" s="10">
        <v>1.9799999999999999E-4</v>
      </c>
      <c r="P3098" s="10">
        <f t="shared" si="2964"/>
        <v>4.9499999999999989E-4</v>
      </c>
      <c r="Q3098" s="10" t="str">
        <f t="shared" si="2965"/>
        <v>NA</v>
      </c>
      <c r="R3098" s="10" t="s">
        <v>1575</v>
      </c>
      <c r="S3098" s="10" t="s">
        <v>1575</v>
      </c>
      <c r="T3098" s="10" t="s">
        <v>1575</v>
      </c>
      <c r="U3098" s="10" t="s">
        <v>1575</v>
      </c>
      <c r="V3098" s="10" t="s">
        <v>1575</v>
      </c>
      <c r="W3098" s="10" t="s">
        <v>1575</v>
      </c>
      <c r="X3098" s="10" t="str">
        <f t="shared" si="2969"/>
        <v>NA</v>
      </c>
      <c r="Y3098" s="10" t="str">
        <f t="shared" si="2970"/>
        <v>NA</v>
      </c>
      <c r="Z3098" s="10" t="str">
        <f t="shared" si="2971"/>
        <v>NA</v>
      </c>
      <c r="AA3098" s="10" t="str">
        <f t="shared" si="2972"/>
        <v>NA</v>
      </c>
      <c r="AB3098" s="10" t="str">
        <f t="shared" si="2973"/>
        <v>NA</v>
      </c>
      <c r="AC3098" s="10" t="str">
        <f t="shared" si="2974"/>
        <v>NA</v>
      </c>
      <c r="AD3098" s="10" t="str">
        <f t="shared" si="2975"/>
        <v>NA</v>
      </c>
      <c r="AE3098" s="10" t="str">
        <f t="shared" si="2976"/>
        <v>NA</v>
      </c>
      <c r="AF3098" s="1" t="s">
        <v>3780</v>
      </c>
    </row>
    <row r="3099" spans="1:32" x14ac:dyDescent="0.2">
      <c r="A3099" s="1" t="s">
        <v>6795</v>
      </c>
      <c r="B3099" s="1" t="s">
        <v>5</v>
      </c>
      <c r="C3099" s="1" t="s">
        <v>1575</v>
      </c>
      <c r="D3099" s="1" t="s">
        <v>1615</v>
      </c>
      <c r="E3099" s="1" t="s">
        <v>2176</v>
      </c>
      <c r="F3099" s="1" t="s">
        <v>3783</v>
      </c>
      <c r="G3099" s="4">
        <v>0.03</v>
      </c>
      <c r="H3099" s="28">
        <v>41697</v>
      </c>
      <c r="I3099" s="29">
        <f t="shared" si="2980"/>
        <v>2014</v>
      </c>
      <c r="J3099" s="1" t="s">
        <v>3768</v>
      </c>
      <c r="K3099" s="1" t="s">
        <v>7</v>
      </c>
      <c r="L3099" s="11" t="str">
        <f t="shared" ref="L3099" si="2991">IF(OR(A3099=J3099,A3099=K3099),"ДА","НЕТ")</f>
        <v>НЕТ</v>
      </c>
      <c r="M3099" s="10">
        <v>0</v>
      </c>
      <c r="N3099" s="10">
        <v>0</v>
      </c>
      <c r="O3099" s="10">
        <v>2.4329999999999998E-3</v>
      </c>
      <c r="P3099" s="10">
        <f t="shared" si="2964"/>
        <v>8.1099999999999992E-2</v>
      </c>
      <c r="Q3099" s="10" t="str">
        <f t="shared" si="2965"/>
        <v>NA</v>
      </c>
      <c r="R3099" s="10" t="s">
        <v>1575</v>
      </c>
      <c r="S3099" s="10" t="s">
        <v>1575</v>
      </c>
      <c r="T3099" s="10" t="s">
        <v>1575</v>
      </c>
      <c r="U3099" s="10" t="s">
        <v>1575</v>
      </c>
      <c r="V3099" s="10" t="s">
        <v>1575</v>
      </c>
      <c r="W3099" s="10" t="s">
        <v>1575</v>
      </c>
      <c r="X3099" s="10" t="str">
        <f t="shared" si="2969"/>
        <v>NA</v>
      </c>
      <c r="Y3099" s="10" t="str">
        <f t="shared" si="2970"/>
        <v>NA</v>
      </c>
      <c r="Z3099" s="10" t="str">
        <f t="shared" si="2971"/>
        <v>NA</v>
      </c>
      <c r="AA3099" s="10" t="str">
        <f t="shared" si="2972"/>
        <v>NA</v>
      </c>
      <c r="AB3099" s="10" t="str">
        <f t="shared" si="2973"/>
        <v>NA</v>
      </c>
      <c r="AC3099" s="10" t="str">
        <f t="shared" si="2974"/>
        <v>NA</v>
      </c>
      <c r="AD3099" s="10" t="str">
        <f t="shared" si="2975"/>
        <v>NA</v>
      </c>
      <c r="AE3099" s="10" t="str">
        <f t="shared" si="2976"/>
        <v>NA</v>
      </c>
      <c r="AF3099" s="1" t="s">
        <v>3782</v>
      </c>
    </row>
    <row r="3100" spans="1:32" x14ac:dyDescent="0.2">
      <c r="A3100" s="1" t="s">
        <v>6796</v>
      </c>
      <c r="B3100" s="1" t="s">
        <v>5</v>
      </c>
      <c r="C3100" s="1" t="s">
        <v>1575</v>
      </c>
      <c r="D3100" s="1" t="s">
        <v>1615</v>
      </c>
      <c r="E3100" s="1" t="s">
        <v>2176</v>
      </c>
      <c r="F3100" s="1" t="s">
        <v>3783</v>
      </c>
      <c r="G3100" s="4">
        <v>1</v>
      </c>
      <c r="H3100" s="28">
        <v>41317</v>
      </c>
      <c r="I3100" s="29">
        <f t="shared" ref="I3100:I3105" si="2992">YEAR(H3100)</f>
        <v>2013</v>
      </c>
      <c r="J3100" s="1" t="s">
        <v>3768</v>
      </c>
      <c r="K3100" s="1" t="s">
        <v>7</v>
      </c>
      <c r="L3100" s="11" t="str">
        <f t="shared" ref="L3100" si="2993">IF(OR(A3100=J3100,A3100=K3100),"ДА","НЕТ")</f>
        <v>НЕТ</v>
      </c>
      <c r="M3100" s="10">
        <v>0</v>
      </c>
      <c r="N3100" s="10">
        <v>0</v>
      </c>
      <c r="O3100" s="10">
        <v>7.5794579999999998</v>
      </c>
      <c r="P3100" s="10">
        <f t="shared" si="2964"/>
        <v>7.5794579999999998</v>
      </c>
      <c r="Q3100" s="10">
        <f t="shared" si="2965"/>
        <v>12.265122999999999</v>
      </c>
      <c r="R3100" s="10" t="s">
        <v>1575</v>
      </c>
      <c r="S3100" s="10" t="s">
        <v>1575</v>
      </c>
      <c r="T3100" s="10" t="s">
        <v>1575</v>
      </c>
      <c r="U3100" s="10" t="s">
        <v>1575</v>
      </c>
      <c r="V3100" s="10">
        <v>5.8422479999999997</v>
      </c>
      <c r="W3100" s="10">
        <f>1.466755+4.374551-1.155641</f>
        <v>4.6856650000000002</v>
      </c>
      <c r="X3100" s="10">
        <f t="shared" si="2969"/>
        <v>10.527913</v>
      </c>
      <c r="Y3100" s="10" t="str">
        <f t="shared" si="2970"/>
        <v>NA</v>
      </c>
      <c r="Z3100" s="10" t="str">
        <f t="shared" si="2971"/>
        <v>NA</v>
      </c>
      <c r="AA3100" s="10">
        <f t="shared" si="2972"/>
        <v>1.297353005213062</v>
      </c>
      <c r="AB3100" s="10" t="str">
        <f t="shared" si="2973"/>
        <v>NA</v>
      </c>
      <c r="AC3100" s="10" t="str">
        <f t="shared" si="2974"/>
        <v>NA</v>
      </c>
      <c r="AD3100" s="10" t="str">
        <f t="shared" si="2975"/>
        <v>NA</v>
      </c>
      <c r="AE3100" s="10">
        <f t="shared" si="2976"/>
        <v>1.1650099122209692</v>
      </c>
      <c r="AF3100" s="1" t="s">
        <v>3784</v>
      </c>
    </row>
    <row r="3101" spans="1:32" x14ac:dyDescent="0.2">
      <c r="A3101" s="1" t="s">
        <v>6797</v>
      </c>
      <c r="B3101" s="1" t="s">
        <v>5</v>
      </c>
      <c r="C3101" s="1" t="s">
        <v>1575</v>
      </c>
      <c r="D3101" s="1" t="s">
        <v>1615</v>
      </c>
      <c r="E3101" s="1" t="s">
        <v>2176</v>
      </c>
      <c r="F3101" s="1" t="s">
        <v>3783</v>
      </c>
      <c r="G3101" s="4">
        <v>0.52500000000000002</v>
      </c>
      <c r="H3101" s="28">
        <v>41608</v>
      </c>
      <c r="I3101" s="29">
        <f t="shared" si="2992"/>
        <v>2013</v>
      </c>
      <c r="J3101" s="1" t="s">
        <v>3768</v>
      </c>
      <c r="K3101" s="1" t="s">
        <v>7</v>
      </c>
      <c r="L3101" s="11" t="str">
        <f t="shared" ref="L3101" si="2994">IF(OR(A3101=J3101,A3101=K3101),"ДА","НЕТ")</f>
        <v>НЕТ</v>
      </c>
      <c r="M3101" s="10">
        <v>0</v>
      </c>
      <c r="N3101" s="10">
        <v>0</v>
      </c>
      <c r="O3101" s="10" t="s">
        <v>1575</v>
      </c>
      <c r="P3101" s="10" t="str">
        <f t="shared" si="2964"/>
        <v>NA</v>
      </c>
      <c r="Q3101" s="10" t="str">
        <f t="shared" si="2965"/>
        <v>NA</v>
      </c>
      <c r="R3101" s="10" t="s">
        <v>1575</v>
      </c>
      <c r="S3101" s="10" t="s">
        <v>1575</v>
      </c>
      <c r="T3101" s="10" t="s">
        <v>1575</v>
      </c>
      <c r="U3101" s="10" t="s">
        <v>1575</v>
      </c>
      <c r="V3101" s="10" t="s">
        <v>1575</v>
      </c>
      <c r="W3101" s="10" t="s">
        <v>1575</v>
      </c>
      <c r="X3101" s="10" t="str">
        <f t="shared" si="2969"/>
        <v>NA</v>
      </c>
      <c r="Y3101" s="10" t="str">
        <f t="shared" si="2970"/>
        <v>NA</v>
      </c>
      <c r="Z3101" s="10" t="str">
        <f t="shared" si="2971"/>
        <v>NA</v>
      </c>
      <c r="AA3101" s="10" t="str">
        <f t="shared" si="2972"/>
        <v>NA</v>
      </c>
      <c r="AB3101" s="10" t="str">
        <f t="shared" si="2973"/>
        <v>NA</v>
      </c>
      <c r="AC3101" s="10" t="str">
        <f t="shared" si="2974"/>
        <v>NA</v>
      </c>
      <c r="AD3101" s="10" t="str">
        <f t="shared" si="2975"/>
        <v>NA</v>
      </c>
      <c r="AE3101" s="10" t="str">
        <f t="shared" si="2976"/>
        <v>NA</v>
      </c>
      <c r="AF3101" s="1" t="s">
        <v>3785</v>
      </c>
    </row>
    <row r="3102" spans="1:32" x14ac:dyDescent="0.2">
      <c r="A3102" s="1" t="s">
        <v>6798</v>
      </c>
      <c r="B3102" s="1" t="s">
        <v>5</v>
      </c>
      <c r="C3102" s="1" t="s">
        <v>1575</v>
      </c>
      <c r="D3102" s="1" t="s">
        <v>1615</v>
      </c>
      <c r="E3102" s="1" t="s">
        <v>2176</v>
      </c>
      <c r="F3102" s="1" t="s">
        <v>3783</v>
      </c>
      <c r="G3102" s="4">
        <v>1</v>
      </c>
      <c r="H3102" s="28">
        <v>41044</v>
      </c>
      <c r="I3102" s="29">
        <f t="shared" si="2992"/>
        <v>2012</v>
      </c>
      <c r="J3102" s="1" t="s">
        <v>3768</v>
      </c>
      <c r="K3102" s="1" t="s">
        <v>7</v>
      </c>
      <c r="L3102" s="11" t="str">
        <f t="shared" ref="L3102:L3104" si="2995">IF(OR(A3102=J3102,A3102=K3102),"ДА","НЕТ")</f>
        <v>НЕТ</v>
      </c>
      <c r="M3102" s="10">
        <v>573.471</v>
      </c>
      <c r="N3102" s="10">
        <v>0</v>
      </c>
      <c r="O3102" s="10">
        <f>M3102*30.2652/1000</f>
        <v>17.356214509200001</v>
      </c>
      <c r="P3102" s="10">
        <f t="shared" si="2964"/>
        <v>17.356214509200001</v>
      </c>
      <c r="Q3102" s="10">
        <f t="shared" si="2965"/>
        <v>19.802208628439999</v>
      </c>
      <c r="R3102" s="10">
        <f>583.896*29.3948277108434/1000</f>
        <v>17.163522321050618</v>
      </c>
      <c r="S3102" s="10">
        <f>140*29.3948277108434/1000</f>
        <v>4.1152758795180766</v>
      </c>
      <c r="T3102" s="10">
        <f>122.295*29.3948277108434/1000</f>
        <v>3.5948404548975939</v>
      </c>
      <c r="U3102" s="10">
        <f>87.767*29.3948277108434/1000</f>
        <v>2.5798958436975927</v>
      </c>
      <c r="V3102" s="10">
        <f>431.143*30.2652/1000</f>
        <v>13.0486291236</v>
      </c>
      <c r="W3102" s="10">
        <f>(80.877-0.0583)*30.2652/1000</f>
        <v>2.4459941192399999</v>
      </c>
      <c r="X3102" s="10">
        <f t="shared" si="2969"/>
        <v>15.494623242839999</v>
      </c>
      <c r="Y3102" s="10">
        <f t="shared" si="2970"/>
        <v>1.0112268440326524</v>
      </c>
      <c r="Z3102" s="10">
        <f t="shared" si="2971"/>
        <v>6.7274865191164057</v>
      </c>
      <c r="AA3102" s="10">
        <f t="shared" si="2972"/>
        <v>1.3301178495302024</v>
      </c>
      <c r="AB3102" s="10">
        <f t="shared" si="2973"/>
        <v>1.1537380415296865</v>
      </c>
      <c r="AC3102" s="10">
        <f t="shared" si="2974"/>
        <v>4.8118787678358412</v>
      </c>
      <c r="AD3102" s="10">
        <f t="shared" si="2975"/>
        <v>5.508508340463778</v>
      </c>
      <c r="AE3102" s="10">
        <f t="shared" si="2976"/>
        <v>1.2780051710899467</v>
      </c>
      <c r="AF3102" s="1" t="s">
        <v>3786</v>
      </c>
    </row>
    <row r="3103" spans="1:32" x14ac:dyDescent="0.2">
      <c r="A3103" s="1" t="s">
        <v>3768</v>
      </c>
      <c r="B3103" s="1" t="s">
        <v>5</v>
      </c>
      <c r="C3103" s="1" t="s">
        <v>3774</v>
      </c>
      <c r="D3103" s="1" t="s">
        <v>1615</v>
      </c>
      <c r="E3103" s="1" t="s">
        <v>2176</v>
      </c>
      <c r="F3103" s="1" t="s">
        <v>3771</v>
      </c>
      <c r="G3103" s="4">
        <f>3637117/158135533</f>
        <v>2.2999998362164435E-2</v>
      </c>
      <c r="H3103" s="28">
        <v>41107</v>
      </c>
      <c r="I3103" s="29">
        <f t="shared" si="2992"/>
        <v>2012</v>
      </c>
      <c r="J3103" s="1" t="s">
        <v>7</v>
      </c>
      <c r="K3103" s="1" t="s">
        <v>3768</v>
      </c>
      <c r="L3103" s="11" t="str">
        <f t="shared" si="2995"/>
        <v>ДА</v>
      </c>
      <c r="M3103" s="10">
        <v>60.012430000000002</v>
      </c>
      <c r="N3103" s="10">
        <v>0</v>
      </c>
      <c r="O3103" s="10">
        <f>M3103*32.6208/1000</f>
        <v>1.9576534765440001</v>
      </c>
      <c r="P3103" s="10">
        <f t="shared" si="2964"/>
        <v>85.115374606477729</v>
      </c>
      <c r="Q3103" s="10">
        <f t="shared" si="2965"/>
        <v>94.508812154177733</v>
      </c>
      <c r="R3103" s="10">
        <v>50.94288253324342</v>
      </c>
      <c r="S3103" s="10">
        <v>14.908909640801218</v>
      </c>
      <c r="T3103" s="10">
        <v>12.697507357286758</v>
      </c>
      <c r="U3103" s="10">
        <v>9.3248036154000093</v>
      </c>
      <c r="V3103" s="10">
        <v>31.843713685499999</v>
      </c>
      <c r="W3103" s="10">
        <v>9.3934375476999996</v>
      </c>
      <c r="X3103" s="10">
        <f t="shared" si="2969"/>
        <v>41.237151233199995</v>
      </c>
      <c r="Y3103" s="10">
        <f t="shared" si="2970"/>
        <v>1.670800127003701</v>
      </c>
      <c r="Z3103" s="10">
        <f t="shared" si="2971"/>
        <v>9.1278463458371188</v>
      </c>
      <c r="AA3103" s="10">
        <f t="shared" si="2972"/>
        <v>2.6729098071634443</v>
      </c>
      <c r="AB3103" s="10">
        <f t="shared" si="2973"/>
        <v>1.8551916863460722</v>
      </c>
      <c r="AC3103" s="10">
        <f t="shared" si="2974"/>
        <v>6.3390827653509572</v>
      </c>
      <c r="AD3103" s="10">
        <f t="shared" si="2975"/>
        <v>7.4430996174963164</v>
      </c>
      <c r="AE3103" s="10">
        <f t="shared" si="2976"/>
        <v>2.291836592196232</v>
      </c>
      <c r="AF3103" s="1" t="s">
        <v>3788</v>
      </c>
    </row>
    <row r="3104" spans="1:32" x14ac:dyDescent="0.2">
      <c r="A3104" s="1" t="s">
        <v>3768</v>
      </c>
      <c r="B3104" s="1" t="s">
        <v>5</v>
      </c>
      <c r="C3104" s="1" t="s">
        <v>3774</v>
      </c>
      <c r="D3104" s="1" t="s">
        <v>1615</v>
      </c>
      <c r="E3104" s="1" t="s">
        <v>2176</v>
      </c>
      <c r="F3104" s="1" t="s">
        <v>3771</v>
      </c>
      <c r="G3104" s="4">
        <f>3637117/158135533</f>
        <v>2.2999998362164435E-2</v>
      </c>
      <c r="H3104" s="28">
        <v>40910</v>
      </c>
      <c r="I3104" s="29">
        <f t="shared" si="2992"/>
        <v>2012</v>
      </c>
      <c r="J3104" s="1" t="s">
        <v>3768</v>
      </c>
      <c r="K3104" s="1" t="s">
        <v>7</v>
      </c>
      <c r="L3104" s="11" t="str">
        <f t="shared" si="2995"/>
        <v>ДА</v>
      </c>
      <c r="M3104" s="10">
        <v>43.172578999999999</v>
      </c>
      <c r="N3104" s="10">
        <v>0</v>
      </c>
      <c r="O3104" s="10">
        <f>M3104*32.1961/1000</f>
        <v>1.3899886707419</v>
      </c>
      <c r="P3104" s="10">
        <f t="shared" si="2964"/>
        <v>60.434294335797247</v>
      </c>
      <c r="Q3104" s="10">
        <f t="shared" si="2965"/>
        <v>69.82773188349725</v>
      </c>
      <c r="R3104" s="10">
        <v>50.94288253324342</v>
      </c>
      <c r="S3104" s="10">
        <v>14.908909640801218</v>
      </c>
      <c r="T3104" s="10">
        <v>12.697507357286758</v>
      </c>
      <c r="U3104" s="10">
        <v>9.3248036154000093</v>
      </c>
      <c r="V3104" s="10">
        <v>31.843713685499999</v>
      </c>
      <c r="W3104" s="10">
        <v>9.3934375476999996</v>
      </c>
      <c r="X3104" s="10">
        <f t="shared" si="2969"/>
        <v>41.237151233199995</v>
      </c>
      <c r="Y3104" s="10">
        <f t="shared" si="2970"/>
        <v>1.186314777071362</v>
      </c>
      <c r="Z3104" s="10">
        <f t="shared" si="2971"/>
        <v>6.4810259634840337</v>
      </c>
      <c r="AA3104" s="10">
        <f t="shared" si="2972"/>
        <v>1.8978406517741031</v>
      </c>
      <c r="AB3104" s="10">
        <f t="shared" si="2973"/>
        <v>1.3707063364137333</v>
      </c>
      <c r="AC3104" s="10">
        <f t="shared" si="2974"/>
        <v>4.6836243270533799</v>
      </c>
      <c r="AD3104" s="10">
        <f t="shared" si="2975"/>
        <v>5.499325963644746</v>
      </c>
      <c r="AE3104" s="10">
        <f t="shared" si="2976"/>
        <v>1.693320944713538</v>
      </c>
      <c r="AF3104" s="1" t="s">
        <v>3787</v>
      </c>
    </row>
    <row r="3105" spans="1:32" x14ac:dyDescent="0.2">
      <c r="A3105" s="1" t="s">
        <v>3792</v>
      </c>
      <c r="B3105" s="1" t="s">
        <v>179</v>
      </c>
      <c r="C3105" s="1" t="s">
        <v>1575</v>
      </c>
      <c r="D3105" s="1" t="s">
        <v>1580</v>
      </c>
      <c r="E3105" s="1" t="s">
        <v>2165</v>
      </c>
      <c r="F3105" s="1" t="s">
        <v>3793</v>
      </c>
      <c r="G3105" s="4">
        <f>60%-55.6%</f>
        <v>4.3999999999999928E-2</v>
      </c>
      <c r="H3105" s="28">
        <v>40851</v>
      </c>
      <c r="I3105" s="29">
        <f t="shared" si="2992"/>
        <v>2011</v>
      </c>
      <c r="J3105" s="1" t="s">
        <v>3768</v>
      </c>
      <c r="K3105" s="1" t="s">
        <v>7</v>
      </c>
      <c r="L3105" s="11" t="str">
        <f t="shared" ref="L3105:L3108" si="2996">IF(OR(A3105=J3105,A3105=K3105),"ДА","НЕТ")</f>
        <v>НЕТ</v>
      </c>
      <c r="M3105" s="10">
        <v>74.5</v>
      </c>
      <c r="N3105" s="10">
        <v>0</v>
      </c>
      <c r="O3105" s="10">
        <f>M3105*30.8438/1000</f>
        <v>2.2978630999999998</v>
      </c>
      <c r="P3105" s="10">
        <f t="shared" si="2964"/>
        <v>52.224161363636448</v>
      </c>
      <c r="Q3105" s="10" t="str">
        <f t="shared" si="2965"/>
        <v>NA</v>
      </c>
      <c r="R3105" s="10" t="s">
        <v>1575</v>
      </c>
      <c r="S3105" s="10" t="s">
        <v>1575</v>
      </c>
      <c r="T3105" s="10" t="s">
        <v>1575</v>
      </c>
      <c r="U3105" s="10" t="s">
        <v>1575</v>
      </c>
      <c r="V3105" s="10" t="s">
        <v>1575</v>
      </c>
      <c r="W3105" s="10" t="s">
        <v>1575</v>
      </c>
      <c r="X3105" s="10" t="str">
        <f t="shared" si="2969"/>
        <v>NA</v>
      </c>
      <c r="Y3105" s="10" t="str">
        <f t="shared" si="2970"/>
        <v>NA</v>
      </c>
      <c r="Z3105" s="10" t="str">
        <f t="shared" si="2971"/>
        <v>NA</v>
      </c>
      <c r="AA3105" s="10" t="str">
        <f t="shared" si="2972"/>
        <v>NA</v>
      </c>
      <c r="AB3105" s="10" t="str">
        <f t="shared" si="2973"/>
        <v>NA</v>
      </c>
      <c r="AC3105" s="10" t="str">
        <f t="shared" si="2974"/>
        <v>NA</v>
      </c>
      <c r="AD3105" s="10" t="str">
        <f t="shared" si="2975"/>
        <v>NA</v>
      </c>
      <c r="AE3105" s="10" t="str">
        <f t="shared" si="2976"/>
        <v>NA</v>
      </c>
      <c r="AF3105" s="1" t="s">
        <v>3789</v>
      </c>
    </row>
    <row r="3106" spans="1:32" x14ac:dyDescent="0.2">
      <c r="A3106" s="1" t="s">
        <v>6799</v>
      </c>
      <c r="B3106" s="1" t="s">
        <v>5</v>
      </c>
      <c r="C3106" s="1" t="s">
        <v>1575</v>
      </c>
      <c r="D3106" s="1" t="s">
        <v>1615</v>
      </c>
      <c r="E3106" s="1" t="s">
        <v>2176</v>
      </c>
      <c r="F3106" s="1" t="s">
        <v>3771</v>
      </c>
      <c r="G3106" s="4">
        <v>0.1</v>
      </c>
      <c r="H3106" s="28">
        <v>40857</v>
      </c>
      <c r="I3106" s="29">
        <f t="shared" si="2980"/>
        <v>2011</v>
      </c>
      <c r="J3106" s="1" t="s">
        <v>3795</v>
      </c>
      <c r="K3106" s="1" t="s">
        <v>7</v>
      </c>
      <c r="L3106" s="11" t="str">
        <f t="shared" si="2996"/>
        <v>НЕТ</v>
      </c>
      <c r="M3106" s="10">
        <v>74.5</v>
      </c>
      <c r="N3106" s="10">
        <v>0</v>
      </c>
      <c r="O3106" s="10">
        <f>M3106*30.1033/1000</f>
        <v>2.24269585</v>
      </c>
      <c r="P3106" s="10">
        <f t="shared" si="2964"/>
        <v>22.426958499999998</v>
      </c>
      <c r="Q3106" s="10" t="str">
        <f t="shared" si="2965"/>
        <v>NA</v>
      </c>
      <c r="R3106" s="10" t="s">
        <v>1575</v>
      </c>
      <c r="S3106" s="10" t="s">
        <v>1575</v>
      </c>
      <c r="T3106" s="10" t="s">
        <v>1575</v>
      </c>
      <c r="U3106" s="10" t="s">
        <v>1575</v>
      </c>
      <c r="V3106" s="10" t="s">
        <v>1575</v>
      </c>
      <c r="W3106" s="10" t="s">
        <v>1575</v>
      </c>
      <c r="X3106" s="10" t="str">
        <f t="shared" si="2969"/>
        <v>NA</v>
      </c>
      <c r="Y3106" s="10" t="str">
        <f t="shared" si="2970"/>
        <v>NA</v>
      </c>
      <c r="Z3106" s="10" t="str">
        <f t="shared" si="2971"/>
        <v>NA</v>
      </c>
      <c r="AA3106" s="10" t="str">
        <f t="shared" si="2972"/>
        <v>NA</v>
      </c>
      <c r="AB3106" s="10" t="str">
        <f t="shared" si="2973"/>
        <v>NA</v>
      </c>
      <c r="AC3106" s="10" t="str">
        <f t="shared" si="2974"/>
        <v>NA</v>
      </c>
      <c r="AD3106" s="10" t="str">
        <f t="shared" si="2975"/>
        <v>NA</v>
      </c>
      <c r="AE3106" s="10" t="str">
        <f t="shared" si="2976"/>
        <v>NA</v>
      </c>
      <c r="AF3106" s="1" t="s">
        <v>3790</v>
      </c>
    </row>
    <row r="3107" spans="1:32" x14ac:dyDescent="0.2">
      <c r="A3107" s="1" t="s">
        <v>3769</v>
      </c>
      <c r="B3107" s="1" t="s">
        <v>780</v>
      </c>
      <c r="C3107" s="1" t="s">
        <v>1575</v>
      </c>
      <c r="D3107" s="1" t="s">
        <v>1615</v>
      </c>
      <c r="E3107" s="1" t="s">
        <v>2176</v>
      </c>
      <c r="F3107" s="1" t="s">
        <v>3779</v>
      </c>
      <c r="G3107" s="4">
        <v>4.2500000000000003E-2</v>
      </c>
      <c r="H3107" s="28">
        <v>40878</v>
      </c>
      <c r="I3107" s="29">
        <f t="shared" si="2980"/>
        <v>2011</v>
      </c>
      <c r="J3107" s="1" t="s">
        <v>3768</v>
      </c>
      <c r="K3107" s="1" t="s">
        <v>3794</v>
      </c>
      <c r="L3107" s="11" t="str">
        <f t="shared" si="2996"/>
        <v>НЕТ</v>
      </c>
      <c r="M3107" s="10">
        <v>7.2</v>
      </c>
      <c r="N3107" s="10">
        <v>0</v>
      </c>
      <c r="O3107" s="10">
        <f>M3107*31.4001/1000</f>
        <v>0.22608071999999999</v>
      </c>
      <c r="P3107" s="10">
        <f t="shared" si="2964"/>
        <v>5.3195463529411757</v>
      </c>
      <c r="Q3107" s="10" t="str">
        <f t="shared" si="2965"/>
        <v>NA</v>
      </c>
      <c r="R3107" s="10" t="s">
        <v>1575</v>
      </c>
      <c r="S3107" s="10" t="s">
        <v>1575</v>
      </c>
      <c r="T3107" s="10" t="s">
        <v>1575</v>
      </c>
      <c r="U3107" s="10" t="s">
        <v>1575</v>
      </c>
      <c r="V3107" s="10" t="s">
        <v>1575</v>
      </c>
      <c r="W3107" s="10" t="s">
        <v>1575</v>
      </c>
      <c r="X3107" s="10" t="str">
        <f t="shared" si="2969"/>
        <v>NA</v>
      </c>
      <c r="Y3107" s="10" t="str">
        <f t="shared" si="2970"/>
        <v>NA</v>
      </c>
      <c r="Z3107" s="10" t="str">
        <f t="shared" si="2971"/>
        <v>NA</v>
      </c>
      <c r="AA3107" s="10" t="str">
        <f t="shared" si="2972"/>
        <v>NA</v>
      </c>
      <c r="AB3107" s="10" t="str">
        <f t="shared" si="2973"/>
        <v>NA</v>
      </c>
      <c r="AC3107" s="10" t="str">
        <f t="shared" si="2974"/>
        <v>NA</v>
      </c>
      <c r="AD3107" s="10" t="str">
        <f t="shared" si="2975"/>
        <v>NA</v>
      </c>
      <c r="AE3107" s="10" t="str">
        <f t="shared" si="2976"/>
        <v>NA</v>
      </c>
      <c r="AF3107" s="1" t="s">
        <v>3791</v>
      </c>
    </row>
    <row r="3108" spans="1:32" x14ac:dyDescent="0.2">
      <c r="A3108" s="1" t="s">
        <v>3768</v>
      </c>
      <c r="B3108" s="1" t="s">
        <v>5</v>
      </c>
      <c r="C3108" s="1" t="s">
        <v>3774</v>
      </c>
      <c r="D3108" s="1" t="s">
        <v>1615</v>
      </c>
      <c r="E3108" s="1" t="s">
        <v>2176</v>
      </c>
      <c r="F3108" s="1" t="s">
        <v>3771</v>
      </c>
      <c r="G3108" s="4">
        <f>11764705/233918128</f>
        <v>5.0294114015823517E-2</v>
      </c>
      <c r="H3108" s="28">
        <v>40161</v>
      </c>
      <c r="I3108" s="29">
        <f t="shared" ref="I3108:I3112" si="2997">YEAR(H3108)</f>
        <v>2009</v>
      </c>
      <c r="J3108" s="1" t="s">
        <v>7</v>
      </c>
      <c r="K3108" s="1" t="s">
        <v>3768</v>
      </c>
      <c r="L3108" s="11" t="str">
        <f t="shared" si="2996"/>
        <v>ДА</v>
      </c>
      <c r="M3108" s="10">
        <f>11764705*8.5/10^6</f>
        <v>99.999992500000005</v>
      </c>
      <c r="N3108" s="10">
        <v>0</v>
      </c>
      <c r="O3108" s="10">
        <f>M3108*30.2107/1000</f>
        <v>3.0210697734197502</v>
      </c>
      <c r="P3108" s="10">
        <f t="shared" si="2964"/>
        <v>60.068058311341609</v>
      </c>
      <c r="Q3108" s="10" t="str">
        <f t="shared" si="2965"/>
        <v>NA</v>
      </c>
      <c r="R3108" s="10" t="e">
        <v>#N/A</v>
      </c>
      <c r="S3108" s="10" t="e">
        <v>#N/A</v>
      </c>
      <c r="T3108" s="10" t="e">
        <v>#N/A</v>
      </c>
      <c r="U3108" s="10" t="e">
        <v>#N/A</v>
      </c>
      <c r="V3108" s="10" t="e">
        <v>#N/A</v>
      </c>
      <c r="W3108" s="10" t="e">
        <v>#N/A</v>
      </c>
      <c r="X3108" s="10" t="str">
        <f t="shared" si="2969"/>
        <v>NA</v>
      </c>
      <c r="Y3108" s="10" t="str">
        <f t="shared" si="2970"/>
        <v>NA</v>
      </c>
      <c r="Z3108" s="10" t="str">
        <f t="shared" si="2971"/>
        <v>NA</v>
      </c>
      <c r="AA3108" s="10" t="str">
        <f t="shared" si="2972"/>
        <v>NA</v>
      </c>
      <c r="AB3108" s="10" t="str">
        <f t="shared" si="2973"/>
        <v>NA</v>
      </c>
      <c r="AC3108" s="10" t="str">
        <f t="shared" si="2974"/>
        <v>NA</v>
      </c>
      <c r="AD3108" s="10" t="str">
        <f t="shared" si="2975"/>
        <v>NA</v>
      </c>
      <c r="AE3108" s="10" t="str">
        <f t="shared" si="2976"/>
        <v>NA</v>
      </c>
      <c r="AF3108" s="1" t="s">
        <v>3796</v>
      </c>
    </row>
    <row r="3109" spans="1:32" x14ac:dyDescent="0.2">
      <c r="A3109" s="1" t="s">
        <v>3799</v>
      </c>
      <c r="B3109" s="1" t="s">
        <v>3798</v>
      </c>
      <c r="C3109" s="1" t="s">
        <v>1575</v>
      </c>
      <c r="D3109" s="1" t="s">
        <v>1615</v>
      </c>
      <c r="E3109" s="1" t="s">
        <v>2176</v>
      </c>
      <c r="F3109" s="1" t="s">
        <v>3770</v>
      </c>
      <c r="G3109" s="4">
        <v>1</v>
      </c>
      <c r="H3109" s="28">
        <v>40177</v>
      </c>
      <c r="I3109" s="29">
        <f t="shared" si="2997"/>
        <v>2009</v>
      </c>
      <c r="J3109" s="1" t="s">
        <v>3768</v>
      </c>
      <c r="K3109" s="1" t="s">
        <v>7</v>
      </c>
      <c r="L3109" s="11" t="str">
        <f t="shared" ref="L3109:L3110" si="2998">IF(OR(A3109=J3109,A3109=K3109),"ДА","НЕТ")</f>
        <v>НЕТ</v>
      </c>
      <c r="M3109" s="10">
        <v>1.4E-2</v>
      </c>
      <c r="N3109" s="10">
        <v>0</v>
      </c>
      <c r="O3109" s="10">
        <f>M3109*29.8491/1000</f>
        <v>4.1788740000000001E-4</v>
      </c>
      <c r="P3109" s="10">
        <f t="shared" si="2964"/>
        <v>4.1788740000000001E-4</v>
      </c>
      <c r="Q3109" s="10" t="str">
        <f t="shared" si="2965"/>
        <v>NA</v>
      </c>
      <c r="R3109" s="10" t="s">
        <v>1575</v>
      </c>
      <c r="S3109" s="10" t="s">
        <v>1575</v>
      </c>
      <c r="T3109" s="10" t="s">
        <v>1575</v>
      </c>
      <c r="U3109" s="10" t="s">
        <v>1575</v>
      </c>
      <c r="V3109" s="10">
        <f>0.029*29.8491/1000</f>
        <v>8.6562390000000003E-4</v>
      </c>
      <c r="W3109" s="10" t="s">
        <v>1575</v>
      </c>
      <c r="X3109" s="10" t="str">
        <f t="shared" si="2969"/>
        <v>NA</v>
      </c>
      <c r="Y3109" s="10" t="str">
        <f t="shared" si="2970"/>
        <v>NA</v>
      </c>
      <c r="Z3109" s="10" t="str">
        <f t="shared" si="2971"/>
        <v>NA</v>
      </c>
      <c r="AA3109" s="10">
        <f t="shared" si="2972"/>
        <v>0.48275862068965519</v>
      </c>
      <c r="AB3109" s="10" t="str">
        <f t="shared" si="2973"/>
        <v>NA</v>
      </c>
      <c r="AC3109" s="10" t="str">
        <f t="shared" si="2974"/>
        <v>NA</v>
      </c>
      <c r="AD3109" s="10" t="str">
        <f t="shared" si="2975"/>
        <v>NA</v>
      </c>
      <c r="AE3109" s="10" t="str">
        <f t="shared" si="2976"/>
        <v>NA</v>
      </c>
      <c r="AF3109" s="1" t="s">
        <v>3797</v>
      </c>
    </row>
    <row r="3110" spans="1:32" x14ac:dyDescent="0.2">
      <c r="A3110" s="1" t="s">
        <v>3768</v>
      </c>
      <c r="B3110" s="1" t="s">
        <v>5</v>
      </c>
      <c r="C3110" s="1" t="s">
        <v>3774</v>
      </c>
      <c r="D3110" s="1" t="s">
        <v>1615</v>
      </c>
      <c r="E3110" s="1" t="s">
        <v>2176</v>
      </c>
      <c r="F3110" s="1" t="s">
        <v>3771</v>
      </c>
      <c r="G3110" s="4">
        <f>16959064/116959064</f>
        <v>0.14499999760599999</v>
      </c>
      <c r="H3110" s="28">
        <v>39568</v>
      </c>
      <c r="I3110" s="29">
        <f t="shared" si="2997"/>
        <v>2008</v>
      </c>
      <c r="J3110" s="1" t="s">
        <v>7</v>
      </c>
      <c r="K3110" s="1" t="s">
        <v>3768</v>
      </c>
      <c r="L3110" s="11" t="str">
        <f t="shared" si="2998"/>
        <v>ДА</v>
      </c>
      <c r="M3110" s="10">
        <f>16959064*13.5/10^6</f>
        <v>228.94736399999999</v>
      </c>
      <c r="N3110" s="10">
        <v>0</v>
      </c>
      <c r="O3110" s="10">
        <f>M3110*23.6471/1000</f>
        <v>5.4139412112444001</v>
      </c>
      <c r="P3110" s="10">
        <f t="shared" si="2964"/>
        <v>37.337526211244402</v>
      </c>
      <c r="Q3110" s="10" t="str">
        <f t="shared" si="2965"/>
        <v>NA</v>
      </c>
      <c r="R3110" s="10" t="e">
        <v>#N/A</v>
      </c>
      <c r="S3110" s="10" t="e">
        <v>#N/A</v>
      </c>
      <c r="T3110" s="10" t="e">
        <v>#N/A</v>
      </c>
      <c r="U3110" s="10" t="e">
        <v>#N/A</v>
      </c>
      <c r="V3110" s="10" t="e">
        <v>#N/A</v>
      </c>
      <c r="W3110" s="10" t="e">
        <v>#N/A</v>
      </c>
      <c r="X3110" s="10" t="str">
        <f t="shared" si="2969"/>
        <v>NA</v>
      </c>
      <c r="Y3110" s="10" t="str">
        <f t="shared" si="2970"/>
        <v>NA</v>
      </c>
      <c r="Z3110" s="10" t="str">
        <f t="shared" si="2971"/>
        <v>NA</v>
      </c>
      <c r="AA3110" s="10" t="str">
        <f t="shared" si="2972"/>
        <v>NA</v>
      </c>
      <c r="AB3110" s="10" t="str">
        <f t="shared" si="2973"/>
        <v>NA</v>
      </c>
      <c r="AC3110" s="10" t="str">
        <f t="shared" si="2974"/>
        <v>NA</v>
      </c>
      <c r="AD3110" s="10" t="str">
        <f t="shared" si="2975"/>
        <v>NA</v>
      </c>
      <c r="AE3110" s="10" t="str">
        <f t="shared" si="2976"/>
        <v>NA</v>
      </c>
      <c r="AF3110" s="1" t="s">
        <v>3800</v>
      </c>
    </row>
    <row r="3111" spans="1:32" x14ac:dyDescent="0.2">
      <c r="A3111" s="1" t="s">
        <v>6800</v>
      </c>
      <c r="B3111" s="1" t="s">
        <v>5</v>
      </c>
      <c r="C3111" s="1" t="s">
        <v>1575</v>
      </c>
      <c r="D3111" s="1" t="s">
        <v>1615</v>
      </c>
      <c r="E3111" s="1" t="s">
        <v>2176</v>
      </c>
      <c r="F3111" s="1" t="s">
        <v>3783</v>
      </c>
      <c r="G3111" s="4" t="s">
        <v>11</v>
      </c>
      <c r="H3111" s="28">
        <v>39661</v>
      </c>
      <c r="I3111" s="29">
        <f t="shared" si="2997"/>
        <v>2008</v>
      </c>
      <c r="J3111" s="1" t="s">
        <v>3768</v>
      </c>
      <c r="K3111" s="1" t="s">
        <v>6784</v>
      </c>
      <c r="L3111" s="11" t="str">
        <f t="shared" ref="L3111:L3113" si="2999">IF(OR(A3111=J3111,A3111=K3111),"ДА","НЕТ")</f>
        <v>НЕТ</v>
      </c>
      <c r="M3111" s="10">
        <v>4.5890000000000004</v>
      </c>
      <c r="N3111" s="10">
        <v>0</v>
      </c>
      <c r="O3111" s="10">
        <f>M3111*23.4186/1000</f>
        <v>0.10746795540000002</v>
      </c>
      <c r="P3111" s="10" t="str">
        <f t="shared" si="2964"/>
        <v>NA</v>
      </c>
      <c r="Q3111" s="10" t="str">
        <f t="shared" si="2965"/>
        <v>NA</v>
      </c>
      <c r="R3111" s="10" t="s">
        <v>1575</v>
      </c>
      <c r="S3111" s="10" t="s">
        <v>1575</v>
      </c>
      <c r="T3111" s="10" t="s">
        <v>1575</v>
      </c>
      <c r="U3111" s="10" t="s">
        <v>1575</v>
      </c>
      <c r="V3111" s="10" t="s">
        <v>1575</v>
      </c>
      <c r="W3111" s="10" t="s">
        <v>1575</v>
      </c>
      <c r="X3111" s="10" t="str">
        <f t="shared" si="2969"/>
        <v>NA</v>
      </c>
      <c r="Y3111" s="10" t="str">
        <f t="shared" si="2970"/>
        <v>NA</v>
      </c>
      <c r="Z3111" s="10" t="str">
        <f t="shared" si="2971"/>
        <v>NA</v>
      </c>
      <c r="AA3111" s="10" t="str">
        <f t="shared" si="2972"/>
        <v>NA</v>
      </c>
      <c r="AB3111" s="10" t="str">
        <f t="shared" si="2973"/>
        <v>NA</v>
      </c>
      <c r="AC3111" s="10" t="str">
        <f t="shared" si="2974"/>
        <v>NA</v>
      </c>
      <c r="AD3111" s="10" t="str">
        <f t="shared" si="2975"/>
        <v>NA</v>
      </c>
      <c r="AE3111" s="10" t="str">
        <f t="shared" si="2976"/>
        <v>NA</v>
      </c>
      <c r="AF3111" s="1" t="s">
        <v>3801</v>
      </c>
    </row>
    <row r="3112" spans="1:32" x14ac:dyDescent="0.2">
      <c r="A3112" s="1" t="s">
        <v>3819</v>
      </c>
      <c r="B3112" s="1" t="s">
        <v>780</v>
      </c>
      <c r="C3112" s="1" t="s">
        <v>1575</v>
      </c>
      <c r="D3112" s="1" t="s">
        <v>1615</v>
      </c>
      <c r="E3112" s="1" t="s">
        <v>2176</v>
      </c>
      <c r="F3112" s="1" t="s">
        <v>3770</v>
      </c>
      <c r="G3112" s="4" t="s">
        <v>11</v>
      </c>
      <c r="H3112" s="28">
        <v>39813</v>
      </c>
      <c r="I3112" s="29">
        <f t="shared" si="2997"/>
        <v>2008</v>
      </c>
      <c r="J3112" s="1" t="s">
        <v>3768</v>
      </c>
      <c r="K3112" s="1" t="s">
        <v>7</v>
      </c>
      <c r="L3112" s="11" t="str">
        <f t="shared" si="2999"/>
        <v>НЕТ</v>
      </c>
      <c r="M3112" s="10">
        <v>79</v>
      </c>
      <c r="N3112" s="10">
        <v>0</v>
      </c>
      <c r="O3112" s="10">
        <f>M3112*23.4186/1000</f>
        <v>1.8500694000000002</v>
      </c>
      <c r="P3112" s="10" t="str">
        <f t="shared" si="2964"/>
        <v>NA</v>
      </c>
      <c r="Q3112" s="10" t="str">
        <f t="shared" si="2965"/>
        <v>NA</v>
      </c>
      <c r="R3112" s="10">
        <f>(55.1+5.7)</f>
        <v>60.800000000000004</v>
      </c>
      <c r="S3112" s="10">
        <f>(17.4+3.4)</f>
        <v>20.799999999999997</v>
      </c>
      <c r="T3112" s="10">
        <f>(11.8+2.8)</f>
        <v>14.600000000000001</v>
      </c>
      <c r="U3112" s="10" t="s">
        <v>1575</v>
      </c>
      <c r="V3112" s="10">
        <f>(138.5+27.1-64.4-19.7)</f>
        <v>81.499999999999986</v>
      </c>
      <c r="W3112" s="10">
        <f>(63.5+19.5)</f>
        <v>83</v>
      </c>
      <c r="X3112" s="10">
        <f t="shared" si="2969"/>
        <v>164.5</v>
      </c>
      <c r="Y3112" s="10" t="str">
        <f t="shared" si="2970"/>
        <v>NA</v>
      </c>
      <c r="Z3112" s="10" t="str">
        <f t="shared" si="2971"/>
        <v>NA</v>
      </c>
      <c r="AA3112" s="10" t="str">
        <f t="shared" si="2972"/>
        <v>NA</v>
      </c>
      <c r="AB3112" s="10" t="str">
        <f t="shared" si="2973"/>
        <v>NA</v>
      </c>
      <c r="AC3112" s="10" t="str">
        <f t="shared" si="2974"/>
        <v>NA</v>
      </c>
      <c r="AD3112" s="10" t="str">
        <f t="shared" si="2975"/>
        <v>NA</v>
      </c>
      <c r="AE3112" s="10" t="str">
        <f t="shared" si="2976"/>
        <v>NA</v>
      </c>
      <c r="AF3112" s="1" t="s">
        <v>3820</v>
      </c>
    </row>
    <row r="3113" spans="1:32" x14ac:dyDescent="0.2">
      <c r="A3113" s="1" t="s">
        <v>6801</v>
      </c>
      <c r="B3113" s="1" t="s">
        <v>5</v>
      </c>
      <c r="C3113" s="1" t="s">
        <v>1575</v>
      </c>
      <c r="D3113" s="1" t="s">
        <v>1615</v>
      </c>
      <c r="E3113" s="1" t="s">
        <v>2176</v>
      </c>
      <c r="F3113" s="1" t="s">
        <v>3783</v>
      </c>
      <c r="G3113" s="4">
        <v>1</v>
      </c>
      <c r="H3113" s="28">
        <v>39233</v>
      </c>
      <c r="I3113" s="29">
        <f t="shared" si="2980"/>
        <v>2007</v>
      </c>
      <c r="J3113" s="1" t="s">
        <v>3817</v>
      </c>
      <c r="K3113" s="1" t="s">
        <v>7</v>
      </c>
      <c r="L3113" s="11" t="str">
        <f t="shared" si="2999"/>
        <v>НЕТ</v>
      </c>
      <c r="M3113" s="10">
        <f>40.25+99.75</f>
        <v>140</v>
      </c>
      <c r="N3113" s="10">
        <v>0</v>
      </c>
      <c r="O3113" s="10">
        <f>M3113*25.9031/1000</f>
        <v>3.6264339999999997</v>
      </c>
      <c r="P3113" s="10">
        <f t="shared" si="2964"/>
        <v>3.6264339999999997</v>
      </c>
      <c r="Q3113" s="10">
        <f t="shared" si="2965"/>
        <v>9.549436845999999</v>
      </c>
      <c r="R3113" s="10">
        <f>70.434*25.9031/1000</f>
        <v>1.8244589453999998</v>
      </c>
      <c r="S3113" s="10" t="s">
        <v>1575</v>
      </c>
      <c r="T3113" s="10" t="s">
        <v>1575</v>
      </c>
      <c r="U3113" s="10">
        <f>24.084*25.9031/1000</f>
        <v>0.62385026039999991</v>
      </c>
      <c r="V3113" s="10">
        <f>108.394*25.9031/1000</f>
        <v>2.8077406213999998</v>
      </c>
      <c r="W3113" s="10">
        <f>(234.842-6.182)*25.9031/1000</f>
        <v>5.9230028460000002</v>
      </c>
      <c r="X3113" s="10">
        <f t="shared" si="2969"/>
        <v>8.7307434674</v>
      </c>
      <c r="Y3113" s="10">
        <f t="shared" si="2970"/>
        <v>1.9876764062810575</v>
      </c>
      <c r="Z3113" s="10">
        <f t="shared" si="2971"/>
        <v>5.8129878757681448</v>
      </c>
      <c r="AA3113" s="10">
        <f t="shared" si="2972"/>
        <v>1.2915844050408694</v>
      </c>
      <c r="AB3113" s="10">
        <f t="shared" si="2973"/>
        <v>5.2341198852826762</v>
      </c>
      <c r="AC3113" s="10" t="str">
        <f t="shared" si="2974"/>
        <v>NA</v>
      </c>
      <c r="AD3113" s="10" t="str">
        <f t="shared" si="2975"/>
        <v>NA</v>
      </c>
      <c r="AE3113" s="10">
        <f t="shared" si="2976"/>
        <v>1.0937713244761966</v>
      </c>
      <c r="AF3113" s="1" t="s">
        <v>3818</v>
      </c>
    </row>
    <row r="3114" spans="1:32" x14ac:dyDescent="0.2">
      <c r="A3114" s="1" t="s">
        <v>3805</v>
      </c>
      <c r="B3114" s="1" t="s">
        <v>179</v>
      </c>
      <c r="C3114" s="1" t="s">
        <v>1575</v>
      </c>
      <c r="D3114" s="1" t="s">
        <v>1580</v>
      </c>
      <c r="E3114" s="1" t="s">
        <v>2165</v>
      </c>
      <c r="F3114" s="1" t="s">
        <v>3793</v>
      </c>
      <c r="G3114" s="4">
        <v>0.8</v>
      </c>
      <c r="H3114" s="28">
        <v>39386</v>
      </c>
      <c r="I3114" s="29">
        <f t="shared" si="2980"/>
        <v>2007</v>
      </c>
      <c r="J3114" s="1" t="s">
        <v>7</v>
      </c>
      <c r="K3114" s="1" t="s">
        <v>3768</v>
      </c>
      <c r="L3114" s="11" t="str">
        <f t="shared" ref="L3114" si="3000">IF(OR(A3114=J3114,A3114=K3114),"ДА","НЕТ")</f>
        <v>НЕТ</v>
      </c>
      <c r="M3114" s="10">
        <v>6.5000000000000002E-2</v>
      </c>
      <c r="N3114" s="10">
        <v>0</v>
      </c>
      <c r="O3114" s="10">
        <f>M3114*24.7238/1000</f>
        <v>1.6070470000000001E-3</v>
      </c>
      <c r="P3114" s="10">
        <f t="shared" si="2964"/>
        <v>2.00880875E-3</v>
      </c>
      <c r="Q3114" s="10">
        <f t="shared" si="2965"/>
        <v>6.9844735000000016E-4</v>
      </c>
      <c r="R3114" s="10" t="s">
        <v>1575</v>
      </c>
      <c r="S3114" s="10" t="s">
        <v>1575</v>
      </c>
      <c r="T3114" s="10" t="s">
        <v>1575</v>
      </c>
      <c r="U3114" s="10" t="s">
        <v>1575</v>
      </c>
      <c r="V3114" s="10">
        <f>0.023*24.7238/1000</f>
        <v>5.6864740000000006E-4</v>
      </c>
      <c r="W3114" s="10">
        <f>-0.053*24.7238/1000</f>
        <v>-1.3103613999999998E-3</v>
      </c>
      <c r="X3114" s="10">
        <f t="shared" si="2969"/>
        <v>-7.4171399999999976E-4</v>
      </c>
      <c r="Y3114" s="10" t="str">
        <f t="shared" si="2970"/>
        <v>NA</v>
      </c>
      <c r="Z3114" s="10" t="str">
        <f t="shared" si="2971"/>
        <v>NA</v>
      </c>
      <c r="AA3114" s="10">
        <f t="shared" si="2972"/>
        <v>3.5326086956521734</v>
      </c>
      <c r="AB3114" s="10" t="str">
        <f t="shared" si="2973"/>
        <v>NA</v>
      </c>
      <c r="AC3114" s="10" t="str">
        <f t="shared" si="2974"/>
        <v>NA</v>
      </c>
      <c r="AD3114" s="10" t="str">
        <f t="shared" si="2975"/>
        <v>NA</v>
      </c>
      <c r="AE3114" s="10">
        <f t="shared" si="2976"/>
        <v>-0.94166666666666721</v>
      </c>
      <c r="AF3114" s="1" t="s">
        <v>3804</v>
      </c>
    </row>
    <row r="3115" spans="1:32" x14ac:dyDescent="0.2">
      <c r="A3115" s="1" t="s">
        <v>6802</v>
      </c>
      <c r="B3115" s="1" t="s">
        <v>5</v>
      </c>
      <c r="C3115" s="1" t="s">
        <v>1575</v>
      </c>
      <c r="D3115" s="1" t="s">
        <v>1580</v>
      </c>
      <c r="E3115" s="1" t="s">
        <v>1593</v>
      </c>
      <c r="F3115" s="1" t="s">
        <v>545</v>
      </c>
      <c r="G3115" s="4">
        <v>1</v>
      </c>
      <c r="H3115" s="28">
        <v>39386</v>
      </c>
      <c r="I3115" s="29">
        <f t="shared" si="2980"/>
        <v>2007</v>
      </c>
      <c r="J3115" s="1" t="s">
        <v>7</v>
      </c>
      <c r="K3115" s="1" t="s">
        <v>3768</v>
      </c>
      <c r="L3115" s="11" t="str">
        <f t="shared" ref="L3115" si="3001">IF(OR(A3115=J3115,A3115=K3115),"ДА","НЕТ")</f>
        <v>НЕТ</v>
      </c>
      <c r="M3115" s="10">
        <v>6.0000000000000001E-3</v>
      </c>
      <c r="N3115" s="10">
        <v>0</v>
      </c>
      <c r="O3115" s="10">
        <f>M3115*24.7238/1000</f>
        <v>1.4834279999999999E-4</v>
      </c>
      <c r="P3115" s="10">
        <f t="shared" si="2964"/>
        <v>1.4834279999999999E-4</v>
      </c>
      <c r="Q3115" s="10">
        <f t="shared" si="2965"/>
        <v>7.4171399999999993E-5</v>
      </c>
      <c r="R3115" s="10" t="s">
        <v>1575</v>
      </c>
      <c r="S3115" s="10" t="s">
        <v>1575</v>
      </c>
      <c r="T3115" s="10" t="s">
        <v>1575</v>
      </c>
      <c r="U3115" s="10" t="s">
        <v>1575</v>
      </c>
      <c r="V3115" s="10">
        <f>0.006*24.7238/1000</f>
        <v>1.4834279999999999E-4</v>
      </c>
      <c r="W3115" s="10">
        <f>-0.003*24.7238/1000</f>
        <v>-7.4171399999999993E-5</v>
      </c>
      <c r="X3115" s="10">
        <f t="shared" si="2969"/>
        <v>7.4171399999999993E-5</v>
      </c>
      <c r="Y3115" s="10" t="str">
        <f t="shared" si="2970"/>
        <v>NA</v>
      </c>
      <c r="Z3115" s="10" t="str">
        <f t="shared" si="2971"/>
        <v>NA</v>
      </c>
      <c r="AA3115" s="10">
        <f t="shared" si="2972"/>
        <v>1</v>
      </c>
      <c r="AB3115" s="10" t="str">
        <f t="shared" si="2973"/>
        <v>NA</v>
      </c>
      <c r="AC3115" s="10" t="str">
        <f t="shared" si="2974"/>
        <v>NA</v>
      </c>
      <c r="AD3115" s="10" t="str">
        <f t="shared" si="2975"/>
        <v>NA</v>
      </c>
      <c r="AE3115" s="10">
        <f t="shared" si="2976"/>
        <v>1</v>
      </c>
      <c r="AF3115" s="1" t="s">
        <v>3806</v>
      </c>
    </row>
    <row r="3116" spans="1:32" x14ac:dyDescent="0.2">
      <c r="A3116" s="1" t="s">
        <v>3808</v>
      </c>
      <c r="B3116" s="1" t="s">
        <v>179</v>
      </c>
      <c r="C3116" s="1" t="s">
        <v>1575</v>
      </c>
      <c r="D3116" s="1" t="s">
        <v>1580</v>
      </c>
      <c r="E3116" s="1" t="s">
        <v>2165</v>
      </c>
      <c r="F3116" s="1" t="s">
        <v>3793</v>
      </c>
      <c r="G3116" s="4">
        <v>0.75</v>
      </c>
      <c r="H3116" s="28">
        <v>39447</v>
      </c>
      <c r="I3116" s="29">
        <f t="shared" ref="I3116:I3120" si="3002">YEAR(H3116)</f>
        <v>2007</v>
      </c>
      <c r="J3116" s="1" t="s">
        <v>7</v>
      </c>
      <c r="K3116" s="1" t="s">
        <v>3768</v>
      </c>
      <c r="L3116" s="11" t="str">
        <f t="shared" ref="L3116:L3118" si="3003">IF(OR(A3116=J3116,A3116=K3116),"ДА","НЕТ")</f>
        <v>НЕТ</v>
      </c>
      <c r="M3116" s="10">
        <v>2.2589999999999999</v>
      </c>
      <c r="N3116" s="10">
        <v>0</v>
      </c>
      <c r="O3116" s="10">
        <f>M3116*24.5462/1000</f>
        <v>5.5449865799999998E-2</v>
      </c>
      <c r="P3116" s="10">
        <f t="shared" si="2964"/>
        <v>7.3933154399999992E-2</v>
      </c>
      <c r="Q3116" s="10">
        <f t="shared" si="2965"/>
        <v>0.84348107059999988</v>
      </c>
      <c r="R3116" s="10" t="s">
        <v>1575</v>
      </c>
      <c r="S3116" s="10" t="s">
        <v>1575</v>
      </c>
      <c r="T3116" s="10" t="s">
        <v>1575</v>
      </c>
      <c r="U3116" s="10" t="s">
        <v>1575</v>
      </c>
      <c r="V3116" s="10">
        <f>0.404*24.5462/1000</f>
        <v>9.9166647999999989E-3</v>
      </c>
      <c r="W3116" s="10">
        <f>(35.032-3.681)*24.5462/1000</f>
        <v>0.76954791619999985</v>
      </c>
      <c r="X3116" s="10">
        <f t="shared" si="2969"/>
        <v>0.77946458099999982</v>
      </c>
      <c r="Y3116" s="10" t="str">
        <f t="shared" si="2970"/>
        <v>NA</v>
      </c>
      <c r="Z3116" s="10" t="str">
        <f t="shared" si="2971"/>
        <v>NA</v>
      </c>
      <c r="AA3116" s="10">
        <f t="shared" si="2972"/>
        <v>7.4554455445544559</v>
      </c>
      <c r="AB3116" s="10" t="str">
        <f t="shared" si="2973"/>
        <v>NA</v>
      </c>
      <c r="AC3116" s="10" t="str">
        <f t="shared" si="2974"/>
        <v>NA</v>
      </c>
      <c r="AD3116" s="10" t="str">
        <f t="shared" si="2975"/>
        <v>NA</v>
      </c>
      <c r="AE3116" s="10">
        <f t="shared" si="2976"/>
        <v>1.0821287986143915</v>
      </c>
      <c r="AF3116" s="1" t="s">
        <v>3807</v>
      </c>
    </row>
    <row r="3117" spans="1:32" x14ac:dyDescent="0.2">
      <c r="A3117" s="1" t="s">
        <v>3802</v>
      </c>
      <c r="B3117" s="1" t="s">
        <v>179</v>
      </c>
      <c r="C3117" s="1" t="s">
        <v>1575</v>
      </c>
      <c r="D3117" s="1" t="s">
        <v>1580</v>
      </c>
      <c r="E3117" s="1" t="s">
        <v>2165</v>
      </c>
      <c r="F3117" s="1" t="s">
        <v>3793</v>
      </c>
      <c r="G3117" s="4">
        <v>0.5</v>
      </c>
      <c r="H3117" s="28">
        <v>38990</v>
      </c>
      <c r="I3117" s="29">
        <f t="shared" si="3002"/>
        <v>2006</v>
      </c>
      <c r="J3117" s="1" t="s">
        <v>7</v>
      </c>
      <c r="K3117" s="1" t="s">
        <v>3768</v>
      </c>
      <c r="L3117" s="11" t="str">
        <f t="shared" si="3003"/>
        <v>НЕТ</v>
      </c>
      <c r="M3117" s="10">
        <v>80</v>
      </c>
      <c r="N3117" s="10">
        <v>0</v>
      </c>
      <c r="O3117" s="10">
        <f>M3117*26.7799/1000</f>
        <v>2.1423920000000001</v>
      </c>
      <c r="P3117" s="10">
        <f t="shared" si="2964"/>
        <v>4.2847840000000001</v>
      </c>
      <c r="Q3117" s="10" t="str">
        <f t="shared" si="2965"/>
        <v>NA</v>
      </c>
      <c r="R3117" s="10">
        <f>120.629*26.7799/1000</f>
        <v>3.2304325571000003</v>
      </c>
      <c r="S3117" s="10" t="s">
        <v>1575</v>
      </c>
      <c r="T3117" s="10" t="s">
        <v>1575</v>
      </c>
      <c r="U3117" s="10">
        <f>R3117-110.859*26.7799/1000</f>
        <v>0.26163962300000021</v>
      </c>
      <c r="V3117" s="10">
        <f>64.53*26.7799/1000</f>
        <v>1.7281069470000001</v>
      </c>
      <c r="W3117" s="10" t="s">
        <v>1575</v>
      </c>
      <c r="X3117" s="10" t="str">
        <f t="shared" si="2969"/>
        <v>NA</v>
      </c>
      <c r="Y3117" s="10">
        <f t="shared" si="2970"/>
        <v>1.3263808868514204</v>
      </c>
      <c r="Z3117" s="10">
        <f t="shared" si="2971"/>
        <v>16.376663254861811</v>
      </c>
      <c r="AA3117" s="10">
        <f t="shared" si="2972"/>
        <v>2.4794669146133579</v>
      </c>
      <c r="AB3117" s="10" t="str">
        <f t="shared" si="2973"/>
        <v>NA</v>
      </c>
      <c r="AC3117" s="10" t="str">
        <f t="shared" si="2974"/>
        <v>NA</v>
      </c>
      <c r="AD3117" s="10" t="str">
        <f t="shared" si="2975"/>
        <v>NA</v>
      </c>
      <c r="AE3117" s="10" t="str">
        <f t="shared" si="2976"/>
        <v>NA</v>
      </c>
      <c r="AF3117" s="1" t="s">
        <v>3803</v>
      </c>
    </row>
    <row r="3118" spans="1:32" x14ac:dyDescent="0.2">
      <c r="A3118" s="1" t="s">
        <v>3805</v>
      </c>
      <c r="B3118" s="1" t="s">
        <v>179</v>
      </c>
      <c r="C3118" s="1" t="s">
        <v>1575</v>
      </c>
      <c r="D3118" s="1" t="s">
        <v>1580</v>
      </c>
      <c r="E3118" s="1" t="s">
        <v>2165</v>
      </c>
      <c r="F3118" s="1" t="s">
        <v>3793</v>
      </c>
      <c r="G3118" s="4">
        <v>0.5</v>
      </c>
      <c r="H3118" s="28">
        <v>38748</v>
      </c>
      <c r="I3118" s="29">
        <f t="shared" si="3002"/>
        <v>2006</v>
      </c>
      <c r="J3118" s="1" t="s">
        <v>3768</v>
      </c>
      <c r="K3118" s="1" t="s">
        <v>7</v>
      </c>
      <c r="L3118" s="11" t="str">
        <f t="shared" si="3003"/>
        <v>НЕТ</v>
      </c>
      <c r="M3118" s="10">
        <v>0</v>
      </c>
      <c r="N3118" s="10">
        <v>0</v>
      </c>
      <c r="O3118" s="10">
        <f>M3118*28.1207/1000</f>
        <v>0</v>
      </c>
      <c r="P3118" s="10">
        <f t="shared" si="2964"/>
        <v>0</v>
      </c>
      <c r="Q3118" s="10">
        <f t="shared" si="2965"/>
        <v>0</v>
      </c>
      <c r="R3118" s="10" t="s">
        <v>1575</v>
      </c>
      <c r="S3118" s="10" t="s">
        <v>1575</v>
      </c>
      <c r="T3118" s="10" t="s">
        <v>1575</v>
      </c>
      <c r="U3118" s="10" t="s">
        <v>1575</v>
      </c>
      <c r="V3118" s="10">
        <v>0</v>
      </c>
      <c r="W3118" s="10">
        <v>0</v>
      </c>
      <c r="X3118" s="10">
        <f t="shared" si="2969"/>
        <v>0</v>
      </c>
      <c r="Y3118" s="10" t="str">
        <f t="shared" si="2970"/>
        <v>NA</v>
      </c>
      <c r="Z3118" s="10" t="str">
        <f t="shared" si="2971"/>
        <v>NA</v>
      </c>
      <c r="AA3118" s="10" t="str">
        <f t="shared" si="2972"/>
        <v>NA</v>
      </c>
      <c r="AB3118" s="10" t="str">
        <f t="shared" si="2973"/>
        <v>NA</v>
      </c>
      <c r="AC3118" s="10" t="str">
        <f t="shared" si="2974"/>
        <v>NA</v>
      </c>
      <c r="AD3118" s="10" t="str">
        <f t="shared" si="2975"/>
        <v>NA</v>
      </c>
      <c r="AE3118" s="10" t="str">
        <f t="shared" si="2976"/>
        <v>NA</v>
      </c>
      <c r="AF3118" s="1" t="s">
        <v>3812</v>
      </c>
    </row>
    <row r="3119" spans="1:32" x14ac:dyDescent="0.2">
      <c r="A3119" s="1" t="s">
        <v>3805</v>
      </c>
      <c r="B3119" s="1" t="s">
        <v>179</v>
      </c>
      <c r="C3119" s="1" t="s">
        <v>1575</v>
      </c>
      <c r="D3119" s="1" t="s">
        <v>1580</v>
      </c>
      <c r="E3119" s="1" t="s">
        <v>2165</v>
      </c>
      <c r="F3119" s="1" t="s">
        <v>3793</v>
      </c>
      <c r="G3119" s="4">
        <v>0.2</v>
      </c>
      <c r="H3119" s="28">
        <v>39021</v>
      </c>
      <c r="I3119" s="29">
        <f t="shared" si="3002"/>
        <v>2006</v>
      </c>
      <c r="J3119" s="1" t="s">
        <v>7</v>
      </c>
      <c r="K3119" s="1" t="s">
        <v>3768</v>
      </c>
      <c r="L3119" s="11" t="str">
        <f t="shared" ref="L3119:L3120" si="3004">IF(OR(A3119=J3119,A3119=K3119),"ДА","НЕТ")</f>
        <v>НЕТ</v>
      </c>
      <c r="M3119" s="10">
        <v>4.4999999999999997E-3</v>
      </c>
      <c r="N3119" s="10">
        <v>0</v>
      </c>
      <c r="O3119" s="10">
        <f>M3119*28.1207/1000</f>
        <v>1.2654314999999998E-4</v>
      </c>
      <c r="P3119" s="10">
        <f t="shared" si="2964"/>
        <v>6.3271574999999988E-4</v>
      </c>
      <c r="Q3119" s="10">
        <f t="shared" si="2965"/>
        <v>6.3271574999999988E-4</v>
      </c>
      <c r="R3119" s="10" t="s">
        <v>1575</v>
      </c>
      <c r="S3119" s="10" t="s">
        <v>1575</v>
      </c>
      <c r="T3119" s="10" t="s">
        <v>1575</v>
      </c>
      <c r="U3119" s="10" t="s">
        <v>1575</v>
      </c>
      <c r="V3119" s="10">
        <v>0</v>
      </c>
      <c r="W3119" s="10">
        <v>0</v>
      </c>
      <c r="X3119" s="10">
        <f t="shared" si="2969"/>
        <v>0</v>
      </c>
      <c r="Y3119" s="10" t="str">
        <f t="shared" si="2970"/>
        <v>NA</v>
      </c>
      <c r="Z3119" s="10" t="str">
        <f t="shared" si="2971"/>
        <v>NA</v>
      </c>
      <c r="AA3119" s="10" t="str">
        <f t="shared" si="2972"/>
        <v>NA</v>
      </c>
      <c r="AB3119" s="10" t="str">
        <f t="shared" si="2973"/>
        <v>NA</v>
      </c>
      <c r="AC3119" s="10" t="str">
        <f t="shared" si="2974"/>
        <v>NA</v>
      </c>
      <c r="AD3119" s="10" t="str">
        <f t="shared" si="2975"/>
        <v>NA</v>
      </c>
      <c r="AE3119" s="10" t="str">
        <f t="shared" si="2976"/>
        <v>NA</v>
      </c>
      <c r="AF3119" s="1" t="s">
        <v>3809</v>
      </c>
    </row>
    <row r="3120" spans="1:32" x14ac:dyDescent="0.2">
      <c r="A3120" s="1" t="s">
        <v>6803</v>
      </c>
      <c r="B3120" s="1" t="s">
        <v>5</v>
      </c>
      <c r="C3120" s="1" t="s">
        <v>1575</v>
      </c>
      <c r="D3120" s="1" t="s">
        <v>1615</v>
      </c>
      <c r="E3120" s="1" t="s">
        <v>2176</v>
      </c>
      <c r="F3120" s="1" t="s">
        <v>3783</v>
      </c>
      <c r="G3120" s="4">
        <v>1</v>
      </c>
      <c r="H3120" s="28">
        <v>39021</v>
      </c>
      <c r="I3120" s="29">
        <f t="shared" si="3002"/>
        <v>2006</v>
      </c>
      <c r="J3120" s="1" t="s">
        <v>3813</v>
      </c>
      <c r="K3120" s="1" t="s">
        <v>7</v>
      </c>
      <c r="L3120" s="11" t="str">
        <f t="shared" si="3004"/>
        <v>НЕТ</v>
      </c>
      <c r="M3120" s="10">
        <v>0</v>
      </c>
      <c r="N3120" s="10">
        <v>0</v>
      </c>
      <c r="O3120" s="10">
        <v>1E-3</v>
      </c>
      <c r="P3120" s="10">
        <f t="shared" si="2964"/>
        <v>1E-3</v>
      </c>
      <c r="Q3120" s="10" t="str">
        <f t="shared" si="2965"/>
        <v>NA</v>
      </c>
      <c r="R3120" s="10" t="s">
        <v>1575</v>
      </c>
      <c r="S3120" s="10" t="s">
        <v>1575</v>
      </c>
      <c r="T3120" s="10" t="s">
        <v>1575</v>
      </c>
      <c r="U3120" s="10" t="s">
        <v>1575</v>
      </c>
      <c r="V3120" s="10" t="s">
        <v>1575</v>
      </c>
      <c r="W3120" s="10" t="s">
        <v>1575</v>
      </c>
      <c r="X3120" s="10" t="str">
        <f t="shared" si="2969"/>
        <v>NA</v>
      </c>
      <c r="Y3120" s="10" t="str">
        <f t="shared" si="2970"/>
        <v>NA</v>
      </c>
      <c r="Z3120" s="10" t="str">
        <f t="shared" si="2971"/>
        <v>NA</v>
      </c>
      <c r="AA3120" s="10" t="str">
        <f t="shared" si="2972"/>
        <v>NA</v>
      </c>
      <c r="AB3120" s="10" t="str">
        <f t="shared" si="2973"/>
        <v>NA</v>
      </c>
      <c r="AC3120" s="10" t="str">
        <f t="shared" si="2974"/>
        <v>NA</v>
      </c>
      <c r="AD3120" s="10" t="str">
        <f t="shared" si="2975"/>
        <v>NA</v>
      </c>
      <c r="AE3120" s="10" t="str">
        <f t="shared" si="2976"/>
        <v>NA</v>
      </c>
      <c r="AF3120" s="1" t="s">
        <v>3810</v>
      </c>
    </row>
    <row r="3121" spans="1:32" x14ac:dyDescent="0.2">
      <c r="A3121" s="1" t="s">
        <v>3808</v>
      </c>
      <c r="B3121" s="1" t="s">
        <v>179</v>
      </c>
      <c r="C3121" s="1" t="s">
        <v>1575</v>
      </c>
      <c r="D3121" s="1" t="s">
        <v>1580</v>
      </c>
      <c r="E3121" s="1" t="s">
        <v>2165</v>
      </c>
      <c r="F3121" s="1" t="s">
        <v>3793</v>
      </c>
      <c r="G3121" s="4">
        <v>0.74997999999999998</v>
      </c>
      <c r="H3121" s="28">
        <v>38960</v>
      </c>
      <c r="I3121" s="29">
        <f t="shared" ref="I3121" si="3005">YEAR(H3121)</f>
        <v>2006</v>
      </c>
      <c r="J3121" s="1" t="s">
        <v>3768</v>
      </c>
      <c r="K3121" s="1" t="s">
        <v>7</v>
      </c>
      <c r="L3121" s="11" t="str">
        <f t="shared" ref="L3121" si="3006">IF(OR(A3121=J3121,A3121=K3121),"ДА","НЕТ")</f>
        <v>НЕТ</v>
      </c>
      <c r="M3121" s="10">
        <v>8.4000000000000005E-2</v>
      </c>
      <c r="N3121" s="10">
        <v>0</v>
      </c>
      <c r="O3121" s="10">
        <f>M3121*26.7446/1000</f>
        <v>2.2465464E-3</v>
      </c>
      <c r="P3121" s="10">
        <f t="shared" si="2964"/>
        <v>2.9954750793354488E-3</v>
      </c>
      <c r="Q3121" s="10">
        <f t="shared" si="2965"/>
        <v>1.497777479335449E-3</v>
      </c>
      <c r="R3121" s="10" t="s">
        <v>1575</v>
      </c>
      <c r="S3121" s="10" t="s">
        <v>1575</v>
      </c>
      <c r="T3121" s="10" t="s">
        <v>1575</v>
      </c>
      <c r="U3121" s="10" t="s">
        <v>1575</v>
      </c>
      <c r="V3121" s="10">
        <f>0.084*26.7446/1000</f>
        <v>2.2465464E-3</v>
      </c>
      <c r="W3121" s="10">
        <f>-0.056*26.7446/1000</f>
        <v>-1.4976975999999999E-3</v>
      </c>
      <c r="X3121" s="10">
        <f t="shared" si="2969"/>
        <v>7.4884880000000015E-4</v>
      </c>
      <c r="Y3121" s="10" t="str">
        <f t="shared" si="2970"/>
        <v>NA</v>
      </c>
      <c r="Z3121" s="10" t="str">
        <f t="shared" si="2971"/>
        <v>NA</v>
      </c>
      <c r="AA3121" s="10">
        <f t="shared" si="2972"/>
        <v>1.3333688898370624</v>
      </c>
      <c r="AB3121" s="10" t="str">
        <f t="shared" si="2973"/>
        <v>NA</v>
      </c>
      <c r="AC3121" s="10" t="str">
        <f t="shared" si="2974"/>
        <v>NA</v>
      </c>
      <c r="AD3121" s="10" t="str">
        <f t="shared" si="2975"/>
        <v>NA</v>
      </c>
      <c r="AE3121" s="10">
        <f t="shared" si="2976"/>
        <v>2.0001066695111867</v>
      </c>
      <c r="AF3121" s="1" t="s">
        <v>3811</v>
      </c>
    </row>
    <row r="3122" spans="1:32" x14ac:dyDescent="0.2">
      <c r="A3122" s="1" t="s">
        <v>6795</v>
      </c>
      <c r="B3122" s="1" t="s">
        <v>5</v>
      </c>
      <c r="C3122" s="1" t="s">
        <v>1575</v>
      </c>
      <c r="D3122" s="1" t="s">
        <v>1615</v>
      </c>
      <c r="E3122" s="1" t="s">
        <v>2176</v>
      </c>
      <c r="F3122" s="1" t="s">
        <v>3783</v>
      </c>
      <c r="G3122" s="4">
        <v>0.97</v>
      </c>
      <c r="H3122" s="28">
        <v>38929</v>
      </c>
      <c r="I3122" s="29">
        <f t="shared" ref="I3122:I3125" si="3007">YEAR(H3122)</f>
        <v>2006</v>
      </c>
      <c r="J3122" s="1" t="s">
        <v>3816</v>
      </c>
      <c r="K3122" s="1" t="s">
        <v>7</v>
      </c>
      <c r="L3122" s="11" t="str">
        <f t="shared" ref="L3122:L3124" si="3008">IF(OR(A3122=J3122,A3122=K3122),"ДА","НЕТ")</f>
        <v>НЕТ</v>
      </c>
      <c r="M3122" s="10">
        <v>0</v>
      </c>
      <c r="N3122" s="10">
        <v>0</v>
      </c>
      <c r="O3122" s="10">
        <v>8.1000000000000003E-2</v>
      </c>
      <c r="P3122" s="10">
        <f t="shared" si="2964"/>
        <v>8.3505154639175266E-2</v>
      </c>
      <c r="Q3122" s="10" t="str">
        <f t="shared" si="2965"/>
        <v>NA</v>
      </c>
      <c r="R3122" s="10" t="s">
        <v>1575</v>
      </c>
      <c r="S3122" s="10" t="s">
        <v>1575</v>
      </c>
      <c r="T3122" s="10" t="s">
        <v>1575</v>
      </c>
      <c r="U3122" s="10" t="s">
        <v>1575</v>
      </c>
      <c r="V3122" s="10" t="s">
        <v>1575</v>
      </c>
      <c r="W3122" s="10" t="s">
        <v>1575</v>
      </c>
      <c r="X3122" s="10" t="str">
        <f t="shared" si="2969"/>
        <v>NA</v>
      </c>
      <c r="Y3122" s="10" t="str">
        <f t="shared" si="2970"/>
        <v>NA</v>
      </c>
      <c r="Z3122" s="10" t="str">
        <f t="shared" si="2971"/>
        <v>NA</v>
      </c>
      <c r="AA3122" s="10" t="str">
        <f t="shared" si="2972"/>
        <v>NA</v>
      </c>
      <c r="AB3122" s="10" t="str">
        <f t="shared" si="2973"/>
        <v>NA</v>
      </c>
      <c r="AC3122" s="10" t="str">
        <f t="shared" si="2974"/>
        <v>NA</v>
      </c>
      <c r="AD3122" s="10" t="str">
        <f t="shared" si="2975"/>
        <v>NA</v>
      </c>
      <c r="AE3122" s="10" t="str">
        <f t="shared" si="2976"/>
        <v>NA</v>
      </c>
      <c r="AF3122" s="1" t="s">
        <v>3814</v>
      </c>
    </row>
    <row r="3123" spans="1:32" x14ac:dyDescent="0.2">
      <c r="A3123" s="1" t="s">
        <v>3802</v>
      </c>
      <c r="B3123" s="1" t="s">
        <v>179</v>
      </c>
      <c r="C3123" s="1" t="s">
        <v>1575</v>
      </c>
      <c r="D3123" s="1" t="s">
        <v>1580</v>
      </c>
      <c r="E3123" s="1" t="s">
        <v>2165</v>
      </c>
      <c r="F3123" s="1" t="s">
        <v>3793</v>
      </c>
      <c r="G3123" s="4">
        <v>0.5</v>
      </c>
      <c r="H3123" s="28">
        <v>38990</v>
      </c>
      <c r="I3123" s="29">
        <f t="shared" si="3007"/>
        <v>2006</v>
      </c>
      <c r="J3123" s="1" t="s">
        <v>7</v>
      </c>
      <c r="K3123" s="1" t="s">
        <v>3768</v>
      </c>
      <c r="L3123" s="11" t="str">
        <f t="shared" si="3008"/>
        <v>НЕТ</v>
      </c>
      <c r="M3123" s="10">
        <v>80</v>
      </c>
      <c r="N3123" s="10">
        <v>0</v>
      </c>
      <c r="O3123" s="10">
        <f>M3123*26.7799/1000</f>
        <v>2.1423920000000001</v>
      </c>
      <c r="P3123" s="10">
        <f t="shared" si="2964"/>
        <v>4.2847840000000001</v>
      </c>
      <c r="Q3123" s="10" t="str">
        <f t="shared" si="2965"/>
        <v>NA</v>
      </c>
      <c r="R3123" s="10">
        <f>120.629*26.7799/1000</f>
        <v>3.2304325571000003</v>
      </c>
      <c r="S3123" s="10" t="s">
        <v>1575</v>
      </c>
      <c r="T3123" s="10" t="s">
        <v>1575</v>
      </c>
      <c r="U3123" s="10">
        <f>R3123-110.859*26.7799/1000</f>
        <v>0.26163962300000021</v>
      </c>
      <c r="V3123" s="10">
        <f>64.53*26.7799/1000</f>
        <v>1.7281069470000001</v>
      </c>
      <c r="W3123" s="10" t="s">
        <v>1575</v>
      </c>
      <c r="X3123" s="10" t="str">
        <f t="shared" si="2969"/>
        <v>NA</v>
      </c>
      <c r="Y3123" s="10">
        <f t="shared" si="2970"/>
        <v>1.3263808868514204</v>
      </c>
      <c r="Z3123" s="10">
        <f t="shared" si="2971"/>
        <v>16.376663254861811</v>
      </c>
      <c r="AA3123" s="10">
        <f t="shared" si="2972"/>
        <v>2.4794669146133579</v>
      </c>
      <c r="AB3123" s="10" t="str">
        <f t="shared" si="2973"/>
        <v>NA</v>
      </c>
      <c r="AC3123" s="10" t="str">
        <f t="shared" si="2974"/>
        <v>NA</v>
      </c>
      <c r="AD3123" s="10" t="str">
        <f t="shared" si="2975"/>
        <v>NA</v>
      </c>
      <c r="AE3123" s="10" t="str">
        <f t="shared" si="2976"/>
        <v>NA</v>
      </c>
      <c r="AF3123" s="1" t="s">
        <v>3803</v>
      </c>
    </row>
    <row r="3124" spans="1:32" x14ac:dyDescent="0.2">
      <c r="A3124" s="1" t="s">
        <v>6802</v>
      </c>
      <c r="B3124" s="1" t="s">
        <v>5</v>
      </c>
      <c r="C3124" s="1" t="s">
        <v>1575</v>
      </c>
      <c r="D3124" s="1" t="s">
        <v>1580</v>
      </c>
      <c r="E3124" s="1" t="s">
        <v>1593</v>
      </c>
      <c r="F3124" s="1" t="s">
        <v>545</v>
      </c>
      <c r="G3124" s="4">
        <v>1</v>
      </c>
      <c r="H3124" s="28">
        <v>38595</v>
      </c>
      <c r="I3124" s="29">
        <f t="shared" si="3007"/>
        <v>2005</v>
      </c>
      <c r="J3124" s="1" t="s">
        <v>3816</v>
      </c>
      <c r="K3124" s="1" t="s">
        <v>7</v>
      </c>
      <c r="L3124" s="11" t="str">
        <f t="shared" si="3008"/>
        <v>НЕТ</v>
      </c>
      <c r="M3124" s="10">
        <v>0</v>
      </c>
      <c r="N3124" s="10">
        <v>0</v>
      </c>
      <c r="O3124" s="10">
        <v>8.1000000000000003E-2</v>
      </c>
      <c r="P3124" s="10">
        <f t="shared" si="2964"/>
        <v>8.1000000000000003E-2</v>
      </c>
      <c r="Q3124" s="10" t="str">
        <f t="shared" si="2965"/>
        <v>NA</v>
      </c>
      <c r="R3124" s="10" t="s">
        <v>1575</v>
      </c>
      <c r="S3124" s="10" t="s">
        <v>1575</v>
      </c>
      <c r="T3124" s="10" t="s">
        <v>1575</v>
      </c>
      <c r="U3124" s="10" t="s">
        <v>1575</v>
      </c>
      <c r="V3124" s="10" t="s">
        <v>1575</v>
      </c>
      <c r="W3124" s="10" t="s">
        <v>1575</v>
      </c>
      <c r="X3124" s="10" t="str">
        <f t="shared" si="2969"/>
        <v>NA</v>
      </c>
      <c r="Y3124" s="10" t="str">
        <f t="shared" si="2970"/>
        <v>NA</v>
      </c>
      <c r="Z3124" s="10" t="str">
        <f t="shared" si="2971"/>
        <v>NA</v>
      </c>
      <c r="AA3124" s="10" t="str">
        <f t="shared" si="2972"/>
        <v>NA</v>
      </c>
      <c r="AB3124" s="10" t="str">
        <f t="shared" si="2973"/>
        <v>NA</v>
      </c>
      <c r="AC3124" s="10" t="str">
        <f t="shared" si="2974"/>
        <v>NA</v>
      </c>
      <c r="AD3124" s="10" t="str">
        <f t="shared" si="2975"/>
        <v>NA</v>
      </c>
      <c r="AE3124" s="10" t="str">
        <f t="shared" si="2976"/>
        <v>NA</v>
      </c>
      <c r="AF3124" s="1" t="s">
        <v>3815</v>
      </c>
    </row>
    <row r="3125" spans="1:32" x14ac:dyDescent="0.2">
      <c r="A3125" s="1" t="s">
        <v>3893</v>
      </c>
      <c r="B3125" s="1" t="s">
        <v>1575</v>
      </c>
      <c r="C3125" s="1" t="s">
        <v>1575</v>
      </c>
      <c r="D3125" s="1" t="s">
        <v>1615</v>
      </c>
      <c r="E3125" s="1" t="s">
        <v>2176</v>
      </c>
      <c r="F3125" s="1" t="s">
        <v>3392</v>
      </c>
      <c r="G3125" s="4">
        <v>0.51</v>
      </c>
      <c r="H3125" s="28">
        <v>44985</v>
      </c>
      <c r="I3125" s="29">
        <f t="shared" si="3007"/>
        <v>2023</v>
      </c>
      <c r="J3125" s="1" t="s">
        <v>3922</v>
      </c>
      <c r="K3125" s="1" t="s">
        <v>7</v>
      </c>
      <c r="L3125" s="11" t="str">
        <f t="shared" ref="L3125:L3127" si="3009">IF(OR(A3125=J3125,A3125=K3125),"ДА","НЕТ")</f>
        <v>НЕТ</v>
      </c>
      <c r="M3125" s="10">
        <v>0</v>
      </c>
      <c r="N3125" s="10">
        <v>0</v>
      </c>
      <c r="O3125" s="10">
        <v>0.1</v>
      </c>
      <c r="P3125" s="10">
        <f t="shared" si="2964"/>
        <v>0.19607843137254902</v>
      </c>
      <c r="Q3125" s="10" t="str">
        <f t="shared" si="2965"/>
        <v>NA</v>
      </c>
      <c r="R3125" s="10">
        <v>1.268</v>
      </c>
      <c r="S3125" s="10" t="s">
        <v>1575</v>
      </c>
      <c r="T3125" s="10" t="s">
        <v>1575</v>
      </c>
      <c r="U3125" s="10">
        <v>-8.0000000000000002E-3</v>
      </c>
      <c r="V3125" s="10">
        <v>0.11</v>
      </c>
      <c r="W3125" s="10" t="s">
        <v>1575</v>
      </c>
      <c r="X3125" s="10" t="str">
        <f t="shared" si="2969"/>
        <v>NA</v>
      </c>
      <c r="Y3125" s="10">
        <f t="shared" si="2970"/>
        <v>0.1546359868868683</v>
      </c>
      <c r="Z3125" s="10">
        <f t="shared" si="2971"/>
        <v>-24.509803921568626</v>
      </c>
      <c r="AA3125" s="10">
        <f t="shared" si="2972"/>
        <v>1.7825311942959001</v>
      </c>
      <c r="AB3125" s="10" t="str">
        <f t="shared" si="2973"/>
        <v>NA</v>
      </c>
      <c r="AC3125" s="10" t="str">
        <f t="shared" si="2974"/>
        <v>NA</v>
      </c>
      <c r="AD3125" s="10" t="str">
        <f t="shared" si="2975"/>
        <v>NA</v>
      </c>
      <c r="AE3125" s="10" t="str">
        <f t="shared" si="2976"/>
        <v>NA</v>
      </c>
      <c r="AF3125" s="1" t="s">
        <v>3892</v>
      </c>
    </row>
    <row r="3126" spans="1:32" x14ac:dyDescent="0.2">
      <c r="A3126" s="1" t="s">
        <v>3894</v>
      </c>
      <c r="B3126" s="1" t="s">
        <v>1575</v>
      </c>
      <c r="C3126" s="1" t="s">
        <v>1575</v>
      </c>
      <c r="D3126" s="1" t="s">
        <v>1615</v>
      </c>
      <c r="E3126" s="1" t="s">
        <v>2176</v>
      </c>
      <c r="F3126" s="1" t="s">
        <v>3392</v>
      </c>
      <c r="G3126" s="4">
        <v>0.51</v>
      </c>
      <c r="H3126" s="28">
        <v>44985</v>
      </c>
      <c r="I3126" s="29">
        <f t="shared" ref="I3126:I3146" si="3010">YEAR(H3126)</f>
        <v>2023</v>
      </c>
      <c r="J3126" s="1" t="s">
        <v>3922</v>
      </c>
      <c r="K3126" s="1" t="s">
        <v>7</v>
      </c>
      <c r="L3126" s="11" t="str">
        <f t="shared" si="3009"/>
        <v>НЕТ</v>
      </c>
      <c r="M3126" s="10">
        <v>0</v>
      </c>
      <c r="N3126" s="10">
        <v>0</v>
      </c>
      <c r="O3126" s="10">
        <v>0.2</v>
      </c>
      <c r="P3126" s="10">
        <f t="shared" si="2964"/>
        <v>0.39215686274509803</v>
      </c>
      <c r="Q3126" s="10" t="str">
        <f t="shared" si="2965"/>
        <v>NA</v>
      </c>
      <c r="R3126" s="10">
        <v>0.16400000000000001</v>
      </c>
      <c r="S3126" s="10" t="s">
        <v>1575</v>
      </c>
      <c r="T3126" s="10" t="s">
        <v>1575</v>
      </c>
      <c r="U3126" s="10">
        <v>3.4000000000000002E-2</v>
      </c>
      <c r="V3126" s="10">
        <v>0.20599999999999999</v>
      </c>
      <c r="W3126" s="10" t="s">
        <v>1575</v>
      </c>
      <c r="X3126" s="10" t="str">
        <f t="shared" si="2969"/>
        <v>NA</v>
      </c>
      <c r="Y3126" s="10">
        <f t="shared" si="2970"/>
        <v>2.3912003825920611</v>
      </c>
      <c r="Z3126" s="10">
        <f t="shared" si="2971"/>
        <v>11.534025374855824</v>
      </c>
      <c r="AA3126" s="10">
        <f t="shared" si="2972"/>
        <v>1.9036740909956216</v>
      </c>
      <c r="AB3126" s="10" t="str">
        <f t="shared" si="2973"/>
        <v>NA</v>
      </c>
      <c r="AC3126" s="10" t="str">
        <f t="shared" si="2974"/>
        <v>NA</v>
      </c>
      <c r="AD3126" s="10" t="str">
        <f t="shared" si="2975"/>
        <v>NA</v>
      </c>
      <c r="AE3126" s="10" t="str">
        <f t="shared" si="2976"/>
        <v>NA</v>
      </c>
      <c r="AF3126" s="1" t="s">
        <v>3892</v>
      </c>
    </row>
    <row r="3127" spans="1:32" x14ac:dyDescent="0.2">
      <c r="A3127" s="1" t="s">
        <v>3895</v>
      </c>
      <c r="B3127" s="1" t="s">
        <v>1575</v>
      </c>
      <c r="C3127" s="1" t="s">
        <v>1575</v>
      </c>
      <c r="D3127" s="1" t="s">
        <v>1615</v>
      </c>
      <c r="E3127" s="1" t="s">
        <v>3897</v>
      </c>
      <c r="F3127" s="1" t="s">
        <v>3896</v>
      </c>
      <c r="G3127" s="4">
        <v>0.58509999999999995</v>
      </c>
      <c r="H3127" s="28">
        <v>44804</v>
      </c>
      <c r="I3127" s="29">
        <f t="shared" si="3010"/>
        <v>2022</v>
      </c>
      <c r="J3127" s="1" t="s">
        <v>3922</v>
      </c>
      <c r="K3127" s="1" t="s">
        <v>7</v>
      </c>
      <c r="L3127" s="11" t="str">
        <f t="shared" si="3009"/>
        <v>НЕТ</v>
      </c>
      <c r="M3127" s="10">
        <v>0</v>
      </c>
      <c r="N3127" s="10">
        <v>0</v>
      </c>
      <c r="O3127" s="10">
        <v>2.3010000000000002</v>
      </c>
      <c r="P3127" s="10">
        <f t="shared" si="2964"/>
        <v>3.9326610835754576</v>
      </c>
      <c r="Q3127" s="10">
        <f t="shared" si="2965"/>
        <v>3.8886610835754576</v>
      </c>
      <c r="R3127" s="10">
        <v>3.012</v>
      </c>
      <c r="S3127" s="10" t="s">
        <v>1575</v>
      </c>
      <c r="T3127" s="10" t="s">
        <v>1575</v>
      </c>
      <c r="U3127" s="10">
        <v>0.11600000000000001</v>
      </c>
      <c r="V3127" s="10">
        <v>4.7960000000000003</v>
      </c>
      <c r="W3127" s="10">
        <f>0.965+0.371-1.38</f>
        <v>-4.4000000000000039E-2</v>
      </c>
      <c r="X3127" s="10">
        <f t="shared" si="2969"/>
        <v>4.7520000000000007</v>
      </c>
      <c r="Y3127" s="10">
        <f t="shared" si="2970"/>
        <v>1.3056643703769779</v>
      </c>
      <c r="Z3127" s="10">
        <f t="shared" si="2971"/>
        <v>33.902250720478079</v>
      </c>
      <c r="AA3127" s="10">
        <f t="shared" si="2972"/>
        <v>0.81998771550781013</v>
      </c>
      <c r="AB3127" s="10">
        <f t="shared" si="2973"/>
        <v>1.2910561366452382</v>
      </c>
      <c r="AC3127" s="10" t="str">
        <f t="shared" si="2974"/>
        <v>NA</v>
      </c>
      <c r="AD3127" s="10" t="str">
        <f t="shared" si="2975"/>
        <v>NA</v>
      </c>
      <c r="AE3127" s="10">
        <f t="shared" si="2976"/>
        <v>0.81832093509584536</v>
      </c>
      <c r="AF3127" s="1" t="s">
        <v>3891</v>
      </c>
    </row>
    <row r="3128" spans="1:32" x14ac:dyDescent="0.2">
      <c r="A3128" s="1" t="s">
        <v>3900</v>
      </c>
      <c r="B3128" s="1" t="s">
        <v>1575</v>
      </c>
      <c r="C3128" s="1" t="s">
        <v>1575</v>
      </c>
      <c r="D3128" s="1" t="s">
        <v>1615</v>
      </c>
      <c r="E3128" s="1" t="s">
        <v>2176</v>
      </c>
      <c r="F3128" s="1" t="s">
        <v>3392</v>
      </c>
      <c r="G3128" s="4">
        <v>0.5</v>
      </c>
      <c r="H3128" s="28">
        <v>43982</v>
      </c>
      <c r="I3128" s="29">
        <f t="shared" si="3010"/>
        <v>2020</v>
      </c>
      <c r="J3128" s="1" t="s">
        <v>6804</v>
      </c>
      <c r="K3128" s="1" t="s">
        <v>3922</v>
      </c>
      <c r="L3128" s="11" t="str">
        <f t="shared" ref="L3128" si="3011">IF(OR(A3128=J3128,A3128=K3128),"ДА","НЕТ")</f>
        <v>НЕТ</v>
      </c>
      <c r="M3128" s="10">
        <v>0</v>
      </c>
      <c r="N3128" s="10">
        <v>0</v>
      </c>
      <c r="O3128" s="10">
        <v>5.3440000000000003</v>
      </c>
      <c r="P3128" s="10">
        <f t="shared" si="2964"/>
        <v>10.688000000000001</v>
      </c>
      <c r="Q3128" s="10" t="str">
        <f t="shared" si="2965"/>
        <v>NA</v>
      </c>
      <c r="R3128" s="10">
        <v>11.791</v>
      </c>
      <c r="S3128" s="10" t="s">
        <v>1575</v>
      </c>
      <c r="T3128" s="10" t="s">
        <v>1575</v>
      </c>
      <c r="U3128" s="10">
        <v>1.149</v>
      </c>
      <c r="V3128" s="10">
        <v>5.734</v>
      </c>
      <c r="W3128" s="10" t="s">
        <v>1575</v>
      </c>
      <c r="X3128" s="10" t="str">
        <f t="shared" si="2969"/>
        <v>NA</v>
      </c>
      <c r="Y3128" s="10">
        <f t="shared" si="2970"/>
        <v>0.90645407514205756</v>
      </c>
      <c r="Z3128" s="10">
        <f t="shared" si="2971"/>
        <v>9.3020017406440392</v>
      </c>
      <c r="AA3128" s="10">
        <f t="shared" si="2972"/>
        <v>1.8639693058946636</v>
      </c>
      <c r="AB3128" s="10" t="str">
        <f t="shared" si="2973"/>
        <v>NA</v>
      </c>
      <c r="AC3128" s="10" t="str">
        <f t="shared" si="2974"/>
        <v>NA</v>
      </c>
      <c r="AD3128" s="10" t="str">
        <f t="shared" si="2975"/>
        <v>NA</v>
      </c>
      <c r="AE3128" s="10" t="str">
        <f t="shared" si="2976"/>
        <v>NA</v>
      </c>
      <c r="AF3128" s="1" t="s">
        <v>3901</v>
      </c>
    </row>
    <row r="3129" spans="1:32" x14ac:dyDescent="0.2">
      <c r="A3129" s="1" t="s">
        <v>3922</v>
      </c>
      <c r="B3129" s="1" t="s">
        <v>5</v>
      </c>
      <c r="C3129" s="1" t="s">
        <v>3361</v>
      </c>
      <c r="D3129" s="1" t="s">
        <v>1615</v>
      </c>
      <c r="E3129" s="1" t="s">
        <v>2176</v>
      </c>
      <c r="F3129" s="1" t="s">
        <v>3392</v>
      </c>
      <c r="G3129" s="6" t="s">
        <v>3899</v>
      </c>
      <c r="H3129" s="28">
        <v>43812</v>
      </c>
      <c r="I3129" s="29">
        <f t="shared" si="3010"/>
        <v>2019</v>
      </c>
      <c r="J3129" s="1" t="s">
        <v>6805</v>
      </c>
      <c r="K3129" s="1" t="s">
        <v>6806</v>
      </c>
      <c r="L3129" s="11" t="str">
        <f t="shared" ref="L3129" si="3012">IF(OR(A3129=J3129,A3129=K3129),"ДА","НЕТ")</f>
        <v>НЕТ</v>
      </c>
      <c r="M3129" s="10">
        <v>0</v>
      </c>
      <c r="N3129" s="10">
        <v>0</v>
      </c>
      <c r="O3129" s="10" t="s">
        <v>1575</v>
      </c>
      <c r="P3129" s="10" t="str">
        <f t="shared" si="2964"/>
        <v>NA</v>
      </c>
      <c r="Q3129" s="10" t="str">
        <f t="shared" si="2965"/>
        <v>NA</v>
      </c>
      <c r="R3129" s="10">
        <v>76.959000000000003</v>
      </c>
      <c r="S3129" s="10">
        <v>14.485999999999999</v>
      </c>
      <c r="T3129" s="10">
        <v>11.558999999999999</v>
      </c>
      <c r="U3129" s="10">
        <v>9.5090000000000003</v>
      </c>
      <c r="V3129" s="10">
        <v>46.061</v>
      </c>
      <c r="W3129" s="10">
        <v>1.2340000000000009</v>
      </c>
      <c r="X3129" s="10">
        <f t="shared" si="2969"/>
        <v>47.295000000000002</v>
      </c>
      <c r="Y3129" s="10" t="str">
        <f t="shared" si="2970"/>
        <v>NA</v>
      </c>
      <c r="Z3129" s="10" t="str">
        <f t="shared" si="2971"/>
        <v>NA</v>
      </c>
      <c r="AA3129" s="10" t="str">
        <f t="shared" si="2972"/>
        <v>NA</v>
      </c>
      <c r="AB3129" s="10" t="str">
        <f t="shared" si="2973"/>
        <v>NA</v>
      </c>
      <c r="AC3129" s="10" t="str">
        <f t="shared" si="2974"/>
        <v>NA</v>
      </c>
      <c r="AD3129" s="10" t="str">
        <f t="shared" si="2975"/>
        <v>NA</v>
      </c>
      <c r="AE3129" s="10" t="str">
        <f t="shared" si="2976"/>
        <v>NA</v>
      </c>
      <c r="AF3129" s="1" t="s">
        <v>3898</v>
      </c>
    </row>
    <row r="3130" spans="1:32" x14ac:dyDescent="0.2">
      <c r="A3130" s="1" t="s">
        <v>6762</v>
      </c>
      <c r="B3130" s="1" t="s">
        <v>5</v>
      </c>
      <c r="C3130" s="1" t="s">
        <v>1575</v>
      </c>
      <c r="D3130" s="1" t="s">
        <v>1615</v>
      </c>
      <c r="E3130" s="1" t="s">
        <v>1616</v>
      </c>
      <c r="F3130" s="1" t="s">
        <v>3903</v>
      </c>
      <c r="G3130" s="4">
        <v>1</v>
      </c>
      <c r="H3130" s="28">
        <v>43346</v>
      </c>
      <c r="I3130" s="29">
        <f t="shared" si="3010"/>
        <v>2018</v>
      </c>
      <c r="J3130" s="1" t="s">
        <v>3922</v>
      </c>
      <c r="K3130" s="1" t="s">
        <v>6807</v>
      </c>
      <c r="L3130" s="11" t="str">
        <f t="shared" ref="L3130:L3131" si="3013">IF(OR(A3130=J3130,A3130=K3130),"ДА","НЕТ")</f>
        <v>НЕТ</v>
      </c>
      <c r="M3130" s="10">
        <v>0</v>
      </c>
      <c r="N3130" s="10">
        <v>0</v>
      </c>
      <c r="O3130" s="10">
        <v>1.9</v>
      </c>
      <c r="P3130" s="10">
        <f t="shared" si="2964"/>
        <v>1.9</v>
      </c>
      <c r="Q3130" s="10">
        <f t="shared" si="2965"/>
        <v>2.0249999999999999</v>
      </c>
      <c r="R3130" s="10" t="s">
        <v>1575</v>
      </c>
      <c r="S3130" s="10" t="s">
        <v>1575</v>
      </c>
      <c r="T3130" s="10" t="s">
        <v>1575</v>
      </c>
      <c r="U3130" s="10" t="s">
        <v>1575</v>
      </c>
      <c r="V3130" s="10">
        <v>2.0539999999999998</v>
      </c>
      <c r="W3130" s="10">
        <f>0.157-0.032</f>
        <v>0.125</v>
      </c>
      <c r="X3130" s="10">
        <f t="shared" si="2969"/>
        <v>2.1789999999999998</v>
      </c>
      <c r="Y3130" s="10" t="str">
        <f t="shared" si="2970"/>
        <v>NA</v>
      </c>
      <c r="Z3130" s="10" t="str">
        <f t="shared" si="2971"/>
        <v>NA</v>
      </c>
      <c r="AA3130" s="10">
        <f t="shared" si="2972"/>
        <v>0.92502434274586176</v>
      </c>
      <c r="AB3130" s="10" t="str">
        <f t="shared" si="2973"/>
        <v>NA</v>
      </c>
      <c r="AC3130" s="10" t="str">
        <f t="shared" si="2974"/>
        <v>NA</v>
      </c>
      <c r="AD3130" s="10" t="str">
        <f t="shared" si="2975"/>
        <v>NA</v>
      </c>
      <c r="AE3130" s="10">
        <f t="shared" si="2976"/>
        <v>0.92932537861404318</v>
      </c>
      <c r="AF3130" s="1" t="s">
        <v>3902</v>
      </c>
    </row>
    <row r="3131" spans="1:32" x14ac:dyDescent="0.2">
      <c r="A3131" s="1" t="s">
        <v>6808</v>
      </c>
      <c r="B3131" s="1" t="s">
        <v>5</v>
      </c>
      <c r="C3131" s="1" t="s">
        <v>1575</v>
      </c>
      <c r="D3131" s="1" t="s">
        <v>1615</v>
      </c>
      <c r="E3131" s="1" t="s">
        <v>2176</v>
      </c>
      <c r="F3131" s="1" t="s">
        <v>3392</v>
      </c>
      <c r="G3131" s="4">
        <v>0.3</v>
      </c>
      <c r="H3131" s="28">
        <v>42947</v>
      </c>
      <c r="I3131" s="29">
        <f t="shared" si="3010"/>
        <v>2017</v>
      </c>
      <c r="J3131" s="1" t="s">
        <v>3922</v>
      </c>
      <c r="K3131" s="1" t="s">
        <v>7</v>
      </c>
      <c r="L3131" s="11" t="str">
        <f t="shared" si="3013"/>
        <v>НЕТ</v>
      </c>
      <c r="M3131" s="10">
        <v>0</v>
      </c>
      <c r="N3131" s="10">
        <v>0</v>
      </c>
      <c r="O3131" s="10">
        <v>0.17199999999999999</v>
      </c>
      <c r="P3131" s="10">
        <f t="shared" si="2964"/>
        <v>0.57333333333333336</v>
      </c>
      <c r="Q3131" s="10" t="str">
        <f t="shared" si="2965"/>
        <v>NA</v>
      </c>
      <c r="R3131" s="10">
        <v>0.51200000000000001</v>
      </c>
      <c r="S3131" s="10">
        <f>T3131+0.062</f>
        <v>0.29299999999999998</v>
      </c>
      <c r="T3131" s="10">
        <f>U3131+0.047+0.216-0.003</f>
        <v>0.23099999999999998</v>
      </c>
      <c r="U3131" s="10">
        <v>-2.9000000000000001E-2</v>
      </c>
      <c r="V3131" s="10">
        <v>-0.59799999999999998</v>
      </c>
      <c r="W3131" s="10" t="s">
        <v>1575</v>
      </c>
      <c r="X3131" s="10" t="str">
        <f t="shared" si="2969"/>
        <v>NA</v>
      </c>
      <c r="Y3131" s="10">
        <f t="shared" si="2970"/>
        <v>1.1197916666666667</v>
      </c>
      <c r="Z3131" s="10">
        <f t="shared" si="2971"/>
        <v>-19.770114942528735</v>
      </c>
      <c r="AA3131" s="10">
        <f t="shared" si="2972"/>
        <v>-0.95875139353400229</v>
      </c>
      <c r="AB3131" s="10" t="str">
        <f t="shared" si="2973"/>
        <v>NA</v>
      </c>
      <c r="AC3131" s="10" t="str">
        <f t="shared" si="2974"/>
        <v>NA</v>
      </c>
      <c r="AD3131" s="10" t="str">
        <f t="shared" si="2975"/>
        <v>NA</v>
      </c>
      <c r="AE3131" s="10" t="str">
        <f t="shared" si="2976"/>
        <v>NA</v>
      </c>
      <c r="AF3131" s="1" t="s">
        <v>3904</v>
      </c>
    </row>
    <row r="3132" spans="1:32" x14ac:dyDescent="0.2">
      <c r="A3132" s="1" t="s">
        <v>3905</v>
      </c>
      <c r="B3132" s="1" t="s">
        <v>3</v>
      </c>
      <c r="C3132" s="1" t="s">
        <v>1575</v>
      </c>
      <c r="D3132" s="1" t="s">
        <v>1615</v>
      </c>
      <c r="E3132" s="1" t="s">
        <v>2176</v>
      </c>
      <c r="F3132" s="1" t="s">
        <v>3392</v>
      </c>
      <c r="G3132" s="4">
        <v>0.2</v>
      </c>
      <c r="H3132" s="28">
        <v>43008</v>
      </c>
      <c r="I3132" s="29">
        <f t="shared" si="3010"/>
        <v>2017</v>
      </c>
      <c r="J3132" s="1" t="s">
        <v>3907</v>
      </c>
      <c r="K3132" s="1" t="s">
        <v>3922</v>
      </c>
      <c r="L3132" s="11" t="str">
        <f t="shared" ref="L3132" si="3014">IF(OR(A3132=J3132,A3132=K3132),"ДА","НЕТ")</f>
        <v>НЕТ</v>
      </c>
      <c r="M3132" s="10">
        <v>0</v>
      </c>
      <c r="N3132" s="10">
        <v>0</v>
      </c>
      <c r="O3132" s="10">
        <v>4.2999999999999997E-2</v>
      </c>
      <c r="P3132" s="10">
        <f t="shared" si="2964"/>
        <v>0.21499999999999997</v>
      </c>
      <c r="Q3132" s="10" t="str">
        <f t="shared" si="2965"/>
        <v>NA</v>
      </c>
      <c r="R3132" s="10" t="s">
        <v>1575</v>
      </c>
      <c r="S3132" s="10" t="s">
        <v>1575</v>
      </c>
      <c r="T3132" s="10" t="s">
        <v>1575</v>
      </c>
      <c r="U3132" s="10" t="s">
        <v>1575</v>
      </c>
      <c r="V3132" s="10" t="s">
        <v>1575</v>
      </c>
      <c r="W3132" s="10" t="s">
        <v>1575</v>
      </c>
      <c r="X3132" s="10" t="str">
        <f t="shared" si="2969"/>
        <v>NA</v>
      </c>
      <c r="Y3132" s="10" t="str">
        <f t="shared" si="2970"/>
        <v>NA</v>
      </c>
      <c r="Z3132" s="10" t="str">
        <f t="shared" si="2971"/>
        <v>NA</v>
      </c>
      <c r="AA3132" s="10" t="str">
        <f t="shared" si="2972"/>
        <v>NA</v>
      </c>
      <c r="AB3132" s="10" t="str">
        <f t="shared" si="2973"/>
        <v>NA</v>
      </c>
      <c r="AC3132" s="10" t="str">
        <f t="shared" si="2974"/>
        <v>NA</v>
      </c>
      <c r="AD3132" s="10" t="str">
        <f t="shared" si="2975"/>
        <v>NA</v>
      </c>
      <c r="AE3132" s="10" t="str">
        <f t="shared" si="2976"/>
        <v>NA</v>
      </c>
      <c r="AF3132" s="1" t="s">
        <v>3906</v>
      </c>
    </row>
    <row r="3133" spans="1:32" x14ac:dyDescent="0.2">
      <c r="A3133" s="1" t="s">
        <v>3922</v>
      </c>
      <c r="B3133" s="1" t="s">
        <v>5</v>
      </c>
      <c r="C3133" s="1" t="s">
        <v>3361</v>
      </c>
      <c r="D3133" s="1" t="s">
        <v>1615</v>
      </c>
      <c r="E3133" s="1" t="s">
        <v>2176</v>
      </c>
      <c r="F3133" s="1" t="s">
        <v>3392</v>
      </c>
      <c r="G3133" s="4" t="s">
        <v>1575</v>
      </c>
      <c r="H3133" s="28">
        <v>42735</v>
      </c>
      <c r="I3133" s="29">
        <f t="shared" si="3010"/>
        <v>2016</v>
      </c>
      <c r="J3133" s="1" t="s">
        <v>3922</v>
      </c>
      <c r="K3133" s="1" t="s">
        <v>7</v>
      </c>
      <c r="L3133" s="11" t="str">
        <f t="shared" ref="L3133:L3134" si="3015">IF(OR(A3133=J3133,A3133=K3133),"ДА","НЕТ")</f>
        <v>ДА</v>
      </c>
      <c r="M3133" s="10">
        <v>0</v>
      </c>
      <c r="N3133" s="10">
        <v>0</v>
      </c>
      <c r="O3133" s="10">
        <v>4.2999999999999997E-2</v>
      </c>
      <c r="P3133" s="10" t="str">
        <f t="shared" si="2964"/>
        <v>NA</v>
      </c>
      <c r="Q3133" s="10" t="str">
        <f t="shared" si="2965"/>
        <v>NA</v>
      </c>
      <c r="R3133" s="10">
        <v>51.482999999999997</v>
      </c>
      <c r="S3133" s="10">
        <v>6.6589999999999989</v>
      </c>
      <c r="T3133" s="10">
        <v>4.1309999999999993</v>
      </c>
      <c r="U3133" s="10">
        <v>3.2440000000000002</v>
      </c>
      <c r="V3133" s="10">
        <v>34.509</v>
      </c>
      <c r="W3133" s="10">
        <v>3.4389999999999978</v>
      </c>
      <c r="X3133" s="10">
        <f t="shared" si="2969"/>
        <v>37.948</v>
      </c>
      <c r="Y3133" s="10" t="str">
        <f t="shared" si="2970"/>
        <v>NA</v>
      </c>
      <c r="Z3133" s="10" t="str">
        <f t="shared" si="2971"/>
        <v>NA</v>
      </c>
      <c r="AA3133" s="10" t="str">
        <f t="shared" si="2972"/>
        <v>NA</v>
      </c>
      <c r="AB3133" s="10" t="str">
        <f t="shared" si="2973"/>
        <v>NA</v>
      </c>
      <c r="AC3133" s="10" t="str">
        <f t="shared" si="2974"/>
        <v>NA</v>
      </c>
      <c r="AD3133" s="10" t="str">
        <f t="shared" si="2975"/>
        <v>NA</v>
      </c>
      <c r="AE3133" s="10" t="str">
        <f t="shared" si="2976"/>
        <v>NA</v>
      </c>
      <c r="AF3133" s="1" t="s">
        <v>3908</v>
      </c>
    </row>
    <row r="3134" spans="1:32" x14ac:dyDescent="0.2">
      <c r="A3134" s="1" t="s">
        <v>3922</v>
      </c>
      <c r="B3134" s="1" t="s">
        <v>5</v>
      </c>
      <c r="C3134" s="1" t="s">
        <v>3361</v>
      </c>
      <c r="D3134" s="1" t="s">
        <v>1615</v>
      </c>
      <c r="E3134" s="1" t="s">
        <v>2176</v>
      </c>
      <c r="F3134" s="1" t="s">
        <v>3392</v>
      </c>
      <c r="G3134" s="4" t="s">
        <v>1575</v>
      </c>
      <c r="H3134" s="28">
        <v>42735</v>
      </c>
      <c r="I3134" s="29">
        <f t="shared" si="3010"/>
        <v>2016</v>
      </c>
      <c r="J3134" s="1" t="s">
        <v>7</v>
      </c>
      <c r="K3134" s="1" t="s">
        <v>3922</v>
      </c>
      <c r="L3134" s="11" t="str">
        <f t="shared" si="3015"/>
        <v>ДА</v>
      </c>
      <c r="M3134" s="10">
        <v>0</v>
      </c>
      <c r="N3134" s="10">
        <v>0</v>
      </c>
      <c r="O3134" s="10">
        <v>0.45100000000000001</v>
      </c>
      <c r="P3134" s="10" t="str">
        <f t="shared" si="2964"/>
        <v>NA</v>
      </c>
      <c r="Q3134" s="10" t="str">
        <f t="shared" si="2965"/>
        <v>NA</v>
      </c>
      <c r="R3134" s="10">
        <v>51.482999999999997</v>
      </c>
      <c r="S3134" s="10">
        <v>6.6589999999999989</v>
      </c>
      <c r="T3134" s="10">
        <v>4.1309999999999993</v>
      </c>
      <c r="U3134" s="10">
        <v>3.2440000000000002</v>
      </c>
      <c r="V3134" s="10">
        <v>34.509</v>
      </c>
      <c r="W3134" s="10">
        <v>3.4389999999999978</v>
      </c>
      <c r="X3134" s="10">
        <f t="shared" si="2969"/>
        <v>37.948</v>
      </c>
      <c r="Y3134" s="10" t="str">
        <f t="shared" si="2970"/>
        <v>NA</v>
      </c>
      <c r="Z3134" s="10" t="str">
        <f t="shared" si="2971"/>
        <v>NA</v>
      </c>
      <c r="AA3134" s="10" t="str">
        <f t="shared" si="2972"/>
        <v>NA</v>
      </c>
      <c r="AB3134" s="10" t="str">
        <f t="shared" si="2973"/>
        <v>NA</v>
      </c>
      <c r="AC3134" s="10" t="str">
        <f t="shared" si="2974"/>
        <v>NA</v>
      </c>
      <c r="AD3134" s="10" t="str">
        <f t="shared" si="2975"/>
        <v>NA</v>
      </c>
      <c r="AE3134" s="10" t="str">
        <f t="shared" si="2976"/>
        <v>NA</v>
      </c>
      <c r="AF3134" s="1" t="s">
        <v>3909</v>
      </c>
    </row>
    <row r="3135" spans="1:32" x14ac:dyDescent="0.2">
      <c r="A3135" s="1" t="s">
        <v>3922</v>
      </c>
      <c r="B3135" s="1" t="s">
        <v>5</v>
      </c>
      <c r="C3135" s="1" t="s">
        <v>3361</v>
      </c>
      <c r="D3135" s="1" t="s">
        <v>1615</v>
      </c>
      <c r="E3135" s="1" t="s">
        <v>2176</v>
      </c>
      <c r="F3135" s="1" t="s">
        <v>3392</v>
      </c>
      <c r="G3135" s="4" t="s">
        <v>1575</v>
      </c>
      <c r="H3135" s="28">
        <v>42369</v>
      </c>
      <c r="I3135" s="29">
        <f t="shared" si="3010"/>
        <v>2015</v>
      </c>
      <c r="J3135" s="1" t="s">
        <v>3922</v>
      </c>
      <c r="K3135" s="1" t="s">
        <v>7</v>
      </c>
      <c r="L3135" s="11" t="str">
        <f t="shared" ref="L3135:L3141" si="3016">IF(OR(A3135=J3135,A3135=K3135),"ДА","НЕТ")</f>
        <v>ДА</v>
      </c>
      <c r="M3135" s="10">
        <v>0</v>
      </c>
      <c r="N3135" s="10">
        <v>0</v>
      </c>
      <c r="O3135" s="10">
        <v>1E-3</v>
      </c>
      <c r="P3135" s="10" t="str">
        <f t="shared" si="2964"/>
        <v>NA</v>
      </c>
      <c r="Q3135" s="10" t="str">
        <f t="shared" si="2965"/>
        <v>NA</v>
      </c>
      <c r="R3135" s="10">
        <v>42.505000000000003</v>
      </c>
      <c r="S3135" s="10">
        <v>5.7439999999999998</v>
      </c>
      <c r="T3135" s="10">
        <v>3.274</v>
      </c>
      <c r="U3135" s="10">
        <v>2.831</v>
      </c>
      <c r="V3135" s="10">
        <v>36.186999999999998</v>
      </c>
      <c r="W3135" s="10">
        <v>3.0110000000000006</v>
      </c>
      <c r="X3135" s="10">
        <f t="shared" si="2969"/>
        <v>39.198</v>
      </c>
      <c r="Y3135" s="10" t="str">
        <f t="shared" si="2970"/>
        <v>NA</v>
      </c>
      <c r="Z3135" s="10" t="str">
        <f t="shared" si="2971"/>
        <v>NA</v>
      </c>
      <c r="AA3135" s="10" t="str">
        <f t="shared" si="2972"/>
        <v>NA</v>
      </c>
      <c r="AB3135" s="10" t="str">
        <f t="shared" si="2973"/>
        <v>NA</v>
      </c>
      <c r="AC3135" s="10" t="str">
        <f t="shared" si="2974"/>
        <v>NA</v>
      </c>
      <c r="AD3135" s="10" t="str">
        <f t="shared" si="2975"/>
        <v>NA</v>
      </c>
      <c r="AE3135" s="10" t="str">
        <f t="shared" si="2976"/>
        <v>NA</v>
      </c>
      <c r="AF3135" s="1" t="s">
        <v>3910</v>
      </c>
    </row>
    <row r="3136" spans="1:32" x14ac:dyDescent="0.2">
      <c r="A3136" s="1" t="s">
        <v>3922</v>
      </c>
      <c r="B3136" s="1" t="s">
        <v>5</v>
      </c>
      <c r="C3136" s="1" t="s">
        <v>3361</v>
      </c>
      <c r="D3136" s="1" t="s">
        <v>1615</v>
      </c>
      <c r="E3136" s="1" t="s">
        <v>2176</v>
      </c>
      <c r="F3136" s="1" t="s">
        <v>3392</v>
      </c>
      <c r="G3136" s="4" t="s">
        <v>1575</v>
      </c>
      <c r="H3136" s="28">
        <v>42004</v>
      </c>
      <c r="I3136" s="29">
        <f t="shared" si="3010"/>
        <v>2014</v>
      </c>
      <c r="J3136" s="1" t="s">
        <v>3922</v>
      </c>
      <c r="K3136" s="1" t="s">
        <v>7</v>
      </c>
      <c r="L3136" s="11" t="str">
        <f t="shared" si="3016"/>
        <v>ДА</v>
      </c>
      <c r="M3136" s="10">
        <v>0</v>
      </c>
      <c r="N3136" s="10">
        <v>0</v>
      </c>
      <c r="O3136" s="10">
        <v>8.9999999999999993E-3</v>
      </c>
      <c r="P3136" s="10" t="str">
        <f t="shared" si="2964"/>
        <v>NA</v>
      </c>
      <c r="Q3136" s="10" t="str">
        <f t="shared" si="2965"/>
        <v>NA</v>
      </c>
      <c r="R3136" s="10">
        <v>36.564999999999998</v>
      </c>
      <c r="S3136" s="10">
        <v>6.5449999999999999</v>
      </c>
      <c r="T3136" s="10">
        <v>4.0830000000000002</v>
      </c>
      <c r="U3136" s="10">
        <v>3.6579999999999999</v>
      </c>
      <c r="V3136" s="10">
        <v>35.244999999999997</v>
      </c>
      <c r="W3136" s="10">
        <v>3.8749999999999991</v>
      </c>
      <c r="X3136" s="10">
        <f t="shared" si="2969"/>
        <v>39.119999999999997</v>
      </c>
      <c r="Y3136" s="10" t="str">
        <f t="shared" si="2970"/>
        <v>NA</v>
      </c>
      <c r="Z3136" s="10" t="str">
        <f t="shared" si="2971"/>
        <v>NA</v>
      </c>
      <c r="AA3136" s="10" t="str">
        <f t="shared" si="2972"/>
        <v>NA</v>
      </c>
      <c r="AB3136" s="10" t="str">
        <f t="shared" si="2973"/>
        <v>NA</v>
      </c>
      <c r="AC3136" s="10" t="str">
        <f t="shared" si="2974"/>
        <v>NA</v>
      </c>
      <c r="AD3136" s="10" t="str">
        <f t="shared" si="2975"/>
        <v>NA</v>
      </c>
      <c r="AE3136" s="10" t="str">
        <f t="shared" si="2976"/>
        <v>NA</v>
      </c>
      <c r="AF3136" s="1" t="s">
        <v>3911</v>
      </c>
    </row>
    <row r="3137" spans="1:32" x14ac:dyDescent="0.2">
      <c r="A3137" s="1" t="s">
        <v>3922</v>
      </c>
      <c r="B3137" s="1" t="s">
        <v>5</v>
      </c>
      <c r="C3137" s="1" t="s">
        <v>3361</v>
      </c>
      <c r="D3137" s="1" t="s">
        <v>1615</v>
      </c>
      <c r="E3137" s="1" t="s">
        <v>2176</v>
      </c>
      <c r="F3137" s="1" t="s">
        <v>3392</v>
      </c>
      <c r="G3137" s="4" t="s">
        <v>1575</v>
      </c>
      <c r="H3137" s="28">
        <v>41639</v>
      </c>
      <c r="I3137" s="29">
        <f t="shared" si="3010"/>
        <v>2013</v>
      </c>
      <c r="J3137" s="1" t="s">
        <v>3922</v>
      </c>
      <c r="K3137" s="1" t="s">
        <v>7</v>
      </c>
      <c r="L3137" s="11" t="str">
        <f t="shared" si="3016"/>
        <v>ДА</v>
      </c>
      <c r="M3137" s="10">
        <v>0</v>
      </c>
      <c r="N3137" s="10">
        <v>0</v>
      </c>
      <c r="O3137" s="10">
        <v>2.4E-2</v>
      </c>
      <c r="P3137" s="10" t="str">
        <f t="shared" si="2964"/>
        <v>NA</v>
      </c>
      <c r="Q3137" s="10" t="str">
        <f t="shared" si="2965"/>
        <v>NA</v>
      </c>
      <c r="R3137" s="10">
        <v>39.164000000000001</v>
      </c>
      <c r="S3137" s="10">
        <v>8.995000000000001</v>
      </c>
      <c r="T3137" s="10">
        <v>7.0520000000000005</v>
      </c>
      <c r="U3137" s="10">
        <v>5.9740000000000002</v>
      </c>
      <c r="V3137" s="10">
        <v>31.478999999999999</v>
      </c>
      <c r="W3137" s="10">
        <v>6.7650000000000006</v>
      </c>
      <c r="X3137" s="10">
        <f t="shared" si="2969"/>
        <v>38.244</v>
      </c>
      <c r="Y3137" s="10" t="str">
        <f t="shared" si="2970"/>
        <v>NA</v>
      </c>
      <c r="Z3137" s="10" t="str">
        <f t="shared" si="2971"/>
        <v>NA</v>
      </c>
      <c r="AA3137" s="10" t="str">
        <f t="shared" si="2972"/>
        <v>NA</v>
      </c>
      <c r="AB3137" s="10" t="str">
        <f t="shared" si="2973"/>
        <v>NA</v>
      </c>
      <c r="AC3137" s="10" t="str">
        <f t="shared" si="2974"/>
        <v>NA</v>
      </c>
      <c r="AD3137" s="10" t="str">
        <f t="shared" si="2975"/>
        <v>NA</v>
      </c>
      <c r="AE3137" s="10" t="str">
        <f t="shared" si="2976"/>
        <v>NA</v>
      </c>
      <c r="AF3137" s="1" t="s">
        <v>3914</v>
      </c>
    </row>
    <row r="3138" spans="1:32" x14ac:dyDescent="0.2">
      <c r="A3138" s="1" t="s">
        <v>3900</v>
      </c>
      <c r="B3138" s="1" t="s">
        <v>1575</v>
      </c>
      <c r="C3138" s="1" t="s">
        <v>1575</v>
      </c>
      <c r="D3138" s="1" t="s">
        <v>1615</v>
      </c>
      <c r="E3138" s="1" t="s">
        <v>2176</v>
      </c>
      <c r="F3138" s="1" t="s">
        <v>3392</v>
      </c>
      <c r="G3138" s="4">
        <v>0.17</v>
      </c>
      <c r="H3138" s="28">
        <v>41631</v>
      </c>
      <c r="I3138" s="29">
        <f t="shared" si="3010"/>
        <v>2013</v>
      </c>
      <c r="J3138" s="1" t="s">
        <v>6804</v>
      </c>
      <c r="K3138" s="1" t="s">
        <v>3922</v>
      </c>
      <c r="L3138" s="11" t="str">
        <f t="shared" si="3016"/>
        <v>НЕТ</v>
      </c>
      <c r="M3138" s="10">
        <v>0</v>
      </c>
      <c r="N3138" s="10">
        <v>0</v>
      </c>
      <c r="O3138" s="10">
        <v>0.66500000000000004</v>
      </c>
      <c r="P3138" s="10">
        <f t="shared" si="2964"/>
        <v>3.9117647058823528</v>
      </c>
      <c r="Q3138" s="10">
        <f t="shared" si="2965"/>
        <v>4.0197647058823529</v>
      </c>
      <c r="R3138" s="10">
        <v>6.6130000000000004</v>
      </c>
      <c r="S3138" s="10" t="s">
        <v>1575</v>
      </c>
      <c r="T3138" s="10" t="s">
        <v>1575</v>
      </c>
      <c r="U3138" s="10">
        <v>0.32900000000000001</v>
      </c>
      <c r="V3138" s="10">
        <v>3.395</v>
      </c>
      <c r="W3138" s="10">
        <f>0.008+0.353-0.253</f>
        <v>0.10799999999999998</v>
      </c>
      <c r="X3138" s="10">
        <f t="shared" si="2969"/>
        <v>3.5030000000000001</v>
      </c>
      <c r="Y3138" s="10">
        <f t="shared" si="2970"/>
        <v>0.59152649416034364</v>
      </c>
      <c r="Z3138" s="10">
        <f t="shared" si="2971"/>
        <v>11.889862327909887</v>
      </c>
      <c r="AA3138" s="10">
        <f t="shared" si="2972"/>
        <v>1.1522134627046694</v>
      </c>
      <c r="AB3138" s="10">
        <f t="shared" si="2973"/>
        <v>0.60785796248031942</v>
      </c>
      <c r="AC3138" s="10" t="str">
        <f t="shared" si="2974"/>
        <v>NA</v>
      </c>
      <c r="AD3138" s="10" t="str">
        <f t="shared" si="2975"/>
        <v>NA</v>
      </c>
      <c r="AE3138" s="10">
        <f t="shared" si="2976"/>
        <v>1.1475206125841715</v>
      </c>
      <c r="AF3138" s="1" t="s">
        <v>3913</v>
      </c>
    </row>
    <row r="3139" spans="1:32" x14ac:dyDescent="0.2">
      <c r="A3139" s="1" t="s">
        <v>3922</v>
      </c>
      <c r="B3139" s="1" t="s">
        <v>5</v>
      </c>
      <c r="C3139" s="1" t="s">
        <v>3361</v>
      </c>
      <c r="D3139" s="1" t="s">
        <v>1615</v>
      </c>
      <c r="E3139" s="1" t="s">
        <v>2176</v>
      </c>
      <c r="F3139" s="1" t="s">
        <v>3392</v>
      </c>
      <c r="G3139" s="4">
        <f>21.2%-18.5%</f>
        <v>2.6999999999999996E-2</v>
      </c>
      <c r="H3139" s="28">
        <v>40939</v>
      </c>
      <c r="I3139" s="29">
        <f t="shared" si="3010"/>
        <v>2012</v>
      </c>
      <c r="J3139" s="1" t="s">
        <v>3921</v>
      </c>
      <c r="K3139" s="1" t="s">
        <v>7</v>
      </c>
      <c r="L3139" s="11" t="str">
        <f t="shared" si="3016"/>
        <v>НЕТ</v>
      </c>
      <c r="M3139" s="10">
        <v>0</v>
      </c>
      <c r="N3139" s="10">
        <v>0</v>
      </c>
      <c r="O3139" s="10">
        <v>0.51400000000000001</v>
      </c>
      <c r="P3139" s="10">
        <f t="shared" ref="P3139:P3202" si="3017">IFERROR(O3139/G3139,"NA")</f>
        <v>19.037037037037042</v>
      </c>
      <c r="Q3139" s="10">
        <f t="shared" ref="Q3139:Q3202" si="3018">IFERROR(P3139+W3139,"NA")</f>
        <v>27.822037037037042</v>
      </c>
      <c r="R3139" s="10">
        <v>30.876000000000001</v>
      </c>
      <c r="S3139" s="10">
        <v>8.3120000000000012</v>
      </c>
      <c r="T3139" s="10">
        <v>5.7350000000000003</v>
      </c>
      <c r="U3139" s="10">
        <v>3.843</v>
      </c>
      <c r="V3139" s="10">
        <v>23.928000000000001</v>
      </c>
      <c r="W3139" s="10">
        <v>8.7849999999999984</v>
      </c>
      <c r="X3139" s="10">
        <f t="shared" si="2969"/>
        <v>32.713000000000001</v>
      </c>
      <c r="Y3139" s="10">
        <f t="shared" si="2970"/>
        <v>0.61656422584003889</v>
      </c>
      <c r="Z3139" s="10">
        <f t="shared" si="2971"/>
        <v>4.9536916567881972</v>
      </c>
      <c r="AA3139" s="10">
        <f t="shared" si="2972"/>
        <v>0.79559666654283856</v>
      </c>
      <c r="AB3139" s="10">
        <f t="shared" si="2973"/>
        <v>0.90108942340449028</v>
      </c>
      <c r="AC3139" s="10">
        <f t="shared" si="2974"/>
        <v>3.3472133105193742</v>
      </c>
      <c r="AD3139" s="10">
        <f t="shared" si="2975"/>
        <v>4.8512706254641742</v>
      </c>
      <c r="AE3139" s="10">
        <f t="shared" si="2976"/>
        <v>0.8504887059284395</v>
      </c>
      <c r="AF3139" s="1" t="s">
        <v>3920</v>
      </c>
    </row>
    <row r="3140" spans="1:32" x14ac:dyDescent="0.2">
      <c r="A3140" s="1" t="s">
        <v>3922</v>
      </c>
      <c r="B3140" s="1" t="s">
        <v>5</v>
      </c>
      <c r="C3140" s="1" t="s">
        <v>3361</v>
      </c>
      <c r="D3140" s="1" t="s">
        <v>1615</v>
      </c>
      <c r="E3140" s="1" t="s">
        <v>2176</v>
      </c>
      <c r="F3140" s="1" t="s">
        <v>3392</v>
      </c>
      <c r="G3140" s="4" t="s">
        <v>1575</v>
      </c>
      <c r="H3140" s="28">
        <v>41274</v>
      </c>
      <c r="I3140" s="29">
        <f t="shared" ref="I3140" si="3019">YEAR(H3140)</f>
        <v>2012</v>
      </c>
      <c r="J3140" s="1" t="s">
        <v>3922</v>
      </c>
      <c r="K3140" s="1" t="s">
        <v>7</v>
      </c>
      <c r="L3140" s="11" t="str">
        <f t="shared" ref="L3140" si="3020">IF(OR(A3140=J3140,A3140=K3140),"ДА","НЕТ")</f>
        <v>ДА</v>
      </c>
      <c r="M3140" s="10">
        <v>0</v>
      </c>
      <c r="N3140" s="10">
        <v>0</v>
      </c>
      <c r="O3140" s="10">
        <v>6.0000000000000001E-3</v>
      </c>
      <c r="P3140" s="10" t="str">
        <f t="shared" si="3017"/>
        <v>NA</v>
      </c>
      <c r="Q3140" s="10" t="str">
        <f t="shared" si="3018"/>
        <v>NA</v>
      </c>
      <c r="R3140" s="10">
        <v>36.365000000000002</v>
      </c>
      <c r="S3140" s="10">
        <v>10.163</v>
      </c>
      <c r="T3140" s="10">
        <v>7.423</v>
      </c>
      <c r="U3140" s="10">
        <v>5.2320000000000002</v>
      </c>
      <c r="V3140" s="10">
        <v>27.561</v>
      </c>
      <c r="W3140" s="10">
        <v>9.4429999999999996</v>
      </c>
      <c r="X3140" s="10">
        <f t="shared" si="2969"/>
        <v>37.003999999999998</v>
      </c>
      <c r="Y3140" s="10" t="str">
        <f t="shared" si="2970"/>
        <v>NA</v>
      </c>
      <c r="Z3140" s="10" t="str">
        <f t="shared" si="2971"/>
        <v>NA</v>
      </c>
      <c r="AA3140" s="10" t="str">
        <f t="shared" si="2972"/>
        <v>NA</v>
      </c>
      <c r="AB3140" s="10" t="str">
        <f t="shared" si="2973"/>
        <v>NA</v>
      </c>
      <c r="AC3140" s="10" t="str">
        <f t="shared" si="2974"/>
        <v>NA</v>
      </c>
      <c r="AD3140" s="10" t="str">
        <f t="shared" si="2975"/>
        <v>NA</v>
      </c>
      <c r="AE3140" s="10" t="str">
        <f t="shared" si="2976"/>
        <v>NA</v>
      </c>
      <c r="AF3140" s="1" t="s">
        <v>3915</v>
      </c>
    </row>
    <row r="3141" spans="1:32" x14ac:dyDescent="0.2">
      <c r="A3141" s="1" t="s">
        <v>3922</v>
      </c>
      <c r="B3141" s="1" t="s">
        <v>5</v>
      </c>
      <c r="C3141" s="1" t="s">
        <v>3361</v>
      </c>
      <c r="D3141" s="1" t="s">
        <v>1615</v>
      </c>
      <c r="E3141" s="1" t="s">
        <v>2176</v>
      </c>
      <c r="F3141" s="1" t="s">
        <v>3392</v>
      </c>
      <c r="G3141" s="4">
        <f>208421/13894778</f>
        <v>1.4999951780445862E-2</v>
      </c>
      <c r="H3141" s="28">
        <v>40908</v>
      </c>
      <c r="I3141" s="29">
        <f t="shared" si="3010"/>
        <v>2011</v>
      </c>
      <c r="J3141" s="1" t="s">
        <v>3922</v>
      </c>
      <c r="K3141" s="1" t="s">
        <v>7</v>
      </c>
      <c r="L3141" s="11" t="str">
        <f t="shared" si="3016"/>
        <v>ДА</v>
      </c>
      <c r="M3141" s="10">
        <v>0</v>
      </c>
      <c r="N3141" s="10">
        <v>0</v>
      </c>
      <c r="O3141" s="10">
        <v>0.51400000000000001</v>
      </c>
      <c r="P3141" s="10">
        <f t="shared" si="3017"/>
        <v>34.266776821913339</v>
      </c>
      <c r="Q3141" s="10">
        <f t="shared" si="3018"/>
        <v>43.051776821913336</v>
      </c>
      <c r="R3141" s="10">
        <v>30.876000000000001</v>
      </c>
      <c r="S3141" s="10">
        <v>8.3120000000000012</v>
      </c>
      <c r="T3141" s="10">
        <v>5.7350000000000003</v>
      </c>
      <c r="U3141" s="10">
        <v>3.843</v>
      </c>
      <c r="V3141" s="10">
        <v>23.928000000000001</v>
      </c>
      <c r="W3141" s="10">
        <v>8.7849999999999984</v>
      </c>
      <c r="X3141" s="10">
        <f t="shared" si="2969"/>
        <v>32.713000000000001</v>
      </c>
      <c r="Y3141" s="10">
        <f t="shared" si="2970"/>
        <v>1.1098191741777865</v>
      </c>
      <c r="Z3141" s="10">
        <f t="shared" si="2971"/>
        <v>8.9166736460872595</v>
      </c>
      <c r="AA3141" s="10">
        <f t="shared" si="2972"/>
        <v>1.432078603389892</v>
      </c>
      <c r="AB3141" s="10">
        <f t="shared" si="2973"/>
        <v>1.3943443717422377</v>
      </c>
      <c r="AC3141" s="10">
        <f t="shared" si="2974"/>
        <v>5.179472668661373</v>
      </c>
      <c r="AD3141" s="10">
        <f t="shared" si="2975"/>
        <v>7.5068486175960478</v>
      </c>
      <c r="AE3141" s="10">
        <f t="shared" si="2976"/>
        <v>1.3160449002510726</v>
      </c>
      <c r="AF3141" s="1" t="s">
        <v>3912</v>
      </c>
    </row>
    <row r="3142" spans="1:32" x14ac:dyDescent="0.2">
      <c r="A3142" s="1" t="s">
        <v>6774</v>
      </c>
      <c r="B3142" s="1" t="s">
        <v>21</v>
      </c>
      <c r="C3142" s="1" t="s">
        <v>1575</v>
      </c>
      <c r="D3142" s="1" t="s">
        <v>1615</v>
      </c>
      <c r="E3142" s="1" t="s">
        <v>2176</v>
      </c>
      <c r="F3142" s="1" t="s">
        <v>3392</v>
      </c>
      <c r="G3142" s="4">
        <v>0.67</v>
      </c>
      <c r="H3142" s="28">
        <v>40620</v>
      </c>
      <c r="I3142" s="29">
        <f t="shared" si="3010"/>
        <v>2011</v>
      </c>
      <c r="J3142" s="1" t="s">
        <v>3922</v>
      </c>
      <c r="K3142" s="1" t="s">
        <v>7</v>
      </c>
      <c r="L3142" s="11" t="str">
        <f t="shared" ref="L3142" si="3021">IF(OR(A3142=J3142,A3142=K3142),"ДА","НЕТ")</f>
        <v>НЕТ</v>
      </c>
      <c r="M3142" s="10">
        <v>68</v>
      </c>
      <c r="N3142" s="10">
        <v>0</v>
      </c>
      <c r="O3142" s="10">
        <v>1.9550000000000001</v>
      </c>
      <c r="P3142" s="10">
        <f t="shared" si="3017"/>
        <v>2.9179104477611939</v>
      </c>
      <c r="Q3142" s="10">
        <f t="shared" si="3018"/>
        <v>3.3429104477611942</v>
      </c>
      <c r="R3142" s="10" t="s">
        <v>1575</v>
      </c>
      <c r="S3142" s="10" t="s">
        <v>1575</v>
      </c>
      <c r="T3142" s="10" t="s">
        <v>1575</v>
      </c>
      <c r="U3142" s="10" t="s">
        <v>1575</v>
      </c>
      <c r="V3142" s="10">
        <v>2.5950000000000002</v>
      </c>
      <c r="W3142" s="10">
        <f>0.323+0.406-0.304</f>
        <v>0.4250000000000001</v>
      </c>
      <c r="X3142" s="10">
        <f t="shared" si="2969"/>
        <v>3.0200000000000005</v>
      </c>
      <c r="Y3142" s="10" t="str">
        <f t="shared" si="2970"/>
        <v>NA</v>
      </c>
      <c r="Z3142" s="10" t="str">
        <f t="shared" si="2971"/>
        <v>NA</v>
      </c>
      <c r="AA3142" s="10">
        <f t="shared" si="2972"/>
        <v>1.1244356253415004</v>
      </c>
      <c r="AB3142" s="10" t="str">
        <f t="shared" si="2973"/>
        <v>NA</v>
      </c>
      <c r="AC3142" s="10" t="str">
        <f t="shared" si="2974"/>
        <v>NA</v>
      </c>
      <c r="AD3142" s="10" t="str">
        <f t="shared" si="2975"/>
        <v>NA</v>
      </c>
      <c r="AE3142" s="10">
        <f t="shared" si="2976"/>
        <v>1.1069239893248985</v>
      </c>
      <c r="AF3142" s="1" t="s">
        <v>3916</v>
      </c>
    </row>
    <row r="3143" spans="1:32" x14ac:dyDescent="0.2">
      <c r="A3143" s="1" t="s">
        <v>6809</v>
      </c>
      <c r="B3143" s="1" t="s">
        <v>5</v>
      </c>
      <c r="C3143" s="1" t="s">
        <v>1575</v>
      </c>
      <c r="D3143" s="1" t="s">
        <v>1580</v>
      </c>
      <c r="E3143" s="1" t="s">
        <v>1587</v>
      </c>
      <c r="F3143" s="1" t="s">
        <v>2163</v>
      </c>
      <c r="G3143" s="4">
        <v>1</v>
      </c>
      <c r="H3143" s="28">
        <v>40602</v>
      </c>
      <c r="I3143" s="29">
        <f t="shared" si="3010"/>
        <v>2011</v>
      </c>
      <c r="J3143" s="1" t="s">
        <v>3922</v>
      </c>
      <c r="K3143" s="1" t="s">
        <v>7</v>
      </c>
      <c r="L3143" s="11" t="str">
        <f t="shared" ref="L3143:L3144" si="3022">IF(OR(A3143=J3143,A3143=K3143),"ДА","НЕТ")</f>
        <v>НЕТ</v>
      </c>
      <c r="M3143" s="10">
        <v>0</v>
      </c>
      <c r="N3143" s="10">
        <v>0</v>
      </c>
      <c r="O3143" s="10">
        <v>1.2500000000000001E-2</v>
      </c>
      <c r="P3143" s="10">
        <f t="shared" si="3017"/>
        <v>1.2500000000000001E-2</v>
      </c>
      <c r="Q3143" s="10" t="str">
        <f t="shared" si="3018"/>
        <v>NA</v>
      </c>
      <c r="R3143" s="10" t="s">
        <v>1575</v>
      </c>
      <c r="S3143" s="10" t="s">
        <v>1575</v>
      </c>
      <c r="T3143" s="10" t="s">
        <v>1575</v>
      </c>
      <c r="U3143" s="10" t="s">
        <v>1575</v>
      </c>
      <c r="V3143" s="10" t="s">
        <v>1575</v>
      </c>
      <c r="W3143" s="10" t="s">
        <v>1575</v>
      </c>
      <c r="X3143" s="10" t="str">
        <f t="shared" ref="X3143:X3206" si="3023">IFERROR(V3143+W3143,"NA")</f>
        <v>NA</v>
      </c>
      <c r="Y3143" s="10" t="str">
        <f t="shared" ref="Y3143:Y3206" si="3024">IFERROR(P3143/R3143,"NA")</f>
        <v>NA</v>
      </c>
      <c r="Z3143" s="10" t="str">
        <f t="shared" ref="Z3143:Z3206" si="3025">IFERROR(P3143/U3143,"NA")</f>
        <v>NA</v>
      </c>
      <c r="AA3143" s="10" t="str">
        <f t="shared" ref="AA3143:AA3206" si="3026">IFERROR(P3143/V3143,"NA")</f>
        <v>NA</v>
      </c>
      <c r="AB3143" s="10" t="str">
        <f t="shared" ref="AB3143:AB3206" si="3027">IFERROR(Q3143/R3143,"NA")</f>
        <v>NA</v>
      </c>
      <c r="AC3143" s="10" t="str">
        <f t="shared" ref="AC3143:AC3206" si="3028">IFERROR(Q3143/S3143,"NA")</f>
        <v>NA</v>
      </c>
      <c r="AD3143" s="10" t="str">
        <f t="shared" ref="AD3143:AD3206" si="3029">IFERROR(Q3143/T3143,"NA")</f>
        <v>NA</v>
      </c>
      <c r="AE3143" s="10" t="str">
        <f t="shared" ref="AE3143:AE3206" si="3030">IFERROR(Q3143/X3143,"NA")</f>
        <v>NA</v>
      </c>
      <c r="AF3143" s="1" t="s">
        <v>3917</v>
      </c>
    </row>
    <row r="3144" spans="1:32" x14ac:dyDescent="0.2">
      <c r="A3144" s="1" t="s">
        <v>3918</v>
      </c>
      <c r="B3144" s="1" t="s">
        <v>1575</v>
      </c>
      <c r="C3144" s="1" t="s">
        <v>1575</v>
      </c>
      <c r="D3144" s="1" t="s">
        <v>1615</v>
      </c>
      <c r="E3144" s="1" t="s">
        <v>2176</v>
      </c>
      <c r="F3144" s="1" t="s">
        <v>3392</v>
      </c>
      <c r="G3144" s="4">
        <v>0.1</v>
      </c>
      <c r="H3144" s="28">
        <v>40543</v>
      </c>
      <c r="I3144" s="29">
        <f t="shared" si="3010"/>
        <v>2010</v>
      </c>
      <c r="J3144" s="1" t="s">
        <v>3922</v>
      </c>
      <c r="K3144" s="1" t="s">
        <v>7</v>
      </c>
      <c r="L3144" s="11" t="str">
        <f t="shared" si="3022"/>
        <v>НЕТ</v>
      </c>
      <c r="M3144" s="10">
        <v>0</v>
      </c>
      <c r="N3144" s="10">
        <v>0</v>
      </c>
      <c r="O3144" s="10" t="s">
        <v>1575</v>
      </c>
      <c r="P3144" s="10" t="str">
        <f t="shared" si="3017"/>
        <v>NA</v>
      </c>
      <c r="Q3144" s="10" t="str">
        <f t="shared" si="3018"/>
        <v>NA</v>
      </c>
      <c r="R3144" s="10" t="s">
        <v>1575</v>
      </c>
      <c r="S3144" s="10" t="s">
        <v>1575</v>
      </c>
      <c r="T3144" s="10" t="s">
        <v>1575</v>
      </c>
      <c r="U3144" s="10" t="s">
        <v>1575</v>
      </c>
      <c r="V3144" s="10" t="s">
        <v>1575</v>
      </c>
      <c r="W3144" s="10" t="s">
        <v>1575</v>
      </c>
      <c r="X3144" s="10" t="str">
        <f t="shared" si="3023"/>
        <v>NA</v>
      </c>
      <c r="Y3144" s="10" t="str">
        <f t="shared" si="3024"/>
        <v>NA</v>
      </c>
      <c r="Z3144" s="10" t="str">
        <f t="shared" si="3025"/>
        <v>NA</v>
      </c>
      <c r="AA3144" s="10" t="str">
        <f t="shared" si="3026"/>
        <v>NA</v>
      </c>
      <c r="AB3144" s="10" t="str">
        <f t="shared" si="3027"/>
        <v>NA</v>
      </c>
      <c r="AC3144" s="10" t="str">
        <f t="shared" si="3028"/>
        <v>NA</v>
      </c>
      <c r="AD3144" s="10" t="str">
        <f t="shared" si="3029"/>
        <v>NA</v>
      </c>
      <c r="AE3144" s="10" t="str">
        <f t="shared" si="3030"/>
        <v>NA</v>
      </c>
      <c r="AF3144" s="1" t="s">
        <v>3919</v>
      </c>
    </row>
    <row r="3145" spans="1:32" x14ac:dyDescent="0.2">
      <c r="A3145" s="1" t="s">
        <v>3924</v>
      </c>
      <c r="B3145" s="1" t="s">
        <v>5</v>
      </c>
      <c r="C3145" s="1" t="s">
        <v>3925</v>
      </c>
      <c r="D3145" s="1" t="s">
        <v>1615</v>
      </c>
      <c r="E3145" s="1" t="s">
        <v>1750</v>
      </c>
      <c r="F3145" s="1" t="s">
        <v>3926</v>
      </c>
      <c r="G3145" s="4">
        <f>266020/58462120</f>
        <v>4.5502968417840475E-3</v>
      </c>
      <c r="H3145" s="28">
        <v>44926</v>
      </c>
      <c r="I3145" s="29">
        <f t="shared" si="3010"/>
        <v>2022</v>
      </c>
      <c r="J3145" s="1" t="s">
        <v>3924</v>
      </c>
      <c r="K3145" s="1" t="s">
        <v>7</v>
      </c>
      <c r="L3145" s="11" t="str">
        <f t="shared" ref="L3145" si="3031">IF(OR(A3145=J3145,A3145=K3145),"ДА","НЕТ")</f>
        <v>ДА</v>
      </c>
      <c r="M3145" s="10">
        <v>0</v>
      </c>
      <c r="N3145" s="10">
        <v>0</v>
      </c>
      <c r="O3145" s="10">
        <v>7.3590000000000001E-3</v>
      </c>
      <c r="P3145" s="10">
        <f t="shared" si="3017"/>
        <v>1.6172571275843921</v>
      </c>
      <c r="Q3145" s="10" t="str">
        <f t="shared" si="3018"/>
        <v>NA</v>
      </c>
      <c r="R3145" s="10" t="s">
        <v>1575</v>
      </c>
      <c r="S3145" s="10" t="s">
        <v>1575</v>
      </c>
      <c r="T3145" s="10" t="s">
        <v>1575</v>
      </c>
      <c r="U3145" s="10" t="s">
        <v>1575</v>
      </c>
      <c r="V3145" s="10" t="s">
        <v>1575</v>
      </c>
      <c r="W3145" s="10" t="s">
        <v>1575</v>
      </c>
      <c r="X3145" s="10" t="str">
        <f t="shared" si="3023"/>
        <v>NA</v>
      </c>
      <c r="Y3145" s="10" t="str">
        <f t="shared" si="3024"/>
        <v>NA</v>
      </c>
      <c r="Z3145" s="10" t="str">
        <f t="shared" si="3025"/>
        <v>NA</v>
      </c>
      <c r="AA3145" s="10" t="str">
        <f t="shared" si="3026"/>
        <v>NA</v>
      </c>
      <c r="AB3145" s="10" t="str">
        <f t="shared" si="3027"/>
        <v>NA</v>
      </c>
      <c r="AC3145" s="10" t="str">
        <f t="shared" si="3028"/>
        <v>NA</v>
      </c>
      <c r="AD3145" s="10" t="str">
        <f t="shared" si="3029"/>
        <v>NA</v>
      </c>
      <c r="AE3145" s="10" t="str">
        <f t="shared" si="3030"/>
        <v>NA</v>
      </c>
      <c r="AF3145" s="1" t="s">
        <v>3923</v>
      </c>
    </row>
    <row r="3146" spans="1:32" x14ac:dyDescent="0.2">
      <c r="A3146" s="1" t="s">
        <v>3924</v>
      </c>
      <c r="B3146" s="1" t="s">
        <v>5</v>
      </c>
      <c r="C3146" s="1" t="s">
        <v>3925</v>
      </c>
      <c r="D3146" s="1" t="s">
        <v>1615</v>
      </c>
      <c r="E3146" s="1" t="s">
        <v>1750</v>
      </c>
      <c r="F3146" s="1" t="s">
        <v>3926</v>
      </c>
      <c r="G3146" s="4">
        <f>502860/58462120</f>
        <v>8.6014670696170446E-3</v>
      </c>
      <c r="H3146" s="28">
        <v>44561</v>
      </c>
      <c r="I3146" s="29">
        <f t="shared" si="3010"/>
        <v>2021</v>
      </c>
      <c r="J3146" s="1" t="s">
        <v>3924</v>
      </c>
      <c r="K3146" s="1" t="s">
        <v>7</v>
      </c>
      <c r="L3146" s="11" t="str">
        <f t="shared" ref="L3146" si="3032">IF(OR(A3146=J3146,A3146=K3146),"ДА","НЕТ")</f>
        <v>ДА</v>
      </c>
      <c r="M3146" s="10">
        <v>0</v>
      </c>
      <c r="N3146" s="10">
        <v>0</v>
      </c>
      <c r="O3146" s="10">
        <v>1.8652999999999999E-2</v>
      </c>
      <c r="P3146" s="10">
        <f t="shared" si="3017"/>
        <v>2.1685835508093705</v>
      </c>
      <c r="Q3146" s="10">
        <f t="shared" si="3018"/>
        <v>5.4088285508093703</v>
      </c>
      <c r="R3146" s="10">
        <v>12.425031000000001</v>
      </c>
      <c r="S3146" s="10">
        <v>1.0612590000000002</v>
      </c>
      <c r="T3146" s="10">
        <v>0.52452200000000004</v>
      </c>
      <c r="U3146" s="10">
        <v>0.191133</v>
      </c>
      <c r="V3146" s="10">
        <v>5.0981560000000004</v>
      </c>
      <c r="W3146" s="10">
        <v>3.2402449999999998</v>
      </c>
      <c r="X3146" s="10">
        <f t="shared" si="3023"/>
        <v>8.3384010000000011</v>
      </c>
      <c r="Y3146" s="10">
        <f t="shared" si="3024"/>
        <v>0.17453345193338918</v>
      </c>
      <c r="Z3146" s="10">
        <f t="shared" si="3025"/>
        <v>11.345940004129954</v>
      </c>
      <c r="AA3146" s="10">
        <f t="shared" si="3026"/>
        <v>0.42536626003781963</v>
      </c>
      <c r="AB3146" s="10">
        <f t="shared" si="3027"/>
        <v>0.43531710712105026</v>
      </c>
      <c r="AC3146" s="10">
        <f t="shared" si="3028"/>
        <v>5.0966150118014255</v>
      </c>
      <c r="AD3146" s="10">
        <f t="shared" si="3029"/>
        <v>10.311919329998302</v>
      </c>
      <c r="AE3146" s="10">
        <f t="shared" si="3030"/>
        <v>0.6486649599616725</v>
      </c>
      <c r="AF3146" s="1" t="s">
        <v>3927</v>
      </c>
    </row>
    <row r="3147" spans="1:32" x14ac:dyDescent="0.2">
      <c r="A3147" s="1" t="s">
        <v>3924</v>
      </c>
      <c r="B3147" s="1" t="s">
        <v>5</v>
      </c>
      <c r="C3147" s="1" t="s">
        <v>3925</v>
      </c>
      <c r="D3147" s="1" t="s">
        <v>1615</v>
      </c>
      <c r="E3147" s="1" t="s">
        <v>1750</v>
      </c>
      <c r="F3147" s="1" t="s">
        <v>3926</v>
      </c>
      <c r="G3147" s="4">
        <f>1072088/58462120</f>
        <v>1.8338164951938109E-2</v>
      </c>
      <c r="H3147" s="28">
        <v>44196</v>
      </c>
      <c r="I3147" s="29">
        <f t="shared" ref="I3147:I3180" si="3033">YEAR(H3147)</f>
        <v>2020</v>
      </c>
      <c r="J3147" s="1" t="s">
        <v>3924</v>
      </c>
      <c r="K3147" s="1" t="s">
        <v>7</v>
      </c>
      <c r="L3147" s="11" t="str">
        <f t="shared" ref="L3147:L3148" si="3034">IF(OR(A3147=J3147,A3147=K3147),"ДА","НЕТ")</f>
        <v>ДА</v>
      </c>
      <c r="M3147" s="10">
        <v>0</v>
      </c>
      <c r="N3147" s="10">
        <v>0</v>
      </c>
      <c r="O3147" s="10">
        <v>5.0965000000000003E-2</v>
      </c>
      <c r="P3147" s="10">
        <f t="shared" si="3017"/>
        <v>2.7791766588190523</v>
      </c>
      <c r="Q3147" s="10">
        <f t="shared" si="3018"/>
        <v>6.0776456588190522</v>
      </c>
      <c r="R3147" s="10">
        <v>10.031254000000001</v>
      </c>
      <c r="S3147" s="10">
        <v>0.97047000000000005</v>
      </c>
      <c r="T3147" s="10">
        <v>0.32181199999999999</v>
      </c>
      <c r="U3147" s="10">
        <v>6.6614000000000007E-2</v>
      </c>
      <c r="V3147" s="10">
        <v>4.9256760000000002</v>
      </c>
      <c r="W3147" s="10">
        <v>3.2984689999999999</v>
      </c>
      <c r="X3147" s="10">
        <f t="shared" si="3023"/>
        <v>8.224145</v>
      </c>
      <c r="Y3147" s="10">
        <f t="shared" si="3024"/>
        <v>0.27705176828530631</v>
      </c>
      <c r="Z3147" s="10">
        <f t="shared" si="3025"/>
        <v>41.720609163524962</v>
      </c>
      <c r="AA3147" s="10">
        <f t="shared" si="3026"/>
        <v>0.56422238466741459</v>
      </c>
      <c r="AB3147" s="10">
        <f t="shared" si="3027"/>
        <v>0.60587097673122936</v>
      </c>
      <c r="AC3147" s="10">
        <f t="shared" si="3028"/>
        <v>6.2625796354540091</v>
      </c>
      <c r="AD3147" s="10">
        <f t="shared" si="3029"/>
        <v>18.885702394003495</v>
      </c>
      <c r="AE3147" s="10">
        <f t="shared" si="3030"/>
        <v>0.739000304447338</v>
      </c>
      <c r="AF3147" s="1" t="s">
        <v>3928</v>
      </c>
    </row>
    <row r="3148" spans="1:32" x14ac:dyDescent="0.2">
      <c r="A3148" s="1" t="s">
        <v>3931</v>
      </c>
      <c r="B3148" s="1" t="s">
        <v>179</v>
      </c>
      <c r="C3148" s="1" t="s">
        <v>1575</v>
      </c>
      <c r="D3148" s="1" t="s">
        <v>1580</v>
      </c>
      <c r="E3148" s="1" t="s">
        <v>2165</v>
      </c>
      <c r="F3148" s="1" t="s">
        <v>3932</v>
      </c>
      <c r="G3148" s="12" t="s">
        <v>3933</v>
      </c>
      <c r="H3148" s="28">
        <v>43677</v>
      </c>
      <c r="I3148" s="29">
        <f t="shared" si="3033"/>
        <v>2019</v>
      </c>
      <c r="J3148" s="1" t="s">
        <v>7</v>
      </c>
      <c r="K3148" s="1" t="s">
        <v>3924</v>
      </c>
      <c r="L3148" s="11" t="str">
        <f t="shared" si="3034"/>
        <v>НЕТ</v>
      </c>
      <c r="M3148" s="10">
        <v>0</v>
      </c>
      <c r="N3148" s="10">
        <v>0</v>
      </c>
      <c r="O3148" s="10" t="s">
        <v>1575</v>
      </c>
      <c r="P3148" s="10" t="str">
        <f t="shared" si="3017"/>
        <v>NA</v>
      </c>
      <c r="Q3148" s="10" t="str">
        <f t="shared" si="3018"/>
        <v>NA</v>
      </c>
      <c r="R3148" s="10" t="s">
        <v>1575</v>
      </c>
      <c r="S3148" s="10" t="s">
        <v>1575</v>
      </c>
      <c r="T3148" s="10" t="s">
        <v>1575</v>
      </c>
      <c r="U3148" s="10" t="s">
        <v>1575</v>
      </c>
      <c r="V3148" s="10" t="s">
        <v>1575</v>
      </c>
      <c r="W3148" s="10" t="s">
        <v>1575</v>
      </c>
      <c r="X3148" s="10" t="str">
        <f t="shared" si="3023"/>
        <v>NA</v>
      </c>
      <c r="Y3148" s="10" t="str">
        <f t="shared" si="3024"/>
        <v>NA</v>
      </c>
      <c r="Z3148" s="10" t="str">
        <f t="shared" si="3025"/>
        <v>NA</v>
      </c>
      <c r="AA3148" s="10" t="str">
        <f t="shared" si="3026"/>
        <v>NA</v>
      </c>
      <c r="AB3148" s="10" t="str">
        <f t="shared" si="3027"/>
        <v>NA</v>
      </c>
      <c r="AC3148" s="10" t="str">
        <f t="shared" si="3028"/>
        <v>NA</v>
      </c>
      <c r="AD3148" s="10" t="str">
        <f t="shared" si="3029"/>
        <v>NA</v>
      </c>
      <c r="AE3148" s="10" t="str">
        <f t="shared" si="3030"/>
        <v>NA</v>
      </c>
      <c r="AF3148" s="1" t="s">
        <v>3929</v>
      </c>
    </row>
    <row r="3149" spans="1:32" x14ac:dyDescent="0.2">
      <c r="A3149" s="1" t="s">
        <v>3931</v>
      </c>
      <c r="B3149" s="1" t="s">
        <v>179</v>
      </c>
      <c r="C3149" s="1" t="s">
        <v>1575</v>
      </c>
      <c r="D3149" s="1" t="s">
        <v>1580</v>
      </c>
      <c r="E3149" s="1" t="s">
        <v>2165</v>
      </c>
      <c r="F3149" s="1" t="s">
        <v>3932</v>
      </c>
      <c r="G3149" s="4">
        <v>0.5</v>
      </c>
      <c r="H3149" s="28">
        <v>43465</v>
      </c>
      <c r="I3149" s="29">
        <f t="shared" si="3033"/>
        <v>2018</v>
      </c>
      <c r="J3149" s="1" t="s">
        <v>3924</v>
      </c>
      <c r="K3149" s="1" t="s">
        <v>7</v>
      </c>
      <c r="L3149" s="11" t="str">
        <f t="shared" ref="L3149:L3150" si="3035">IF(OR(A3149=J3149,A3149=K3149),"ДА","НЕТ")</f>
        <v>НЕТ</v>
      </c>
      <c r="M3149" s="10">
        <v>0</v>
      </c>
      <c r="N3149" s="10">
        <v>0</v>
      </c>
      <c r="O3149" s="10" t="s">
        <v>1575</v>
      </c>
      <c r="P3149" s="10" t="str">
        <f t="shared" si="3017"/>
        <v>NA</v>
      </c>
      <c r="Q3149" s="10" t="str">
        <f t="shared" si="3018"/>
        <v>NA</v>
      </c>
      <c r="R3149" s="10" t="s">
        <v>1575</v>
      </c>
      <c r="S3149" s="10" t="s">
        <v>1575</v>
      </c>
      <c r="T3149" s="10" t="s">
        <v>1575</v>
      </c>
      <c r="U3149" s="10" t="s">
        <v>1575</v>
      </c>
      <c r="V3149" s="10" t="s">
        <v>1575</v>
      </c>
      <c r="W3149" s="10" t="s">
        <v>1575</v>
      </c>
      <c r="X3149" s="10" t="str">
        <f t="shared" si="3023"/>
        <v>NA</v>
      </c>
      <c r="Y3149" s="10" t="str">
        <f t="shared" si="3024"/>
        <v>NA</v>
      </c>
      <c r="Z3149" s="10" t="str">
        <f t="shared" si="3025"/>
        <v>NA</v>
      </c>
      <c r="AA3149" s="10" t="str">
        <f t="shared" si="3026"/>
        <v>NA</v>
      </c>
      <c r="AB3149" s="10" t="str">
        <f t="shared" si="3027"/>
        <v>NA</v>
      </c>
      <c r="AC3149" s="10" t="str">
        <f t="shared" si="3028"/>
        <v>NA</v>
      </c>
      <c r="AD3149" s="10" t="str">
        <f t="shared" si="3029"/>
        <v>NA</v>
      </c>
      <c r="AE3149" s="10" t="str">
        <f t="shared" si="3030"/>
        <v>NA</v>
      </c>
      <c r="AF3149" s="1" t="s">
        <v>3929</v>
      </c>
    </row>
    <row r="3150" spans="1:32" x14ac:dyDescent="0.2">
      <c r="A3150" s="1" t="s">
        <v>6810</v>
      </c>
      <c r="B3150" s="1" t="s">
        <v>5</v>
      </c>
      <c r="C3150" s="1" t="s">
        <v>1575</v>
      </c>
      <c r="D3150" s="1" t="s">
        <v>1615</v>
      </c>
      <c r="E3150" s="1" t="s">
        <v>1750</v>
      </c>
      <c r="F3150" s="1" t="s">
        <v>3926</v>
      </c>
      <c r="G3150" s="4">
        <v>0.5</v>
      </c>
      <c r="H3150" s="28">
        <v>43272</v>
      </c>
      <c r="I3150" s="29">
        <f t="shared" ref="I3150" si="3036">YEAR(H3150)</f>
        <v>2018</v>
      </c>
      <c r="J3150" s="1" t="s">
        <v>7</v>
      </c>
      <c r="K3150" s="1" t="s">
        <v>3924</v>
      </c>
      <c r="L3150" s="11" t="str">
        <f t="shared" si="3035"/>
        <v>НЕТ</v>
      </c>
      <c r="M3150" s="10">
        <v>0</v>
      </c>
      <c r="N3150" s="10">
        <v>0</v>
      </c>
      <c r="O3150" s="10" t="s">
        <v>1575</v>
      </c>
      <c r="P3150" s="10" t="str">
        <f t="shared" si="3017"/>
        <v>NA</v>
      </c>
      <c r="Q3150" s="10" t="str">
        <f t="shared" si="3018"/>
        <v>NA</v>
      </c>
      <c r="R3150" s="10" t="s">
        <v>1575</v>
      </c>
      <c r="S3150" s="10" t="s">
        <v>1575</v>
      </c>
      <c r="T3150" s="10" t="s">
        <v>1575</v>
      </c>
      <c r="U3150" s="10" t="s">
        <v>1575</v>
      </c>
      <c r="V3150" s="10" t="s">
        <v>1575</v>
      </c>
      <c r="W3150" s="10" t="s">
        <v>1575</v>
      </c>
      <c r="X3150" s="10" t="str">
        <f t="shared" si="3023"/>
        <v>NA</v>
      </c>
      <c r="Y3150" s="10" t="str">
        <f t="shared" si="3024"/>
        <v>NA</v>
      </c>
      <c r="Z3150" s="10" t="str">
        <f t="shared" si="3025"/>
        <v>NA</v>
      </c>
      <c r="AA3150" s="10" t="str">
        <f t="shared" si="3026"/>
        <v>NA</v>
      </c>
      <c r="AB3150" s="10" t="str">
        <f t="shared" si="3027"/>
        <v>NA</v>
      </c>
      <c r="AC3150" s="10" t="str">
        <f t="shared" si="3028"/>
        <v>NA</v>
      </c>
      <c r="AD3150" s="10" t="str">
        <f t="shared" si="3029"/>
        <v>NA</v>
      </c>
      <c r="AE3150" s="10" t="str">
        <f t="shared" si="3030"/>
        <v>NA</v>
      </c>
      <c r="AF3150" s="1" t="s">
        <v>3930</v>
      </c>
    </row>
    <row r="3151" spans="1:32" x14ac:dyDescent="0.2">
      <c r="A3151" s="1" t="s">
        <v>6810</v>
      </c>
      <c r="B3151" s="1" t="s">
        <v>5</v>
      </c>
      <c r="C3151" s="1" t="s">
        <v>1575</v>
      </c>
      <c r="D3151" s="1" t="s">
        <v>1615</v>
      </c>
      <c r="E3151" s="1" t="s">
        <v>1750</v>
      </c>
      <c r="F3151" s="1" t="s">
        <v>3926</v>
      </c>
      <c r="G3151" s="4">
        <v>0.5</v>
      </c>
      <c r="H3151" s="28">
        <v>43081</v>
      </c>
      <c r="I3151" s="29">
        <f t="shared" si="3033"/>
        <v>2017</v>
      </c>
      <c r="J3151" s="1" t="s">
        <v>3924</v>
      </c>
      <c r="K3151" s="1" t="s">
        <v>7</v>
      </c>
      <c r="L3151" s="11" t="str">
        <f t="shared" ref="L3151" si="3037">IF(OR(A3151=J3151,A3151=K3151),"ДА","НЕТ")</f>
        <v>НЕТ</v>
      </c>
      <c r="M3151" s="10">
        <v>0</v>
      </c>
      <c r="N3151" s="10">
        <v>0</v>
      </c>
      <c r="O3151" s="10">
        <v>5.0000000000000001E-4</v>
      </c>
      <c r="P3151" s="10">
        <f t="shared" si="3017"/>
        <v>1E-3</v>
      </c>
      <c r="Q3151" s="10" t="str">
        <f t="shared" si="3018"/>
        <v>NA</v>
      </c>
      <c r="R3151" s="10" t="s">
        <v>1575</v>
      </c>
      <c r="S3151" s="10" t="s">
        <v>1575</v>
      </c>
      <c r="T3151" s="10" t="s">
        <v>1575</v>
      </c>
      <c r="U3151" s="10" t="s">
        <v>1575</v>
      </c>
      <c r="V3151" s="10" t="s">
        <v>1575</v>
      </c>
      <c r="W3151" s="10" t="s">
        <v>1575</v>
      </c>
      <c r="X3151" s="10" t="str">
        <f t="shared" si="3023"/>
        <v>NA</v>
      </c>
      <c r="Y3151" s="10" t="str">
        <f t="shared" si="3024"/>
        <v>NA</v>
      </c>
      <c r="Z3151" s="10" t="str">
        <f t="shared" si="3025"/>
        <v>NA</v>
      </c>
      <c r="AA3151" s="10" t="str">
        <f t="shared" si="3026"/>
        <v>NA</v>
      </c>
      <c r="AB3151" s="10" t="str">
        <f t="shared" si="3027"/>
        <v>NA</v>
      </c>
      <c r="AC3151" s="10" t="str">
        <f t="shared" si="3028"/>
        <v>NA</v>
      </c>
      <c r="AD3151" s="10" t="str">
        <f t="shared" si="3029"/>
        <v>NA</v>
      </c>
      <c r="AE3151" s="10" t="str">
        <f t="shared" si="3030"/>
        <v>NA</v>
      </c>
      <c r="AF3151" s="1" t="s">
        <v>3930</v>
      </c>
    </row>
    <row r="3152" spans="1:32" x14ac:dyDescent="0.2">
      <c r="A3152" s="1" t="s">
        <v>6811</v>
      </c>
      <c r="B3152" s="1" t="s">
        <v>5</v>
      </c>
      <c r="C3152" s="1" t="s">
        <v>1575</v>
      </c>
      <c r="D3152" s="1" t="s">
        <v>1615</v>
      </c>
      <c r="E3152" s="1" t="s">
        <v>1750</v>
      </c>
      <c r="F3152" s="1" t="s">
        <v>3926</v>
      </c>
      <c r="G3152" s="4">
        <v>0.3</v>
      </c>
      <c r="H3152" s="28">
        <v>43100</v>
      </c>
      <c r="I3152" s="29">
        <f t="shared" si="3033"/>
        <v>2017</v>
      </c>
      <c r="J3152" s="1" t="s">
        <v>3924</v>
      </c>
      <c r="K3152" s="1" t="s">
        <v>7</v>
      </c>
      <c r="L3152" s="11" t="str">
        <f t="shared" ref="L3152" si="3038">IF(OR(A3152=J3152,A3152=K3152),"ДА","НЕТ")</f>
        <v>НЕТ</v>
      </c>
      <c r="M3152" s="10">
        <v>0</v>
      </c>
      <c r="N3152" s="10">
        <v>0</v>
      </c>
      <c r="O3152" s="10">
        <v>0.11407200000000001</v>
      </c>
      <c r="P3152" s="10">
        <f t="shared" si="3017"/>
        <v>0.38024000000000002</v>
      </c>
      <c r="Q3152" s="10" t="str">
        <f t="shared" si="3018"/>
        <v>NA</v>
      </c>
      <c r="R3152" s="10" t="s">
        <v>1575</v>
      </c>
      <c r="S3152" s="10" t="s">
        <v>1575</v>
      </c>
      <c r="T3152" s="10" t="s">
        <v>1575</v>
      </c>
      <c r="U3152" s="10" t="s">
        <v>1575</v>
      </c>
      <c r="V3152" s="10" t="s">
        <v>1575</v>
      </c>
      <c r="W3152" s="10" t="s">
        <v>1575</v>
      </c>
      <c r="X3152" s="10" t="str">
        <f t="shared" si="3023"/>
        <v>NA</v>
      </c>
      <c r="Y3152" s="10" t="str">
        <f t="shared" si="3024"/>
        <v>NA</v>
      </c>
      <c r="Z3152" s="10" t="str">
        <f t="shared" si="3025"/>
        <v>NA</v>
      </c>
      <c r="AA3152" s="10" t="str">
        <f t="shared" si="3026"/>
        <v>NA</v>
      </c>
      <c r="AB3152" s="10" t="str">
        <f t="shared" si="3027"/>
        <v>NA</v>
      </c>
      <c r="AC3152" s="10" t="str">
        <f t="shared" si="3028"/>
        <v>NA</v>
      </c>
      <c r="AD3152" s="10" t="str">
        <f t="shared" si="3029"/>
        <v>NA</v>
      </c>
      <c r="AE3152" s="10" t="str">
        <f t="shared" si="3030"/>
        <v>NA</v>
      </c>
      <c r="AF3152" s="1" t="s">
        <v>3935</v>
      </c>
    </row>
    <row r="3153" spans="1:32" x14ac:dyDescent="0.2">
      <c r="A3153" s="1" t="s">
        <v>3924</v>
      </c>
      <c r="B3153" s="1" t="s">
        <v>5</v>
      </c>
      <c r="C3153" s="1" t="s">
        <v>3925</v>
      </c>
      <c r="D3153" s="1" t="s">
        <v>1615</v>
      </c>
      <c r="E3153" s="1" t="s">
        <v>1750</v>
      </c>
      <c r="F3153" s="1" t="s">
        <v>3926</v>
      </c>
      <c r="G3153" s="4">
        <f>21212120/58462120</f>
        <v>0.36283528548058125</v>
      </c>
      <c r="H3153" s="28">
        <v>43048</v>
      </c>
      <c r="I3153" s="29">
        <f t="shared" si="3033"/>
        <v>2017</v>
      </c>
      <c r="J3153" s="1" t="s">
        <v>7</v>
      </c>
      <c r="K3153" s="1" t="s">
        <v>3924</v>
      </c>
      <c r="L3153" s="11" t="str">
        <f t="shared" ref="L3153:L3172" si="3039">IF(OR(A3153=J3153,A3153=K3153),"ДА","НЕТ")</f>
        <v>ДА</v>
      </c>
      <c r="M3153" s="10">
        <v>0</v>
      </c>
      <c r="N3153" s="10">
        <v>0</v>
      </c>
      <c r="O3153" s="10">
        <f>21212120*132/10^9</f>
        <v>2.7999998399999999</v>
      </c>
      <c r="P3153" s="10">
        <f t="shared" si="3017"/>
        <v>7.7169998400000006</v>
      </c>
      <c r="Q3153" s="10">
        <f t="shared" si="3018"/>
        <v>11.105614840000001</v>
      </c>
      <c r="R3153" s="10">
        <v>6.2053539999999998</v>
      </c>
      <c r="S3153" s="10">
        <v>1.3971800000000001</v>
      </c>
      <c r="T3153" s="10">
        <v>0.980769</v>
      </c>
      <c r="U3153" s="10">
        <v>0.53769199999999995</v>
      </c>
      <c r="V3153" s="10">
        <v>1.3640099999999999</v>
      </c>
      <c r="W3153" s="10">
        <v>3.3886150000000006</v>
      </c>
      <c r="X3153" s="10">
        <f t="shared" si="3023"/>
        <v>4.7526250000000001</v>
      </c>
      <c r="Y3153" s="10">
        <f t="shared" si="3024"/>
        <v>1.243603481767519</v>
      </c>
      <c r="Z3153" s="10">
        <f t="shared" si="3025"/>
        <v>14.35208230734324</v>
      </c>
      <c r="AA3153" s="10">
        <f t="shared" si="3026"/>
        <v>5.6575830382475205</v>
      </c>
      <c r="AB3153" s="10">
        <f t="shared" si="3027"/>
        <v>1.7896827223716811</v>
      </c>
      <c r="AC3153" s="10">
        <f t="shared" si="3028"/>
        <v>7.9485927654275041</v>
      </c>
      <c r="AD3153" s="10">
        <f t="shared" si="3029"/>
        <v>11.323374658048941</v>
      </c>
      <c r="AE3153" s="10">
        <f t="shared" si="3030"/>
        <v>2.3367328244917283</v>
      </c>
      <c r="AF3153" s="1" t="s">
        <v>3934</v>
      </c>
    </row>
    <row r="3154" spans="1:32" x14ac:dyDescent="0.2">
      <c r="A3154" s="1" t="s">
        <v>3945</v>
      </c>
      <c r="B3154" s="1" t="s">
        <v>1575</v>
      </c>
      <c r="C3154" s="1" t="s">
        <v>1575</v>
      </c>
      <c r="D3154" s="1" t="s">
        <v>1615</v>
      </c>
      <c r="E3154" s="1" t="s">
        <v>1616</v>
      </c>
      <c r="F3154" s="1" t="s">
        <v>3903</v>
      </c>
      <c r="G3154" s="4">
        <v>1</v>
      </c>
      <c r="H3154" s="28">
        <v>45107</v>
      </c>
      <c r="I3154" s="29">
        <f t="shared" si="3033"/>
        <v>2023</v>
      </c>
      <c r="J3154" s="1" t="s">
        <v>3943</v>
      </c>
      <c r="K3154" s="1" t="s">
        <v>7</v>
      </c>
      <c r="L3154" s="11" t="str">
        <f t="shared" ref="L3154" si="3040">IF(OR(A3154=J3154,A3154=K3154),"ДА","НЕТ")</f>
        <v>НЕТ</v>
      </c>
      <c r="M3154" s="10">
        <v>0</v>
      </c>
      <c r="N3154" s="10">
        <v>0</v>
      </c>
      <c r="O3154" s="10" t="s">
        <v>1575</v>
      </c>
      <c r="P3154" s="10" t="str">
        <f t="shared" si="3017"/>
        <v>NA</v>
      </c>
      <c r="Q3154" s="10" t="str">
        <f t="shared" si="3018"/>
        <v>NA</v>
      </c>
      <c r="R3154" s="10" t="s">
        <v>1575</v>
      </c>
      <c r="S3154" s="10" t="s">
        <v>1575</v>
      </c>
      <c r="T3154" s="10" t="s">
        <v>1575</v>
      </c>
      <c r="U3154" s="10" t="s">
        <v>1575</v>
      </c>
      <c r="V3154" s="10" t="s">
        <v>1575</v>
      </c>
      <c r="W3154" s="10" t="s">
        <v>1575</v>
      </c>
      <c r="X3154" s="10" t="str">
        <f t="shared" si="3023"/>
        <v>NA</v>
      </c>
      <c r="Y3154" s="10" t="str">
        <f t="shared" si="3024"/>
        <v>NA</v>
      </c>
      <c r="Z3154" s="10" t="str">
        <f t="shared" si="3025"/>
        <v>NA</v>
      </c>
      <c r="AA3154" s="10" t="str">
        <f t="shared" si="3026"/>
        <v>NA</v>
      </c>
      <c r="AB3154" s="10" t="str">
        <f t="shared" si="3027"/>
        <v>NA</v>
      </c>
      <c r="AC3154" s="10" t="str">
        <f t="shared" si="3028"/>
        <v>NA</v>
      </c>
      <c r="AD3154" s="10" t="str">
        <f t="shared" si="3029"/>
        <v>NA</v>
      </c>
      <c r="AE3154" s="10" t="str">
        <f t="shared" si="3030"/>
        <v>NA</v>
      </c>
      <c r="AF3154" s="1" t="s">
        <v>3944</v>
      </c>
    </row>
    <row r="3155" spans="1:32" x14ac:dyDescent="0.2">
      <c r="A3155" s="1" t="s">
        <v>3946</v>
      </c>
      <c r="B3155" s="1" t="s">
        <v>1575</v>
      </c>
      <c r="C3155" s="1" t="s">
        <v>1575</v>
      </c>
      <c r="D3155" s="1" t="s">
        <v>1615</v>
      </c>
      <c r="E3155" s="1" t="s">
        <v>1616</v>
      </c>
      <c r="F3155" s="1" t="s">
        <v>3903</v>
      </c>
      <c r="G3155" s="4">
        <v>1</v>
      </c>
      <c r="H3155" s="28">
        <v>45107</v>
      </c>
      <c r="I3155" s="29">
        <f t="shared" ref="I3155" si="3041">YEAR(H3155)</f>
        <v>2023</v>
      </c>
      <c r="J3155" s="1" t="s">
        <v>3943</v>
      </c>
      <c r="K3155" s="1" t="s">
        <v>7</v>
      </c>
      <c r="L3155" s="11" t="str">
        <f t="shared" ref="L3155" si="3042">IF(OR(A3155=J3155,A3155=K3155),"ДА","НЕТ")</f>
        <v>НЕТ</v>
      </c>
      <c r="M3155" s="10">
        <v>0</v>
      </c>
      <c r="N3155" s="10">
        <v>0</v>
      </c>
      <c r="O3155" s="10" t="s">
        <v>1575</v>
      </c>
      <c r="P3155" s="10" t="str">
        <f t="shared" si="3017"/>
        <v>NA</v>
      </c>
      <c r="Q3155" s="10" t="str">
        <f t="shared" si="3018"/>
        <v>NA</v>
      </c>
      <c r="R3155" s="10" t="s">
        <v>1575</v>
      </c>
      <c r="S3155" s="10" t="s">
        <v>1575</v>
      </c>
      <c r="T3155" s="10" t="s">
        <v>1575</v>
      </c>
      <c r="U3155" s="10" t="s">
        <v>1575</v>
      </c>
      <c r="V3155" s="10" t="s">
        <v>1575</v>
      </c>
      <c r="W3155" s="10" t="s">
        <v>1575</v>
      </c>
      <c r="X3155" s="10" t="str">
        <f t="shared" si="3023"/>
        <v>NA</v>
      </c>
      <c r="Y3155" s="10" t="str">
        <f t="shared" si="3024"/>
        <v>NA</v>
      </c>
      <c r="Z3155" s="10" t="str">
        <f t="shared" si="3025"/>
        <v>NA</v>
      </c>
      <c r="AA3155" s="10" t="str">
        <f t="shared" si="3026"/>
        <v>NA</v>
      </c>
      <c r="AB3155" s="10" t="str">
        <f t="shared" si="3027"/>
        <v>NA</v>
      </c>
      <c r="AC3155" s="10" t="str">
        <f t="shared" si="3028"/>
        <v>NA</v>
      </c>
      <c r="AD3155" s="10" t="str">
        <f t="shared" si="3029"/>
        <v>NA</v>
      </c>
      <c r="AE3155" s="10" t="str">
        <f t="shared" si="3030"/>
        <v>NA</v>
      </c>
      <c r="AF3155" s="1" t="s">
        <v>3944</v>
      </c>
    </row>
    <row r="3156" spans="1:32" x14ac:dyDescent="0.2">
      <c r="A3156" s="1" t="s">
        <v>3947</v>
      </c>
      <c r="B3156" s="1" t="s">
        <v>1575</v>
      </c>
      <c r="C3156" s="1" t="s">
        <v>1575</v>
      </c>
      <c r="D3156" s="1" t="s">
        <v>1615</v>
      </c>
      <c r="E3156" s="1" t="s">
        <v>1616</v>
      </c>
      <c r="F3156" s="1" t="s">
        <v>3903</v>
      </c>
      <c r="G3156" s="4">
        <v>0.74</v>
      </c>
      <c r="H3156" s="28">
        <v>45107</v>
      </c>
      <c r="I3156" s="29">
        <f t="shared" ref="I3156:I3171" si="3043">YEAR(H3156)</f>
        <v>2023</v>
      </c>
      <c r="J3156" s="1" t="s">
        <v>3943</v>
      </c>
      <c r="K3156" s="1" t="s">
        <v>7</v>
      </c>
      <c r="L3156" s="11" t="str">
        <f t="shared" ref="L3156" si="3044">IF(OR(A3156=J3156,A3156=K3156),"ДА","НЕТ")</f>
        <v>НЕТ</v>
      </c>
      <c r="M3156" s="10">
        <v>0</v>
      </c>
      <c r="N3156" s="10">
        <v>0</v>
      </c>
      <c r="O3156" s="10" t="s">
        <v>1575</v>
      </c>
      <c r="P3156" s="10" t="str">
        <f t="shared" si="3017"/>
        <v>NA</v>
      </c>
      <c r="Q3156" s="10" t="str">
        <f t="shared" si="3018"/>
        <v>NA</v>
      </c>
      <c r="R3156" s="10" t="s">
        <v>1575</v>
      </c>
      <c r="S3156" s="10" t="s">
        <v>1575</v>
      </c>
      <c r="T3156" s="10" t="s">
        <v>1575</v>
      </c>
      <c r="U3156" s="10" t="s">
        <v>1575</v>
      </c>
      <c r="V3156" s="10" t="s">
        <v>1575</v>
      </c>
      <c r="W3156" s="10" t="s">
        <v>1575</v>
      </c>
      <c r="X3156" s="10" t="str">
        <f t="shared" si="3023"/>
        <v>NA</v>
      </c>
      <c r="Y3156" s="10" t="str">
        <f t="shared" si="3024"/>
        <v>NA</v>
      </c>
      <c r="Z3156" s="10" t="str">
        <f t="shared" si="3025"/>
        <v>NA</v>
      </c>
      <c r="AA3156" s="10" t="str">
        <f t="shared" si="3026"/>
        <v>NA</v>
      </c>
      <c r="AB3156" s="10" t="str">
        <f t="shared" si="3027"/>
        <v>NA</v>
      </c>
      <c r="AC3156" s="10" t="str">
        <f t="shared" si="3028"/>
        <v>NA</v>
      </c>
      <c r="AD3156" s="10" t="str">
        <f t="shared" si="3029"/>
        <v>NA</v>
      </c>
      <c r="AE3156" s="10" t="str">
        <f t="shared" si="3030"/>
        <v>NA</v>
      </c>
      <c r="AF3156" s="1" t="s">
        <v>3944</v>
      </c>
    </row>
    <row r="3157" spans="1:32" x14ac:dyDescent="0.2">
      <c r="A3157" s="1" t="s">
        <v>6812</v>
      </c>
      <c r="B3157" s="1" t="s">
        <v>5</v>
      </c>
      <c r="C3157" s="1" t="s">
        <v>1575</v>
      </c>
      <c r="D3157" s="1" t="s">
        <v>1615</v>
      </c>
      <c r="E3157" s="1" t="s">
        <v>2176</v>
      </c>
      <c r="F3157" s="1" t="s">
        <v>3954</v>
      </c>
      <c r="G3157" s="6" t="s">
        <v>920</v>
      </c>
      <c r="H3157" s="28">
        <v>43861</v>
      </c>
      <c r="I3157" s="29">
        <f t="shared" si="3043"/>
        <v>2020</v>
      </c>
      <c r="J3157" s="1" t="s">
        <v>3943</v>
      </c>
      <c r="K3157" s="1" t="s">
        <v>3357</v>
      </c>
      <c r="L3157" s="11" t="str">
        <f t="shared" ref="L3157:L3158" si="3045">IF(OR(A3157=J3157,A3157=K3157),"ДА","НЕТ")</f>
        <v>НЕТ</v>
      </c>
      <c r="M3157" s="10">
        <v>0</v>
      </c>
      <c r="N3157" s="10">
        <v>0</v>
      </c>
      <c r="O3157" s="10">
        <v>0.622</v>
      </c>
      <c r="P3157" s="10" t="str">
        <f t="shared" si="3017"/>
        <v>NA</v>
      </c>
      <c r="Q3157" s="10" t="str">
        <f t="shared" si="3018"/>
        <v>NA</v>
      </c>
      <c r="R3157" s="10" t="s">
        <v>1575</v>
      </c>
      <c r="S3157" s="10" t="s">
        <v>1575</v>
      </c>
      <c r="T3157" s="10" t="s">
        <v>1575</v>
      </c>
      <c r="U3157" s="10" t="s">
        <v>1575</v>
      </c>
      <c r="V3157" s="10" t="s">
        <v>1575</v>
      </c>
      <c r="W3157" s="10" t="s">
        <v>1575</v>
      </c>
      <c r="X3157" s="10" t="str">
        <f t="shared" si="3023"/>
        <v>NA</v>
      </c>
      <c r="Y3157" s="10" t="str">
        <f t="shared" si="3024"/>
        <v>NA</v>
      </c>
      <c r="Z3157" s="10" t="str">
        <f t="shared" si="3025"/>
        <v>NA</v>
      </c>
      <c r="AA3157" s="10" t="str">
        <f t="shared" si="3026"/>
        <v>NA</v>
      </c>
      <c r="AB3157" s="10" t="str">
        <f t="shared" si="3027"/>
        <v>NA</v>
      </c>
      <c r="AC3157" s="10" t="str">
        <f t="shared" si="3028"/>
        <v>NA</v>
      </c>
      <c r="AD3157" s="10" t="str">
        <f t="shared" si="3029"/>
        <v>NA</v>
      </c>
      <c r="AE3157" s="10" t="str">
        <f t="shared" si="3030"/>
        <v>NA</v>
      </c>
      <c r="AF3157" s="1" t="s">
        <v>3949</v>
      </c>
    </row>
    <row r="3158" spans="1:32" x14ac:dyDescent="0.2">
      <c r="A3158" s="1" t="s">
        <v>6813</v>
      </c>
      <c r="B3158" s="1" t="s">
        <v>5</v>
      </c>
      <c r="C3158" s="1" t="s">
        <v>1575</v>
      </c>
      <c r="D3158" s="1" t="s">
        <v>1615</v>
      </c>
      <c r="E3158" s="1" t="s">
        <v>1616</v>
      </c>
      <c r="F3158" s="1" t="s">
        <v>3903</v>
      </c>
      <c r="G3158" s="4">
        <v>1</v>
      </c>
      <c r="H3158" s="28">
        <v>43889</v>
      </c>
      <c r="I3158" s="29">
        <f t="shared" si="3043"/>
        <v>2020</v>
      </c>
      <c r="J3158" s="1" t="s">
        <v>7</v>
      </c>
      <c r="K3158" s="1" t="s">
        <v>3943</v>
      </c>
      <c r="L3158" s="11" t="str">
        <f t="shared" si="3045"/>
        <v>НЕТ</v>
      </c>
      <c r="M3158" s="10">
        <v>0</v>
      </c>
      <c r="N3158" s="10">
        <v>0</v>
      </c>
      <c r="O3158" s="10">
        <v>4.391</v>
      </c>
      <c r="P3158" s="10">
        <f t="shared" si="3017"/>
        <v>4.391</v>
      </c>
      <c r="Q3158" s="10" t="str">
        <f t="shared" si="3018"/>
        <v>NA</v>
      </c>
      <c r="R3158" s="10" t="s">
        <v>1575</v>
      </c>
      <c r="S3158" s="10" t="s">
        <v>1575</v>
      </c>
      <c r="T3158" s="10" t="s">
        <v>1575</v>
      </c>
      <c r="U3158" s="10" t="s">
        <v>1575</v>
      </c>
      <c r="V3158" s="10" t="s">
        <v>1575</v>
      </c>
      <c r="W3158" s="10" t="s">
        <v>1575</v>
      </c>
      <c r="X3158" s="10" t="str">
        <f t="shared" si="3023"/>
        <v>NA</v>
      </c>
      <c r="Y3158" s="10" t="str">
        <f t="shared" si="3024"/>
        <v>NA</v>
      </c>
      <c r="Z3158" s="10" t="str">
        <f t="shared" si="3025"/>
        <v>NA</v>
      </c>
      <c r="AA3158" s="10" t="str">
        <f t="shared" si="3026"/>
        <v>NA</v>
      </c>
      <c r="AB3158" s="10" t="str">
        <f t="shared" si="3027"/>
        <v>NA</v>
      </c>
      <c r="AC3158" s="10" t="str">
        <f t="shared" si="3028"/>
        <v>NA</v>
      </c>
      <c r="AD3158" s="10" t="str">
        <f t="shared" si="3029"/>
        <v>NA</v>
      </c>
      <c r="AE3158" s="10" t="str">
        <f t="shared" si="3030"/>
        <v>NA</v>
      </c>
      <c r="AF3158" s="1" t="s">
        <v>3948</v>
      </c>
    </row>
    <row r="3159" spans="1:32" x14ac:dyDescent="0.2">
      <c r="A3159" s="1" t="s">
        <v>6814</v>
      </c>
      <c r="B3159" s="1" t="s">
        <v>5</v>
      </c>
      <c r="C3159" s="1" t="s">
        <v>1575</v>
      </c>
      <c r="D3159" s="1" t="s">
        <v>1615</v>
      </c>
      <c r="E3159" s="1" t="s">
        <v>2176</v>
      </c>
      <c r="F3159" s="1" t="s">
        <v>3954</v>
      </c>
      <c r="G3159" s="4">
        <v>0.249999</v>
      </c>
      <c r="H3159" s="28">
        <v>43159</v>
      </c>
      <c r="I3159" s="29">
        <f t="shared" si="3043"/>
        <v>2018</v>
      </c>
      <c r="J3159" s="1" t="s">
        <v>3943</v>
      </c>
      <c r="K3159" s="1" t="s">
        <v>7</v>
      </c>
      <c r="L3159" s="11" t="str">
        <f t="shared" ref="L3159" si="3046">IF(OR(A3159=J3159,A3159=K3159),"ДА","НЕТ")</f>
        <v>НЕТ</v>
      </c>
      <c r="M3159" s="10">
        <v>0</v>
      </c>
      <c r="N3159" s="10">
        <v>0</v>
      </c>
      <c r="O3159" s="10">
        <v>0.53100000000000003</v>
      </c>
      <c r="P3159" s="10">
        <f t="shared" si="3017"/>
        <v>2.1240084960339844</v>
      </c>
      <c r="Q3159" s="10" t="str">
        <f t="shared" si="3018"/>
        <v>NA</v>
      </c>
      <c r="R3159" s="10" t="s">
        <v>1575</v>
      </c>
      <c r="S3159" s="10" t="s">
        <v>1575</v>
      </c>
      <c r="T3159" s="10" t="s">
        <v>1575</v>
      </c>
      <c r="U3159" s="10">
        <v>0.127</v>
      </c>
      <c r="V3159" s="10">
        <f>2.563+2.908+0.126-0.081-0.39</f>
        <v>5.1260000000000003</v>
      </c>
      <c r="W3159" s="10" t="s">
        <v>1575</v>
      </c>
      <c r="X3159" s="10" t="str">
        <f t="shared" si="3023"/>
        <v>NA</v>
      </c>
      <c r="Y3159" s="10" t="str">
        <f t="shared" si="3024"/>
        <v>NA</v>
      </c>
      <c r="Z3159" s="10">
        <f t="shared" si="3025"/>
        <v>16.724476346724288</v>
      </c>
      <c r="AA3159" s="10">
        <f t="shared" si="3026"/>
        <v>0.41435983145415223</v>
      </c>
      <c r="AB3159" s="10" t="str">
        <f t="shared" si="3027"/>
        <v>NA</v>
      </c>
      <c r="AC3159" s="10" t="str">
        <f t="shared" si="3028"/>
        <v>NA</v>
      </c>
      <c r="AD3159" s="10" t="str">
        <f t="shared" si="3029"/>
        <v>NA</v>
      </c>
      <c r="AE3159" s="10" t="str">
        <f t="shared" si="3030"/>
        <v>NA</v>
      </c>
      <c r="AF3159" s="1" t="s">
        <v>3950</v>
      </c>
    </row>
    <row r="3160" spans="1:32" x14ac:dyDescent="0.2">
      <c r="A3160" s="1" t="s">
        <v>6815</v>
      </c>
      <c r="B3160" s="1" t="s">
        <v>91</v>
      </c>
      <c r="C3160" s="1" t="s">
        <v>1575</v>
      </c>
      <c r="D3160" s="1" t="s">
        <v>1615</v>
      </c>
      <c r="E3160" s="1" t="s">
        <v>1616</v>
      </c>
      <c r="F3160" s="1" t="s">
        <v>3903</v>
      </c>
      <c r="G3160" s="4">
        <v>1</v>
      </c>
      <c r="H3160" s="28">
        <v>43281</v>
      </c>
      <c r="I3160" s="29">
        <f t="shared" si="3043"/>
        <v>2018</v>
      </c>
      <c r="J3160" s="1" t="s">
        <v>7</v>
      </c>
      <c r="K3160" s="1" t="s">
        <v>3943</v>
      </c>
      <c r="L3160" s="11" t="str">
        <f t="shared" ref="L3160" si="3047">IF(OR(A3160=J3160,A3160=K3160),"ДА","НЕТ")</f>
        <v>НЕТ</v>
      </c>
      <c r="M3160" s="10">
        <v>0</v>
      </c>
      <c r="N3160" s="10">
        <v>0</v>
      </c>
      <c r="O3160" s="10">
        <v>0.27</v>
      </c>
      <c r="P3160" s="10">
        <f t="shared" si="3017"/>
        <v>0.27</v>
      </c>
      <c r="Q3160" s="10" t="str">
        <f t="shared" si="3018"/>
        <v>NA</v>
      </c>
      <c r="R3160" s="10" t="s">
        <v>1575</v>
      </c>
      <c r="S3160" s="10" t="s">
        <v>1575</v>
      </c>
      <c r="T3160" s="10" t="s">
        <v>1575</v>
      </c>
      <c r="U3160" s="10" t="s">
        <v>1575</v>
      </c>
      <c r="V3160" s="10">
        <v>0.307</v>
      </c>
      <c r="W3160" s="10" t="s">
        <v>1575</v>
      </c>
      <c r="X3160" s="10" t="str">
        <f t="shared" si="3023"/>
        <v>NA</v>
      </c>
      <c r="Y3160" s="10" t="str">
        <f t="shared" si="3024"/>
        <v>NA</v>
      </c>
      <c r="Z3160" s="10" t="str">
        <f t="shared" si="3025"/>
        <v>NA</v>
      </c>
      <c r="AA3160" s="10">
        <f t="shared" si="3026"/>
        <v>0.87947882736156358</v>
      </c>
      <c r="AB3160" s="10" t="str">
        <f t="shared" si="3027"/>
        <v>NA</v>
      </c>
      <c r="AC3160" s="10" t="str">
        <f t="shared" si="3028"/>
        <v>NA</v>
      </c>
      <c r="AD3160" s="10" t="str">
        <f t="shared" si="3029"/>
        <v>NA</v>
      </c>
      <c r="AE3160" s="10" t="str">
        <f t="shared" si="3030"/>
        <v>NA</v>
      </c>
      <c r="AF3160" s="1" t="s">
        <v>3951</v>
      </c>
    </row>
    <row r="3161" spans="1:32" x14ac:dyDescent="0.2">
      <c r="A3161" s="1" t="s">
        <v>3922</v>
      </c>
      <c r="B3161" s="1" t="s">
        <v>5</v>
      </c>
      <c r="C3161" s="1" t="s">
        <v>3361</v>
      </c>
      <c r="D3161" s="1" t="s">
        <v>1615</v>
      </c>
      <c r="E3161" s="1" t="s">
        <v>2176</v>
      </c>
      <c r="F3161" s="1" t="s">
        <v>3954</v>
      </c>
      <c r="G3161" s="4">
        <v>0.251</v>
      </c>
      <c r="H3161" s="28">
        <v>43404</v>
      </c>
      <c r="I3161" s="29">
        <f t="shared" si="3043"/>
        <v>2018</v>
      </c>
      <c r="J3161" s="1" t="s">
        <v>7</v>
      </c>
      <c r="K3161" s="1" t="s">
        <v>3943</v>
      </c>
      <c r="L3161" s="11" t="str">
        <f t="shared" ref="L3161" si="3048">IF(OR(A3161=J3161,A3161=K3161),"ДА","НЕТ")</f>
        <v>НЕТ</v>
      </c>
      <c r="M3161" s="10">
        <v>0</v>
      </c>
      <c r="N3161" s="10">
        <v>0</v>
      </c>
      <c r="O3161" s="10">
        <v>14.803000000000001</v>
      </c>
      <c r="P3161" s="10">
        <f t="shared" si="3017"/>
        <v>58.976095617529886</v>
      </c>
      <c r="Q3161" s="10">
        <f t="shared" si="3018"/>
        <v>60.706095617529883</v>
      </c>
      <c r="R3161" s="10">
        <v>65.566999999999993</v>
      </c>
      <c r="S3161" s="10">
        <v>10.444000000000001</v>
      </c>
      <c r="T3161" s="10">
        <v>7.7760000000000007</v>
      </c>
      <c r="U3161" s="10">
        <v>6.5339999999999998</v>
      </c>
      <c r="V3161" s="10">
        <v>40.366999999999997</v>
      </c>
      <c r="W3161" s="10">
        <v>1.73</v>
      </c>
      <c r="X3161" s="10">
        <f t="shared" si="3023"/>
        <v>42.096999999999994</v>
      </c>
      <c r="Y3161" s="10">
        <f t="shared" si="3024"/>
        <v>0.89947832930483163</v>
      </c>
      <c r="Z3161" s="10">
        <f t="shared" si="3025"/>
        <v>9.0260323871334389</v>
      </c>
      <c r="AA3161" s="10">
        <f t="shared" si="3026"/>
        <v>1.460997736208534</v>
      </c>
      <c r="AB3161" s="10">
        <f t="shared" si="3027"/>
        <v>0.92586355357923789</v>
      </c>
      <c r="AC3161" s="10">
        <f t="shared" si="3028"/>
        <v>5.8125330924482839</v>
      </c>
      <c r="AD3161" s="10">
        <f t="shared" si="3029"/>
        <v>7.8068538602790483</v>
      </c>
      <c r="AE3161" s="10">
        <f t="shared" si="3030"/>
        <v>1.4420527737731879</v>
      </c>
      <c r="AF3161" s="1" t="s">
        <v>3952</v>
      </c>
    </row>
    <row r="3162" spans="1:32" x14ac:dyDescent="0.2">
      <c r="A3162" s="1" t="s">
        <v>6813</v>
      </c>
      <c r="B3162" s="1" t="s">
        <v>5</v>
      </c>
      <c r="C3162" s="1" t="s">
        <v>1575</v>
      </c>
      <c r="D3162" s="1" t="s">
        <v>1615</v>
      </c>
      <c r="E3162" s="1" t="s">
        <v>1616</v>
      </c>
      <c r="F3162" s="1" t="s">
        <v>3903</v>
      </c>
      <c r="G3162" s="4">
        <v>1</v>
      </c>
      <c r="H3162" s="28">
        <v>43100</v>
      </c>
      <c r="I3162" s="29">
        <f t="shared" si="3043"/>
        <v>2017</v>
      </c>
      <c r="J3162" s="1" t="s">
        <v>3943</v>
      </c>
      <c r="K3162" s="1" t="s">
        <v>7</v>
      </c>
      <c r="L3162" s="11" t="str">
        <f t="shared" ref="L3162" si="3049">IF(OR(A3162=J3162,A3162=K3162),"ДА","НЕТ")</f>
        <v>НЕТ</v>
      </c>
      <c r="M3162" s="10">
        <v>0</v>
      </c>
      <c r="N3162" s="10">
        <v>0</v>
      </c>
      <c r="O3162" s="10">
        <f>1.359+0.9</f>
        <v>2.2589999999999999</v>
      </c>
      <c r="P3162" s="10">
        <f t="shared" si="3017"/>
        <v>2.2589999999999999</v>
      </c>
      <c r="Q3162" s="10" t="str">
        <f t="shared" si="3018"/>
        <v>NA</v>
      </c>
      <c r="R3162" s="10" t="s">
        <v>1575</v>
      </c>
      <c r="S3162" s="10" t="s">
        <v>1575</v>
      </c>
      <c r="T3162" s="10" t="s">
        <v>1575</v>
      </c>
      <c r="U3162" s="10" t="s">
        <v>1575</v>
      </c>
      <c r="V3162" s="10" t="s">
        <v>1575</v>
      </c>
      <c r="W3162" s="10" t="s">
        <v>1575</v>
      </c>
      <c r="X3162" s="10" t="str">
        <f t="shared" si="3023"/>
        <v>NA</v>
      </c>
      <c r="Y3162" s="10" t="str">
        <f t="shared" si="3024"/>
        <v>NA</v>
      </c>
      <c r="Z3162" s="10" t="str">
        <f t="shared" si="3025"/>
        <v>NA</v>
      </c>
      <c r="AA3162" s="10" t="str">
        <f t="shared" si="3026"/>
        <v>NA</v>
      </c>
      <c r="AB3162" s="10" t="str">
        <f t="shared" si="3027"/>
        <v>NA</v>
      </c>
      <c r="AC3162" s="10" t="str">
        <f t="shared" si="3028"/>
        <v>NA</v>
      </c>
      <c r="AD3162" s="10" t="str">
        <f t="shared" si="3029"/>
        <v>NA</v>
      </c>
      <c r="AE3162" s="10" t="str">
        <f t="shared" si="3030"/>
        <v>NA</v>
      </c>
      <c r="AF3162" s="1" t="s">
        <v>3953</v>
      </c>
    </row>
    <row r="3163" spans="1:32" x14ac:dyDescent="0.2">
      <c r="A3163" s="1" t="s">
        <v>3922</v>
      </c>
      <c r="B3163" s="1" t="s">
        <v>5</v>
      </c>
      <c r="C3163" s="1" t="s">
        <v>3361</v>
      </c>
      <c r="D3163" s="1" t="s">
        <v>1615</v>
      </c>
      <c r="E3163" s="1" t="s">
        <v>2176</v>
      </c>
      <c r="F3163" s="1" t="s">
        <v>3954</v>
      </c>
      <c r="G3163" s="4">
        <f>(4525+571524)/13894778</f>
        <v>4.1457949166226332E-2</v>
      </c>
      <c r="H3163" s="28">
        <v>41517</v>
      </c>
      <c r="I3163" s="29">
        <f t="shared" si="3043"/>
        <v>2013</v>
      </c>
      <c r="J3163" s="1" t="s">
        <v>3943</v>
      </c>
      <c r="K3163" s="1" t="s">
        <v>7</v>
      </c>
      <c r="L3163" s="11" t="str">
        <f t="shared" ref="L3163" si="3050">IF(OR(A3163=J3163,A3163=K3163),"ДА","НЕТ")</f>
        <v>НЕТ</v>
      </c>
      <c r="M3163" s="10">
        <v>8.8000000000000007</v>
      </c>
      <c r="N3163" s="10">
        <v>0</v>
      </c>
      <c r="O3163" s="10">
        <v>0.28899999999999998</v>
      </c>
      <c r="P3163" s="10">
        <f t="shared" si="3017"/>
        <v>6.9709188662770005</v>
      </c>
      <c r="Q3163" s="10">
        <f t="shared" si="3018"/>
        <v>16.413918866277001</v>
      </c>
      <c r="R3163" s="10">
        <v>36.365000000000002</v>
      </c>
      <c r="S3163" s="10">
        <v>10.163</v>
      </c>
      <c r="T3163" s="10">
        <v>7.423</v>
      </c>
      <c r="U3163" s="10">
        <v>5.2320000000000002</v>
      </c>
      <c r="V3163" s="10">
        <v>27.561</v>
      </c>
      <c r="W3163" s="10">
        <v>9.4429999999999996</v>
      </c>
      <c r="X3163" s="10">
        <f t="shared" si="3023"/>
        <v>37.003999999999998</v>
      </c>
      <c r="Y3163" s="10">
        <f t="shared" si="3024"/>
        <v>0.19169308033210505</v>
      </c>
      <c r="Z3163" s="10">
        <f t="shared" si="3025"/>
        <v>1.332362168630925</v>
      </c>
      <c r="AA3163" s="10">
        <f t="shared" si="3026"/>
        <v>0.25292692087649216</v>
      </c>
      <c r="AB3163" s="10">
        <f t="shared" si="3027"/>
        <v>0.45136584260351986</v>
      </c>
      <c r="AC3163" s="10">
        <f t="shared" si="3028"/>
        <v>1.6150663058424679</v>
      </c>
      <c r="AD3163" s="10">
        <f t="shared" si="3029"/>
        <v>2.2112244195442545</v>
      </c>
      <c r="AE3163" s="10">
        <f t="shared" si="3030"/>
        <v>0.44357147514530865</v>
      </c>
      <c r="AF3163" s="1" t="s">
        <v>3955</v>
      </c>
    </row>
    <row r="3164" spans="1:32" x14ac:dyDescent="0.2">
      <c r="A3164" s="1" t="s">
        <v>3957</v>
      </c>
      <c r="B3164" s="1" t="s">
        <v>179</v>
      </c>
      <c r="C3164" s="1" t="s">
        <v>1575</v>
      </c>
      <c r="D3164" s="1" t="s">
        <v>1615</v>
      </c>
      <c r="E3164" s="1" t="s">
        <v>1616</v>
      </c>
      <c r="F3164" s="1" t="s">
        <v>3961</v>
      </c>
      <c r="G3164" s="4">
        <v>0.5</v>
      </c>
      <c r="H3164" s="28">
        <v>41578</v>
      </c>
      <c r="I3164" s="29">
        <f t="shared" si="3043"/>
        <v>2013</v>
      </c>
      <c r="J3164" s="1" t="s">
        <v>3943</v>
      </c>
      <c r="K3164" s="1" t="s">
        <v>7</v>
      </c>
      <c r="L3164" s="11" t="str">
        <f t="shared" ref="L3164" si="3051">IF(OR(A3164=J3164,A3164=K3164),"ДА","НЕТ")</f>
        <v>НЕТ</v>
      </c>
      <c r="M3164" s="10">
        <v>0</v>
      </c>
      <c r="N3164" s="10">
        <v>0</v>
      </c>
      <c r="O3164" s="10">
        <v>0.20599999999999999</v>
      </c>
      <c r="P3164" s="10">
        <f t="shared" si="3017"/>
        <v>0.41199999999999998</v>
      </c>
      <c r="Q3164" s="10" t="str">
        <f t="shared" si="3018"/>
        <v>NA</v>
      </c>
      <c r="R3164" s="10" t="s">
        <v>1575</v>
      </c>
      <c r="S3164" s="10" t="s">
        <v>1575</v>
      </c>
      <c r="T3164" s="10" t="s">
        <v>1575</v>
      </c>
      <c r="U3164" s="10" t="s">
        <v>1575</v>
      </c>
      <c r="V3164" s="10" t="s">
        <v>1575</v>
      </c>
      <c r="W3164" s="10" t="s">
        <v>1575</v>
      </c>
      <c r="X3164" s="10" t="str">
        <f t="shared" si="3023"/>
        <v>NA</v>
      </c>
      <c r="Y3164" s="10" t="str">
        <f t="shared" si="3024"/>
        <v>NA</v>
      </c>
      <c r="Z3164" s="10" t="str">
        <f t="shared" si="3025"/>
        <v>NA</v>
      </c>
      <c r="AA3164" s="10" t="str">
        <f t="shared" si="3026"/>
        <v>NA</v>
      </c>
      <c r="AB3164" s="10" t="str">
        <f t="shared" si="3027"/>
        <v>NA</v>
      </c>
      <c r="AC3164" s="10" t="str">
        <f t="shared" si="3028"/>
        <v>NA</v>
      </c>
      <c r="AD3164" s="10" t="str">
        <f t="shared" si="3029"/>
        <v>NA</v>
      </c>
      <c r="AE3164" s="10" t="str">
        <f t="shared" si="3030"/>
        <v>NA</v>
      </c>
      <c r="AF3164" s="1" t="s">
        <v>3956</v>
      </c>
    </row>
    <row r="3165" spans="1:32" x14ac:dyDescent="0.2">
      <c r="A3165" s="1" t="s">
        <v>3943</v>
      </c>
      <c r="B3165" s="1" t="s">
        <v>5</v>
      </c>
      <c r="C3165" s="1" t="s">
        <v>3959</v>
      </c>
      <c r="D3165" s="1" t="s">
        <v>1615</v>
      </c>
      <c r="E3165" s="1" t="s">
        <v>1616</v>
      </c>
      <c r="F3165" s="1" t="s">
        <v>3903</v>
      </c>
      <c r="G3165" s="4" t="s">
        <v>11</v>
      </c>
      <c r="H3165" s="28">
        <v>41274</v>
      </c>
      <c r="I3165" s="29">
        <f t="shared" si="3043"/>
        <v>2012</v>
      </c>
      <c r="J3165" s="1" t="s">
        <v>3958</v>
      </c>
      <c r="K3165" s="1" t="s">
        <v>7</v>
      </c>
      <c r="L3165" s="11" t="str">
        <f t="shared" ref="L3165:L3167" si="3052">IF(OR(A3165=J3165,A3165=K3165),"ДА","НЕТ")</f>
        <v>НЕТ</v>
      </c>
      <c r="M3165" s="10">
        <v>540</v>
      </c>
      <c r="N3165" s="10">
        <v>0</v>
      </c>
      <c r="O3165" s="10">
        <v>16.402000000000001</v>
      </c>
      <c r="P3165" s="10" t="str">
        <f t="shared" si="3017"/>
        <v>NA</v>
      </c>
      <c r="Q3165" s="10" t="str">
        <f t="shared" si="3018"/>
        <v>NA</v>
      </c>
      <c r="R3165" s="10">
        <v>37.219000000000001</v>
      </c>
      <c r="S3165" s="10">
        <v>5.215611</v>
      </c>
      <c r="T3165" s="10">
        <v>2.1116109999999999</v>
      </c>
      <c r="U3165" s="10">
        <v>-0.53300000000000003</v>
      </c>
      <c r="V3165" s="10">
        <v>46.542000000000002</v>
      </c>
      <c r="W3165" s="10">
        <v>12.111000000000004</v>
      </c>
      <c r="X3165" s="10">
        <f t="shared" si="3023"/>
        <v>58.653000000000006</v>
      </c>
      <c r="Y3165" s="10" t="str">
        <f t="shared" si="3024"/>
        <v>NA</v>
      </c>
      <c r="Z3165" s="10" t="str">
        <f t="shared" si="3025"/>
        <v>NA</v>
      </c>
      <c r="AA3165" s="10" t="str">
        <f t="shared" si="3026"/>
        <v>NA</v>
      </c>
      <c r="AB3165" s="10" t="str">
        <f t="shared" si="3027"/>
        <v>NA</v>
      </c>
      <c r="AC3165" s="10" t="str">
        <f t="shared" si="3028"/>
        <v>NA</v>
      </c>
      <c r="AD3165" s="10" t="str">
        <f t="shared" si="3029"/>
        <v>NA</v>
      </c>
      <c r="AE3165" s="10" t="str">
        <f t="shared" si="3030"/>
        <v>NA</v>
      </c>
      <c r="AF3165" s="1" t="s">
        <v>3960</v>
      </c>
    </row>
    <row r="3166" spans="1:32" x14ac:dyDescent="0.2">
      <c r="A3166" s="1" t="s">
        <v>3943</v>
      </c>
      <c r="B3166" s="1" t="s">
        <v>5</v>
      </c>
      <c r="C3166" s="1" t="s">
        <v>3959</v>
      </c>
      <c r="D3166" s="1" t="s">
        <v>1615</v>
      </c>
      <c r="E3166" s="1" t="s">
        <v>1616</v>
      </c>
      <c r="F3166" s="1" t="s">
        <v>3903</v>
      </c>
      <c r="G3166" s="4">
        <v>0.13</v>
      </c>
      <c r="H3166" s="28">
        <v>41274</v>
      </c>
      <c r="I3166" s="29">
        <f t="shared" ref="I3166" si="3053">YEAR(H3166)</f>
        <v>2012</v>
      </c>
      <c r="J3166" s="1" t="s">
        <v>7</v>
      </c>
      <c r="K3166" s="1" t="s">
        <v>3943</v>
      </c>
      <c r="L3166" s="11" t="str">
        <f t="shared" ref="L3166" si="3054">IF(OR(A3166=J3166,A3166=K3166),"ДА","НЕТ")</f>
        <v>ДА</v>
      </c>
      <c r="M3166" s="10">
        <v>0</v>
      </c>
      <c r="N3166" s="10">
        <v>0</v>
      </c>
      <c r="O3166" s="10">
        <v>3.55</v>
      </c>
      <c r="P3166" s="10">
        <f t="shared" si="3017"/>
        <v>27.307692307692307</v>
      </c>
      <c r="Q3166" s="10">
        <f t="shared" si="3018"/>
        <v>39.418692307692311</v>
      </c>
      <c r="R3166" s="10">
        <v>37.219000000000001</v>
      </c>
      <c r="S3166" s="10">
        <v>5.215611</v>
      </c>
      <c r="T3166" s="10">
        <v>2.1116109999999999</v>
      </c>
      <c r="U3166" s="10">
        <v>-0.53300000000000003</v>
      </c>
      <c r="V3166" s="10">
        <v>46.542000000000002</v>
      </c>
      <c r="W3166" s="10">
        <v>12.111000000000004</v>
      </c>
      <c r="X3166" s="10">
        <f t="shared" si="3023"/>
        <v>58.653000000000006</v>
      </c>
      <c r="Y3166" s="10">
        <f t="shared" si="3024"/>
        <v>0.73370300942239997</v>
      </c>
      <c r="Z3166" s="10">
        <f t="shared" si="3025"/>
        <v>-51.23394429210564</v>
      </c>
      <c r="AA3166" s="10">
        <f t="shared" si="3026"/>
        <v>0.586732248457142</v>
      </c>
      <c r="AB3166" s="10">
        <f t="shared" si="3027"/>
        <v>1.0591013274857548</v>
      </c>
      <c r="AC3166" s="10">
        <f t="shared" si="3028"/>
        <v>7.5578282789288371</v>
      </c>
      <c r="AD3166" s="10">
        <f t="shared" si="3029"/>
        <v>18.667591856498337</v>
      </c>
      <c r="AE3166" s="10">
        <f t="shared" si="3030"/>
        <v>0.67206608882226493</v>
      </c>
      <c r="AF3166" s="1" t="s">
        <v>3963</v>
      </c>
    </row>
    <row r="3167" spans="1:32" x14ac:dyDescent="0.2">
      <c r="A3167" s="1" t="s">
        <v>3922</v>
      </c>
      <c r="B3167" s="1" t="s">
        <v>5</v>
      </c>
      <c r="C3167" s="1" t="s">
        <v>3361</v>
      </c>
      <c r="D3167" s="1" t="s">
        <v>1615</v>
      </c>
      <c r="E3167" s="1" t="s">
        <v>2176</v>
      </c>
      <c r="F3167" s="1" t="s">
        <v>3954</v>
      </c>
      <c r="G3167" s="4">
        <v>5.1700000000000003E-2</v>
      </c>
      <c r="H3167" s="28">
        <v>41274</v>
      </c>
      <c r="I3167" s="29">
        <f t="shared" ref="I3167" si="3055">YEAR(H3167)</f>
        <v>2012</v>
      </c>
      <c r="J3167" s="1" t="s">
        <v>3943</v>
      </c>
      <c r="K3167" s="1" t="s">
        <v>7</v>
      </c>
      <c r="L3167" s="11" t="str">
        <f t="shared" si="3052"/>
        <v>НЕТ</v>
      </c>
      <c r="M3167" s="10">
        <v>0</v>
      </c>
      <c r="N3167" s="10">
        <v>0</v>
      </c>
      <c r="O3167" s="10">
        <v>1.2290000000000001</v>
      </c>
      <c r="P3167" s="10">
        <f t="shared" si="3017"/>
        <v>23.771760154738878</v>
      </c>
      <c r="Q3167" s="10">
        <f t="shared" si="3018"/>
        <v>33.214760154738876</v>
      </c>
      <c r="R3167" s="10">
        <v>36.365000000000002</v>
      </c>
      <c r="S3167" s="10">
        <v>10.163</v>
      </c>
      <c r="T3167" s="10">
        <v>7.423</v>
      </c>
      <c r="U3167" s="10">
        <v>5.2320000000000002</v>
      </c>
      <c r="V3167" s="10">
        <v>27.561</v>
      </c>
      <c r="W3167" s="10">
        <v>9.4429999999999996</v>
      </c>
      <c r="X3167" s="10">
        <f t="shared" si="3023"/>
        <v>37.003999999999998</v>
      </c>
      <c r="Y3167" s="10">
        <f t="shared" si="3024"/>
        <v>0.65369889054692365</v>
      </c>
      <c r="Z3167" s="10">
        <f t="shared" si="3025"/>
        <v>4.5435321396672164</v>
      </c>
      <c r="AA3167" s="10">
        <f t="shared" si="3026"/>
        <v>0.86251442816802282</v>
      </c>
      <c r="AB3167" s="10">
        <f t="shared" si="3027"/>
        <v>0.91337165281833832</v>
      </c>
      <c r="AC3167" s="10">
        <f t="shared" si="3028"/>
        <v>3.2682042856183089</v>
      </c>
      <c r="AD3167" s="10">
        <f t="shared" si="3029"/>
        <v>4.4745736433704533</v>
      </c>
      <c r="AE3167" s="10">
        <f t="shared" si="3030"/>
        <v>0.89759918264887251</v>
      </c>
      <c r="AF3167" s="1" t="s">
        <v>3962</v>
      </c>
    </row>
    <row r="3168" spans="1:32" x14ac:dyDescent="0.2">
      <c r="A3168" s="1" t="s">
        <v>6816</v>
      </c>
      <c r="B3168" s="1" t="s">
        <v>5</v>
      </c>
      <c r="C3168" s="1" t="s">
        <v>1575</v>
      </c>
      <c r="D3168" s="1" t="s">
        <v>1615</v>
      </c>
      <c r="E3168" s="1" t="s">
        <v>1616</v>
      </c>
      <c r="F3168" s="1" t="s">
        <v>3903</v>
      </c>
      <c r="G3168" s="4">
        <v>0.45600000000000002</v>
      </c>
      <c r="H3168" s="28">
        <v>40999</v>
      </c>
      <c r="I3168" s="29">
        <f t="shared" si="3043"/>
        <v>2012</v>
      </c>
      <c r="J3168" s="1" t="s">
        <v>3943</v>
      </c>
      <c r="K3168" s="1" t="s">
        <v>7</v>
      </c>
      <c r="L3168" s="11" t="str">
        <f t="shared" ref="L3168:L3169" si="3056">IF(OR(A3168=J3168,A3168=K3168),"ДА","НЕТ")</f>
        <v>НЕТ</v>
      </c>
      <c r="M3168" s="10">
        <v>0</v>
      </c>
      <c r="N3168" s="10">
        <v>0</v>
      </c>
      <c r="O3168" s="10">
        <v>5.5620000000000003</v>
      </c>
      <c r="P3168" s="10">
        <f t="shared" si="3017"/>
        <v>12.197368421052632</v>
      </c>
      <c r="Q3168" s="10">
        <f t="shared" si="3018"/>
        <v>14.071368421052632</v>
      </c>
      <c r="R3168" s="10" t="s">
        <v>1575</v>
      </c>
      <c r="S3168" s="10" t="s">
        <v>1575</v>
      </c>
      <c r="T3168" s="10" t="s">
        <v>1575</v>
      </c>
      <c r="U3168" s="10" t="s">
        <v>1575</v>
      </c>
      <c r="V3168" s="10">
        <v>6.5819999999999999</v>
      </c>
      <c r="W3168" s="10">
        <f>0.706+0.963+0.528+0.246-0.569</f>
        <v>1.8740000000000001</v>
      </c>
      <c r="X3168" s="10">
        <f t="shared" si="3023"/>
        <v>8.4559999999999995</v>
      </c>
      <c r="Y3168" s="10" t="str">
        <f t="shared" si="3024"/>
        <v>NA</v>
      </c>
      <c r="Z3168" s="10" t="str">
        <f t="shared" si="3025"/>
        <v>NA</v>
      </c>
      <c r="AA3168" s="10">
        <f t="shared" si="3026"/>
        <v>1.8531401429736603</v>
      </c>
      <c r="AB3168" s="10" t="str">
        <f t="shared" si="3027"/>
        <v>NA</v>
      </c>
      <c r="AC3168" s="10" t="str">
        <f t="shared" si="3028"/>
        <v>NA</v>
      </c>
      <c r="AD3168" s="10" t="str">
        <f t="shared" si="3029"/>
        <v>NA</v>
      </c>
      <c r="AE3168" s="10">
        <f t="shared" si="3030"/>
        <v>1.664069113180302</v>
      </c>
      <c r="AF3168" s="1" t="s">
        <v>3964</v>
      </c>
    </row>
    <row r="3169" spans="1:32" x14ac:dyDescent="0.2">
      <c r="A3169" s="1" t="s">
        <v>3957</v>
      </c>
      <c r="B3169" s="1" t="s">
        <v>179</v>
      </c>
      <c r="C3169" s="1" t="s">
        <v>1575</v>
      </c>
      <c r="D3169" s="1" t="s">
        <v>1615</v>
      </c>
      <c r="E3169" s="1" t="s">
        <v>1616</v>
      </c>
      <c r="F3169" s="1" t="s">
        <v>3961</v>
      </c>
      <c r="G3169" s="4">
        <v>0.5</v>
      </c>
      <c r="H3169" s="28">
        <v>40908</v>
      </c>
      <c r="I3169" s="29">
        <f t="shared" si="3043"/>
        <v>2011</v>
      </c>
      <c r="J3169" s="1" t="s">
        <v>3943</v>
      </c>
      <c r="K3169" s="1" t="s">
        <v>7</v>
      </c>
      <c r="L3169" s="11" t="str">
        <f t="shared" si="3056"/>
        <v>НЕТ</v>
      </c>
      <c r="M3169" s="10">
        <v>4.8</v>
      </c>
      <c r="N3169" s="10">
        <v>0</v>
      </c>
      <c r="O3169" s="10">
        <f>M3169*32.1961/1000</f>
        <v>0.15454128</v>
      </c>
      <c r="P3169" s="10">
        <f t="shared" si="3017"/>
        <v>0.30908256000000001</v>
      </c>
      <c r="Q3169" s="10" t="str">
        <f t="shared" si="3018"/>
        <v>NA</v>
      </c>
      <c r="R3169" s="10" t="s">
        <v>1575</v>
      </c>
      <c r="S3169" s="10" t="s">
        <v>1575</v>
      </c>
      <c r="T3169" s="10" t="s">
        <v>1575</v>
      </c>
      <c r="U3169" s="10" t="s">
        <v>1575</v>
      </c>
      <c r="V3169" s="10">
        <f>1.723-0.474</f>
        <v>1.2490000000000001</v>
      </c>
      <c r="W3169" s="10" t="s">
        <v>1575</v>
      </c>
      <c r="X3169" s="10" t="str">
        <f t="shared" si="3023"/>
        <v>NA</v>
      </c>
      <c r="Y3169" s="10" t="str">
        <f t="shared" si="3024"/>
        <v>NA</v>
      </c>
      <c r="Z3169" s="10" t="str">
        <f t="shared" si="3025"/>
        <v>NA</v>
      </c>
      <c r="AA3169" s="10">
        <f t="shared" si="3026"/>
        <v>0.24746401921537228</v>
      </c>
      <c r="AB3169" s="10" t="str">
        <f t="shared" si="3027"/>
        <v>NA</v>
      </c>
      <c r="AC3169" s="10" t="str">
        <f t="shared" si="3028"/>
        <v>NA</v>
      </c>
      <c r="AD3169" s="10" t="str">
        <f t="shared" si="3029"/>
        <v>NA</v>
      </c>
      <c r="AE3169" s="10" t="str">
        <f t="shared" si="3030"/>
        <v>NA</v>
      </c>
      <c r="AF3169" s="1" t="s">
        <v>3965</v>
      </c>
    </row>
    <row r="3170" spans="1:32" x14ac:dyDescent="0.2">
      <c r="A3170" s="1" t="s">
        <v>6817</v>
      </c>
      <c r="B3170" s="1" t="s">
        <v>5</v>
      </c>
      <c r="C3170" s="1" t="s">
        <v>1575</v>
      </c>
      <c r="D3170" s="1" t="s">
        <v>1615</v>
      </c>
      <c r="E3170" s="1" t="s">
        <v>2176</v>
      </c>
      <c r="F3170" s="1" t="s">
        <v>3954</v>
      </c>
      <c r="G3170" s="4">
        <v>1</v>
      </c>
      <c r="H3170" s="28">
        <v>40731</v>
      </c>
      <c r="I3170" s="29">
        <f t="shared" ref="I3170" si="3057">YEAR(H3170)</f>
        <v>2011</v>
      </c>
      <c r="J3170" s="1" t="s">
        <v>3943</v>
      </c>
      <c r="K3170" s="1" t="s">
        <v>7</v>
      </c>
      <c r="L3170" s="11" t="str">
        <f t="shared" ref="L3170" si="3058">IF(OR(A3170=J3170,A3170=K3170),"ДА","НЕТ")</f>
        <v>НЕТ</v>
      </c>
      <c r="M3170" s="10">
        <v>49.216999999999999</v>
      </c>
      <c r="N3170" s="10">
        <v>0</v>
      </c>
      <c r="O3170" s="10">
        <f>M3170*27.8907/1000</f>
        <v>1.3726965818999999</v>
      </c>
      <c r="P3170" s="10">
        <f t="shared" si="3017"/>
        <v>1.3726965818999999</v>
      </c>
      <c r="Q3170" s="10">
        <f t="shared" si="3018"/>
        <v>2.4002457513</v>
      </c>
      <c r="R3170" s="10" t="s">
        <v>1575</v>
      </c>
      <c r="S3170" s="10" t="s">
        <v>1575</v>
      </c>
      <c r="T3170" s="10" t="s">
        <v>1575</v>
      </c>
      <c r="U3170" s="10" t="s">
        <v>1575</v>
      </c>
      <c r="V3170" s="10">
        <f>22.792*27.8907/1000</f>
        <v>0.63568483440000001</v>
      </c>
      <c r="W3170" s="10">
        <f>(10.21+26.239+1.13+1.036+2.054-3.827)*27.8907/1000</f>
        <v>1.0275491694000003</v>
      </c>
      <c r="X3170" s="10">
        <f t="shared" si="3023"/>
        <v>1.6632340038000004</v>
      </c>
      <c r="Y3170" s="10" t="str">
        <f t="shared" si="3024"/>
        <v>NA</v>
      </c>
      <c r="Z3170" s="10" t="str">
        <f t="shared" si="3025"/>
        <v>NA</v>
      </c>
      <c r="AA3170" s="10">
        <f t="shared" si="3026"/>
        <v>2.1593980343980341</v>
      </c>
      <c r="AB3170" s="10" t="str">
        <f t="shared" si="3027"/>
        <v>NA</v>
      </c>
      <c r="AC3170" s="10" t="str">
        <f t="shared" si="3028"/>
        <v>NA</v>
      </c>
      <c r="AD3170" s="10" t="str">
        <f t="shared" si="3029"/>
        <v>NA</v>
      </c>
      <c r="AE3170" s="10">
        <f t="shared" si="3030"/>
        <v>1.4431196968172515</v>
      </c>
      <c r="AF3170" s="1" t="s">
        <v>3966</v>
      </c>
    </row>
    <row r="3171" spans="1:32" x14ac:dyDescent="0.2">
      <c r="A3171" s="1" t="s">
        <v>3938</v>
      </c>
      <c r="B3171" s="1" t="s">
        <v>1575</v>
      </c>
      <c r="C3171" s="1" t="s">
        <v>1575</v>
      </c>
      <c r="D3171" s="1" t="s">
        <v>1615</v>
      </c>
      <c r="E3171" s="1" t="s">
        <v>3897</v>
      </c>
      <c r="F3171" s="1" t="s">
        <v>3939</v>
      </c>
      <c r="G3171" s="4">
        <v>0.51</v>
      </c>
      <c r="H3171" s="28">
        <v>40949</v>
      </c>
      <c r="I3171" s="29">
        <f t="shared" si="3043"/>
        <v>2012</v>
      </c>
      <c r="J3171" s="1" t="s">
        <v>3937</v>
      </c>
      <c r="K3171" s="1" t="s">
        <v>7</v>
      </c>
      <c r="L3171" s="11" t="str">
        <f t="shared" si="3039"/>
        <v>НЕТ</v>
      </c>
      <c r="M3171" s="10">
        <v>0</v>
      </c>
      <c r="N3171" s="10">
        <v>0</v>
      </c>
      <c r="O3171" s="10" t="s">
        <v>1575</v>
      </c>
      <c r="P3171" s="10" t="str">
        <f t="shared" si="3017"/>
        <v>NA</v>
      </c>
      <c r="Q3171" s="10" t="str">
        <f t="shared" si="3018"/>
        <v>NA</v>
      </c>
      <c r="R3171" s="10" t="s">
        <v>1575</v>
      </c>
      <c r="S3171" s="10" t="s">
        <v>1575</v>
      </c>
      <c r="T3171" s="10" t="s">
        <v>1575</v>
      </c>
      <c r="U3171" s="10" t="s">
        <v>1575</v>
      </c>
      <c r="V3171" s="10" t="s">
        <v>1575</v>
      </c>
      <c r="W3171" s="10" t="s">
        <v>1575</v>
      </c>
      <c r="X3171" s="10" t="str">
        <f t="shared" si="3023"/>
        <v>NA</v>
      </c>
      <c r="Y3171" s="10" t="str">
        <f t="shared" si="3024"/>
        <v>NA</v>
      </c>
      <c r="Z3171" s="10" t="str">
        <f t="shared" si="3025"/>
        <v>NA</v>
      </c>
      <c r="AA3171" s="10" t="str">
        <f t="shared" si="3026"/>
        <v>NA</v>
      </c>
      <c r="AB3171" s="10" t="str">
        <f t="shared" si="3027"/>
        <v>NA</v>
      </c>
      <c r="AC3171" s="10" t="str">
        <f t="shared" si="3028"/>
        <v>NA</v>
      </c>
      <c r="AD3171" s="10" t="str">
        <f t="shared" si="3029"/>
        <v>NA</v>
      </c>
      <c r="AE3171" s="10" t="str">
        <f t="shared" si="3030"/>
        <v>NA</v>
      </c>
      <c r="AF3171" s="1" t="s">
        <v>3936</v>
      </c>
    </row>
    <row r="3172" spans="1:32" x14ac:dyDescent="0.2">
      <c r="A3172" s="1" t="s">
        <v>3940</v>
      </c>
      <c r="B3172" s="1" t="s">
        <v>5</v>
      </c>
      <c r="C3172" s="1" t="s">
        <v>3942</v>
      </c>
      <c r="D3172" s="1" t="s">
        <v>1615</v>
      </c>
      <c r="E3172" s="1" t="s">
        <v>3897</v>
      </c>
      <c r="F3172" s="1" t="s">
        <v>3939</v>
      </c>
      <c r="G3172" s="4">
        <v>0.50339999999999996</v>
      </c>
      <c r="H3172" s="28">
        <v>39421</v>
      </c>
      <c r="I3172" s="29">
        <f t="shared" si="3033"/>
        <v>2007</v>
      </c>
      <c r="J3172" s="1" t="s">
        <v>3937</v>
      </c>
      <c r="K3172" s="1" t="s">
        <v>7</v>
      </c>
      <c r="L3172" s="11" t="str">
        <f t="shared" si="3039"/>
        <v>НЕТ</v>
      </c>
      <c r="M3172" s="10">
        <v>0</v>
      </c>
      <c r="N3172" s="10">
        <v>0</v>
      </c>
      <c r="O3172" s="10" t="s">
        <v>1575</v>
      </c>
      <c r="P3172" s="10" t="str">
        <f t="shared" si="3017"/>
        <v>NA</v>
      </c>
      <c r="Q3172" s="10" t="str">
        <f t="shared" si="3018"/>
        <v>NA</v>
      </c>
      <c r="R3172" s="10" t="s">
        <v>1575</v>
      </c>
      <c r="S3172" s="10" t="s">
        <v>1575</v>
      </c>
      <c r="T3172" s="10" t="s">
        <v>1575</v>
      </c>
      <c r="U3172" s="10" t="s">
        <v>1575</v>
      </c>
      <c r="V3172" s="10" t="s">
        <v>1575</v>
      </c>
      <c r="W3172" s="10" t="s">
        <v>1575</v>
      </c>
      <c r="X3172" s="10" t="str">
        <f t="shared" si="3023"/>
        <v>NA</v>
      </c>
      <c r="Y3172" s="10" t="str">
        <f t="shared" si="3024"/>
        <v>NA</v>
      </c>
      <c r="Z3172" s="10" t="str">
        <f t="shared" si="3025"/>
        <v>NA</v>
      </c>
      <c r="AA3172" s="10" t="str">
        <f t="shared" si="3026"/>
        <v>NA</v>
      </c>
      <c r="AB3172" s="10" t="str">
        <f t="shared" si="3027"/>
        <v>NA</v>
      </c>
      <c r="AC3172" s="10" t="str">
        <f t="shared" si="3028"/>
        <v>NA</v>
      </c>
      <c r="AD3172" s="10" t="str">
        <f t="shared" si="3029"/>
        <v>NA</v>
      </c>
      <c r="AE3172" s="10" t="str">
        <f t="shared" si="3030"/>
        <v>NA</v>
      </c>
      <c r="AF3172" s="1" t="s">
        <v>3941</v>
      </c>
    </row>
    <row r="3173" spans="1:32" x14ac:dyDescent="0.2">
      <c r="A3173" s="1" t="s">
        <v>6818</v>
      </c>
      <c r="B3173" s="1" t="s">
        <v>5</v>
      </c>
      <c r="C3173" s="1" t="s">
        <v>1575</v>
      </c>
      <c r="D3173" s="1" t="s">
        <v>1813</v>
      </c>
      <c r="E3173" s="1" t="s">
        <v>1971</v>
      </c>
      <c r="F3173" s="1" t="s">
        <v>1970</v>
      </c>
      <c r="G3173" s="4">
        <v>0.51</v>
      </c>
      <c r="H3173" s="28">
        <v>40674</v>
      </c>
      <c r="I3173" s="29">
        <f t="shared" si="3033"/>
        <v>2011</v>
      </c>
      <c r="J3173" s="1" t="s">
        <v>2864</v>
      </c>
      <c r="K3173" s="1" t="s">
        <v>7</v>
      </c>
      <c r="L3173" s="11" t="str">
        <f t="shared" si="2880"/>
        <v>НЕТ</v>
      </c>
      <c r="M3173" s="10">
        <v>0</v>
      </c>
      <c r="N3173" s="10">
        <v>0</v>
      </c>
      <c r="O3173" s="10">
        <v>0.153</v>
      </c>
      <c r="P3173" s="10">
        <f t="shared" si="3017"/>
        <v>0.3</v>
      </c>
      <c r="Q3173" s="10">
        <f t="shared" si="3018"/>
        <v>0.371</v>
      </c>
      <c r="R3173" s="10" t="s">
        <v>1575</v>
      </c>
      <c r="S3173" s="10" t="s">
        <v>1575</v>
      </c>
      <c r="T3173" s="10" t="s">
        <v>1575</v>
      </c>
      <c r="U3173" s="10" t="s">
        <v>1575</v>
      </c>
      <c r="V3173" s="10">
        <v>0.27700000000000002</v>
      </c>
      <c r="W3173" s="10">
        <f>0.072-0.001</f>
        <v>7.0999999999999994E-2</v>
      </c>
      <c r="X3173" s="10">
        <f t="shared" si="3023"/>
        <v>0.34800000000000003</v>
      </c>
      <c r="Y3173" s="10" t="str">
        <f t="shared" si="3024"/>
        <v>NA</v>
      </c>
      <c r="Z3173" s="10" t="str">
        <f t="shared" si="3025"/>
        <v>NA</v>
      </c>
      <c r="AA3173" s="10">
        <f t="shared" si="3026"/>
        <v>1.0830324909747291</v>
      </c>
      <c r="AB3173" s="10" t="str">
        <f t="shared" si="3027"/>
        <v>NA</v>
      </c>
      <c r="AC3173" s="10" t="str">
        <f t="shared" si="3028"/>
        <v>NA</v>
      </c>
      <c r="AD3173" s="10" t="str">
        <f t="shared" si="3029"/>
        <v>NA</v>
      </c>
      <c r="AE3173" s="10">
        <f t="shared" si="3030"/>
        <v>1.0660919540229885</v>
      </c>
      <c r="AF3173" s="1" t="s">
        <v>2868</v>
      </c>
    </row>
    <row r="3174" spans="1:32" x14ac:dyDescent="0.2">
      <c r="A3174" s="1" t="s">
        <v>6819</v>
      </c>
      <c r="B3174" s="1" t="s">
        <v>5</v>
      </c>
      <c r="C3174" s="1" t="s">
        <v>1575</v>
      </c>
      <c r="D3174" s="1" t="s">
        <v>1813</v>
      </c>
      <c r="E3174" s="1" t="s">
        <v>1971</v>
      </c>
      <c r="F3174" s="1" t="s">
        <v>1970</v>
      </c>
      <c r="G3174" s="4">
        <v>1</v>
      </c>
      <c r="H3174" s="28">
        <v>40217</v>
      </c>
      <c r="I3174" s="29">
        <f t="shared" si="3033"/>
        <v>2010</v>
      </c>
      <c r="J3174" s="1" t="s">
        <v>2864</v>
      </c>
      <c r="K3174" s="1" t="s">
        <v>7</v>
      </c>
      <c r="L3174" s="11" t="str">
        <f t="shared" ref="L3174:L3175" si="3059">IF(OR(A3174=J3174,A3174=K3174),"ДА","НЕТ")</f>
        <v>НЕТ</v>
      </c>
      <c r="M3174" s="10">
        <v>0</v>
      </c>
      <c r="N3174" s="10">
        <v>0</v>
      </c>
      <c r="O3174" s="10">
        <v>0.121</v>
      </c>
      <c r="P3174" s="10">
        <f t="shared" si="3017"/>
        <v>0.121</v>
      </c>
      <c r="Q3174" s="10">
        <f t="shared" si="3018"/>
        <v>0.11199999999999999</v>
      </c>
      <c r="R3174" s="10" t="s">
        <v>1575</v>
      </c>
      <c r="S3174" s="10" t="s">
        <v>1575</v>
      </c>
      <c r="T3174" s="10" t="s">
        <v>1575</v>
      </c>
      <c r="U3174" s="10" t="s">
        <v>1575</v>
      </c>
      <c r="V3174" s="10">
        <v>8.2000000000000003E-2</v>
      </c>
      <c r="W3174" s="10">
        <f>0.001-0.01</f>
        <v>-9.0000000000000011E-3</v>
      </c>
      <c r="X3174" s="10">
        <f t="shared" si="3023"/>
        <v>7.3000000000000009E-2</v>
      </c>
      <c r="Y3174" s="10" t="str">
        <f t="shared" si="3024"/>
        <v>NA</v>
      </c>
      <c r="Z3174" s="10" t="str">
        <f t="shared" si="3025"/>
        <v>NA</v>
      </c>
      <c r="AA3174" s="10">
        <f t="shared" si="3026"/>
        <v>1.475609756097561</v>
      </c>
      <c r="AB3174" s="10" t="str">
        <f t="shared" si="3027"/>
        <v>NA</v>
      </c>
      <c r="AC3174" s="10" t="str">
        <f t="shared" si="3028"/>
        <v>NA</v>
      </c>
      <c r="AD3174" s="10" t="str">
        <f t="shared" si="3029"/>
        <v>NA</v>
      </c>
      <c r="AE3174" s="10">
        <f t="shared" si="3030"/>
        <v>1.5342465753424654</v>
      </c>
      <c r="AF3174" s="1" t="s">
        <v>2863</v>
      </c>
    </row>
    <row r="3175" spans="1:32" x14ac:dyDescent="0.2">
      <c r="A3175" s="1" t="s">
        <v>6820</v>
      </c>
      <c r="B3175" s="1" t="s">
        <v>5</v>
      </c>
      <c r="C3175" s="1" t="s">
        <v>1575</v>
      </c>
      <c r="D3175" s="1" t="s">
        <v>1813</v>
      </c>
      <c r="E3175" s="1" t="s">
        <v>1971</v>
      </c>
      <c r="F3175" s="1" t="s">
        <v>1970</v>
      </c>
      <c r="G3175" s="4" t="s">
        <v>11</v>
      </c>
      <c r="H3175" s="28">
        <v>40084</v>
      </c>
      <c r="I3175" s="29">
        <f t="shared" si="3033"/>
        <v>2009</v>
      </c>
      <c r="J3175" s="1" t="s">
        <v>7</v>
      </c>
      <c r="K3175" s="1" t="s">
        <v>2864</v>
      </c>
      <c r="L3175" s="11" t="str">
        <f t="shared" si="3059"/>
        <v>НЕТ</v>
      </c>
      <c r="M3175" s="10">
        <v>0</v>
      </c>
      <c r="N3175" s="10">
        <v>0</v>
      </c>
      <c r="O3175" s="10" t="s">
        <v>1575</v>
      </c>
      <c r="P3175" s="10" t="str">
        <f t="shared" si="3017"/>
        <v>NA</v>
      </c>
      <c r="Q3175" s="10" t="str">
        <f t="shared" si="3018"/>
        <v>NA</v>
      </c>
      <c r="R3175" s="10" t="s">
        <v>1575</v>
      </c>
      <c r="S3175" s="10" t="s">
        <v>1575</v>
      </c>
      <c r="T3175" s="10" t="s">
        <v>1575</v>
      </c>
      <c r="U3175" s="10" t="s">
        <v>1575</v>
      </c>
      <c r="V3175" s="10" t="s">
        <v>1575</v>
      </c>
      <c r="W3175" s="10" t="s">
        <v>1575</v>
      </c>
      <c r="X3175" s="10" t="str">
        <f t="shared" si="3023"/>
        <v>NA</v>
      </c>
      <c r="Y3175" s="10" t="str">
        <f t="shared" si="3024"/>
        <v>NA</v>
      </c>
      <c r="Z3175" s="10" t="str">
        <f t="shared" si="3025"/>
        <v>NA</v>
      </c>
      <c r="AA3175" s="10" t="str">
        <f t="shared" si="3026"/>
        <v>NA</v>
      </c>
      <c r="AB3175" s="10" t="str">
        <f t="shared" si="3027"/>
        <v>NA</v>
      </c>
      <c r="AC3175" s="10" t="str">
        <f t="shared" si="3028"/>
        <v>NA</v>
      </c>
      <c r="AD3175" s="10" t="str">
        <f t="shared" si="3029"/>
        <v>NA</v>
      </c>
      <c r="AE3175" s="10" t="str">
        <f t="shared" si="3030"/>
        <v>NA</v>
      </c>
      <c r="AF3175" s="1" t="s">
        <v>2867</v>
      </c>
    </row>
    <row r="3176" spans="1:32" x14ac:dyDescent="0.2">
      <c r="A3176" s="1" t="s">
        <v>2865</v>
      </c>
      <c r="B3176" s="1" t="s">
        <v>5</v>
      </c>
      <c r="C3176" s="1" t="s">
        <v>1575</v>
      </c>
      <c r="D3176" s="1" t="s">
        <v>1813</v>
      </c>
      <c r="E3176" s="1" t="s">
        <v>1971</v>
      </c>
      <c r="F3176" s="1" t="s">
        <v>1970</v>
      </c>
      <c r="G3176" s="4">
        <v>0.25009999999999999</v>
      </c>
      <c r="H3176" s="28">
        <v>39325</v>
      </c>
      <c r="I3176" s="29">
        <f t="shared" si="3033"/>
        <v>2007</v>
      </c>
      <c r="J3176" s="1" t="s">
        <v>2864</v>
      </c>
      <c r="K3176" s="1" t="s">
        <v>7</v>
      </c>
      <c r="L3176" s="11" t="str">
        <f t="shared" ref="L3176" si="3060">IF(OR(A3176=J3176,A3176=K3176),"ДА","НЕТ")</f>
        <v>НЕТ</v>
      </c>
      <c r="M3176" s="10">
        <v>0</v>
      </c>
      <c r="N3176" s="10">
        <v>0</v>
      </c>
      <c r="O3176" s="10">
        <v>6.025E-3</v>
      </c>
      <c r="P3176" s="10">
        <f t="shared" si="3017"/>
        <v>2.4090363854458216E-2</v>
      </c>
      <c r="Q3176" s="10" t="str">
        <f t="shared" si="3018"/>
        <v>NA</v>
      </c>
      <c r="R3176" s="10" t="s">
        <v>1575</v>
      </c>
      <c r="S3176" s="10" t="s">
        <v>1575</v>
      </c>
      <c r="T3176" s="10" t="s">
        <v>1575</v>
      </c>
      <c r="U3176" s="10" t="s">
        <v>1575</v>
      </c>
      <c r="V3176" s="10" t="s">
        <v>1575</v>
      </c>
      <c r="W3176" s="10" t="s">
        <v>1575</v>
      </c>
      <c r="X3176" s="10" t="str">
        <f t="shared" si="3023"/>
        <v>NA</v>
      </c>
      <c r="Y3176" s="10" t="str">
        <f t="shared" si="3024"/>
        <v>NA</v>
      </c>
      <c r="Z3176" s="10" t="str">
        <f t="shared" si="3025"/>
        <v>NA</v>
      </c>
      <c r="AA3176" s="10" t="str">
        <f t="shared" si="3026"/>
        <v>NA</v>
      </c>
      <c r="AB3176" s="10" t="str">
        <f t="shared" si="3027"/>
        <v>NA</v>
      </c>
      <c r="AC3176" s="10" t="str">
        <f t="shared" si="3028"/>
        <v>NA</v>
      </c>
      <c r="AD3176" s="10" t="str">
        <f t="shared" si="3029"/>
        <v>NA</v>
      </c>
      <c r="AE3176" s="10" t="str">
        <f t="shared" si="3030"/>
        <v>NA</v>
      </c>
      <c r="AF3176" s="1" t="s">
        <v>2866</v>
      </c>
    </row>
    <row r="3177" spans="1:32" x14ac:dyDescent="0.2">
      <c r="A3177" s="1" t="s">
        <v>6821</v>
      </c>
      <c r="B3177" s="1" t="s">
        <v>5</v>
      </c>
      <c r="C3177" s="1" t="s">
        <v>1575</v>
      </c>
      <c r="D3177" s="1" t="s">
        <v>1584</v>
      </c>
      <c r="E3177" s="1" t="s">
        <v>3486</v>
      </c>
      <c r="F3177" s="1" t="s">
        <v>3491</v>
      </c>
      <c r="G3177" s="4">
        <v>0.5</v>
      </c>
      <c r="H3177" s="28">
        <v>45291</v>
      </c>
      <c r="I3177" s="29">
        <f t="shared" si="3033"/>
        <v>2023</v>
      </c>
      <c r="J3177" s="1" t="s">
        <v>3490</v>
      </c>
      <c r="K3177" s="1" t="s">
        <v>7</v>
      </c>
      <c r="L3177" s="11" t="str">
        <f t="shared" ref="L3177" si="3061">IF(OR(A3177=J3177,A3177=K3177),"ДА","НЕТ")</f>
        <v>НЕТ</v>
      </c>
      <c r="M3177" s="10">
        <v>0</v>
      </c>
      <c r="N3177" s="10">
        <v>0</v>
      </c>
      <c r="O3177" s="10">
        <v>0.02</v>
      </c>
      <c r="P3177" s="10">
        <f t="shared" si="3017"/>
        <v>0.04</v>
      </c>
      <c r="Q3177" s="10" t="str">
        <f t="shared" si="3018"/>
        <v>NA</v>
      </c>
      <c r="R3177" s="10">
        <v>0.32800000000000001</v>
      </c>
      <c r="S3177" s="10" t="s">
        <v>1575</v>
      </c>
      <c r="T3177" s="10">
        <f>U3177+0.013+0</f>
        <v>6.8000000000000005E-2</v>
      </c>
      <c r="U3177" s="10">
        <f>0.055</f>
        <v>5.5E-2</v>
      </c>
      <c r="V3177" s="10">
        <v>9.8000000000000004E-2</v>
      </c>
      <c r="W3177" s="10" t="s">
        <v>1575</v>
      </c>
      <c r="X3177" s="10" t="str">
        <f t="shared" si="3023"/>
        <v>NA</v>
      </c>
      <c r="Y3177" s="10">
        <f t="shared" si="3024"/>
        <v>0.12195121951219512</v>
      </c>
      <c r="Z3177" s="10">
        <f t="shared" si="3025"/>
        <v>0.72727272727272729</v>
      </c>
      <c r="AA3177" s="10">
        <f t="shared" si="3026"/>
        <v>0.40816326530612246</v>
      </c>
      <c r="AB3177" s="10" t="str">
        <f t="shared" si="3027"/>
        <v>NA</v>
      </c>
      <c r="AC3177" s="10" t="str">
        <f t="shared" si="3028"/>
        <v>NA</v>
      </c>
      <c r="AD3177" s="10" t="str">
        <f t="shared" si="3029"/>
        <v>NA</v>
      </c>
      <c r="AE3177" s="10" t="str">
        <f t="shared" si="3030"/>
        <v>NA</v>
      </c>
      <c r="AF3177" s="1" t="s">
        <v>3487</v>
      </c>
    </row>
    <row r="3178" spans="1:32" x14ac:dyDescent="0.2">
      <c r="A3178" s="1" t="s">
        <v>6822</v>
      </c>
      <c r="B3178" s="1" t="s">
        <v>5</v>
      </c>
      <c r="C3178" s="1" t="s">
        <v>1575</v>
      </c>
      <c r="D3178" s="1" t="s">
        <v>1584</v>
      </c>
      <c r="E3178" s="1" t="s">
        <v>3486</v>
      </c>
      <c r="F3178" s="1" t="s">
        <v>3493</v>
      </c>
      <c r="G3178" s="4">
        <v>0.2</v>
      </c>
      <c r="H3178" s="28">
        <v>45291</v>
      </c>
      <c r="I3178" s="29">
        <f t="shared" si="3033"/>
        <v>2023</v>
      </c>
      <c r="J3178" s="1" t="s">
        <v>3490</v>
      </c>
      <c r="K3178" s="1" t="s">
        <v>7</v>
      </c>
      <c r="L3178" s="11" t="str">
        <f t="shared" ref="L3178" si="3062">IF(OR(A3178=J3178,A3178=K3178),"ДА","НЕТ")</f>
        <v>НЕТ</v>
      </c>
      <c r="M3178" s="10">
        <v>0</v>
      </c>
      <c r="N3178" s="10">
        <v>0</v>
      </c>
      <c r="O3178" s="10">
        <v>1.3</v>
      </c>
      <c r="P3178" s="10">
        <f t="shared" si="3017"/>
        <v>6.5</v>
      </c>
      <c r="Q3178" s="10" t="str">
        <f t="shared" si="3018"/>
        <v>NA</v>
      </c>
      <c r="R3178" s="10">
        <v>0</v>
      </c>
      <c r="S3178" s="10">
        <v>0</v>
      </c>
      <c r="T3178" s="10">
        <v>0</v>
      </c>
      <c r="U3178" s="10">
        <v>0</v>
      </c>
      <c r="V3178" s="10">
        <v>6.5010000000000003</v>
      </c>
      <c r="W3178" s="10" t="s">
        <v>1575</v>
      </c>
      <c r="X3178" s="10" t="str">
        <f t="shared" si="3023"/>
        <v>NA</v>
      </c>
      <c r="Y3178" s="10" t="str">
        <f t="shared" si="3024"/>
        <v>NA</v>
      </c>
      <c r="Z3178" s="10" t="str">
        <f t="shared" si="3025"/>
        <v>NA</v>
      </c>
      <c r="AA3178" s="10">
        <f t="shared" si="3026"/>
        <v>0.99984617751115212</v>
      </c>
      <c r="AB3178" s="10" t="str">
        <f t="shared" si="3027"/>
        <v>NA</v>
      </c>
      <c r="AC3178" s="10" t="str">
        <f t="shared" si="3028"/>
        <v>NA</v>
      </c>
      <c r="AD3178" s="10" t="str">
        <f t="shared" si="3029"/>
        <v>NA</v>
      </c>
      <c r="AE3178" s="10" t="str">
        <f t="shared" si="3030"/>
        <v>NA</v>
      </c>
      <c r="AF3178" s="1" t="s">
        <v>3492</v>
      </c>
    </row>
    <row r="3179" spans="1:32" x14ac:dyDescent="0.2">
      <c r="A3179" s="1" t="s">
        <v>6823</v>
      </c>
      <c r="B3179" s="1" t="s">
        <v>5</v>
      </c>
      <c r="C3179" s="1" t="s">
        <v>1575</v>
      </c>
      <c r="D3179" s="1" t="s">
        <v>1584</v>
      </c>
      <c r="E3179" s="1" t="s">
        <v>1586</v>
      </c>
      <c r="F3179" s="1" t="s">
        <v>3494</v>
      </c>
      <c r="G3179" s="4">
        <v>0.5</v>
      </c>
      <c r="H3179" s="28">
        <v>44561</v>
      </c>
      <c r="I3179" s="29">
        <f t="shared" si="3033"/>
        <v>2021</v>
      </c>
      <c r="J3179" s="1" t="s">
        <v>3490</v>
      </c>
      <c r="K3179" s="1" t="s">
        <v>7</v>
      </c>
      <c r="L3179" s="11" t="str">
        <f t="shared" ref="L3179" si="3063">IF(OR(A3179=J3179,A3179=K3179),"ДА","НЕТ")</f>
        <v>НЕТ</v>
      </c>
      <c r="M3179" s="10">
        <v>0</v>
      </c>
      <c r="N3179" s="10">
        <v>0</v>
      </c>
      <c r="O3179" s="10">
        <v>0.45</v>
      </c>
      <c r="P3179" s="10">
        <f t="shared" si="3017"/>
        <v>0.9</v>
      </c>
      <c r="Q3179" s="10" t="str">
        <f t="shared" si="3018"/>
        <v>NA</v>
      </c>
      <c r="R3179" s="10">
        <v>0</v>
      </c>
      <c r="S3179" s="10">
        <v>0</v>
      </c>
      <c r="T3179" s="10">
        <f>U3179-0.024+0.146</f>
        <v>3.2000000000000001E-2</v>
      </c>
      <c r="U3179" s="10">
        <v>-0.09</v>
      </c>
      <c r="V3179" s="10">
        <v>0.60499999999999998</v>
      </c>
      <c r="W3179" s="10" t="s">
        <v>1575</v>
      </c>
      <c r="X3179" s="10" t="str">
        <f t="shared" si="3023"/>
        <v>NA</v>
      </c>
      <c r="Y3179" s="10" t="str">
        <f t="shared" si="3024"/>
        <v>NA</v>
      </c>
      <c r="Z3179" s="10">
        <f t="shared" si="3025"/>
        <v>-10</v>
      </c>
      <c r="AA3179" s="10">
        <f t="shared" si="3026"/>
        <v>1.4876033057851241</v>
      </c>
      <c r="AB3179" s="10" t="str">
        <f t="shared" si="3027"/>
        <v>NA</v>
      </c>
      <c r="AC3179" s="10" t="str">
        <f t="shared" si="3028"/>
        <v>NA</v>
      </c>
      <c r="AD3179" s="10" t="str">
        <f t="shared" si="3029"/>
        <v>NA</v>
      </c>
      <c r="AE3179" s="10" t="str">
        <f t="shared" si="3030"/>
        <v>NA</v>
      </c>
      <c r="AF3179" s="1" t="s">
        <v>3488</v>
      </c>
    </row>
    <row r="3180" spans="1:32" x14ac:dyDescent="0.2">
      <c r="A3180" s="1" t="s">
        <v>6824</v>
      </c>
      <c r="B3180" s="1" t="s">
        <v>5</v>
      </c>
      <c r="C3180" s="1" t="s">
        <v>1575</v>
      </c>
      <c r="D3180" s="1" t="s">
        <v>1578</v>
      </c>
      <c r="E3180" s="1" t="s">
        <v>2007</v>
      </c>
      <c r="F3180" s="1" t="s">
        <v>3495</v>
      </c>
      <c r="G3180" s="4">
        <v>0.87180000000000002</v>
      </c>
      <c r="H3180" s="28">
        <v>44377</v>
      </c>
      <c r="I3180" s="29">
        <f t="shared" si="3033"/>
        <v>2021</v>
      </c>
      <c r="J3180" s="1" t="s">
        <v>3490</v>
      </c>
      <c r="K3180" s="1" t="s">
        <v>7</v>
      </c>
      <c r="L3180" s="11" t="str">
        <f t="shared" ref="L3180" si="3064">IF(OR(A3180=J3180,A3180=K3180),"ДА","НЕТ")</f>
        <v>НЕТ</v>
      </c>
      <c r="M3180" s="10">
        <v>0</v>
      </c>
      <c r="N3180" s="10">
        <v>0</v>
      </c>
      <c r="O3180" s="10" t="s">
        <v>1575</v>
      </c>
      <c r="P3180" s="10" t="str">
        <f t="shared" si="3017"/>
        <v>NA</v>
      </c>
      <c r="Q3180" s="10" t="str">
        <f t="shared" si="3018"/>
        <v>NA</v>
      </c>
      <c r="R3180" s="10" t="s">
        <v>1575</v>
      </c>
      <c r="S3180" s="10" t="s">
        <v>1575</v>
      </c>
      <c r="T3180" s="10" t="s">
        <v>1575</v>
      </c>
      <c r="U3180" s="10" t="s">
        <v>1575</v>
      </c>
      <c r="V3180" s="10" t="s">
        <v>1575</v>
      </c>
      <c r="W3180" s="10" t="s">
        <v>1575</v>
      </c>
      <c r="X3180" s="10" t="str">
        <f t="shared" si="3023"/>
        <v>NA</v>
      </c>
      <c r="Y3180" s="10" t="str">
        <f t="shared" si="3024"/>
        <v>NA</v>
      </c>
      <c r="Z3180" s="10" t="str">
        <f t="shared" si="3025"/>
        <v>NA</v>
      </c>
      <c r="AA3180" s="10" t="str">
        <f t="shared" si="3026"/>
        <v>NA</v>
      </c>
      <c r="AB3180" s="10" t="str">
        <f t="shared" si="3027"/>
        <v>NA</v>
      </c>
      <c r="AC3180" s="10" t="str">
        <f t="shared" si="3028"/>
        <v>NA</v>
      </c>
      <c r="AD3180" s="10" t="str">
        <f t="shared" si="3029"/>
        <v>NA</v>
      </c>
      <c r="AE3180" s="10" t="str">
        <f t="shared" si="3030"/>
        <v>NA</v>
      </c>
      <c r="AF3180" s="1" t="s">
        <v>3489</v>
      </c>
    </row>
    <row r="3181" spans="1:32" x14ac:dyDescent="0.2">
      <c r="A3181" s="1" t="s">
        <v>6825</v>
      </c>
      <c r="B3181" s="1" t="s">
        <v>5</v>
      </c>
      <c r="C3181" s="1" t="s">
        <v>1575</v>
      </c>
      <c r="D3181" s="1" t="s">
        <v>1584</v>
      </c>
      <c r="E3181" s="1" t="s">
        <v>3496</v>
      </c>
      <c r="F3181" s="1" t="s">
        <v>3500</v>
      </c>
      <c r="G3181" s="4">
        <v>1</v>
      </c>
      <c r="H3181" s="28">
        <v>43769</v>
      </c>
      <c r="I3181" s="29">
        <f t="shared" si="2874"/>
        <v>2019</v>
      </c>
      <c r="J3181" s="1" t="s">
        <v>3490</v>
      </c>
      <c r="K3181" s="1" t="s">
        <v>7</v>
      </c>
      <c r="L3181" s="11" t="str">
        <f t="shared" ref="L3181" si="3065">IF(OR(A3181=J3181,A3181=K3181),"ДА","НЕТ")</f>
        <v>НЕТ</v>
      </c>
      <c r="M3181" s="10">
        <v>0</v>
      </c>
      <c r="N3181" s="10">
        <v>0</v>
      </c>
      <c r="O3181" s="10">
        <v>1.117</v>
      </c>
      <c r="P3181" s="10">
        <f t="shared" si="3017"/>
        <v>1.117</v>
      </c>
      <c r="Q3181" s="10">
        <f t="shared" si="3018"/>
        <v>1.014</v>
      </c>
      <c r="R3181" s="10" t="s">
        <v>1575</v>
      </c>
      <c r="S3181" s="10" t="s">
        <v>1575</v>
      </c>
      <c r="T3181" s="10" t="s">
        <v>1575</v>
      </c>
      <c r="U3181" s="10" t="s">
        <v>1575</v>
      </c>
      <c r="V3181" s="10">
        <v>1.198</v>
      </c>
      <c r="W3181" s="10">
        <f>0.107-0.21</f>
        <v>-0.10299999999999999</v>
      </c>
      <c r="X3181" s="10">
        <f t="shared" si="3023"/>
        <v>1.095</v>
      </c>
      <c r="Y3181" s="10" t="str">
        <f t="shared" si="3024"/>
        <v>NA</v>
      </c>
      <c r="Z3181" s="10" t="str">
        <f t="shared" si="3025"/>
        <v>NA</v>
      </c>
      <c r="AA3181" s="10">
        <f t="shared" si="3026"/>
        <v>0.93238731218697835</v>
      </c>
      <c r="AB3181" s="10" t="str">
        <f t="shared" si="3027"/>
        <v>NA</v>
      </c>
      <c r="AC3181" s="10" t="str">
        <f t="shared" si="3028"/>
        <v>NA</v>
      </c>
      <c r="AD3181" s="10" t="str">
        <f t="shared" si="3029"/>
        <v>NA</v>
      </c>
      <c r="AE3181" s="10">
        <f t="shared" si="3030"/>
        <v>0.92602739726027405</v>
      </c>
      <c r="AF3181" s="1" t="s">
        <v>3501</v>
      </c>
    </row>
    <row r="3182" spans="1:32" x14ac:dyDescent="0.2">
      <c r="A3182" s="1" t="s">
        <v>6826</v>
      </c>
      <c r="B3182" s="1" t="s">
        <v>1575</v>
      </c>
      <c r="C3182" s="1" t="s">
        <v>1575</v>
      </c>
      <c r="D3182" s="1" t="s">
        <v>1584</v>
      </c>
      <c r="E3182" s="1" t="s">
        <v>3486</v>
      </c>
      <c r="F3182" s="1" t="s">
        <v>3503</v>
      </c>
      <c r="G3182" s="4">
        <v>1</v>
      </c>
      <c r="H3182" s="28">
        <v>43616</v>
      </c>
      <c r="I3182" s="29">
        <f t="shared" si="2874"/>
        <v>2019</v>
      </c>
      <c r="J3182" s="1" t="s">
        <v>7</v>
      </c>
      <c r="K3182" s="1" t="s">
        <v>3490</v>
      </c>
      <c r="L3182" s="11" t="str">
        <f t="shared" ref="L3182" si="3066">IF(OR(A3182=J3182,A3182=K3182),"ДА","НЕТ")</f>
        <v>НЕТ</v>
      </c>
      <c r="M3182" s="10">
        <v>0</v>
      </c>
      <c r="N3182" s="10">
        <v>0</v>
      </c>
      <c r="O3182" s="10">
        <v>0.92</v>
      </c>
      <c r="P3182" s="10">
        <f t="shared" si="3017"/>
        <v>0.92</v>
      </c>
      <c r="Q3182" s="10">
        <f t="shared" si="3018"/>
        <v>2.4860000000000002</v>
      </c>
      <c r="R3182" s="10" t="s">
        <v>1575</v>
      </c>
      <c r="S3182" s="10" t="s">
        <v>1575</v>
      </c>
      <c r="T3182" s="10" t="s">
        <v>1575</v>
      </c>
      <c r="U3182" s="10" t="s">
        <v>1575</v>
      </c>
      <c r="V3182" s="10">
        <v>0.92</v>
      </c>
      <c r="W3182" s="10">
        <f>1.731-0.165</f>
        <v>1.5660000000000001</v>
      </c>
      <c r="X3182" s="10">
        <f t="shared" si="3023"/>
        <v>2.4860000000000002</v>
      </c>
      <c r="Y3182" s="10" t="str">
        <f t="shared" si="3024"/>
        <v>NA</v>
      </c>
      <c r="Z3182" s="10" t="str">
        <f t="shared" si="3025"/>
        <v>NA</v>
      </c>
      <c r="AA3182" s="10">
        <f t="shared" si="3026"/>
        <v>1</v>
      </c>
      <c r="AB3182" s="10" t="str">
        <f t="shared" si="3027"/>
        <v>NA</v>
      </c>
      <c r="AC3182" s="10" t="str">
        <f t="shared" si="3028"/>
        <v>NA</v>
      </c>
      <c r="AD3182" s="10" t="str">
        <f t="shared" si="3029"/>
        <v>NA</v>
      </c>
      <c r="AE3182" s="10">
        <f t="shared" si="3030"/>
        <v>1</v>
      </c>
      <c r="AF3182" s="1" t="s">
        <v>3502</v>
      </c>
    </row>
    <row r="3183" spans="1:32" x14ac:dyDescent="0.2">
      <c r="A3183" s="1" t="s">
        <v>6827</v>
      </c>
      <c r="B3183" s="1" t="s">
        <v>5</v>
      </c>
      <c r="C3183" s="1" t="s">
        <v>1575</v>
      </c>
      <c r="D3183" s="1" t="s">
        <v>1584</v>
      </c>
      <c r="E3183" s="1" t="s">
        <v>3496</v>
      </c>
      <c r="F3183" s="1" t="s">
        <v>3504</v>
      </c>
      <c r="G3183" s="4">
        <v>1</v>
      </c>
      <c r="H3183" s="28">
        <v>43677</v>
      </c>
      <c r="I3183" s="29">
        <f t="shared" si="2874"/>
        <v>2019</v>
      </c>
      <c r="J3183" s="1" t="s">
        <v>7</v>
      </c>
      <c r="K3183" s="1" t="s">
        <v>3490</v>
      </c>
      <c r="L3183" s="11" t="str">
        <f t="shared" ref="L3183" si="3067">IF(OR(A3183=J3183,A3183=K3183),"ДА","НЕТ")</f>
        <v>НЕТ</v>
      </c>
      <c r="M3183" s="10">
        <v>0</v>
      </c>
      <c r="N3183" s="10">
        <v>0</v>
      </c>
      <c r="O3183" s="10">
        <v>0.26100000000000001</v>
      </c>
      <c r="P3183" s="10">
        <f t="shared" si="3017"/>
        <v>0.26100000000000001</v>
      </c>
      <c r="Q3183" s="10">
        <f t="shared" si="3018"/>
        <v>0.26100000000000001</v>
      </c>
      <c r="R3183" s="10" t="s">
        <v>1575</v>
      </c>
      <c r="S3183" s="10" t="s">
        <v>1575</v>
      </c>
      <c r="T3183" s="10" t="s">
        <v>1575</v>
      </c>
      <c r="U3183" s="10" t="s">
        <v>1575</v>
      </c>
      <c r="V3183" s="10">
        <v>0.26700000000000002</v>
      </c>
      <c r="W3183" s="10">
        <v>0</v>
      </c>
      <c r="X3183" s="10">
        <f t="shared" si="3023"/>
        <v>0.26700000000000002</v>
      </c>
      <c r="Y3183" s="10" t="str">
        <f t="shared" si="3024"/>
        <v>NA</v>
      </c>
      <c r="Z3183" s="10" t="str">
        <f t="shared" si="3025"/>
        <v>NA</v>
      </c>
      <c r="AA3183" s="10">
        <f t="shared" si="3026"/>
        <v>0.97752808988764039</v>
      </c>
      <c r="AB3183" s="10" t="str">
        <f t="shared" si="3027"/>
        <v>NA</v>
      </c>
      <c r="AC3183" s="10" t="str">
        <f t="shared" si="3028"/>
        <v>NA</v>
      </c>
      <c r="AD3183" s="10" t="str">
        <f t="shared" si="3029"/>
        <v>NA</v>
      </c>
      <c r="AE3183" s="10">
        <f t="shared" si="3030"/>
        <v>0.97752808988764039</v>
      </c>
      <c r="AF3183" s="1" t="s">
        <v>3497</v>
      </c>
    </row>
    <row r="3184" spans="1:32" x14ac:dyDescent="0.2">
      <c r="A3184" s="1" t="s">
        <v>6828</v>
      </c>
      <c r="B3184" s="1" t="s">
        <v>5</v>
      </c>
      <c r="C3184" s="1" t="s">
        <v>1575</v>
      </c>
      <c r="D3184" s="1" t="s">
        <v>1584</v>
      </c>
      <c r="E3184" s="1" t="s">
        <v>3496</v>
      </c>
      <c r="F3184" s="1" t="s">
        <v>3504</v>
      </c>
      <c r="G3184" s="4">
        <v>1</v>
      </c>
      <c r="H3184" s="28">
        <v>43190</v>
      </c>
      <c r="I3184" s="29">
        <f t="shared" si="2874"/>
        <v>2018</v>
      </c>
      <c r="J3184" s="1" t="s">
        <v>7</v>
      </c>
      <c r="K3184" s="1" t="s">
        <v>3490</v>
      </c>
      <c r="L3184" s="11" t="str">
        <f t="shared" ref="L3184" si="3068">IF(OR(A3184=J3184,A3184=K3184),"ДА","НЕТ")</f>
        <v>НЕТ</v>
      </c>
      <c r="M3184" s="10">
        <v>0</v>
      </c>
      <c r="N3184" s="10">
        <v>0</v>
      </c>
      <c r="O3184" s="10">
        <v>1.0209999999999999</v>
      </c>
      <c r="P3184" s="10">
        <f t="shared" si="3017"/>
        <v>1.0209999999999999</v>
      </c>
      <c r="Q3184" s="10">
        <f t="shared" si="3018"/>
        <v>1.004</v>
      </c>
      <c r="R3184" s="10" t="s">
        <v>1575</v>
      </c>
      <c r="S3184" s="10" t="s">
        <v>1575</v>
      </c>
      <c r="T3184" s="10" t="s">
        <v>1575</v>
      </c>
      <c r="U3184" s="10" t="s">
        <v>1575</v>
      </c>
      <c r="V3184" s="10">
        <v>0.6</v>
      </c>
      <c r="W3184" s="10">
        <f>0.033-0.05</f>
        <v>-1.7000000000000001E-2</v>
      </c>
      <c r="X3184" s="10">
        <f t="shared" si="3023"/>
        <v>0.58299999999999996</v>
      </c>
      <c r="Y3184" s="10" t="str">
        <f t="shared" si="3024"/>
        <v>NA</v>
      </c>
      <c r="Z3184" s="10" t="str">
        <f t="shared" si="3025"/>
        <v>NA</v>
      </c>
      <c r="AA3184" s="10">
        <f t="shared" si="3026"/>
        <v>1.7016666666666667</v>
      </c>
      <c r="AB3184" s="10" t="str">
        <f t="shared" si="3027"/>
        <v>NA</v>
      </c>
      <c r="AC3184" s="10" t="str">
        <f t="shared" si="3028"/>
        <v>NA</v>
      </c>
      <c r="AD3184" s="10" t="str">
        <f t="shared" si="3029"/>
        <v>NA</v>
      </c>
      <c r="AE3184" s="10">
        <f t="shared" si="3030"/>
        <v>1.7221269296740995</v>
      </c>
      <c r="AF3184" s="1" t="s">
        <v>3498</v>
      </c>
    </row>
    <row r="3185" spans="1:32" x14ac:dyDescent="0.2">
      <c r="A3185" s="1" t="s">
        <v>6829</v>
      </c>
      <c r="B3185" s="1" t="s">
        <v>5</v>
      </c>
      <c r="C3185" s="1" t="s">
        <v>1575</v>
      </c>
      <c r="D3185" s="1" t="s">
        <v>1584</v>
      </c>
      <c r="E3185" s="1" t="s">
        <v>3486</v>
      </c>
      <c r="F3185" s="1" t="s">
        <v>46</v>
      </c>
      <c r="G3185" s="4">
        <v>1</v>
      </c>
      <c r="H3185" s="28">
        <v>43220</v>
      </c>
      <c r="I3185" s="29">
        <f t="shared" si="2874"/>
        <v>2018</v>
      </c>
      <c r="J3185" s="1" t="s">
        <v>7</v>
      </c>
      <c r="K3185" s="1" t="s">
        <v>3490</v>
      </c>
      <c r="L3185" s="11" t="str">
        <f t="shared" ref="L3185" si="3069">IF(OR(A3185=J3185,A3185=K3185),"ДА","НЕТ")</f>
        <v>НЕТ</v>
      </c>
      <c r="M3185" s="10">
        <v>0</v>
      </c>
      <c r="N3185" s="10">
        <v>0</v>
      </c>
      <c r="O3185" s="10">
        <v>1.2</v>
      </c>
      <c r="P3185" s="10">
        <f t="shared" si="3017"/>
        <v>1.2</v>
      </c>
      <c r="Q3185" s="10">
        <f t="shared" si="3018"/>
        <v>1.0680000000000001</v>
      </c>
      <c r="R3185" s="10" t="s">
        <v>1575</v>
      </c>
      <c r="S3185" s="10" t="s">
        <v>1575</v>
      </c>
      <c r="T3185" s="10" t="s">
        <v>1575</v>
      </c>
      <c r="U3185" s="10" t="s">
        <v>1575</v>
      </c>
      <c r="V3185" s="10">
        <v>0.97699999999999998</v>
      </c>
      <c r="W3185" s="10">
        <f>0.024-0.156</f>
        <v>-0.13200000000000001</v>
      </c>
      <c r="X3185" s="10">
        <f t="shared" si="3023"/>
        <v>0.84499999999999997</v>
      </c>
      <c r="Y3185" s="10" t="str">
        <f t="shared" si="3024"/>
        <v>NA</v>
      </c>
      <c r="Z3185" s="10" t="str">
        <f t="shared" si="3025"/>
        <v>NA</v>
      </c>
      <c r="AA3185" s="10">
        <f t="shared" si="3026"/>
        <v>1.2282497441146367</v>
      </c>
      <c r="AB3185" s="10" t="str">
        <f t="shared" si="3027"/>
        <v>NA</v>
      </c>
      <c r="AC3185" s="10" t="str">
        <f t="shared" si="3028"/>
        <v>NA</v>
      </c>
      <c r="AD3185" s="10" t="str">
        <f t="shared" si="3029"/>
        <v>NA</v>
      </c>
      <c r="AE3185" s="10">
        <f t="shared" si="3030"/>
        <v>1.2639053254437871</v>
      </c>
      <c r="AF3185" s="1" t="s">
        <v>3499</v>
      </c>
    </row>
    <row r="3186" spans="1:32" x14ac:dyDescent="0.2">
      <c r="A3186" s="1" t="s">
        <v>6830</v>
      </c>
      <c r="B3186" s="1" t="s">
        <v>5</v>
      </c>
      <c r="C3186" s="1" t="s">
        <v>1575</v>
      </c>
      <c r="D3186" s="1" t="s">
        <v>1584</v>
      </c>
      <c r="E3186" s="1" t="s">
        <v>3496</v>
      </c>
      <c r="F3186" s="1" t="s">
        <v>3508</v>
      </c>
      <c r="G3186" s="4">
        <v>1</v>
      </c>
      <c r="H3186" s="28">
        <v>42004</v>
      </c>
      <c r="I3186" s="29">
        <f t="shared" si="2874"/>
        <v>2014</v>
      </c>
      <c r="J3186" s="1" t="s">
        <v>7</v>
      </c>
      <c r="K3186" s="1" t="s">
        <v>3490</v>
      </c>
      <c r="L3186" s="11" t="str">
        <f t="shared" ref="L3186:L3187" si="3070">IF(OR(A3186=J3186,A3186=K3186),"ДА","НЕТ")</f>
        <v>НЕТ</v>
      </c>
      <c r="M3186" s="10">
        <v>0</v>
      </c>
      <c r="N3186" s="10">
        <v>0</v>
      </c>
      <c r="O3186" s="10">
        <v>5</v>
      </c>
      <c r="P3186" s="10">
        <f t="shared" si="3017"/>
        <v>5</v>
      </c>
      <c r="Q3186" s="10">
        <f t="shared" si="3018"/>
        <v>17.733429999999998</v>
      </c>
      <c r="R3186" s="10" t="s">
        <v>1575</v>
      </c>
      <c r="S3186" s="10" t="s">
        <v>1575</v>
      </c>
      <c r="T3186" s="10" t="s">
        <v>1575</v>
      </c>
      <c r="U3186" s="10" t="s">
        <v>1575</v>
      </c>
      <c r="V3186" s="10">
        <v>2.2338110000000002</v>
      </c>
      <c r="W3186" s="10">
        <f>0.048634+9.711387+3.054818-0.081409</f>
        <v>12.733429999999998</v>
      </c>
      <c r="X3186" s="10">
        <f t="shared" si="3023"/>
        <v>14.967240999999998</v>
      </c>
      <c r="Y3186" s="10" t="str">
        <f t="shared" si="3024"/>
        <v>NA</v>
      </c>
      <c r="Z3186" s="10" t="str">
        <f t="shared" si="3025"/>
        <v>NA</v>
      </c>
      <c r="AA3186" s="10">
        <f t="shared" si="3026"/>
        <v>2.238327235383835</v>
      </c>
      <c r="AB3186" s="10" t="str">
        <f t="shared" si="3027"/>
        <v>NA</v>
      </c>
      <c r="AC3186" s="10" t="str">
        <f t="shared" si="3028"/>
        <v>NA</v>
      </c>
      <c r="AD3186" s="10" t="str">
        <f t="shared" si="3029"/>
        <v>NA</v>
      </c>
      <c r="AE3186" s="10">
        <f t="shared" si="3030"/>
        <v>1.1848162263171951</v>
      </c>
      <c r="AF3186" s="1" t="s">
        <v>3505</v>
      </c>
    </row>
    <row r="3187" spans="1:32" x14ac:dyDescent="0.2">
      <c r="A3187" s="1" t="s">
        <v>6831</v>
      </c>
      <c r="B3187" s="1" t="s">
        <v>5</v>
      </c>
      <c r="C3187" s="1" t="s">
        <v>1575</v>
      </c>
      <c r="D3187" s="1" t="s">
        <v>1584</v>
      </c>
      <c r="E3187" s="1" t="s">
        <v>3496</v>
      </c>
      <c r="F3187" s="1" t="s">
        <v>3509</v>
      </c>
      <c r="G3187" s="4">
        <v>1</v>
      </c>
      <c r="H3187" s="28">
        <v>41639</v>
      </c>
      <c r="I3187" s="29">
        <f t="shared" si="2874"/>
        <v>2013</v>
      </c>
      <c r="J3187" s="1" t="s">
        <v>3490</v>
      </c>
      <c r="K3187" s="1" t="s">
        <v>7</v>
      </c>
      <c r="L3187" s="11" t="str">
        <f t="shared" si="3070"/>
        <v>НЕТ</v>
      </c>
      <c r="M3187" s="10">
        <v>0</v>
      </c>
      <c r="N3187" s="10">
        <v>0</v>
      </c>
      <c r="O3187" s="10">
        <v>4.2914659999999998</v>
      </c>
      <c r="P3187" s="10">
        <f t="shared" si="3017"/>
        <v>4.2914659999999998</v>
      </c>
      <c r="Q3187" s="10">
        <f t="shared" si="3018"/>
        <v>4.3032180000000002</v>
      </c>
      <c r="R3187" s="10">
        <v>703.58100000000002</v>
      </c>
      <c r="S3187" s="10" t="s">
        <v>1575</v>
      </c>
      <c r="T3187" s="10" t="s">
        <v>1575</v>
      </c>
      <c r="U3187" s="10" t="s">
        <v>1575</v>
      </c>
      <c r="V3187" s="10">
        <v>3.8829940000000001</v>
      </c>
      <c r="W3187" s="10">
        <f>0.000888+0.010864</f>
        <v>1.1752E-2</v>
      </c>
      <c r="X3187" s="10">
        <f t="shared" si="3023"/>
        <v>3.894746</v>
      </c>
      <c r="Y3187" s="10">
        <f t="shared" si="3024"/>
        <v>6.0994626062955077E-3</v>
      </c>
      <c r="Z3187" s="10" t="str">
        <f t="shared" si="3025"/>
        <v>NA</v>
      </c>
      <c r="AA3187" s="10">
        <f t="shared" si="3026"/>
        <v>1.1051951149036026</v>
      </c>
      <c r="AB3187" s="10">
        <f t="shared" si="3027"/>
        <v>6.1161657293190121E-3</v>
      </c>
      <c r="AC3187" s="10" t="str">
        <f t="shared" si="3028"/>
        <v>NA</v>
      </c>
      <c r="AD3187" s="10" t="str">
        <f t="shared" si="3029"/>
        <v>NA</v>
      </c>
      <c r="AE3187" s="10">
        <f t="shared" si="3030"/>
        <v>1.1048776993416258</v>
      </c>
      <c r="AF3187" s="1" t="s">
        <v>3506</v>
      </c>
    </row>
    <row r="3188" spans="1:32" x14ac:dyDescent="0.2">
      <c r="A3188" s="1" t="s">
        <v>6832</v>
      </c>
      <c r="B3188" s="1" t="s">
        <v>5</v>
      </c>
      <c r="C3188" s="1" t="s">
        <v>1575</v>
      </c>
      <c r="D3188" s="1" t="s">
        <v>1584</v>
      </c>
      <c r="E3188" s="1" t="s">
        <v>3486</v>
      </c>
      <c r="F3188" s="1" t="s">
        <v>46</v>
      </c>
      <c r="G3188" s="4" t="s">
        <v>11</v>
      </c>
      <c r="H3188" s="28">
        <v>41455</v>
      </c>
      <c r="I3188" s="29">
        <f t="shared" si="2874"/>
        <v>2013</v>
      </c>
      <c r="J3188" s="1" t="s">
        <v>7</v>
      </c>
      <c r="K3188" s="1" t="s">
        <v>3490</v>
      </c>
      <c r="L3188" s="11" t="str">
        <f t="shared" ref="L3188" si="3071">IF(OR(A3188=J3188,A3188=K3188),"ДА","НЕТ")</f>
        <v>НЕТ</v>
      </c>
      <c r="M3188" s="10">
        <v>0</v>
      </c>
      <c r="N3188" s="10">
        <v>0</v>
      </c>
      <c r="O3188" s="10">
        <v>0.13500000000000001</v>
      </c>
      <c r="P3188" s="10" t="str">
        <f t="shared" si="3017"/>
        <v>NA</v>
      </c>
      <c r="Q3188" s="10" t="str">
        <f t="shared" si="3018"/>
        <v>NA</v>
      </c>
      <c r="R3188" s="10" t="s">
        <v>1575</v>
      </c>
      <c r="S3188" s="10" t="s">
        <v>1575</v>
      </c>
      <c r="T3188" s="10" t="s">
        <v>1575</v>
      </c>
      <c r="U3188" s="10" t="s">
        <v>1575</v>
      </c>
      <c r="V3188" s="10">
        <v>0.304842</v>
      </c>
      <c r="W3188" s="10">
        <f>0.003192+0.042513-0.048369</f>
        <v>-2.6639999999999997E-3</v>
      </c>
      <c r="X3188" s="10">
        <f t="shared" si="3023"/>
        <v>0.302178</v>
      </c>
      <c r="Y3188" s="10" t="str">
        <f t="shared" si="3024"/>
        <v>NA</v>
      </c>
      <c r="Z3188" s="10" t="str">
        <f t="shared" si="3025"/>
        <v>NA</v>
      </c>
      <c r="AA3188" s="10" t="str">
        <f t="shared" si="3026"/>
        <v>NA</v>
      </c>
      <c r="AB3188" s="10" t="str">
        <f t="shared" si="3027"/>
        <v>NA</v>
      </c>
      <c r="AC3188" s="10" t="str">
        <f t="shared" si="3028"/>
        <v>NA</v>
      </c>
      <c r="AD3188" s="10" t="str">
        <f t="shared" si="3029"/>
        <v>NA</v>
      </c>
      <c r="AE3188" s="10" t="str">
        <f t="shared" si="3030"/>
        <v>NA</v>
      </c>
      <c r="AF3188" s="1" t="s">
        <v>3507</v>
      </c>
    </row>
    <row r="3189" spans="1:32" x14ac:dyDescent="0.2">
      <c r="A3189" s="1" t="s">
        <v>6833</v>
      </c>
      <c r="B3189" s="1" t="s">
        <v>5</v>
      </c>
      <c r="C3189" s="1" t="s">
        <v>1575</v>
      </c>
      <c r="D3189" s="1" t="s">
        <v>1584</v>
      </c>
      <c r="E3189" s="1" t="s">
        <v>3496</v>
      </c>
      <c r="F3189" s="1" t="s">
        <v>3504</v>
      </c>
      <c r="G3189" s="4">
        <v>0.57799999999999996</v>
      </c>
      <c r="H3189" s="28">
        <v>41274</v>
      </c>
      <c r="I3189" s="29">
        <f t="shared" si="2874"/>
        <v>2012</v>
      </c>
      <c r="J3189" s="1" t="s">
        <v>7</v>
      </c>
      <c r="K3189" s="1" t="s">
        <v>3490</v>
      </c>
      <c r="L3189" s="11" t="str">
        <f t="shared" ref="L3189" si="3072">IF(OR(A3189=J3189,A3189=K3189),"ДА","НЕТ")</f>
        <v>НЕТ</v>
      </c>
      <c r="M3189" s="10">
        <v>0</v>
      </c>
      <c r="N3189" s="10">
        <v>0</v>
      </c>
      <c r="O3189" s="10">
        <v>0.14419999999999999</v>
      </c>
      <c r="P3189" s="10">
        <f t="shared" si="3017"/>
        <v>0.24948096885813151</v>
      </c>
      <c r="Q3189" s="10">
        <f t="shared" si="3018"/>
        <v>0.29409496885813152</v>
      </c>
      <c r="R3189" s="10" t="s">
        <v>1575</v>
      </c>
      <c r="S3189" s="10" t="s">
        <v>1575</v>
      </c>
      <c r="T3189" s="10" t="s">
        <v>1575</v>
      </c>
      <c r="U3189" s="10" t="s">
        <v>1575</v>
      </c>
      <c r="V3189" s="10">
        <v>5.1825000000000003E-2</v>
      </c>
      <c r="W3189" s="10">
        <f>0.035029+0.036727+0.000364-0.027506</f>
        <v>4.4614000000000001E-2</v>
      </c>
      <c r="X3189" s="10">
        <f t="shared" si="3023"/>
        <v>9.6438999999999997E-2</v>
      </c>
      <c r="Y3189" s="10" t="str">
        <f t="shared" si="3024"/>
        <v>NA</v>
      </c>
      <c r="Z3189" s="10" t="str">
        <f t="shared" si="3025"/>
        <v>NA</v>
      </c>
      <c r="AA3189" s="10">
        <f t="shared" si="3026"/>
        <v>4.8139116036301299</v>
      </c>
      <c r="AB3189" s="10" t="str">
        <f t="shared" si="3027"/>
        <v>NA</v>
      </c>
      <c r="AC3189" s="10" t="str">
        <f t="shared" si="3028"/>
        <v>NA</v>
      </c>
      <c r="AD3189" s="10" t="str">
        <f t="shared" si="3029"/>
        <v>NA</v>
      </c>
      <c r="AE3189" s="10">
        <f t="shared" si="3030"/>
        <v>3.0495439485906277</v>
      </c>
      <c r="AF3189" s="1" t="s">
        <v>3510</v>
      </c>
    </row>
    <row r="3190" spans="1:32" x14ac:dyDescent="0.2">
      <c r="A3190" s="1" t="s">
        <v>6834</v>
      </c>
      <c r="B3190" s="1" t="s">
        <v>5</v>
      </c>
      <c r="C3190" s="1" t="s">
        <v>1575</v>
      </c>
      <c r="D3190" s="1" t="s">
        <v>1584</v>
      </c>
      <c r="E3190" s="1" t="s">
        <v>3496</v>
      </c>
      <c r="F3190" s="1" t="s">
        <v>3509</v>
      </c>
      <c r="G3190" s="4">
        <v>0.93440000000000001</v>
      </c>
      <c r="H3190" s="28">
        <v>41274</v>
      </c>
      <c r="I3190" s="29">
        <f t="shared" si="2874"/>
        <v>2012</v>
      </c>
      <c r="J3190" s="1" t="s">
        <v>7</v>
      </c>
      <c r="K3190" s="1" t="s">
        <v>3490</v>
      </c>
      <c r="L3190" s="11" t="str">
        <f t="shared" ref="L3190" si="3073">IF(OR(A3190=J3190,A3190=K3190),"ДА","НЕТ")</f>
        <v>НЕТ</v>
      </c>
      <c r="M3190" s="10">
        <v>0</v>
      </c>
      <c r="N3190" s="10">
        <v>0</v>
      </c>
      <c r="O3190" s="10">
        <v>2.1000000000000001E-4</v>
      </c>
      <c r="P3190" s="10">
        <f t="shared" si="3017"/>
        <v>2.2474315068493151E-4</v>
      </c>
      <c r="Q3190" s="10">
        <f t="shared" si="3018"/>
        <v>0.24925674315068497</v>
      </c>
      <c r="R3190" s="10" t="s">
        <v>1575</v>
      </c>
      <c r="S3190" s="10" t="s">
        <v>1575</v>
      </c>
      <c r="T3190" s="10" t="s">
        <v>1575</v>
      </c>
      <c r="U3190" s="10" t="s">
        <v>1575</v>
      </c>
      <c r="V3190" s="10">
        <v>3.9445000000000001E-2</v>
      </c>
      <c r="W3190" s="10">
        <f>0.033163+0.226637-0.010768</f>
        <v>0.24903200000000003</v>
      </c>
      <c r="X3190" s="10">
        <f t="shared" si="3023"/>
        <v>0.28847700000000004</v>
      </c>
      <c r="Y3190" s="10" t="str">
        <f t="shared" si="3024"/>
        <v>NA</v>
      </c>
      <c r="Z3190" s="10" t="str">
        <f t="shared" si="3025"/>
        <v>NA</v>
      </c>
      <c r="AA3190" s="10">
        <f t="shared" si="3026"/>
        <v>5.6976334309781088E-3</v>
      </c>
      <c r="AB3190" s="10" t="str">
        <f t="shared" si="3027"/>
        <v>NA</v>
      </c>
      <c r="AC3190" s="10" t="str">
        <f t="shared" si="3028"/>
        <v>NA</v>
      </c>
      <c r="AD3190" s="10" t="str">
        <f t="shared" si="3029"/>
        <v>NA</v>
      </c>
      <c r="AE3190" s="10">
        <f t="shared" si="3030"/>
        <v>0.86404373017843683</v>
      </c>
      <c r="AF3190" s="1" t="s">
        <v>3511</v>
      </c>
    </row>
    <row r="3191" spans="1:32" x14ac:dyDescent="0.2">
      <c r="A3191" s="1" t="s">
        <v>6835</v>
      </c>
      <c r="B3191" s="1" t="s">
        <v>5</v>
      </c>
      <c r="C3191" s="1" t="s">
        <v>1575</v>
      </c>
      <c r="D3191" s="1" t="s">
        <v>1584</v>
      </c>
      <c r="E3191" s="1" t="s">
        <v>1587</v>
      </c>
      <c r="F3191" s="1" t="s">
        <v>3512</v>
      </c>
      <c r="G3191" s="4">
        <v>1</v>
      </c>
      <c r="H3191" s="28">
        <v>41274</v>
      </c>
      <c r="I3191" s="29">
        <f t="shared" si="2874"/>
        <v>2012</v>
      </c>
      <c r="J3191" s="1" t="s">
        <v>7</v>
      </c>
      <c r="K3191" s="1" t="s">
        <v>3490</v>
      </c>
      <c r="L3191" s="11" t="str">
        <f t="shared" ref="L3191" si="3074">IF(OR(A3191=J3191,A3191=K3191),"ДА","НЕТ")</f>
        <v>НЕТ</v>
      </c>
      <c r="M3191" s="10">
        <v>0</v>
      </c>
      <c r="N3191" s="10">
        <v>0</v>
      </c>
      <c r="O3191" s="10">
        <v>1.2E-5</v>
      </c>
      <c r="P3191" s="10">
        <f t="shared" si="3017"/>
        <v>1.2E-5</v>
      </c>
      <c r="Q3191" s="10">
        <f t="shared" si="3018"/>
        <v>-3.1800000000000001E-3</v>
      </c>
      <c r="R3191" s="10" t="s">
        <v>1575</v>
      </c>
      <c r="S3191" s="10" t="s">
        <v>1575</v>
      </c>
      <c r="T3191" s="10" t="s">
        <v>1575</v>
      </c>
      <c r="U3191" s="10" t="s">
        <v>1575</v>
      </c>
      <c r="V3191" s="10">
        <v>1.9116999999999999E-2</v>
      </c>
      <c r="W3191" s="10">
        <f>0.000163-0.003355</f>
        <v>-3.192E-3</v>
      </c>
      <c r="X3191" s="10">
        <f t="shared" si="3023"/>
        <v>1.5924999999999998E-2</v>
      </c>
      <c r="Y3191" s="10" t="str">
        <f t="shared" si="3024"/>
        <v>NA</v>
      </c>
      <c r="Z3191" s="10" t="str">
        <f t="shared" si="3025"/>
        <v>NA</v>
      </c>
      <c r="AA3191" s="10">
        <f t="shared" si="3026"/>
        <v>6.2771355338180686E-4</v>
      </c>
      <c r="AB3191" s="10" t="str">
        <f t="shared" si="3027"/>
        <v>NA</v>
      </c>
      <c r="AC3191" s="10" t="str">
        <f t="shared" si="3028"/>
        <v>NA</v>
      </c>
      <c r="AD3191" s="10" t="str">
        <f t="shared" si="3029"/>
        <v>NA</v>
      </c>
      <c r="AE3191" s="10">
        <f t="shared" si="3030"/>
        <v>-0.19968602825745685</v>
      </c>
      <c r="AF3191" s="1" t="s">
        <v>3513</v>
      </c>
    </row>
    <row r="3192" spans="1:32" x14ac:dyDescent="0.2">
      <c r="A3192" s="1" t="s">
        <v>2865</v>
      </c>
      <c r="B3192" s="1" t="s">
        <v>5</v>
      </c>
      <c r="C3192" s="1" t="s">
        <v>1575</v>
      </c>
      <c r="D3192" s="1" t="s">
        <v>1584</v>
      </c>
      <c r="E3192" s="1" t="s">
        <v>3496</v>
      </c>
      <c r="F3192" s="1" t="s">
        <v>3504</v>
      </c>
      <c r="G3192" s="4">
        <v>1</v>
      </c>
      <c r="H3192" s="28">
        <v>41274</v>
      </c>
      <c r="I3192" s="29">
        <f t="shared" si="2874"/>
        <v>2012</v>
      </c>
      <c r="J3192" s="1" t="s">
        <v>7</v>
      </c>
      <c r="K3192" s="1" t="s">
        <v>3490</v>
      </c>
      <c r="L3192" s="11" t="str">
        <f t="shared" ref="L3192" si="3075">IF(OR(A3192=J3192,A3192=K3192),"ДА","НЕТ")</f>
        <v>НЕТ</v>
      </c>
      <c r="M3192" s="10">
        <v>0</v>
      </c>
      <c r="N3192" s="10">
        <v>0</v>
      </c>
      <c r="O3192" s="10">
        <v>0.14910000000000001</v>
      </c>
      <c r="P3192" s="10">
        <f t="shared" si="3017"/>
        <v>0.14910000000000001</v>
      </c>
      <c r="Q3192" s="10">
        <f t="shared" si="3018"/>
        <v>0.19157000000000002</v>
      </c>
      <c r="R3192" s="10" t="s">
        <v>1575</v>
      </c>
      <c r="S3192" s="10" t="s">
        <v>1575</v>
      </c>
      <c r="T3192" s="10" t="s">
        <v>1575</v>
      </c>
      <c r="U3192" s="10" t="s">
        <v>1575</v>
      </c>
      <c r="V3192" s="10">
        <v>0.215831</v>
      </c>
      <c r="W3192" s="10">
        <f>0.035029+0.011418-0.003977</f>
        <v>4.2469999999999994E-2</v>
      </c>
      <c r="X3192" s="10">
        <f t="shared" si="3023"/>
        <v>0.258301</v>
      </c>
      <c r="Y3192" s="10" t="str">
        <f t="shared" si="3024"/>
        <v>NA</v>
      </c>
      <c r="Z3192" s="10" t="str">
        <f t="shared" si="3025"/>
        <v>NA</v>
      </c>
      <c r="AA3192" s="10">
        <f t="shared" si="3026"/>
        <v>0.69081827911653104</v>
      </c>
      <c r="AB3192" s="10" t="str">
        <f t="shared" si="3027"/>
        <v>NA</v>
      </c>
      <c r="AC3192" s="10" t="str">
        <f t="shared" si="3028"/>
        <v>NA</v>
      </c>
      <c r="AD3192" s="10" t="str">
        <f t="shared" si="3029"/>
        <v>NA</v>
      </c>
      <c r="AE3192" s="10">
        <f t="shared" si="3030"/>
        <v>0.74165411670880099</v>
      </c>
      <c r="AF3192" s="1" t="s">
        <v>3514</v>
      </c>
    </row>
    <row r="3193" spans="1:32" x14ac:dyDescent="0.2">
      <c r="A3193" s="1" t="s">
        <v>6836</v>
      </c>
      <c r="B3193" s="1" t="s">
        <v>5</v>
      </c>
      <c r="C3193" s="1" t="s">
        <v>1575</v>
      </c>
      <c r="D3193" s="1" t="s">
        <v>1575</v>
      </c>
      <c r="E3193" s="1" t="s">
        <v>1575</v>
      </c>
      <c r="F3193" s="1" t="s">
        <v>1575</v>
      </c>
      <c r="G3193" s="4" t="s">
        <v>1575</v>
      </c>
      <c r="H3193" s="28">
        <v>41274</v>
      </c>
      <c r="I3193" s="29">
        <f t="shared" si="2874"/>
        <v>2012</v>
      </c>
      <c r="J3193" s="1" t="s">
        <v>7</v>
      </c>
      <c r="K3193" s="1" t="s">
        <v>3490</v>
      </c>
      <c r="L3193" s="11" t="str">
        <f t="shared" ref="L3193:L3194" si="3076">IF(OR(A3193=J3193,A3193=K3193),"ДА","НЕТ")</f>
        <v>НЕТ</v>
      </c>
      <c r="M3193" s="10">
        <v>0</v>
      </c>
      <c r="N3193" s="10">
        <v>0</v>
      </c>
      <c r="O3193" s="10" t="s">
        <v>1575</v>
      </c>
      <c r="P3193" s="10" t="str">
        <f t="shared" si="3017"/>
        <v>NA</v>
      </c>
      <c r="Q3193" s="10" t="str">
        <f t="shared" si="3018"/>
        <v>NA</v>
      </c>
      <c r="R3193" s="10" t="s">
        <v>1575</v>
      </c>
      <c r="S3193" s="10" t="s">
        <v>1575</v>
      </c>
      <c r="T3193" s="10" t="s">
        <v>1575</v>
      </c>
      <c r="U3193" s="10" t="s">
        <v>1575</v>
      </c>
      <c r="V3193" s="10" t="s">
        <v>1575</v>
      </c>
      <c r="W3193" s="10" t="s">
        <v>1575</v>
      </c>
      <c r="X3193" s="10" t="str">
        <f t="shared" si="3023"/>
        <v>NA</v>
      </c>
      <c r="Y3193" s="10" t="str">
        <f t="shared" si="3024"/>
        <v>NA</v>
      </c>
      <c r="Z3193" s="10" t="str">
        <f t="shared" si="3025"/>
        <v>NA</v>
      </c>
      <c r="AA3193" s="10" t="str">
        <f t="shared" si="3026"/>
        <v>NA</v>
      </c>
      <c r="AB3193" s="10" t="str">
        <f t="shared" si="3027"/>
        <v>NA</v>
      </c>
      <c r="AC3193" s="10" t="str">
        <f t="shared" si="3028"/>
        <v>NA</v>
      </c>
      <c r="AD3193" s="10" t="str">
        <f t="shared" si="3029"/>
        <v>NA</v>
      </c>
      <c r="AE3193" s="10" t="str">
        <f t="shared" si="3030"/>
        <v>NA</v>
      </c>
      <c r="AF3193" s="1" t="s">
        <v>3515</v>
      </c>
    </row>
    <row r="3194" spans="1:32" x14ac:dyDescent="0.2">
      <c r="A3194" s="1" t="s">
        <v>6837</v>
      </c>
      <c r="B3194" s="1" t="s">
        <v>5</v>
      </c>
      <c r="C3194" s="1" t="s">
        <v>1575</v>
      </c>
      <c r="D3194" s="1" t="s">
        <v>1584</v>
      </c>
      <c r="E3194" s="1" t="s">
        <v>3496</v>
      </c>
      <c r="F3194" s="1" t="s">
        <v>3504</v>
      </c>
      <c r="G3194" s="4">
        <v>0.85936000000000001</v>
      </c>
      <c r="H3194" s="28">
        <v>40663</v>
      </c>
      <c r="I3194" s="29">
        <f t="shared" si="2874"/>
        <v>2011</v>
      </c>
      <c r="J3194" s="1" t="s">
        <v>3490</v>
      </c>
      <c r="K3194" s="1" t="s">
        <v>7</v>
      </c>
      <c r="L3194" s="11" t="str">
        <f t="shared" si="3076"/>
        <v>НЕТ</v>
      </c>
      <c r="M3194" s="10">
        <v>0</v>
      </c>
      <c r="N3194" s="10">
        <v>0</v>
      </c>
      <c r="O3194" s="10">
        <v>0.120222</v>
      </c>
      <c r="P3194" s="10">
        <f t="shared" si="3017"/>
        <v>0.13989713274995344</v>
      </c>
      <c r="Q3194" s="10">
        <f t="shared" si="3018"/>
        <v>0.17542813274995345</v>
      </c>
      <c r="R3194" s="10">
        <v>0.231105</v>
      </c>
      <c r="S3194" s="10" t="s">
        <v>1575</v>
      </c>
      <c r="T3194" s="10" t="s">
        <v>1575</v>
      </c>
      <c r="U3194" s="10" t="s">
        <v>1575</v>
      </c>
      <c r="V3194" s="10">
        <v>0.313336</v>
      </c>
      <c r="W3194" s="10">
        <f>0.002208+0.037486-0.004163</f>
        <v>3.5531E-2</v>
      </c>
      <c r="X3194" s="10">
        <f t="shared" si="3023"/>
        <v>0.34886699999999998</v>
      </c>
      <c r="Y3194" s="10">
        <f t="shared" si="3024"/>
        <v>0.60534013868135017</v>
      </c>
      <c r="Z3194" s="10" t="str">
        <f t="shared" si="3025"/>
        <v>NA</v>
      </c>
      <c r="AA3194" s="10">
        <f t="shared" si="3026"/>
        <v>0.44647641110486325</v>
      </c>
      <c r="AB3194" s="10">
        <f t="shared" si="3027"/>
        <v>0.75908410787284331</v>
      </c>
      <c r="AC3194" s="10" t="str">
        <f t="shared" si="3028"/>
        <v>NA</v>
      </c>
      <c r="AD3194" s="10" t="str">
        <f t="shared" si="3029"/>
        <v>NA</v>
      </c>
      <c r="AE3194" s="10">
        <f t="shared" si="3030"/>
        <v>0.50285103707130063</v>
      </c>
      <c r="AF3194" s="1" t="s">
        <v>3516</v>
      </c>
    </row>
    <row r="3195" spans="1:32" x14ac:dyDescent="0.2">
      <c r="A3195" s="1" t="s">
        <v>6834</v>
      </c>
      <c r="B3195" s="1" t="s">
        <v>5</v>
      </c>
      <c r="C3195" s="1" t="s">
        <v>1575</v>
      </c>
      <c r="D3195" s="1" t="s">
        <v>1584</v>
      </c>
      <c r="E3195" s="1" t="s">
        <v>3496</v>
      </c>
      <c r="F3195" s="1" t="s">
        <v>3509</v>
      </c>
      <c r="G3195" s="4">
        <v>0.93440000000000001</v>
      </c>
      <c r="H3195" s="28">
        <v>40694</v>
      </c>
      <c r="I3195" s="29">
        <f t="shared" si="2874"/>
        <v>2011</v>
      </c>
      <c r="J3195" s="1" t="s">
        <v>3490</v>
      </c>
      <c r="K3195" s="1" t="s">
        <v>7</v>
      </c>
      <c r="L3195" s="11" t="str">
        <f t="shared" ref="L3195" si="3077">IF(OR(A3195=J3195,A3195=K3195),"ДА","НЕТ")</f>
        <v>НЕТ</v>
      </c>
      <c r="M3195" s="10">
        <v>0</v>
      </c>
      <c r="N3195" s="10">
        <v>0</v>
      </c>
      <c r="O3195" s="10">
        <v>1.237609</v>
      </c>
      <c r="P3195" s="10">
        <f t="shared" si="3017"/>
        <v>1.3244959332191781</v>
      </c>
      <c r="Q3195" s="10">
        <f t="shared" si="3018"/>
        <v>1.3279739332191782</v>
      </c>
      <c r="R3195" s="10">
        <v>0.15964</v>
      </c>
      <c r="S3195" s="10" t="s">
        <v>1575</v>
      </c>
      <c r="T3195" s="10" t="s">
        <v>1575</v>
      </c>
      <c r="U3195" s="10" t="s">
        <v>1575</v>
      </c>
      <c r="V3195" s="10">
        <v>1.2142189999999999</v>
      </c>
      <c r="W3195" s="10">
        <f>0.004908+0.001227-0.002657</f>
        <v>3.4779999999999998E-3</v>
      </c>
      <c r="X3195" s="10">
        <f t="shared" si="3023"/>
        <v>1.217697</v>
      </c>
      <c r="Y3195" s="10">
        <f t="shared" si="3024"/>
        <v>8.2967673090652596</v>
      </c>
      <c r="Z3195" s="10" t="str">
        <f t="shared" si="3025"/>
        <v>NA</v>
      </c>
      <c r="AA3195" s="10">
        <f t="shared" si="3026"/>
        <v>1.0908212877736045</v>
      </c>
      <c r="AB3195" s="10">
        <f t="shared" si="3027"/>
        <v>8.3185538287345171</v>
      </c>
      <c r="AC3195" s="10" t="str">
        <f t="shared" si="3028"/>
        <v>NA</v>
      </c>
      <c r="AD3195" s="10" t="str">
        <f t="shared" si="3029"/>
        <v>NA</v>
      </c>
      <c r="AE3195" s="10">
        <f t="shared" si="3030"/>
        <v>1.0905618829800667</v>
      </c>
      <c r="AF3195" s="1" t="s">
        <v>3517</v>
      </c>
    </row>
    <row r="3196" spans="1:32" x14ac:dyDescent="0.2">
      <c r="A3196" s="1" t="s">
        <v>6838</v>
      </c>
      <c r="B3196" s="1" t="s">
        <v>5</v>
      </c>
      <c r="C3196" s="1" t="s">
        <v>1575</v>
      </c>
      <c r="D3196" s="1" t="s">
        <v>1584</v>
      </c>
      <c r="E3196" s="1" t="s">
        <v>3486</v>
      </c>
      <c r="F3196" s="1" t="s">
        <v>46</v>
      </c>
      <c r="G3196" s="4">
        <v>1</v>
      </c>
      <c r="H3196" s="28">
        <v>40574</v>
      </c>
      <c r="I3196" s="29">
        <f t="shared" si="2874"/>
        <v>2011</v>
      </c>
      <c r="J3196" s="1" t="s">
        <v>3490</v>
      </c>
      <c r="K3196" s="1" t="s">
        <v>7</v>
      </c>
      <c r="L3196" s="11" t="str">
        <f t="shared" ref="L3196:L3197" si="3078">IF(OR(A3196=J3196,A3196=K3196),"ДА","НЕТ")</f>
        <v>НЕТ</v>
      </c>
      <c r="M3196" s="10">
        <v>0</v>
      </c>
      <c r="N3196" s="10">
        <v>0</v>
      </c>
      <c r="O3196" s="10">
        <v>1.0250000000000001E-3</v>
      </c>
      <c r="P3196" s="10">
        <f t="shared" si="3017"/>
        <v>1.0250000000000001E-3</v>
      </c>
      <c r="Q3196" s="10" t="str">
        <f t="shared" si="3018"/>
        <v>NA</v>
      </c>
      <c r="R3196" s="10" t="s">
        <v>1575</v>
      </c>
      <c r="S3196" s="10" t="s">
        <v>1575</v>
      </c>
      <c r="T3196" s="10" t="s">
        <v>1575</v>
      </c>
      <c r="U3196" s="10" t="s">
        <v>1575</v>
      </c>
      <c r="V3196" s="10" t="s">
        <v>1575</v>
      </c>
      <c r="W3196" s="10" t="s">
        <v>1575</v>
      </c>
      <c r="X3196" s="10" t="str">
        <f t="shared" si="3023"/>
        <v>NA</v>
      </c>
      <c r="Y3196" s="10" t="str">
        <f t="shared" si="3024"/>
        <v>NA</v>
      </c>
      <c r="Z3196" s="10" t="str">
        <f t="shared" si="3025"/>
        <v>NA</v>
      </c>
      <c r="AA3196" s="10" t="str">
        <f t="shared" si="3026"/>
        <v>NA</v>
      </c>
      <c r="AB3196" s="10" t="str">
        <f t="shared" si="3027"/>
        <v>NA</v>
      </c>
      <c r="AC3196" s="10" t="str">
        <f t="shared" si="3028"/>
        <v>NA</v>
      </c>
      <c r="AD3196" s="10" t="str">
        <f t="shared" si="3029"/>
        <v>NA</v>
      </c>
      <c r="AE3196" s="10" t="str">
        <f t="shared" si="3030"/>
        <v>NA</v>
      </c>
      <c r="AF3196" s="1" t="s">
        <v>3518</v>
      </c>
    </row>
    <row r="3197" spans="1:32" x14ac:dyDescent="0.2">
      <c r="A3197" s="1" t="s">
        <v>6839</v>
      </c>
      <c r="B3197" s="1" t="s">
        <v>5</v>
      </c>
      <c r="C3197" s="1" t="s">
        <v>1575</v>
      </c>
      <c r="D3197" s="1" t="s">
        <v>1584</v>
      </c>
      <c r="E3197" s="1" t="s">
        <v>3496</v>
      </c>
      <c r="F3197" s="1" t="s">
        <v>3520</v>
      </c>
      <c r="G3197" s="4">
        <v>1</v>
      </c>
      <c r="H3197" s="28">
        <v>40754</v>
      </c>
      <c r="I3197" s="29">
        <f t="shared" si="2874"/>
        <v>2011</v>
      </c>
      <c r="J3197" s="1" t="s">
        <v>3490</v>
      </c>
      <c r="K3197" s="1" t="s">
        <v>7</v>
      </c>
      <c r="L3197" s="11" t="str">
        <f t="shared" si="3078"/>
        <v>НЕТ</v>
      </c>
      <c r="M3197" s="10">
        <v>0</v>
      </c>
      <c r="N3197" s="10">
        <v>0</v>
      </c>
      <c r="O3197" s="10">
        <v>0.95981899999999998</v>
      </c>
      <c r="P3197" s="10">
        <f t="shared" si="3017"/>
        <v>0.95981899999999998</v>
      </c>
      <c r="Q3197" s="10">
        <f t="shared" si="3018"/>
        <v>1.008777</v>
      </c>
      <c r="R3197" s="10">
        <v>0.234068</v>
      </c>
      <c r="S3197" s="10" t="s">
        <v>1575</v>
      </c>
      <c r="T3197" s="10" t="s">
        <v>1575</v>
      </c>
      <c r="U3197" s="10" t="s">
        <v>1575</v>
      </c>
      <c r="V3197" s="10">
        <v>1.0346029999999999</v>
      </c>
      <c r="W3197" s="10">
        <f>0.003+0.047841-0.001883</f>
        <v>4.8958000000000002E-2</v>
      </c>
      <c r="X3197" s="10">
        <f t="shared" si="3023"/>
        <v>1.083561</v>
      </c>
      <c r="Y3197" s="10">
        <f t="shared" si="3024"/>
        <v>4.1005989712391271</v>
      </c>
      <c r="Z3197" s="10" t="str">
        <f t="shared" si="3025"/>
        <v>NA</v>
      </c>
      <c r="AA3197" s="10">
        <f t="shared" si="3026"/>
        <v>0.92771720167059257</v>
      </c>
      <c r="AB3197" s="10">
        <f t="shared" si="3027"/>
        <v>4.3097604115043495</v>
      </c>
      <c r="AC3197" s="10" t="str">
        <f t="shared" si="3028"/>
        <v>NA</v>
      </c>
      <c r="AD3197" s="10" t="str">
        <f t="shared" si="3029"/>
        <v>NA</v>
      </c>
      <c r="AE3197" s="10">
        <f t="shared" si="3030"/>
        <v>0.93098311954749202</v>
      </c>
      <c r="AF3197" s="1" t="s">
        <v>3519</v>
      </c>
    </row>
    <row r="3198" spans="1:32" x14ac:dyDescent="0.2">
      <c r="A3198" s="1" t="s">
        <v>6840</v>
      </c>
      <c r="B3198" s="1" t="s">
        <v>5</v>
      </c>
      <c r="C3198" s="1" t="s">
        <v>1575</v>
      </c>
      <c r="D3198" s="1" t="s">
        <v>1584</v>
      </c>
      <c r="E3198" s="1" t="s">
        <v>3486</v>
      </c>
      <c r="F3198" s="1" t="s">
        <v>46</v>
      </c>
      <c r="G3198" s="4">
        <v>1</v>
      </c>
      <c r="H3198" s="28">
        <v>40754</v>
      </c>
      <c r="I3198" s="29">
        <f t="shared" si="2874"/>
        <v>2011</v>
      </c>
      <c r="J3198" s="1" t="s">
        <v>3490</v>
      </c>
      <c r="K3198" s="1" t="s">
        <v>7</v>
      </c>
      <c r="L3198" s="11" t="str">
        <f t="shared" ref="L3198:L3200" si="3079">IF(OR(A3198=J3198,A3198=K3198),"ДА","НЕТ")</f>
        <v>НЕТ</v>
      </c>
      <c r="M3198" s="10">
        <v>0</v>
      </c>
      <c r="N3198" s="10">
        <v>0</v>
      </c>
      <c r="O3198" s="10">
        <v>0.6</v>
      </c>
      <c r="P3198" s="10">
        <f t="shared" si="3017"/>
        <v>0.6</v>
      </c>
      <c r="Q3198" s="10">
        <f t="shared" si="3018"/>
        <v>0.60139900000000002</v>
      </c>
      <c r="R3198" s="10">
        <v>0.991757</v>
      </c>
      <c r="S3198" s="10" t="s">
        <v>1575</v>
      </c>
      <c r="T3198" s="10" t="s">
        <v>1575</v>
      </c>
      <c r="U3198" s="10" t="s">
        <v>1575</v>
      </c>
      <c r="V3198" s="10">
        <v>3.6352000000000002E-2</v>
      </c>
      <c r="W3198" s="10">
        <f>0.002185-0.000786</f>
        <v>1.3989999999999999E-3</v>
      </c>
      <c r="X3198" s="10">
        <f t="shared" si="3023"/>
        <v>3.7751E-2</v>
      </c>
      <c r="Y3198" s="10">
        <f t="shared" si="3024"/>
        <v>0.60498690707501934</v>
      </c>
      <c r="Z3198" s="10" t="str">
        <f t="shared" si="3025"/>
        <v>NA</v>
      </c>
      <c r="AA3198" s="10">
        <f t="shared" si="3026"/>
        <v>16.505281690140844</v>
      </c>
      <c r="AB3198" s="10">
        <f t="shared" si="3027"/>
        <v>0.60639753488001602</v>
      </c>
      <c r="AC3198" s="10" t="str">
        <f t="shared" si="3028"/>
        <v>NA</v>
      </c>
      <c r="AD3198" s="10" t="str">
        <f t="shared" si="3029"/>
        <v>NA</v>
      </c>
      <c r="AE3198" s="10">
        <f t="shared" si="3030"/>
        <v>15.930677333050781</v>
      </c>
      <c r="AF3198" s="1" t="s">
        <v>3521</v>
      </c>
    </row>
    <row r="3199" spans="1:32" x14ac:dyDescent="0.2">
      <c r="A3199" s="1" t="s">
        <v>6841</v>
      </c>
      <c r="B3199" s="1" t="s">
        <v>5</v>
      </c>
      <c r="C3199" s="1" t="s">
        <v>1575</v>
      </c>
      <c r="D3199" s="1" t="s">
        <v>1584</v>
      </c>
      <c r="E3199" s="1" t="s">
        <v>5352</v>
      </c>
      <c r="F3199" s="1" t="s">
        <v>3523</v>
      </c>
      <c r="G3199" s="4">
        <v>1</v>
      </c>
      <c r="H3199" s="28">
        <v>40877</v>
      </c>
      <c r="I3199" s="29">
        <f t="shared" si="2874"/>
        <v>2011</v>
      </c>
      <c r="J3199" s="1" t="s">
        <v>3490</v>
      </c>
      <c r="K3199" s="1" t="s">
        <v>7</v>
      </c>
      <c r="L3199" s="11" t="str">
        <f t="shared" si="3079"/>
        <v>НЕТ</v>
      </c>
      <c r="M3199" s="10">
        <v>0</v>
      </c>
      <c r="N3199" s="10">
        <v>0</v>
      </c>
      <c r="O3199" s="10">
        <v>0.31</v>
      </c>
      <c r="P3199" s="10">
        <f t="shared" si="3017"/>
        <v>0.31</v>
      </c>
      <c r="Q3199" s="10">
        <f t="shared" si="3018"/>
        <v>0.32595499999999999</v>
      </c>
      <c r="R3199" s="10" t="s">
        <v>1575</v>
      </c>
      <c r="S3199" s="10" t="s">
        <v>1575</v>
      </c>
      <c r="T3199" s="10" t="s">
        <v>1575</v>
      </c>
      <c r="U3199" s="10" t="s">
        <v>1575</v>
      </c>
      <c r="V3199" s="10">
        <v>0.230156</v>
      </c>
      <c r="W3199" s="10">
        <f>0.020592-0.004637</f>
        <v>1.5955E-2</v>
      </c>
      <c r="X3199" s="10">
        <f t="shared" si="3023"/>
        <v>0.246111</v>
      </c>
      <c r="Y3199" s="10" t="str">
        <f t="shared" si="3024"/>
        <v>NA</v>
      </c>
      <c r="Z3199" s="10" t="str">
        <f t="shared" si="3025"/>
        <v>NA</v>
      </c>
      <c r="AA3199" s="10">
        <f t="shared" si="3026"/>
        <v>1.3469125288934463</v>
      </c>
      <c r="AB3199" s="10" t="str">
        <f t="shared" si="3027"/>
        <v>NA</v>
      </c>
      <c r="AC3199" s="10" t="str">
        <f t="shared" si="3028"/>
        <v>NA</v>
      </c>
      <c r="AD3199" s="10" t="str">
        <f t="shared" si="3029"/>
        <v>NA</v>
      </c>
      <c r="AE3199" s="10">
        <f t="shared" si="3030"/>
        <v>1.3244227198296703</v>
      </c>
      <c r="AF3199" s="1" t="s">
        <v>3522</v>
      </c>
    </row>
    <row r="3200" spans="1:32" x14ac:dyDescent="0.2">
      <c r="A3200" s="1" t="s">
        <v>6842</v>
      </c>
      <c r="B3200" s="1" t="s">
        <v>5</v>
      </c>
      <c r="C3200" s="1" t="s">
        <v>1575</v>
      </c>
      <c r="D3200" s="1" t="s">
        <v>1584</v>
      </c>
      <c r="E3200" s="1" t="s">
        <v>3496</v>
      </c>
      <c r="F3200" s="1" t="s">
        <v>3525</v>
      </c>
      <c r="G3200" s="4" t="s">
        <v>1575</v>
      </c>
      <c r="H3200" s="28">
        <v>40663</v>
      </c>
      <c r="I3200" s="29">
        <f t="shared" si="2874"/>
        <v>2011</v>
      </c>
      <c r="J3200" s="1" t="s">
        <v>7</v>
      </c>
      <c r="K3200" s="1" t="s">
        <v>3490</v>
      </c>
      <c r="L3200" s="11" t="str">
        <f t="shared" si="3079"/>
        <v>НЕТ</v>
      </c>
      <c r="M3200" s="10">
        <v>0</v>
      </c>
      <c r="N3200" s="10">
        <v>0</v>
      </c>
      <c r="O3200" s="10">
        <v>2E-3</v>
      </c>
      <c r="P3200" s="10" t="str">
        <f t="shared" si="3017"/>
        <v>NA</v>
      </c>
      <c r="Q3200" s="10" t="str">
        <f t="shared" si="3018"/>
        <v>NA</v>
      </c>
      <c r="R3200" s="10" t="s">
        <v>1575</v>
      </c>
      <c r="S3200" s="10" t="s">
        <v>1575</v>
      </c>
      <c r="T3200" s="10" t="s">
        <v>1575</v>
      </c>
      <c r="U3200" s="10" t="s">
        <v>1575</v>
      </c>
      <c r="V3200" s="10">
        <v>-0.10946699999999999</v>
      </c>
      <c r="W3200" s="10">
        <f>0.042794+0.006246+0.003665-0.000579</f>
        <v>5.2125999999999999E-2</v>
      </c>
      <c r="X3200" s="10">
        <f t="shared" si="3023"/>
        <v>-5.7340999999999996E-2</v>
      </c>
      <c r="Y3200" s="10" t="str">
        <f t="shared" si="3024"/>
        <v>NA</v>
      </c>
      <c r="Z3200" s="10" t="str">
        <f t="shared" si="3025"/>
        <v>NA</v>
      </c>
      <c r="AA3200" s="10" t="str">
        <f t="shared" si="3026"/>
        <v>NA</v>
      </c>
      <c r="AB3200" s="10" t="str">
        <f t="shared" si="3027"/>
        <v>NA</v>
      </c>
      <c r="AC3200" s="10" t="str">
        <f t="shared" si="3028"/>
        <v>NA</v>
      </c>
      <c r="AD3200" s="10" t="str">
        <f t="shared" si="3029"/>
        <v>NA</v>
      </c>
      <c r="AE3200" s="10" t="str">
        <f t="shared" si="3030"/>
        <v>NA</v>
      </c>
      <c r="AF3200" s="1" t="s">
        <v>3524</v>
      </c>
    </row>
    <row r="3201" spans="1:32" x14ac:dyDescent="0.2">
      <c r="A3201" s="1" t="s">
        <v>6843</v>
      </c>
      <c r="B3201" s="1" t="s">
        <v>1575</v>
      </c>
      <c r="C3201" s="1" t="s">
        <v>1575</v>
      </c>
      <c r="D3201" s="1" t="s">
        <v>1584</v>
      </c>
      <c r="E3201" s="1" t="s">
        <v>3486</v>
      </c>
      <c r="F3201" s="1" t="s">
        <v>46</v>
      </c>
      <c r="G3201" s="4" t="s">
        <v>11</v>
      </c>
      <c r="H3201" s="28">
        <v>40543</v>
      </c>
      <c r="I3201" s="29">
        <f t="shared" si="2874"/>
        <v>2010</v>
      </c>
      <c r="J3201" s="1" t="s">
        <v>7</v>
      </c>
      <c r="K3201" s="1" t="s">
        <v>3490</v>
      </c>
      <c r="L3201" s="11" t="str">
        <f t="shared" ref="L3201:L3204" si="3080">IF(OR(A3201=J3201,A3201=K3201),"ДА","НЕТ")</f>
        <v>НЕТ</v>
      </c>
      <c r="M3201" s="10">
        <v>0</v>
      </c>
      <c r="N3201" s="10">
        <v>0</v>
      </c>
      <c r="O3201" s="10">
        <v>0.122088</v>
      </c>
      <c r="P3201" s="10" t="str">
        <f t="shared" si="3017"/>
        <v>NA</v>
      </c>
      <c r="Q3201" s="10" t="str">
        <f t="shared" si="3018"/>
        <v>NA</v>
      </c>
      <c r="R3201" s="10" t="s">
        <v>1575</v>
      </c>
      <c r="S3201" s="10" t="s">
        <v>1575</v>
      </c>
      <c r="T3201" s="10" t="s">
        <v>1575</v>
      </c>
      <c r="U3201" s="10" t="s">
        <v>1575</v>
      </c>
      <c r="V3201" s="10">
        <v>0.65691699999999997</v>
      </c>
      <c r="W3201" s="10">
        <f>0.425106+0.001516-0.018445</f>
        <v>0.40817700000000001</v>
      </c>
      <c r="X3201" s="10">
        <f t="shared" si="3023"/>
        <v>1.065094</v>
      </c>
      <c r="Y3201" s="10" t="str">
        <f t="shared" si="3024"/>
        <v>NA</v>
      </c>
      <c r="Z3201" s="10" t="str">
        <f t="shared" si="3025"/>
        <v>NA</v>
      </c>
      <c r="AA3201" s="10" t="str">
        <f t="shared" si="3026"/>
        <v>NA</v>
      </c>
      <c r="AB3201" s="10" t="str">
        <f t="shared" si="3027"/>
        <v>NA</v>
      </c>
      <c r="AC3201" s="10" t="str">
        <f t="shared" si="3028"/>
        <v>NA</v>
      </c>
      <c r="AD3201" s="10" t="str">
        <f t="shared" si="3029"/>
        <v>NA</v>
      </c>
      <c r="AE3201" s="10" t="str">
        <f t="shared" si="3030"/>
        <v>NA</v>
      </c>
      <c r="AF3201" s="1" t="s">
        <v>3526</v>
      </c>
    </row>
    <row r="3202" spans="1:32" x14ac:dyDescent="0.2">
      <c r="A3202" s="1" t="s">
        <v>6844</v>
      </c>
      <c r="B3202" s="1" t="s">
        <v>5</v>
      </c>
      <c r="C3202" s="1" t="s">
        <v>1575</v>
      </c>
      <c r="D3202" s="1" t="s">
        <v>1575</v>
      </c>
      <c r="E3202" s="1" t="s">
        <v>1575</v>
      </c>
      <c r="F3202" s="1" t="s">
        <v>1575</v>
      </c>
      <c r="G3202" s="4" t="s">
        <v>1575</v>
      </c>
      <c r="H3202" s="28">
        <v>40359</v>
      </c>
      <c r="I3202" s="29">
        <f t="shared" si="2874"/>
        <v>2010</v>
      </c>
      <c r="J3202" s="1" t="s">
        <v>7</v>
      </c>
      <c r="K3202" s="1" t="s">
        <v>3490</v>
      </c>
      <c r="L3202" s="11" t="str">
        <f t="shared" si="3080"/>
        <v>НЕТ</v>
      </c>
      <c r="M3202" s="10">
        <v>0</v>
      </c>
      <c r="N3202" s="10">
        <v>0</v>
      </c>
      <c r="O3202" s="10">
        <v>8.5999999999999998E-4</v>
      </c>
      <c r="P3202" s="10" t="str">
        <f t="shared" si="3017"/>
        <v>NA</v>
      </c>
      <c r="Q3202" s="10" t="str">
        <f t="shared" si="3018"/>
        <v>NA</v>
      </c>
      <c r="R3202" s="10" t="s">
        <v>1575</v>
      </c>
      <c r="S3202" s="10" t="s">
        <v>1575</v>
      </c>
      <c r="T3202" s="10" t="s">
        <v>1575</v>
      </c>
      <c r="U3202" s="10" t="s">
        <v>1575</v>
      </c>
      <c r="V3202" s="10" t="s">
        <v>1575</v>
      </c>
      <c r="W3202" s="10" t="s">
        <v>1575</v>
      </c>
      <c r="X3202" s="10" t="str">
        <f t="shared" si="3023"/>
        <v>NA</v>
      </c>
      <c r="Y3202" s="10" t="str">
        <f t="shared" si="3024"/>
        <v>NA</v>
      </c>
      <c r="Z3202" s="10" t="str">
        <f t="shared" si="3025"/>
        <v>NA</v>
      </c>
      <c r="AA3202" s="10" t="str">
        <f t="shared" si="3026"/>
        <v>NA</v>
      </c>
      <c r="AB3202" s="10" t="str">
        <f t="shared" si="3027"/>
        <v>NA</v>
      </c>
      <c r="AC3202" s="10" t="str">
        <f t="shared" si="3028"/>
        <v>NA</v>
      </c>
      <c r="AD3202" s="10" t="str">
        <f t="shared" si="3029"/>
        <v>NA</v>
      </c>
      <c r="AE3202" s="10" t="str">
        <f t="shared" si="3030"/>
        <v>NA</v>
      </c>
      <c r="AF3202" s="1" t="s">
        <v>3527</v>
      </c>
    </row>
    <row r="3203" spans="1:32" x14ac:dyDescent="0.2">
      <c r="A3203" s="1" t="s">
        <v>3490</v>
      </c>
      <c r="B3203" s="1" t="s">
        <v>5</v>
      </c>
      <c r="C3203" s="1" t="s">
        <v>3529</v>
      </c>
      <c r="D3203" s="1" t="s">
        <v>1584</v>
      </c>
      <c r="E3203" s="1" t="s">
        <v>3486</v>
      </c>
      <c r="F3203" s="1" t="s">
        <v>46</v>
      </c>
      <c r="G3203" s="4">
        <f>9366383/103030215</f>
        <v>9.0909089144383518E-2</v>
      </c>
      <c r="H3203" s="28">
        <v>40329</v>
      </c>
      <c r="I3203" s="29">
        <f t="shared" si="2874"/>
        <v>2010</v>
      </c>
      <c r="J3203" s="1" t="s">
        <v>7</v>
      </c>
      <c r="K3203" s="1" t="s">
        <v>3490</v>
      </c>
      <c r="L3203" s="11" t="str">
        <f t="shared" ref="L3203" si="3081">IF(OR(A3203=J3203,A3203=K3203),"ДА","НЕТ")</f>
        <v>ДА</v>
      </c>
      <c r="M3203" s="10">
        <v>390.13299999999998</v>
      </c>
      <c r="N3203" s="10">
        <v>0</v>
      </c>
      <c r="O3203" s="10">
        <v>11.848027999999999</v>
      </c>
      <c r="P3203" s="10">
        <f t="shared" ref="P3203:P3266" si="3082">IFERROR(O3203/G3203,"NA")</f>
        <v>130.32831052990466</v>
      </c>
      <c r="Q3203" s="10" t="str">
        <f t="shared" ref="Q3203:Q3266" si="3083">IFERROR(P3203+W3203,"NA")</f>
        <v>NA</v>
      </c>
      <c r="R3203" s="10" t="s">
        <v>1575</v>
      </c>
      <c r="S3203" s="10" t="s">
        <v>1575</v>
      </c>
      <c r="T3203" s="10" t="s">
        <v>1575</v>
      </c>
      <c r="U3203" s="10" t="s">
        <v>1575</v>
      </c>
      <c r="V3203" s="10" t="s">
        <v>1575</v>
      </c>
      <c r="W3203" s="10" t="s">
        <v>1575</v>
      </c>
      <c r="X3203" s="10" t="str">
        <f t="shared" si="3023"/>
        <v>NA</v>
      </c>
      <c r="Y3203" s="10" t="str">
        <f t="shared" si="3024"/>
        <v>NA</v>
      </c>
      <c r="Z3203" s="10" t="str">
        <f t="shared" si="3025"/>
        <v>NA</v>
      </c>
      <c r="AA3203" s="10" t="str">
        <f t="shared" si="3026"/>
        <v>NA</v>
      </c>
      <c r="AB3203" s="10" t="str">
        <f t="shared" si="3027"/>
        <v>NA</v>
      </c>
      <c r="AC3203" s="10" t="str">
        <f t="shared" si="3028"/>
        <v>NA</v>
      </c>
      <c r="AD3203" s="10" t="str">
        <f t="shared" si="3029"/>
        <v>NA</v>
      </c>
      <c r="AE3203" s="10" t="str">
        <f t="shared" si="3030"/>
        <v>NA</v>
      </c>
      <c r="AF3203" s="1" t="s">
        <v>3530</v>
      </c>
    </row>
    <row r="3204" spans="1:32" x14ac:dyDescent="0.2">
      <c r="A3204" s="1" t="s">
        <v>6845</v>
      </c>
      <c r="B3204" s="1" t="s">
        <v>5</v>
      </c>
      <c r="C3204" s="1" t="s">
        <v>1575</v>
      </c>
      <c r="D3204" s="1" t="s">
        <v>1575</v>
      </c>
      <c r="E3204" s="1" t="s">
        <v>1575</v>
      </c>
      <c r="F3204" s="1" t="s">
        <v>1575</v>
      </c>
      <c r="G3204" s="4" t="s">
        <v>1575</v>
      </c>
      <c r="H3204" s="28">
        <v>40147</v>
      </c>
      <c r="I3204" s="29">
        <f t="shared" si="2874"/>
        <v>2009</v>
      </c>
      <c r="J3204" s="1" t="s">
        <v>7</v>
      </c>
      <c r="K3204" s="1" t="s">
        <v>3490</v>
      </c>
      <c r="L3204" s="11" t="str">
        <f t="shared" si="3080"/>
        <v>НЕТ</v>
      </c>
      <c r="M3204" s="10">
        <v>0</v>
      </c>
      <c r="N3204" s="10">
        <v>0</v>
      </c>
      <c r="O3204" s="10" t="s">
        <v>1575</v>
      </c>
      <c r="P3204" s="10" t="str">
        <f t="shared" si="3082"/>
        <v>NA</v>
      </c>
      <c r="Q3204" s="10" t="str">
        <f t="shared" si="3083"/>
        <v>NA</v>
      </c>
      <c r="R3204" s="10" t="s">
        <v>1575</v>
      </c>
      <c r="S3204" s="10" t="s">
        <v>1575</v>
      </c>
      <c r="T3204" s="10" t="s">
        <v>1575</v>
      </c>
      <c r="U3204" s="10">
        <v>-6.6639999999999998E-3</v>
      </c>
      <c r="V3204" s="10" t="s">
        <v>1575</v>
      </c>
      <c r="W3204" s="10" t="s">
        <v>1575</v>
      </c>
      <c r="X3204" s="10" t="str">
        <f t="shared" si="3023"/>
        <v>NA</v>
      </c>
      <c r="Y3204" s="10" t="str">
        <f t="shared" si="3024"/>
        <v>NA</v>
      </c>
      <c r="Z3204" s="10" t="str">
        <f t="shared" si="3025"/>
        <v>NA</v>
      </c>
      <c r="AA3204" s="10" t="str">
        <f t="shared" si="3026"/>
        <v>NA</v>
      </c>
      <c r="AB3204" s="10" t="str">
        <f t="shared" si="3027"/>
        <v>NA</v>
      </c>
      <c r="AC3204" s="10" t="str">
        <f t="shared" si="3028"/>
        <v>NA</v>
      </c>
      <c r="AD3204" s="10" t="str">
        <f t="shared" si="3029"/>
        <v>NA</v>
      </c>
      <c r="AE3204" s="10" t="str">
        <f t="shared" si="3030"/>
        <v>NA</v>
      </c>
      <c r="AF3204" s="1" t="s">
        <v>3528</v>
      </c>
    </row>
    <row r="3205" spans="1:32" x14ac:dyDescent="0.2">
      <c r="A3205" s="1" t="s">
        <v>3533</v>
      </c>
      <c r="B3205" s="1" t="s">
        <v>5</v>
      </c>
      <c r="C3205" s="1" t="s">
        <v>1575</v>
      </c>
      <c r="D3205" s="1" t="s">
        <v>1584</v>
      </c>
      <c r="E3205" s="1" t="s">
        <v>3486</v>
      </c>
      <c r="F3205" s="1" t="s">
        <v>46</v>
      </c>
      <c r="G3205" s="4">
        <v>0.25</v>
      </c>
      <c r="H3205" s="28">
        <v>45291</v>
      </c>
      <c r="I3205" s="29">
        <f t="shared" si="2874"/>
        <v>2023</v>
      </c>
      <c r="J3205" s="1" t="s">
        <v>3532</v>
      </c>
      <c r="K3205" s="1" t="s">
        <v>7</v>
      </c>
      <c r="L3205" s="11" t="str">
        <f t="shared" ref="L3205" si="3084">IF(OR(A3205=J3205,A3205=K3205),"ДА","НЕТ")</f>
        <v>НЕТ</v>
      </c>
      <c r="M3205" s="10">
        <v>0</v>
      </c>
      <c r="N3205" s="10">
        <v>0</v>
      </c>
      <c r="O3205" s="10">
        <v>2.4990000000000001</v>
      </c>
      <c r="P3205" s="10">
        <f t="shared" si="3082"/>
        <v>9.9960000000000004</v>
      </c>
      <c r="Q3205" s="10" t="str">
        <f t="shared" si="3083"/>
        <v>NA</v>
      </c>
      <c r="R3205" s="10" t="s">
        <v>1575</v>
      </c>
      <c r="S3205" s="10" t="s">
        <v>1575</v>
      </c>
      <c r="T3205" s="10" t="s">
        <v>1575</v>
      </c>
      <c r="U3205" s="10" t="s">
        <v>1575</v>
      </c>
      <c r="V3205" s="10" t="s">
        <v>1575</v>
      </c>
      <c r="W3205" s="10" t="s">
        <v>1575</v>
      </c>
      <c r="X3205" s="10" t="str">
        <f t="shared" si="3023"/>
        <v>NA</v>
      </c>
      <c r="Y3205" s="10" t="str">
        <f t="shared" si="3024"/>
        <v>NA</v>
      </c>
      <c r="Z3205" s="10" t="str">
        <f t="shared" si="3025"/>
        <v>NA</v>
      </c>
      <c r="AA3205" s="10" t="str">
        <f t="shared" si="3026"/>
        <v>NA</v>
      </c>
      <c r="AB3205" s="10" t="str">
        <f t="shared" si="3027"/>
        <v>NA</v>
      </c>
      <c r="AC3205" s="10" t="str">
        <f t="shared" si="3028"/>
        <v>NA</v>
      </c>
      <c r="AD3205" s="10" t="str">
        <f t="shared" si="3029"/>
        <v>NA</v>
      </c>
      <c r="AE3205" s="10" t="str">
        <f t="shared" si="3030"/>
        <v>NA</v>
      </c>
      <c r="AF3205" s="1" t="s">
        <v>3531</v>
      </c>
    </row>
    <row r="3206" spans="1:32" x14ac:dyDescent="0.2">
      <c r="A3206" s="1" t="s">
        <v>6846</v>
      </c>
      <c r="B3206" s="1" t="s">
        <v>5</v>
      </c>
      <c r="C3206" s="1" t="s">
        <v>1575</v>
      </c>
      <c r="D3206" s="1" t="s">
        <v>1584</v>
      </c>
      <c r="E3206" s="1" t="s">
        <v>3486</v>
      </c>
      <c r="F3206" s="1" t="s">
        <v>46</v>
      </c>
      <c r="G3206" s="4" t="s">
        <v>1575</v>
      </c>
      <c r="H3206" s="28">
        <v>45291</v>
      </c>
      <c r="I3206" s="29">
        <f t="shared" si="2874"/>
        <v>2023</v>
      </c>
      <c r="J3206" s="1" t="s">
        <v>7</v>
      </c>
      <c r="K3206" s="1" t="s">
        <v>3532</v>
      </c>
      <c r="L3206" s="11" t="str">
        <f t="shared" ref="L3206:L3207" si="3085">IF(OR(A3206=J3206,A3206=K3206),"ДА","НЕТ")</f>
        <v>НЕТ</v>
      </c>
      <c r="M3206" s="10">
        <v>0</v>
      </c>
      <c r="N3206" s="10">
        <v>0</v>
      </c>
      <c r="O3206" s="10">
        <v>0.26700000000000002</v>
      </c>
      <c r="P3206" s="10" t="str">
        <f t="shared" si="3082"/>
        <v>NA</v>
      </c>
      <c r="Q3206" s="10" t="str">
        <f t="shared" si="3083"/>
        <v>NA</v>
      </c>
      <c r="R3206" s="10" t="s">
        <v>1575</v>
      </c>
      <c r="S3206" s="10" t="s">
        <v>1575</v>
      </c>
      <c r="T3206" s="10" t="s">
        <v>1575</v>
      </c>
      <c r="U3206" s="10" t="s">
        <v>1575</v>
      </c>
      <c r="V3206" s="10">
        <v>7.3040000000000003</v>
      </c>
      <c r="W3206" s="10">
        <f>2.784+0.449</f>
        <v>3.2329999999999997</v>
      </c>
      <c r="X3206" s="10">
        <f t="shared" si="3023"/>
        <v>10.536999999999999</v>
      </c>
      <c r="Y3206" s="10" t="str">
        <f t="shared" si="3024"/>
        <v>NA</v>
      </c>
      <c r="Z3206" s="10" t="str">
        <f t="shared" si="3025"/>
        <v>NA</v>
      </c>
      <c r="AA3206" s="10" t="str">
        <f t="shared" si="3026"/>
        <v>NA</v>
      </c>
      <c r="AB3206" s="10" t="str">
        <f t="shared" si="3027"/>
        <v>NA</v>
      </c>
      <c r="AC3206" s="10" t="str">
        <f t="shared" si="3028"/>
        <v>NA</v>
      </c>
      <c r="AD3206" s="10" t="str">
        <f t="shared" si="3029"/>
        <v>NA</v>
      </c>
      <c r="AE3206" s="10" t="str">
        <f t="shared" si="3030"/>
        <v>NA</v>
      </c>
      <c r="AF3206" s="1" t="s">
        <v>3534</v>
      </c>
    </row>
    <row r="3207" spans="1:32" x14ac:dyDescent="0.2">
      <c r="A3207" s="1" t="s">
        <v>6847</v>
      </c>
      <c r="B3207" s="1" t="s">
        <v>5</v>
      </c>
      <c r="C3207" s="1" t="s">
        <v>1575</v>
      </c>
      <c r="D3207" s="1" t="s">
        <v>1584</v>
      </c>
      <c r="E3207" s="1" t="s">
        <v>3486</v>
      </c>
      <c r="F3207" s="1" t="s">
        <v>46</v>
      </c>
      <c r="G3207" s="4">
        <v>0.5</v>
      </c>
      <c r="H3207" s="28">
        <v>45291</v>
      </c>
      <c r="I3207" s="29">
        <f t="shared" si="2874"/>
        <v>2023</v>
      </c>
      <c r="J3207" s="1" t="s">
        <v>3532</v>
      </c>
      <c r="K3207" s="1" t="s">
        <v>7</v>
      </c>
      <c r="L3207" s="11" t="str">
        <f t="shared" si="3085"/>
        <v>НЕТ</v>
      </c>
      <c r="M3207" s="10">
        <v>0</v>
      </c>
      <c r="N3207" s="10">
        <v>0</v>
      </c>
      <c r="O3207" s="10">
        <v>8.6189999999999998</v>
      </c>
      <c r="P3207" s="10">
        <f t="shared" si="3082"/>
        <v>17.238</v>
      </c>
      <c r="Q3207" s="10" t="str">
        <f t="shared" si="3083"/>
        <v>NA</v>
      </c>
      <c r="R3207" s="10">
        <v>0.42199999999999999</v>
      </c>
      <c r="S3207" s="10" t="s">
        <v>1575</v>
      </c>
      <c r="T3207" s="10" t="s">
        <v>1575</v>
      </c>
      <c r="U3207" s="10">
        <v>-0.23599999999999999</v>
      </c>
      <c r="V3207" s="10">
        <v>17.402000000000001</v>
      </c>
      <c r="W3207" s="10" t="s">
        <v>1575</v>
      </c>
      <c r="X3207" s="10" t="str">
        <f t="shared" ref="X3207:X3270" si="3086">IFERROR(V3207+W3207,"NA")</f>
        <v>NA</v>
      </c>
      <c r="Y3207" s="10">
        <f t="shared" ref="Y3207:Y3270" si="3087">IFERROR(P3207/R3207,"NA")</f>
        <v>40.84834123222749</v>
      </c>
      <c r="Z3207" s="10">
        <f t="shared" ref="Z3207:Z3270" si="3088">IFERROR(P3207/U3207,"NA")</f>
        <v>-73.042372881355931</v>
      </c>
      <c r="AA3207" s="10">
        <f t="shared" ref="AA3207:AA3270" si="3089">IFERROR(P3207/V3207,"NA")</f>
        <v>0.99057579588553035</v>
      </c>
      <c r="AB3207" s="10" t="str">
        <f t="shared" ref="AB3207:AB3270" si="3090">IFERROR(Q3207/R3207,"NA")</f>
        <v>NA</v>
      </c>
      <c r="AC3207" s="10" t="str">
        <f t="shared" ref="AC3207:AC3270" si="3091">IFERROR(Q3207/S3207,"NA")</f>
        <v>NA</v>
      </c>
      <c r="AD3207" s="10" t="str">
        <f t="shared" ref="AD3207:AD3270" si="3092">IFERROR(Q3207/T3207,"NA")</f>
        <v>NA</v>
      </c>
      <c r="AE3207" s="10" t="str">
        <f t="shared" ref="AE3207:AE3270" si="3093">IFERROR(Q3207/X3207,"NA")</f>
        <v>NA</v>
      </c>
      <c r="AF3207" s="1" t="s">
        <v>3535</v>
      </c>
    </row>
    <row r="3208" spans="1:32" x14ac:dyDescent="0.2">
      <c r="A3208" s="1" t="s">
        <v>6837</v>
      </c>
      <c r="B3208" s="1" t="s">
        <v>5</v>
      </c>
      <c r="C3208" s="1" t="s">
        <v>1575</v>
      </c>
      <c r="D3208" s="1" t="s">
        <v>1584</v>
      </c>
      <c r="E3208" s="1" t="s">
        <v>3486</v>
      </c>
      <c r="F3208" s="1" t="s">
        <v>46</v>
      </c>
      <c r="G3208" s="4">
        <v>0.5</v>
      </c>
      <c r="H3208" s="28">
        <v>45169</v>
      </c>
      <c r="I3208" s="29">
        <f t="shared" si="2874"/>
        <v>2023</v>
      </c>
      <c r="J3208" s="1" t="s">
        <v>3532</v>
      </c>
      <c r="K3208" s="1" t="s">
        <v>3538</v>
      </c>
      <c r="L3208" s="11" t="str">
        <f t="shared" ref="L3208:L3209" si="3094">IF(OR(A3208=J3208,A3208=K3208),"ДА","НЕТ")</f>
        <v>НЕТ</v>
      </c>
      <c r="M3208" s="10">
        <v>0</v>
      </c>
      <c r="N3208" s="10">
        <v>0</v>
      </c>
      <c r="O3208" s="10">
        <v>5.0650000000000004</v>
      </c>
      <c r="P3208" s="10">
        <f t="shared" si="3082"/>
        <v>10.130000000000001</v>
      </c>
      <c r="Q3208" s="10">
        <f t="shared" si="3083"/>
        <v>39.450000000000003</v>
      </c>
      <c r="R3208" s="10">
        <v>11.55</v>
      </c>
      <c r="S3208" s="10" t="s">
        <v>1575</v>
      </c>
      <c r="T3208" s="10">
        <f>R3208-9.459-0.297</f>
        <v>1.7940000000000011</v>
      </c>
      <c r="U3208" s="10">
        <v>0.78100000000000003</v>
      </c>
      <c r="V3208" s="10">
        <v>10.91</v>
      </c>
      <c r="W3208" s="10">
        <f>34.658+0.06-5.398</f>
        <v>29.320000000000004</v>
      </c>
      <c r="X3208" s="10">
        <f t="shared" si="3086"/>
        <v>40.230000000000004</v>
      </c>
      <c r="Y3208" s="10">
        <f t="shared" si="3087"/>
        <v>0.87705627705627709</v>
      </c>
      <c r="Z3208" s="10">
        <f t="shared" si="3088"/>
        <v>12.97055057618438</v>
      </c>
      <c r="AA3208" s="10">
        <f t="shared" si="3089"/>
        <v>0.92850595783684697</v>
      </c>
      <c r="AB3208" s="10">
        <f t="shared" si="3090"/>
        <v>3.4155844155844157</v>
      </c>
      <c r="AC3208" s="10" t="str">
        <f t="shared" si="3091"/>
        <v>NA</v>
      </c>
      <c r="AD3208" s="10">
        <f t="shared" si="3092"/>
        <v>21.989966555183933</v>
      </c>
      <c r="AE3208" s="10">
        <f t="shared" si="3093"/>
        <v>0.98061148396718867</v>
      </c>
      <c r="AF3208" s="1" t="s">
        <v>3537</v>
      </c>
    </row>
    <row r="3209" spans="1:32" x14ac:dyDescent="0.2">
      <c r="A3209" s="1" t="s">
        <v>3543</v>
      </c>
      <c r="B3209" s="1" t="s">
        <v>5</v>
      </c>
      <c r="C3209" s="1" t="s">
        <v>1575</v>
      </c>
      <c r="D3209" s="1" t="s">
        <v>2160</v>
      </c>
      <c r="E3209" s="1" t="s">
        <v>2161</v>
      </c>
      <c r="F3209" s="1" t="s">
        <v>3540</v>
      </c>
      <c r="G3209" s="4">
        <v>1</v>
      </c>
      <c r="H3209" s="28">
        <v>44561</v>
      </c>
      <c r="I3209" s="29">
        <f t="shared" si="2874"/>
        <v>2021</v>
      </c>
      <c r="J3209" s="1" t="s">
        <v>3532</v>
      </c>
      <c r="K3209" s="1" t="s">
        <v>7</v>
      </c>
      <c r="L3209" s="11" t="str">
        <f t="shared" si="3094"/>
        <v>НЕТ</v>
      </c>
      <c r="M3209" s="10">
        <v>0</v>
      </c>
      <c r="N3209" s="10">
        <v>0</v>
      </c>
      <c r="O3209" s="10">
        <f>0.15+0.1</f>
        <v>0.25</v>
      </c>
      <c r="P3209" s="10">
        <f t="shared" si="3082"/>
        <v>0.25</v>
      </c>
      <c r="Q3209" s="10" t="str">
        <f t="shared" si="3083"/>
        <v>NA</v>
      </c>
      <c r="R3209" s="10" t="s">
        <v>1575</v>
      </c>
      <c r="S3209" s="10" t="s">
        <v>1575</v>
      </c>
      <c r="T3209" s="10" t="s">
        <v>1575</v>
      </c>
      <c r="U3209" s="10" t="s">
        <v>1575</v>
      </c>
      <c r="V3209" s="10">
        <f>O3209-0.091</f>
        <v>0.159</v>
      </c>
      <c r="W3209" s="10" t="s">
        <v>1575</v>
      </c>
      <c r="X3209" s="10" t="str">
        <f t="shared" si="3086"/>
        <v>NA</v>
      </c>
      <c r="Y3209" s="10" t="str">
        <f t="shared" si="3087"/>
        <v>NA</v>
      </c>
      <c r="Z3209" s="10" t="str">
        <f t="shared" si="3088"/>
        <v>NA</v>
      </c>
      <c r="AA3209" s="10">
        <f t="shared" si="3089"/>
        <v>1.5723270440251571</v>
      </c>
      <c r="AB3209" s="10" t="str">
        <f t="shared" si="3090"/>
        <v>NA</v>
      </c>
      <c r="AC3209" s="10" t="str">
        <f t="shared" si="3091"/>
        <v>NA</v>
      </c>
      <c r="AD3209" s="10" t="str">
        <f t="shared" si="3092"/>
        <v>NA</v>
      </c>
      <c r="AE3209" s="10" t="str">
        <f t="shared" si="3093"/>
        <v>NA</v>
      </c>
      <c r="AF3209" s="1" t="s">
        <v>3539</v>
      </c>
    </row>
    <row r="3210" spans="1:32" x14ac:dyDescent="0.2">
      <c r="A3210" s="1" t="s">
        <v>3556</v>
      </c>
      <c r="B3210" s="1" t="s">
        <v>5</v>
      </c>
      <c r="C3210" s="1" t="s">
        <v>1575</v>
      </c>
      <c r="D3210" s="1" t="s">
        <v>1584</v>
      </c>
      <c r="E3210" s="1" t="s">
        <v>1587</v>
      </c>
      <c r="F3210" s="1" t="s">
        <v>3542</v>
      </c>
      <c r="G3210" s="4">
        <v>1</v>
      </c>
      <c r="H3210" s="28">
        <v>44500</v>
      </c>
      <c r="I3210" s="29">
        <f t="shared" si="2874"/>
        <v>2021</v>
      </c>
      <c r="J3210" s="1" t="s">
        <v>3532</v>
      </c>
      <c r="K3210" s="1" t="s">
        <v>7</v>
      </c>
      <c r="L3210" s="11" t="str">
        <f t="shared" ref="L3210" si="3095">IF(OR(A3210=J3210,A3210=K3210),"ДА","НЕТ")</f>
        <v>НЕТ</v>
      </c>
      <c r="M3210" s="10">
        <v>0</v>
      </c>
      <c r="N3210" s="10">
        <v>0</v>
      </c>
      <c r="O3210" s="10">
        <v>0.44400000000000001</v>
      </c>
      <c r="P3210" s="10">
        <f t="shared" si="3082"/>
        <v>0.44400000000000001</v>
      </c>
      <c r="Q3210" s="10" t="str">
        <f t="shared" si="3083"/>
        <v>NA</v>
      </c>
      <c r="R3210" s="10" t="s">
        <v>1575</v>
      </c>
      <c r="S3210" s="10" t="s">
        <v>1575</v>
      </c>
      <c r="T3210" s="10" t="s">
        <v>1575</v>
      </c>
      <c r="U3210" s="10" t="s">
        <v>1575</v>
      </c>
      <c r="V3210" s="10">
        <f>O3210-0.423</f>
        <v>2.1000000000000019E-2</v>
      </c>
      <c r="W3210" s="10" t="s">
        <v>1575</v>
      </c>
      <c r="X3210" s="10" t="str">
        <f t="shared" si="3086"/>
        <v>NA</v>
      </c>
      <c r="Y3210" s="10" t="str">
        <f t="shared" si="3087"/>
        <v>NA</v>
      </c>
      <c r="Z3210" s="10" t="str">
        <f t="shared" si="3088"/>
        <v>NA</v>
      </c>
      <c r="AA3210" s="10">
        <f t="shared" si="3089"/>
        <v>21.142857142857125</v>
      </c>
      <c r="AB3210" s="10" t="str">
        <f t="shared" si="3090"/>
        <v>NA</v>
      </c>
      <c r="AC3210" s="10" t="str">
        <f t="shared" si="3091"/>
        <v>NA</v>
      </c>
      <c r="AD3210" s="10" t="str">
        <f t="shared" si="3092"/>
        <v>NA</v>
      </c>
      <c r="AE3210" s="10" t="str">
        <f t="shared" si="3093"/>
        <v>NA</v>
      </c>
      <c r="AF3210" s="1" t="s">
        <v>3541</v>
      </c>
    </row>
    <row r="3211" spans="1:32" x14ac:dyDescent="0.2">
      <c r="A3211" s="1" t="s">
        <v>913</v>
      </c>
      <c r="B3211" s="1" t="s">
        <v>5</v>
      </c>
      <c r="C3211" s="1" t="s">
        <v>1575</v>
      </c>
      <c r="D3211" s="1" t="s">
        <v>1584</v>
      </c>
      <c r="E3211" s="1" t="s">
        <v>1586</v>
      </c>
      <c r="F3211" s="1" t="s">
        <v>913</v>
      </c>
      <c r="G3211" s="4" t="s">
        <v>11</v>
      </c>
      <c r="H3211" s="28">
        <v>44561</v>
      </c>
      <c r="I3211" s="29">
        <f t="shared" si="2874"/>
        <v>2021</v>
      </c>
      <c r="J3211" s="1" t="s">
        <v>3532</v>
      </c>
      <c r="K3211" s="1" t="s">
        <v>7</v>
      </c>
      <c r="L3211" s="11" t="str">
        <f t="shared" ref="L3211" si="3096">IF(OR(A3211=J3211,A3211=K3211),"ДА","НЕТ")</f>
        <v>НЕТ</v>
      </c>
      <c r="M3211" s="10">
        <v>0</v>
      </c>
      <c r="N3211" s="10">
        <v>0</v>
      </c>
      <c r="O3211" s="10">
        <v>147.18799999999999</v>
      </c>
      <c r="P3211" s="10" t="str">
        <f t="shared" si="3082"/>
        <v>NA</v>
      </c>
      <c r="Q3211" s="10" t="str">
        <f t="shared" si="3083"/>
        <v>NA</v>
      </c>
      <c r="R3211" s="10" t="s">
        <v>1575</v>
      </c>
      <c r="S3211" s="10" t="s">
        <v>1575</v>
      </c>
      <c r="T3211" s="10" t="s">
        <v>1575</v>
      </c>
      <c r="U3211" s="10" t="s">
        <v>1575</v>
      </c>
      <c r="V3211" s="10" t="s">
        <v>1575</v>
      </c>
      <c r="W3211" s="10" t="s">
        <v>1575</v>
      </c>
      <c r="X3211" s="10" t="str">
        <f t="shared" si="3086"/>
        <v>NA</v>
      </c>
      <c r="Y3211" s="10" t="str">
        <f t="shared" si="3087"/>
        <v>NA</v>
      </c>
      <c r="Z3211" s="10" t="str">
        <f t="shared" si="3088"/>
        <v>NA</v>
      </c>
      <c r="AA3211" s="10" t="str">
        <f t="shared" si="3089"/>
        <v>NA</v>
      </c>
      <c r="AB3211" s="10" t="str">
        <f t="shared" si="3090"/>
        <v>NA</v>
      </c>
      <c r="AC3211" s="10" t="str">
        <f t="shared" si="3091"/>
        <v>NA</v>
      </c>
      <c r="AD3211" s="10" t="str">
        <f t="shared" si="3092"/>
        <v>NA</v>
      </c>
      <c r="AE3211" s="10" t="str">
        <f t="shared" si="3093"/>
        <v>NA</v>
      </c>
      <c r="AF3211" s="1" t="s">
        <v>3547</v>
      </c>
    </row>
    <row r="3212" spans="1:32" x14ac:dyDescent="0.2">
      <c r="A3212" s="1" t="s">
        <v>3549</v>
      </c>
      <c r="B3212" s="1" t="s">
        <v>5</v>
      </c>
      <c r="C3212" s="1" t="s">
        <v>1575</v>
      </c>
      <c r="D3212" s="1" t="s">
        <v>2160</v>
      </c>
      <c r="E3212" s="1" t="s">
        <v>2882</v>
      </c>
      <c r="F3212" s="1" t="s">
        <v>1442</v>
      </c>
      <c r="G3212" s="4" t="s">
        <v>1575</v>
      </c>
      <c r="H3212" s="28">
        <v>44408</v>
      </c>
      <c r="I3212" s="29">
        <f t="shared" si="2874"/>
        <v>2021</v>
      </c>
      <c r="J3212" s="1" t="s">
        <v>3532</v>
      </c>
      <c r="K3212" s="1" t="s">
        <v>7</v>
      </c>
      <c r="L3212" s="11" t="str">
        <f t="shared" ref="L3212" si="3097">IF(OR(A3212=J3212,A3212=K3212),"ДА","НЕТ")</f>
        <v>НЕТ</v>
      </c>
      <c r="M3212" s="10">
        <v>0</v>
      </c>
      <c r="N3212" s="10">
        <v>0</v>
      </c>
      <c r="O3212" s="10">
        <v>0.51100000000000001</v>
      </c>
      <c r="P3212" s="10" t="str">
        <f t="shared" si="3082"/>
        <v>NA</v>
      </c>
      <c r="Q3212" s="10" t="str">
        <f t="shared" si="3083"/>
        <v>NA</v>
      </c>
      <c r="R3212" s="10" t="s">
        <v>1575</v>
      </c>
      <c r="S3212" s="10" t="s">
        <v>1575</v>
      </c>
      <c r="T3212" s="10" t="s">
        <v>1575</v>
      </c>
      <c r="U3212" s="10" t="s">
        <v>1575</v>
      </c>
      <c r="V3212" s="10" t="s">
        <v>1575</v>
      </c>
      <c r="W3212" s="10" t="s">
        <v>1575</v>
      </c>
      <c r="X3212" s="10" t="str">
        <f t="shared" si="3086"/>
        <v>NA</v>
      </c>
      <c r="Y3212" s="10" t="str">
        <f t="shared" si="3087"/>
        <v>NA</v>
      </c>
      <c r="Z3212" s="10" t="str">
        <f t="shared" si="3088"/>
        <v>NA</v>
      </c>
      <c r="AA3212" s="10" t="str">
        <f t="shared" si="3089"/>
        <v>NA</v>
      </c>
      <c r="AB3212" s="10" t="str">
        <f t="shared" si="3090"/>
        <v>NA</v>
      </c>
      <c r="AC3212" s="10" t="str">
        <f t="shared" si="3091"/>
        <v>NA</v>
      </c>
      <c r="AD3212" s="10" t="str">
        <f t="shared" si="3092"/>
        <v>NA</v>
      </c>
      <c r="AE3212" s="10" t="str">
        <f t="shared" si="3093"/>
        <v>NA</v>
      </c>
      <c r="AF3212" s="1" t="s">
        <v>3550</v>
      </c>
    </row>
    <row r="3213" spans="1:32" x14ac:dyDescent="0.2">
      <c r="A3213" s="1" t="s">
        <v>6848</v>
      </c>
      <c r="B3213" s="1" t="s">
        <v>5</v>
      </c>
      <c r="C3213" s="1" t="s">
        <v>1575</v>
      </c>
      <c r="D3213" s="1" t="s">
        <v>1584</v>
      </c>
      <c r="E3213" s="1" t="s">
        <v>3486</v>
      </c>
      <c r="F3213" s="1" t="s">
        <v>46</v>
      </c>
      <c r="G3213" s="4">
        <v>0.5</v>
      </c>
      <c r="H3213" s="28">
        <v>44439</v>
      </c>
      <c r="I3213" s="29">
        <f t="shared" si="2874"/>
        <v>2021</v>
      </c>
      <c r="J3213" s="1" t="s">
        <v>3532</v>
      </c>
      <c r="K3213" s="1" t="s">
        <v>7</v>
      </c>
      <c r="L3213" s="11" t="str">
        <f t="shared" ref="L3213" si="3098">IF(OR(A3213=J3213,A3213=K3213),"ДА","НЕТ")</f>
        <v>НЕТ</v>
      </c>
      <c r="M3213" s="10">
        <v>0</v>
      </c>
      <c r="N3213" s="10">
        <v>0</v>
      </c>
      <c r="O3213" s="10">
        <v>45</v>
      </c>
      <c r="P3213" s="10">
        <f t="shared" si="3082"/>
        <v>90</v>
      </c>
      <c r="Q3213" s="10">
        <f t="shared" si="3083"/>
        <v>209.09100000000001</v>
      </c>
      <c r="R3213" s="10">
        <v>31.667999999999999</v>
      </c>
      <c r="S3213" s="10" t="s">
        <v>1575</v>
      </c>
      <c r="T3213" s="10">
        <f>R3213-22.19-2.707</f>
        <v>6.7709999999999981</v>
      </c>
      <c r="U3213" s="10">
        <v>4.5039999999999996</v>
      </c>
      <c r="V3213" s="10">
        <v>94.534999999999997</v>
      </c>
      <c r="W3213" s="10">
        <f>27.972+93.764-2.645</f>
        <v>119.09099999999999</v>
      </c>
      <c r="X3213" s="10">
        <f t="shared" si="3086"/>
        <v>213.62599999999998</v>
      </c>
      <c r="Y3213" s="10">
        <f t="shared" si="3087"/>
        <v>2.8419856006062902</v>
      </c>
      <c r="Z3213" s="10">
        <f t="shared" si="3088"/>
        <v>19.982238010657195</v>
      </c>
      <c r="AA3213" s="10">
        <f t="shared" si="3089"/>
        <v>0.95202834928862334</v>
      </c>
      <c r="AB3213" s="10">
        <f t="shared" si="3090"/>
        <v>6.6025956801818877</v>
      </c>
      <c r="AC3213" s="10" t="str">
        <f t="shared" si="3091"/>
        <v>NA</v>
      </c>
      <c r="AD3213" s="10">
        <f t="shared" si="3092"/>
        <v>30.880372175454152</v>
      </c>
      <c r="AE3213" s="10">
        <f t="shared" si="3093"/>
        <v>0.97877131060825939</v>
      </c>
      <c r="AF3213" s="1" t="s">
        <v>3548</v>
      </c>
    </row>
    <row r="3214" spans="1:32" x14ac:dyDescent="0.2">
      <c r="A3214" s="1" t="s">
        <v>3532</v>
      </c>
      <c r="B3214" s="1" t="s">
        <v>5</v>
      </c>
      <c r="C3214" s="1" t="s">
        <v>3553</v>
      </c>
      <c r="D3214" s="1" t="s">
        <v>1584</v>
      </c>
      <c r="E3214" s="1" t="s">
        <v>3486</v>
      </c>
      <c r="F3214" s="1" t="s">
        <v>46</v>
      </c>
      <c r="G3214" s="4">
        <f>49990198/660497344</f>
        <v>7.5685691175163911E-2</v>
      </c>
      <c r="H3214" s="28">
        <v>44469</v>
      </c>
      <c r="I3214" s="29">
        <f t="shared" si="2874"/>
        <v>2021</v>
      </c>
      <c r="J3214" s="1" t="s">
        <v>3532</v>
      </c>
      <c r="K3214" s="1" t="s">
        <v>7</v>
      </c>
      <c r="L3214" s="11" t="str">
        <f t="shared" ref="L3214" si="3099">IF(OR(A3214=J3214,A3214=K3214),"ДА","НЕТ")</f>
        <v>ДА</v>
      </c>
      <c r="M3214" s="10">
        <v>0</v>
      </c>
      <c r="N3214" s="10">
        <v>0</v>
      </c>
      <c r="O3214" s="10" t="s">
        <v>1575</v>
      </c>
      <c r="P3214" s="10" t="str">
        <f t="shared" si="3082"/>
        <v>NA</v>
      </c>
      <c r="Q3214" s="10" t="str">
        <f t="shared" si="3083"/>
        <v>NA</v>
      </c>
      <c r="R3214" s="10">
        <v>380.161</v>
      </c>
      <c r="S3214" s="10">
        <v>91.378</v>
      </c>
      <c r="T3214" s="10">
        <v>87.899000000000001</v>
      </c>
      <c r="U3214" s="10">
        <v>86.492999999999995</v>
      </c>
      <c r="V3214" s="10">
        <v>182.31100000000001</v>
      </c>
      <c r="W3214" s="10">
        <v>152.13600000000002</v>
      </c>
      <c r="X3214" s="10">
        <f t="shared" si="3086"/>
        <v>334.447</v>
      </c>
      <c r="Y3214" s="10" t="str">
        <f t="shared" si="3087"/>
        <v>NA</v>
      </c>
      <c r="Z3214" s="10" t="str">
        <f t="shared" si="3088"/>
        <v>NA</v>
      </c>
      <c r="AA3214" s="10" t="str">
        <f t="shared" si="3089"/>
        <v>NA</v>
      </c>
      <c r="AB3214" s="10" t="str">
        <f t="shared" si="3090"/>
        <v>NA</v>
      </c>
      <c r="AC3214" s="10" t="str">
        <f t="shared" si="3091"/>
        <v>NA</v>
      </c>
      <c r="AD3214" s="10" t="str">
        <f t="shared" si="3092"/>
        <v>NA</v>
      </c>
      <c r="AE3214" s="10" t="str">
        <f t="shared" si="3093"/>
        <v>NA</v>
      </c>
      <c r="AF3214" s="1" t="s">
        <v>3551</v>
      </c>
    </row>
    <row r="3215" spans="1:32" x14ac:dyDescent="0.2">
      <c r="A3215" s="1" t="s">
        <v>3532</v>
      </c>
      <c r="B3215" s="1" t="s">
        <v>5</v>
      </c>
      <c r="C3215" s="1" t="s">
        <v>3553</v>
      </c>
      <c r="D3215" s="1" t="s">
        <v>1584</v>
      </c>
      <c r="E3215" s="1" t="s">
        <v>3486</v>
      </c>
      <c r="F3215" s="1" t="s">
        <v>46</v>
      </c>
      <c r="G3215" s="4">
        <f>28459000/660497344</f>
        <v>4.3087228523359514E-2</v>
      </c>
      <c r="H3215" s="28">
        <v>44500</v>
      </c>
      <c r="I3215" s="29">
        <f t="shared" si="2874"/>
        <v>2021</v>
      </c>
      <c r="J3215" s="1" t="s">
        <v>7</v>
      </c>
      <c r="K3215" s="1" t="s">
        <v>3532</v>
      </c>
      <c r="L3215" s="11" t="str">
        <f t="shared" ref="L3215:L3216" si="3100">IF(OR(A3215=J3215,A3215=K3215),"ДА","НЕТ")</f>
        <v>ДА</v>
      </c>
      <c r="M3215" s="10">
        <v>0</v>
      </c>
      <c r="N3215" s="10">
        <v>0</v>
      </c>
      <c r="O3215" s="10">
        <f>28459000*1275/10^9</f>
        <v>36.285224999999997</v>
      </c>
      <c r="P3215" s="10">
        <f t="shared" si="3082"/>
        <v>842.13411359999986</v>
      </c>
      <c r="Q3215" s="10">
        <f t="shared" si="3083"/>
        <v>994.27011359999983</v>
      </c>
      <c r="R3215" s="10">
        <v>380.161</v>
      </c>
      <c r="S3215" s="10">
        <v>91.378</v>
      </c>
      <c r="T3215" s="10">
        <v>87.899000000000001</v>
      </c>
      <c r="U3215" s="10">
        <v>86.492999999999995</v>
      </c>
      <c r="V3215" s="10">
        <v>182.31100000000001</v>
      </c>
      <c r="W3215" s="10">
        <v>152.13600000000002</v>
      </c>
      <c r="X3215" s="10">
        <f t="shared" si="3086"/>
        <v>334.447</v>
      </c>
      <c r="Y3215" s="10">
        <f t="shared" si="3087"/>
        <v>2.2152038573130852</v>
      </c>
      <c r="Z3215" s="10">
        <f t="shared" si="3088"/>
        <v>9.7364424126807947</v>
      </c>
      <c r="AA3215" s="10">
        <f t="shared" si="3089"/>
        <v>4.6192172364805186</v>
      </c>
      <c r="AB3215" s="10">
        <f t="shared" si="3090"/>
        <v>2.6153921985685007</v>
      </c>
      <c r="AC3215" s="10">
        <f t="shared" si="3091"/>
        <v>10.880847836459539</v>
      </c>
      <c r="AD3215" s="10">
        <f t="shared" si="3092"/>
        <v>11.311506542736549</v>
      </c>
      <c r="AE3215" s="10">
        <f t="shared" si="3093"/>
        <v>2.9728779555505054</v>
      </c>
      <c r="AF3215" s="1" t="s">
        <v>3554</v>
      </c>
    </row>
    <row r="3216" spans="1:32" x14ac:dyDescent="0.2">
      <c r="A3216" s="1" t="s">
        <v>3532</v>
      </c>
      <c r="B3216" s="1" t="s">
        <v>5</v>
      </c>
      <c r="C3216" s="1" t="s">
        <v>3553</v>
      </c>
      <c r="D3216" s="1" t="s">
        <v>1584</v>
      </c>
      <c r="E3216" s="1" t="s">
        <v>3486</v>
      </c>
      <c r="F3216" s="1" t="s">
        <v>46</v>
      </c>
      <c r="G3216" s="4">
        <f>28459000/660497344</f>
        <v>4.3087228523359514E-2</v>
      </c>
      <c r="H3216" s="28">
        <v>44561</v>
      </c>
      <c r="I3216" s="29">
        <f t="shared" si="2874"/>
        <v>2021</v>
      </c>
      <c r="J3216" s="1" t="s">
        <v>3532</v>
      </c>
      <c r="K3216" s="1" t="s">
        <v>7</v>
      </c>
      <c r="L3216" s="11" t="str">
        <f t="shared" si="3100"/>
        <v>ДА</v>
      </c>
      <c r="M3216" s="10">
        <v>0</v>
      </c>
      <c r="N3216" s="10">
        <v>0</v>
      </c>
      <c r="O3216" s="10">
        <v>28.971</v>
      </c>
      <c r="P3216" s="10">
        <f t="shared" si="3082"/>
        <v>672.38021550384758</v>
      </c>
      <c r="Q3216" s="10">
        <f t="shared" si="3083"/>
        <v>958.89221550384741</v>
      </c>
      <c r="R3216" s="10">
        <v>487.80599999999998</v>
      </c>
      <c r="S3216" s="10">
        <v>92.516999999999982</v>
      </c>
      <c r="T3216" s="10">
        <v>87.573999999999984</v>
      </c>
      <c r="U3216" s="10">
        <v>103.58499999999999</v>
      </c>
      <c r="V3216" s="10">
        <v>260.05099999999999</v>
      </c>
      <c r="W3216" s="10">
        <v>286.51199999999989</v>
      </c>
      <c r="X3216" s="10">
        <f t="shared" si="3086"/>
        <v>546.56299999999987</v>
      </c>
      <c r="Y3216" s="10">
        <f t="shared" si="3087"/>
        <v>1.378376271517463</v>
      </c>
      <c r="Z3216" s="10">
        <f t="shared" si="3088"/>
        <v>6.4910963508601398</v>
      </c>
      <c r="AA3216" s="10">
        <f t="shared" si="3089"/>
        <v>2.5855705823236503</v>
      </c>
      <c r="AB3216" s="10">
        <f t="shared" si="3090"/>
        <v>1.9657245206164899</v>
      </c>
      <c r="AC3216" s="10">
        <f t="shared" si="3091"/>
        <v>10.36449750320317</v>
      </c>
      <c r="AD3216" s="10">
        <f t="shared" si="3092"/>
        <v>10.949508021831223</v>
      </c>
      <c r="AE3216" s="10">
        <f t="shared" si="3093"/>
        <v>1.7544038207925667</v>
      </c>
      <c r="AF3216" s="1" t="s">
        <v>3552</v>
      </c>
    </row>
    <row r="3217" spans="1:32" x14ac:dyDescent="0.2">
      <c r="A3217" s="1" t="s">
        <v>3532</v>
      </c>
      <c r="B3217" s="1" t="s">
        <v>5</v>
      </c>
      <c r="C3217" s="1" t="s">
        <v>3553</v>
      </c>
      <c r="D3217" s="1" t="s">
        <v>1584</v>
      </c>
      <c r="E3217" s="1" t="s">
        <v>3486</v>
      </c>
      <c r="F3217" s="1" t="s">
        <v>46</v>
      </c>
      <c r="G3217" s="4">
        <f>596173/660497344</f>
        <v>9.026122594067539E-4</v>
      </c>
      <c r="H3217" s="28">
        <v>44500</v>
      </c>
      <c r="I3217" s="29">
        <f t="shared" si="2874"/>
        <v>2021</v>
      </c>
      <c r="J3217" s="1" t="s">
        <v>3532</v>
      </c>
      <c r="K3217" s="1" t="s">
        <v>7</v>
      </c>
      <c r="L3217" s="11" t="str">
        <f t="shared" ref="L3217" si="3101">IF(OR(A3217=J3217,A3217=K3217),"ДА","НЕТ")</f>
        <v>ДА</v>
      </c>
      <c r="M3217" s="10">
        <v>0</v>
      </c>
      <c r="N3217" s="10">
        <v>0</v>
      </c>
      <c r="O3217" s="10">
        <v>0.75800000000000001</v>
      </c>
      <c r="P3217" s="10">
        <f t="shared" si="3082"/>
        <v>839.78473824208754</v>
      </c>
      <c r="Q3217" s="10">
        <f t="shared" si="3083"/>
        <v>991.92073824208751</v>
      </c>
      <c r="R3217" s="10">
        <v>380.161</v>
      </c>
      <c r="S3217" s="10">
        <v>91.378</v>
      </c>
      <c r="T3217" s="10">
        <v>87.899000000000001</v>
      </c>
      <c r="U3217" s="10">
        <v>86.492999999999995</v>
      </c>
      <c r="V3217" s="10">
        <v>182.31100000000001</v>
      </c>
      <c r="W3217" s="10">
        <v>152.13600000000002</v>
      </c>
      <c r="X3217" s="10">
        <f t="shared" si="3086"/>
        <v>334.447</v>
      </c>
      <c r="Y3217" s="10">
        <f t="shared" si="3087"/>
        <v>2.2090239089282897</v>
      </c>
      <c r="Z3217" s="10">
        <f t="shared" si="3088"/>
        <v>9.7092798057887642</v>
      </c>
      <c r="AA3217" s="10">
        <f t="shared" si="3089"/>
        <v>4.606330601236829</v>
      </c>
      <c r="AB3217" s="10">
        <f t="shared" si="3090"/>
        <v>2.6092122501837052</v>
      </c>
      <c r="AC3217" s="10">
        <f t="shared" si="3091"/>
        <v>10.85513732235426</v>
      </c>
      <c r="AD3217" s="10">
        <f t="shared" si="3092"/>
        <v>11.284778418890857</v>
      </c>
      <c r="AE3217" s="10">
        <f t="shared" si="3093"/>
        <v>2.9658532988547885</v>
      </c>
      <c r="AF3217" s="1" t="s">
        <v>3555</v>
      </c>
    </row>
    <row r="3218" spans="1:32" x14ac:dyDescent="0.2">
      <c r="A3218" s="1" t="s">
        <v>3545</v>
      </c>
      <c r="B3218" s="1" t="s">
        <v>5</v>
      </c>
      <c r="C3218" s="1" t="s">
        <v>1575</v>
      </c>
      <c r="D3218" s="1" t="s">
        <v>1584</v>
      </c>
      <c r="E3218" s="1" t="s">
        <v>1587</v>
      </c>
      <c r="F3218" s="1" t="s">
        <v>3546</v>
      </c>
      <c r="G3218" s="4">
        <v>0.7</v>
      </c>
      <c r="H3218" s="28">
        <v>44196</v>
      </c>
      <c r="I3218" s="29">
        <f t="shared" si="2874"/>
        <v>2020</v>
      </c>
      <c r="J3218" s="1" t="s">
        <v>3532</v>
      </c>
      <c r="K3218" s="1" t="s">
        <v>7</v>
      </c>
      <c r="L3218" s="11" t="str">
        <f t="shared" ref="L3218" si="3102">IF(OR(A3218=J3218,A3218=K3218),"ДА","НЕТ")</f>
        <v>НЕТ</v>
      </c>
      <c r="M3218" s="10">
        <v>0</v>
      </c>
      <c r="N3218" s="10">
        <v>0</v>
      </c>
      <c r="O3218" s="10">
        <v>0.19700000000000001</v>
      </c>
      <c r="P3218" s="10">
        <f t="shared" si="3082"/>
        <v>0.28142857142857147</v>
      </c>
      <c r="Q3218" s="10">
        <f t="shared" si="3083"/>
        <v>0.47242857142857148</v>
      </c>
      <c r="R3218" s="10" t="s">
        <v>1575</v>
      </c>
      <c r="S3218" s="10" t="s">
        <v>1575</v>
      </c>
      <c r="T3218" s="10" t="s">
        <v>1575</v>
      </c>
      <c r="U3218" s="10" t="s">
        <v>1575</v>
      </c>
      <c r="V3218" s="10">
        <v>0.45300000000000001</v>
      </c>
      <c r="W3218" s="10">
        <f>0.092+0.099</f>
        <v>0.191</v>
      </c>
      <c r="X3218" s="10">
        <f t="shared" si="3086"/>
        <v>0.64400000000000002</v>
      </c>
      <c r="Y3218" s="10" t="str">
        <f t="shared" si="3087"/>
        <v>NA</v>
      </c>
      <c r="Z3218" s="10" t="str">
        <f t="shared" si="3088"/>
        <v>NA</v>
      </c>
      <c r="AA3218" s="10">
        <f t="shared" si="3089"/>
        <v>0.62125512456638288</v>
      </c>
      <c r="AB3218" s="10" t="str">
        <f t="shared" si="3090"/>
        <v>NA</v>
      </c>
      <c r="AC3218" s="10" t="str">
        <f t="shared" si="3091"/>
        <v>NA</v>
      </c>
      <c r="AD3218" s="10" t="str">
        <f t="shared" si="3092"/>
        <v>NA</v>
      </c>
      <c r="AE3218" s="10">
        <f t="shared" si="3093"/>
        <v>0.73358473824312342</v>
      </c>
      <c r="AF3218" s="1" t="s">
        <v>3544</v>
      </c>
    </row>
    <row r="3219" spans="1:32" x14ac:dyDescent="0.2">
      <c r="A3219" s="1" t="s">
        <v>3559</v>
      </c>
      <c r="B3219" s="1" t="s">
        <v>5</v>
      </c>
      <c r="C3219" s="1" t="s">
        <v>1575</v>
      </c>
      <c r="D3219" s="1" t="s">
        <v>1584</v>
      </c>
      <c r="E3219" s="1" t="s">
        <v>1587</v>
      </c>
      <c r="F3219" s="1" t="s">
        <v>3563</v>
      </c>
      <c r="G3219" s="4">
        <v>0.999</v>
      </c>
      <c r="H3219" s="28">
        <v>43830</v>
      </c>
      <c r="I3219" s="29">
        <f t="shared" si="2874"/>
        <v>2019</v>
      </c>
      <c r="J3219" s="1" t="s">
        <v>3532</v>
      </c>
      <c r="K3219" s="1" t="s">
        <v>7</v>
      </c>
      <c r="L3219" s="11" t="str">
        <f t="shared" ref="L3219:L3222" si="3103">IF(OR(A3219=J3219,A3219=K3219),"ДА","НЕТ")</f>
        <v>НЕТ</v>
      </c>
      <c r="M3219" s="10">
        <v>0</v>
      </c>
      <c r="N3219" s="10">
        <v>0</v>
      </c>
      <c r="O3219" s="10">
        <v>3.7789999999999999</v>
      </c>
      <c r="P3219" s="10">
        <f t="shared" si="3082"/>
        <v>3.7827827827827827</v>
      </c>
      <c r="Q3219" s="10">
        <f t="shared" si="3083"/>
        <v>7.9127827827827826</v>
      </c>
      <c r="R3219" s="10" t="s">
        <v>1575</v>
      </c>
      <c r="S3219" s="10" t="s">
        <v>1575</v>
      </c>
      <c r="T3219" s="10" t="s">
        <v>1575</v>
      </c>
      <c r="U3219" s="10" t="s">
        <v>1575</v>
      </c>
      <c r="V3219" s="10">
        <v>8.5860000000000003</v>
      </c>
      <c r="W3219" s="10">
        <f>2.822+2.029-0.721</f>
        <v>4.13</v>
      </c>
      <c r="X3219" s="10">
        <f t="shared" si="3086"/>
        <v>12.716000000000001</v>
      </c>
      <c r="Y3219" s="10" t="str">
        <f t="shared" si="3087"/>
        <v>NA</v>
      </c>
      <c r="Z3219" s="10" t="str">
        <f t="shared" si="3088"/>
        <v>NA</v>
      </c>
      <c r="AA3219" s="10">
        <f t="shared" si="3089"/>
        <v>0.44057567933645264</v>
      </c>
      <c r="AB3219" s="10" t="str">
        <f t="shared" si="3090"/>
        <v>NA</v>
      </c>
      <c r="AC3219" s="10" t="str">
        <f t="shared" si="3091"/>
        <v>NA</v>
      </c>
      <c r="AD3219" s="10" t="str">
        <f t="shared" si="3092"/>
        <v>NA</v>
      </c>
      <c r="AE3219" s="10">
        <f t="shared" si="3093"/>
        <v>0.62226980047049241</v>
      </c>
      <c r="AF3219" s="1" t="s">
        <v>3558</v>
      </c>
    </row>
    <row r="3220" spans="1:32" x14ac:dyDescent="0.2">
      <c r="A3220" s="1" t="s">
        <v>3565</v>
      </c>
      <c r="B3220" s="1" t="s">
        <v>5</v>
      </c>
      <c r="C3220" s="1" t="s">
        <v>1575</v>
      </c>
      <c r="D3220" s="1" t="s">
        <v>1584</v>
      </c>
      <c r="E3220" s="1" t="s">
        <v>1587</v>
      </c>
      <c r="F3220" s="1" t="s">
        <v>3566</v>
      </c>
      <c r="G3220" s="4">
        <v>0.999</v>
      </c>
      <c r="H3220" s="28">
        <v>43830</v>
      </c>
      <c r="I3220" s="29">
        <f t="shared" ref="I3220" si="3104">YEAR(H3220)</f>
        <v>2019</v>
      </c>
      <c r="J3220" s="1" t="s">
        <v>7</v>
      </c>
      <c r="K3220" s="1" t="s">
        <v>3532</v>
      </c>
      <c r="L3220" s="11" t="str">
        <f t="shared" ref="L3220" si="3105">IF(OR(A3220=J3220,A3220=K3220),"ДА","НЕТ")</f>
        <v>НЕТ</v>
      </c>
      <c r="M3220" s="10">
        <v>0</v>
      </c>
      <c r="N3220" s="10">
        <v>0</v>
      </c>
      <c r="O3220" s="10">
        <v>1.7729999999999999</v>
      </c>
      <c r="P3220" s="10">
        <f t="shared" si="3082"/>
        <v>1.7747747747747746</v>
      </c>
      <c r="Q3220" s="10" t="str">
        <f t="shared" si="3083"/>
        <v>NA</v>
      </c>
      <c r="R3220" s="10" t="s">
        <v>1575</v>
      </c>
      <c r="S3220" s="10" t="s">
        <v>1575</v>
      </c>
      <c r="T3220" s="10" t="s">
        <v>1575</v>
      </c>
      <c r="U3220" s="10" t="s">
        <v>1575</v>
      </c>
      <c r="V3220" s="10" t="s">
        <v>1575</v>
      </c>
      <c r="W3220" s="10" t="s">
        <v>1575</v>
      </c>
      <c r="X3220" s="10" t="str">
        <f t="shared" si="3086"/>
        <v>NA</v>
      </c>
      <c r="Y3220" s="10" t="str">
        <f t="shared" si="3087"/>
        <v>NA</v>
      </c>
      <c r="Z3220" s="10" t="str">
        <f t="shared" si="3088"/>
        <v>NA</v>
      </c>
      <c r="AA3220" s="10" t="str">
        <f t="shared" si="3089"/>
        <v>NA</v>
      </c>
      <c r="AB3220" s="10" t="str">
        <f t="shared" si="3090"/>
        <v>NA</v>
      </c>
      <c r="AC3220" s="10" t="str">
        <f t="shared" si="3091"/>
        <v>NA</v>
      </c>
      <c r="AD3220" s="10" t="str">
        <f t="shared" si="3092"/>
        <v>NA</v>
      </c>
      <c r="AE3220" s="10" t="str">
        <f t="shared" si="3093"/>
        <v>NA</v>
      </c>
      <c r="AF3220" s="1" t="s">
        <v>3558</v>
      </c>
    </row>
    <row r="3221" spans="1:32" x14ac:dyDescent="0.2">
      <c r="A3221" s="1" t="s">
        <v>3557</v>
      </c>
      <c r="B3221" s="1" t="s">
        <v>5</v>
      </c>
      <c r="C3221" s="1" t="s">
        <v>1575</v>
      </c>
      <c r="D3221" s="1" t="s">
        <v>1584</v>
      </c>
      <c r="E3221" s="1" t="s">
        <v>1587</v>
      </c>
      <c r="F3221" s="1" t="s">
        <v>3564</v>
      </c>
      <c r="G3221" s="4">
        <v>0.31009999999999999</v>
      </c>
      <c r="H3221" s="28">
        <v>43830</v>
      </c>
      <c r="I3221" s="29">
        <f t="shared" si="2874"/>
        <v>2019</v>
      </c>
      <c r="J3221" s="1" t="s">
        <v>3532</v>
      </c>
      <c r="K3221" s="1" t="s">
        <v>7</v>
      </c>
      <c r="L3221" s="11" t="str">
        <f t="shared" si="3103"/>
        <v>НЕТ</v>
      </c>
      <c r="M3221" s="10">
        <v>0</v>
      </c>
      <c r="N3221" s="10">
        <v>0</v>
      </c>
      <c r="O3221" s="10">
        <v>0.36</v>
      </c>
      <c r="P3221" s="10">
        <f t="shared" si="3082"/>
        <v>1.160915833602064</v>
      </c>
      <c r="Q3221" s="10">
        <f t="shared" si="3083"/>
        <v>1.0469158336020641</v>
      </c>
      <c r="R3221" s="10" t="s">
        <v>1575</v>
      </c>
      <c r="S3221" s="10" t="s">
        <v>1575</v>
      </c>
      <c r="T3221" s="10" t="s">
        <v>1575</v>
      </c>
      <c r="U3221" s="10" t="s">
        <v>1575</v>
      </c>
      <c r="V3221" s="10">
        <v>0.54300000000000004</v>
      </c>
      <c r="W3221" s="10">
        <f>0.064-0.178</f>
        <v>-0.11399999999999999</v>
      </c>
      <c r="X3221" s="10">
        <f t="shared" si="3086"/>
        <v>0.42900000000000005</v>
      </c>
      <c r="Y3221" s="10" t="str">
        <f t="shared" si="3087"/>
        <v>NA</v>
      </c>
      <c r="Z3221" s="10" t="str">
        <f t="shared" si="3088"/>
        <v>NA</v>
      </c>
      <c r="AA3221" s="10">
        <f t="shared" si="3089"/>
        <v>2.1379665443868578</v>
      </c>
      <c r="AB3221" s="10" t="str">
        <f t="shared" si="3090"/>
        <v>NA</v>
      </c>
      <c r="AC3221" s="10" t="str">
        <f t="shared" si="3091"/>
        <v>NA</v>
      </c>
      <c r="AD3221" s="10" t="str">
        <f t="shared" si="3092"/>
        <v>NA</v>
      </c>
      <c r="AE3221" s="10">
        <f t="shared" si="3093"/>
        <v>2.4403632484896596</v>
      </c>
      <c r="AF3221" s="1" t="s">
        <v>3560</v>
      </c>
    </row>
    <row r="3222" spans="1:32" x14ac:dyDescent="0.2">
      <c r="A3222" s="1" t="s">
        <v>3562</v>
      </c>
      <c r="B3222" s="1" t="s">
        <v>5</v>
      </c>
      <c r="C3222" s="1" t="s">
        <v>1575</v>
      </c>
      <c r="D3222" s="1" t="s">
        <v>1582</v>
      </c>
      <c r="E3222" s="1" t="s">
        <v>1587</v>
      </c>
      <c r="F3222" s="1" t="s">
        <v>486</v>
      </c>
      <c r="G3222" s="4" t="s">
        <v>3567</v>
      </c>
      <c r="H3222" s="28">
        <v>43830</v>
      </c>
      <c r="I3222" s="29">
        <f t="shared" si="2874"/>
        <v>2019</v>
      </c>
      <c r="J3222" s="1" t="s">
        <v>3532</v>
      </c>
      <c r="K3222" s="1" t="s">
        <v>7</v>
      </c>
      <c r="L3222" s="11" t="str">
        <f t="shared" si="3103"/>
        <v>НЕТ</v>
      </c>
      <c r="M3222" s="10">
        <v>0</v>
      </c>
      <c r="N3222" s="10">
        <v>0</v>
      </c>
      <c r="O3222" s="10">
        <v>0.84</v>
      </c>
      <c r="P3222" s="10" t="str">
        <f t="shared" si="3082"/>
        <v>NA</v>
      </c>
      <c r="Q3222" s="10" t="str">
        <f t="shared" si="3083"/>
        <v>NA</v>
      </c>
      <c r="R3222" s="10" t="s">
        <v>1575</v>
      </c>
      <c r="S3222" s="10" t="s">
        <v>1575</v>
      </c>
      <c r="T3222" s="10" t="s">
        <v>1575</v>
      </c>
      <c r="U3222" s="10" t="s">
        <v>1575</v>
      </c>
      <c r="V3222" s="10" t="s">
        <v>1575</v>
      </c>
      <c r="W3222" s="10" t="s">
        <v>1575</v>
      </c>
      <c r="X3222" s="10" t="str">
        <f t="shared" si="3086"/>
        <v>NA</v>
      </c>
      <c r="Y3222" s="10" t="str">
        <f t="shared" si="3087"/>
        <v>NA</v>
      </c>
      <c r="Z3222" s="10" t="str">
        <f t="shared" si="3088"/>
        <v>NA</v>
      </c>
      <c r="AA3222" s="10" t="str">
        <f t="shared" si="3089"/>
        <v>NA</v>
      </c>
      <c r="AB3222" s="10" t="str">
        <f t="shared" si="3090"/>
        <v>NA</v>
      </c>
      <c r="AC3222" s="10" t="str">
        <f t="shared" si="3091"/>
        <v>NA</v>
      </c>
      <c r="AD3222" s="10" t="str">
        <f t="shared" si="3092"/>
        <v>NA</v>
      </c>
      <c r="AE3222" s="10" t="str">
        <f t="shared" si="3093"/>
        <v>NA</v>
      </c>
      <c r="AF3222" s="1" t="s">
        <v>3561</v>
      </c>
    </row>
    <row r="3223" spans="1:32" x14ac:dyDescent="0.2">
      <c r="A3223" s="1" t="s">
        <v>3568</v>
      </c>
      <c r="B3223" s="1" t="s">
        <v>5</v>
      </c>
      <c r="C3223" s="1" t="s">
        <v>1575</v>
      </c>
      <c r="D3223" s="1" t="s">
        <v>1595</v>
      </c>
      <c r="E3223" s="1" t="s">
        <v>1587</v>
      </c>
      <c r="F3223" s="1" t="s">
        <v>244</v>
      </c>
      <c r="G3223" s="4">
        <v>1.01E-2</v>
      </c>
      <c r="H3223" s="28">
        <v>43616</v>
      </c>
      <c r="I3223" s="29">
        <f t="shared" si="2874"/>
        <v>2019</v>
      </c>
      <c r="J3223" s="1" t="s">
        <v>3532</v>
      </c>
      <c r="K3223" s="1" t="s">
        <v>7</v>
      </c>
      <c r="L3223" s="11" t="str">
        <f t="shared" ref="L3223" si="3106">IF(OR(A3223=J3223,A3223=K3223),"ДА","НЕТ")</f>
        <v>НЕТ</v>
      </c>
      <c r="M3223" s="10">
        <v>0</v>
      </c>
      <c r="N3223" s="10">
        <v>0</v>
      </c>
      <c r="O3223" s="10">
        <v>2.1999999999999999E-2</v>
      </c>
      <c r="P3223" s="10">
        <f t="shared" si="3082"/>
        <v>2.1782178217821784</v>
      </c>
      <c r="Q3223" s="10" t="str">
        <f t="shared" si="3083"/>
        <v>NA</v>
      </c>
      <c r="R3223" s="10" t="s">
        <v>1575</v>
      </c>
      <c r="S3223" s="10" t="s">
        <v>1575</v>
      </c>
      <c r="T3223" s="10" t="s">
        <v>1575</v>
      </c>
      <c r="U3223" s="10" t="s">
        <v>1575</v>
      </c>
      <c r="V3223" s="10" t="s">
        <v>1575</v>
      </c>
      <c r="W3223" s="10" t="s">
        <v>1575</v>
      </c>
      <c r="X3223" s="10" t="str">
        <f t="shared" si="3086"/>
        <v>NA</v>
      </c>
      <c r="Y3223" s="10" t="str">
        <f t="shared" si="3087"/>
        <v>NA</v>
      </c>
      <c r="Z3223" s="10" t="str">
        <f t="shared" si="3088"/>
        <v>NA</v>
      </c>
      <c r="AA3223" s="10" t="str">
        <f t="shared" si="3089"/>
        <v>NA</v>
      </c>
      <c r="AB3223" s="10" t="str">
        <f t="shared" si="3090"/>
        <v>NA</v>
      </c>
      <c r="AC3223" s="10" t="str">
        <f t="shared" si="3091"/>
        <v>NA</v>
      </c>
      <c r="AD3223" s="10" t="str">
        <f t="shared" si="3092"/>
        <v>NA</v>
      </c>
      <c r="AE3223" s="10" t="str">
        <f t="shared" si="3093"/>
        <v>NA</v>
      </c>
      <c r="AF3223" s="1" t="s">
        <v>3569</v>
      </c>
    </row>
    <row r="3224" spans="1:32" x14ac:dyDescent="0.2">
      <c r="A3224" s="1" t="s">
        <v>3536</v>
      </c>
      <c r="B3224" s="1" t="s">
        <v>5</v>
      </c>
      <c r="C3224" s="1" t="s">
        <v>1575</v>
      </c>
      <c r="D3224" s="1" t="s">
        <v>1601</v>
      </c>
      <c r="E3224" s="1" t="s">
        <v>1617</v>
      </c>
      <c r="F3224" s="1" t="s">
        <v>3577</v>
      </c>
      <c r="G3224" s="4">
        <v>1</v>
      </c>
      <c r="H3224" s="28">
        <v>43251</v>
      </c>
      <c r="I3224" s="29">
        <f t="shared" si="2874"/>
        <v>2018</v>
      </c>
      <c r="J3224" s="1" t="s">
        <v>3532</v>
      </c>
      <c r="K3224" s="1" t="s">
        <v>7</v>
      </c>
      <c r="L3224" s="11" t="str">
        <f t="shared" ref="L3224:L3231" si="3107">IF(OR(A3224=J3224,A3224=K3224),"ДА","НЕТ")</f>
        <v>НЕТ</v>
      </c>
      <c r="M3224" s="10">
        <v>0</v>
      </c>
      <c r="N3224" s="10">
        <v>0</v>
      </c>
      <c r="O3224" s="10">
        <v>1.2350000000000001</v>
      </c>
      <c r="P3224" s="10">
        <f t="shared" si="3082"/>
        <v>1.2350000000000001</v>
      </c>
      <c r="Q3224" s="10">
        <f t="shared" si="3083"/>
        <v>1.2450000000000001</v>
      </c>
      <c r="R3224" s="10" t="s">
        <v>1575</v>
      </c>
      <c r="S3224" s="10" t="s">
        <v>1575</v>
      </c>
      <c r="T3224" s="10" t="s">
        <v>1575</v>
      </c>
      <c r="U3224" s="10" t="s">
        <v>1575</v>
      </c>
      <c r="V3224" s="10">
        <v>1.39</v>
      </c>
      <c r="W3224" s="10">
        <f>0.016-0.006</f>
        <v>0.01</v>
      </c>
      <c r="X3224" s="10">
        <f t="shared" si="3086"/>
        <v>1.4</v>
      </c>
      <c r="Y3224" s="10" t="str">
        <f t="shared" si="3087"/>
        <v>NA</v>
      </c>
      <c r="Z3224" s="10" t="str">
        <f t="shared" si="3088"/>
        <v>NA</v>
      </c>
      <c r="AA3224" s="10">
        <f t="shared" si="3089"/>
        <v>0.88848920863309366</v>
      </c>
      <c r="AB3224" s="10" t="str">
        <f t="shared" si="3090"/>
        <v>NA</v>
      </c>
      <c r="AC3224" s="10" t="str">
        <f t="shared" si="3091"/>
        <v>NA</v>
      </c>
      <c r="AD3224" s="10" t="str">
        <f t="shared" si="3092"/>
        <v>NA</v>
      </c>
      <c r="AE3224" s="10">
        <f t="shared" si="3093"/>
        <v>0.88928571428571446</v>
      </c>
      <c r="AF3224" s="1" t="s">
        <v>3570</v>
      </c>
    </row>
    <row r="3225" spans="1:32" x14ac:dyDescent="0.2">
      <c r="A3225" s="1" t="s">
        <v>3578</v>
      </c>
      <c r="B3225" s="1" t="s">
        <v>5</v>
      </c>
      <c r="C3225" s="1" t="s">
        <v>1575</v>
      </c>
      <c r="D3225" s="1" t="s">
        <v>1595</v>
      </c>
      <c r="E3225" s="16" t="s">
        <v>9208</v>
      </c>
      <c r="F3225" s="1" t="s">
        <v>286</v>
      </c>
      <c r="G3225" s="4">
        <v>5.8900000000000001E-2</v>
      </c>
      <c r="H3225" s="28">
        <v>43404</v>
      </c>
      <c r="I3225" s="29">
        <f t="shared" si="2874"/>
        <v>2018</v>
      </c>
      <c r="J3225" s="1" t="s">
        <v>3532</v>
      </c>
      <c r="K3225" s="1" t="s">
        <v>7</v>
      </c>
      <c r="L3225" s="11" t="str">
        <f t="shared" si="3107"/>
        <v>НЕТ</v>
      </c>
      <c r="M3225" s="10">
        <v>0</v>
      </c>
      <c r="N3225" s="10">
        <v>0</v>
      </c>
      <c r="O3225" s="10">
        <v>0.64900000000000002</v>
      </c>
      <c r="P3225" s="10">
        <f t="shared" si="3082"/>
        <v>11.018675721561969</v>
      </c>
      <c r="Q3225" s="10">
        <f t="shared" si="3083"/>
        <v>11.188675721561969</v>
      </c>
      <c r="R3225" s="10" t="s">
        <v>1575</v>
      </c>
      <c r="S3225" s="10" t="s">
        <v>1575</v>
      </c>
      <c r="T3225" s="10" t="s">
        <v>1575</v>
      </c>
      <c r="U3225" s="10" t="s">
        <v>1575</v>
      </c>
      <c r="V3225" s="10">
        <v>1.31</v>
      </c>
      <c r="W3225" s="10">
        <f>0.175-0.005</f>
        <v>0.16999999999999998</v>
      </c>
      <c r="X3225" s="10">
        <f t="shared" si="3086"/>
        <v>1.48</v>
      </c>
      <c r="Y3225" s="10" t="str">
        <f t="shared" si="3087"/>
        <v>NA</v>
      </c>
      <c r="Z3225" s="10" t="str">
        <f t="shared" si="3088"/>
        <v>NA</v>
      </c>
      <c r="AA3225" s="10">
        <f t="shared" si="3089"/>
        <v>8.4112028408869985</v>
      </c>
      <c r="AB3225" s="10" t="str">
        <f t="shared" si="3090"/>
        <v>NA</v>
      </c>
      <c r="AC3225" s="10" t="str">
        <f t="shared" si="3091"/>
        <v>NA</v>
      </c>
      <c r="AD3225" s="10" t="str">
        <f t="shared" si="3092"/>
        <v>NA</v>
      </c>
      <c r="AE3225" s="10">
        <f t="shared" si="3093"/>
        <v>7.5599160280824114</v>
      </c>
      <c r="AF3225" s="1" t="s">
        <v>3571</v>
      </c>
    </row>
    <row r="3226" spans="1:32" x14ac:dyDescent="0.2">
      <c r="A3226" s="1" t="s">
        <v>3579</v>
      </c>
      <c r="B3226" s="1" t="s">
        <v>5</v>
      </c>
      <c r="C3226" s="1" t="s">
        <v>1575</v>
      </c>
      <c r="D3226" s="1" t="s">
        <v>1584</v>
      </c>
      <c r="E3226" s="1" t="s">
        <v>1587</v>
      </c>
      <c r="F3226" s="1" t="s">
        <v>3580</v>
      </c>
      <c r="G3226" s="4">
        <v>1</v>
      </c>
      <c r="H3226" s="28">
        <v>43465</v>
      </c>
      <c r="I3226" s="29">
        <f t="shared" si="2874"/>
        <v>2018</v>
      </c>
      <c r="J3226" s="1" t="s">
        <v>3532</v>
      </c>
      <c r="K3226" s="1" t="s">
        <v>7</v>
      </c>
      <c r="L3226" s="11" t="str">
        <f t="shared" si="3107"/>
        <v>НЕТ</v>
      </c>
      <c r="M3226" s="10">
        <v>0</v>
      </c>
      <c r="N3226" s="10">
        <v>0</v>
      </c>
      <c r="O3226" s="10">
        <v>0</v>
      </c>
      <c r="P3226" s="10">
        <f t="shared" si="3082"/>
        <v>0</v>
      </c>
      <c r="Q3226" s="10">
        <f t="shared" si="3083"/>
        <v>4.0000000000000001E-3</v>
      </c>
      <c r="R3226" s="10" t="s">
        <v>1575</v>
      </c>
      <c r="S3226" s="10" t="s">
        <v>1575</v>
      </c>
      <c r="T3226" s="10" t="s">
        <v>1575</v>
      </c>
      <c r="U3226" s="10" t="s">
        <v>1575</v>
      </c>
      <c r="V3226" s="10">
        <v>1.1679999999999999</v>
      </c>
      <c r="W3226" s="10">
        <f>0.004-0</f>
        <v>4.0000000000000001E-3</v>
      </c>
      <c r="X3226" s="10">
        <f t="shared" si="3086"/>
        <v>1.1719999999999999</v>
      </c>
      <c r="Y3226" s="10" t="str">
        <f t="shared" si="3087"/>
        <v>NA</v>
      </c>
      <c r="Z3226" s="10" t="str">
        <f t="shared" si="3088"/>
        <v>NA</v>
      </c>
      <c r="AA3226" s="10">
        <f t="shared" si="3089"/>
        <v>0</v>
      </c>
      <c r="AB3226" s="10" t="str">
        <f t="shared" si="3090"/>
        <v>NA</v>
      </c>
      <c r="AC3226" s="10" t="str">
        <f t="shared" si="3091"/>
        <v>NA</v>
      </c>
      <c r="AD3226" s="10" t="str">
        <f t="shared" si="3092"/>
        <v>NA</v>
      </c>
      <c r="AE3226" s="10">
        <f t="shared" si="3093"/>
        <v>3.412969283276451E-3</v>
      </c>
      <c r="AF3226" s="1" t="s">
        <v>3572</v>
      </c>
    </row>
    <row r="3227" spans="1:32" x14ac:dyDescent="0.2">
      <c r="A3227" s="1" t="s">
        <v>3581</v>
      </c>
      <c r="B3227" s="1" t="s">
        <v>5</v>
      </c>
      <c r="C3227" s="1" t="s">
        <v>1575</v>
      </c>
      <c r="D3227" s="1" t="s">
        <v>1601</v>
      </c>
      <c r="E3227" s="1" t="s">
        <v>1617</v>
      </c>
      <c r="F3227" s="1" t="s">
        <v>3582</v>
      </c>
      <c r="G3227" s="4">
        <v>1</v>
      </c>
      <c r="H3227" s="28">
        <v>43465</v>
      </c>
      <c r="I3227" s="29">
        <f t="shared" ref="I3227:I3236" si="3108">YEAR(H3227)</f>
        <v>2018</v>
      </c>
      <c r="J3227" s="1" t="s">
        <v>3532</v>
      </c>
      <c r="K3227" s="1" t="s">
        <v>7</v>
      </c>
      <c r="L3227" s="11" t="str">
        <f t="shared" si="3107"/>
        <v>НЕТ</v>
      </c>
      <c r="M3227" s="10">
        <v>0</v>
      </c>
      <c r="N3227" s="10">
        <v>0</v>
      </c>
      <c r="O3227" s="10">
        <v>0.155</v>
      </c>
      <c r="P3227" s="10">
        <f t="shared" si="3082"/>
        <v>0.155</v>
      </c>
      <c r="Q3227" s="10" t="str">
        <f t="shared" si="3083"/>
        <v>NA</v>
      </c>
      <c r="R3227" s="10" t="s">
        <v>1575</v>
      </c>
      <c r="S3227" s="10" t="s">
        <v>1575</v>
      </c>
      <c r="T3227" s="10" t="s">
        <v>1575</v>
      </c>
      <c r="U3227" s="10" t="s">
        <v>1575</v>
      </c>
      <c r="V3227" s="10" t="s">
        <v>1575</v>
      </c>
      <c r="W3227" s="10" t="s">
        <v>1575</v>
      </c>
      <c r="X3227" s="10" t="str">
        <f t="shared" si="3086"/>
        <v>NA</v>
      </c>
      <c r="Y3227" s="10" t="str">
        <f t="shared" si="3087"/>
        <v>NA</v>
      </c>
      <c r="Z3227" s="10" t="str">
        <f t="shared" si="3088"/>
        <v>NA</v>
      </c>
      <c r="AA3227" s="10" t="str">
        <f t="shared" si="3089"/>
        <v>NA</v>
      </c>
      <c r="AB3227" s="10" t="str">
        <f t="shared" si="3090"/>
        <v>NA</v>
      </c>
      <c r="AC3227" s="10" t="str">
        <f t="shared" si="3091"/>
        <v>NA</v>
      </c>
      <c r="AD3227" s="10" t="str">
        <f t="shared" si="3092"/>
        <v>NA</v>
      </c>
      <c r="AE3227" s="10" t="str">
        <f t="shared" si="3093"/>
        <v>NA</v>
      </c>
      <c r="AF3227" s="1" t="s">
        <v>3573</v>
      </c>
    </row>
    <row r="3228" spans="1:32" x14ac:dyDescent="0.2">
      <c r="A3228" s="1" t="s">
        <v>3583</v>
      </c>
      <c r="B3228" s="1" t="s">
        <v>5</v>
      </c>
      <c r="C3228" s="1" t="s">
        <v>1575</v>
      </c>
      <c r="D3228" s="1" t="s">
        <v>2160</v>
      </c>
      <c r="E3228" s="1" t="s">
        <v>2161</v>
      </c>
      <c r="F3228" s="1" t="s">
        <v>3584</v>
      </c>
      <c r="G3228" s="4">
        <v>0.26690000000000003</v>
      </c>
      <c r="H3228" s="28">
        <v>43159</v>
      </c>
      <c r="I3228" s="29">
        <f t="shared" si="3108"/>
        <v>2018</v>
      </c>
      <c r="J3228" s="1" t="s">
        <v>3532</v>
      </c>
      <c r="K3228" s="1" t="s">
        <v>7</v>
      </c>
      <c r="L3228" s="11" t="str">
        <f t="shared" si="3107"/>
        <v>НЕТ</v>
      </c>
      <c r="M3228" s="10">
        <v>0</v>
      </c>
      <c r="N3228" s="10">
        <v>0</v>
      </c>
      <c r="O3228" s="10">
        <v>8.4000000000000005E-2</v>
      </c>
      <c r="P3228" s="10">
        <f t="shared" si="3082"/>
        <v>0.31472461596103407</v>
      </c>
      <c r="Q3228" s="10" t="str">
        <f t="shared" si="3083"/>
        <v>NA</v>
      </c>
      <c r="R3228" s="10" t="s">
        <v>1575</v>
      </c>
      <c r="S3228" s="10" t="s">
        <v>1575</v>
      </c>
      <c r="T3228" s="10" t="s">
        <v>1575</v>
      </c>
      <c r="U3228" s="10" t="s">
        <v>1575</v>
      </c>
      <c r="V3228" s="10" t="s">
        <v>1575</v>
      </c>
      <c r="W3228" s="10" t="s">
        <v>1575</v>
      </c>
      <c r="X3228" s="10" t="str">
        <f t="shared" si="3086"/>
        <v>NA</v>
      </c>
      <c r="Y3228" s="10" t="str">
        <f t="shared" si="3087"/>
        <v>NA</v>
      </c>
      <c r="Z3228" s="10" t="str">
        <f t="shared" si="3088"/>
        <v>NA</v>
      </c>
      <c r="AA3228" s="10" t="str">
        <f t="shared" si="3089"/>
        <v>NA</v>
      </c>
      <c r="AB3228" s="10" t="str">
        <f t="shared" si="3090"/>
        <v>NA</v>
      </c>
      <c r="AC3228" s="10" t="str">
        <f t="shared" si="3091"/>
        <v>NA</v>
      </c>
      <c r="AD3228" s="10" t="str">
        <f t="shared" si="3092"/>
        <v>NA</v>
      </c>
      <c r="AE3228" s="10" t="str">
        <f t="shared" si="3093"/>
        <v>NA</v>
      </c>
      <c r="AF3228" s="1" t="s">
        <v>3574</v>
      </c>
    </row>
    <row r="3229" spans="1:32" x14ac:dyDescent="0.2">
      <c r="A3229" s="1" t="s">
        <v>3568</v>
      </c>
      <c r="B3229" s="1" t="s">
        <v>5</v>
      </c>
      <c r="C3229" s="1" t="s">
        <v>1575</v>
      </c>
      <c r="D3229" s="1" t="s">
        <v>1595</v>
      </c>
      <c r="E3229" s="1" t="s">
        <v>1587</v>
      </c>
      <c r="F3229" s="1" t="s">
        <v>244</v>
      </c>
      <c r="G3229" s="4">
        <v>4.3999999999999997E-2</v>
      </c>
      <c r="H3229" s="28">
        <v>43312</v>
      </c>
      <c r="I3229" s="29">
        <f t="shared" si="3108"/>
        <v>2018</v>
      </c>
      <c r="J3229" s="1" t="s">
        <v>3532</v>
      </c>
      <c r="K3229" s="1" t="s">
        <v>7</v>
      </c>
      <c r="L3229" s="11" t="str">
        <f t="shared" si="3107"/>
        <v>НЕТ</v>
      </c>
      <c r="M3229" s="10">
        <v>0</v>
      </c>
      <c r="N3229" s="10">
        <v>0</v>
      </c>
      <c r="O3229" s="10">
        <v>0.08</v>
      </c>
      <c r="P3229" s="10">
        <f t="shared" si="3082"/>
        <v>1.8181818181818183</v>
      </c>
      <c r="Q3229" s="10" t="str">
        <f t="shared" si="3083"/>
        <v>NA</v>
      </c>
      <c r="R3229" s="10" t="s">
        <v>1575</v>
      </c>
      <c r="S3229" s="10" t="s">
        <v>1575</v>
      </c>
      <c r="T3229" s="10" t="s">
        <v>1575</v>
      </c>
      <c r="U3229" s="10" t="s">
        <v>1575</v>
      </c>
      <c r="V3229" s="10" t="s">
        <v>1575</v>
      </c>
      <c r="W3229" s="10" t="s">
        <v>1575</v>
      </c>
      <c r="X3229" s="10" t="str">
        <f t="shared" si="3086"/>
        <v>NA</v>
      </c>
      <c r="Y3229" s="10" t="str">
        <f t="shared" si="3087"/>
        <v>NA</v>
      </c>
      <c r="Z3229" s="10" t="str">
        <f t="shared" si="3088"/>
        <v>NA</v>
      </c>
      <c r="AA3229" s="10" t="str">
        <f t="shared" si="3089"/>
        <v>NA</v>
      </c>
      <c r="AB3229" s="10" t="str">
        <f t="shared" si="3090"/>
        <v>NA</v>
      </c>
      <c r="AC3229" s="10" t="str">
        <f t="shared" si="3091"/>
        <v>NA</v>
      </c>
      <c r="AD3229" s="10" t="str">
        <f t="shared" si="3092"/>
        <v>NA</v>
      </c>
      <c r="AE3229" s="10" t="str">
        <f t="shared" si="3093"/>
        <v>NA</v>
      </c>
      <c r="AF3229" s="1" t="s">
        <v>3575</v>
      </c>
    </row>
    <row r="3230" spans="1:32" x14ac:dyDescent="0.2">
      <c r="A3230" s="1" t="s">
        <v>3587</v>
      </c>
      <c r="B3230" s="1" t="s">
        <v>5</v>
      </c>
      <c r="C3230" s="1" t="s">
        <v>1575</v>
      </c>
      <c r="D3230" s="1" t="s">
        <v>1584</v>
      </c>
      <c r="E3230" s="1" t="s">
        <v>1587</v>
      </c>
      <c r="F3230" s="1" t="s">
        <v>3586</v>
      </c>
      <c r="G3230" s="4" t="s">
        <v>11</v>
      </c>
      <c r="H3230" s="28">
        <v>43100</v>
      </c>
      <c r="I3230" s="29">
        <f t="shared" si="3108"/>
        <v>2017</v>
      </c>
      <c r="J3230" s="1" t="s">
        <v>7</v>
      </c>
      <c r="K3230" s="1" t="s">
        <v>3532</v>
      </c>
      <c r="L3230" s="11" t="str">
        <f t="shared" si="3107"/>
        <v>НЕТ</v>
      </c>
      <c r="M3230" s="10">
        <v>0</v>
      </c>
      <c r="N3230" s="10">
        <v>0</v>
      </c>
      <c r="O3230" s="10" t="s">
        <v>1575</v>
      </c>
      <c r="P3230" s="10" t="str">
        <f t="shared" si="3082"/>
        <v>NA</v>
      </c>
      <c r="Q3230" s="10" t="str">
        <f t="shared" si="3083"/>
        <v>NA</v>
      </c>
      <c r="R3230" s="10" t="s">
        <v>1575</v>
      </c>
      <c r="S3230" s="10" t="s">
        <v>1575</v>
      </c>
      <c r="T3230" s="10" t="s">
        <v>1575</v>
      </c>
      <c r="U3230" s="10" t="s">
        <v>1575</v>
      </c>
      <c r="V3230" s="10" t="s">
        <v>1575</v>
      </c>
      <c r="W3230" s="10" t="s">
        <v>1575</v>
      </c>
      <c r="X3230" s="10" t="str">
        <f t="shared" si="3086"/>
        <v>NA</v>
      </c>
      <c r="Y3230" s="10" t="str">
        <f t="shared" si="3087"/>
        <v>NA</v>
      </c>
      <c r="Z3230" s="10" t="str">
        <f t="shared" si="3088"/>
        <v>NA</v>
      </c>
      <c r="AA3230" s="10" t="str">
        <f t="shared" si="3089"/>
        <v>NA</v>
      </c>
      <c r="AB3230" s="10" t="str">
        <f t="shared" si="3090"/>
        <v>NA</v>
      </c>
      <c r="AC3230" s="10" t="str">
        <f t="shared" si="3091"/>
        <v>NA</v>
      </c>
      <c r="AD3230" s="10" t="str">
        <f t="shared" si="3092"/>
        <v>NA</v>
      </c>
      <c r="AE3230" s="10" t="str">
        <f t="shared" si="3093"/>
        <v>NA</v>
      </c>
      <c r="AF3230" s="1" t="s">
        <v>3585</v>
      </c>
    </row>
    <row r="3231" spans="1:32" x14ac:dyDescent="0.2">
      <c r="A3231" s="1" t="s">
        <v>3532</v>
      </c>
      <c r="B3231" s="1" t="s">
        <v>5</v>
      </c>
      <c r="C3231" s="1" t="s">
        <v>3553</v>
      </c>
      <c r="D3231" s="1" t="s">
        <v>1584</v>
      </c>
      <c r="E3231" s="1" t="s">
        <v>3486</v>
      </c>
      <c r="F3231" s="1" t="s">
        <v>46</v>
      </c>
      <c r="G3231" s="4">
        <f>49990198/660497344</f>
        <v>7.5685691175163911E-2</v>
      </c>
      <c r="H3231" s="28">
        <v>42916</v>
      </c>
      <c r="I3231" s="29">
        <f t="shared" si="3108"/>
        <v>2017</v>
      </c>
      <c r="J3231" s="1" t="s">
        <v>7</v>
      </c>
      <c r="K3231" s="1" t="s">
        <v>3532</v>
      </c>
      <c r="L3231" s="11" t="str">
        <f t="shared" si="3107"/>
        <v>ДА</v>
      </c>
      <c r="M3231" s="10">
        <v>0</v>
      </c>
      <c r="N3231" s="10">
        <v>0</v>
      </c>
      <c r="O3231" s="10">
        <v>15</v>
      </c>
      <c r="P3231" s="10">
        <f t="shared" si="3082"/>
        <v>198.18805598649558</v>
      </c>
      <c r="Q3231" s="10">
        <f t="shared" si="3083"/>
        <v>261.93705598649558</v>
      </c>
      <c r="R3231" s="10">
        <v>57.734129000000003</v>
      </c>
      <c r="S3231" s="10">
        <v>24.439</v>
      </c>
      <c r="T3231" s="10">
        <v>23.509</v>
      </c>
      <c r="U3231" s="10">
        <v>19.061</v>
      </c>
      <c r="V3231" s="10">
        <v>53.895200000000017</v>
      </c>
      <c r="W3231" s="10">
        <v>63.748999999999995</v>
      </c>
      <c r="X3231" s="10">
        <f t="shared" si="3086"/>
        <v>117.64420000000001</v>
      </c>
      <c r="Y3231" s="10">
        <f t="shared" si="3087"/>
        <v>3.4327712120935536</v>
      </c>
      <c r="Z3231" s="10">
        <f t="shared" si="3088"/>
        <v>10.397568647316279</v>
      </c>
      <c r="AA3231" s="10">
        <f t="shared" si="3089"/>
        <v>3.6772858433867119</v>
      </c>
      <c r="AB3231" s="10">
        <f t="shared" si="3090"/>
        <v>4.536953454108497</v>
      </c>
      <c r="AC3231" s="10">
        <f t="shared" si="3091"/>
        <v>10.717994025389565</v>
      </c>
      <c r="AD3231" s="10">
        <f t="shared" si="3092"/>
        <v>11.141990556233594</v>
      </c>
      <c r="AE3231" s="10">
        <f t="shared" si="3093"/>
        <v>2.2265190802988633</v>
      </c>
      <c r="AF3231" s="1" t="s">
        <v>3588</v>
      </c>
    </row>
    <row r="3232" spans="1:32" x14ac:dyDescent="0.2">
      <c r="A3232" s="1" t="s">
        <v>3568</v>
      </c>
      <c r="B3232" s="1" t="s">
        <v>5</v>
      </c>
      <c r="C3232" s="1" t="s">
        <v>1575</v>
      </c>
      <c r="D3232" s="1" t="s">
        <v>1595</v>
      </c>
      <c r="E3232" s="1" t="s">
        <v>1587</v>
      </c>
      <c r="F3232" s="1" t="s">
        <v>244</v>
      </c>
      <c r="G3232" s="4">
        <v>0.53500000000000003</v>
      </c>
      <c r="H3232" s="28">
        <v>42947</v>
      </c>
      <c r="I3232" s="29">
        <f t="shared" si="3108"/>
        <v>2017</v>
      </c>
      <c r="J3232" s="1" t="s">
        <v>3532</v>
      </c>
      <c r="K3232" s="1" t="s">
        <v>7</v>
      </c>
      <c r="L3232" s="11" t="str">
        <f t="shared" ref="L3232" si="3109">IF(OR(A3232=J3232,A3232=K3232),"ДА","НЕТ")</f>
        <v>НЕТ</v>
      </c>
      <c r="M3232" s="10">
        <v>0</v>
      </c>
      <c r="N3232" s="10">
        <v>0</v>
      </c>
      <c r="O3232" s="10">
        <v>0.17799999999999999</v>
      </c>
      <c r="P3232" s="10">
        <f t="shared" si="3082"/>
        <v>0.33271028037383177</v>
      </c>
      <c r="Q3232" s="10">
        <f t="shared" si="3083"/>
        <v>0.35071028037383178</v>
      </c>
      <c r="R3232" s="10" t="s">
        <v>1575</v>
      </c>
      <c r="S3232" s="10" t="s">
        <v>1575</v>
      </c>
      <c r="T3232" s="10" t="s">
        <v>1575</v>
      </c>
      <c r="U3232" s="10" t="s">
        <v>1575</v>
      </c>
      <c r="V3232" s="10">
        <v>0.193</v>
      </c>
      <c r="W3232" s="10">
        <f>0.033-0.015</f>
        <v>1.8000000000000002E-2</v>
      </c>
      <c r="X3232" s="10">
        <f t="shared" si="3086"/>
        <v>0.21100000000000002</v>
      </c>
      <c r="Y3232" s="10" t="str">
        <f t="shared" si="3087"/>
        <v>NA</v>
      </c>
      <c r="Z3232" s="10" t="str">
        <f t="shared" si="3088"/>
        <v>NA</v>
      </c>
      <c r="AA3232" s="10">
        <f t="shared" si="3089"/>
        <v>1.7238874630768486</v>
      </c>
      <c r="AB3232" s="10" t="str">
        <f t="shared" si="3090"/>
        <v>NA</v>
      </c>
      <c r="AC3232" s="10" t="str">
        <f t="shared" si="3091"/>
        <v>NA</v>
      </c>
      <c r="AD3232" s="10" t="str">
        <f t="shared" si="3092"/>
        <v>NA</v>
      </c>
      <c r="AE3232" s="10">
        <f t="shared" si="3093"/>
        <v>1.6621340302077334</v>
      </c>
      <c r="AF3232" s="1" t="s">
        <v>3589</v>
      </c>
    </row>
    <row r="3233" spans="1:32" x14ac:dyDescent="0.2">
      <c r="A3233" s="1" t="s">
        <v>3583</v>
      </c>
      <c r="B3233" s="1" t="s">
        <v>5</v>
      </c>
      <c r="C3233" s="1" t="s">
        <v>1575</v>
      </c>
      <c r="D3233" s="1" t="s">
        <v>2160</v>
      </c>
      <c r="E3233" s="1" t="s">
        <v>2161</v>
      </c>
      <c r="F3233" s="1" t="s">
        <v>3584</v>
      </c>
      <c r="G3233" s="4">
        <v>0.60450000000000004</v>
      </c>
      <c r="H3233" s="28">
        <v>43100</v>
      </c>
      <c r="I3233" s="29">
        <f t="shared" si="3108"/>
        <v>2017</v>
      </c>
      <c r="J3233" s="1" t="s">
        <v>3532</v>
      </c>
      <c r="K3233" s="1" t="s">
        <v>7</v>
      </c>
      <c r="L3233" s="11" t="str">
        <f t="shared" ref="L3233:L3234" si="3110">IF(OR(A3233=J3233,A3233=K3233),"ДА","НЕТ")</f>
        <v>НЕТ</v>
      </c>
      <c r="M3233" s="10">
        <v>0</v>
      </c>
      <c r="N3233" s="10">
        <v>0</v>
      </c>
      <c r="O3233" s="10">
        <v>0.64500000000000002</v>
      </c>
      <c r="P3233" s="10">
        <f t="shared" si="3082"/>
        <v>1.0669975186104217</v>
      </c>
      <c r="Q3233" s="10">
        <f t="shared" si="3083"/>
        <v>1.2429975186104216</v>
      </c>
      <c r="R3233" s="10" t="s">
        <v>1575</v>
      </c>
      <c r="S3233" s="10" t="s">
        <v>1575</v>
      </c>
      <c r="T3233" s="10" t="s">
        <v>1575</v>
      </c>
      <c r="U3233" s="10" t="s">
        <v>1575</v>
      </c>
      <c r="V3233" s="10">
        <v>0.86399999999999999</v>
      </c>
      <c r="W3233" s="10">
        <f>0.188-0.012</f>
        <v>0.17599999999999999</v>
      </c>
      <c r="X3233" s="10">
        <f t="shared" si="3086"/>
        <v>1.04</v>
      </c>
      <c r="Y3233" s="10" t="str">
        <f t="shared" si="3087"/>
        <v>NA</v>
      </c>
      <c r="Z3233" s="10" t="str">
        <f t="shared" si="3088"/>
        <v>NA</v>
      </c>
      <c r="AA3233" s="10">
        <f t="shared" si="3089"/>
        <v>1.2349508317250251</v>
      </c>
      <c r="AB3233" s="10" t="str">
        <f t="shared" si="3090"/>
        <v>NA</v>
      </c>
      <c r="AC3233" s="10" t="str">
        <f t="shared" si="3091"/>
        <v>NA</v>
      </c>
      <c r="AD3233" s="10" t="str">
        <f t="shared" si="3092"/>
        <v>NA</v>
      </c>
      <c r="AE3233" s="10">
        <f t="shared" si="3093"/>
        <v>1.19518992174079</v>
      </c>
      <c r="AF3233" s="1" t="s">
        <v>3590</v>
      </c>
    </row>
    <row r="3234" spans="1:32" x14ac:dyDescent="0.2">
      <c r="A3234" s="1" t="s">
        <v>6849</v>
      </c>
      <c r="B3234" s="1" t="s">
        <v>5</v>
      </c>
      <c r="C3234" s="1" t="s">
        <v>1575</v>
      </c>
      <c r="D3234" s="1" t="s">
        <v>1584</v>
      </c>
      <c r="E3234" s="1" t="s">
        <v>1587</v>
      </c>
      <c r="F3234" s="1" t="s">
        <v>3593</v>
      </c>
      <c r="G3234" s="4" t="s">
        <v>11</v>
      </c>
      <c r="H3234" s="28">
        <v>43100</v>
      </c>
      <c r="I3234" s="29">
        <f t="shared" si="3108"/>
        <v>2017</v>
      </c>
      <c r="J3234" s="1" t="s">
        <v>7</v>
      </c>
      <c r="K3234" s="1" t="s">
        <v>3532</v>
      </c>
      <c r="L3234" s="11" t="str">
        <f t="shared" si="3110"/>
        <v>НЕТ</v>
      </c>
      <c r="M3234" s="10">
        <v>0</v>
      </c>
      <c r="N3234" s="10">
        <v>0</v>
      </c>
      <c r="O3234" s="10">
        <v>3.23</v>
      </c>
      <c r="P3234" s="10" t="str">
        <f t="shared" si="3082"/>
        <v>NA</v>
      </c>
      <c r="Q3234" s="10" t="str">
        <f t="shared" si="3083"/>
        <v>NA</v>
      </c>
      <c r="R3234" s="10" t="s">
        <v>1575</v>
      </c>
      <c r="S3234" s="10" t="s">
        <v>1575</v>
      </c>
      <c r="T3234" s="10" t="s">
        <v>1575</v>
      </c>
      <c r="U3234" s="10" t="s">
        <v>1575</v>
      </c>
      <c r="V3234" s="10" t="s">
        <v>1575</v>
      </c>
      <c r="W3234" s="10" t="s">
        <v>1575</v>
      </c>
      <c r="X3234" s="10" t="str">
        <f t="shared" si="3086"/>
        <v>NA</v>
      </c>
      <c r="Y3234" s="10" t="str">
        <f t="shared" si="3087"/>
        <v>NA</v>
      </c>
      <c r="Z3234" s="10" t="str">
        <f t="shared" si="3088"/>
        <v>NA</v>
      </c>
      <c r="AA3234" s="10" t="str">
        <f t="shared" si="3089"/>
        <v>NA</v>
      </c>
      <c r="AB3234" s="10" t="str">
        <f t="shared" si="3090"/>
        <v>NA</v>
      </c>
      <c r="AC3234" s="10" t="str">
        <f t="shared" si="3091"/>
        <v>NA</v>
      </c>
      <c r="AD3234" s="10" t="str">
        <f t="shared" si="3092"/>
        <v>NA</v>
      </c>
      <c r="AE3234" s="10" t="str">
        <f t="shared" si="3093"/>
        <v>NA</v>
      </c>
      <c r="AF3234" s="1" t="s">
        <v>3592</v>
      </c>
    </row>
    <row r="3235" spans="1:32" x14ac:dyDescent="0.2">
      <c r="A3235" s="1" t="s">
        <v>3596</v>
      </c>
      <c r="B3235" s="1" t="s">
        <v>5</v>
      </c>
      <c r="C3235" s="1" t="s">
        <v>1575</v>
      </c>
      <c r="D3235" s="1" t="s">
        <v>1584</v>
      </c>
      <c r="E3235" s="1" t="s">
        <v>3594</v>
      </c>
      <c r="F3235" s="1" t="s">
        <v>3595</v>
      </c>
      <c r="G3235" s="4">
        <v>1</v>
      </c>
      <c r="H3235" s="28">
        <v>42735</v>
      </c>
      <c r="I3235" s="29">
        <f t="shared" si="3108"/>
        <v>2016</v>
      </c>
      <c r="J3235" s="1" t="s">
        <v>3532</v>
      </c>
      <c r="K3235" s="1" t="s">
        <v>7</v>
      </c>
      <c r="L3235" s="11" t="str">
        <f t="shared" ref="L3235:L3236" si="3111">IF(OR(A3235=J3235,A3235=K3235),"ДА","НЕТ")</f>
        <v>НЕТ</v>
      </c>
      <c r="M3235" s="10">
        <v>0</v>
      </c>
      <c r="N3235" s="10">
        <v>0</v>
      </c>
      <c r="O3235" s="10">
        <v>18.798999999999999</v>
      </c>
      <c r="P3235" s="10">
        <f t="shared" si="3082"/>
        <v>18.798999999999999</v>
      </c>
      <c r="Q3235" s="10">
        <f t="shared" si="3083"/>
        <v>59.454000000000001</v>
      </c>
      <c r="R3235" s="10">
        <v>10.59</v>
      </c>
      <c r="S3235" s="10" t="s">
        <v>1575</v>
      </c>
      <c r="T3235" s="10">
        <f>1.057+0.182-0.03</f>
        <v>1.2089999999999999</v>
      </c>
      <c r="U3235" s="10">
        <v>0.6</v>
      </c>
      <c r="V3235" s="10">
        <v>24.741</v>
      </c>
      <c r="W3235" s="10">
        <f>29.872+13.224-2.441</f>
        <v>40.655000000000001</v>
      </c>
      <c r="X3235" s="10">
        <f t="shared" si="3086"/>
        <v>65.396000000000001</v>
      </c>
      <c r="Y3235" s="10">
        <f t="shared" si="3087"/>
        <v>1.7751652502360717</v>
      </c>
      <c r="Z3235" s="10">
        <f t="shared" si="3088"/>
        <v>31.331666666666667</v>
      </c>
      <c r="AA3235" s="10">
        <f t="shared" si="3089"/>
        <v>0.75983185804939168</v>
      </c>
      <c r="AB3235" s="10">
        <f t="shared" si="3090"/>
        <v>5.6141643059490089</v>
      </c>
      <c r="AC3235" s="10" t="str">
        <f t="shared" si="3091"/>
        <v>NA</v>
      </c>
      <c r="AD3235" s="10">
        <f t="shared" si="3092"/>
        <v>49.176178660049636</v>
      </c>
      <c r="AE3235" s="10">
        <f t="shared" si="3093"/>
        <v>0.90913817358859872</v>
      </c>
      <c r="AF3235" s="1" t="s">
        <v>3591</v>
      </c>
    </row>
    <row r="3236" spans="1:32" x14ac:dyDescent="0.2">
      <c r="A3236" s="1" t="s">
        <v>3597</v>
      </c>
      <c r="B3236" s="1" t="s">
        <v>5</v>
      </c>
      <c r="C3236" s="1" t="s">
        <v>1575</v>
      </c>
      <c r="D3236" s="1" t="s">
        <v>1584</v>
      </c>
      <c r="E3236" s="1" t="s">
        <v>3594</v>
      </c>
      <c r="F3236" s="1" t="s">
        <v>3595</v>
      </c>
      <c r="G3236" s="4">
        <v>1</v>
      </c>
      <c r="H3236" s="28">
        <v>42674</v>
      </c>
      <c r="I3236" s="29">
        <f t="shared" si="3108"/>
        <v>2016</v>
      </c>
      <c r="J3236" s="1" t="s">
        <v>3598</v>
      </c>
      <c r="K3236" s="1" t="s">
        <v>7</v>
      </c>
      <c r="L3236" s="11" t="str">
        <f t="shared" si="3111"/>
        <v>НЕТ</v>
      </c>
      <c r="M3236" s="10">
        <v>0</v>
      </c>
      <c r="N3236" s="10">
        <v>0</v>
      </c>
      <c r="O3236" s="10">
        <v>11.664</v>
      </c>
      <c r="P3236" s="10">
        <f t="shared" si="3082"/>
        <v>11.664</v>
      </c>
      <c r="Q3236" s="10" t="str">
        <f t="shared" si="3083"/>
        <v>NA</v>
      </c>
      <c r="R3236" s="10" t="s">
        <v>1575</v>
      </c>
      <c r="S3236" s="10" t="s">
        <v>1575</v>
      </c>
      <c r="T3236" s="10" t="s">
        <v>1575</v>
      </c>
      <c r="U3236" s="10" t="s">
        <v>1575</v>
      </c>
      <c r="V3236" s="10" t="s">
        <v>1575</v>
      </c>
      <c r="W3236" s="10" t="s">
        <v>1575</v>
      </c>
      <c r="X3236" s="10" t="str">
        <f t="shared" si="3086"/>
        <v>NA</v>
      </c>
      <c r="Y3236" s="10" t="str">
        <f t="shared" si="3087"/>
        <v>NA</v>
      </c>
      <c r="Z3236" s="10" t="str">
        <f t="shared" si="3088"/>
        <v>NA</v>
      </c>
      <c r="AA3236" s="10" t="str">
        <f t="shared" si="3089"/>
        <v>NA</v>
      </c>
      <c r="AB3236" s="10" t="str">
        <f t="shared" si="3090"/>
        <v>NA</v>
      </c>
      <c r="AC3236" s="10" t="str">
        <f t="shared" si="3091"/>
        <v>NA</v>
      </c>
      <c r="AD3236" s="10" t="str">
        <f t="shared" si="3092"/>
        <v>NA</v>
      </c>
      <c r="AE3236" s="10" t="str">
        <f t="shared" si="3093"/>
        <v>NA</v>
      </c>
      <c r="AF3236" s="1" t="s">
        <v>3599</v>
      </c>
    </row>
    <row r="3237" spans="1:32" x14ac:dyDescent="0.2">
      <c r="A3237" s="1" t="s">
        <v>3597</v>
      </c>
      <c r="B3237" s="1" t="s">
        <v>5</v>
      </c>
      <c r="C3237" s="1" t="s">
        <v>1575</v>
      </c>
      <c r="D3237" s="1" t="s">
        <v>1584</v>
      </c>
      <c r="E3237" s="1" t="s">
        <v>3594</v>
      </c>
      <c r="F3237" s="1" t="s">
        <v>3595</v>
      </c>
      <c r="G3237" s="4">
        <v>1</v>
      </c>
      <c r="H3237" s="28">
        <v>42735</v>
      </c>
      <c r="I3237" s="29">
        <f t="shared" ref="I3237" si="3112">YEAR(H3237)</f>
        <v>2016</v>
      </c>
      <c r="J3237" s="1" t="s">
        <v>3532</v>
      </c>
      <c r="K3237" s="1" t="s">
        <v>3598</v>
      </c>
      <c r="L3237" s="11" t="str">
        <f t="shared" ref="L3237" si="3113">IF(OR(A3237=J3237,A3237=K3237),"ДА","НЕТ")</f>
        <v>НЕТ</v>
      </c>
      <c r="M3237" s="10">
        <v>0</v>
      </c>
      <c r="N3237" s="10">
        <v>0</v>
      </c>
      <c r="O3237" s="10">
        <v>11.664</v>
      </c>
      <c r="P3237" s="10">
        <f t="shared" si="3082"/>
        <v>11.664</v>
      </c>
      <c r="Q3237" s="10" t="str">
        <f t="shared" si="3083"/>
        <v>NA</v>
      </c>
      <c r="R3237" s="10" t="s">
        <v>1575</v>
      </c>
      <c r="S3237" s="10" t="s">
        <v>1575</v>
      </c>
      <c r="T3237" s="10" t="s">
        <v>1575</v>
      </c>
      <c r="U3237" s="10" t="s">
        <v>1575</v>
      </c>
      <c r="V3237" s="10" t="s">
        <v>1575</v>
      </c>
      <c r="W3237" s="10" t="s">
        <v>1575</v>
      </c>
      <c r="X3237" s="10" t="str">
        <f t="shared" si="3086"/>
        <v>NA</v>
      </c>
      <c r="Y3237" s="10" t="str">
        <f t="shared" si="3087"/>
        <v>NA</v>
      </c>
      <c r="Z3237" s="10" t="str">
        <f t="shared" si="3088"/>
        <v>NA</v>
      </c>
      <c r="AA3237" s="10" t="str">
        <f t="shared" si="3089"/>
        <v>NA</v>
      </c>
      <c r="AB3237" s="10" t="str">
        <f t="shared" si="3090"/>
        <v>NA</v>
      </c>
      <c r="AC3237" s="10" t="str">
        <f t="shared" si="3091"/>
        <v>NA</v>
      </c>
      <c r="AD3237" s="10" t="str">
        <f t="shared" si="3092"/>
        <v>NA</v>
      </c>
      <c r="AE3237" s="10" t="str">
        <f t="shared" si="3093"/>
        <v>NA</v>
      </c>
      <c r="AF3237" s="1" t="s">
        <v>3599</v>
      </c>
    </row>
    <row r="3238" spans="1:32" x14ac:dyDescent="0.2">
      <c r="A3238" s="1" t="s">
        <v>3600</v>
      </c>
      <c r="B3238" s="1" t="s">
        <v>5</v>
      </c>
      <c r="C3238" s="1" t="s">
        <v>1575</v>
      </c>
      <c r="D3238" s="1" t="s">
        <v>1584</v>
      </c>
      <c r="E3238" s="1" t="s">
        <v>1587</v>
      </c>
      <c r="F3238" s="1" t="s">
        <v>3601</v>
      </c>
      <c r="G3238" s="4">
        <v>1</v>
      </c>
      <c r="H3238" s="28">
        <v>42735</v>
      </c>
      <c r="I3238" s="29">
        <f t="shared" ref="I3238:I3253" si="3114">YEAR(H3238)</f>
        <v>2016</v>
      </c>
      <c r="J3238" s="1" t="s">
        <v>3532</v>
      </c>
      <c r="K3238" s="1" t="s">
        <v>7</v>
      </c>
      <c r="L3238" s="11" t="str">
        <f t="shared" ref="L3238" si="3115">IF(OR(A3238=J3238,A3238=K3238),"ДА","НЕТ")</f>
        <v>НЕТ</v>
      </c>
      <c r="M3238" s="10">
        <v>0</v>
      </c>
      <c r="N3238" s="10">
        <v>0</v>
      </c>
      <c r="O3238" s="10">
        <v>7.1349999999999998</v>
      </c>
      <c r="P3238" s="10">
        <f t="shared" si="3082"/>
        <v>7.1349999999999998</v>
      </c>
      <c r="Q3238" s="10" t="str">
        <f t="shared" si="3083"/>
        <v>NA</v>
      </c>
      <c r="R3238" s="10" t="s">
        <v>1575</v>
      </c>
      <c r="S3238" s="10" t="s">
        <v>1575</v>
      </c>
      <c r="T3238" s="10" t="s">
        <v>1575</v>
      </c>
      <c r="U3238" s="10" t="s">
        <v>1575</v>
      </c>
      <c r="V3238" s="10" t="s">
        <v>1575</v>
      </c>
      <c r="W3238" s="10" t="s">
        <v>1575</v>
      </c>
      <c r="X3238" s="10" t="str">
        <f t="shared" si="3086"/>
        <v>NA</v>
      </c>
      <c r="Y3238" s="10" t="str">
        <f t="shared" si="3087"/>
        <v>NA</v>
      </c>
      <c r="Z3238" s="10" t="str">
        <f t="shared" si="3088"/>
        <v>NA</v>
      </c>
      <c r="AA3238" s="10" t="str">
        <f t="shared" si="3089"/>
        <v>NA</v>
      </c>
      <c r="AB3238" s="10" t="str">
        <f t="shared" si="3090"/>
        <v>NA</v>
      </c>
      <c r="AC3238" s="10" t="str">
        <f t="shared" si="3091"/>
        <v>NA</v>
      </c>
      <c r="AD3238" s="10" t="str">
        <f t="shared" si="3092"/>
        <v>NA</v>
      </c>
      <c r="AE3238" s="10" t="str">
        <f t="shared" si="3093"/>
        <v>NA</v>
      </c>
      <c r="AF3238" s="1" t="s">
        <v>3599</v>
      </c>
    </row>
    <row r="3239" spans="1:32" x14ac:dyDescent="0.2">
      <c r="A3239" s="1" t="s">
        <v>3604</v>
      </c>
      <c r="B3239" s="1" t="s">
        <v>179</v>
      </c>
      <c r="C3239" s="1" t="s">
        <v>1575</v>
      </c>
      <c r="D3239" s="1" t="s">
        <v>1584</v>
      </c>
      <c r="E3239" s="1" t="s">
        <v>3486</v>
      </c>
      <c r="F3239" s="1" t="s">
        <v>46</v>
      </c>
      <c r="G3239" s="4">
        <v>0.25</v>
      </c>
      <c r="H3239" s="28">
        <v>42613</v>
      </c>
      <c r="I3239" s="29">
        <f t="shared" si="3114"/>
        <v>2016</v>
      </c>
      <c r="J3239" s="1" t="s">
        <v>3532</v>
      </c>
      <c r="K3239" s="1" t="s">
        <v>7</v>
      </c>
      <c r="L3239" s="11" t="str">
        <f t="shared" ref="L3239:L3241" si="3116">IF(OR(A3239=J3239,A3239=K3239),"ДА","НЕТ")</f>
        <v>НЕТ</v>
      </c>
      <c r="M3239" s="10">
        <v>0</v>
      </c>
      <c r="N3239" s="10">
        <v>0</v>
      </c>
      <c r="O3239" s="10">
        <v>1.7929999999999999</v>
      </c>
      <c r="P3239" s="10">
        <f t="shared" si="3082"/>
        <v>7.1719999999999997</v>
      </c>
      <c r="Q3239" s="10" t="str">
        <f t="shared" si="3083"/>
        <v>NA</v>
      </c>
      <c r="R3239" s="10" t="s">
        <v>1575</v>
      </c>
      <c r="S3239" s="10" t="s">
        <v>1575</v>
      </c>
      <c r="T3239" s="10" t="s">
        <v>1575</v>
      </c>
      <c r="U3239" s="10" t="s">
        <v>1575</v>
      </c>
      <c r="V3239" s="10" t="s">
        <v>1575</v>
      </c>
      <c r="W3239" s="10" t="s">
        <v>1575</v>
      </c>
      <c r="X3239" s="10" t="str">
        <f t="shared" si="3086"/>
        <v>NA</v>
      </c>
      <c r="Y3239" s="10" t="str">
        <f t="shared" si="3087"/>
        <v>NA</v>
      </c>
      <c r="Z3239" s="10" t="str">
        <f t="shared" si="3088"/>
        <v>NA</v>
      </c>
      <c r="AA3239" s="10" t="str">
        <f t="shared" si="3089"/>
        <v>NA</v>
      </c>
      <c r="AB3239" s="10" t="str">
        <f t="shared" si="3090"/>
        <v>NA</v>
      </c>
      <c r="AC3239" s="10" t="str">
        <f t="shared" si="3091"/>
        <v>NA</v>
      </c>
      <c r="AD3239" s="10" t="str">
        <f t="shared" si="3092"/>
        <v>NA</v>
      </c>
      <c r="AE3239" s="10" t="str">
        <f t="shared" si="3093"/>
        <v>NA</v>
      </c>
      <c r="AF3239" s="1" t="s">
        <v>3602</v>
      </c>
    </row>
    <row r="3240" spans="1:32" x14ac:dyDescent="0.2">
      <c r="A3240" s="1" t="s">
        <v>3576</v>
      </c>
      <c r="B3240" s="1" t="s">
        <v>1575</v>
      </c>
      <c r="C3240" s="1" t="s">
        <v>1575</v>
      </c>
      <c r="D3240" s="1" t="s">
        <v>1584</v>
      </c>
      <c r="E3240" s="1" t="s">
        <v>3486</v>
      </c>
      <c r="F3240" s="1" t="s">
        <v>46</v>
      </c>
      <c r="G3240" s="4" t="s">
        <v>1575</v>
      </c>
      <c r="H3240" s="28">
        <v>42735</v>
      </c>
      <c r="I3240" s="29">
        <f t="shared" si="3114"/>
        <v>2016</v>
      </c>
      <c r="J3240" s="1" t="s">
        <v>7</v>
      </c>
      <c r="K3240" s="1" t="s">
        <v>3532</v>
      </c>
      <c r="L3240" s="11" t="str">
        <f t="shared" si="3116"/>
        <v>НЕТ</v>
      </c>
      <c r="M3240" s="10">
        <v>0</v>
      </c>
      <c r="N3240" s="10">
        <v>0</v>
      </c>
      <c r="O3240" s="10">
        <v>1.4999999999999999E-2</v>
      </c>
      <c r="P3240" s="10" t="str">
        <f t="shared" si="3082"/>
        <v>NA</v>
      </c>
      <c r="Q3240" s="10" t="str">
        <f t="shared" si="3083"/>
        <v>NA</v>
      </c>
      <c r="R3240" s="10" t="s">
        <v>1575</v>
      </c>
      <c r="S3240" s="10" t="s">
        <v>1575</v>
      </c>
      <c r="T3240" s="10" t="s">
        <v>1575</v>
      </c>
      <c r="U3240" s="10" t="s">
        <v>1575</v>
      </c>
      <c r="V3240" s="10">
        <v>1.2E-2</v>
      </c>
      <c r="W3240" s="10">
        <f>0.022-0</f>
        <v>2.1999999999999999E-2</v>
      </c>
      <c r="X3240" s="10">
        <f t="shared" si="3086"/>
        <v>3.4000000000000002E-2</v>
      </c>
      <c r="Y3240" s="10" t="str">
        <f t="shared" si="3087"/>
        <v>NA</v>
      </c>
      <c r="Z3240" s="10" t="str">
        <f t="shared" si="3088"/>
        <v>NA</v>
      </c>
      <c r="AA3240" s="10" t="str">
        <f t="shared" si="3089"/>
        <v>NA</v>
      </c>
      <c r="AB3240" s="10" t="str">
        <f t="shared" si="3090"/>
        <v>NA</v>
      </c>
      <c r="AC3240" s="10" t="str">
        <f t="shared" si="3091"/>
        <v>NA</v>
      </c>
      <c r="AD3240" s="10" t="str">
        <f t="shared" si="3092"/>
        <v>NA</v>
      </c>
      <c r="AE3240" s="10" t="str">
        <f t="shared" si="3093"/>
        <v>NA</v>
      </c>
      <c r="AF3240" s="1" t="s">
        <v>3603</v>
      </c>
    </row>
    <row r="3241" spans="1:32" x14ac:dyDescent="0.2">
      <c r="A3241" s="1" t="s">
        <v>2193</v>
      </c>
      <c r="B3241" s="1" t="s">
        <v>5</v>
      </c>
      <c r="C3241" s="1" t="s">
        <v>1575</v>
      </c>
      <c r="D3241" s="1" t="s">
        <v>1584</v>
      </c>
      <c r="E3241" s="1" t="s">
        <v>3486</v>
      </c>
      <c r="F3241" s="1" t="s">
        <v>46</v>
      </c>
      <c r="G3241" s="4" t="s">
        <v>1575</v>
      </c>
      <c r="H3241" s="28">
        <v>42369</v>
      </c>
      <c r="I3241" s="29">
        <f t="shared" si="3114"/>
        <v>2015</v>
      </c>
      <c r="J3241" s="1" t="s">
        <v>7</v>
      </c>
      <c r="K3241" s="1" t="s">
        <v>3532</v>
      </c>
      <c r="L3241" s="11" t="str">
        <f t="shared" si="3116"/>
        <v>НЕТ</v>
      </c>
      <c r="M3241" s="10">
        <v>0</v>
      </c>
      <c r="N3241" s="10">
        <v>0</v>
      </c>
      <c r="O3241" s="10">
        <v>0.42099999999999999</v>
      </c>
      <c r="P3241" s="10" t="str">
        <f t="shared" si="3082"/>
        <v>NA</v>
      </c>
      <c r="Q3241" s="10" t="str">
        <f t="shared" si="3083"/>
        <v>NA</v>
      </c>
      <c r="R3241" s="10" t="s">
        <v>1575</v>
      </c>
      <c r="S3241" s="10" t="s">
        <v>1575</v>
      </c>
      <c r="T3241" s="10" t="s">
        <v>1575</v>
      </c>
      <c r="U3241" s="10" t="s">
        <v>1575</v>
      </c>
      <c r="V3241" s="10">
        <v>-0.375</v>
      </c>
      <c r="W3241" s="10">
        <f>0.088-0</f>
        <v>8.7999999999999995E-2</v>
      </c>
      <c r="X3241" s="10">
        <f t="shared" si="3086"/>
        <v>-0.28700000000000003</v>
      </c>
      <c r="Y3241" s="10" t="str">
        <f t="shared" si="3087"/>
        <v>NA</v>
      </c>
      <c r="Z3241" s="10" t="str">
        <f t="shared" si="3088"/>
        <v>NA</v>
      </c>
      <c r="AA3241" s="10" t="str">
        <f t="shared" si="3089"/>
        <v>NA</v>
      </c>
      <c r="AB3241" s="10" t="str">
        <f t="shared" si="3090"/>
        <v>NA</v>
      </c>
      <c r="AC3241" s="10" t="str">
        <f t="shared" si="3091"/>
        <v>NA</v>
      </c>
      <c r="AD3241" s="10" t="str">
        <f t="shared" si="3092"/>
        <v>NA</v>
      </c>
      <c r="AE3241" s="10" t="str">
        <f t="shared" si="3093"/>
        <v>NA</v>
      </c>
      <c r="AF3241" s="1" t="s">
        <v>3603</v>
      </c>
    </row>
    <row r="3242" spans="1:32" x14ac:dyDescent="0.2">
      <c r="A3242" s="1" t="s">
        <v>2193</v>
      </c>
      <c r="B3242" s="1" t="s">
        <v>5</v>
      </c>
      <c r="C3242" s="1" t="s">
        <v>1575</v>
      </c>
      <c r="D3242" s="1" t="s">
        <v>1584</v>
      </c>
      <c r="E3242" s="1" t="s">
        <v>3486</v>
      </c>
      <c r="F3242" s="1" t="s">
        <v>46</v>
      </c>
      <c r="G3242" s="4" t="s">
        <v>1575</v>
      </c>
      <c r="H3242" s="28">
        <v>42004</v>
      </c>
      <c r="I3242" s="29">
        <f t="shared" si="3114"/>
        <v>2014</v>
      </c>
      <c r="J3242" s="1" t="s">
        <v>7</v>
      </c>
      <c r="K3242" s="1" t="s">
        <v>3532</v>
      </c>
      <c r="L3242" s="11" t="str">
        <f t="shared" ref="L3242" si="3117">IF(OR(A3242=J3242,A3242=K3242),"ДА","НЕТ")</f>
        <v>НЕТ</v>
      </c>
      <c r="M3242" s="10">
        <v>0</v>
      </c>
      <c r="N3242" s="10">
        <v>0</v>
      </c>
      <c r="O3242" s="10">
        <v>4.3999999999999997E-2</v>
      </c>
      <c r="P3242" s="10" t="str">
        <f t="shared" si="3082"/>
        <v>NA</v>
      </c>
      <c r="Q3242" s="10" t="str">
        <f t="shared" si="3083"/>
        <v>NA</v>
      </c>
      <c r="R3242" s="10" t="s">
        <v>1575</v>
      </c>
      <c r="S3242" s="10" t="s">
        <v>1575</v>
      </c>
      <c r="T3242" s="10" t="s">
        <v>1575</v>
      </c>
      <c r="U3242" s="10" t="s">
        <v>1575</v>
      </c>
      <c r="V3242" s="10">
        <v>-2E-3</v>
      </c>
      <c r="W3242" s="10">
        <f>0-0</f>
        <v>0</v>
      </c>
      <c r="X3242" s="10">
        <f t="shared" si="3086"/>
        <v>-2E-3</v>
      </c>
      <c r="Y3242" s="10" t="str">
        <f t="shared" si="3087"/>
        <v>NA</v>
      </c>
      <c r="Z3242" s="10" t="str">
        <f t="shared" si="3088"/>
        <v>NA</v>
      </c>
      <c r="AA3242" s="10" t="str">
        <f t="shared" si="3089"/>
        <v>NA</v>
      </c>
      <c r="AB3242" s="10" t="str">
        <f t="shared" si="3090"/>
        <v>NA</v>
      </c>
      <c r="AC3242" s="10" t="str">
        <f t="shared" si="3091"/>
        <v>NA</v>
      </c>
      <c r="AD3242" s="10" t="str">
        <f t="shared" si="3092"/>
        <v>NA</v>
      </c>
      <c r="AE3242" s="10" t="str">
        <f t="shared" si="3093"/>
        <v>NA</v>
      </c>
      <c r="AF3242" s="1" t="s">
        <v>3605</v>
      </c>
    </row>
    <row r="3243" spans="1:32" x14ac:dyDescent="0.2">
      <c r="A3243" s="1" t="s">
        <v>3606</v>
      </c>
      <c r="B3243" s="1" t="s">
        <v>5</v>
      </c>
      <c r="C3243" s="1" t="s">
        <v>1575</v>
      </c>
      <c r="D3243" s="1" t="s">
        <v>1584</v>
      </c>
      <c r="E3243" s="1" t="s">
        <v>1586</v>
      </c>
      <c r="F3243" s="1" t="s">
        <v>3607</v>
      </c>
      <c r="G3243" s="4">
        <v>0.75</v>
      </c>
      <c r="H3243" s="28">
        <v>41639</v>
      </c>
      <c r="I3243" s="29">
        <f t="shared" si="3114"/>
        <v>2013</v>
      </c>
      <c r="J3243" s="1" t="s">
        <v>7</v>
      </c>
      <c r="K3243" s="1" t="s">
        <v>3532</v>
      </c>
      <c r="L3243" s="11" t="str">
        <f t="shared" ref="L3243:L3244" si="3118">IF(OR(A3243=J3243,A3243=K3243),"ДА","НЕТ")</f>
        <v>НЕТ</v>
      </c>
      <c r="M3243" s="10">
        <v>0</v>
      </c>
      <c r="N3243" s="10">
        <v>0</v>
      </c>
      <c r="O3243" s="10">
        <v>0.45600000000000002</v>
      </c>
      <c r="P3243" s="10">
        <f t="shared" si="3082"/>
        <v>0.60799999999999998</v>
      </c>
      <c r="Q3243" s="10" t="str">
        <f t="shared" si="3083"/>
        <v>NA</v>
      </c>
      <c r="R3243" s="10" t="s">
        <v>1575</v>
      </c>
      <c r="S3243" s="10" t="s">
        <v>1575</v>
      </c>
      <c r="T3243" s="10" t="s">
        <v>1575</v>
      </c>
      <c r="U3243" s="10" t="s">
        <v>1575</v>
      </c>
      <c r="V3243" s="10" t="s">
        <v>1575</v>
      </c>
      <c r="W3243" s="10" t="s">
        <v>1575</v>
      </c>
      <c r="X3243" s="10" t="str">
        <f t="shared" si="3086"/>
        <v>NA</v>
      </c>
      <c r="Y3243" s="10" t="str">
        <f t="shared" si="3087"/>
        <v>NA</v>
      </c>
      <c r="Z3243" s="10" t="str">
        <f t="shared" si="3088"/>
        <v>NA</v>
      </c>
      <c r="AA3243" s="10" t="str">
        <f t="shared" si="3089"/>
        <v>NA</v>
      </c>
      <c r="AB3243" s="10" t="str">
        <f t="shared" si="3090"/>
        <v>NA</v>
      </c>
      <c r="AC3243" s="10" t="str">
        <f t="shared" si="3091"/>
        <v>NA</v>
      </c>
      <c r="AD3243" s="10" t="str">
        <f t="shared" si="3092"/>
        <v>NA</v>
      </c>
      <c r="AE3243" s="10" t="str">
        <f t="shared" si="3093"/>
        <v>NA</v>
      </c>
      <c r="AF3243" s="1" t="s">
        <v>3608</v>
      </c>
    </row>
    <row r="3244" spans="1:32" x14ac:dyDescent="0.2">
      <c r="A3244" s="1" t="s">
        <v>3606</v>
      </c>
      <c r="B3244" s="1" t="s">
        <v>5</v>
      </c>
      <c r="C3244" s="1" t="s">
        <v>1575</v>
      </c>
      <c r="D3244" s="1" t="s">
        <v>1584</v>
      </c>
      <c r="E3244" s="1" t="s">
        <v>1586</v>
      </c>
      <c r="F3244" s="1" t="s">
        <v>3607</v>
      </c>
      <c r="G3244" s="4">
        <v>0.75</v>
      </c>
      <c r="H3244" s="28">
        <v>41274</v>
      </c>
      <c r="I3244" s="29">
        <f t="shared" si="3114"/>
        <v>2012</v>
      </c>
      <c r="J3244" s="1" t="s">
        <v>7</v>
      </c>
      <c r="K3244" s="1" t="s">
        <v>3532</v>
      </c>
      <c r="L3244" s="11" t="str">
        <f t="shared" si="3118"/>
        <v>НЕТ</v>
      </c>
      <c r="M3244" s="10">
        <v>0</v>
      </c>
      <c r="N3244" s="10">
        <v>0</v>
      </c>
      <c r="O3244" s="10">
        <v>0.79700000000000004</v>
      </c>
      <c r="P3244" s="10">
        <f t="shared" si="3082"/>
        <v>1.0626666666666666</v>
      </c>
      <c r="Q3244" s="10" t="str">
        <f t="shared" si="3083"/>
        <v>NA</v>
      </c>
      <c r="R3244" s="10" t="s">
        <v>1575</v>
      </c>
      <c r="S3244" s="10" t="s">
        <v>1575</v>
      </c>
      <c r="T3244" s="10" t="s">
        <v>1575</v>
      </c>
      <c r="U3244" s="10" t="s">
        <v>1575</v>
      </c>
      <c r="V3244" s="10" t="s">
        <v>1575</v>
      </c>
      <c r="W3244" s="10" t="s">
        <v>1575</v>
      </c>
      <c r="X3244" s="10" t="str">
        <f t="shared" si="3086"/>
        <v>NA</v>
      </c>
      <c r="Y3244" s="10" t="str">
        <f t="shared" si="3087"/>
        <v>NA</v>
      </c>
      <c r="Z3244" s="10" t="str">
        <f t="shared" si="3088"/>
        <v>NA</v>
      </c>
      <c r="AA3244" s="10" t="str">
        <f t="shared" si="3089"/>
        <v>NA</v>
      </c>
      <c r="AB3244" s="10" t="str">
        <f t="shared" si="3090"/>
        <v>NA</v>
      </c>
      <c r="AC3244" s="10" t="str">
        <f t="shared" si="3091"/>
        <v>NA</v>
      </c>
      <c r="AD3244" s="10" t="str">
        <f t="shared" si="3092"/>
        <v>NA</v>
      </c>
      <c r="AE3244" s="10" t="str">
        <f t="shared" si="3093"/>
        <v>NA</v>
      </c>
      <c r="AF3244" s="1" t="s">
        <v>3608</v>
      </c>
    </row>
    <row r="3245" spans="1:32" x14ac:dyDescent="0.2">
      <c r="A3245" s="1" t="s">
        <v>3610</v>
      </c>
      <c r="B3245" s="1" t="s">
        <v>5</v>
      </c>
      <c r="C3245" s="1" t="s">
        <v>1575</v>
      </c>
      <c r="D3245" s="1" t="s">
        <v>1584</v>
      </c>
      <c r="E3245" s="1" t="s">
        <v>1586</v>
      </c>
      <c r="F3245" s="1" t="s">
        <v>3611</v>
      </c>
      <c r="G3245" s="4" t="s">
        <v>11</v>
      </c>
      <c r="H3245" s="28">
        <v>41090</v>
      </c>
      <c r="I3245" s="29">
        <f t="shared" si="3114"/>
        <v>2012</v>
      </c>
      <c r="J3245" s="1" t="s">
        <v>7</v>
      </c>
      <c r="K3245" s="1" t="s">
        <v>3532</v>
      </c>
      <c r="L3245" s="11" t="str">
        <f t="shared" ref="L3245" si="3119">IF(OR(A3245=J3245,A3245=K3245),"ДА","НЕТ")</f>
        <v>НЕТ</v>
      </c>
      <c r="M3245" s="10">
        <v>0</v>
      </c>
      <c r="N3245" s="10">
        <v>0</v>
      </c>
      <c r="O3245" s="10">
        <v>0.4</v>
      </c>
      <c r="P3245" s="10" t="str">
        <f t="shared" si="3082"/>
        <v>NA</v>
      </c>
      <c r="Q3245" s="10" t="str">
        <f t="shared" si="3083"/>
        <v>NA</v>
      </c>
      <c r="R3245" s="10" t="s">
        <v>1575</v>
      </c>
      <c r="S3245" s="10" t="s">
        <v>1575</v>
      </c>
      <c r="T3245" s="10" t="s">
        <v>1575</v>
      </c>
      <c r="U3245" s="10" t="s">
        <v>1575</v>
      </c>
      <c r="V3245" s="10" t="s">
        <v>1575</v>
      </c>
      <c r="W3245" s="10" t="s">
        <v>1575</v>
      </c>
      <c r="X3245" s="10" t="str">
        <f t="shared" si="3086"/>
        <v>NA</v>
      </c>
      <c r="Y3245" s="10" t="str">
        <f t="shared" si="3087"/>
        <v>NA</v>
      </c>
      <c r="Z3245" s="10" t="str">
        <f t="shared" si="3088"/>
        <v>NA</v>
      </c>
      <c r="AA3245" s="10" t="str">
        <f t="shared" si="3089"/>
        <v>NA</v>
      </c>
      <c r="AB3245" s="10" t="str">
        <f t="shared" si="3090"/>
        <v>NA</v>
      </c>
      <c r="AC3245" s="10" t="str">
        <f t="shared" si="3091"/>
        <v>NA</v>
      </c>
      <c r="AD3245" s="10" t="str">
        <f t="shared" si="3092"/>
        <v>NA</v>
      </c>
      <c r="AE3245" s="10" t="str">
        <f t="shared" si="3093"/>
        <v>NA</v>
      </c>
      <c r="AF3245" s="1" t="s">
        <v>3609</v>
      </c>
    </row>
    <row r="3246" spans="1:32" x14ac:dyDescent="0.2">
      <c r="A3246" s="1" t="s">
        <v>6850</v>
      </c>
      <c r="B3246" s="1" t="s">
        <v>5</v>
      </c>
      <c r="C3246" s="1" t="s">
        <v>1575</v>
      </c>
      <c r="D3246" s="1" t="s">
        <v>1584</v>
      </c>
      <c r="E3246" s="1" t="s">
        <v>1586</v>
      </c>
      <c r="F3246" s="1" t="s">
        <v>3611</v>
      </c>
      <c r="G3246" s="4" t="s">
        <v>1575</v>
      </c>
      <c r="H3246" s="28">
        <v>40574</v>
      </c>
      <c r="I3246" s="29">
        <f t="shared" si="3114"/>
        <v>2011</v>
      </c>
      <c r="J3246" s="1" t="s">
        <v>7</v>
      </c>
      <c r="K3246" s="1" t="s">
        <v>3532</v>
      </c>
      <c r="L3246" s="11" t="str">
        <f t="shared" ref="L3246:L3250" si="3120">IF(OR(A3246=J3246,A3246=K3246),"ДА","НЕТ")</f>
        <v>НЕТ</v>
      </c>
      <c r="M3246" s="10">
        <v>0</v>
      </c>
      <c r="N3246" s="10">
        <v>0</v>
      </c>
      <c r="O3246" s="10">
        <v>1.72</v>
      </c>
      <c r="P3246" s="10" t="str">
        <f t="shared" si="3082"/>
        <v>NA</v>
      </c>
      <c r="Q3246" s="10" t="str">
        <f t="shared" si="3083"/>
        <v>NA</v>
      </c>
      <c r="R3246" s="10" t="s">
        <v>1575</v>
      </c>
      <c r="S3246" s="10" t="s">
        <v>1575</v>
      </c>
      <c r="T3246" s="10" t="s">
        <v>1575</v>
      </c>
      <c r="U3246" s="10" t="s">
        <v>1575</v>
      </c>
      <c r="V3246" s="10">
        <v>1.772</v>
      </c>
      <c r="W3246" s="10" t="s">
        <v>1575</v>
      </c>
      <c r="X3246" s="10" t="str">
        <f t="shared" si="3086"/>
        <v>NA</v>
      </c>
      <c r="Y3246" s="10" t="str">
        <f t="shared" si="3087"/>
        <v>NA</v>
      </c>
      <c r="Z3246" s="10" t="str">
        <f t="shared" si="3088"/>
        <v>NA</v>
      </c>
      <c r="AA3246" s="10" t="str">
        <f t="shared" si="3089"/>
        <v>NA</v>
      </c>
      <c r="AB3246" s="10" t="str">
        <f t="shared" si="3090"/>
        <v>NA</v>
      </c>
      <c r="AC3246" s="10" t="str">
        <f t="shared" si="3091"/>
        <v>NA</v>
      </c>
      <c r="AD3246" s="10" t="str">
        <f t="shared" si="3092"/>
        <v>NA</v>
      </c>
      <c r="AE3246" s="10" t="str">
        <f t="shared" si="3093"/>
        <v>NA</v>
      </c>
      <c r="AF3246" s="1" t="s">
        <v>3615</v>
      </c>
    </row>
    <row r="3247" spans="1:32" x14ac:dyDescent="0.2">
      <c r="A3247" s="1" t="s">
        <v>6851</v>
      </c>
      <c r="B3247" s="1" t="s">
        <v>5</v>
      </c>
      <c r="C3247" s="1" t="s">
        <v>1575</v>
      </c>
      <c r="D3247" s="1" t="s">
        <v>1584</v>
      </c>
      <c r="E3247" s="1" t="s">
        <v>3486</v>
      </c>
      <c r="F3247" s="1" t="s">
        <v>46</v>
      </c>
      <c r="G3247" s="4">
        <v>1</v>
      </c>
      <c r="H3247" s="28">
        <v>40754</v>
      </c>
      <c r="I3247" s="29">
        <f t="shared" si="3114"/>
        <v>2011</v>
      </c>
      <c r="J3247" s="1" t="s">
        <v>7</v>
      </c>
      <c r="K3247" s="1" t="s">
        <v>3532</v>
      </c>
      <c r="L3247" s="11" t="str">
        <f t="shared" si="3120"/>
        <v>НЕТ</v>
      </c>
      <c r="M3247" s="10">
        <v>0</v>
      </c>
      <c r="N3247" s="10">
        <v>0</v>
      </c>
      <c r="O3247" s="10">
        <v>2.9870000000000001</v>
      </c>
      <c r="P3247" s="10">
        <f t="shared" si="3082"/>
        <v>2.9870000000000001</v>
      </c>
      <c r="Q3247" s="10" t="str">
        <f t="shared" si="3083"/>
        <v>NA</v>
      </c>
      <c r="R3247" s="10" t="s">
        <v>1575</v>
      </c>
      <c r="S3247" s="10" t="s">
        <v>1575</v>
      </c>
      <c r="T3247" s="10" t="s">
        <v>1575</v>
      </c>
      <c r="U3247" s="10" t="s">
        <v>1575</v>
      </c>
      <c r="V3247" s="10">
        <v>1.173</v>
      </c>
      <c r="W3247" s="10" t="s">
        <v>1575</v>
      </c>
      <c r="X3247" s="10" t="str">
        <f t="shared" si="3086"/>
        <v>NA</v>
      </c>
      <c r="Y3247" s="10" t="str">
        <f t="shared" si="3087"/>
        <v>NA</v>
      </c>
      <c r="Z3247" s="10" t="str">
        <f t="shared" si="3088"/>
        <v>NA</v>
      </c>
      <c r="AA3247" s="10">
        <f t="shared" si="3089"/>
        <v>2.5464620630861039</v>
      </c>
      <c r="AB3247" s="10" t="str">
        <f t="shared" si="3090"/>
        <v>NA</v>
      </c>
      <c r="AC3247" s="10" t="str">
        <f t="shared" si="3091"/>
        <v>NA</v>
      </c>
      <c r="AD3247" s="10" t="str">
        <f t="shared" si="3092"/>
        <v>NA</v>
      </c>
      <c r="AE3247" s="10" t="str">
        <f t="shared" si="3093"/>
        <v>NA</v>
      </c>
      <c r="AF3247" s="1" t="s">
        <v>3614</v>
      </c>
    </row>
    <row r="3248" spans="1:32" x14ac:dyDescent="0.2">
      <c r="A3248" s="1" t="s">
        <v>3610</v>
      </c>
      <c r="B3248" s="1" t="s">
        <v>5</v>
      </c>
      <c r="C3248" s="1" t="s">
        <v>1575</v>
      </c>
      <c r="D3248" s="1" t="s">
        <v>1584</v>
      </c>
      <c r="E3248" s="1" t="s">
        <v>1586</v>
      </c>
      <c r="F3248" s="1" t="s">
        <v>3611</v>
      </c>
      <c r="G3248" s="4">
        <v>1</v>
      </c>
      <c r="H3248" s="28">
        <v>40908</v>
      </c>
      <c r="I3248" s="29">
        <f t="shared" si="3114"/>
        <v>2011</v>
      </c>
      <c r="J3248" s="1" t="s">
        <v>7</v>
      </c>
      <c r="K3248" s="1" t="s">
        <v>3532</v>
      </c>
      <c r="L3248" s="11" t="str">
        <f t="shared" si="3120"/>
        <v>НЕТ</v>
      </c>
      <c r="M3248" s="10">
        <v>0</v>
      </c>
      <c r="N3248" s="10">
        <v>0</v>
      </c>
      <c r="O3248" s="10">
        <v>0.755</v>
      </c>
      <c r="P3248" s="10">
        <f t="shared" si="3082"/>
        <v>0.755</v>
      </c>
      <c r="Q3248" s="10" t="str">
        <f t="shared" si="3083"/>
        <v>NA</v>
      </c>
      <c r="R3248" s="10" t="s">
        <v>1575</v>
      </c>
      <c r="S3248" s="10" t="s">
        <v>1575</v>
      </c>
      <c r="T3248" s="10" t="s">
        <v>1575</v>
      </c>
      <c r="U3248" s="10" t="s">
        <v>1575</v>
      </c>
      <c r="V3248" s="10">
        <v>0.219</v>
      </c>
      <c r="W3248" s="10" t="s">
        <v>1575</v>
      </c>
      <c r="X3248" s="10" t="str">
        <f t="shared" si="3086"/>
        <v>NA</v>
      </c>
      <c r="Y3248" s="10" t="str">
        <f t="shared" si="3087"/>
        <v>NA</v>
      </c>
      <c r="Z3248" s="10" t="str">
        <f t="shared" si="3088"/>
        <v>NA</v>
      </c>
      <c r="AA3248" s="10">
        <f t="shared" si="3089"/>
        <v>3.4474885844748857</v>
      </c>
      <c r="AB3248" s="10" t="str">
        <f t="shared" si="3090"/>
        <v>NA</v>
      </c>
      <c r="AC3248" s="10" t="str">
        <f t="shared" si="3091"/>
        <v>NA</v>
      </c>
      <c r="AD3248" s="10" t="str">
        <f t="shared" si="3092"/>
        <v>NA</v>
      </c>
      <c r="AE3248" s="10" t="str">
        <f t="shared" si="3093"/>
        <v>NA</v>
      </c>
      <c r="AF3248" s="1" t="s">
        <v>3612</v>
      </c>
    </row>
    <row r="3249" spans="1:32" x14ac:dyDescent="0.2">
      <c r="A3249" s="1" t="s">
        <v>3620</v>
      </c>
      <c r="B3249" s="1" t="s">
        <v>5</v>
      </c>
      <c r="C3249" s="1" t="s">
        <v>1575</v>
      </c>
      <c r="D3249" s="1" t="s">
        <v>2160</v>
      </c>
      <c r="E3249" s="1" t="s">
        <v>5352</v>
      </c>
      <c r="F3249" s="1" t="s">
        <v>3621</v>
      </c>
      <c r="G3249" s="4" t="s">
        <v>11</v>
      </c>
      <c r="H3249" s="28">
        <v>40049</v>
      </c>
      <c r="I3249" s="29">
        <f t="shared" si="3114"/>
        <v>2009</v>
      </c>
      <c r="J3249" s="1" t="s">
        <v>7</v>
      </c>
      <c r="K3249" s="1" t="s">
        <v>3532</v>
      </c>
      <c r="L3249" s="11" t="str">
        <f t="shared" ref="L3249" si="3121">IF(OR(A3249=J3249,A3249=K3249),"ДА","НЕТ")</f>
        <v>НЕТ</v>
      </c>
      <c r="M3249" s="10">
        <v>0</v>
      </c>
      <c r="N3249" s="10">
        <v>0</v>
      </c>
      <c r="O3249" s="10">
        <v>2.077</v>
      </c>
      <c r="P3249" s="10" t="str">
        <f t="shared" si="3082"/>
        <v>NA</v>
      </c>
      <c r="Q3249" s="10" t="str">
        <f t="shared" si="3083"/>
        <v>NA</v>
      </c>
      <c r="R3249" s="10">
        <v>0.82499999999999996</v>
      </c>
      <c r="S3249" s="10" t="s">
        <v>1575</v>
      </c>
      <c r="T3249" s="10" t="s">
        <v>1575</v>
      </c>
      <c r="U3249" s="10">
        <v>1.1930000000000001</v>
      </c>
      <c r="V3249" s="10">
        <v>0.76400000000000001</v>
      </c>
      <c r="W3249" s="10">
        <f>0.038-0.015</f>
        <v>2.3E-2</v>
      </c>
      <c r="X3249" s="10">
        <f t="shared" si="3086"/>
        <v>0.78700000000000003</v>
      </c>
      <c r="Y3249" s="10" t="str">
        <f t="shared" si="3087"/>
        <v>NA</v>
      </c>
      <c r="Z3249" s="10" t="str">
        <f t="shared" si="3088"/>
        <v>NA</v>
      </c>
      <c r="AA3249" s="10" t="str">
        <f t="shared" si="3089"/>
        <v>NA</v>
      </c>
      <c r="AB3249" s="10" t="str">
        <f t="shared" si="3090"/>
        <v>NA</v>
      </c>
      <c r="AC3249" s="10" t="str">
        <f t="shared" si="3091"/>
        <v>NA</v>
      </c>
      <c r="AD3249" s="10" t="str">
        <f t="shared" si="3092"/>
        <v>NA</v>
      </c>
      <c r="AE3249" s="10" t="str">
        <f t="shared" si="3093"/>
        <v>NA</v>
      </c>
      <c r="AF3249" s="1" t="s">
        <v>3619</v>
      </c>
    </row>
    <row r="3250" spans="1:32" x14ac:dyDescent="0.2">
      <c r="A3250" s="1" t="s">
        <v>6852</v>
      </c>
      <c r="B3250" s="1" t="s">
        <v>5</v>
      </c>
      <c r="C3250" s="1" t="s">
        <v>1575</v>
      </c>
      <c r="D3250" s="1" t="s">
        <v>1584</v>
      </c>
      <c r="E3250" s="1" t="s">
        <v>1587</v>
      </c>
      <c r="F3250" s="1" t="s">
        <v>3640</v>
      </c>
      <c r="G3250" s="4">
        <v>0.4</v>
      </c>
      <c r="H3250" s="28">
        <v>39872</v>
      </c>
      <c r="I3250" s="29">
        <f t="shared" si="3114"/>
        <v>2009</v>
      </c>
      <c r="J3250" s="1" t="s">
        <v>3532</v>
      </c>
      <c r="K3250" s="1" t="s">
        <v>7</v>
      </c>
      <c r="L3250" s="11" t="str">
        <f t="shared" si="3120"/>
        <v>НЕТ</v>
      </c>
      <c r="M3250" s="10">
        <v>0</v>
      </c>
      <c r="N3250" s="10">
        <v>0</v>
      </c>
      <c r="O3250" s="10">
        <v>0.20100000000000001</v>
      </c>
      <c r="P3250" s="10">
        <f t="shared" si="3082"/>
        <v>0.50249999999999995</v>
      </c>
      <c r="Q3250" s="10" t="str">
        <f t="shared" si="3083"/>
        <v>NA</v>
      </c>
      <c r="R3250" s="10" t="s">
        <v>1575</v>
      </c>
      <c r="S3250" s="10" t="s">
        <v>1575</v>
      </c>
      <c r="T3250" s="10" t="s">
        <v>1575</v>
      </c>
      <c r="U3250" s="10" t="s">
        <v>1575</v>
      </c>
      <c r="V3250" s="10">
        <v>6.0999999999999999E-2</v>
      </c>
      <c r="W3250" s="10" t="s">
        <v>1575</v>
      </c>
      <c r="X3250" s="10" t="str">
        <f t="shared" si="3086"/>
        <v>NA</v>
      </c>
      <c r="Y3250" s="10" t="str">
        <f t="shared" si="3087"/>
        <v>NA</v>
      </c>
      <c r="Z3250" s="10" t="str">
        <f t="shared" si="3088"/>
        <v>NA</v>
      </c>
      <c r="AA3250" s="10">
        <f t="shared" si="3089"/>
        <v>8.2377049180327866</v>
      </c>
      <c r="AB3250" s="10" t="str">
        <f t="shared" si="3090"/>
        <v>NA</v>
      </c>
      <c r="AC3250" s="10" t="str">
        <f t="shared" si="3091"/>
        <v>NA</v>
      </c>
      <c r="AD3250" s="10" t="str">
        <f t="shared" si="3092"/>
        <v>NA</v>
      </c>
      <c r="AE3250" s="10" t="str">
        <f t="shared" si="3093"/>
        <v>NA</v>
      </c>
      <c r="AF3250" s="1" t="s">
        <v>3613</v>
      </c>
    </row>
    <row r="3251" spans="1:32" x14ac:dyDescent="0.2">
      <c r="A3251" s="1" t="s">
        <v>3618</v>
      </c>
      <c r="B3251" s="1" t="s">
        <v>179</v>
      </c>
      <c r="C3251" s="1" t="s">
        <v>1575</v>
      </c>
      <c r="D3251" s="1" t="s">
        <v>1584</v>
      </c>
      <c r="E3251" s="1" t="s">
        <v>3594</v>
      </c>
      <c r="F3251" s="1" t="s">
        <v>3595</v>
      </c>
      <c r="G3251" s="4">
        <v>4.3299999999999998E-2</v>
      </c>
      <c r="H3251" s="28">
        <v>39506</v>
      </c>
      <c r="I3251" s="29">
        <f t="shared" si="3114"/>
        <v>2008</v>
      </c>
      <c r="J3251" s="1" t="s">
        <v>3532</v>
      </c>
      <c r="K3251" s="1" t="s">
        <v>7</v>
      </c>
      <c r="L3251" s="11" t="str">
        <f t="shared" ref="L3251" si="3122">IF(OR(A3251=J3251,A3251=K3251),"ДА","НЕТ")</f>
        <v>НЕТ</v>
      </c>
      <c r="M3251" s="10">
        <v>0</v>
      </c>
      <c r="N3251" s="10">
        <v>0</v>
      </c>
      <c r="O3251" s="10">
        <v>0.189</v>
      </c>
      <c r="P3251" s="10">
        <f t="shared" si="3082"/>
        <v>4.3648960739030027</v>
      </c>
      <c r="Q3251" s="10" t="str">
        <f t="shared" si="3083"/>
        <v>NA</v>
      </c>
      <c r="R3251" s="10" t="s">
        <v>1575</v>
      </c>
      <c r="S3251" s="10" t="s">
        <v>1575</v>
      </c>
      <c r="T3251" s="10" t="s">
        <v>1575</v>
      </c>
      <c r="U3251" s="10" t="s">
        <v>1575</v>
      </c>
      <c r="V3251" s="10" t="s">
        <v>1575</v>
      </c>
      <c r="W3251" s="10" t="s">
        <v>1575</v>
      </c>
      <c r="X3251" s="10" t="str">
        <f t="shared" si="3086"/>
        <v>NA</v>
      </c>
      <c r="Y3251" s="10" t="str">
        <f t="shared" si="3087"/>
        <v>NA</v>
      </c>
      <c r="Z3251" s="10" t="str">
        <f t="shared" si="3088"/>
        <v>NA</v>
      </c>
      <c r="AA3251" s="10" t="str">
        <f t="shared" si="3089"/>
        <v>NA</v>
      </c>
      <c r="AB3251" s="10" t="str">
        <f t="shared" si="3090"/>
        <v>NA</v>
      </c>
      <c r="AC3251" s="10" t="str">
        <f t="shared" si="3091"/>
        <v>NA</v>
      </c>
      <c r="AD3251" s="10" t="str">
        <f t="shared" si="3092"/>
        <v>NA</v>
      </c>
      <c r="AE3251" s="10" t="str">
        <f t="shared" si="3093"/>
        <v>NA</v>
      </c>
      <c r="AF3251" s="1" t="s">
        <v>3616</v>
      </c>
    </row>
    <row r="3252" spans="1:32" x14ac:dyDescent="0.2">
      <c r="A3252" s="1" t="s">
        <v>6853</v>
      </c>
      <c r="B3252" s="1" t="s">
        <v>5</v>
      </c>
      <c r="C3252" s="1" t="s">
        <v>1575</v>
      </c>
      <c r="D3252" s="1" t="s">
        <v>1584</v>
      </c>
      <c r="E3252" s="1" t="s">
        <v>3486</v>
      </c>
      <c r="F3252" s="1" t="s">
        <v>46</v>
      </c>
      <c r="G3252" s="4">
        <v>2.81E-2</v>
      </c>
      <c r="H3252" s="28">
        <v>39782</v>
      </c>
      <c r="I3252" s="29">
        <f t="shared" si="3114"/>
        <v>2008</v>
      </c>
      <c r="J3252" s="1" t="s">
        <v>3532</v>
      </c>
      <c r="K3252" s="1" t="s">
        <v>7</v>
      </c>
      <c r="L3252" s="11" t="str">
        <f t="shared" ref="L3252" si="3123">IF(OR(A3252=J3252,A3252=K3252),"ДА","НЕТ")</f>
        <v>НЕТ</v>
      </c>
      <c r="M3252" s="10">
        <v>0</v>
      </c>
      <c r="N3252" s="10">
        <v>0</v>
      </c>
      <c r="O3252" s="10">
        <v>0.185</v>
      </c>
      <c r="P3252" s="10">
        <f t="shared" si="3082"/>
        <v>6.5836298932384345</v>
      </c>
      <c r="Q3252" s="10" t="str">
        <f t="shared" si="3083"/>
        <v>NA</v>
      </c>
      <c r="R3252" s="10" t="s">
        <v>1575</v>
      </c>
      <c r="S3252" s="10" t="s">
        <v>1575</v>
      </c>
      <c r="T3252" s="10" t="s">
        <v>1575</v>
      </c>
      <c r="U3252" s="10" t="s">
        <v>1575</v>
      </c>
      <c r="V3252" s="10" t="s">
        <v>1575</v>
      </c>
      <c r="W3252" s="10" t="s">
        <v>1575</v>
      </c>
      <c r="X3252" s="10" t="str">
        <f t="shared" si="3086"/>
        <v>NA</v>
      </c>
      <c r="Y3252" s="10" t="str">
        <f t="shared" si="3087"/>
        <v>NA</v>
      </c>
      <c r="Z3252" s="10" t="str">
        <f t="shared" si="3088"/>
        <v>NA</v>
      </c>
      <c r="AA3252" s="10" t="str">
        <f t="shared" si="3089"/>
        <v>NA</v>
      </c>
      <c r="AB3252" s="10" t="str">
        <f t="shared" si="3090"/>
        <v>NA</v>
      </c>
      <c r="AC3252" s="10" t="str">
        <f t="shared" si="3091"/>
        <v>NA</v>
      </c>
      <c r="AD3252" s="10" t="str">
        <f t="shared" si="3092"/>
        <v>NA</v>
      </c>
      <c r="AE3252" s="10" t="str">
        <f t="shared" si="3093"/>
        <v>NA</v>
      </c>
      <c r="AF3252" s="1" t="s">
        <v>3617</v>
      </c>
    </row>
    <row r="3253" spans="1:32" x14ac:dyDescent="0.2">
      <c r="A3253" s="1" t="s">
        <v>6854</v>
      </c>
      <c r="B3253" s="1" t="s">
        <v>5</v>
      </c>
      <c r="C3253" s="1" t="s">
        <v>1575</v>
      </c>
      <c r="D3253" s="1" t="s">
        <v>1584</v>
      </c>
      <c r="E3253" s="1" t="s">
        <v>1586</v>
      </c>
      <c r="F3253" s="1" t="s">
        <v>3611</v>
      </c>
      <c r="G3253" s="4">
        <v>1</v>
      </c>
      <c r="H3253" s="28">
        <v>39903</v>
      </c>
      <c r="I3253" s="29">
        <f t="shared" si="3114"/>
        <v>2009</v>
      </c>
      <c r="J3253" s="1" t="s">
        <v>3532</v>
      </c>
      <c r="K3253" s="1" t="s">
        <v>7</v>
      </c>
      <c r="L3253" s="11" t="str">
        <f t="shared" ref="L3253" si="3124">IF(OR(A3253=J3253,A3253=K3253),"ДА","НЕТ")</f>
        <v>НЕТ</v>
      </c>
      <c r="M3253" s="10">
        <v>0</v>
      </c>
      <c r="N3253" s="10">
        <v>0</v>
      </c>
      <c r="O3253" s="10">
        <v>0.83199999999999996</v>
      </c>
      <c r="P3253" s="10">
        <f t="shared" si="3082"/>
        <v>0.83199999999999996</v>
      </c>
      <c r="Q3253" s="10" t="str">
        <f t="shared" si="3083"/>
        <v>NA</v>
      </c>
      <c r="R3253" s="10" t="s">
        <v>1575</v>
      </c>
      <c r="S3253" s="10" t="s">
        <v>1575</v>
      </c>
      <c r="T3253" s="10" t="s">
        <v>1575</v>
      </c>
      <c r="U3253" s="10" t="s">
        <v>1575</v>
      </c>
      <c r="V3253" s="10" t="s">
        <v>1575</v>
      </c>
      <c r="W3253" s="10" t="s">
        <v>1575</v>
      </c>
      <c r="X3253" s="10" t="str">
        <f t="shared" si="3086"/>
        <v>NA</v>
      </c>
      <c r="Y3253" s="10" t="str">
        <f t="shared" si="3087"/>
        <v>NA</v>
      </c>
      <c r="Z3253" s="10" t="str">
        <f t="shared" si="3088"/>
        <v>NA</v>
      </c>
      <c r="AA3253" s="10" t="str">
        <f t="shared" si="3089"/>
        <v>NA</v>
      </c>
      <c r="AB3253" s="10" t="str">
        <f t="shared" si="3090"/>
        <v>NA</v>
      </c>
      <c r="AC3253" s="10" t="str">
        <f t="shared" si="3091"/>
        <v>NA</v>
      </c>
      <c r="AD3253" s="10" t="str">
        <f t="shared" si="3092"/>
        <v>NA</v>
      </c>
      <c r="AE3253" s="10" t="str">
        <f t="shared" si="3093"/>
        <v>NA</v>
      </c>
      <c r="AF3253" s="1" t="s">
        <v>3623</v>
      </c>
    </row>
    <row r="3254" spans="1:32" x14ac:dyDescent="0.2">
      <c r="A3254" s="5" t="s">
        <v>6855</v>
      </c>
      <c r="B3254" s="1" t="s">
        <v>5</v>
      </c>
      <c r="C3254" s="1" t="s">
        <v>1575</v>
      </c>
      <c r="D3254" s="1" t="s">
        <v>1584</v>
      </c>
      <c r="E3254" s="1" t="s">
        <v>1586</v>
      </c>
      <c r="F3254" s="1" t="s">
        <v>3611</v>
      </c>
      <c r="G3254" s="4">
        <v>0.8</v>
      </c>
      <c r="H3254" s="28">
        <v>39478</v>
      </c>
      <c r="I3254" s="29">
        <f t="shared" ref="I3254:I3393" si="3125">YEAR(H3254)</f>
        <v>2008</v>
      </c>
      <c r="J3254" s="1" t="s">
        <v>3532</v>
      </c>
      <c r="K3254" s="1" t="s">
        <v>7</v>
      </c>
      <c r="L3254" s="11" t="str">
        <f t="shared" ref="L3254" si="3126">IF(OR(A3254=J3254,A3254=K3254),"ДА","НЕТ")</f>
        <v>НЕТ</v>
      </c>
      <c r="M3254" s="10">
        <v>0</v>
      </c>
      <c r="N3254" s="10">
        <v>0</v>
      </c>
      <c r="O3254" s="10">
        <v>7.165</v>
      </c>
      <c r="P3254" s="10">
        <f t="shared" si="3082"/>
        <v>8.9562499999999989</v>
      </c>
      <c r="Q3254" s="10" t="str">
        <f t="shared" si="3083"/>
        <v>NA</v>
      </c>
      <c r="R3254" s="10" t="s">
        <v>1575</v>
      </c>
      <c r="S3254" s="10" t="s">
        <v>1575</v>
      </c>
      <c r="T3254" s="10" t="s">
        <v>1575</v>
      </c>
      <c r="U3254" s="10" t="s">
        <v>1575</v>
      </c>
      <c r="V3254" s="10" t="s">
        <v>1575</v>
      </c>
      <c r="W3254" s="10" t="s">
        <v>1575</v>
      </c>
      <c r="X3254" s="10" t="str">
        <f t="shared" si="3086"/>
        <v>NA</v>
      </c>
      <c r="Y3254" s="10" t="str">
        <f t="shared" si="3087"/>
        <v>NA</v>
      </c>
      <c r="Z3254" s="10" t="str">
        <f t="shared" si="3088"/>
        <v>NA</v>
      </c>
      <c r="AA3254" s="10" t="str">
        <f t="shared" si="3089"/>
        <v>NA</v>
      </c>
      <c r="AB3254" s="10" t="str">
        <f t="shared" si="3090"/>
        <v>NA</v>
      </c>
      <c r="AC3254" s="10" t="str">
        <f t="shared" si="3091"/>
        <v>NA</v>
      </c>
      <c r="AD3254" s="10" t="str">
        <f t="shared" si="3092"/>
        <v>NA</v>
      </c>
      <c r="AE3254" s="10" t="str">
        <f t="shared" si="3093"/>
        <v>NA</v>
      </c>
      <c r="AF3254" s="1" t="s">
        <v>3624</v>
      </c>
    </row>
    <row r="3255" spans="1:32" x14ac:dyDescent="0.2">
      <c r="A3255" s="5" t="s">
        <v>3622</v>
      </c>
      <c r="B3255" s="1" t="s">
        <v>179</v>
      </c>
      <c r="C3255" s="1" t="s">
        <v>1575</v>
      </c>
      <c r="D3255" s="1" t="s">
        <v>1584</v>
      </c>
      <c r="E3255" s="1" t="s">
        <v>1586</v>
      </c>
      <c r="F3255" s="1" t="s">
        <v>3611</v>
      </c>
      <c r="G3255" s="4">
        <v>0.5</v>
      </c>
      <c r="H3255" s="28">
        <v>39813</v>
      </c>
      <c r="I3255" s="29">
        <f t="shared" si="3125"/>
        <v>2008</v>
      </c>
      <c r="J3255" s="1" t="s">
        <v>3532</v>
      </c>
      <c r="K3255" s="1" t="s">
        <v>7</v>
      </c>
      <c r="L3255" s="11" t="str">
        <f t="shared" ref="L3255" si="3127">IF(OR(A3255=J3255,A3255=K3255),"ДА","НЕТ")</f>
        <v>НЕТ</v>
      </c>
      <c r="M3255" s="10">
        <v>0</v>
      </c>
      <c r="N3255" s="10">
        <v>0</v>
      </c>
      <c r="O3255" s="10">
        <v>8.0709999999999997</v>
      </c>
      <c r="P3255" s="10">
        <f t="shared" si="3082"/>
        <v>16.141999999999999</v>
      </c>
      <c r="Q3255" s="10" t="str">
        <f t="shared" si="3083"/>
        <v>NA</v>
      </c>
      <c r="R3255" s="10" t="s">
        <v>1575</v>
      </c>
      <c r="S3255" s="10" t="s">
        <v>1575</v>
      </c>
      <c r="T3255" s="10" t="s">
        <v>1575</v>
      </c>
      <c r="U3255" s="10" t="s">
        <v>1575</v>
      </c>
      <c r="V3255" s="10" t="s">
        <v>1575</v>
      </c>
      <c r="W3255" s="10" t="s">
        <v>1575</v>
      </c>
      <c r="X3255" s="10" t="str">
        <f t="shared" si="3086"/>
        <v>NA</v>
      </c>
      <c r="Y3255" s="10" t="str">
        <f t="shared" si="3087"/>
        <v>NA</v>
      </c>
      <c r="Z3255" s="10" t="str">
        <f t="shared" si="3088"/>
        <v>NA</v>
      </c>
      <c r="AA3255" s="10" t="str">
        <f t="shared" si="3089"/>
        <v>NA</v>
      </c>
      <c r="AB3255" s="10" t="str">
        <f t="shared" si="3090"/>
        <v>NA</v>
      </c>
      <c r="AC3255" s="10" t="str">
        <f t="shared" si="3091"/>
        <v>NA</v>
      </c>
      <c r="AD3255" s="10" t="str">
        <f t="shared" si="3092"/>
        <v>NA</v>
      </c>
      <c r="AE3255" s="10" t="str">
        <f t="shared" si="3093"/>
        <v>NA</v>
      </c>
      <c r="AF3255" s="1" t="s">
        <v>3625</v>
      </c>
    </row>
    <row r="3256" spans="1:32" x14ac:dyDescent="0.2">
      <c r="A3256" s="1" t="s">
        <v>2193</v>
      </c>
      <c r="B3256" s="1" t="s">
        <v>5</v>
      </c>
      <c r="C3256" s="1" t="s">
        <v>1575</v>
      </c>
      <c r="D3256" s="1" t="s">
        <v>1584</v>
      </c>
      <c r="E3256" s="1" t="s">
        <v>1586</v>
      </c>
      <c r="F3256" s="1" t="s">
        <v>3611</v>
      </c>
      <c r="G3256" s="4">
        <v>0.2</v>
      </c>
      <c r="H3256" s="28">
        <v>39660</v>
      </c>
      <c r="I3256" s="29">
        <f t="shared" si="3125"/>
        <v>2008</v>
      </c>
      <c r="J3256" s="1" t="s">
        <v>3532</v>
      </c>
      <c r="K3256" s="1" t="s">
        <v>7</v>
      </c>
      <c r="L3256" s="11" t="str">
        <f t="shared" ref="L3256:L3258" si="3128">IF(OR(A3256=J3256,A3256=K3256),"ДА","НЕТ")</f>
        <v>НЕТ</v>
      </c>
      <c r="M3256" s="10">
        <v>0</v>
      </c>
      <c r="N3256" s="10">
        <v>0</v>
      </c>
      <c r="O3256" s="10">
        <v>2.069</v>
      </c>
      <c r="P3256" s="10">
        <f t="shared" si="3082"/>
        <v>10.344999999999999</v>
      </c>
      <c r="Q3256" s="10" t="str">
        <f t="shared" si="3083"/>
        <v>NA</v>
      </c>
      <c r="R3256" s="10" t="s">
        <v>1575</v>
      </c>
      <c r="S3256" s="10" t="s">
        <v>1575</v>
      </c>
      <c r="T3256" s="10" t="s">
        <v>1575</v>
      </c>
      <c r="U3256" s="10" t="s">
        <v>1575</v>
      </c>
      <c r="V3256" s="10" t="s">
        <v>1575</v>
      </c>
      <c r="W3256" s="10" t="s">
        <v>1575</v>
      </c>
      <c r="X3256" s="10" t="str">
        <f t="shared" si="3086"/>
        <v>NA</v>
      </c>
      <c r="Y3256" s="10" t="str">
        <f t="shared" si="3087"/>
        <v>NA</v>
      </c>
      <c r="Z3256" s="10" t="str">
        <f t="shared" si="3088"/>
        <v>NA</v>
      </c>
      <c r="AA3256" s="10" t="str">
        <f t="shared" si="3089"/>
        <v>NA</v>
      </c>
      <c r="AB3256" s="10" t="str">
        <f t="shared" si="3090"/>
        <v>NA</v>
      </c>
      <c r="AC3256" s="10" t="str">
        <f t="shared" si="3091"/>
        <v>NA</v>
      </c>
      <c r="AD3256" s="10" t="str">
        <f t="shared" si="3092"/>
        <v>NA</v>
      </c>
      <c r="AE3256" s="10" t="str">
        <f t="shared" si="3093"/>
        <v>NA</v>
      </c>
      <c r="AF3256" s="1" t="s">
        <v>3627</v>
      </c>
    </row>
    <row r="3257" spans="1:32" x14ac:dyDescent="0.2">
      <c r="A3257" s="1" t="s">
        <v>6856</v>
      </c>
      <c r="B3257" s="1" t="s">
        <v>5</v>
      </c>
      <c r="C3257" s="1" t="s">
        <v>1575</v>
      </c>
      <c r="D3257" s="1" t="s">
        <v>1584</v>
      </c>
      <c r="E3257" s="1" t="s">
        <v>1586</v>
      </c>
      <c r="F3257" s="1" t="s">
        <v>3611</v>
      </c>
      <c r="G3257" s="4">
        <v>1</v>
      </c>
      <c r="H3257" s="28">
        <v>39506</v>
      </c>
      <c r="I3257" s="29">
        <f t="shared" si="3125"/>
        <v>2008</v>
      </c>
      <c r="J3257" s="1" t="s">
        <v>3532</v>
      </c>
      <c r="K3257" s="1" t="s">
        <v>7</v>
      </c>
      <c r="L3257" s="11" t="str">
        <f t="shared" si="3128"/>
        <v>НЕТ</v>
      </c>
      <c r="M3257" s="10">
        <v>0</v>
      </c>
      <c r="N3257" s="10">
        <v>0</v>
      </c>
      <c r="O3257" s="10">
        <v>2.9860000000000002</v>
      </c>
      <c r="P3257" s="10">
        <f t="shared" si="3082"/>
        <v>2.9860000000000002</v>
      </c>
      <c r="Q3257" s="10" t="str">
        <f t="shared" si="3083"/>
        <v>NA</v>
      </c>
      <c r="R3257" s="10" t="s">
        <v>1575</v>
      </c>
      <c r="S3257" s="10" t="s">
        <v>1575</v>
      </c>
      <c r="T3257" s="10" t="s">
        <v>1575</v>
      </c>
      <c r="U3257" s="10" t="s">
        <v>1575</v>
      </c>
      <c r="V3257" s="10" t="s">
        <v>1575</v>
      </c>
      <c r="W3257" s="10" t="s">
        <v>1575</v>
      </c>
      <c r="X3257" s="10" t="str">
        <f t="shared" si="3086"/>
        <v>NA</v>
      </c>
      <c r="Y3257" s="10" t="str">
        <f t="shared" si="3087"/>
        <v>NA</v>
      </c>
      <c r="Z3257" s="10" t="str">
        <f t="shared" si="3088"/>
        <v>NA</v>
      </c>
      <c r="AA3257" s="10" t="str">
        <f t="shared" si="3089"/>
        <v>NA</v>
      </c>
      <c r="AB3257" s="10" t="str">
        <f t="shared" si="3090"/>
        <v>NA</v>
      </c>
      <c r="AC3257" s="10" t="str">
        <f t="shared" si="3091"/>
        <v>NA</v>
      </c>
      <c r="AD3257" s="10" t="str">
        <f t="shared" si="3092"/>
        <v>NA</v>
      </c>
      <c r="AE3257" s="10" t="str">
        <f t="shared" si="3093"/>
        <v>NA</v>
      </c>
      <c r="AF3257" s="1" t="s">
        <v>3626</v>
      </c>
    </row>
    <row r="3258" spans="1:32" x14ac:dyDescent="0.2">
      <c r="A3258" s="1" t="s">
        <v>6857</v>
      </c>
      <c r="B3258" s="1" t="s">
        <v>5</v>
      </c>
      <c r="C3258" s="1" t="s">
        <v>1575</v>
      </c>
      <c r="D3258" s="1" t="s">
        <v>1584</v>
      </c>
      <c r="E3258" s="1" t="s">
        <v>1586</v>
      </c>
      <c r="F3258" s="1" t="s">
        <v>3611</v>
      </c>
      <c r="G3258" s="4">
        <v>1</v>
      </c>
      <c r="H3258" s="28">
        <v>39629</v>
      </c>
      <c r="I3258" s="29">
        <f t="shared" si="3125"/>
        <v>2008</v>
      </c>
      <c r="J3258" s="1" t="s">
        <v>3532</v>
      </c>
      <c r="K3258" s="1" t="s">
        <v>7</v>
      </c>
      <c r="L3258" s="11" t="str">
        <f t="shared" si="3128"/>
        <v>НЕТ</v>
      </c>
      <c r="M3258" s="10">
        <v>0</v>
      </c>
      <c r="N3258" s="10">
        <v>0</v>
      </c>
      <c r="O3258" s="10">
        <v>1.8360000000000001</v>
      </c>
      <c r="P3258" s="10">
        <f t="shared" si="3082"/>
        <v>1.8360000000000001</v>
      </c>
      <c r="Q3258" s="10" t="str">
        <f t="shared" si="3083"/>
        <v>NA</v>
      </c>
      <c r="R3258" s="10" t="s">
        <v>1575</v>
      </c>
      <c r="S3258" s="10" t="s">
        <v>1575</v>
      </c>
      <c r="T3258" s="10" t="s">
        <v>1575</v>
      </c>
      <c r="U3258" s="10" t="s">
        <v>1575</v>
      </c>
      <c r="V3258" s="10" t="s">
        <v>1575</v>
      </c>
      <c r="W3258" s="10" t="s">
        <v>1575</v>
      </c>
      <c r="X3258" s="10" t="str">
        <f t="shared" si="3086"/>
        <v>NA</v>
      </c>
      <c r="Y3258" s="10" t="str">
        <f t="shared" si="3087"/>
        <v>NA</v>
      </c>
      <c r="Z3258" s="10" t="str">
        <f t="shared" si="3088"/>
        <v>NA</v>
      </c>
      <c r="AA3258" s="10" t="str">
        <f t="shared" si="3089"/>
        <v>NA</v>
      </c>
      <c r="AB3258" s="10" t="str">
        <f t="shared" si="3090"/>
        <v>NA</v>
      </c>
      <c r="AC3258" s="10" t="str">
        <f t="shared" si="3091"/>
        <v>NA</v>
      </c>
      <c r="AD3258" s="10" t="str">
        <f t="shared" si="3092"/>
        <v>NA</v>
      </c>
      <c r="AE3258" s="10" t="str">
        <f t="shared" si="3093"/>
        <v>NA</v>
      </c>
      <c r="AF3258" s="1" t="s">
        <v>3628</v>
      </c>
    </row>
    <row r="3259" spans="1:32" x14ac:dyDescent="0.2">
      <c r="A3259" s="1" t="s">
        <v>6858</v>
      </c>
      <c r="B3259" s="1" t="s">
        <v>5</v>
      </c>
      <c r="C3259" s="1" t="s">
        <v>1575</v>
      </c>
      <c r="D3259" s="1" t="s">
        <v>1584</v>
      </c>
      <c r="E3259" s="1" t="s">
        <v>1586</v>
      </c>
      <c r="F3259" s="1" t="s">
        <v>3611</v>
      </c>
      <c r="G3259" s="4">
        <v>0.35</v>
      </c>
      <c r="H3259" s="28">
        <v>39568</v>
      </c>
      <c r="I3259" s="29">
        <f t="shared" si="3125"/>
        <v>2008</v>
      </c>
      <c r="J3259" s="1" t="s">
        <v>3532</v>
      </c>
      <c r="K3259" s="1" t="s">
        <v>7</v>
      </c>
      <c r="L3259" s="11" t="str">
        <f t="shared" ref="L3259:L3261" si="3129">IF(OR(A3259=J3259,A3259=K3259),"ДА","НЕТ")</f>
        <v>НЕТ</v>
      </c>
      <c r="M3259" s="10">
        <v>0</v>
      </c>
      <c r="N3259" s="10">
        <v>0</v>
      </c>
      <c r="O3259" s="10">
        <v>1.0069999999999999</v>
      </c>
      <c r="P3259" s="10">
        <f t="shared" si="3082"/>
        <v>2.8771428571428572</v>
      </c>
      <c r="Q3259" s="10" t="str">
        <f t="shared" si="3083"/>
        <v>NA</v>
      </c>
      <c r="R3259" s="10" t="s">
        <v>1575</v>
      </c>
      <c r="S3259" s="10" t="s">
        <v>1575</v>
      </c>
      <c r="T3259" s="10" t="s">
        <v>1575</v>
      </c>
      <c r="U3259" s="10" t="s">
        <v>1575</v>
      </c>
      <c r="V3259" s="10" t="s">
        <v>1575</v>
      </c>
      <c r="W3259" s="10" t="s">
        <v>1575</v>
      </c>
      <c r="X3259" s="10" t="str">
        <f t="shared" si="3086"/>
        <v>NA</v>
      </c>
      <c r="Y3259" s="10" t="str">
        <f t="shared" si="3087"/>
        <v>NA</v>
      </c>
      <c r="Z3259" s="10" t="str">
        <f t="shared" si="3088"/>
        <v>NA</v>
      </c>
      <c r="AA3259" s="10" t="str">
        <f t="shared" si="3089"/>
        <v>NA</v>
      </c>
      <c r="AB3259" s="10" t="str">
        <f t="shared" si="3090"/>
        <v>NA</v>
      </c>
      <c r="AC3259" s="10" t="str">
        <f t="shared" si="3091"/>
        <v>NA</v>
      </c>
      <c r="AD3259" s="10" t="str">
        <f t="shared" si="3092"/>
        <v>NA</v>
      </c>
      <c r="AE3259" s="10" t="str">
        <f t="shared" si="3093"/>
        <v>NA</v>
      </c>
      <c r="AF3259" s="1" t="s">
        <v>3629</v>
      </c>
    </row>
    <row r="3260" spans="1:32" x14ac:dyDescent="0.2">
      <c r="A3260" s="1" t="s">
        <v>6859</v>
      </c>
      <c r="B3260" s="1" t="s">
        <v>5</v>
      </c>
      <c r="C3260" s="1" t="s">
        <v>1575</v>
      </c>
      <c r="D3260" s="1" t="s">
        <v>1584</v>
      </c>
      <c r="E3260" s="1" t="s">
        <v>1586</v>
      </c>
      <c r="F3260" s="1" t="s">
        <v>3611</v>
      </c>
      <c r="G3260" s="4">
        <v>0.5</v>
      </c>
      <c r="H3260" s="28">
        <v>39782</v>
      </c>
      <c r="I3260" s="29">
        <f t="shared" si="3125"/>
        <v>2008</v>
      </c>
      <c r="J3260" s="1" t="s">
        <v>3532</v>
      </c>
      <c r="K3260" s="1" t="s">
        <v>7</v>
      </c>
      <c r="L3260" s="11" t="str">
        <f t="shared" si="3129"/>
        <v>НЕТ</v>
      </c>
      <c r="M3260" s="10">
        <v>0</v>
      </c>
      <c r="N3260" s="10">
        <v>0</v>
      </c>
      <c r="O3260" s="10">
        <v>0.66500000000000004</v>
      </c>
      <c r="P3260" s="10">
        <f t="shared" si="3082"/>
        <v>1.33</v>
      </c>
      <c r="Q3260" s="10" t="str">
        <f t="shared" si="3083"/>
        <v>NA</v>
      </c>
      <c r="R3260" s="10" t="s">
        <v>1575</v>
      </c>
      <c r="S3260" s="10" t="s">
        <v>1575</v>
      </c>
      <c r="T3260" s="10" t="s">
        <v>1575</v>
      </c>
      <c r="U3260" s="10" t="s">
        <v>1575</v>
      </c>
      <c r="V3260" s="10" t="s">
        <v>1575</v>
      </c>
      <c r="W3260" s="10" t="s">
        <v>1575</v>
      </c>
      <c r="X3260" s="10" t="str">
        <f t="shared" si="3086"/>
        <v>NA</v>
      </c>
      <c r="Y3260" s="10" t="str">
        <f t="shared" si="3087"/>
        <v>NA</v>
      </c>
      <c r="Z3260" s="10" t="str">
        <f t="shared" si="3088"/>
        <v>NA</v>
      </c>
      <c r="AA3260" s="10" t="str">
        <f t="shared" si="3089"/>
        <v>NA</v>
      </c>
      <c r="AB3260" s="10" t="str">
        <f t="shared" si="3090"/>
        <v>NA</v>
      </c>
      <c r="AC3260" s="10" t="str">
        <f t="shared" si="3091"/>
        <v>NA</v>
      </c>
      <c r="AD3260" s="10" t="str">
        <f t="shared" si="3092"/>
        <v>NA</v>
      </c>
      <c r="AE3260" s="10" t="str">
        <f t="shared" si="3093"/>
        <v>NA</v>
      </c>
      <c r="AF3260" s="1" t="s">
        <v>3630</v>
      </c>
    </row>
    <row r="3261" spans="1:32" x14ac:dyDescent="0.2">
      <c r="A3261" s="1" t="s">
        <v>6860</v>
      </c>
      <c r="B3261" s="1" t="s">
        <v>5</v>
      </c>
      <c r="C3261" s="1" t="s">
        <v>1575</v>
      </c>
      <c r="D3261" s="1" t="s">
        <v>1584</v>
      </c>
      <c r="E3261" s="1" t="s">
        <v>1586</v>
      </c>
      <c r="F3261" s="1" t="s">
        <v>3611</v>
      </c>
      <c r="G3261" s="4">
        <v>1</v>
      </c>
      <c r="H3261" s="28">
        <v>39568</v>
      </c>
      <c r="I3261" s="29">
        <f t="shared" si="3125"/>
        <v>2008</v>
      </c>
      <c r="J3261" s="1" t="s">
        <v>3532</v>
      </c>
      <c r="K3261" s="1" t="s">
        <v>7</v>
      </c>
      <c r="L3261" s="11" t="str">
        <f t="shared" si="3129"/>
        <v>НЕТ</v>
      </c>
      <c r="M3261" s="10">
        <v>0</v>
      </c>
      <c r="N3261" s="10">
        <v>0</v>
      </c>
      <c r="O3261" s="10">
        <v>0.52100000000000002</v>
      </c>
      <c r="P3261" s="10">
        <f t="shared" si="3082"/>
        <v>0.52100000000000002</v>
      </c>
      <c r="Q3261" s="10" t="str">
        <f t="shared" si="3083"/>
        <v>NA</v>
      </c>
      <c r="R3261" s="10" t="s">
        <v>1575</v>
      </c>
      <c r="S3261" s="10" t="s">
        <v>1575</v>
      </c>
      <c r="T3261" s="10" t="s">
        <v>1575</v>
      </c>
      <c r="U3261" s="10" t="s">
        <v>1575</v>
      </c>
      <c r="V3261" s="10" t="s">
        <v>1575</v>
      </c>
      <c r="W3261" s="10" t="s">
        <v>1575</v>
      </c>
      <c r="X3261" s="10" t="str">
        <f t="shared" si="3086"/>
        <v>NA</v>
      </c>
      <c r="Y3261" s="10" t="str">
        <f t="shared" si="3087"/>
        <v>NA</v>
      </c>
      <c r="Z3261" s="10" t="str">
        <f t="shared" si="3088"/>
        <v>NA</v>
      </c>
      <c r="AA3261" s="10" t="str">
        <f t="shared" si="3089"/>
        <v>NA</v>
      </c>
      <c r="AB3261" s="10" t="str">
        <f t="shared" si="3090"/>
        <v>NA</v>
      </c>
      <c r="AC3261" s="10" t="str">
        <f t="shared" si="3091"/>
        <v>NA</v>
      </c>
      <c r="AD3261" s="10" t="str">
        <f t="shared" si="3092"/>
        <v>NA</v>
      </c>
      <c r="AE3261" s="10" t="str">
        <f t="shared" si="3093"/>
        <v>NA</v>
      </c>
      <c r="AF3261" s="1" t="s">
        <v>3631</v>
      </c>
    </row>
    <row r="3262" spans="1:32" x14ac:dyDescent="0.2">
      <c r="A3262" s="1" t="s">
        <v>6861</v>
      </c>
      <c r="B3262" s="1" t="s">
        <v>5</v>
      </c>
      <c r="C3262" s="1" t="s">
        <v>1575</v>
      </c>
      <c r="D3262" s="1" t="s">
        <v>1584</v>
      </c>
      <c r="E3262" s="1" t="s">
        <v>3496</v>
      </c>
      <c r="F3262" s="1" t="s">
        <v>3634</v>
      </c>
      <c r="G3262" s="4">
        <v>1</v>
      </c>
      <c r="H3262" s="28">
        <v>39202</v>
      </c>
      <c r="I3262" s="29">
        <f t="shared" si="3125"/>
        <v>2007</v>
      </c>
      <c r="J3262" s="1" t="s">
        <v>3532</v>
      </c>
      <c r="K3262" s="1" t="s">
        <v>7</v>
      </c>
      <c r="L3262" s="11" t="str">
        <f t="shared" ref="L3262:L3264" si="3130">IF(OR(A3262=J3262,A3262=K3262),"ДА","НЕТ")</f>
        <v>НЕТ</v>
      </c>
      <c r="M3262" s="10">
        <v>0</v>
      </c>
      <c r="N3262" s="10">
        <v>0</v>
      </c>
      <c r="O3262" s="10">
        <v>1.0369999999999999</v>
      </c>
      <c r="P3262" s="10">
        <f t="shared" si="3082"/>
        <v>1.0369999999999999</v>
      </c>
      <c r="Q3262" s="10" t="str">
        <f t="shared" si="3083"/>
        <v>NA</v>
      </c>
      <c r="R3262" s="10" t="s">
        <v>1575</v>
      </c>
      <c r="S3262" s="10" t="s">
        <v>1575</v>
      </c>
      <c r="T3262" s="10" t="s">
        <v>1575</v>
      </c>
      <c r="U3262" s="10" t="s">
        <v>1575</v>
      </c>
      <c r="V3262" s="10">
        <f>O3262-0.299</f>
        <v>0.73799999999999999</v>
      </c>
      <c r="W3262" s="10" t="s">
        <v>1575</v>
      </c>
      <c r="X3262" s="10" t="str">
        <f t="shared" si="3086"/>
        <v>NA</v>
      </c>
      <c r="Y3262" s="10" t="str">
        <f t="shared" si="3087"/>
        <v>NA</v>
      </c>
      <c r="Z3262" s="10" t="str">
        <f t="shared" si="3088"/>
        <v>NA</v>
      </c>
      <c r="AA3262" s="10">
        <f t="shared" si="3089"/>
        <v>1.4051490514905147</v>
      </c>
      <c r="AB3262" s="10" t="str">
        <f t="shared" si="3090"/>
        <v>NA</v>
      </c>
      <c r="AC3262" s="10" t="str">
        <f t="shared" si="3091"/>
        <v>NA</v>
      </c>
      <c r="AD3262" s="10" t="str">
        <f t="shared" si="3092"/>
        <v>NA</v>
      </c>
      <c r="AE3262" s="10" t="str">
        <f t="shared" si="3093"/>
        <v>NA</v>
      </c>
      <c r="AF3262" s="1" t="s">
        <v>3632</v>
      </c>
    </row>
    <row r="3263" spans="1:32" x14ac:dyDescent="0.2">
      <c r="A3263" s="1" t="s">
        <v>3618</v>
      </c>
      <c r="B3263" s="1" t="s">
        <v>179</v>
      </c>
      <c r="C3263" s="1" t="s">
        <v>1575</v>
      </c>
      <c r="D3263" s="1" t="s">
        <v>1584</v>
      </c>
      <c r="E3263" s="1" t="s">
        <v>3594</v>
      </c>
      <c r="F3263" s="1" t="s">
        <v>3595</v>
      </c>
      <c r="G3263" s="4" t="s">
        <v>3633</v>
      </c>
      <c r="H3263" s="28">
        <v>39355</v>
      </c>
      <c r="I3263" s="29">
        <f t="shared" si="3125"/>
        <v>2007</v>
      </c>
      <c r="J3263" s="1" t="s">
        <v>3532</v>
      </c>
      <c r="K3263" s="1" t="s">
        <v>7</v>
      </c>
      <c r="L3263" s="11" t="str">
        <f t="shared" si="3130"/>
        <v>НЕТ</v>
      </c>
      <c r="M3263" s="10">
        <v>0</v>
      </c>
      <c r="N3263" s="10">
        <v>0</v>
      </c>
      <c r="O3263" s="10">
        <v>1.347</v>
      </c>
      <c r="P3263" s="10" t="str">
        <f t="shared" si="3082"/>
        <v>NA</v>
      </c>
      <c r="Q3263" s="10" t="str">
        <f t="shared" si="3083"/>
        <v>NA</v>
      </c>
      <c r="R3263" s="10" t="s">
        <v>1575</v>
      </c>
      <c r="S3263" s="10" t="s">
        <v>1575</v>
      </c>
      <c r="T3263" s="10" t="s">
        <v>1575</v>
      </c>
      <c r="U3263" s="10" t="s">
        <v>1575</v>
      </c>
      <c r="V3263" s="10" t="s">
        <v>1575</v>
      </c>
      <c r="W3263" s="10" t="s">
        <v>1575</v>
      </c>
      <c r="X3263" s="10" t="str">
        <f t="shared" si="3086"/>
        <v>NA</v>
      </c>
      <c r="Y3263" s="10" t="str">
        <f t="shared" si="3087"/>
        <v>NA</v>
      </c>
      <c r="Z3263" s="10" t="str">
        <f t="shared" si="3088"/>
        <v>NA</v>
      </c>
      <c r="AA3263" s="10" t="str">
        <f t="shared" si="3089"/>
        <v>NA</v>
      </c>
      <c r="AB3263" s="10" t="str">
        <f t="shared" si="3090"/>
        <v>NA</v>
      </c>
      <c r="AC3263" s="10" t="str">
        <f t="shared" si="3091"/>
        <v>NA</v>
      </c>
      <c r="AD3263" s="10" t="str">
        <f t="shared" si="3092"/>
        <v>NA</v>
      </c>
      <c r="AE3263" s="10" t="str">
        <f t="shared" si="3093"/>
        <v>NA</v>
      </c>
      <c r="AF3263" s="1" t="s">
        <v>3635</v>
      </c>
    </row>
    <row r="3264" spans="1:32" x14ac:dyDescent="0.2">
      <c r="A3264" s="1" t="s">
        <v>6862</v>
      </c>
      <c r="B3264" s="1" t="s">
        <v>5</v>
      </c>
      <c r="C3264" s="1" t="s">
        <v>1575</v>
      </c>
      <c r="D3264" s="1" t="s">
        <v>1584</v>
      </c>
      <c r="E3264" s="1" t="s">
        <v>3496</v>
      </c>
      <c r="F3264" s="1" t="s">
        <v>3504</v>
      </c>
      <c r="G3264" s="4">
        <v>1</v>
      </c>
      <c r="H3264" s="28">
        <v>39416</v>
      </c>
      <c r="I3264" s="29">
        <f t="shared" si="3125"/>
        <v>2007</v>
      </c>
      <c r="J3264" s="1" t="s">
        <v>3532</v>
      </c>
      <c r="K3264" s="1" t="s">
        <v>3638</v>
      </c>
      <c r="L3264" s="11" t="str">
        <f t="shared" si="3130"/>
        <v>НЕТ</v>
      </c>
      <c r="M3264" s="10">
        <v>0</v>
      </c>
      <c r="N3264" s="10">
        <v>0</v>
      </c>
      <c r="O3264" s="10">
        <v>1.2370000000000001</v>
      </c>
      <c r="P3264" s="10">
        <f t="shared" si="3082"/>
        <v>1.2370000000000001</v>
      </c>
      <c r="Q3264" s="10" t="str">
        <f t="shared" si="3083"/>
        <v>NA</v>
      </c>
      <c r="R3264" s="10" t="s">
        <v>1575</v>
      </c>
      <c r="S3264" s="10" t="s">
        <v>1575</v>
      </c>
      <c r="T3264" s="10" t="s">
        <v>1575</v>
      </c>
      <c r="U3264" s="10" t="s">
        <v>1575</v>
      </c>
      <c r="V3264" s="10" t="s">
        <v>1575</v>
      </c>
      <c r="W3264" s="10" t="s">
        <v>1575</v>
      </c>
      <c r="X3264" s="10" t="str">
        <f t="shared" si="3086"/>
        <v>NA</v>
      </c>
      <c r="Y3264" s="10" t="str">
        <f t="shared" si="3087"/>
        <v>NA</v>
      </c>
      <c r="Z3264" s="10" t="str">
        <f t="shared" si="3088"/>
        <v>NA</v>
      </c>
      <c r="AA3264" s="10" t="str">
        <f t="shared" si="3089"/>
        <v>NA</v>
      </c>
      <c r="AB3264" s="10" t="str">
        <f t="shared" si="3090"/>
        <v>NA</v>
      </c>
      <c r="AC3264" s="10" t="str">
        <f t="shared" si="3091"/>
        <v>NA</v>
      </c>
      <c r="AD3264" s="10" t="str">
        <f t="shared" si="3092"/>
        <v>NA</v>
      </c>
      <c r="AE3264" s="10" t="str">
        <f t="shared" si="3093"/>
        <v>NA</v>
      </c>
      <c r="AF3264" s="1" t="s">
        <v>3636</v>
      </c>
    </row>
    <row r="3265" spans="1:32" x14ac:dyDescent="0.2">
      <c r="A3265" s="1" t="s">
        <v>6862</v>
      </c>
      <c r="B3265" s="1" t="s">
        <v>5</v>
      </c>
      <c r="C3265" s="1" t="s">
        <v>1575</v>
      </c>
      <c r="D3265" s="1" t="s">
        <v>1584</v>
      </c>
      <c r="E3265" s="1" t="s">
        <v>3496</v>
      </c>
      <c r="F3265" s="1" t="s">
        <v>3504</v>
      </c>
      <c r="G3265" s="4">
        <v>1</v>
      </c>
      <c r="H3265" s="28">
        <v>39293</v>
      </c>
      <c r="I3265" s="29">
        <f t="shared" si="3125"/>
        <v>2007</v>
      </c>
      <c r="J3265" s="1" t="s">
        <v>3638</v>
      </c>
      <c r="K3265" s="1" t="s">
        <v>7</v>
      </c>
      <c r="L3265" s="11" t="str">
        <f t="shared" ref="L3265:L3273" si="3131">IF(OR(A3265=J3265,A3265=K3265),"ДА","НЕТ")</f>
        <v>НЕТ</v>
      </c>
      <c r="M3265" s="10">
        <v>0</v>
      </c>
      <c r="N3265" s="10">
        <v>0</v>
      </c>
      <c r="O3265" s="10">
        <v>0.63900000000000001</v>
      </c>
      <c r="P3265" s="10">
        <f t="shared" si="3082"/>
        <v>0.63900000000000001</v>
      </c>
      <c r="Q3265" s="10" t="str">
        <f t="shared" si="3083"/>
        <v>NA</v>
      </c>
      <c r="R3265" s="10" t="s">
        <v>1575</v>
      </c>
      <c r="S3265" s="10" t="s">
        <v>1575</v>
      </c>
      <c r="T3265" s="10" t="s">
        <v>1575</v>
      </c>
      <c r="U3265" s="10" t="s">
        <v>1575</v>
      </c>
      <c r="V3265" s="10" t="s">
        <v>1575</v>
      </c>
      <c r="W3265" s="10" t="s">
        <v>1575</v>
      </c>
      <c r="X3265" s="10" t="str">
        <f t="shared" si="3086"/>
        <v>NA</v>
      </c>
      <c r="Y3265" s="10" t="str">
        <f t="shared" si="3087"/>
        <v>NA</v>
      </c>
      <c r="Z3265" s="10" t="str">
        <f t="shared" si="3088"/>
        <v>NA</v>
      </c>
      <c r="AA3265" s="10" t="str">
        <f t="shared" si="3089"/>
        <v>NA</v>
      </c>
      <c r="AB3265" s="10" t="str">
        <f t="shared" si="3090"/>
        <v>NA</v>
      </c>
      <c r="AC3265" s="10" t="str">
        <f t="shared" si="3091"/>
        <v>NA</v>
      </c>
      <c r="AD3265" s="10" t="str">
        <f t="shared" si="3092"/>
        <v>NA</v>
      </c>
      <c r="AE3265" s="10" t="str">
        <f t="shared" si="3093"/>
        <v>NA</v>
      </c>
      <c r="AF3265" s="1" t="s">
        <v>3636</v>
      </c>
    </row>
    <row r="3266" spans="1:32" x14ac:dyDescent="0.2">
      <c r="A3266" s="1" t="s">
        <v>6863</v>
      </c>
      <c r="B3266" s="1" t="s">
        <v>5</v>
      </c>
      <c r="C3266" s="1" t="s">
        <v>1575</v>
      </c>
      <c r="D3266" s="1" t="s">
        <v>1584</v>
      </c>
      <c r="E3266" s="1" t="s">
        <v>3496</v>
      </c>
      <c r="F3266" s="1" t="s">
        <v>3641</v>
      </c>
      <c r="G3266" s="4">
        <v>0.25</v>
      </c>
      <c r="H3266" s="28">
        <v>39233</v>
      </c>
      <c r="I3266" s="29">
        <f t="shared" si="3125"/>
        <v>2007</v>
      </c>
      <c r="J3266" s="1" t="s">
        <v>3532</v>
      </c>
      <c r="K3266" s="1" t="s">
        <v>7</v>
      </c>
      <c r="L3266" s="11" t="str">
        <f t="shared" si="3131"/>
        <v>НЕТ</v>
      </c>
      <c r="M3266" s="10">
        <v>0</v>
      </c>
      <c r="N3266" s="10">
        <v>0</v>
      </c>
      <c r="O3266" s="10">
        <v>3.2000000000000001E-2</v>
      </c>
      <c r="P3266" s="10">
        <f t="shared" si="3082"/>
        <v>0.128</v>
      </c>
      <c r="Q3266" s="10" t="str">
        <f t="shared" si="3083"/>
        <v>NA</v>
      </c>
      <c r="R3266" s="10" t="s">
        <v>1575</v>
      </c>
      <c r="S3266" s="10" t="s">
        <v>1575</v>
      </c>
      <c r="T3266" s="10" t="s">
        <v>1575</v>
      </c>
      <c r="U3266" s="10" t="s">
        <v>1575</v>
      </c>
      <c r="V3266" s="10" t="s">
        <v>1575</v>
      </c>
      <c r="W3266" s="10" t="s">
        <v>1575</v>
      </c>
      <c r="X3266" s="10" t="str">
        <f t="shared" si="3086"/>
        <v>NA</v>
      </c>
      <c r="Y3266" s="10" t="str">
        <f t="shared" si="3087"/>
        <v>NA</v>
      </c>
      <c r="Z3266" s="10" t="str">
        <f t="shared" si="3088"/>
        <v>NA</v>
      </c>
      <c r="AA3266" s="10" t="str">
        <f t="shared" si="3089"/>
        <v>NA</v>
      </c>
      <c r="AB3266" s="10" t="str">
        <f t="shared" si="3090"/>
        <v>NA</v>
      </c>
      <c r="AC3266" s="10" t="str">
        <f t="shared" si="3091"/>
        <v>NA</v>
      </c>
      <c r="AD3266" s="10" t="str">
        <f t="shared" si="3092"/>
        <v>NA</v>
      </c>
      <c r="AE3266" s="10" t="str">
        <f t="shared" si="3093"/>
        <v>NA</v>
      </c>
      <c r="AF3266" s="1" t="s">
        <v>3637</v>
      </c>
    </row>
    <row r="3267" spans="1:32" x14ac:dyDescent="0.2">
      <c r="A3267" s="1" t="s">
        <v>6852</v>
      </c>
      <c r="B3267" s="1" t="s">
        <v>5</v>
      </c>
      <c r="C3267" s="1" t="s">
        <v>1575</v>
      </c>
      <c r="D3267" s="1" t="s">
        <v>1584</v>
      </c>
      <c r="E3267" s="1" t="s">
        <v>1587</v>
      </c>
      <c r="F3267" s="1" t="s">
        <v>3640</v>
      </c>
      <c r="G3267" s="4">
        <v>0.56999999999999995</v>
      </c>
      <c r="H3267" s="28">
        <v>39355</v>
      </c>
      <c r="I3267" s="29">
        <f t="shared" si="3125"/>
        <v>2007</v>
      </c>
      <c r="J3267" s="1" t="s">
        <v>3532</v>
      </c>
      <c r="K3267" s="1" t="s">
        <v>7</v>
      </c>
      <c r="L3267" s="11" t="str">
        <f t="shared" si="3131"/>
        <v>НЕТ</v>
      </c>
      <c r="M3267" s="10">
        <v>0</v>
      </c>
      <c r="N3267" s="10">
        <v>0</v>
      </c>
      <c r="O3267" s="10">
        <v>0.16</v>
      </c>
      <c r="P3267" s="10">
        <f t="shared" ref="P3267:P3330" si="3132">IFERROR(O3267/G3267,"NA")</f>
        <v>0.28070175438596495</v>
      </c>
      <c r="Q3267" s="10" t="str">
        <f t="shared" ref="Q3267:Q3330" si="3133">IFERROR(P3267+W3267,"NA")</f>
        <v>NA</v>
      </c>
      <c r="R3267" s="10" t="s">
        <v>1575</v>
      </c>
      <c r="S3267" s="10" t="s">
        <v>1575</v>
      </c>
      <c r="T3267" s="10" t="s">
        <v>1575</v>
      </c>
      <c r="U3267" s="10" t="s">
        <v>1575</v>
      </c>
      <c r="V3267" s="10" t="s">
        <v>1575</v>
      </c>
      <c r="W3267" s="10" t="s">
        <v>1575</v>
      </c>
      <c r="X3267" s="10" t="str">
        <f t="shared" si="3086"/>
        <v>NA</v>
      </c>
      <c r="Y3267" s="10" t="str">
        <f t="shared" si="3087"/>
        <v>NA</v>
      </c>
      <c r="Z3267" s="10" t="str">
        <f t="shared" si="3088"/>
        <v>NA</v>
      </c>
      <c r="AA3267" s="10" t="str">
        <f t="shared" si="3089"/>
        <v>NA</v>
      </c>
      <c r="AB3267" s="10" t="str">
        <f t="shared" si="3090"/>
        <v>NA</v>
      </c>
      <c r="AC3267" s="10" t="str">
        <f t="shared" si="3091"/>
        <v>NA</v>
      </c>
      <c r="AD3267" s="10" t="str">
        <f t="shared" si="3092"/>
        <v>NA</v>
      </c>
      <c r="AE3267" s="10" t="str">
        <f t="shared" si="3093"/>
        <v>NA</v>
      </c>
      <c r="AF3267" s="1" t="s">
        <v>3639</v>
      </c>
    </row>
    <row r="3268" spans="1:32" x14ac:dyDescent="0.2">
      <c r="A3268" s="1" t="s">
        <v>3604</v>
      </c>
      <c r="B3268" s="1" t="s">
        <v>179</v>
      </c>
      <c r="C3268" s="1" t="s">
        <v>1575</v>
      </c>
      <c r="D3268" s="1" t="s">
        <v>1584</v>
      </c>
      <c r="E3268" s="1" t="s">
        <v>3486</v>
      </c>
      <c r="F3268" s="1" t="s">
        <v>46</v>
      </c>
      <c r="G3268" s="4">
        <v>0.25</v>
      </c>
      <c r="H3268" s="28">
        <v>39447</v>
      </c>
      <c r="I3268" s="29">
        <f t="shared" si="3125"/>
        <v>2007</v>
      </c>
      <c r="J3268" s="1" t="s">
        <v>7</v>
      </c>
      <c r="K3268" s="1" t="s">
        <v>3532</v>
      </c>
      <c r="L3268" s="11" t="str">
        <f t="shared" si="3131"/>
        <v>НЕТ</v>
      </c>
      <c r="M3268" s="10">
        <v>0</v>
      </c>
      <c r="N3268" s="10">
        <v>0</v>
      </c>
      <c r="O3268" s="10">
        <v>5.77</v>
      </c>
      <c r="P3268" s="10">
        <f t="shared" si="3132"/>
        <v>23.08</v>
      </c>
      <c r="Q3268" s="10" t="str">
        <f t="shared" si="3133"/>
        <v>NA</v>
      </c>
      <c r="R3268" s="10" t="s">
        <v>1575</v>
      </c>
      <c r="S3268" s="10" t="s">
        <v>1575</v>
      </c>
      <c r="T3268" s="10" t="s">
        <v>1575</v>
      </c>
      <c r="U3268" s="10" t="s">
        <v>1575</v>
      </c>
      <c r="V3268" s="10" t="s">
        <v>1575</v>
      </c>
      <c r="W3268" s="10" t="s">
        <v>1575</v>
      </c>
      <c r="X3268" s="10" t="str">
        <f t="shared" si="3086"/>
        <v>NA</v>
      </c>
      <c r="Y3268" s="10" t="str">
        <f t="shared" si="3087"/>
        <v>NA</v>
      </c>
      <c r="Z3268" s="10" t="str">
        <f t="shared" si="3088"/>
        <v>NA</v>
      </c>
      <c r="AA3268" s="10" t="str">
        <f t="shared" si="3089"/>
        <v>NA</v>
      </c>
      <c r="AB3268" s="10" t="str">
        <f t="shared" si="3090"/>
        <v>NA</v>
      </c>
      <c r="AC3268" s="10" t="str">
        <f t="shared" si="3091"/>
        <v>NA</v>
      </c>
      <c r="AD3268" s="10" t="str">
        <f t="shared" si="3092"/>
        <v>NA</v>
      </c>
      <c r="AE3268" s="10" t="str">
        <f t="shared" si="3093"/>
        <v>NA</v>
      </c>
      <c r="AF3268" s="1" t="s">
        <v>3643</v>
      </c>
    </row>
    <row r="3269" spans="1:32" x14ac:dyDescent="0.2">
      <c r="A3269" s="1" t="s">
        <v>6864</v>
      </c>
      <c r="B3269" s="1" t="s">
        <v>5</v>
      </c>
      <c r="C3269" s="1" t="s">
        <v>1575</v>
      </c>
      <c r="D3269" s="1" t="s">
        <v>1584</v>
      </c>
      <c r="E3269" s="1" t="s">
        <v>1586</v>
      </c>
      <c r="F3269" s="1" t="s">
        <v>3611</v>
      </c>
      <c r="G3269" s="4">
        <v>0.75</v>
      </c>
      <c r="H3269" s="28">
        <v>39447</v>
      </c>
      <c r="I3269" s="29">
        <f t="shared" si="3125"/>
        <v>2007</v>
      </c>
      <c r="J3269" s="1" t="s">
        <v>7</v>
      </c>
      <c r="K3269" s="1" t="s">
        <v>3532</v>
      </c>
      <c r="L3269" s="11" t="str">
        <f t="shared" si="3131"/>
        <v>НЕТ</v>
      </c>
      <c r="M3269" s="10">
        <v>0</v>
      </c>
      <c r="N3269" s="10">
        <v>0</v>
      </c>
      <c r="O3269" s="10">
        <v>3.7010000000000001</v>
      </c>
      <c r="P3269" s="10">
        <f t="shared" si="3132"/>
        <v>4.9346666666666668</v>
      </c>
      <c r="Q3269" s="10" t="str">
        <f t="shared" si="3133"/>
        <v>NA</v>
      </c>
      <c r="R3269" s="10" t="s">
        <v>1575</v>
      </c>
      <c r="S3269" s="10" t="s">
        <v>1575</v>
      </c>
      <c r="T3269" s="10" t="s">
        <v>1575</v>
      </c>
      <c r="U3269" s="10" t="s">
        <v>1575</v>
      </c>
      <c r="V3269" s="10" t="s">
        <v>1575</v>
      </c>
      <c r="W3269" s="10" t="s">
        <v>1575</v>
      </c>
      <c r="X3269" s="10" t="str">
        <f t="shared" si="3086"/>
        <v>NA</v>
      </c>
      <c r="Y3269" s="10" t="str">
        <f t="shared" si="3087"/>
        <v>NA</v>
      </c>
      <c r="Z3269" s="10" t="str">
        <f t="shared" si="3088"/>
        <v>NA</v>
      </c>
      <c r="AA3269" s="10" t="str">
        <f t="shared" si="3089"/>
        <v>NA</v>
      </c>
      <c r="AB3269" s="10" t="str">
        <f t="shared" si="3090"/>
        <v>NA</v>
      </c>
      <c r="AC3269" s="10" t="str">
        <f t="shared" si="3091"/>
        <v>NA</v>
      </c>
      <c r="AD3269" s="10" t="str">
        <f t="shared" si="3092"/>
        <v>NA</v>
      </c>
      <c r="AE3269" s="10" t="str">
        <f t="shared" si="3093"/>
        <v>NA</v>
      </c>
      <c r="AF3269" s="1" t="s">
        <v>3644</v>
      </c>
    </row>
    <row r="3270" spans="1:32" x14ac:dyDescent="0.2">
      <c r="A3270" s="1" t="s">
        <v>3646</v>
      </c>
      <c r="B3270" s="1" t="s">
        <v>5</v>
      </c>
      <c r="C3270" s="1" t="s">
        <v>1575</v>
      </c>
      <c r="D3270" s="1" t="s">
        <v>1584</v>
      </c>
      <c r="E3270" s="1" t="s">
        <v>1586</v>
      </c>
      <c r="F3270" s="1" t="s">
        <v>3611</v>
      </c>
      <c r="G3270" s="4">
        <v>1</v>
      </c>
      <c r="H3270" s="28">
        <v>39202</v>
      </c>
      <c r="I3270" s="29">
        <f t="shared" si="3125"/>
        <v>2007</v>
      </c>
      <c r="J3270" s="1" t="s">
        <v>7</v>
      </c>
      <c r="K3270" s="1" t="s">
        <v>3532</v>
      </c>
      <c r="L3270" s="11" t="str">
        <f t="shared" si="3131"/>
        <v>НЕТ</v>
      </c>
      <c r="M3270" s="10">
        <v>0</v>
      </c>
      <c r="N3270" s="10">
        <v>0</v>
      </c>
      <c r="O3270" s="10">
        <v>2.6749999999999998</v>
      </c>
      <c r="P3270" s="10">
        <f t="shared" si="3132"/>
        <v>2.6749999999999998</v>
      </c>
      <c r="Q3270" s="10" t="str">
        <f t="shared" si="3133"/>
        <v>NA</v>
      </c>
      <c r="R3270" s="10" t="s">
        <v>1575</v>
      </c>
      <c r="S3270" s="10" t="s">
        <v>1575</v>
      </c>
      <c r="T3270" s="10" t="s">
        <v>1575</v>
      </c>
      <c r="U3270" s="10" t="s">
        <v>1575</v>
      </c>
      <c r="V3270" s="10" t="s">
        <v>1575</v>
      </c>
      <c r="W3270" s="10" t="s">
        <v>1575</v>
      </c>
      <c r="X3270" s="10" t="str">
        <f t="shared" si="3086"/>
        <v>NA</v>
      </c>
      <c r="Y3270" s="10" t="str">
        <f t="shared" si="3087"/>
        <v>NA</v>
      </c>
      <c r="Z3270" s="10" t="str">
        <f t="shared" si="3088"/>
        <v>NA</v>
      </c>
      <c r="AA3270" s="10" t="str">
        <f t="shared" si="3089"/>
        <v>NA</v>
      </c>
      <c r="AB3270" s="10" t="str">
        <f t="shared" si="3090"/>
        <v>NA</v>
      </c>
      <c r="AC3270" s="10" t="str">
        <f t="shared" si="3091"/>
        <v>NA</v>
      </c>
      <c r="AD3270" s="10" t="str">
        <f t="shared" si="3092"/>
        <v>NA</v>
      </c>
      <c r="AE3270" s="10" t="str">
        <f t="shared" si="3093"/>
        <v>NA</v>
      </c>
      <c r="AF3270" s="1" t="s">
        <v>3645</v>
      </c>
    </row>
    <row r="3271" spans="1:32" x14ac:dyDescent="0.2">
      <c r="A3271" s="1" t="s">
        <v>6865</v>
      </c>
      <c r="B3271" s="1" t="s">
        <v>5</v>
      </c>
      <c r="C3271" s="1" t="s">
        <v>1575</v>
      </c>
      <c r="D3271" s="1" t="s">
        <v>1584</v>
      </c>
      <c r="E3271" s="1" t="s">
        <v>1586</v>
      </c>
      <c r="F3271" s="1" t="s">
        <v>3611</v>
      </c>
      <c r="G3271" s="4">
        <v>0.92</v>
      </c>
      <c r="H3271" s="28">
        <v>39141</v>
      </c>
      <c r="I3271" s="29">
        <f t="shared" si="3125"/>
        <v>2007</v>
      </c>
      <c r="J3271" s="1" t="s">
        <v>3532</v>
      </c>
      <c r="K3271" s="1" t="s">
        <v>7</v>
      </c>
      <c r="L3271" s="11" t="str">
        <f t="shared" si="3131"/>
        <v>НЕТ</v>
      </c>
      <c r="M3271" s="10">
        <v>0</v>
      </c>
      <c r="N3271" s="10">
        <v>0</v>
      </c>
      <c r="O3271" s="10">
        <v>3.5670000000000002</v>
      </c>
      <c r="P3271" s="10">
        <f t="shared" si="3132"/>
        <v>3.8771739130434781</v>
      </c>
      <c r="Q3271" s="10" t="str">
        <f t="shared" si="3133"/>
        <v>NA</v>
      </c>
      <c r="R3271" s="10" t="s">
        <v>1575</v>
      </c>
      <c r="S3271" s="10" t="s">
        <v>1575</v>
      </c>
      <c r="T3271" s="10" t="s">
        <v>1575</v>
      </c>
      <c r="U3271" s="10" t="s">
        <v>1575</v>
      </c>
      <c r="V3271" s="10" t="s">
        <v>1575</v>
      </c>
      <c r="W3271" s="10" t="s">
        <v>1575</v>
      </c>
      <c r="X3271" s="10" t="str">
        <f t="shared" ref="X3271:X3334" si="3134">IFERROR(V3271+W3271,"NA")</f>
        <v>NA</v>
      </c>
      <c r="Y3271" s="10" t="str">
        <f t="shared" ref="Y3271:Y3334" si="3135">IFERROR(P3271/R3271,"NA")</f>
        <v>NA</v>
      </c>
      <c r="Z3271" s="10" t="str">
        <f t="shared" ref="Z3271:Z3334" si="3136">IFERROR(P3271/U3271,"NA")</f>
        <v>NA</v>
      </c>
      <c r="AA3271" s="10" t="str">
        <f t="shared" ref="AA3271:AA3334" si="3137">IFERROR(P3271/V3271,"NA")</f>
        <v>NA</v>
      </c>
      <c r="AB3271" s="10" t="str">
        <f t="shared" ref="AB3271:AB3334" si="3138">IFERROR(Q3271/R3271,"NA")</f>
        <v>NA</v>
      </c>
      <c r="AC3271" s="10" t="str">
        <f t="shared" ref="AC3271:AC3334" si="3139">IFERROR(Q3271/S3271,"NA")</f>
        <v>NA</v>
      </c>
      <c r="AD3271" s="10" t="str">
        <f t="shared" ref="AD3271:AD3334" si="3140">IFERROR(Q3271/T3271,"NA")</f>
        <v>NA</v>
      </c>
      <c r="AE3271" s="10" t="str">
        <f t="shared" ref="AE3271:AE3334" si="3141">IFERROR(Q3271/X3271,"NA")</f>
        <v>NA</v>
      </c>
      <c r="AF3271" s="1" t="s">
        <v>3651</v>
      </c>
    </row>
    <row r="3272" spans="1:32" x14ac:dyDescent="0.2">
      <c r="A3272" s="5" t="s">
        <v>6866</v>
      </c>
      <c r="B3272" s="1" t="s">
        <v>5</v>
      </c>
      <c r="C3272" s="1" t="s">
        <v>1575</v>
      </c>
      <c r="D3272" s="1" t="s">
        <v>1584</v>
      </c>
      <c r="E3272" s="1" t="s">
        <v>1586</v>
      </c>
      <c r="F3272" s="1" t="s">
        <v>3611</v>
      </c>
      <c r="G3272" s="4" t="s">
        <v>11</v>
      </c>
      <c r="H3272" s="28">
        <v>39233</v>
      </c>
      <c r="I3272" s="29">
        <f t="shared" si="3125"/>
        <v>2007</v>
      </c>
      <c r="J3272" s="1" t="s">
        <v>3532</v>
      </c>
      <c r="K3272" s="1" t="s">
        <v>7</v>
      </c>
      <c r="L3272" s="11" t="str">
        <f t="shared" si="3131"/>
        <v>НЕТ</v>
      </c>
      <c r="M3272" s="10">
        <v>0</v>
      </c>
      <c r="N3272" s="10">
        <v>0</v>
      </c>
      <c r="O3272" s="10">
        <v>9</v>
      </c>
      <c r="P3272" s="10" t="str">
        <f t="shared" si="3132"/>
        <v>NA</v>
      </c>
      <c r="Q3272" s="10" t="str">
        <f t="shared" si="3133"/>
        <v>NA</v>
      </c>
      <c r="R3272" s="10" t="s">
        <v>1575</v>
      </c>
      <c r="S3272" s="10" t="s">
        <v>1575</v>
      </c>
      <c r="T3272" s="10" t="s">
        <v>1575</v>
      </c>
      <c r="U3272" s="10" t="s">
        <v>1575</v>
      </c>
      <c r="V3272" s="10" t="s">
        <v>1575</v>
      </c>
      <c r="W3272" s="10" t="s">
        <v>1575</v>
      </c>
      <c r="X3272" s="10" t="str">
        <f t="shared" si="3134"/>
        <v>NA</v>
      </c>
      <c r="Y3272" s="10" t="str">
        <f t="shared" si="3135"/>
        <v>NA</v>
      </c>
      <c r="Z3272" s="10" t="str">
        <f t="shared" si="3136"/>
        <v>NA</v>
      </c>
      <c r="AA3272" s="10" t="str">
        <f t="shared" si="3137"/>
        <v>NA</v>
      </c>
      <c r="AB3272" s="10" t="str">
        <f t="shared" si="3138"/>
        <v>NA</v>
      </c>
      <c r="AC3272" s="10" t="str">
        <f t="shared" si="3139"/>
        <v>NA</v>
      </c>
      <c r="AD3272" s="10" t="str">
        <f t="shared" si="3140"/>
        <v>NA</v>
      </c>
      <c r="AE3272" s="10" t="str">
        <f t="shared" si="3141"/>
        <v>NA</v>
      </c>
      <c r="AF3272" s="1" t="s">
        <v>3653</v>
      </c>
    </row>
    <row r="3273" spans="1:32" x14ac:dyDescent="0.2">
      <c r="A3273" s="1" t="s">
        <v>6867</v>
      </c>
      <c r="B3273" s="1" t="s">
        <v>5</v>
      </c>
      <c r="C3273" s="1" t="s">
        <v>1575</v>
      </c>
      <c r="D3273" s="1" t="s">
        <v>1584</v>
      </c>
      <c r="E3273" s="1" t="s">
        <v>1586</v>
      </c>
      <c r="F3273" s="1" t="s">
        <v>3611</v>
      </c>
      <c r="G3273" s="4">
        <v>1</v>
      </c>
      <c r="H3273" s="28">
        <v>39263</v>
      </c>
      <c r="I3273" s="29">
        <f t="shared" si="3125"/>
        <v>2007</v>
      </c>
      <c r="J3273" s="1" t="s">
        <v>3532</v>
      </c>
      <c r="K3273" s="1" t="s">
        <v>7</v>
      </c>
      <c r="L3273" s="11" t="str">
        <f t="shared" si="3131"/>
        <v>НЕТ</v>
      </c>
      <c r="M3273" s="10">
        <v>0</v>
      </c>
      <c r="N3273" s="10">
        <v>0</v>
      </c>
      <c r="O3273" s="10">
        <v>1.018</v>
      </c>
      <c r="P3273" s="10">
        <f t="shared" si="3132"/>
        <v>1.018</v>
      </c>
      <c r="Q3273" s="10" t="str">
        <f t="shared" si="3133"/>
        <v>NA</v>
      </c>
      <c r="R3273" s="10" t="s">
        <v>1575</v>
      </c>
      <c r="S3273" s="10" t="s">
        <v>1575</v>
      </c>
      <c r="T3273" s="10" t="s">
        <v>1575</v>
      </c>
      <c r="U3273" s="10" t="s">
        <v>1575</v>
      </c>
      <c r="V3273" s="10" t="s">
        <v>1575</v>
      </c>
      <c r="W3273" s="10" t="s">
        <v>1575</v>
      </c>
      <c r="X3273" s="10" t="str">
        <f t="shared" si="3134"/>
        <v>NA</v>
      </c>
      <c r="Y3273" s="10" t="str">
        <f t="shared" si="3135"/>
        <v>NA</v>
      </c>
      <c r="Z3273" s="10" t="str">
        <f t="shared" si="3136"/>
        <v>NA</v>
      </c>
      <c r="AA3273" s="10" t="str">
        <f t="shared" si="3137"/>
        <v>NA</v>
      </c>
      <c r="AB3273" s="10" t="str">
        <f t="shared" si="3138"/>
        <v>NA</v>
      </c>
      <c r="AC3273" s="10" t="str">
        <f t="shared" si="3139"/>
        <v>NA</v>
      </c>
      <c r="AD3273" s="10" t="str">
        <f t="shared" si="3140"/>
        <v>NA</v>
      </c>
      <c r="AE3273" s="10" t="str">
        <f t="shared" si="3141"/>
        <v>NA</v>
      </c>
      <c r="AF3273" s="1" t="s">
        <v>3654</v>
      </c>
    </row>
    <row r="3274" spans="1:32" x14ac:dyDescent="0.2">
      <c r="A3274" s="1" t="s">
        <v>6868</v>
      </c>
      <c r="B3274" s="1" t="s">
        <v>5</v>
      </c>
      <c r="C3274" s="1" t="s">
        <v>1575</v>
      </c>
      <c r="D3274" s="1" t="s">
        <v>1584</v>
      </c>
      <c r="E3274" s="1" t="s">
        <v>1586</v>
      </c>
      <c r="F3274" s="1" t="s">
        <v>66</v>
      </c>
      <c r="G3274" s="4">
        <v>1</v>
      </c>
      <c r="H3274" s="28">
        <v>38807</v>
      </c>
      <c r="I3274" s="29">
        <f t="shared" si="3125"/>
        <v>2006</v>
      </c>
      <c r="J3274" s="1" t="s">
        <v>3532</v>
      </c>
      <c r="K3274" s="1" t="s">
        <v>7</v>
      </c>
      <c r="L3274" s="11" t="str">
        <f t="shared" ref="L3274" si="3142">IF(OR(A3274=J3274,A3274=K3274),"ДА","НЕТ")</f>
        <v>НЕТ</v>
      </c>
      <c r="M3274" s="10">
        <v>0</v>
      </c>
      <c r="N3274" s="10">
        <v>0</v>
      </c>
      <c r="O3274" s="10">
        <v>1.302</v>
      </c>
      <c r="P3274" s="10">
        <f t="shared" si="3132"/>
        <v>1.302</v>
      </c>
      <c r="Q3274" s="10">
        <f t="shared" si="3133"/>
        <v>2.8929999999999998</v>
      </c>
      <c r="R3274" s="10" t="s">
        <v>1575</v>
      </c>
      <c r="S3274" s="10" t="s">
        <v>1575</v>
      </c>
      <c r="T3274" s="10" t="s">
        <v>1575</v>
      </c>
      <c r="U3274" s="10" t="s">
        <v>1575</v>
      </c>
      <c r="V3274" s="10">
        <v>2.82</v>
      </c>
      <c r="W3274" s="10">
        <f>0.886+0.913-0.208</f>
        <v>1.591</v>
      </c>
      <c r="X3274" s="10">
        <f t="shared" si="3134"/>
        <v>4.4109999999999996</v>
      </c>
      <c r="Y3274" s="10" t="str">
        <f t="shared" si="3135"/>
        <v>NA</v>
      </c>
      <c r="Z3274" s="10" t="str">
        <f t="shared" si="3136"/>
        <v>NA</v>
      </c>
      <c r="AA3274" s="10">
        <f t="shared" si="3137"/>
        <v>0.46170212765957452</v>
      </c>
      <c r="AB3274" s="10" t="str">
        <f t="shared" si="3138"/>
        <v>NA</v>
      </c>
      <c r="AC3274" s="10" t="str">
        <f t="shared" si="3139"/>
        <v>NA</v>
      </c>
      <c r="AD3274" s="10" t="str">
        <f t="shared" si="3140"/>
        <v>NA</v>
      </c>
      <c r="AE3274" s="10">
        <f t="shared" si="3141"/>
        <v>0.65586034912718205</v>
      </c>
      <c r="AF3274" s="1" t="s">
        <v>3642</v>
      </c>
    </row>
    <row r="3275" spans="1:32" x14ac:dyDescent="0.2">
      <c r="A3275" s="1" t="s">
        <v>3646</v>
      </c>
      <c r="B3275" s="1" t="s">
        <v>5</v>
      </c>
      <c r="C3275" s="1" t="s">
        <v>1575</v>
      </c>
      <c r="D3275" s="1" t="s">
        <v>1584</v>
      </c>
      <c r="E3275" s="1" t="s">
        <v>1586</v>
      </c>
      <c r="F3275" s="1" t="s">
        <v>3611</v>
      </c>
      <c r="G3275" s="4">
        <v>1</v>
      </c>
      <c r="H3275" s="28">
        <v>39082</v>
      </c>
      <c r="I3275" s="29">
        <f t="shared" si="3125"/>
        <v>2006</v>
      </c>
      <c r="J3275" s="1" t="s">
        <v>3532</v>
      </c>
      <c r="K3275" s="1" t="s">
        <v>7</v>
      </c>
      <c r="L3275" s="11" t="str">
        <f t="shared" ref="L3275:L3278" si="3143">IF(OR(A3275=J3275,A3275=K3275),"ДА","НЕТ")</f>
        <v>НЕТ</v>
      </c>
      <c r="M3275" s="10">
        <v>0</v>
      </c>
      <c r="N3275" s="10">
        <v>0</v>
      </c>
      <c r="O3275" s="10">
        <v>2.2999999999999998</v>
      </c>
      <c r="P3275" s="10">
        <f t="shared" si="3132"/>
        <v>2.2999999999999998</v>
      </c>
      <c r="Q3275" s="10" t="str">
        <f t="shared" si="3133"/>
        <v>NA</v>
      </c>
      <c r="R3275" s="10" t="s">
        <v>1575</v>
      </c>
      <c r="S3275" s="10" t="s">
        <v>1575</v>
      </c>
      <c r="T3275" s="10" t="s">
        <v>1575</v>
      </c>
      <c r="U3275" s="10" t="s">
        <v>1575</v>
      </c>
      <c r="V3275" s="10" t="s">
        <v>1575</v>
      </c>
      <c r="W3275" s="10" t="s">
        <v>1575</v>
      </c>
      <c r="X3275" s="10" t="str">
        <f t="shared" si="3134"/>
        <v>NA</v>
      </c>
      <c r="Y3275" s="10" t="str">
        <f t="shared" si="3135"/>
        <v>NA</v>
      </c>
      <c r="Z3275" s="10" t="str">
        <f t="shared" si="3136"/>
        <v>NA</v>
      </c>
      <c r="AA3275" s="10" t="str">
        <f t="shared" si="3137"/>
        <v>NA</v>
      </c>
      <c r="AB3275" s="10" t="str">
        <f t="shared" si="3138"/>
        <v>NA</v>
      </c>
      <c r="AC3275" s="10" t="str">
        <f t="shared" si="3139"/>
        <v>NA</v>
      </c>
      <c r="AD3275" s="10" t="str">
        <f t="shared" si="3140"/>
        <v>NA</v>
      </c>
      <c r="AE3275" s="10" t="str">
        <f t="shared" si="3141"/>
        <v>NA</v>
      </c>
      <c r="AF3275" s="1" t="s">
        <v>3645</v>
      </c>
    </row>
    <row r="3276" spans="1:32" x14ac:dyDescent="0.2">
      <c r="A3276" s="1" t="s">
        <v>3647</v>
      </c>
      <c r="B3276" s="1" t="s">
        <v>5</v>
      </c>
      <c r="C3276" s="1" t="s">
        <v>1575</v>
      </c>
      <c r="D3276" s="1" t="s">
        <v>1584</v>
      </c>
      <c r="E3276" s="1" t="s">
        <v>1586</v>
      </c>
      <c r="F3276" s="1" t="s">
        <v>3611</v>
      </c>
      <c r="G3276" s="4">
        <v>0.5</v>
      </c>
      <c r="H3276" s="28">
        <v>39082</v>
      </c>
      <c r="I3276" s="29">
        <f t="shared" si="3125"/>
        <v>2006</v>
      </c>
      <c r="J3276" s="1" t="s">
        <v>3648</v>
      </c>
      <c r="K3276" s="1" t="s">
        <v>7</v>
      </c>
      <c r="L3276" s="11" t="str">
        <f t="shared" ref="L3276" si="3144">IF(OR(A3276=J3276,A3276=K3276),"ДА","НЕТ")</f>
        <v>НЕТ</v>
      </c>
      <c r="M3276" s="10">
        <v>0</v>
      </c>
      <c r="N3276" s="10">
        <v>0</v>
      </c>
      <c r="O3276" s="10">
        <v>3.95</v>
      </c>
      <c r="P3276" s="10">
        <f t="shared" si="3132"/>
        <v>7.9</v>
      </c>
      <c r="Q3276" s="10" t="str">
        <f t="shared" si="3133"/>
        <v>NA</v>
      </c>
      <c r="R3276" s="10" t="s">
        <v>1575</v>
      </c>
      <c r="S3276" s="10" t="s">
        <v>1575</v>
      </c>
      <c r="T3276" s="10" t="s">
        <v>1575</v>
      </c>
      <c r="U3276" s="10" t="s">
        <v>1575</v>
      </c>
      <c r="V3276" s="10" t="s">
        <v>1575</v>
      </c>
      <c r="W3276" s="10" t="s">
        <v>1575</v>
      </c>
      <c r="X3276" s="10" t="str">
        <f t="shared" si="3134"/>
        <v>NA</v>
      </c>
      <c r="Y3276" s="10" t="str">
        <f t="shared" si="3135"/>
        <v>NA</v>
      </c>
      <c r="Z3276" s="10" t="str">
        <f t="shared" si="3136"/>
        <v>NA</v>
      </c>
      <c r="AA3276" s="10" t="str">
        <f t="shared" si="3137"/>
        <v>NA</v>
      </c>
      <c r="AB3276" s="10" t="str">
        <f t="shared" si="3138"/>
        <v>NA</v>
      </c>
      <c r="AC3276" s="10" t="str">
        <f t="shared" si="3139"/>
        <v>NA</v>
      </c>
      <c r="AD3276" s="10" t="str">
        <f t="shared" si="3140"/>
        <v>NA</v>
      </c>
      <c r="AE3276" s="10" t="str">
        <f t="shared" si="3141"/>
        <v>NA</v>
      </c>
      <c r="AF3276" s="1" t="s">
        <v>3649</v>
      </c>
    </row>
    <row r="3277" spans="1:32" x14ac:dyDescent="0.2">
      <c r="A3277" s="1" t="s">
        <v>3647</v>
      </c>
      <c r="B3277" s="1" t="s">
        <v>5</v>
      </c>
      <c r="C3277" s="1" t="s">
        <v>1575</v>
      </c>
      <c r="D3277" s="1" t="s">
        <v>1584</v>
      </c>
      <c r="E3277" s="1" t="s">
        <v>1586</v>
      </c>
      <c r="F3277" s="1" t="s">
        <v>3611</v>
      </c>
      <c r="G3277" s="4">
        <v>0.25</v>
      </c>
      <c r="H3277" s="28">
        <v>39082</v>
      </c>
      <c r="I3277" s="29">
        <f t="shared" si="3125"/>
        <v>2006</v>
      </c>
      <c r="J3277" s="1" t="s">
        <v>3648</v>
      </c>
      <c r="K3277" s="1" t="s">
        <v>7</v>
      </c>
      <c r="L3277" s="11" t="str">
        <f t="shared" si="3143"/>
        <v>НЕТ</v>
      </c>
      <c r="M3277" s="10">
        <v>0</v>
      </c>
      <c r="N3277" s="10">
        <v>0</v>
      </c>
      <c r="O3277" s="10" t="s">
        <v>1575</v>
      </c>
      <c r="P3277" s="10" t="str">
        <f t="shared" si="3132"/>
        <v>NA</v>
      </c>
      <c r="Q3277" s="10" t="str">
        <f t="shared" si="3133"/>
        <v>NA</v>
      </c>
      <c r="R3277" s="10" t="s">
        <v>1575</v>
      </c>
      <c r="S3277" s="10" t="s">
        <v>1575</v>
      </c>
      <c r="T3277" s="10" t="s">
        <v>1575</v>
      </c>
      <c r="U3277" s="10" t="s">
        <v>1575</v>
      </c>
      <c r="V3277" s="10" t="s">
        <v>1575</v>
      </c>
      <c r="W3277" s="10" t="s">
        <v>1575</v>
      </c>
      <c r="X3277" s="10" t="str">
        <f t="shared" si="3134"/>
        <v>NA</v>
      </c>
      <c r="Y3277" s="10" t="str">
        <f t="shared" si="3135"/>
        <v>NA</v>
      </c>
      <c r="Z3277" s="10" t="str">
        <f t="shared" si="3136"/>
        <v>NA</v>
      </c>
      <c r="AA3277" s="10" t="str">
        <f t="shared" si="3137"/>
        <v>NA</v>
      </c>
      <c r="AB3277" s="10" t="str">
        <f t="shared" si="3138"/>
        <v>NA</v>
      </c>
      <c r="AC3277" s="10" t="str">
        <f t="shared" si="3139"/>
        <v>NA</v>
      </c>
      <c r="AD3277" s="10" t="str">
        <f t="shared" si="3140"/>
        <v>NA</v>
      </c>
      <c r="AE3277" s="10" t="str">
        <f t="shared" si="3141"/>
        <v>NA</v>
      </c>
      <c r="AF3277" s="1" t="s">
        <v>3649</v>
      </c>
    </row>
    <row r="3278" spans="1:32" x14ac:dyDescent="0.2">
      <c r="A3278" s="1" t="s">
        <v>3647</v>
      </c>
      <c r="B3278" s="1" t="s">
        <v>5</v>
      </c>
      <c r="C3278" s="1" t="s">
        <v>1575</v>
      </c>
      <c r="D3278" s="1" t="s">
        <v>1584</v>
      </c>
      <c r="E3278" s="1" t="s">
        <v>1586</v>
      </c>
      <c r="F3278" s="1" t="s">
        <v>3611</v>
      </c>
      <c r="G3278" s="4">
        <v>0.7</v>
      </c>
      <c r="H3278" s="28">
        <v>38807</v>
      </c>
      <c r="I3278" s="29">
        <f t="shared" si="3125"/>
        <v>2006</v>
      </c>
      <c r="J3278" s="1" t="s">
        <v>7</v>
      </c>
      <c r="K3278" s="1" t="s">
        <v>3532</v>
      </c>
      <c r="L3278" s="11" t="str">
        <f t="shared" si="3143"/>
        <v>НЕТ</v>
      </c>
      <c r="M3278" s="10">
        <v>0</v>
      </c>
      <c r="N3278" s="10">
        <v>0</v>
      </c>
      <c r="O3278" s="10">
        <v>2.2719999999999998</v>
      </c>
      <c r="P3278" s="10">
        <f t="shared" si="3132"/>
        <v>3.2457142857142856</v>
      </c>
      <c r="Q3278" s="10" t="str">
        <f t="shared" si="3133"/>
        <v>NA</v>
      </c>
      <c r="R3278" s="10" t="s">
        <v>1575</v>
      </c>
      <c r="S3278" s="10" t="s">
        <v>1575</v>
      </c>
      <c r="T3278" s="10" t="s">
        <v>1575</v>
      </c>
      <c r="U3278" s="10" t="s">
        <v>1575</v>
      </c>
      <c r="V3278" s="10" t="s">
        <v>1575</v>
      </c>
      <c r="W3278" s="10" t="s">
        <v>1575</v>
      </c>
      <c r="X3278" s="10" t="str">
        <f t="shared" si="3134"/>
        <v>NA</v>
      </c>
      <c r="Y3278" s="10" t="str">
        <f t="shared" si="3135"/>
        <v>NA</v>
      </c>
      <c r="Z3278" s="10" t="str">
        <f t="shared" si="3136"/>
        <v>NA</v>
      </c>
      <c r="AA3278" s="10" t="str">
        <f t="shared" si="3137"/>
        <v>NA</v>
      </c>
      <c r="AB3278" s="10" t="str">
        <f t="shared" si="3138"/>
        <v>NA</v>
      </c>
      <c r="AC3278" s="10" t="str">
        <f t="shared" si="3139"/>
        <v>NA</v>
      </c>
      <c r="AD3278" s="10" t="str">
        <f t="shared" si="3140"/>
        <v>NA</v>
      </c>
      <c r="AE3278" s="10" t="str">
        <f t="shared" si="3141"/>
        <v>NA</v>
      </c>
      <c r="AF3278" s="1" t="s">
        <v>3650</v>
      </c>
    </row>
    <row r="3279" spans="1:32" x14ac:dyDescent="0.2">
      <c r="A3279" s="1" t="s">
        <v>3647</v>
      </c>
      <c r="B3279" s="1" t="s">
        <v>5</v>
      </c>
      <c r="C3279" s="1" t="s">
        <v>1575</v>
      </c>
      <c r="D3279" s="1" t="s">
        <v>1584</v>
      </c>
      <c r="E3279" s="1" t="s">
        <v>1586</v>
      </c>
      <c r="F3279" s="1" t="s">
        <v>3611</v>
      </c>
      <c r="G3279" s="4">
        <v>0.7</v>
      </c>
      <c r="H3279" s="28">
        <v>38533</v>
      </c>
      <c r="I3279" s="29">
        <f t="shared" si="3125"/>
        <v>2005</v>
      </c>
      <c r="J3279" s="1" t="s">
        <v>3532</v>
      </c>
      <c r="K3279" s="1" t="s">
        <v>7</v>
      </c>
      <c r="L3279" s="11" t="str">
        <f t="shared" ref="L3279" si="3145">IF(OR(A3279=J3279,A3279=K3279),"ДА","НЕТ")</f>
        <v>НЕТ</v>
      </c>
      <c r="M3279" s="10">
        <v>0</v>
      </c>
      <c r="N3279" s="10">
        <v>0</v>
      </c>
      <c r="O3279" s="10" t="s">
        <v>1575</v>
      </c>
      <c r="P3279" s="10" t="str">
        <f t="shared" si="3132"/>
        <v>NA</v>
      </c>
      <c r="Q3279" s="10" t="str">
        <f t="shared" si="3133"/>
        <v>NA</v>
      </c>
      <c r="R3279" s="10" t="s">
        <v>1575</v>
      </c>
      <c r="S3279" s="10" t="s">
        <v>1575</v>
      </c>
      <c r="T3279" s="10" t="s">
        <v>1575</v>
      </c>
      <c r="U3279" s="10" t="s">
        <v>1575</v>
      </c>
      <c r="V3279" s="10" t="s">
        <v>1575</v>
      </c>
      <c r="W3279" s="10" t="s">
        <v>1575</v>
      </c>
      <c r="X3279" s="10" t="str">
        <f t="shared" si="3134"/>
        <v>NA</v>
      </c>
      <c r="Y3279" s="10" t="str">
        <f t="shared" si="3135"/>
        <v>NA</v>
      </c>
      <c r="Z3279" s="10" t="str">
        <f t="shared" si="3136"/>
        <v>NA</v>
      </c>
      <c r="AA3279" s="10" t="str">
        <f t="shared" si="3137"/>
        <v>NA</v>
      </c>
      <c r="AB3279" s="10" t="str">
        <f t="shared" si="3138"/>
        <v>NA</v>
      </c>
      <c r="AC3279" s="10" t="str">
        <f t="shared" si="3139"/>
        <v>NA</v>
      </c>
      <c r="AD3279" s="10" t="str">
        <f t="shared" si="3140"/>
        <v>NA</v>
      </c>
      <c r="AE3279" s="10" t="str">
        <f t="shared" si="3141"/>
        <v>NA</v>
      </c>
      <c r="AF3279" s="1" t="s">
        <v>3650</v>
      </c>
    </row>
    <row r="3280" spans="1:32" x14ac:dyDescent="0.2">
      <c r="A3280" s="1" t="s">
        <v>6869</v>
      </c>
      <c r="B3280" s="1" t="s">
        <v>5</v>
      </c>
      <c r="C3280" s="1" t="s">
        <v>1575</v>
      </c>
      <c r="D3280" s="1" t="s">
        <v>1584</v>
      </c>
      <c r="E3280" s="1" t="s">
        <v>1586</v>
      </c>
      <c r="F3280" s="1" t="s">
        <v>3611</v>
      </c>
      <c r="G3280" s="4" t="s">
        <v>11</v>
      </c>
      <c r="H3280" s="28">
        <v>38717</v>
      </c>
      <c r="I3280" s="29">
        <f t="shared" si="3125"/>
        <v>2005</v>
      </c>
      <c r="J3280" s="1" t="s">
        <v>3532</v>
      </c>
      <c r="K3280" s="1" t="s">
        <v>7</v>
      </c>
      <c r="L3280" s="11" t="str">
        <f t="shared" ref="L3280:L3343" si="3146">IF(OR(A3280=J3280,A3280=K3280),"ДА","НЕТ")</f>
        <v>НЕТ</v>
      </c>
      <c r="M3280" s="10">
        <v>0</v>
      </c>
      <c r="N3280" s="10">
        <v>0</v>
      </c>
      <c r="O3280" s="10">
        <v>0.747</v>
      </c>
      <c r="P3280" s="10" t="str">
        <f t="shared" si="3132"/>
        <v>NA</v>
      </c>
      <c r="Q3280" s="10" t="str">
        <f t="shared" si="3133"/>
        <v>NA</v>
      </c>
      <c r="R3280" s="10" t="s">
        <v>1575</v>
      </c>
      <c r="S3280" s="10" t="s">
        <v>1575</v>
      </c>
      <c r="T3280" s="10" t="s">
        <v>1575</v>
      </c>
      <c r="U3280" s="10" t="s">
        <v>1575</v>
      </c>
      <c r="V3280" s="10" t="s">
        <v>1575</v>
      </c>
      <c r="W3280" s="10" t="s">
        <v>1575</v>
      </c>
      <c r="X3280" s="10" t="str">
        <f t="shared" si="3134"/>
        <v>NA</v>
      </c>
      <c r="Y3280" s="10" t="str">
        <f t="shared" si="3135"/>
        <v>NA</v>
      </c>
      <c r="Z3280" s="10" t="str">
        <f t="shared" si="3136"/>
        <v>NA</v>
      </c>
      <c r="AA3280" s="10" t="str">
        <f t="shared" si="3137"/>
        <v>NA</v>
      </c>
      <c r="AB3280" s="10" t="str">
        <f t="shared" si="3138"/>
        <v>NA</v>
      </c>
      <c r="AC3280" s="10" t="str">
        <f t="shared" si="3139"/>
        <v>NA</v>
      </c>
      <c r="AD3280" s="10" t="str">
        <f t="shared" si="3140"/>
        <v>NA</v>
      </c>
      <c r="AE3280" s="10" t="str">
        <f t="shared" si="3141"/>
        <v>NA</v>
      </c>
      <c r="AF3280" s="1" t="s">
        <v>3655</v>
      </c>
    </row>
    <row r="3281" spans="1:32" x14ac:dyDescent="0.2">
      <c r="A3281" s="1" t="s">
        <v>3663</v>
      </c>
      <c r="B3281" s="1" t="s">
        <v>1575</v>
      </c>
      <c r="C3281" s="1" t="s">
        <v>1575</v>
      </c>
      <c r="D3281" s="1" t="s">
        <v>1584</v>
      </c>
      <c r="E3281" s="1" t="s">
        <v>1586</v>
      </c>
      <c r="F3281" s="1" t="s">
        <v>66</v>
      </c>
      <c r="G3281" s="4">
        <v>0.40699999999999997</v>
      </c>
      <c r="H3281" s="28">
        <v>44926</v>
      </c>
      <c r="I3281" s="29">
        <f t="shared" si="3125"/>
        <v>2022</v>
      </c>
      <c r="J3281" s="1" t="s">
        <v>7</v>
      </c>
      <c r="K3281" s="1" t="s">
        <v>3436</v>
      </c>
      <c r="L3281" s="11" t="str">
        <f t="shared" ref="L3281" si="3147">IF(OR(A3281=J3281,A3281=K3281),"ДА","НЕТ")</f>
        <v>НЕТ</v>
      </c>
      <c r="M3281" s="10">
        <v>0</v>
      </c>
      <c r="N3281" s="10">
        <v>0</v>
      </c>
      <c r="O3281" s="10">
        <v>0.48</v>
      </c>
      <c r="P3281" s="10">
        <f t="shared" si="3132"/>
        <v>1.1793611793611793</v>
      </c>
      <c r="Q3281" s="10" t="str">
        <f t="shared" si="3133"/>
        <v>NA</v>
      </c>
      <c r="R3281" s="10" t="s">
        <v>1575</v>
      </c>
      <c r="S3281" s="10" t="s">
        <v>1575</v>
      </c>
      <c r="T3281" s="10" t="s">
        <v>1575</v>
      </c>
      <c r="U3281" s="10" t="s">
        <v>1575</v>
      </c>
      <c r="V3281" s="10" t="s">
        <v>1575</v>
      </c>
      <c r="W3281" s="10" t="s">
        <v>1575</v>
      </c>
      <c r="X3281" s="10" t="str">
        <f t="shared" si="3134"/>
        <v>NA</v>
      </c>
      <c r="Y3281" s="10" t="str">
        <f t="shared" si="3135"/>
        <v>NA</v>
      </c>
      <c r="Z3281" s="10" t="str">
        <f t="shared" si="3136"/>
        <v>NA</v>
      </c>
      <c r="AA3281" s="10" t="str">
        <f t="shared" si="3137"/>
        <v>NA</v>
      </c>
      <c r="AB3281" s="10" t="str">
        <f t="shared" si="3138"/>
        <v>NA</v>
      </c>
      <c r="AC3281" s="10" t="str">
        <f t="shared" si="3139"/>
        <v>NA</v>
      </c>
      <c r="AD3281" s="10" t="str">
        <f t="shared" si="3140"/>
        <v>NA</v>
      </c>
      <c r="AE3281" s="10" t="str">
        <f t="shared" si="3141"/>
        <v>NA</v>
      </c>
      <c r="AF3281" s="1" t="s">
        <v>3664</v>
      </c>
    </row>
    <row r="3282" spans="1:32" x14ac:dyDescent="0.2">
      <c r="A3282" s="1" t="s">
        <v>6870</v>
      </c>
      <c r="B3282" s="1" t="s">
        <v>5</v>
      </c>
      <c r="C3282" s="1" t="s">
        <v>1575</v>
      </c>
      <c r="D3282" s="1" t="s">
        <v>1584</v>
      </c>
      <c r="E3282" s="1" t="s">
        <v>1586</v>
      </c>
      <c r="F3282" s="1" t="s">
        <v>3611</v>
      </c>
      <c r="G3282" s="4">
        <v>0.5</v>
      </c>
      <c r="H3282" s="28">
        <v>44926</v>
      </c>
      <c r="I3282" s="29">
        <f t="shared" si="3125"/>
        <v>2022</v>
      </c>
      <c r="J3282" s="1" t="s">
        <v>3436</v>
      </c>
      <c r="K3282" s="1" t="s">
        <v>7</v>
      </c>
      <c r="L3282" s="11" t="str">
        <f t="shared" ref="L3282" si="3148">IF(OR(A3282=J3282,A3282=K3282),"ДА","НЕТ")</f>
        <v>НЕТ</v>
      </c>
      <c r="M3282" s="10">
        <v>0</v>
      </c>
      <c r="N3282" s="10">
        <v>0</v>
      </c>
      <c r="O3282" s="10">
        <v>0.85</v>
      </c>
      <c r="P3282" s="10">
        <f t="shared" si="3132"/>
        <v>1.7</v>
      </c>
      <c r="Q3282" s="10" t="str">
        <f t="shared" si="3133"/>
        <v>NA</v>
      </c>
      <c r="R3282" s="10" t="s">
        <v>1575</v>
      </c>
      <c r="S3282" s="10" t="s">
        <v>1575</v>
      </c>
      <c r="T3282" s="10" t="s">
        <v>1575</v>
      </c>
      <c r="U3282" s="10" t="s">
        <v>1575</v>
      </c>
      <c r="V3282" s="10" t="s">
        <v>1575</v>
      </c>
      <c r="W3282" s="10" t="s">
        <v>1575</v>
      </c>
      <c r="X3282" s="10" t="str">
        <f t="shared" si="3134"/>
        <v>NA</v>
      </c>
      <c r="Y3282" s="10" t="str">
        <f t="shared" si="3135"/>
        <v>NA</v>
      </c>
      <c r="Z3282" s="10" t="str">
        <f t="shared" si="3136"/>
        <v>NA</v>
      </c>
      <c r="AA3282" s="10" t="str">
        <f t="shared" si="3137"/>
        <v>NA</v>
      </c>
      <c r="AB3282" s="10" t="str">
        <f t="shared" si="3138"/>
        <v>NA</v>
      </c>
      <c r="AC3282" s="10" t="str">
        <f t="shared" si="3139"/>
        <v>NA</v>
      </c>
      <c r="AD3282" s="10" t="str">
        <f t="shared" si="3140"/>
        <v>NA</v>
      </c>
      <c r="AE3282" s="10" t="str">
        <f t="shared" si="3141"/>
        <v>NA</v>
      </c>
      <c r="AF3282" s="1" t="s">
        <v>3665</v>
      </c>
    </row>
    <row r="3283" spans="1:32" x14ac:dyDescent="0.2">
      <c r="A3283" s="1" t="s">
        <v>6871</v>
      </c>
      <c r="B3283" s="1" t="s">
        <v>5</v>
      </c>
      <c r="C3283" s="1" t="s">
        <v>1575</v>
      </c>
      <c r="D3283" s="1" t="s">
        <v>1584</v>
      </c>
      <c r="E3283" s="1" t="s">
        <v>1586</v>
      </c>
      <c r="F3283" s="1" t="s">
        <v>3667</v>
      </c>
      <c r="G3283" s="4">
        <v>1</v>
      </c>
      <c r="H3283" s="28">
        <v>44711</v>
      </c>
      <c r="I3283" s="29">
        <f t="shared" si="3125"/>
        <v>2022</v>
      </c>
      <c r="J3283" s="1" t="s">
        <v>3436</v>
      </c>
      <c r="K3283" s="1" t="s">
        <v>7</v>
      </c>
      <c r="L3283" s="11" t="str">
        <f t="shared" ref="L3283" si="3149">IF(OR(A3283=J3283,A3283=K3283),"ДА","НЕТ")</f>
        <v>НЕТ</v>
      </c>
      <c r="M3283" s="10">
        <v>0</v>
      </c>
      <c r="N3283" s="10">
        <v>0</v>
      </c>
      <c r="O3283" s="10">
        <v>1.923</v>
      </c>
      <c r="P3283" s="10">
        <f t="shared" si="3132"/>
        <v>1.923</v>
      </c>
      <c r="Q3283" s="10">
        <f t="shared" si="3133"/>
        <v>3.6829999999999998</v>
      </c>
      <c r="R3283" s="10" t="s">
        <v>1575</v>
      </c>
      <c r="S3283" s="10" t="s">
        <v>1575</v>
      </c>
      <c r="T3283" s="10" t="s">
        <v>1575</v>
      </c>
      <c r="U3283" s="10" t="s">
        <v>1575</v>
      </c>
      <c r="V3283" s="10">
        <v>14.156000000000001</v>
      </c>
      <c r="W3283" s="10">
        <f>2.034+0.19+0.103+1.917-2.456-0.028</f>
        <v>1.7599999999999998</v>
      </c>
      <c r="X3283" s="10">
        <f t="shared" si="3134"/>
        <v>15.916</v>
      </c>
      <c r="Y3283" s="10" t="str">
        <f t="shared" si="3135"/>
        <v>NA</v>
      </c>
      <c r="Z3283" s="10" t="str">
        <f t="shared" si="3136"/>
        <v>NA</v>
      </c>
      <c r="AA3283" s="10">
        <f t="shared" si="3137"/>
        <v>0.13584345860412544</v>
      </c>
      <c r="AB3283" s="10" t="str">
        <f t="shared" si="3138"/>
        <v>NA</v>
      </c>
      <c r="AC3283" s="10" t="str">
        <f t="shared" si="3139"/>
        <v>NA</v>
      </c>
      <c r="AD3283" s="10" t="str">
        <f t="shared" si="3140"/>
        <v>NA</v>
      </c>
      <c r="AE3283" s="10">
        <f t="shared" si="3141"/>
        <v>0.23140236240261369</v>
      </c>
      <c r="AF3283" s="1" t="s">
        <v>3666</v>
      </c>
    </row>
    <row r="3284" spans="1:32" x14ac:dyDescent="0.2">
      <c r="A3284" s="1" t="s">
        <v>6872</v>
      </c>
      <c r="B3284" s="1" t="s">
        <v>5</v>
      </c>
      <c r="C3284" s="1" t="s">
        <v>1575</v>
      </c>
      <c r="D3284" s="1" t="s">
        <v>1584</v>
      </c>
      <c r="E3284" s="1" t="s">
        <v>1586</v>
      </c>
      <c r="F3284" s="1" t="s">
        <v>66</v>
      </c>
      <c r="G3284" s="4">
        <v>0.51</v>
      </c>
      <c r="H3284" s="28">
        <v>43515</v>
      </c>
      <c r="I3284" s="29">
        <f t="shared" si="3125"/>
        <v>2019</v>
      </c>
      <c r="J3284" s="1" t="s">
        <v>3436</v>
      </c>
      <c r="K3284" s="1" t="s">
        <v>6039</v>
      </c>
      <c r="L3284" s="11" t="str">
        <f t="shared" ref="L3284:L3286" si="3150">IF(OR(A3284=J3284,A3284=K3284),"ДА","НЕТ")</f>
        <v>НЕТ</v>
      </c>
      <c r="M3284" s="10">
        <v>0</v>
      </c>
      <c r="N3284" s="10">
        <v>0</v>
      </c>
      <c r="O3284" s="10">
        <f>15.185+0.143</f>
        <v>15.328000000000001</v>
      </c>
      <c r="P3284" s="10">
        <f t="shared" si="3132"/>
        <v>30.054901960784317</v>
      </c>
      <c r="Q3284" s="10">
        <f t="shared" si="3133"/>
        <v>37.406901960784317</v>
      </c>
      <c r="R3284" s="10" t="s">
        <v>1575</v>
      </c>
      <c r="S3284" s="10" t="s">
        <v>1575</v>
      </c>
      <c r="T3284" s="10" t="s">
        <v>1575</v>
      </c>
      <c r="U3284" s="10" t="s">
        <v>1575</v>
      </c>
      <c r="V3284" s="10">
        <v>31.202000000000002</v>
      </c>
      <c r="W3284" s="10">
        <f>5.779+0.998+5.657+0.374-4.704-0.752</f>
        <v>7.352000000000003</v>
      </c>
      <c r="X3284" s="10">
        <f t="shared" si="3134"/>
        <v>38.554000000000002</v>
      </c>
      <c r="Y3284" s="10" t="str">
        <f t="shared" si="3135"/>
        <v>NA</v>
      </c>
      <c r="Z3284" s="10" t="str">
        <f t="shared" si="3136"/>
        <v>NA</v>
      </c>
      <c r="AA3284" s="10">
        <f t="shared" si="3137"/>
        <v>0.96323639384604565</v>
      </c>
      <c r="AB3284" s="10" t="str">
        <f t="shared" si="3138"/>
        <v>NA</v>
      </c>
      <c r="AC3284" s="10" t="str">
        <f t="shared" si="3139"/>
        <v>NA</v>
      </c>
      <c r="AD3284" s="10" t="str">
        <f t="shared" si="3140"/>
        <v>NA</v>
      </c>
      <c r="AE3284" s="10">
        <f t="shared" si="3141"/>
        <v>0.97024697724709019</v>
      </c>
      <c r="AF3284" s="1" t="s">
        <v>3668</v>
      </c>
    </row>
    <row r="3285" spans="1:32" x14ac:dyDescent="0.2">
      <c r="A3285" s="1" t="s">
        <v>6872</v>
      </c>
      <c r="B3285" s="1" t="s">
        <v>5</v>
      </c>
      <c r="C3285" s="1" t="s">
        <v>1575</v>
      </c>
      <c r="D3285" s="1" t="s">
        <v>1584</v>
      </c>
      <c r="E3285" s="1" t="s">
        <v>1586</v>
      </c>
      <c r="F3285" s="1" t="s">
        <v>66</v>
      </c>
      <c r="G3285" s="4">
        <v>0.49</v>
      </c>
      <c r="H3285" s="28">
        <v>43693</v>
      </c>
      <c r="I3285" s="29">
        <f t="shared" si="3125"/>
        <v>2019</v>
      </c>
      <c r="J3285" s="1" t="s">
        <v>3436</v>
      </c>
      <c r="K3285" s="1" t="s">
        <v>6039</v>
      </c>
      <c r="L3285" s="11" t="str">
        <f t="shared" si="3150"/>
        <v>НЕТ</v>
      </c>
      <c r="M3285" s="10">
        <v>0</v>
      </c>
      <c r="N3285" s="10">
        <v>0</v>
      </c>
      <c r="O3285" s="10">
        <v>14.6</v>
      </c>
      <c r="P3285" s="10">
        <f t="shared" si="3132"/>
        <v>29.795918367346939</v>
      </c>
      <c r="Q3285" s="10">
        <f t="shared" si="3133"/>
        <v>37.147918367346939</v>
      </c>
      <c r="R3285" s="10" t="s">
        <v>1575</v>
      </c>
      <c r="S3285" s="10" t="s">
        <v>1575</v>
      </c>
      <c r="T3285" s="10" t="s">
        <v>1575</v>
      </c>
      <c r="U3285" s="10" t="s">
        <v>1575</v>
      </c>
      <c r="V3285" s="10">
        <v>32.201999999999998</v>
      </c>
      <c r="W3285" s="10">
        <f>5.779+0.998+5.657+0.374-4.704-0.752</f>
        <v>7.352000000000003</v>
      </c>
      <c r="X3285" s="10">
        <f t="shared" si="3134"/>
        <v>39.554000000000002</v>
      </c>
      <c r="Y3285" s="10" t="str">
        <f t="shared" si="3135"/>
        <v>NA</v>
      </c>
      <c r="Z3285" s="10" t="str">
        <f t="shared" si="3136"/>
        <v>NA</v>
      </c>
      <c r="AA3285" s="10">
        <f t="shared" si="3137"/>
        <v>0.9252816088238911</v>
      </c>
      <c r="AB3285" s="10" t="str">
        <f t="shared" si="3138"/>
        <v>NA</v>
      </c>
      <c r="AC3285" s="10" t="str">
        <f t="shared" si="3139"/>
        <v>NA</v>
      </c>
      <c r="AD3285" s="10" t="str">
        <f t="shared" si="3140"/>
        <v>NA</v>
      </c>
      <c r="AE3285" s="10">
        <f t="shared" si="3141"/>
        <v>0.93916970135376798</v>
      </c>
      <c r="AF3285" s="1" t="s">
        <v>3669</v>
      </c>
    </row>
    <row r="3286" spans="1:32" x14ac:dyDescent="0.2">
      <c r="A3286" s="1" t="s">
        <v>3436</v>
      </c>
      <c r="B3286" s="1" t="s">
        <v>5</v>
      </c>
      <c r="C3286" s="1" t="s">
        <v>3437</v>
      </c>
      <c r="D3286" s="1" t="s">
        <v>1584</v>
      </c>
      <c r="E3286" s="1" t="s">
        <v>3486</v>
      </c>
      <c r="F3286" s="1" t="s">
        <v>3447</v>
      </c>
      <c r="G3286" s="4">
        <v>2.8000000000000001E-2</v>
      </c>
      <c r="H3286" s="28">
        <v>43100</v>
      </c>
      <c r="I3286" s="29">
        <f t="shared" si="3125"/>
        <v>2017</v>
      </c>
      <c r="J3286" s="1" t="s">
        <v>3436</v>
      </c>
      <c r="K3286" s="1" t="s">
        <v>7</v>
      </c>
      <c r="L3286" s="11" t="str">
        <f t="shared" si="3150"/>
        <v>ДА</v>
      </c>
      <c r="M3286" s="10">
        <v>0</v>
      </c>
      <c r="N3286" s="10">
        <v>0</v>
      </c>
      <c r="O3286" s="10">
        <v>1.629</v>
      </c>
      <c r="P3286" s="10">
        <f t="shared" si="3132"/>
        <v>58.178571428571431</v>
      </c>
      <c r="Q3286" s="10">
        <f t="shared" si="3133"/>
        <v>72.705571428571432</v>
      </c>
      <c r="R3286" s="10">
        <v>70.644999999999996</v>
      </c>
      <c r="S3286" s="10">
        <v>10.052</v>
      </c>
      <c r="T3286" s="10">
        <v>9.7119999999999997</v>
      </c>
      <c r="U3286" s="10">
        <v>7.8929999999999998</v>
      </c>
      <c r="V3286" s="10">
        <v>62.805</v>
      </c>
      <c r="W3286" s="10">
        <v>14.526999999999999</v>
      </c>
      <c r="X3286" s="10">
        <f t="shared" si="3134"/>
        <v>77.331999999999994</v>
      </c>
      <c r="Y3286" s="10">
        <f t="shared" si="3135"/>
        <v>0.82353416984317973</v>
      </c>
      <c r="Z3286" s="10">
        <f t="shared" si="3136"/>
        <v>7.3709073138947714</v>
      </c>
      <c r="AA3286" s="10">
        <f t="shared" si="3137"/>
        <v>0.92633662015080698</v>
      </c>
      <c r="AB3286" s="10">
        <f t="shared" si="3138"/>
        <v>1.0291679726600811</v>
      </c>
      <c r="AC3286" s="10">
        <f t="shared" si="3139"/>
        <v>7.2329458245693825</v>
      </c>
      <c r="AD3286" s="10">
        <f t="shared" si="3140"/>
        <v>7.486158507884209</v>
      </c>
      <c r="AE3286" s="10">
        <f t="shared" si="3141"/>
        <v>0.94017446113602954</v>
      </c>
      <c r="AF3286" s="1" t="s">
        <v>3671</v>
      </c>
    </row>
    <row r="3287" spans="1:32" x14ac:dyDescent="0.2">
      <c r="A3287" s="1" t="s">
        <v>3436</v>
      </c>
      <c r="C3287" s="1" t="s">
        <v>3437</v>
      </c>
      <c r="D3287" s="1" t="s">
        <v>1584</v>
      </c>
      <c r="E3287" s="1" t="s">
        <v>3486</v>
      </c>
      <c r="F3287" s="1" t="s">
        <v>3447</v>
      </c>
      <c r="G3287" s="4">
        <v>0.01</v>
      </c>
      <c r="H3287" s="28">
        <v>42735</v>
      </c>
      <c r="I3287" s="29">
        <f t="shared" si="3125"/>
        <v>2016</v>
      </c>
      <c r="J3287" s="1" t="s">
        <v>3436</v>
      </c>
      <c r="K3287" s="1" t="s">
        <v>7</v>
      </c>
      <c r="L3287" s="11" t="str">
        <f t="shared" ref="L3287" si="3151">IF(OR(A3287=J3287,A3287=K3287),"ДА","НЕТ")</f>
        <v>ДА</v>
      </c>
      <c r="M3287" s="10">
        <v>0</v>
      </c>
      <c r="N3287" s="10">
        <v>0</v>
      </c>
      <c r="O3287" s="10">
        <v>0.44</v>
      </c>
      <c r="P3287" s="10">
        <f t="shared" si="3132"/>
        <v>44</v>
      </c>
      <c r="Q3287" s="10">
        <f t="shared" si="3133"/>
        <v>53.033000000000001</v>
      </c>
      <c r="R3287" s="10">
        <v>49.021999999999998</v>
      </c>
      <c r="S3287" s="10">
        <v>5.452</v>
      </c>
      <c r="T3287" s="10">
        <v>5.0179999999999998</v>
      </c>
      <c r="U3287" s="10">
        <v>4.9020000000000001</v>
      </c>
      <c r="V3287" s="10">
        <v>58.15</v>
      </c>
      <c r="W3287" s="10">
        <v>9.033000000000003</v>
      </c>
      <c r="X3287" s="10">
        <f t="shared" si="3134"/>
        <v>67.183000000000007</v>
      </c>
      <c r="Y3287" s="10">
        <f t="shared" si="3135"/>
        <v>0.89755619925747632</v>
      </c>
      <c r="Z3287" s="10">
        <f t="shared" si="3136"/>
        <v>8.9759281925744592</v>
      </c>
      <c r="AA3287" s="10">
        <f t="shared" si="3137"/>
        <v>0.7566638005159072</v>
      </c>
      <c r="AB3287" s="10">
        <f t="shared" si="3138"/>
        <v>1.0818204071641304</v>
      </c>
      <c r="AC3287" s="10">
        <f t="shared" si="3139"/>
        <v>9.7272560528246519</v>
      </c>
      <c r="AD3287" s="10">
        <f t="shared" si="3140"/>
        <v>10.568553208449583</v>
      </c>
      <c r="AE3287" s="10">
        <f t="shared" si="3141"/>
        <v>0.78938124227855255</v>
      </c>
      <c r="AF3287" s="1" t="s">
        <v>3670</v>
      </c>
    </row>
    <row r="3288" spans="1:32" x14ac:dyDescent="0.2">
      <c r="A3288" s="1" t="s">
        <v>3652</v>
      </c>
      <c r="B3288" s="1" t="s">
        <v>5</v>
      </c>
      <c r="C3288" s="1" t="s">
        <v>1575</v>
      </c>
      <c r="D3288" s="1" t="s">
        <v>1580</v>
      </c>
      <c r="E3288" s="1" t="s">
        <v>1694</v>
      </c>
      <c r="F3288" s="1" t="s">
        <v>3067</v>
      </c>
      <c r="G3288" s="4">
        <v>1</v>
      </c>
      <c r="H3288" s="28">
        <v>45350</v>
      </c>
      <c r="I3288" s="29">
        <f t="shared" si="3125"/>
        <v>2024</v>
      </c>
      <c r="J3288" s="1" t="s">
        <v>6873</v>
      </c>
      <c r="K3288" s="1" t="s">
        <v>7</v>
      </c>
      <c r="L3288" s="11" t="str">
        <f t="shared" ref="L3288" si="3152">IF(OR(A3288=J3288,A3288=K3288),"ДА","НЕТ")</f>
        <v>НЕТ</v>
      </c>
      <c r="M3288" s="10">
        <v>0</v>
      </c>
      <c r="N3288" s="10">
        <v>0</v>
      </c>
      <c r="O3288" s="10">
        <v>1.454</v>
      </c>
      <c r="P3288" s="10">
        <f t="shared" si="3132"/>
        <v>1.454</v>
      </c>
      <c r="Q3288" s="10" t="str">
        <f t="shared" si="3133"/>
        <v>NA</v>
      </c>
      <c r="R3288" s="10" t="s">
        <v>1575</v>
      </c>
      <c r="S3288" s="10" t="s">
        <v>1575</v>
      </c>
      <c r="T3288" s="10" t="s">
        <v>1575</v>
      </c>
      <c r="U3288" s="10" t="s">
        <v>1575</v>
      </c>
      <c r="V3288" s="10" t="s">
        <v>1575</v>
      </c>
      <c r="W3288" s="10" t="s">
        <v>1575</v>
      </c>
      <c r="X3288" s="10" t="str">
        <f t="shared" si="3134"/>
        <v>NA</v>
      </c>
      <c r="Y3288" s="10" t="str">
        <f t="shared" si="3135"/>
        <v>NA</v>
      </c>
      <c r="Z3288" s="10" t="str">
        <f t="shared" si="3136"/>
        <v>NA</v>
      </c>
      <c r="AA3288" s="10" t="str">
        <f t="shared" si="3137"/>
        <v>NA</v>
      </c>
      <c r="AB3288" s="10" t="str">
        <f t="shared" si="3138"/>
        <v>NA</v>
      </c>
      <c r="AC3288" s="10" t="str">
        <f t="shared" si="3139"/>
        <v>NA</v>
      </c>
      <c r="AD3288" s="10" t="str">
        <f t="shared" si="3140"/>
        <v>NA</v>
      </c>
      <c r="AE3288" s="10" t="str">
        <f t="shared" si="3141"/>
        <v>NA</v>
      </c>
      <c r="AF3288" s="1" t="s">
        <v>3674</v>
      </c>
    </row>
    <row r="3289" spans="1:32" x14ac:dyDescent="0.2">
      <c r="A3289" s="1" t="s">
        <v>6873</v>
      </c>
      <c r="B3289" s="1" t="s">
        <v>5</v>
      </c>
      <c r="C3289" s="1" t="s">
        <v>3676</v>
      </c>
      <c r="D3289" s="1" t="s">
        <v>1584</v>
      </c>
      <c r="E3289" s="1" t="s">
        <v>3486</v>
      </c>
      <c r="F3289" s="1" t="s">
        <v>3447</v>
      </c>
      <c r="G3289" s="4">
        <f>5425471/61579358</f>
        <v>8.8105351796619893E-2</v>
      </c>
      <c r="H3289" s="28">
        <v>45291</v>
      </c>
      <c r="I3289" s="29">
        <f t="shared" si="3125"/>
        <v>2023</v>
      </c>
      <c r="J3289" s="1" t="s">
        <v>6873</v>
      </c>
      <c r="K3289" s="1" t="s">
        <v>7</v>
      </c>
      <c r="L3289" s="11" t="str">
        <f t="shared" ref="L3289:L3290" si="3153">IF(OR(A3289=J3289,A3289=K3289),"ДА","НЕТ")</f>
        <v>ДА</v>
      </c>
      <c r="M3289" s="10">
        <v>0</v>
      </c>
      <c r="N3289" s="10">
        <v>0</v>
      </c>
      <c r="O3289" s="10">
        <v>18.695</v>
      </c>
      <c r="P3289" s="10">
        <f t="shared" si="3132"/>
        <v>212.18915331221936</v>
      </c>
      <c r="Q3289" s="10" t="str">
        <f t="shared" si="3133"/>
        <v>NA</v>
      </c>
      <c r="R3289" s="10" t="s">
        <v>1575</v>
      </c>
      <c r="S3289" s="10" t="s">
        <v>1575</v>
      </c>
      <c r="T3289" s="10" t="s">
        <v>1575</v>
      </c>
      <c r="U3289" s="10" t="s">
        <v>1575</v>
      </c>
      <c r="V3289" s="10" t="s">
        <v>1575</v>
      </c>
      <c r="W3289" s="10" t="s">
        <v>1575</v>
      </c>
      <c r="X3289" s="10" t="str">
        <f t="shared" si="3134"/>
        <v>NA</v>
      </c>
      <c r="Y3289" s="10" t="str">
        <f t="shared" si="3135"/>
        <v>NA</v>
      </c>
      <c r="Z3289" s="10" t="str">
        <f t="shared" si="3136"/>
        <v>NA</v>
      </c>
      <c r="AA3289" s="10" t="str">
        <f t="shared" si="3137"/>
        <v>NA</v>
      </c>
      <c r="AB3289" s="10" t="str">
        <f t="shared" si="3138"/>
        <v>NA</v>
      </c>
      <c r="AC3289" s="10" t="str">
        <f t="shared" si="3139"/>
        <v>NA</v>
      </c>
      <c r="AD3289" s="10" t="str">
        <f t="shared" si="3140"/>
        <v>NA</v>
      </c>
      <c r="AE3289" s="10" t="str">
        <f t="shared" si="3141"/>
        <v>NA</v>
      </c>
      <c r="AF3289" s="1" t="s">
        <v>3672</v>
      </c>
    </row>
    <row r="3290" spans="1:32" x14ac:dyDescent="0.2">
      <c r="A3290" s="1" t="s">
        <v>6873</v>
      </c>
      <c r="B3290" s="1" t="s">
        <v>5</v>
      </c>
      <c r="C3290" s="1" t="s">
        <v>3676</v>
      </c>
      <c r="D3290" s="1" t="s">
        <v>1584</v>
      </c>
      <c r="E3290" s="1" t="s">
        <v>3486</v>
      </c>
      <c r="F3290" s="1" t="s">
        <v>3447</v>
      </c>
      <c r="G3290" s="4">
        <f>377620/61579358</f>
        <v>6.1322497061434122E-3</v>
      </c>
      <c r="H3290" s="28">
        <v>44926</v>
      </c>
      <c r="I3290" s="29">
        <f t="shared" si="3125"/>
        <v>2022</v>
      </c>
      <c r="J3290" s="1" t="s">
        <v>6873</v>
      </c>
      <c r="K3290" s="1" t="s">
        <v>7</v>
      </c>
      <c r="L3290" s="11" t="str">
        <f t="shared" si="3153"/>
        <v>ДА</v>
      </c>
      <c r="M3290" s="10">
        <v>0</v>
      </c>
      <c r="N3290" s="10">
        <v>0</v>
      </c>
      <c r="O3290" s="10">
        <v>1.73</v>
      </c>
      <c r="P3290" s="10">
        <f t="shared" si="3132"/>
        <v>282.11506101371748</v>
      </c>
      <c r="Q3290" s="10" t="str">
        <f t="shared" si="3133"/>
        <v>NA</v>
      </c>
      <c r="R3290" s="10" t="s">
        <v>1575</v>
      </c>
      <c r="S3290" s="10" t="s">
        <v>1575</v>
      </c>
      <c r="T3290" s="10" t="s">
        <v>1575</v>
      </c>
      <c r="U3290" s="10" t="s">
        <v>1575</v>
      </c>
      <c r="V3290" s="10" t="s">
        <v>1575</v>
      </c>
      <c r="W3290" s="10" t="s">
        <v>1575</v>
      </c>
      <c r="X3290" s="10" t="str">
        <f t="shared" si="3134"/>
        <v>NA</v>
      </c>
      <c r="Y3290" s="10" t="str">
        <f t="shared" si="3135"/>
        <v>NA</v>
      </c>
      <c r="Z3290" s="10" t="str">
        <f t="shared" si="3136"/>
        <v>NA</v>
      </c>
      <c r="AA3290" s="10" t="str">
        <f t="shared" si="3137"/>
        <v>NA</v>
      </c>
      <c r="AB3290" s="10" t="str">
        <f t="shared" si="3138"/>
        <v>NA</v>
      </c>
      <c r="AC3290" s="10" t="str">
        <f t="shared" si="3139"/>
        <v>NA</v>
      </c>
      <c r="AD3290" s="10" t="str">
        <f t="shared" si="3140"/>
        <v>NA</v>
      </c>
      <c r="AE3290" s="10" t="str">
        <f t="shared" si="3141"/>
        <v>NA</v>
      </c>
      <c r="AF3290" s="1" t="s">
        <v>3673</v>
      </c>
    </row>
    <row r="3291" spans="1:32" x14ac:dyDescent="0.2">
      <c r="A3291" s="1" t="s">
        <v>6874</v>
      </c>
      <c r="B3291" s="1" t="s">
        <v>5</v>
      </c>
      <c r="C3291" s="1" t="s">
        <v>1575</v>
      </c>
      <c r="D3291" s="1" t="s">
        <v>1584</v>
      </c>
      <c r="E3291" s="1" t="s">
        <v>1586</v>
      </c>
      <c r="F3291" s="1" t="s">
        <v>66</v>
      </c>
      <c r="G3291" s="4">
        <v>1</v>
      </c>
      <c r="H3291" s="28">
        <v>45219</v>
      </c>
      <c r="I3291" s="29">
        <f t="shared" si="3125"/>
        <v>2023</v>
      </c>
      <c r="J3291" s="1" t="s">
        <v>6873</v>
      </c>
      <c r="K3291" s="1" t="s">
        <v>7</v>
      </c>
      <c r="L3291" s="11" t="str">
        <f t="shared" ref="L3291" si="3154">IF(OR(A3291=J3291,A3291=K3291),"ДА","НЕТ")</f>
        <v>НЕТ</v>
      </c>
      <c r="M3291" s="10">
        <v>0</v>
      </c>
      <c r="N3291" s="10">
        <v>0</v>
      </c>
      <c r="O3291" s="10">
        <v>45.649000000000001</v>
      </c>
      <c r="P3291" s="10">
        <f t="shared" si="3132"/>
        <v>45.649000000000001</v>
      </c>
      <c r="Q3291" s="10">
        <f t="shared" si="3133"/>
        <v>247.30799999999999</v>
      </c>
      <c r="R3291" s="10" t="s">
        <v>1575</v>
      </c>
      <c r="S3291" s="10" t="s">
        <v>1575</v>
      </c>
      <c r="T3291" s="10" t="s">
        <v>1575</v>
      </c>
      <c r="U3291" s="10" t="s">
        <v>1575</v>
      </c>
      <c r="V3291" s="10">
        <v>48.351999999999997</v>
      </c>
      <c r="W3291" s="10">
        <f>112.213+96.292-6.846</f>
        <v>201.65899999999999</v>
      </c>
      <c r="X3291" s="10">
        <f t="shared" si="3134"/>
        <v>250.011</v>
      </c>
      <c r="Y3291" s="10" t="str">
        <f t="shared" si="3135"/>
        <v>NA</v>
      </c>
      <c r="Z3291" s="10" t="str">
        <f t="shared" si="3136"/>
        <v>NA</v>
      </c>
      <c r="AA3291" s="10">
        <f t="shared" si="3137"/>
        <v>0.9440974520185309</v>
      </c>
      <c r="AB3291" s="10" t="str">
        <f t="shared" si="3138"/>
        <v>NA</v>
      </c>
      <c r="AC3291" s="10" t="str">
        <f t="shared" si="3139"/>
        <v>NA</v>
      </c>
      <c r="AD3291" s="10" t="str">
        <f t="shared" si="3140"/>
        <v>NA</v>
      </c>
      <c r="AE3291" s="10">
        <f t="shared" si="3141"/>
        <v>0.98918847570706891</v>
      </c>
      <c r="AF3291" s="1" t="s">
        <v>3677</v>
      </c>
    </row>
    <row r="3292" spans="1:32" x14ac:dyDescent="0.2">
      <c r="A3292" s="1" t="s">
        <v>6875</v>
      </c>
      <c r="B3292" s="1" t="s">
        <v>5</v>
      </c>
      <c r="C3292" s="1" t="s">
        <v>1575</v>
      </c>
      <c r="D3292" s="1" t="s">
        <v>1584</v>
      </c>
      <c r="E3292" s="1" t="s">
        <v>1586</v>
      </c>
      <c r="F3292" s="1" t="s">
        <v>66</v>
      </c>
      <c r="G3292" s="4">
        <f>100%-15%</f>
        <v>0.85</v>
      </c>
      <c r="H3292" s="28">
        <v>45112</v>
      </c>
      <c r="I3292" s="29">
        <f t="shared" si="3125"/>
        <v>2023</v>
      </c>
      <c r="J3292" s="1" t="s">
        <v>6873</v>
      </c>
      <c r="K3292" s="1" t="s">
        <v>7</v>
      </c>
      <c r="L3292" s="11" t="str">
        <f t="shared" ref="L3292" si="3155">IF(OR(A3292=J3292,A3292=K3292),"ДА","НЕТ")</f>
        <v>НЕТ</v>
      </c>
      <c r="M3292" s="10">
        <v>0</v>
      </c>
      <c r="N3292" s="10">
        <v>0</v>
      </c>
      <c r="O3292" s="10">
        <v>4.5339999999999998</v>
      </c>
      <c r="P3292" s="10">
        <f t="shared" si="3132"/>
        <v>5.3341176470588234</v>
      </c>
      <c r="Q3292" s="10">
        <f t="shared" si="3133"/>
        <v>7.3571176470588231</v>
      </c>
      <c r="R3292" s="10" t="s">
        <v>1575</v>
      </c>
      <c r="S3292" s="10" t="s">
        <v>1575</v>
      </c>
      <c r="T3292" s="10" t="s">
        <v>1575</v>
      </c>
      <c r="U3292" s="10" t="s">
        <v>1575</v>
      </c>
      <c r="V3292" s="10">
        <v>9.2089999999999996</v>
      </c>
      <c r="W3292" s="10">
        <v>2.0230000000000001</v>
      </c>
      <c r="X3292" s="10">
        <f t="shared" si="3134"/>
        <v>11.231999999999999</v>
      </c>
      <c r="Y3292" s="10" t="str">
        <f t="shared" si="3135"/>
        <v>NA</v>
      </c>
      <c r="Z3292" s="10" t="str">
        <f t="shared" si="3136"/>
        <v>NA</v>
      </c>
      <c r="AA3292" s="10">
        <f t="shared" si="3137"/>
        <v>0.57922875958940423</v>
      </c>
      <c r="AB3292" s="10" t="str">
        <f t="shared" si="3138"/>
        <v>NA</v>
      </c>
      <c r="AC3292" s="10" t="str">
        <f t="shared" si="3139"/>
        <v>NA</v>
      </c>
      <c r="AD3292" s="10" t="str">
        <f t="shared" si="3140"/>
        <v>NA</v>
      </c>
      <c r="AE3292" s="10">
        <f t="shared" si="3141"/>
        <v>0.65501403552874138</v>
      </c>
      <c r="AF3292" s="1" t="s">
        <v>3678</v>
      </c>
    </row>
    <row r="3293" spans="1:32" x14ac:dyDescent="0.2">
      <c r="A3293" s="1" t="s">
        <v>6876</v>
      </c>
      <c r="B3293" s="1" t="s">
        <v>5</v>
      </c>
      <c r="C3293" s="1" t="s">
        <v>1575</v>
      </c>
      <c r="D3293" s="1" t="s">
        <v>1584</v>
      </c>
      <c r="E3293" s="1" t="s">
        <v>1586</v>
      </c>
      <c r="F3293" s="1" t="s">
        <v>66</v>
      </c>
      <c r="G3293" s="4">
        <v>0.95009999999999994</v>
      </c>
      <c r="H3293" s="28">
        <v>44562</v>
      </c>
      <c r="I3293" s="29">
        <f t="shared" si="3125"/>
        <v>2022</v>
      </c>
      <c r="J3293" s="1" t="s">
        <v>6873</v>
      </c>
      <c r="K3293" s="1" t="s">
        <v>7</v>
      </c>
      <c r="L3293" s="11" t="str">
        <f t="shared" ref="L3293" si="3156">IF(OR(A3293=J3293,A3293=K3293),"ДА","НЕТ")</f>
        <v>НЕТ</v>
      </c>
      <c r="M3293" s="10">
        <v>0</v>
      </c>
      <c r="N3293" s="10">
        <v>0</v>
      </c>
      <c r="O3293" s="10">
        <f>11.914+0.002</f>
        <v>11.916</v>
      </c>
      <c r="P3293" s="10">
        <f t="shared" si="3132"/>
        <v>12.541837701294602</v>
      </c>
      <c r="Q3293" s="10">
        <f t="shared" si="3133"/>
        <v>30.907837701294604</v>
      </c>
      <c r="R3293" s="10" t="s">
        <v>1575</v>
      </c>
      <c r="S3293" s="10" t="s">
        <v>1575</v>
      </c>
      <c r="T3293" s="10" t="s">
        <v>1575</v>
      </c>
      <c r="U3293" s="10" t="s">
        <v>1575</v>
      </c>
      <c r="V3293" s="10">
        <v>13.792999999999999</v>
      </c>
      <c r="W3293" s="10">
        <f>12.143+6.863-0.64</f>
        <v>18.366</v>
      </c>
      <c r="X3293" s="10">
        <f t="shared" si="3134"/>
        <v>32.158999999999999</v>
      </c>
      <c r="Y3293" s="10" t="str">
        <f t="shared" si="3135"/>
        <v>NA</v>
      </c>
      <c r="Z3293" s="10" t="str">
        <f t="shared" si="3136"/>
        <v>NA</v>
      </c>
      <c r="AA3293" s="10">
        <f t="shared" si="3137"/>
        <v>0.90929005301925636</v>
      </c>
      <c r="AB3293" s="10" t="str">
        <f t="shared" si="3138"/>
        <v>NA</v>
      </c>
      <c r="AC3293" s="10" t="str">
        <f t="shared" si="3139"/>
        <v>NA</v>
      </c>
      <c r="AD3293" s="10" t="str">
        <f t="shared" si="3140"/>
        <v>NA</v>
      </c>
      <c r="AE3293" s="10">
        <f t="shared" si="3141"/>
        <v>0.96109448991867297</v>
      </c>
      <c r="AF3293" s="1" t="s">
        <v>3679</v>
      </c>
    </row>
    <row r="3294" spans="1:32" x14ac:dyDescent="0.2">
      <c r="A3294" s="1" t="s">
        <v>3681</v>
      </c>
      <c r="B3294" s="1" t="s">
        <v>5</v>
      </c>
      <c r="C3294" s="1" t="s">
        <v>1575</v>
      </c>
      <c r="D3294" s="1" t="s">
        <v>1584</v>
      </c>
      <c r="E3294" s="1" t="s">
        <v>1587</v>
      </c>
      <c r="F3294" s="1" t="s">
        <v>3680</v>
      </c>
      <c r="G3294" s="4">
        <v>1</v>
      </c>
      <c r="H3294" s="28">
        <v>44834</v>
      </c>
      <c r="I3294" s="29">
        <f t="shared" si="3125"/>
        <v>2022</v>
      </c>
      <c r="J3294" s="1" t="s">
        <v>6873</v>
      </c>
      <c r="K3294" s="1" t="s">
        <v>7</v>
      </c>
      <c r="L3294" s="11" t="str">
        <f t="shared" ref="L3294" si="3157">IF(OR(A3294=J3294,A3294=K3294),"ДА","НЕТ")</f>
        <v>НЕТ</v>
      </c>
      <c r="M3294" s="10">
        <v>0</v>
      </c>
      <c r="N3294" s="10">
        <v>0</v>
      </c>
      <c r="O3294" s="10">
        <v>0.48</v>
      </c>
      <c r="P3294" s="10">
        <f t="shared" si="3132"/>
        <v>0.48</v>
      </c>
      <c r="Q3294" s="10">
        <f t="shared" si="3133"/>
        <v>0.45799999999999996</v>
      </c>
      <c r="R3294" s="10" t="s">
        <v>1575</v>
      </c>
      <c r="S3294" s="10" t="s">
        <v>1575</v>
      </c>
      <c r="T3294" s="10" t="s">
        <v>1575</v>
      </c>
      <c r="U3294" s="10" t="s">
        <v>1575</v>
      </c>
      <c r="V3294" s="10">
        <v>0.56200000000000006</v>
      </c>
      <c r="W3294" s="10">
        <f>0.001+0.002-0.025</f>
        <v>-2.2000000000000002E-2</v>
      </c>
      <c r="X3294" s="10">
        <f t="shared" si="3134"/>
        <v>0.54</v>
      </c>
      <c r="Y3294" s="10" t="str">
        <f t="shared" si="3135"/>
        <v>NA</v>
      </c>
      <c r="Z3294" s="10" t="str">
        <f t="shared" si="3136"/>
        <v>NA</v>
      </c>
      <c r="AA3294" s="10">
        <f t="shared" si="3137"/>
        <v>0.85409252669039137</v>
      </c>
      <c r="AB3294" s="10" t="str">
        <f t="shared" si="3138"/>
        <v>NA</v>
      </c>
      <c r="AC3294" s="10" t="str">
        <f t="shared" si="3139"/>
        <v>NA</v>
      </c>
      <c r="AD3294" s="10" t="str">
        <f t="shared" si="3140"/>
        <v>NA</v>
      </c>
      <c r="AE3294" s="10">
        <f t="shared" si="3141"/>
        <v>0.84814814814814798</v>
      </c>
      <c r="AF3294" s="1" t="s">
        <v>3682</v>
      </c>
    </row>
    <row r="3295" spans="1:32" x14ac:dyDescent="0.2">
      <c r="A3295" s="1" t="s">
        <v>6877</v>
      </c>
      <c r="B3295" s="1" t="s">
        <v>5</v>
      </c>
      <c r="C3295" s="1" t="s">
        <v>1575</v>
      </c>
      <c r="D3295" s="1" t="s">
        <v>1813</v>
      </c>
      <c r="E3295" s="1" t="s">
        <v>1821</v>
      </c>
      <c r="F3295" s="1" t="s">
        <v>3683</v>
      </c>
      <c r="G3295" s="4">
        <v>1</v>
      </c>
      <c r="H3295" s="28">
        <v>44834</v>
      </c>
      <c r="I3295" s="29">
        <f t="shared" si="3125"/>
        <v>2022</v>
      </c>
      <c r="J3295" s="1" t="s">
        <v>6873</v>
      </c>
      <c r="K3295" s="1" t="s">
        <v>7</v>
      </c>
      <c r="L3295" s="11" t="str">
        <f t="shared" ref="L3295" si="3158">IF(OR(A3295=J3295,A3295=K3295),"ДА","НЕТ")</f>
        <v>НЕТ</v>
      </c>
      <c r="M3295" s="10">
        <v>0</v>
      </c>
      <c r="N3295" s="10">
        <v>0</v>
      </c>
      <c r="O3295" s="10">
        <v>0.22500000000000001</v>
      </c>
      <c r="P3295" s="10">
        <f t="shared" si="3132"/>
        <v>0.22500000000000001</v>
      </c>
      <c r="Q3295" s="10">
        <f t="shared" si="3133"/>
        <v>0.218</v>
      </c>
      <c r="R3295" s="10" t="s">
        <v>1575</v>
      </c>
      <c r="S3295" s="10" t="s">
        <v>1575</v>
      </c>
      <c r="T3295" s="10" t="s">
        <v>1575</v>
      </c>
      <c r="U3295" s="10" t="s">
        <v>1575</v>
      </c>
      <c r="V3295" s="10">
        <v>0.192</v>
      </c>
      <c r="W3295" s="10">
        <f>0-0.007</f>
        <v>-7.0000000000000001E-3</v>
      </c>
      <c r="X3295" s="10">
        <f t="shared" si="3134"/>
        <v>0.185</v>
      </c>
      <c r="Y3295" s="10" t="str">
        <f t="shared" si="3135"/>
        <v>NA</v>
      </c>
      <c r="Z3295" s="10" t="str">
        <f t="shared" si="3136"/>
        <v>NA</v>
      </c>
      <c r="AA3295" s="10">
        <f t="shared" si="3137"/>
        <v>1.171875</v>
      </c>
      <c r="AB3295" s="10" t="str">
        <f t="shared" si="3138"/>
        <v>NA</v>
      </c>
      <c r="AC3295" s="10" t="str">
        <f t="shared" si="3139"/>
        <v>NA</v>
      </c>
      <c r="AD3295" s="10" t="str">
        <f t="shared" si="3140"/>
        <v>NA</v>
      </c>
      <c r="AE3295" s="10">
        <f t="shared" si="3141"/>
        <v>1.1783783783783783</v>
      </c>
      <c r="AF3295" s="1" t="s">
        <v>3685</v>
      </c>
    </row>
    <row r="3296" spans="1:32" x14ac:dyDescent="0.2">
      <c r="A3296" s="1" t="s">
        <v>6878</v>
      </c>
      <c r="B3296" s="1" t="s">
        <v>5</v>
      </c>
      <c r="C3296" s="1" t="s">
        <v>1575</v>
      </c>
      <c r="D3296" s="1" t="s">
        <v>1584</v>
      </c>
      <c r="E3296" s="1" t="s">
        <v>1586</v>
      </c>
      <c r="F3296" s="1" t="s">
        <v>66</v>
      </c>
      <c r="G3296" s="4">
        <v>0.34379999999999999</v>
      </c>
      <c r="H3296" s="28">
        <v>44377</v>
      </c>
      <c r="I3296" s="29">
        <f t="shared" si="3125"/>
        <v>2021</v>
      </c>
      <c r="J3296" s="1" t="s">
        <v>6873</v>
      </c>
      <c r="K3296" s="1" t="s">
        <v>7</v>
      </c>
      <c r="L3296" s="11" t="str">
        <f t="shared" ref="L3296" si="3159">IF(OR(A3296=J3296,A3296=K3296),"ДА","НЕТ")</f>
        <v>НЕТ</v>
      </c>
      <c r="M3296" s="10">
        <v>0</v>
      </c>
      <c r="N3296" s="10">
        <v>0</v>
      </c>
      <c r="O3296" s="10">
        <v>1.7270000000000001</v>
      </c>
      <c r="P3296" s="10">
        <f t="shared" si="3132"/>
        <v>5.0232693426410711</v>
      </c>
      <c r="Q3296" s="10">
        <f t="shared" si="3133"/>
        <v>6.3612693426410711</v>
      </c>
      <c r="R3296" s="10" t="s">
        <v>1575</v>
      </c>
      <c r="S3296" s="10" t="s">
        <v>1575</v>
      </c>
      <c r="T3296" s="10" t="s">
        <v>1575</v>
      </c>
      <c r="U3296" s="10" t="s">
        <v>1575</v>
      </c>
      <c r="V3296" s="10">
        <v>3.524</v>
      </c>
      <c r="W3296" s="10">
        <f>2.002-0.664</f>
        <v>1.3379999999999996</v>
      </c>
      <c r="X3296" s="10">
        <f t="shared" si="3134"/>
        <v>4.8620000000000001</v>
      </c>
      <c r="Y3296" s="10" t="str">
        <f t="shared" si="3135"/>
        <v>NA</v>
      </c>
      <c r="Z3296" s="10" t="str">
        <f t="shared" si="3136"/>
        <v>NA</v>
      </c>
      <c r="AA3296" s="10">
        <f t="shared" si="3137"/>
        <v>1.4254453299208487</v>
      </c>
      <c r="AB3296" s="10" t="str">
        <f t="shared" si="3138"/>
        <v>NA</v>
      </c>
      <c r="AC3296" s="10" t="str">
        <f t="shared" si="3139"/>
        <v>NA</v>
      </c>
      <c r="AD3296" s="10" t="str">
        <f t="shared" si="3140"/>
        <v>NA</v>
      </c>
      <c r="AE3296" s="10">
        <f t="shared" si="3141"/>
        <v>1.3083647352202943</v>
      </c>
      <c r="AF3296" s="1" t="s">
        <v>3684</v>
      </c>
    </row>
    <row r="3297" spans="1:32" x14ac:dyDescent="0.2">
      <c r="A3297" s="1" t="s">
        <v>3688</v>
      </c>
      <c r="B3297" s="1" t="s">
        <v>5</v>
      </c>
      <c r="C3297" s="1" t="s">
        <v>1575</v>
      </c>
      <c r="D3297" s="1" t="s">
        <v>1584</v>
      </c>
      <c r="E3297" s="1" t="s">
        <v>1587</v>
      </c>
      <c r="F3297" s="1" t="s">
        <v>3680</v>
      </c>
      <c r="G3297" s="4">
        <v>1</v>
      </c>
      <c r="H3297" s="28">
        <v>43921</v>
      </c>
      <c r="I3297" s="29">
        <f t="shared" si="3125"/>
        <v>2020</v>
      </c>
      <c r="J3297" s="1" t="s">
        <v>6873</v>
      </c>
      <c r="K3297" s="1" t="s">
        <v>7</v>
      </c>
      <c r="L3297" s="11" t="str">
        <f t="shared" ref="L3297" si="3160">IF(OR(A3297=J3297,A3297=K3297),"ДА","НЕТ")</f>
        <v>НЕТ</v>
      </c>
      <c r="M3297" s="10">
        <v>0</v>
      </c>
      <c r="N3297" s="10">
        <v>0</v>
      </c>
      <c r="O3297" s="10" t="s">
        <v>1575</v>
      </c>
      <c r="P3297" s="10" t="str">
        <f t="shared" si="3132"/>
        <v>NA</v>
      </c>
      <c r="Q3297" s="10" t="str">
        <f t="shared" si="3133"/>
        <v>NA</v>
      </c>
      <c r="R3297" s="10" t="s">
        <v>1575</v>
      </c>
      <c r="S3297" s="10" t="s">
        <v>1575</v>
      </c>
      <c r="T3297" s="10" t="s">
        <v>1575</v>
      </c>
      <c r="U3297" s="10" t="s">
        <v>1575</v>
      </c>
      <c r="V3297" s="10">
        <v>43.914000000000001</v>
      </c>
      <c r="W3297" s="10">
        <f>2.636+0.071-45.893</f>
        <v>-43.186</v>
      </c>
      <c r="X3297" s="10">
        <f t="shared" si="3134"/>
        <v>0.72800000000000153</v>
      </c>
      <c r="Y3297" s="10" t="str">
        <f t="shared" si="3135"/>
        <v>NA</v>
      </c>
      <c r="Z3297" s="10" t="str">
        <f t="shared" si="3136"/>
        <v>NA</v>
      </c>
      <c r="AA3297" s="10" t="str">
        <f t="shared" si="3137"/>
        <v>NA</v>
      </c>
      <c r="AB3297" s="10" t="str">
        <f t="shared" si="3138"/>
        <v>NA</v>
      </c>
      <c r="AC3297" s="10" t="str">
        <f t="shared" si="3139"/>
        <v>NA</v>
      </c>
      <c r="AD3297" s="10" t="str">
        <f t="shared" si="3140"/>
        <v>NA</v>
      </c>
      <c r="AE3297" s="10" t="str">
        <f t="shared" si="3141"/>
        <v>NA</v>
      </c>
      <c r="AF3297" s="1" t="s">
        <v>3687</v>
      </c>
    </row>
    <row r="3298" spans="1:32" x14ac:dyDescent="0.2">
      <c r="A3298" s="1" t="s">
        <v>6873</v>
      </c>
      <c r="B3298" s="1" t="s">
        <v>5</v>
      </c>
      <c r="C3298" s="1" t="s">
        <v>3676</v>
      </c>
      <c r="D3298" s="1" t="s">
        <v>1584</v>
      </c>
      <c r="E3298" s="1" t="s">
        <v>3486</v>
      </c>
      <c r="F3298" s="1" t="s">
        <v>3447</v>
      </c>
      <c r="G3298" s="4">
        <f>3078968/60040000</f>
        <v>5.1281945369753501E-2</v>
      </c>
      <c r="H3298" s="28">
        <v>44134</v>
      </c>
      <c r="I3298" s="29">
        <f t="shared" si="3125"/>
        <v>2020</v>
      </c>
      <c r="J3298" s="1" t="s">
        <v>7</v>
      </c>
      <c r="K3298" s="1" t="s">
        <v>6873</v>
      </c>
      <c r="L3298" s="11" t="str">
        <f t="shared" ref="L3298" si="3161">IF(OR(A3298=J3298,A3298=K3298),"ДА","НЕТ")</f>
        <v>ДА</v>
      </c>
      <c r="M3298" s="10">
        <v>0</v>
      </c>
      <c r="N3298" s="10">
        <v>0</v>
      </c>
      <c r="O3298" s="10">
        <v>1.5000100000000001</v>
      </c>
      <c r="P3298" s="10">
        <f t="shared" si="3132"/>
        <v>29.250255410254344</v>
      </c>
      <c r="Q3298" s="10">
        <f t="shared" si="3133"/>
        <v>40.174255410254347</v>
      </c>
      <c r="R3298" s="10">
        <v>51.145000000000003</v>
      </c>
      <c r="S3298" s="10">
        <v>5.3540000000000001</v>
      </c>
      <c r="T3298" s="10">
        <v>5.0520000000000005</v>
      </c>
      <c r="U3298" s="10">
        <v>0.86399999999999999</v>
      </c>
      <c r="V3298" s="10">
        <v>5.6230000000000011</v>
      </c>
      <c r="W3298" s="10">
        <v>10.923999999999999</v>
      </c>
      <c r="X3298" s="10">
        <f t="shared" si="3134"/>
        <v>16.547000000000001</v>
      </c>
      <c r="Y3298" s="10">
        <f t="shared" si="3135"/>
        <v>0.57190840571423096</v>
      </c>
      <c r="Z3298" s="10">
        <f t="shared" si="3136"/>
        <v>33.854462280386969</v>
      </c>
      <c r="AA3298" s="10">
        <f t="shared" si="3137"/>
        <v>5.2018949689230549</v>
      </c>
      <c r="AB3298" s="10">
        <f t="shared" si="3138"/>
        <v>0.78549722182528781</v>
      </c>
      <c r="AC3298" s="10">
        <f t="shared" si="3139"/>
        <v>7.5035964531666686</v>
      </c>
      <c r="AD3298" s="10">
        <f t="shared" si="3140"/>
        <v>7.9521487352047391</v>
      </c>
      <c r="AE3298" s="10">
        <f t="shared" si="3141"/>
        <v>2.427887557276506</v>
      </c>
      <c r="AF3298" s="1" t="s">
        <v>3686</v>
      </c>
    </row>
    <row r="3299" spans="1:32" x14ac:dyDescent="0.2">
      <c r="A3299" s="1" t="s">
        <v>3690</v>
      </c>
      <c r="B3299" s="1" t="s">
        <v>5</v>
      </c>
      <c r="C3299" s="1" t="s">
        <v>1575</v>
      </c>
      <c r="D3299" s="1" t="s">
        <v>1584</v>
      </c>
      <c r="E3299" s="1" t="s">
        <v>1586</v>
      </c>
      <c r="F3299" s="1" t="s">
        <v>3611</v>
      </c>
      <c r="G3299" s="4">
        <v>1</v>
      </c>
      <c r="H3299" s="28">
        <v>44227</v>
      </c>
      <c r="I3299" s="29">
        <f t="shared" si="3125"/>
        <v>2021</v>
      </c>
      <c r="J3299" s="1" t="s">
        <v>6873</v>
      </c>
      <c r="K3299" s="1" t="s">
        <v>7</v>
      </c>
      <c r="L3299" s="11" t="str">
        <f t="shared" ref="L3299:L3301" si="3162">IF(OR(A3299=J3299,A3299=K3299),"ДА","НЕТ")</f>
        <v>НЕТ</v>
      </c>
      <c r="M3299" s="10">
        <v>0</v>
      </c>
      <c r="N3299" s="10">
        <v>0</v>
      </c>
      <c r="O3299" s="10">
        <v>2.7719999999999998</v>
      </c>
      <c r="P3299" s="10">
        <f t="shared" si="3132"/>
        <v>2.7719999999999998</v>
      </c>
      <c r="Q3299" s="10" t="str">
        <f t="shared" si="3133"/>
        <v>NA</v>
      </c>
      <c r="R3299" s="10" t="s">
        <v>1575</v>
      </c>
      <c r="S3299" s="10" t="s">
        <v>1575</v>
      </c>
      <c r="T3299" s="10" t="s">
        <v>1575</v>
      </c>
      <c r="U3299" s="10" t="s">
        <v>1575</v>
      </c>
      <c r="V3299" s="10" t="s">
        <v>1575</v>
      </c>
      <c r="W3299" s="10" t="s">
        <v>1575</v>
      </c>
      <c r="X3299" s="10" t="str">
        <f t="shared" si="3134"/>
        <v>NA</v>
      </c>
      <c r="Y3299" s="10" t="str">
        <f t="shared" si="3135"/>
        <v>NA</v>
      </c>
      <c r="Z3299" s="10" t="str">
        <f t="shared" si="3136"/>
        <v>NA</v>
      </c>
      <c r="AA3299" s="10" t="str">
        <f t="shared" si="3137"/>
        <v>NA</v>
      </c>
      <c r="AB3299" s="10" t="str">
        <f t="shared" si="3138"/>
        <v>NA</v>
      </c>
      <c r="AC3299" s="10" t="str">
        <f t="shared" si="3139"/>
        <v>NA</v>
      </c>
      <c r="AD3299" s="10" t="str">
        <f t="shared" si="3140"/>
        <v>NA</v>
      </c>
      <c r="AE3299" s="10" t="str">
        <f t="shared" si="3141"/>
        <v>NA</v>
      </c>
      <c r="AF3299" s="1" t="s">
        <v>3689</v>
      </c>
    </row>
    <row r="3300" spans="1:32" x14ac:dyDescent="0.2">
      <c r="A3300" s="1" t="s">
        <v>3690</v>
      </c>
      <c r="B3300" s="1" t="s">
        <v>5</v>
      </c>
      <c r="C3300" s="1" t="s">
        <v>1575</v>
      </c>
      <c r="D3300" s="1" t="s">
        <v>1584</v>
      </c>
      <c r="E3300" s="1" t="s">
        <v>1586</v>
      </c>
      <c r="F3300" s="1" t="s">
        <v>3611</v>
      </c>
      <c r="G3300" s="4">
        <v>1</v>
      </c>
      <c r="H3300" s="28">
        <v>43646</v>
      </c>
      <c r="I3300" s="29">
        <f t="shared" si="3125"/>
        <v>2019</v>
      </c>
      <c r="J3300" s="1" t="s">
        <v>6873</v>
      </c>
      <c r="K3300" s="1" t="s">
        <v>7</v>
      </c>
      <c r="L3300" s="11" t="str">
        <f t="shared" ref="L3300" si="3163">IF(OR(A3300=J3300,A3300=K3300),"ДА","НЕТ")</f>
        <v>НЕТ</v>
      </c>
      <c r="M3300" s="10">
        <v>0</v>
      </c>
      <c r="N3300" s="10">
        <v>0</v>
      </c>
      <c r="O3300" s="10">
        <v>1.108695</v>
      </c>
      <c r="P3300" s="10">
        <f t="shared" si="3132"/>
        <v>1.108695</v>
      </c>
      <c r="Q3300" s="10" t="str">
        <f t="shared" si="3133"/>
        <v>NA</v>
      </c>
      <c r="R3300" s="10" t="s">
        <v>1575</v>
      </c>
      <c r="S3300" s="10" t="s">
        <v>1575</v>
      </c>
      <c r="T3300" s="10" t="s">
        <v>1575</v>
      </c>
      <c r="U3300" s="10" t="s">
        <v>1575</v>
      </c>
      <c r="V3300" s="10" t="s">
        <v>1575</v>
      </c>
      <c r="W3300" s="10" t="s">
        <v>1575</v>
      </c>
      <c r="X3300" s="10" t="str">
        <f t="shared" si="3134"/>
        <v>NA</v>
      </c>
      <c r="Y3300" s="10" t="str">
        <f t="shared" si="3135"/>
        <v>NA</v>
      </c>
      <c r="Z3300" s="10" t="str">
        <f t="shared" si="3136"/>
        <v>NA</v>
      </c>
      <c r="AA3300" s="10" t="str">
        <f t="shared" si="3137"/>
        <v>NA</v>
      </c>
      <c r="AB3300" s="10" t="str">
        <f t="shared" si="3138"/>
        <v>NA</v>
      </c>
      <c r="AC3300" s="10" t="str">
        <f t="shared" si="3139"/>
        <v>NA</v>
      </c>
      <c r="AD3300" s="10" t="str">
        <f t="shared" si="3140"/>
        <v>NA</v>
      </c>
      <c r="AE3300" s="10" t="str">
        <f t="shared" si="3141"/>
        <v>NA</v>
      </c>
      <c r="AF3300" s="1" t="s">
        <v>3693</v>
      </c>
    </row>
    <row r="3301" spans="1:32" x14ac:dyDescent="0.2">
      <c r="A3301" s="1" t="s">
        <v>3694</v>
      </c>
      <c r="B3301" s="1" t="s">
        <v>5</v>
      </c>
      <c r="C3301" s="1" t="s">
        <v>1575</v>
      </c>
      <c r="D3301" s="1" t="s">
        <v>1584</v>
      </c>
      <c r="E3301" s="1" t="s">
        <v>1587</v>
      </c>
      <c r="F3301" s="1" t="s">
        <v>3680</v>
      </c>
      <c r="G3301" s="4" t="s">
        <v>11</v>
      </c>
      <c r="H3301" s="28">
        <v>43465</v>
      </c>
      <c r="I3301" s="29">
        <f t="shared" si="3125"/>
        <v>2018</v>
      </c>
      <c r="J3301" s="1" t="s">
        <v>7</v>
      </c>
      <c r="K3301" s="1" t="s">
        <v>6873</v>
      </c>
      <c r="L3301" s="11" t="str">
        <f t="shared" si="3162"/>
        <v>НЕТ</v>
      </c>
      <c r="M3301" s="10">
        <v>0</v>
      </c>
      <c r="N3301" s="10">
        <v>0</v>
      </c>
      <c r="O3301" s="10">
        <v>19.010000000000002</v>
      </c>
      <c r="P3301" s="10" t="str">
        <f t="shared" si="3132"/>
        <v>NA</v>
      </c>
      <c r="Q3301" s="10" t="str">
        <f t="shared" si="3133"/>
        <v>NA</v>
      </c>
      <c r="R3301" s="10">
        <v>0.99628099999999997</v>
      </c>
      <c r="S3301" s="10" t="s">
        <v>1575</v>
      </c>
      <c r="T3301" s="10">
        <v>3.0530999999999999E-2</v>
      </c>
      <c r="U3301" s="10" t="s">
        <v>1575</v>
      </c>
      <c r="V3301" s="10">
        <v>42.476999999999997</v>
      </c>
      <c r="W3301" s="10" t="s">
        <v>1575</v>
      </c>
      <c r="X3301" s="10" t="str">
        <f t="shared" si="3134"/>
        <v>NA</v>
      </c>
      <c r="Y3301" s="10" t="str">
        <f t="shared" si="3135"/>
        <v>NA</v>
      </c>
      <c r="Z3301" s="10" t="str">
        <f t="shared" si="3136"/>
        <v>NA</v>
      </c>
      <c r="AA3301" s="10" t="str">
        <f t="shared" si="3137"/>
        <v>NA</v>
      </c>
      <c r="AB3301" s="10" t="str">
        <f t="shared" si="3138"/>
        <v>NA</v>
      </c>
      <c r="AC3301" s="10" t="str">
        <f t="shared" si="3139"/>
        <v>NA</v>
      </c>
      <c r="AD3301" s="10" t="str">
        <f t="shared" si="3140"/>
        <v>NA</v>
      </c>
      <c r="AE3301" s="10" t="str">
        <f t="shared" si="3141"/>
        <v>NA</v>
      </c>
      <c r="AF3301" s="1" t="s">
        <v>3691</v>
      </c>
    </row>
    <row r="3302" spans="1:32" x14ac:dyDescent="0.2">
      <c r="A3302" s="1" t="s">
        <v>6879</v>
      </c>
      <c r="B3302" s="1" t="s">
        <v>5</v>
      </c>
      <c r="C3302" s="1" t="s">
        <v>1575</v>
      </c>
      <c r="D3302" s="1" t="s">
        <v>1584</v>
      </c>
      <c r="E3302" s="1" t="s">
        <v>3486</v>
      </c>
      <c r="F3302" s="1" t="s">
        <v>3447</v>
      </c>
      <c r="G3302" s="4">
        <v>0.74</v>
      </c>
      <c r="H3302" s="28">
        <v>43279</v>
      </c>
      <c r="I3302" s="29">
        <f t="shared" si="3125"/>
        <v>2018</v>
      </c>
      <c r="J3302" s="1" t="s">
        <v>6873</v>
      </c>
      <c r="K3302" s="1" t="s">
        <v>7</v>
      </c>
      <c r="L3302" s="11" t="str">
        <f t="shared" ref="L3302" si="3164">IF(OR(A3302=J3302,A3302=K3302),"ДА","НЕТ")</f>
        <v>НЕТ</v>
      </c>
      <c r="M3302" s="10">
        <v>0</v>
      </c>
      <c r="N3302" s="10">
        <v>0</v>
      </c>
      <c r="O3302" s="10">
        <v>6.9999999999999999E-6</v>
      </c>
      <c r="P3302" s="10">
        <f t="shared" si="3132"/>
        <v>9.4594594594594589E-6</v>
      </c>
      <c r="Q3302" s="10">
        <f t="shared" si="3133"/>
        <v>0.31272245945945948</v>
      </c>
      <c r="R3302" s="10">
        <v>2.5117409999999998</v>
      </c>
      <c r="S3302" s="10" t="s">
        <v>1575</v>
      </c>
      <c r="T3302" s="10" t="s">
        <v>1575</v>
      </c>
      <c r="U3302" s="10">
        <v>5.8622E-2</v>
      </c>
      <c r="V3302" s="10">
        <v>40.81</v>
      </c>
      <c r="W3302" s="10">
        <f>0.250772+0.924261-0.86232</f>
        <v>0.31271300000000002</v>
      </c>
      <c r="X3302" s="10">
        <f t="shared" si="3134"/>
        <v>41.122713000000005</v>
      </c>
      <c r="Y3302" s="10">
        <f t="shared" si="3135"/>
        <v>3.766096687301541E-6</v>
      </c>
      <c r="Z3302" s="10">
        <f t="shared" si="3136"/>
        <v>1.6136364265053151E-4</v>
      </c>
      <c r="AA3302" s="10">
        <f t="shared" si="3137"/>
        <v>2.3179268462287328E-7</v>
      </c>
      <c r="AB3302" s="10">
        <f t="shared" si="3138"/>
        <v>0.12450426196787787</v>
      </c>
      <c r="AC3302" s="10" t="str">
        <f t="shared" si="3139"/>
        <v>NA</v>
      </c>
      <c r="AD3302" s="10" t="str">
        <f t="shared" si="3140"/>
        <v>NA</v>
      </c>
      <c r="AE3302" s="10">
        <f t="shared" si="3141"/>
        <v>7.6046164429729975E-3</v>
      </c>
      <c r="AF3302" s="1" t="s">
        <v>3692</v>
      </c>
    </row>
    <row r="3303" spans="1:32" x14ac:dyDescent="0.2">
      <c r="A3303" s="1" t="s">
        <v>6880</v>
      </c>
      <c r="B3303" s="1" t="s">
        <v>5</v>
      </c>
      <c r="C3303" s="1" t="s">
        <v>1575</v>
      </c>
      <c r="D3303" s="1" t="s">
        <v>1584</v>
      </c>
      <c r="E3303" s="1" t="s">
        <v>1586</v>
      </c>
      <c r="F3303" s="1" t="s">
        <v>3611</v>
      </c>
      <c r="G3303" s="4">
        <v>1</v>
      </c>
      <c r="H3303" s="28">
        <v>43453</v>
      </c>
      <c r="I3303" s="29">
        <f t="shared" si="3125"/>
        <v>2018</v>
      </c>
      <c r="J3303" s="1" t="s">
        <v>6873</v>
      </c>
      <c r="K3303" s="1" t="s">
        <v>7</v>
      </c>
      <c r="L3303" s="11" t="str">
        <f t="shared" ref="L3303:L3306" si="3165">IF(OR(A3303=J3303,A3303=K3303),"ДА","НЕТ")</f>
        <v>НЕТ</v>
      </c>
      <c r="M3303" s="10">
        <v>0</v>
      </c>
      <c r="N3303" s="10">
        <v>0</v>
      </c>
      <c r="O3303" s="10">
        <v>0.40986499999999998</v>
      </c>
      <c r="P3303" s="10">
        <f t="shared" si="3132"/>
        <v>0.40986499999999998</v>
      </c>
      <c r="Q3303" s="10" t="str">
        <f t="shared" si="3133"/>
        <v>NA</v>
      </c>
      <c r="R3303" s="10" t="s">
        <v>1575</v>
      </c>
      <c r="S3303" s="10" t="s">
        <v>1575</v>
      </c>
      <c r="T3303" s="10" t="s">
        <v>1575</v>
      </c>
      <c r="U3303" s="10" t="s">
        <v>1575</v>
      </c>
      <c r="V3303" s="10">
        <v>0.40984700000000002</v>
      </c>
      <c r="W3303" s="10" t="s">
        <v>1575</v>
      </c>
      <c r="X3303" s="10" t="str">
        <f t="shared" si="3134"/>
        <v>NA</v>
      </c>
      <c r="Y3303" s="10" t="str">
        <f t="shared" si="3135"/>
        <v>NA</v>
      </c>
      <c r="Z3303" s="10" t="str">
        <f t="shared" si="3136"/>
        <v>NA</v>
      </c>
      <c r="AA3303" s="10">
        <f t="shared" si="3137"/>
        <v>1.0000439188282455</v>
      </c>
      <c r="AB3303" s="10" t="str">
        <f t="shared" si="3138"/>
        <v>NA</v>
      </c>
      <c r="AC3303" s="10" t="str">
        <f t="shared" si="3139"/>
        <v>NA</v>
      </c>
      <c r="AD3303" s="10" t="str">
        <f t="shared" si="3140"/>
        <v>NA</v>
      </c>
      <c r="AE3303" s="10" t="str">
        <f t="shared" si="3141"/>
        <v>NA</v>
      </c>
      <c r="AF3303" s="1" t="s">
        <v>3695</v>
      </c>
    </row>
    <row r="3304" spans="1:32" x14ac:dyDescent="0.2">
      <c r="A3304" s="1" t="s">
        <v>3675</v>
      </c>
      <c r="B3304" s="1" t="s">
        <v>5</v>
      </c>
      <c r="C3304" s="1" t="s">
        <v>1575</v>
      </c>
      <c r="D3304" s="1" t="s">
        <v>1584</v>
      </c>
      <c r="E3304" s="1" t="s">
        <v>1586</v>
      </c>
      <c r="F3304" s="1" t="s">
        <v>3611</v>
      </c>
      <c r="G3304" s="4" t="s">
        <v>11</v>
      </c>
      <c r="H3304" s="28">
        <v>43465</v>
      </c>
      <c r="I3304" s="29">
        <f t="shared" si="3125"/>
        <v>2018</v>
      </c>
      <c r="J3304" s="1" t="s">
        <v>6873</v>
      </c>
      <c r="K3304" s="1" t="s">
        <v>7</v>
      </c>
      <c r="L3304" s="11" t="str">
        <f t="shared" ref="L3304" si="3166">IF(OR(A3304=J3304,A3304=K3304),"ДА","НЕТ")</f>
        <v>НЕТ</v>
      </c>
      <c r="M3304" s="10">
        <v>0</v>
      </c>
      <c r="N3304" s="10">
        <v>0</v>
      </c>
      <c r="O3304" s="10">
        <v>2.9545400000000002</v>
      </c>
      <c r="P3304" s="10" t="str">
        <f t="shared" si="3132"/>
        <v>NA</v>
      </c>
      <c r="Q3304" s="10" t="str">
        <f t="shared" si="3133"/>
        <v>NA</v>
      </c>
      <c r="R3304" s="10" t="s">
        <v>1575</v>
      </c>
      <c r="S3304" s="10" t="s">
        <v>1575</v>
      </c>
      <c r="T3304" s="10" t="s">
        <v>1575</v>
      </c>
      <c r="U3304" s="10" t="s">
        <v>1575</v>
      </c>
      <c r="V3304" s="10" t="s">
        <v>1575</v>
      </c>
      <c r="W3304" s="10" t="s">
        <v>1575</v>
      </c>
      <c r="X3304" s="10" t="str">
        <f t="shared" si="3134"/>
        <v>NA</v>
      </c>
      <c r="Y3304" s="10" t="str">
        <f t="shared" si="3135"/>
        <v>NA</v>
      </c>
      <c r="Z3304" s="10" t="str">
        <f t="shared" si="3136"/>
        <v>NA</v>
      </c>
      <c r="AA3304" s="10" t="str">
        <f t="shared" si="3137"/>
        <v>NA</v>
      </c>
      <c r="AB3304" s="10" t="str">
        <f t="shared" si="3138"/>
        <v>NA</v>
      </c>
      <c r="AC3304" s="10" t="str">
        <f t="shared" si="3139"/>
        <v>NA</v>
      </c>
      <c r="AD3304" s="10" t="str">
        <f t="shared" si="3140"/>
        <v>NA</v>
      </c>
      <c r="AE3304" s="10" t="str">
        <f t="shared" si="3141"/>
        <v>NA</v>
      </c>
      <c r="AF3304" s="1" t="s">
        <v>3699</v>
      </c>
    </row>
    <row r="3305" spans="1:32" x14ac:dyDescent="0.2">
      <c r="A3305" s="1" t="s">
        <v>913</v>
      </c>
      <c r="B3305" s="1" t="s">
        <v>5</v>
      </c>
      <c r="C3305" s="1" t="s">
        <v>1575</v>
      </c>
      <c r="D3305" s="1" t="s">
        <v>1584</v>
      </c>
      <c r="E3305" s="1" t="s">
        <v>1586</v>
      </c>
      <c r="F3305" s="1" t="s">
        <v>3611</v>
      </c>
      <c r="G3305" s="4" t="s">
        <v>11</v>
      </c>
      <c r="H3305" s="28">
        <v>43465</v>
      </c>
      <c r="I3305" s="29">
        <f t="shared" ref="I3305" si="3167">YEAR(H3305)</f>
        <v>2018</v>
      </c>
      <c r="J3305" s="1" t="s">
        <v>6873</v>
      </c>
      <c r="K3305" s="1" t="s">
        <v>7</v>
      </c>
      <c r="L3305" s="11" t="str">
        <f t="shared" ref="L3305" si="3168">IF(OR(A3305=J3305,A3305=K3305),"ДА","НЕТ")</f>
        <v>НЕТ</v>
      </c>
      <c r="M3305" s="10">
        <v>0</v>
      </c>
      <c r="N3305" s="10">
        <v>0</v>
      </c>
      <c r="O3305" s="10">
        <v>6.3904019999999999</v>
      </c>
      <c r="P3305" s="10" t="str">
        <f t="shared" si="3132"/>
        <v>NA</v>
      </c>
      <c r="Q3305" s="10" t="str">
        <f t="shared" si="3133"/>
        <v>NA</v>
      </c>
      <c r="R3305" s="10" t="s">
        <v>1575</v>
      </c>
      <c r="S3305" s="10" t="s">
        <v>1575</v>
      </c>
      <c r="T3305" s="10" t="s">
        <v>1575</v>
      </c>
      <c r="U3305" s="10" t="s">
        <v>1575</v>
      </c>
      <c r="V3305" s="10" t="s">
        <v>1575</v>
      </c>
      <c r="W3305" s="10" t="s">
        <v>1575</v>
      </c>
      <c r="X3305" s="10" t="str">
        <f t="shared" si="3134"/>
        <v>NA</v>
      </c>
      <c r="Y3305" s="10" t="str">
        <f t="shared" si="3135"/>
        <v>NA</v>
      </c>
      <c r="Z3305" s="10" t="str">
        <f t="shared" si="3136"/>
        <v>NA</v>
      </c>
      <c r="AA3305" s="10" t="str">
        <f t="shared" si="3137"/>
        <v>NA</v>
      </c>
      <c r="AB3305" s="10" t="str">
        <f t="shared" si="3138"/>
        <v>NA</v>
      </c>
      <c r="AC3305" s="10" t="str">
        <f t="shared" si="3139"/>
        <v>NA</v>
      </c>
      <c r="AD3305" s="10" t="str">
        <f t="shared" si="3140"/>
        <v>NA</v>
      </c>
      <c r="AE3305" s="10" t="str">
        <f t="shared" si="3141"/>
        <v>NA</v>
      </c>
      <c r="AF3305" s="1" t="s">
        <v>3702</v>
      </c>
    </row>
    <row r="3306" spans="1:32" x14ac:dyDescent="0.2">
      <c r="A3306" s="1" t="s">
        <v>3697</v>
      </c>
      <c r="B3306" s="1" t="s">
        <v>5</v>
      </c>
      <c r="C3306" s="1" t="s">
        <v>1575</v>
      </c>
      <c r="D3306" s="1" t="s">
        <v>1584</v>
      </c>
      <c r="E3306" s="1" t="s">
        <v>1586</v>
      </c>
      <c r="F3306" s="1" t="s">
        <v>3611</v>
      </c>
      <c r="G3306" s="4" t="s">
        <v>11</v>
      </c>
      <c r="H3306" s="28">
        <v>43100</v>
      </c>
      <c r="I3306" s="29">
        <f t="shared" si="3125"/>
        <v>2017</v>
      </c>
      <c r="J3306" s="1" t="s">
        <v>7</v>
      </c>
      <c r="K3306" s="1" t="s">
        <v>6873</v>
      </c>
      <c r="L3306" s="11" t="str">
        <f t="shared" si="3165"/>
        <v>НЕТ</v>
      </c>
      <c r="M3306" s="10">
        <v>0</v>
      </c>
      <c r="N3306" s="10">
        <v>0</v>
      </c>
      <c r="O3306" s="10">
        <v>51.334000000000003</v>
      </c>
      <c r="P3306" s="10" t="str">
        <f t="shared" si="3132"/>
        <v>NA</v>
      </c>
      <c r="Q3306" s="10" t="str">
        <f t="shared" si="3133"/>
        <v>NA</v>
      </c>
      <c r="R3306" s="10" t="s">
        <v>1575</v>
      </c>
      <c r="S3306" s="10" t="s">
        <v>1575</v>
      </c>
      <c r="T3306" s="10" t="s">
        <v>1575</v>
      </c>
      <c r="U3306" s="10" t="s">
        <v>1575</v>
      </c>
      <c r="V3306" s="10">
        <v>-0.33833099999999999</v>
      </c>
      <c r="W3306" s="10">
        <f>4.368147</f>
        <v>4.3681469999999996</v>
      </c>
      <c r="X3306" s="10">
        <f t="shared" si="3134"/>
        <v>4.0298159999999994</v>
      </c>
      <c r="Y3306" s="10" t="str">
        <f t="shared" si="3135"/>
        <v>NA</v>
      </c>
      <c r="Z3306" s="10" t="str">
        <f t="shared" si="3136"/>
        <v>NA</v>
      </c>
      <c r="AA3306" s="10" t="str">
        <f t="shared" si="3137"/>
        <v>NA</v>
      </c>
      <c r="AB3306" s="10" t="str">
        <f t="shared" si="3138"/>
        <v>NA</v>
      </c>
      <c r="AC3306" s="10" t="str">
        <f t="shared" si="3139"/>
        <v>NA</v>
      </c>
      <c r="AD3306" s="10" t="str">
        <f t="shared" si="3140"/>
        <v>NA</v>
      </c>
      <c r="AE3306" s="10" t="str">
        <f t="shared" si="3141"/>
        <v>NA</v>
      </c>
      <c r="AF3306" s="1" t="s">
        <v>3696</v>
      </c>
    </row>
    <row r="3307" spans="1:32" x14ac:dyDescent="0.2">
      <c r="A3307" s="1" t="s">
        <v>6881</v>
      </c>
      <c r="B3307" s="1" t="s">
        <v>5</v>
      </c>
      <c r="C3307" s="1" t="s">
        <v>1575</v>
      </c>
      <c r="D3307" s="1" t="s">
        <v>1584</v>
      </c>
      <c r="E3307" s="1" t="s">
        <v>1586</v>
      </c>
      <c r="F3307" s="1" t="s">
        <v>66</v>
      </c>
      <c r="G3307" s="4">
        <v>0.65</v>
      </c>
      <c r="H3307" s="28">
        <v>43100</v>
      </c>
      <c r="I3307" s="29">
        <f t="shared" si="3125"/>
        <v>2017</v>
      </c>
      <c r="J3307" s="1" t="s">
        <v>6873</v>
      </c>
      <c r="K3307" s="1" t="s">
        <v>7</v>
      </c>
      <c r="L3307" s="11" t="str">
        <f t="shared" ref="L3307" si="3169">IF(OR(A3307=J3307,A3307=K3307),"ДА","НЕТ")</f>
        <v>НЕТ</v>
      </c>
      <c r="M3307" s="10">
        <v>0</v>
      </c>
      <c r="N3307" s="10">
        <v>0</v>
      </c>
      <c r="O3307" s="10" t="s">
        <v>1575</v>
      </c>
      <c r="P3307" s="10" t="str">
        <f t="shared" si="3132"/>
        <v>NA</v>
      </c>
      <c r="Q3307" s="10" t="str">
        <f t="shared" si="3133"/>
        <v>NA</v>
      </c>
      <c r="R3307" s="10">
        <v>12.388578000000001</v>
      </c>
      <c r="S3307" s="10" t="s">
        <v>1575</v>
      </c>
      <c r="T3307" s="10" t="s">
        <v>1575</v>
      </c>
      <c r="U3307" s="10">
        <v>2.0452309999999998</v>
      </c>
      <c r="V3307" s="10">
        <v>0.94884500000000005</v>
      </c>
      <c r="W3307" s="10" t="s">
        <v>1575</v>
      </c>
      <c r="X3307" s="10" t="str">
        <f t="shared" si="3134"/>
        <v>NA</v>
      </c>
      <c r="Y3307" s="10" t="str">
        <f t="shared" si="3135"/>
        <v>NA</v>
      </c>
      <c r="Z3307" s="10" t="str">
        <f t="shared" si="3136"/>
        <v>NA</v>
      </c>
      <c r="AA3307" s="10" t="str">
        <f t="shared" si="3137"/>
        <v>NA</v>
      </c>
      <c r="AB3307" s="10" t="str">
        <f t="shared" si="3138"/>
        <v>NA</v>
      </c>
      <c r="AC3307" s="10" t="str">
        <f t="shared" si="3139"/>
        <v>NA</v>
      </c>
      <c r="AD3307" s="10" t="str">
        <f t="shared" si="3140"/>
        <v>NA</v>
      </c>
      <c r="AE3307" s="10" t="str">
        <f t="shared" si="3141"/>
        <v>NA</v>
      </c>
      <c r="AF3307" s="1" t="s">
        <v>3698</v>
      </c>
    </row>
    <row r="3308" spans="1:32" x14ac:dyDescent="0.2">
      <c r="A3308" s="1" t="s">
        <v>6882</v>
      </c>
      <c r="B3308" s="1" t="s">
        <v>5</v>
      </c>
      <c r="C3308" s="1" t="s">
        <v>1575</v>
      </c>
      <c r="D3308" s="1" t="s">
        <v>1584</v>
      </c>
      <c r="E3308" s="1" t="s">
        <v>1586</v>
      </c>
      <c r="F3308" s="1" t="s">
        <v>66</v>
      </c>
      <c r="G3308" s="4">
        <v>1</v>
      </c>
      <c r="H3308" s="28">
        <v>42186</v>
      </c>
      <c r="I3308" s="29">
        <f t="shared" si="3125"/>
        <v>2015</v>
      </c>
      <c r="J3308" s="1" t="s">
        <v>6873</v>
      </c>
      <c r="K3308" s="1" t="s">
        <v>7</v>
      </c>
      <c r="L3308" s="11" t="str">
        <f t="shared" ref="L3308" si="3170">IF(OR(A3308=J3308,A3308=K3308),"ДА","НЕТ")</f>
        <v>НЕТ</v>
      </c>
      <c r="M3308" s="10">
        <v>0</v>
      </c>
      <c r="N3308" s="10">
        <v>0</v>
      </c>
      <c r="O3308" s="10">
        <v>2.5</v>
      </c>
      <c r="P3308" s="10">
        <f t="shared" si="3132"/>
        <v>2.5</v>
      </c>
      <c r="Q3308" s="10">
        <f t="shared" si="3133"/>
        <v>2.527218</v>
      </c>
      <c r="R3308" s="10" t="s">
        <v>1575</v>
      </c>
      <c r="S3308" s="10" t="s">
        <v>1575</v>
      </c>
      <c r="T3308" s="10" t="s">
        <v>1575</v>
      </c>
      <c r="U3308" s="10" t="s">
        <v>1575</v>
      </c>
      <c r="V3308" s="10">
        <f>3.613-1.721</f>
        <v>1.8919999999999999</v>
      </c>
      <c r="W3308" s="10">
        <f>0.027218</f>
        <v>2.7217999999999999E-2</v>
      </c>
      <c r="X3308" s="10">
        <f t="shared" si="3134"/>
        <v>1.9192179999999999</v>
      </c>
      <c r="Y3308" s="10" t="str">
        <f t="shared" si="3135"/>
        <v>NA</v>
      </c>
      <c r="Z3308" s="10" t="str">
        <f t="shared" si="3136"/>
        <v>NA</v>
      </c>
      <c r="AA3308" s="10">
        <f t="shared" si="3137"/>
        <v>1.3213530655391121</v>
      </c>
      <c r="AB3308" s="10" t="str">
        <f t="shared" si="3138"/>
        <v>NA</v>
      </c>
      <c r="AC3308" s="10" t="str">
        <f t="shared" si="3139"/>
        <v>NA</v>
      </c>
      <c r="AD3308" s="10" t="str">
        <f t="shared" si="3140"/>
        <v>NA</v>
      </c>
      <c r="AE3308" s="10">
        <f t="shared" si="3141"/>
        <v>1.3167956949132407</v>
      </c>
      <c r="AF3308" s="1" t="s">
        <v>3700</v>
      </c>
    </row>
    <row r="3309" spans="1:32" x14ac:dyDescent="0.2">
      <c r="A3309" s="1" t="s">
        <v>6883</v>
      </c>
      <c r="B3309" s="1" t="s">
        <v>5</v>
      </c>
      <c r="C3309" s="1" t="s">
        <v>1575</v>
      </c>
      <c r="D3309" s="1" t="s">
        <v>1584</v>
      </c>
      <c r="E3309" s="1" t="s">
        <v>1586</v>
      </c>
      <c r="F3309" s="1" t="s">
        <v>3611</v>
      </c>
      <c r="G3309" s="4" t="s">
        <v>11</v>
      </c>
      <c r="H3309" s="28">
        <v>42369</v>
      </c>
      <c r="I3309" s="29">
        <f t="shared" si="3125"/>
        <v>2015</v>
      </c>
      <c r="J3309" s="1" t="s">
        <v>6873</v>
      </c>
      <c r="K3309" s="1" t="s">
        <v>7</v>
      </c>
      <c r="L3309" s="11" t="str">
        <f t="shared" ref="L3309" si="3171">IF(OR(A3309=J3309,A3309=K3309),"ДА","НЕТ")</f>
        <v>НЕТ</v>
      </c>
      <c r="M3309" s="10">
        <v>0</v>
      </c>
      <c r="N3309" s="10">
        <v>0</v>
      </c>
      <c r="O3309" s="10">
        <v>0</v>
      </c>
      <c r="P3309" s="10" t="str">
        <f t="shared" si="3132"/>
        <v>NA</v>
      </c>
      <c r="Q3309" s="10" t="str">
        <f t="shared" si="3133"/>
        <v>NA</v>
      </c>
      <c r="R3309" s="10" t="s">
        <v>1575</v>
      </c>
      <c r="S3309" s="10" t="s">
        <v>1575</v>
      </c>
      <c r="T3309" s="10" t="s">
        <v>1575</v>
      </c>
      <c r="U3309" s="10" t="s">
        <v>1575</v>
      </c>
      <c r="V3309" s="10" t="s">
        <v>1575</v>
      </c>
      <c r="W3309" s="10">
        <f>0.348814+0.006901+0.97696+11.08588</f>
        <v>12.418555</v>
      </c>
      <c r="X3309" s="10" t="str">
        <f t="shared" si="3134"/>
        <v>NA</v>
      </c>
      <c r="Y3309" s="10" t="str">
        <f t="shared" si="3135"/>
        <v>NA</v>
      </c>
      <c r="Z3309" s="10" t="str">
        <f t="shared" si="3136"/>
        <v>NA</v>
      </c>
      <c r="AA3309" s="10" t="str">
        <f t="shared" si="3137"/>
        <v>NA</v>
      </c>
      <c r="AB3309" s="10" t="str">
        <f t="shared" si="3138"/>
        <v>NA</v>
      </c>
      <c r="AC3309" s="10" t="str">
        <f t="shared" si="3139"/>
        <v>NA</v>
      </c>
      <c r="AD3309" s="10" t="str">
        <f t="shared" si="3140"/>
        <v>NA</v>
      </c>
      <c r="AE3309" s="10" t="str">
        <f t="shared" si="3141"/>
        <v>NA</v>
      </c>
      <c r="AF3309" s="1" t="s">
        <v>3701</v>
      </c>
    </row>
    <row r="3310" spans="1:32" x14ac:dyDescent="0.2">
      <c r="A3310" s="1" t="s">
        <v>3705</v>
      </c>
      <c r="B3310" s="1" t="s">
        <v>5</v>
      </c>
      <c r="C3310" s="1" t="s">
        <v>1575</v>
      </c>
      <c r="D3310" s="1" t="s">
        <v>1584</v>
      </c>
      <c r="E3310" s="1" t="s">
        <v>1586</v>
      </c>
      <c r="F3310" s="1" t="s">
        <v>66</v>
      </c>
      <c r="G3310" s="4" t="s">
        <v>11</v>
      </c>
      <c r="H3310" s="28">
        <v>44012</v>
      </c>
      <c r="I3310" s="29">
        <f t="shared" si="3125"/>
        <v>2020</v>
      </c>
      <c r="J3310" s="1" t="s">
        <v>7</v>
      </c>
      <c r="K3310" s="1" t="s">
        <v>3703</v>
      </c>
      <c r="L3310" s="11" t="str">
        <f t="shared" ref="L3310" si="3172">IF(OR(A3310=J3310,A3310=K3310),"ДА","НЕТ")</f>
        <v>НЕТ</v>
      </c>
      <c r="M3310" s="10">
        <v>0</v>
      </c>
      <c r="N3310" s="10">
        <v>0</v>
      </c>
      <c r="O3310" s="10">
        <f>7.635+0.747+9.989</f>
        <v>18.371000000000002</v>
      </c>
      <c r="P3310" s="10" t="str">
        <f t="shared" si="3132"/>
        <v>NA</v>
      </c>
      <c r="Q3310" s="10" t="str">
        <f t="shared" si="3133"/>
        <v>NA</v>
      </c>
      <c r="R3310" s="10" t="s">
        <v>1575</v>
      </c>
      <c r="S3310" s="10" t="s">
        <v>1575</v>
      </c>
      <c r="T3310" s="10" t="s">
        <v>1575</v>
      </c>
      <c r="U3310" s="10" t="s">
        <v>1575</v>
      </c>
      <c r="V3310" s="10">
        <v>5.0190000000000001</v>
      </c>
      <c r="W3310" s="10">
        <f>4.662+0.061+0.014-1.671-0.004</f>
        <v>3.0619999999999998</v>
      </c>
      <c r="X3310" s="10">
        <f t="shared" si="3134"/>
        <v>8.0809999999999995</v>
      </c>
      <c r="Y3310" s="10" t="str">
        <f t="shared" si="3135"/>
        <v>NA</v>
      </c>
      <c r="Z3310" s="10" t="str">
        <f t="shared" si="3136"/>
        <v>NA</v>
      </c>
      <c r="AA3310" s="10" t="str">
        <f t="shared" si="3137"/>
        <v>NA</v>
      </c>
      <c r="AB3310" s="10" t="str">
        <f t="shared" si="3138"/>
        <v>NA</v>
      </c>
      <c r="AC3310" s="10" t="str">
        <f t="shared" si="3139"/>
        <v>NA</v>
      </c>
      <c r="AD3310" s="10" t="str">
        <f t="shared" si="3140"/>
        <v>NA</v>
      </c>
      <c r="AE3310" s="10" t="str">
        <f t="shared" si="3141"/>
        <v>NA</v>
      </c>
      <c r="AF3310" s="1" t="s">
        <v>3704</v>
      </c>
    </row>
    <row r="3311" spans="1:32" x14ac:dyDescent="0.2">
      <c r="A3311" s="1" t="s">
        <v>3705</v>
      </c>
      <c r="B3311" s="1" t="s">
        <v>5</v>
      </c>
      <c r="C3311" s="1" t="s">
        <v>1575</v>
      </c>
      <c r="D3311" s="1" t="s">
        <v>1584</v>
      </c>
      <c r="E3311" s="1" t="s">
        <v>1586</v>
      </c>
      <c r="F3311" s="1" t="s">
        <v>66</v>
      </c>
      <c r="G3311" s="4" t="s">
        <v>11</v>
      </c>
      <c r="H3311" s="28">
        <v>44012</v>
      </c>
      <c r="I3311" s="29">
        <f t="shared" si="3125"/>
        <v>2020</v>
      </c>
      <c r="J3311" s="1" t="s">
        <v>7</v>
      </c>
      <c r="K3311" s="1" t="s">
        <v>3703</v>
      </c>
      <c r="L3311" s="11" t="str">
        <f t="shared" ref="L3311" si="3173">IF(OR(A3311=J3311,A3311=K3311),"ДА","НЕТ")</f>
        <v>НЕТ</v>
      </c>
      <c r="M3311" s="10">
        <v>0</v>
      </c>
      <c r="N3311" s="10">
        <v>0</v>
      </c>
      <c r="O3311" s="10">
        <f>28.547+0.886+10.993</f>
        <v>40.426000000000002</v>
      </c>
      <c r="P3311" s="10" t="str">
        <f t="shared" si="3132"/>
        <v>NA</v>
      </c>
      <c r="Q3311" s="10" t="str">
        <f t="shared" si="3133"/>
        <v>NA</v>
      </c>
      <c r="R3311" s="10">
        <f>4.147+1.071+0.009</f>
        <v>5.2270000000000003</v>
      </c>
      <c r="S3311" s="10" t="s">
        <v>1575</v>
      </c>
      <c r="T3311" s="10">
        <v>5.3010000000000002</v>
      </c>
      <c r="U3311" s="10">
        <v>1.514</v>
      </c>
      <c r="V3311" s="10">
        <v>25.48</v>
      </c>
      <c r="W3311" s="10">
        <f>3.425+0.42+0.278+0.225+15.232-0.602+0.009</f>
        <v>18.986999999999998</v>
      </c>
      <c r="X3311" s="10">
        <f t="shared" si="3134"/>
        <v>44.466999999999999</v>
      </c>
      <c r="Y3311" s="10" t="str">
        <f t="shared" si="3135"/>
        <v>NA</v>
      </c>
      <c r="Z3311" s="10" t="str">
        <f t="shared" si="3136"/>
        <v>NA</v>
      </c>
      <c r="AA3311" s="10" t="str">
        <f t="shared" si="3137"/>
        <v>NA</v>
      </c>
      <c r="AB3311" s="10" t="str">
        <f t="shared" si="3138"/>
        <v>NA</v>
      </c>
      <c r="AC3311" s="10" t="str">
        <f t="shared" si="3139"/>
        <v>NA</v>
      </c>
      <c r="AD3311" s="10" t="str">
        <f t="shared" si="3140"/>
        <v>NA</v>
      </c>
      <c r="AE3311" s="10" t="str">
        <f t="shared" si="3141"/>
        <v>NA</v>
      </c>
      <c r="AF3311" s="1" t="s">
        <v>3707</v>
      </c>
    </row>
    <row r="3312" spans="1:32" x14ac:dyDescent="0.2">
      <c r="A3312" s="1" t="s">
        <v>6884</v>
      </c>
      <c r="B3312" s="1" t="s">
        <v>5</v>
      </c>
      <c r="C3312" s="1" t="s">
        <v>1575</v>
      </c>
      <c r="D3312" s="1" t="s">
        <v>1584</v>
      </c>
      <c r="E3312" s="1" t="s">
        <v>1586</v>
      </c>
      <c r="F3312" s="1" t="s">
        <v>66</v>
      </c>
      <c r="G3312" s="4">
        <v>0.5</v>
      </c>
      <c r="H3312" s="28">
        <v>43951</v>
      </c>
      <c r="I3312" s="29">
        <f t="shared" si="3125"/>
        <v>2020</v>
      </c>
      <c r="J3312" s="1" t="s">
        <v>7</v>
      </c>
      <c r="K3312" s="1" t="s">
        <v>3703</v>
      </c>
      <c r="L3312" s="11" t="str">
        <f t="shared" ref="L3312:L3315" si="3174">IF(OR(A3312=J3312,A3312=K3312),"ДА","НЕТ")</f>
        <v>НЕТ</v>
      </c>
      <c r="M3312" s="10">
        <v>0</v>
      </c>
      <c r="N3312" s="10">
        <v>0</v>
      </c>
      <c r="O3312" s="10">
        <v>3.798</v>
      </c>
      <c r="P3312" s="10">
        <f t="shared" si="3132"/>
        <v>7.5960000000000001</v>
      </c>
      <c r="Q3312" s="10" t="str">
        <f t="shared" si="3133"/>
        <v>NA</v>
      </c>
      <c r="R3312" s="10" t="s">
        <v>1575</v>
      </c>
      <c r="S3312" s="10" t="s">
        <v>1575</v>
      </c>
      <c r="T3312" s="10" t="s">
        <v>1575</v>
      </c>
      <c r="U3312" s="10">
        <v>0.33600000000000002</v>
      </c>
      <c r="V3312" s="10">
        <v>-1.08</v>
      </c>
      <c r="W3312" s="10" t="s">
        <v>1575</v>
      </c>
      <c r="X3312" s="10" t="str">
        <f t="shared" si="3134"/>
        <v>NA</v>
      </c>
      <c r="Y3312" s="10" t="str">
        <f t="shared" si="3135"/>
        <v>NA</v>
      </c>
      <c r="Z3312" s="10">
        <f t="shared" si="3136"/>
        <v>22.607142857142858</v>
      </c>
      <c r="AA3312" s="10">
        <f t="shared" si="3137"/>
        <v>-7.0333333333333332</v>
      </c>
      <c r="AB3312" s="10" t="str">
        <f t="shared" si="3138"/>
        <v>NA</v>
      </c>
      <c r="AC3312" s="10" t="str">
        <f t="shared" si="3139"/>
        <v>NA</v>
      </c>
      <c r="AD3312" s="10" t="str">
        <f t="shared" si="3140"/>
        <v>NA</v>
      </c>
      <c r="AE3312" s="10" t="str">
        <f t="shared" si="3141"/>
        <v>NA</v>
      </c>
      <c r="AF3312" s="1" t="s">
        <v>3708</v>
      </c>
    </row>
    <row r="3313" spans="1:32" x14ac:dyDescent="0.2">
      <c r="A3313" s="1" t="s">
        <v>6885</v>
      </c>
      <c r="B3313" s="1" t="s">
        <v>5</v>
      </c>
      <c r="C3313" s="1" t="s">
        <v>1575</v>
      </c>
      <c r="D3313" s="1" t="s">
        <v>1584</v>
      </c>
      <c r="E3313" s="1" t="s">
        <v>1586</v>
      </c>
      <c r="F3313" s="1" t="s">
        <v>66</v>
      </c>
      <c r="G3313" s="4">
        <v>1</v>
      </c>
      <c r="H3313" s="28">
        <v>43830</v>
      </c>
      <c r="I3313" s="29">
        <f t="shared" ref="I3313" si="3175">YEAR(H3313)</f>
        <v>2019</v>
      </c>
      <c r="J3313" s="1" t="s">
        <v>7</v>
      </c>
      <c r="K3313" s="1" t="s">
        <v>3703</v>
      </c>
      <c r="L3313" s="11" t="str">
        <f t="shared" si="3174"/>
        <v>НЕТ</v>
      </c>
      <c r="M3313" s="10">
        <v>0</v>
      </c>
      <c r="N3313" s="10">
        <v>0</v>
      </c>
      <c r="O3313" s="10">
        <v>3.33</v>
      </c>
      <c r="P3313" s="10">
        <f t="shared" si="3132"/>
        <v>3.33</v>
      </c>
      <c r="Q3313" s="10">
        <f t="shared" si="3133"/>
        <v>3.7130000000000001</v>
      </c>
      <c r="R3313" s="10" t="s">
        <v>1575</v>
      </c>
      <c r="S3313" s="10" t="s">
        <v>1575</v>
      </c>
      <c r="T3313" s="10" t="s">
        <v>1575</v>
      </c>
      <c r="U3313" s="10" t="s">
        <v>1575</v>
      </c>
      <c r="V3313" s="10">
        <v>0.39100000000000001</v>
      </c>
      <c r="W3313" s="10">
        <f>0.395-0.012</f>
        <v>0.38300000000000001</v>
      </c>
      <c r="X3313" s="10">
        <f t="shared" si="3134"/>
        <v>0.77400000000000002</v>
      </c>
      <c r="Y3313" s="10" t="str">
        <f t="shared" si="3135"/>
        <v>NA</v>
      </c>
      <c r="Z3313" s="10" t="str">
        <f t="shared" si="3136"/>
        <v>NA</v>
      </c>
      <c r="AA3313" s="10">
        <f t="shared" si="3137"/>
        <v>8.5166240409207159</v>
      </c>
      <c r="AB3313" s="10" t="str">
        <f t="shared" si="3138"/>
        <v>NA</v>
      </c>
      <c r="AC3313" s="10" t="str">
        <f t="shared" si="3139"/>
        <v>NA</v>
      </c>
      <c r="AD3313" s="10" t="str">
        <f t="shared" si="3140"/>
        <v>NA</v>
      </c>
      <c r="AE3313" s="10">
        <f t="shared" si="3141"/>
        <v>4.797157622739018</v>
      </c>
      <c r="AF3313" s="1" t="s">
        <v>3706</v>
      </c>
    </row>
    <row r="3314" spans="1:32" x14ac:dyDescent="0.2">
      <c r="A3314" s="1" t="s">
        <v>6886</v>
      </c>
      <c r="B3314" s="1" t="s">
        <v>5</v>
      </c>
      <c r="C3314" s="1" t="s">
        <v>1575</v>
      </c>
      <c r="D3314" s="1" t="s">
        <v>1584</v>
      </c>
      <c r="E3314" s="1" t="s">
        <v>1586</v>
      </c>
      <c r="F3314" s="1" t="s">
        <v>66</v>
      </c>
      <c r="G3314" s="4" t="s">
        <v>11</v>
      </c>
      <c r="H3314" s="28">
        <v>43465</v>
      </c>
      <c r="I3314" s="29">
        <f t="shared" si="3125"/>
        <v>2018</v>
      </c>
      <c r="J3314" s="1" t="s">
        <v>7</v>
      </c>
      <c r="K3314" s="1" t="s">
        <v>3703</v>
      </c>
      <c r="L3314" s="11" t="str">
        <f t="shared" si="3174"/>
        <v>НЕТ</v>
      </c>
      <c r="M3314" s="10">
        <v>0</v>
      </c>
      <c r="N3314" s="10">
        <v>0</v>
      </c>
      <c r="O3314" s="10">
        <v>0.3</v>
      </c>
      <c r="P3314" s="10" t="str">
        <f t="shared" si="3132"/>
        <v>NA</v>
      </c>
      <c r="Q3314" s="10" t="str">
        <f t="shared" si="3133"/>
        <v>NA</v>
      </c>
      <c r="R3314" s="10" t="s">
        <v>1575</v>
      </c>
      <c r="S3314" s="10" t="s">
        <v>1575</v>
      </c>
      <c r="T3314" s="10" t="s">
        <v>1575</v>
      </c>
      <c r="U3314" s="10" t="s">
        <v>1575</v>
      </c>
      <c r="V3314" s="10" t="s">
        <v>1575</v>
      </c>
      <c r="W3314" s="10" t="s">
        <v>1575</v>
      </c>
      <c r="X3314" s="10" t="str">
        <f t="shared" si="3134"/>
        <v>NA</v>
      </c>
      <c r="Y3314" s="10" t="str">
        <f t="shared" si="3135"/>
        <v>NA</v>
      </c>
      <c r="Z3314" s="10" t="str">
        <f t="shared" si="3136"/>
        <v>NA</v>
      </c>
      <c r="AA3314" s="10" t="str">
        <f t="shared" si="3137"/>
        <v>NA</v>
      </c>
      <c r="AB3314" s="10" t="str">
        <f t="shared" si="3138"/>
        <v>NA</v>
      </c>
      <c r="AC3314" s="10" t="str">
        <f t="shared" si="3139"/>
        <v>NA</v>
      </c>
      <c r="AD3314" s="10" t="str">
        <f t="shared" si="3140"/>
        <v>NA</v>
      </c>
      <c r="AE3314" s="10" t="str">
        <f t="shared" si="3141"/>
        <v>NA</v>
      </c>
      <c r="AF3314" s="1" t="s">
        <v>3717</v>
      </c>
    </row>
    <row r="3315" spans="1:32" x14ac:dyDescent="0.2">
      <c r="A3315" s="1" t="s">
        <v>3714</v>
      </c>
      <c r="B3315" s="1" t="s">
        <v>5</v>
      </c>
      <c r="C3315" s="1" t="s">
        <v>1575</v>
      </c>
      <c r="D3315" s="1" t="s">
        <v>1584</v>
      </c>
      <c r="E3315" s="1" t="s">
        <v>1586</v>
      </c>
      <c r="F3315" s="1" t="s">
        <v>66</v>
      </c>
      <c r="G3315" s="4" t="s">
        <v>11</v>
      </c>
      <c r="H3315" s="28">
        <v>43159</v>
      </c>
      <c r="I3315" s="29">
        <f t="shared" ref="I3315" si="3176">YEAR(H3315)</f>
        <v>2018</v>
      </c>
      <c r="J3315" s="1" t="s">
        <v>7</v>
      </c>
      <c r="K3315" s="1" t="s">
        <v>3703</v>
      </c>
      <c r="L3315" s="11" t="str">
        <f t="shared" si="3174"/>
        <v>НЕТ</v>
      </c>
      <c r="M3315" s="10">
        <v>0</v>
      </c>
      <c r="N3315" s="10">
        <v>0</v>
      </c>
      <c r="O3315" s="10" t="s">
        <v>1575</v>
      </c>
      <c r="P3315" s="10" t="str">
        <f t="shared" si="3132"/>
        <v>NA</v>
      </c>
      <c r="Q3315" s="10" t="str">
        <f t="shared" si="3133"/>
        <v>NA</v>
      </c>
      <c r="R3315" s="10" t="s">
        <v>1575</v>
      </c>
      <c r="S3315" s="10" t="s">
        <v>1575</v>
      </c>
      <c r="T3315" s="10" t="s">
        <v>1575</v>
      </c>
      <c r="U3315" s="10" t="s">
        <v>1575</v>
      </c>
      <c r="V3315" s="10">
        <v>0</v>
      </c>
      <c r="W3315" s="10" t="s">
        <v>1575</v>
      </c>
      <c r="X3315" s="10" t="str">
        <f t="shared" si="3134"/>
        <v>NA</v>
      </c>
      <c r="Y3315" s="10" t="str">
        <f t="shared" si="3135"/>
        <v>NA</v>
      </c>
      <c r="Z3315" s="10" t="str">
        <f t="shared" si="3136"/>
        <v>NA</v>
      </c>
      <c r="AA3315" s="10" t="str">
        <f t="shared" si="3137"/>
        <v>NA</v>
      </c>
      <c r="AB3315" s="10" t="str">
        <f t="shared" si="3138"/>
        <v>NA</v>
      </c>
      <c r="AC3315" s="10" t="str">
        <f t="shared" si="3139"/>
        <v>NA</v>
      </c>
      <c r="AD3315" s="10" t="str">
        <f t="shared" si="3140"/>
        <v>NA</v>
      </c>
      <c r="AE3315" s="10" t="str">
        <f t="shared" si="3141"/>
        <v>NA</v>
      </c>
      <c r="AF3315" s="1" t="s">
        <v>3711</v>
      </c>
    </row>
    <row r="3316" spans="1:32" x14ac:dyDescent="0.2">
      <c r="A3316" s="1" t="s">
        <v>6887</v>
      </c>
      <c r="B3316" s="1" t="s">
        <v>5</v>
      </c>
      <c r="C3316" s="1" t="s">
        <v>1575</v>
      </c>
      <c r="D3316" s="1" t="s">
        <v>1584</v>
      </c>
      <c r="E3316" s="1" t="s">
        <v>1586</v>
      </c>
      <c r="F3316" s="1" t="s">
        <v>66</v>
      </c>
      <c r="G3316" s="4">
        <v>0.51</v>
      </c>
      <c r="H3316" s="28">
        <v>43100</v>
      </c>
      <c r="I3316" s="29">
        <f t="shared" si="3125"/>
        <v>2017</v>
      </c>
      <c r="J3316" s="1" t="s">
        <v>7</v>
      </c>
      <c r="K3316" s="1" t="s">
        <v>3703</v>
      </c>
      <c r="L3316" s="11" t="str">
        <f t="shared" ref="L3316" si="3177">IF(OR(A3316=J3316,A3316=K3316),"ДА","НЕТ")</f>
        <v>НЕТ</v>
      </c>
      <c r="M3316" s="10">
        <v>0</v>
      </c>
      <c r="N3316" s="10">
        <v>0</v>
      </c>
      <c r="O3316" s="10">
        <v>0</v>
      </c>
      <c r="P3316" s="10">
        <f t="shared" si="3132"/>
        <v>0</v>
      </c>
      <c r="Q3316" s="10" t="str">
        <f t="shared" si="3133"/>
        <v>NA</v>
      </c>
      <c r="R3316" s="10" t="s">
        <v>1575</v>
      </c>
      <c r="S3316" s="10" t="s">
        <v>1575</v>
      </c>
      <c r="T3316" s="10" t="s">
        <v>1575</v>
      </c>
      <c r="U3316" s="10" t="s">
        <v>1575</v>
      </c>
      <c r="V3316" s="10" t="s">
        <v>1575</v>
      </c>
      <c r="W3316" s="10" t="s">
        <v>1575</v>
      </c>
      <c r="X3316" s="10" t="str">
        <f t="shared" si="3134"/>
        <v>NA</v>
      </c>
      <c r="Y3316" s="10" t="str">
        <f t="shared" si="3135"/>
        <v>NA</v>
      </c>
      <c r="Z3316" s="10" t="str">
        <f t="shared" si="3136"/>
        <v>NA</v>
      </c>
      <c r="AA3316" s="10" t="str">
        <f t="shared" si="3137"/>
        <v>NA</v>
      </c>
      <c r="AB3316" s="10" t="str">
        <f t="shared" si="3138"/>
        <v>NA</v>
      </c>
      <c r="AC3316" s="10" t="str">
        <f t="shared" si="3139"/>
        <v>NA</v>
      </c>
      <c r="AD3316" s="10" t="str">
        <f t="shared" si="3140"/>
        <v>NA</v>
      </c>
      <c r="AE3316" s="10" t="str">
        <f t="shared" si="3141"/>
        <v>NA</v>
      </c>
      <c r="AF3316" s="1" t="s">
        <v>3709</v>
      </c>
    </row>
    <row r="3317" spans="1:32" x14ac:dyDescent="0.2">
      <c r="A3317" s="1" t="s">
        <v>5371</v>
      </c>
      <c r="B3317" s="1" t="s">
        <v>5</v>
      </c>
      <c r="C3317" s="1" t="s">
        <v>1575</v>
      </c>
      <c r="D3317" s="1" t="s">
        <v>1584</v>
      </c>
      <c r="E3317" s="1" t="s">
        <v>1586</v>
      </c>
      <c r="F3317" s="1" t="s">
        <v>66</v>
      </c>
      <c r="G3317" s="4">
        <v>1</v>
      </c>
      <c r="H3317" s="28">
        <v>42825</v>
      </c>
      <c r="I3317" s="29">
        <f t="shared" si="3125"/>
        <v>2017</v>
      </c>
      <c r="J3317" s="1" t="s">
        <v>7</v>
      </c>
      <c r="K3317" s="1" t="s">
        <v>3703</v>
      </c>
      <c r="L3317" s="11" t="str">
        <f t="shared" ref="L3317" si="3178">IF(OR(A3317=J3317,A3317=K3317),"ДА","НЕТ")</f>
        <v>НЕТ</v>
      </c>
      <c r="M3317" s="10">
        <v>0</v>
      </c>
      <c r="N3317" s="10">
        <v>0</v>
      </c>
      <c r="O3317" s="10">
        <v>9.202</v>
      </c>
      <c r="P3317" s="10">
        <f t="shared" si="3132"/>
        <v>9.202</v>
      </c>
      <c r="Q3317" s="10">
        <f t="shared" si="3133"/>
        <v>9.5009999999999994</v>
      </c>
      <c r="R3317" s="10" t="s">
        <v>1575</v>
      </c>
      <c r="S3317" s="10" t="s">
        <v>1575</v>
      </c>
      <c r="T3317" s="10" t="s">
        <v>1575</v>
      </c>
      <c r="U3317" s="10" t="s">
        <v>1575</v>
      </c>
      <c r="V3317" s="10">
        <v>8.3979999999999997</v>
      </c>
      <c r="W3317" s="10">
        <f>0.58+0.159-0.437-0.003</f>
        <v>0.29899999999999999</v>
      </c>
      <c r="X3317" s="10">
        <f t="shared" si="3134"/>
        <v>8.6969999999999992</v>
      </c>
      <c r="Y3317" s="10" t="str">
        <f t="shared" si="3135"/>
        <v>NA</v>
      </c>
      <c r="Z3317" s="10" t="str">
        <f t="shared" si="3136"/>
        <v>NA</v>
      </c>
      <c r="AA3317" s="10">
        <f t="shared" si="3137"/>
        <v>1.0957370802572042</v>
      </c>
      <c r="AB3317" s="10" t="str">
        <f t="shared" si="3138"/>
        <v>NA</v>
      </c>
      <c r="AC3317" s="10" t="str">
        <f t="shared" si="3139"/>
        <v>NA</v>
      </c>
      <c r="AD3317" s="10" t="str">
        <f t="shared" si="3140"/>
        <v>NA</v>
      </c>
      <c r="AE3317" s="10">
        <f t="shared" si="3141"/>
        <v>1.0924456709210073</v>
      </c>
      <c r="AF3317" s="1" t="s">
        <v>3710</v>
      </c>
    </row>
    <row r="3318" spans="1:32" x14ac:dyDescent="0.2">
      <c r="A3318" s="1" t="s">
        <v>6886</v>
      </c>
      <c r="B3318" s="1" t="s">
        <v>5</v>
      </c>
      <c r="C3318" s="1" t="s">
        <v>1575</v>
      </c>
      <c r="D3318" s="1" t="s">
        <v>1584</v>
      </c>
      <c r="E3318" s="1" t="s">
        <v>1586</v>
      </c>
      <c r="F3318" s="1" t="s">
        <v>66</v>
      </c>
      <c r="G3318" s="4" t="s">
        <v>11</v>
      </c>
      <c r="H3318" s="28">
        <v>43069</v>
      </c>
      <c r="I3318" s="29">
        <f t="shared" si="3125"/>
        <v>2017</v>
      </c>
      <c r="J3318" s="1" t="s">
        <v>7</v>
      </c>
      <c r="K3318" s="1" t="s">
        <v>3703</v>
      </c>
      <c r="L3318" s="11" t="str">
        <f t="shared" ref="L3318" si="3179">IF(OR(A3318=J3318,A3318=K3318),"ДА","НЕТ")</f>
        <v>НЕТ</v>
      </c>
      <c r="M3318" s="10">
        <v>0</v>
      </c>
      <c r="N3318" s="10">
        <v>0</v>
      </c>
      <c r="O3318" s="10">
        <f>19.81</f>
        <v>19.809999999999999</v>
      </c>
      <c r="P3318" s="10" t="str">
        <f t="shared" si="3132"/>
        <v>NA</v>
      </c>
      <c r="Q3318" s="10" t="str">
        <f t="shared" si="3133"/>
        <v>NA</v>
      </c>
      <c r="R3318" s="10" t="s">
        <v>1575</v>
      </c>
      <c r="S3318" s="10" t="s">
        <v>1575</v>
      </c>
      <c r="T3318" s="10" t="s">
        <v>1575</v>
      </c>
      <c r="U3318" s="10" t="s">
        <v>1575</v>
      </c>
      <c r="V3318" s="10" t="s">
        <v>1575</v>
      </c>
      <c r="W3318" s="10" t="s">
        <v>1575</v>
      </c>
      <c r="X3318" s="10" t="str">
        <f t="shared" si="3134"/>
        <v>NA</v>
      </c>
      <c r="Y3318" s="10" t="str">
        <f t="shared" si="3135"/>
        <v>NA</v>
      </c>
      <c r="Z3318" s="10" t="str">
        <f t="shared" si="3136"/>
        <v>NA</v>
      </c>
      <c r="AA3318" s="10" t="str">
        <f t="shared" si="3137"/>
        <v>NA</v>
      </c>
      <c r="AB3318" s="10" t="str">
        <f t="shared" si="3138"/>
        <v>NA</v>
      </c>
      <c r="AC3318" s="10" t="str">
        <f t="shared" si="3139"/>
        <v>NA</v>
      </c>
      <c r="AD3318" s="10" t="str">
        <f t="shared" si="3140"/>
        <v>NA</v>
      </c>
      <c r="AE3318" s="10" t="str">
        <f t="shared" si="3141"/>
        <v>NA</v>
      </c>
      <c r="AF3318" s="1" t="s">
        <v>3718</v>
      </c>
    </row>
    <row r="3319" spans="1:32" x14ac:dyDescent="0.2">
      <c r="A3319" s="1" t="s">
        <v>6888</v>
      </c>
      <c r="B3319" s="1" t="s">
        <v>5</v>
      </c>
      <c r="C3319" s="1" t="s">
        <v>1575</v>
      </c>
      <c r="D3319" s="1" t="s">
        <v>1584</v>
      </c>
      <c r="E3319" s="1" t="s">
        <v>1586</v>
      </c>
      <c r="F3319" s="1" t="s">
        <v>66</v>
      </c>
      <c r="G3319" s="4" t="s">
        <v>11</v>
      </c>
      <c r="H3319" s="28">
        <v>42794</v>
      </c>
      <c r="I3319" s="29">
        <f t="shared" si="3125"/>
        <v>2017</v>
      </c>
      <c r="J3319" s="1" t="s">
        <v>7</v>
      </c>
      <c r="K3319" s="1" t="s">
        <v>3703</v>
      </c>
      <c r="L3319" s="11" t="str">
        <f t="shared" ref="L3319:L3322" si="3180">IF(OR(A3319=J3319,A3319=K3319),"ДА","НЕТ")</f>
        <v>НЕТ</v>
      </c>
      <c r="M3319" s="10">
        <v>0</v>
      </c>
      <c r="N3319" s="10">
        <v>0</v>
      </c>
      <c r="O3319" s="10" t="s">
        <v>1575</v>
      </c>
      <c r="P3319" s="10" t="str">
        <f t="shared" si="3132"/>
        <v>NA</v>
      </c>
      <c r="Q3319" s="10" t="str">
        <f t="shared" si="3133"/>
        <v>NA</v>
      </c>
      <c r="R3319" s="10" t="s">
        <v>1575</v>
      </c>
      <c r="S3319" s="10" t="s">
        <v>1575</v>
      </c>
      <c r="T3319" s="10" t="s">
        <v>1575</v>
      </c>
      <c r="U3319" s="10" t="s">
        <v>1575</v>
      </c>
      <c r="V3319" s="10">
        <f>2.081-1.246</f>
        <v>0.83499999999999996</v>
      </c>
      <c r="W3319" s="10" t="s">
        <v>1575</v>
      </c>
      <c r="X3319" s="10" t="str">
        <f t="shared" si="3134"/>
        <v>NA</v>
      </c>
      <c r="Y3319" s="10" t="str">
        <f t="shared" si="3135"/>
        <v>NA</v>
      </c>
      <c r="Z3319" s="10" t="str">
        <f t="shared" si="3136"/>
        <v>NA</v>
      </c>
      <c r="AA3319" s="10" t="str">
        <f t="shared" si="3137"/>
        <v>NA</v>
      </c>
      <c r="AB3319" s="10" t="str">
        <f t="shared" si="3138"/>
        <v>NA</v>
      </c>
      <c r="AC3319" s="10" t="str">
        <f t="shared" si="3139"/>
        <v>NA</v>
      </c>
      <c r="AD3319" s="10" t="str">
        <f t="shared" si="3140"/>
        <v>NA</v>
      </c>
      <c r="AE3319" s="10" t="str">
        <f t="shared" si="3141"/>
        <v>NA</v>
      </c>
      <c r="AF3319" s="1" t="s">
        <v>3712</v>
      </c>
    </row>
    <row r="3320" spans="1:32" x14ac:dyDescent="0.2">
      <c r="A3320" s="1" t="s">
        <v>913</v>
      </c>
      <c r="B3320" s="1" t="s">
        <v>5</v>
      </c>
      <c r="C3320" s="1" t="s">
        <v>1575</v>
      </c>
      <c r="D3320" s="1" t="s">
        <v>1584</v>
      </c>
      <c r="E3320" s="1" t="s">
        <v>1586</v>
      </c>
      <c r="F3320" s="1" t="s">
        <v>66</v>
      </c>
      <c r="G3320" s="4" t="s">
        <v>11</v>
      </c>
      <c r="H3320" s="28">
        <v>42886</v>
      </c>
      <c r="I3320" s="29">
        <f t="shared" si="3125"/>
        <v>2017</v>
      </c>
      <c r="J3320" s="1" t="s">
        <v>7</v>
      </c>
      <c r="K3320" s="1" t="s">
        <v>3703</v>
      </c>
      <c r="L3320" s="11" t="str">
        <f t="shared" si="3180"/>
        <v>НЕТ</v>
      </c>
      <c r="M3320" s="10">
        <v>0</v>
      </c>
      <c r="N3320" s="10">
        <v>0</v>
      </c>
      <c r="O3320" s="10" t="s">
        <v>1575</v>
      </c>
      <c r="P3320" s="10" t="str">
        <f t="shared" si="3132"/>
        <v>NA</v>
      </c>
      <c r="Q3320" s="10" t="str">
        <f t="shared" si="3133"/>
        <v>NA</v>
      </c>
      <c r="R3320" s="10" t="s">
        <v>1575</v>
      </c>
      <c r="S3320" s="10" t="s">
        <v>1575</v>
      </c>
      <c r="T3320" s="10" t="s">
        <v>1575</v>
      </c>
      <c r="U3320" s="10" t="s">
        <v>1575</v>
      </c>
      <c r="V3320" s="10">
        <v>0.157</v>
      </c>
      <c r="W3320" s="10" t="s">
        <v>1575</v>
      </c>
      <c r="X3320" s="10" t="str">
        <f t="shared" si="3134"/>
        <v>NA</v>
      </c>
      <c r="Y3320" s="10" t="str">
        <f t="shared" si="3135"/>
        <v>NA</v>
      </c>
      <c r="Z3320" s="10" t="str">
        <f t="shared" si="3136"/>
        <v>NA</v>
      </c>
      <c r="AA3320" s="10" t="str">
        <f t="shared" si="3137"/>
        <v>NA</v>
      </c>
      <c r="AB3320" s="10" t="str">
        <f t="shared" si="3138"/>
        <v>NA</v>
      </c>
      <c r="AC3320" s="10" t="str">
        <f t="shared" si="3139"/>
        <v>NA</v>
      </c>
      <c r="AD3320" s="10" t="str">
        <f t="shared" si="3140"/>
        <v>NA</v>
      </c>
      <c r="AE3320" s="10" t="str">
        <f t="shared" si="3141"/>
        <v>NA</v>
      </c>
      <c r="AF3320" s="1" t="s">
        <v>3713</v>
      </c>
    </row>
    <row r="3321" spans="1:32" x14ac:dyDescent="0.2">
      <c r="A3321" s="1" t="s">
        <v>6889</v>
      </c>
      <c r="B3321" s="1" t="s">
        <v>5</v>
      </c>
      <c r="C3321" s="1" t="s">
        <v>1575</v>
      </c>
      <c r="D3321" s="1" t="s">
        <v>1584</v>
      </c>
      <c r="E3321" s="1" t="s">
        <v>1586</v>
      </c>
      <c r="F3321" s="1" t="s">
        <v>66</v>
      </c>
      <c r="G3321" s="4">
        <v>1</v>
      </c>
      <c r="H3321" s="28">
        <v>42643</v>
      </c>
      <c r="I3321" s="29">
        <f t="shared" ref="I3321" si="3181">YEAR(H3321)</f>
        <v>2016</v>
      </c>
      <c r="J3321" s="1" t="s">
        <v>3703</v>
      </c>
      <c r="K3321" s="1" t="s">
        <v>7</v>
      </c>
      <c r="L3321" s="11" t="str">
        <f t="shared" si="3180"/>
        <v>НЕТ</v>
      </c>
      <c r="M3321" s="10">
        <v>0</v>
      </c>
      <c r="N3321" s="10">
        <v>0</v>
      </c>
      <c r="O3321" s="10" t="s">
        <v>1575</v>
      </c>
      <c r="P3321" s="10" t="str">
        <f t="shared" si="3132"/>
        <v>NA</v>
      </c>
      <c r="Q3321" s="10" t="str">
        <f t="shared" si="3133"/>
        <v>NA</v>
      </c>
      <c r="R3321" s="10" t="s">
        <v>1575</v>
      </c>
      <c r="S3321" s="10" t="s">
        <v>1575</v>
      </c>
      <c r="T3321" s="10" t="s">
        <v>1575</v>
      </c>
      <c r="U3321" s="10" t="s">
        <v>1575</v>
      </c>
      <c r="V3321" s="10">
        <v>-6.1059999999999999</v>
      </c>
      <c r="W3321" s="10" t="s">
        <v>1575</v>
      </c>
      <c r="X3321" s="10" t="str">
        <f t="shared" si="3134"/>
        <v>NA</v>
      </c>
      <c r="Y3321" s="10" t="str">
        <f t="shared" si="3135"/>
        <v>NA</v>
      </c>
      <c r="Z3321" s="10" t="str">
        <f t="shared" si="3136"/>
        <v>NA</v>
      </c>
      <c r="AA3321" s="10" t="str">
        <f t="shared" si="3137"/>
        <v>NA</v>
      </c>
      <c r="AB3321" s="10" t="str">
        <f t="shared" si="3138"/>
        <v>NA</v>
      </c>
      <c r="AC3321" s="10" t="str">
        <f t="shared" si="3139"/>
        <v>NA</v>
      </c>
      <c r="AD3321" s="10" t="str">
        <f t="shared" si="3140"/>
        <v>NA</v>
      </c>
      <c r="AE3321" s="10" t="str">
        <f t="shared" si="3141"/>
        <v>NA</v>
      </c>
      <c r="AF3321" s="1" t="s">
        <v>3716</v>
      </c>
    </row>
    <row r="3322" spans="1:32" x14ac:dyDescent="0.2">
      <c r="A3322" s="1" t="s">
        <v>6889</v>
      </c>
      <c r="B3322" s="1" t="s">
        <v>5</v>
      </c>
      <c r="C3322" s="1" t="s">
        <v>1575</v>
      </c>
      <c r="D3322" s="1" t="s">
        <v>1584</v>
      </c>
      <c r="E3322" s="1" t="s">
        <v>1586</v>
      </c>
      <c r="F3322" s="1" t="s">
        <v>66</v>
      </c>
      <c r="G3322" s="4">
        <v>1</v>
      </c>
      <c r="H3322" s="28">
        <v>42460</v>
      </c>
      <c r="I3322" s="29">
        <f t="shared" ref="I3322" si="3182">YEAR(H3322)</f>
        <v>2016</v>
      </c>
      <c r="J3322" s="1" t="s">
        <v>7</v>
      </c>
      <c r="K3322" s="1" t="s">
        <v>3703</v>
      </c>
      <c r="L3322" s="11" t="str">
        <f t="shared" si="3180"/>
        <v>НЕТ</v>
      </c>
      <c r="M3322" s="10">
        <v>0</v>
      </c>
      <c r="N3322" s="10">
        <v>0</v>
      </c>
      <c r="O3322" s="10">
        <v>1.0000000000000001E-9</v>
      </c>
      <c r="P3322" s="10">
        <f t="shared" si="3132"/>
        <v>1.0000000000000001E-9</v>
      </c>
      <c r="Q3322" s="10" t="str">
        <f t="shared" si="3133"/>
        <v>NA</v>
      </c>
      <c r="R3322" s="10" t="s">
        <v>1575</v>
      </c>
      <c r="S3322" s="10" t="s">
        <v>1575</v>
      </c>
      <c r="T3322" s="10" t="s">
        <v>1575</v>
      </c>
      <c r="U3322" s="10" t="s">
        <v>1575</v>
      </c>
      <c r="V3322" s="10">
        <v>-5.9589999999999996</v>
      </c>
      <c r="W3322" s="10" t="s">
        <v>1575</v>
      </c>
      <c r="X3322" s="10" t="str">
        <f t="shared" si="3134"/>
        <v>NA</v>
      </c>
      <c r="Y3322" s="10" t="str">
        <f t="shared" si="3135"/>
        <v>NA</v>
      </c>
      <c r="Z3322" s="10" t="str">
        <f t="shared" si="3136"/>
        <v>NA</v>
      </c>
      <c r="AA3322" s="10">
        <f t="shared" si="3137"/>
        <v>-1.6781339150864242E-10</v>
      </c>
      <c r="AB3322" s="10" t="str">
        <f t="shared" si="3138"/>
        <v>NA</v>
      </c>
      <c r="AC3322" s="10" t="str">
        <f t="shared" si="3139"/>
        <v>NA</v>
      </c>
      <c r="AD3322" s="10" t="str">
        <f t="shared" si="3140"/>
        <v>NA</v>
      </c>
      <c r="AE3322" s="10" t="str">
        <f t="shared" si="3141"/>
        <v>NA</v>
      </c>
      <c r="AF3322" s="1" t="s">
        <v>3715</v>
      </c>
    </row>
    <row r="3323" spans="1:32" x14ac:dyDescent="0.2">
      <c r="A3323" s="1" t="s">
        <v>832</v>
      </c>
      <c r="B3323" s="1" t="s">
        <v>5</v>
      </c>
      <c r="C3323" s="1" t="s">
        <v>1575</v>
      </c>
      <c r="D3323" s="1" t="s">
        <v>1584</v>
      </c>
      <c r="E3323" s="1" t="s">
        <v>1586</v>
      </c>
      <c r="F3323" s="1" t="s">
        <v>66</v>
      </c>
      <c r="G3323" s="4">
        <v>0.749</v>
      </c>
      <c r="H3323" s="28">
        <v>41851</v>
      </c>
      <c r="I3323" s="29">
        <f t="shared" ref="I3323:I3324" si="3183">YEAR(H3323)</f>
        <v>2014</v>
      </c>
      <c r="J3323" s="1" t="s">
        <v>7</v>
      </c>
      <c r="K3323" s="1" t="s">
        <v>3703</v>
      </c>
      <c r="L3323" s="11" t="str">
        <f t="shared" ref="L3323" si="3184">IF(OR(A3323=J3323,A3323=K3323),"ДА","НЕТ")</f>
        <v>НЕТ</v>
      </c>
      <c r="M3323" s="10">
        <v>0</v>
      </c>
      <c r="N3323" s="10">
        <v>0</v>
      </c>
      <c r="O3323" s="10">
        <v>1.0000000000000001E-9</v>
      </c>
      <c r="P3323" s="10">
        <f t="shared" si="3132"/>
        <v>1.3351134846461951E-9</v>
      </c>
      <c r="Q3323" s="10">
        <f t="shared" si="3133"/>
        <v>-16.692999998664888</v>
      </c>
      <c r="R3323" s="10" t="s">
        <v>1575</v>
      </c>
      <c r="S3323" s="10" t="s">
        <v>1575</v>
      </c>
      <c r="T3323" s="10" t="s">
        <v>1575</v>
      </c>
      <c r="U3323" s="10" t="s">
        <v>1575</v>
      </c>
      <c r="V3323" s="10">
        <v>-15.054</v>
      </c>
      <c r="W3323" s="10">
        <v>-16.693000000000001</v>
      </c>
      <c r="X3323" s="10">
        <f t="shared" si="3134"/>
        <v>-31.747</v>
      </c>
      <c r="Y3323" s="10" t="str">
        <f t="shared" si="3135"/>
        <v>NA</v>
      </c>
      <c r="Z3323" s="10" t="str">
        <f t="shared" si="3136"/>
        <v>NA</v>
      </c>
      <c r="AA3323" s="10">
        <f t="shared" si="3137"/>
        <v>-8.8688287806974561E-11</v>
      </c>
      <c r="AB3323" s="10" t="str">
        <f t="shared" si="3138"/>
        <v>NA</v>
      </c>
      <c r="AC3323" s="10" t="str">
        <f t="shared" si="3139"/>
        <v>NA</v>
      </c>
      <c r="AD3323" s="10" t="str">
        <f t="shared" si="3140"/>
        <v>NA</v>
      </c>
      <c r="AE3323" s="10">
        <f t="shared" si="3141"/>
        <v>0.5258134626473332</v>
      </c>
      <c r="AF3323" s="1" t="s">
        <v>3719</v>
      </c>
    </row>
    <row r="3324" spans="1:32" x14ac:dyDescent="0.2">
      <c r="A3324" s="1" t="s">
        <v>6890</v>
      </c>
      <c r="B3324" s="1" t="s">
        <v>5</v>
      </c>
      <c r="C3324" s="1" t="s">
        <v>1575</v>
      </c>
      <c r="D3324" s="1" t="s">
        <v>1584</v>
      </c>
      <c r="E3324" s="1" t="s">
        <v>1586</v>
      </c>
      <c r="F3324" s="1" t="s">
        <v>66</v>
      </c>
      <c r="G3324" s="4">
        <v>1</v>
      </c>
      <c r="H3324" s="28">
        <v>41619</v>
      </c>
      <c r="I3324" s="29">
        <f t="shared" si="3183"/>
        <v>2013</v>
      </c>
      <c r="J3324" s="1" t="s">
        <v>7</v>
      </c>
      <c r="K3324" s="1" t="s">
        <v>3703</v>
      </c>
      <c r="L3324" s="11" t="str">
        <f t="shared" ref="L3324:L3325" si="3185">IF(OR(A3324=J3324,A3324=K3324),"ДА","НЕТ")</f>
        <v>НЕТ</v>
      </c>
      <c r="M3324" s="10">
        <v>0</v>
      </c>
      <c r="N3324" s="10">
        <v>0</v>
      </c>
      <c r="O3324" s="10">
        <v>1.1E-5</v>
      </c>
      <c r="P3324" s="10">
        <f t="shared" si="3132"/>
        <v>1.1E-5</v>
      </c>
      <c r="Q3324" s="10">
        <f t="shared" si="3133"/>
        <v>0.241011</v>
      </c>
      <c r="R3324" s="10" t="s">
        <v>1575</v>
      </c>
      <c r="S3324" s="10" t="s">
        <v>1575</v>
      </c>
      <c r="T3324" s="10" t="s">
        <v>1575</v>
      </c>
      <c r="U3324" s="10" t="s">
        <v>1575</v>
      </c>
      <c r="V3324" s="10">
        <v>-0.08</v>
      </c>
      <c r="W3324" s="10">
        <v>0.24099999999999999</v>
      </c>
      <c r="X3324" s="10">
        <f t="shared" si="3134"/>
        <v>0.16099999999999998</v>
      </c>
      <c r="Y3324" s="10" t="str">
        <f t="shared" si="3135"/>
        <v>NA</v>
      </c>
      <c r="Z3324" s="10" t="str">
        <f t="shared" si="3136"/>
        <v>NA</v>
      </c>
      <c r="AA3324" s="10">
        <f t="shared" si="3137"/>
        <v>-1.3749999999999998E-4</v>
      </c>
      <c r="AB3324" s="10" t="str">
        <f t="shared" si="3138"/>
        <v>NA</v>
      </c>
      <c r="AC3324" s="10" t="str">
        <f t="shared" si="3139"/>
        <v>NA</v>
      </c>
      <c r="AD3324" s="10" t="str">
        <f t="shared" si="3140"/>
        <v>NA</v>
      </c>
      <c r="AE3324" s="10">
        <f t="shared" si="3141"/>
        <v>1.496962732919255</v>
      </c>
      <c r="AF3324" s="1" t="s">
        <v>3720</v>
      </c>
    </row>
    <row r="3325" spans="1:32" x14ac:dyDescent="0.2">
      <c r="A3325" s="1" t="s">
        <v>3722</v>
      </c>
      <c r="B3325" s="1" t="s">
        <v>1575</v>
      </c>
      <c r="C3325" s="1" t="s">
        <v>1575</v>
      </c>
      <c r="D3325" s="1" t="s">
        <v>1584</v>
      </c>
      <c r="E3325" s="1" t="s">
        <v>1586</v>
      </c>
      <c r="F3325" s="1" t="s">
        <v>66</v>
      </c>
      <c r="G3325" s="4">
        <v>0.5</v>
      </c>
      <c r="H3325" s="28">
        <v>40938</v>
      </c>
      <c r="I3325" s="29">
        <f t="shared" ref="I3325:I3334" si="3186">YEAR(H3325)</f>
        <v>2012</v>
      </c>
      <c r="J3325" s="1" t="s">
        <v>3703</v>
      </c>
      <c r="K3325" s="1" t="s">
        <v>7</v>
      </c>
      <c r="L3325" s="11" t="str">
        <f t="shared" si="3185"/>
        <v>НЕТ</v>
      </c>
      <c r="M3325" s="10">
        <v>41.7</v>
      </c>
      <c r="N3325" s="10">
        <v>0</v>
      </c>
      <c r="O3325" s="10">
        <v>1.306</v>
      </c>
      <c r="P3325" s="10">
        <f t="shared" si="3132"/>
        <v>2.6120000000000001</v>
      </c>
      <c r="Q3325" s="10">
        <f t="shared" si="3133"/>
        <v>2.3970000000000002</v>
      </c>
      <c r="R3325" s="10" t="s">
        <v>1575</v>
      </c>
      <c r="S3325" s="10" t="s">
        <v>1575</v>
      </c>
      <c r="T3325" s="10" t="s">
        <v>1575</v>
      </c>
      <c r="U3325" s="10" t="s">
        <v>1575</v>
      </c>
      <c r="V3325" s="10">
        <v>7.6369999999999996</v>
      </c>
      <c r="W3325" s="10">
        <f>0.134-0.349</f>
        <v>-0.21499999999999997</v>
      </c>
      <c r="X3325" s="10">
        <f t="shared" si="3134"/>
        <v>7.4219999999999997</v>
      </c>
      <c r="Y3325" s="10" t="str">
        <f t="shared" si="3135"/>
        <v>NA</v>
      </c>
      <c r="Z3325" s="10" t="str">
        <f t="shared" si="3136"/>
        <v>NA</v>
      </c>
      <c r="AA3325" s="10">
        <f t="shared" si="3137"/>
        <v>0.34201911745449787</v>
      </c>
      <c r="AB3325" s="10" t="str">
        <f t="shared" si="3138"/>
        <v>NA</v>
      </c>
      <c r="AC3325" s="10" t="str">
        <f t="shared" si="3139"/>
        <v>NA</v>
      </c>
      <c r="AD3325" s="10" t="str">
        <f t="shared" si="3140"/>
        <v>NA</v>
      </c>
      <c r="AE3325" s="10">
        <f t="shared" si="3141"/>
        <v>0.32295877122069527</v>
      </c>
      <c r="AF3325" s="1" t="s">
        <v>3721</v>
      </c>
    </row>
    <row r="3326" spans="1:32" x14ac:dyDescent="0.2">
      <c r="A3326" s="1" t="s">
        <v>6891</v>
      </c>
      <c r="B3326" s="1" t="s">
        <v>5</v>
      </c>
      <c r="C3326" s="1" t="s">
        <v>1575</v>
      </c>
      <c r="D3326" s="1" t="s">
        <v>1584</v>
      </c>
      <c r="E3326" s="1" t="s">
        <v>1586</v>
      </c>
      <c r="F3326" s="1" t="s">
        <v>66</v>
      </c>
      <c r="G3326" s="4">
        <v>1</v>
      </c>
      <c r="H3326" s="28">
        <v>41018</v>
      </c>
      <c r="I3326" s="29">
        <f t="shared" si="3186"/>
        <v>2012</v>
      </c>
      <c r="J3326" s="1" t="s">
        <v>3703</v>
      </c>
      <c r="K3326" s="1" t="s">
        <v>7</v>
      </c>
      <c r="L3326" s="11" t="str">
        <f t="shared" ref="L3326" si="3187">IF(OR(A3326=J3326,A3326=K3326),"ДА","НЕТ")</f>
        <v>НЕТ</v>
      </c>
      <c r="M3326" s="10">
        <v>0</v>
      </c>
      <c r="N3326" s="10">
        <v>0</v>
      </c>
      <c r="O3326" s="10">
        <v>0.98</v>
      </c>
      <c r="P3326" s="10">
        <f t="shared" si="3132"/>
        <v>0.98</v>
      </c>
      <c r="Q3326" s="10">
        <f t="shared" si="3133"/>
        <v>1.2509999999999999</v>
      </c>
      <c r="R3326" s="10" t="s">
        <v>1575</v>
      </c>
      <c r="S3326" s="10" t="s">
        <v>1575</v>
      </c>
      <c r="T3326" s="10" t="s">
        <v>1575</v>
      </c>
      <c r="U3326" s="10" t="s">
        <v>1575</v>
      </c>
      <c r="V3326" s="10">
        <v>1.857</v>
      </c>
      <c r="W3326" s="10">
        <f>0.273-0.002</f>
        <v>0.27100000000000002</v>
      </c>
      <c r="X3326" s="10">
        <f t="shared" si="3134"/>
        <v>2.1280000000000001</v>
      </c>
      <c r="Y3326" s="10" t="str">
        <f t="shared" si="3135"/>
        <v>NA</v>
      </c>
      <c r="Z3326" s="10" t="str">
        <f t="shared" si="3136"/>
        <v>NA</v>
      </c>
      <c r="AA3326" s="10">
        <f t="shared" si="3137"/>
        <v>0.52773290253096394</v>
      </c>
      <c r="AB3326" s="10" t="str">
        <f t="shared" si="3138"/>
        <v>NA</v>
      </c>
      <c r="AC3326" s="10" t="str">
        <f t="shared" si="3139"/>
        <v>NA</v>
      </c>
      <c r="AD3326" s="10" t="str">
        <f t="shared" si="3140"/>
        <v>NA</v>
      </c>
      <c r="AE3326" s="10">
        <f t="shared" si="3141"/>
        <v>0.58787593984962394</v>
      </c>
      <c r="AF3326" s="1" t="s">
        <v>3723</v>
      </c>
    </row>
    <row r="3327" spans="1:32" x14ac:dyDescent="0.2">
      <c r="A3327" s="1" t="s">
        <v>3726</v>
      </c>
      <c r="B3327" s="1" t="s">
        <v>1575</v>
      </c>
      <c r="C3327" s="1" t="s">
        <v>1575</v>
      </c>
      <c r="D3327" s="1" t="s">
        <v>1584</v>
      </c>
      <c r="E3327" s="1" t="s">
        <v>1586</v>
      </c>
      <c r="F3327" s="1" t="s">
        <v>66</v>
      </c>
      <c r="G3327" s="6" t="s">
        <v>3725</v>
      </c>
      <c r="H3327" s="28">
        <v>40683</v>
      </c>
      <c r="I3327" s="29">
        <f t="shared" ref="I3327:I3330" si="3188">YEAR(H3327)</f>
        <v>2011</v>
      </c>
      <c r="J3327" s="1" t="s">
        <v>3703</v>
      </c>
      <c r="K3327" s="1" t="s">
        <v>7</v>
      </c>
      <c r="L3327" s="11" t="str">
        <f t="shared" ref="L3327" si="3189">IF(OR(A3327=J3327,A3327=K3327),"ДА","НЕТ")</f>
        <v>НЕТ</v>
      </c>
      <c r="M3327" s="10">
        <v>45.2</v>
      </c>
      <c r="N3327" s="10">
        <v>0</v>
      </c>
      <c r="O3327" s="10">
        <f>1.262+0.156</f>
        <v>1.4179999999999999</v>
      </c>
      <c r="P3327" s="10" t="str">
        <f t="shared" si="3132"/>
        <v>NA</v>
      </c>
      <c r="Q3327" s="10" t="str">
        <f t="shared" si="3133"/>
        <v>NA</v>
      </c>
      <c r="R3327" s="10" t="s">
        <v>1575</v>
      </c>
      <c r="S3327" s="10" t="s">
        <v>1575</v>
      </c>
      <c r="T3327" s="10" t="s">
        <v>1575</v>
      </c>
      <c r="U3327" s="10" t="s">
        <v>1575</v>
      </c>
      <c r="V3327" s="10">
        <v>2.629</v>
      </c>
      <c r="W3327" s="10">
        <f>1.789+0.66-0.311-0.036</f>
        <v>2.1019999999999999</v>
      </c>
      <c r="X3327" s="10">
        <f t="shared" si="3134"/>
        <v>4.7309999999999999</v>
      </c>
      <c r="Y3327" s="10" t="str">
        <f t="shared" si="3135"/>
        <v>NA</v>
      </c>
      <c r="Z3327" s="10" t="str">
        <f t="shared" si="3136"/>
        <v>NA</v>
      </c>
      <c r="AA3327" s="10" t="str">
        <f t="shared" si="3137"/>
        <v>NA</v>
      </c>
      <c r="AB3327" s="10" t="str">
        <f t="shared" si="3138"/>
        <v>NA</v>
      </c>
      <c r="AC3327" s="10" t="str">
        <f t="shared" si="3139"/>
        <v>NA</v>
      </c>
      <c r="AD3327" s="10" t="str">
        <f t="shared" si="3140"/>
        <v>NA</v>
      </c>
      <c r="AE3327" s="10" t="str">
        <f t="shared" si="3141"/>
        <v>NA</v>
      </c>
      <c r="AF3327" s="1" t="s">
        <v>3724</v>
      </c>
    </row>
    <row r="3328" spans="1:32" x14ac:dyDescent="0.2">
      <c r="A3328" s="1" t="s">
        <v>6892</v>
      </c>
      <c r="B3328" s="1" t="s">
        <v>5</v>
      </c>
      <c r="C3328" s="1" t="s">
        <v>1575</v>
      </c>
      <c r="D3328" s="1" t="s">
        <v>1584</v>
      </c>
      <c r="E3328" s="1" t="s">
        <v>1589</v>
      </c>
      <c r="F3328" s="1" t="s">
        <v>495</v>
      </c>
      <c r="G3328" s="4">
        <v>1</v>
      </c>
      <c r="H3328" s="28">
        <v>40603</v>
      </c>
      <c r="I3328" s="29">
        <f t="shared" si="3188"/>
        <v>2011</v>
      </c>
      <c r="J3328" s="1" t="s">
        <v>3703</v>
      </c>
      <c r="K3328" s="1" t="s">
        <v>7</v>
      </c>
      <c r="L3328" s="11" t="str">
        <f t="shared" ref="L3328" si="3190">IF(OR(A3328=J3328,A3328=K3328),"ДА","НЕТ")</f>
        <v>НЕТ</v>
      </c>
      <c r="M3328" s="10">
        <v>0</v>
      </c>
      <c r="N3328" s="10">
        <v>0</v>
      </c>
      <c r="O3328" s="10">
        <v>1.706</v>
      </c>
      <c r="P3328" s="10">
        <f t="shared" si="3132"/>
        <v>1.706</v>
      </c>
      <c r="Q3328" s="10">
        <f t="shared" si="3133"/>
        <v>2.0920000000000001</v>
      </c>
      <c r="R3328" s="10" t="s">
        <v>1575</v>
      </c>
      <c r="S3328" s="10" t="s">
        <v>1575</v>
      </c>
      <c r="T3328" s="10" t="s">
        <v>1575</v>
      </c>
      <c r="U3328" s="10" t="s">
        <v>1575</v>
      </c>
      <c r="V3328" s="10">
        <v>1.706</v>
      </c>
      <c r="W3328" s="10">
        <f>0.411-0.025</f>
        <v>0.38599999999999995</v>
      </c>
      <c r="X3328" s="10">
        <f t="shared" si="3134"/>
        <v>2.0920000000000001</v>
      </c>
      <c r="Y3328" s="10" t="str">
        <f t="shared" si="3135"/>
        <v>NA</v>
      </c>
      <c r="Z3328" s="10" t="str">
        <f t="shared" si="3136"/>
        <v>NA</v>
      </c>
      <c r="AA3328" s="10">
        <f t="shared" si="3137"/>
        <v>1</v>
      </c>
      <c r="AB3328" s="10" t="str">
        <f t="shared" si="3138"/>
        <v>NA</v>
      </c>
      <c r="AC3328" s="10" t="str">
        <f t="shared" si="3139"/>
        <v>NA</v>
      </c>
      <c r="AD3328" s="10" t="str">
        <f t="shared" si="3140"/>
        <v>NA</v>
      </c>
      <c r="AE3328" s="10">
        <f t="shared" si="3141"/>
        <v>1</v>
      </c>
      <c r="AF3328" s="1" t="s">
        <v>3727</v>
      </c>
    </row>
    <row r="3329" spans="1:32" x14ac:dyDescent="0.2">
      <c r="A3329" s="1" t="s">
        <v>3728</v>
      </c>
      <c r="B3329" s="1" t="s">
        <v>1575</v>
      </c>
      <c r="C3329" s="1" t="s">
        <v>1575</v>
      </c>
      <c r="D3329" s="1" t="s">
        <v>1584</v>
      </c>
      <c r="E3329" s="1" t="s">
        <v>1586</v>
      </c>
      <c r="F3329" s="1" t="s">
        <v>66</v>
      </c>
      <c r="G3329" s="4">
        <v>0.5</v>
      </c>
      <c r="H3329" s="28">
        <v>40704</v>
      </c>
      <c r="I3329" s="29">
        <f t="shared" si="3188"/>
        <v>2011</v>
      </c>
      <c r="J3329" s="1" t="s">
        <v>3703</v>
      </c>
      <c r="K3329" s="1" t="s">
        <v>7</v>
      </c>
      <c r="L3329" s="11" t="str">
        <f t="shared" ref="L3329:L3330" si="3191">IF(OR(A3329=J3329,A3329=K3329),"ДА","НЕТ")</f>
        <v>НЕТ</v>
      </c>
      <c r="M3329" s="10">
        <v>0</v>
      </c>
      <c r="N3329" s="10">
        <v>0</v>
      </c>
      <c r="O3329" s="10">
        <v>6.6000000000000003E-2</v>
      </c>
      <c r="P3329" s="10">
        <f t="shared" si="3132"/>
        <v>0.13200000000000001</v>
      </c>
      <c r="Q3329" s="10">
        <f t="shared" si="3133"/>
        <v>0.41100000000000003</v>
      </c>
      <c r="R3329" s="10" t="s">
        <v>1575</v>
      </c>
      <c r="S3329" s="10" t="s">
        <v>1575</v>
      </c>
      <c r="T3329" s="10" t="s">
        <v>1575</v>
      </c>
      <c r="U3329" s="10" t="s">
        <v>1575</v>
      </c>
      <c r="V3329" s="10">
        <v>0.26100000000000001</v>
      </c>
      <c r="W3329" s="10">
        <f>0.279-0</f>
        <v>0.27900000000000003</v>
      </c>
      <c r="X3329" s="10">
        <f t="shared" si="3134"/>
        <v>0.54</v>
      </c>
      <c r="Y3329" s="10" t="str">
        <f t="shared" si="3135"/>
        <v>NA</v>
      </c>
      <c r="Z3329" s="10" t="str">
        <f t="shared" si="3136"/>
        <v>NA</v>
      </c>
      <c r="AA3329" s="10">
        <f t="shared" si="3137"/>
        <v>0.50574712643678166</v>
      </c>
      <c r="AB3329" s="10" t="str">
        <f t="shared" si="3138"/>
        <v>NA</v>
      </c>
      <c r="AC3329" s="10" t="str">
        <f t="shared" si="3139"/>
        <v>NA</v>
      </c>
      <c r="AD3329" s="10" t="str">
        <f t="shared" si="3140"/>
        <v>NA</v>
      </c>
      <c r="AE3329" s="10">
        <f t="shared" si="3141"/>
        <v>0.76111111111111107</v>
      </c>
      <c r="AF3329" s="1" t="s">
        <v>3729</v>
      </c>
    </row>
    <row r="3330" spans="1:32" x14ac:dyDescent="0.2">
      <c r="A3330" s="1" t="s">
        <v>6893</v>
      </c>
      <c r="B3330" s="1" t="s">
        <v>5</v>
      </c>
      <c r="C3330" s="1" t="s">
        <v>1575</v>
      </c>
      <c r="D3330" s="1" t="s">
        <v>1584</v>
      </c>
      <c r="E3330" s="1" t="s">
        <v>1586</v>
      </c>
      <c r="F3330" s="1" t="s">
        <v>66</v>
      </c>
      <c r="G3330" s="4">
        <v>1</v>
      </c>
      <c r="H3330" s="28">
        <v>40908</v>
      </c>
      <c r="I3330" s="29">
        <f t="shared" si="3188"/>
        <v>2011</v>
      </c>
      <c r="J3330" s="1" t="s">
        <v>7</v>
      </c>
      <c r="K3330" s="1" t="s">
        <v>3703</v>
      </c>
      <c r="L3330" s="11" t="str">
        <f t="shared" si="3191"/>
        <v>НЕТ</v>
      </c>
      <c r="M3330" s="10">
        <v>0</v>
      </c>
      <c r="N3330" s="10">
        <v>0</v>
      </c>
      <c r="O3330" s="10">
        <v>0.69899999999999995</v>
      </c>
      <c r="P3330" s="10">
        <f t="shared" si="3132"/>
        <v>0.69899999999999995</v>
      </c>
      <c r="Q3330" s="10">
        <f t="shared" si="3133"/>
        <v>0.72799999999999998</v>
      </c>
      <c r="R3330" s="10" t="s">
        <v>1575</v>
      </c>
      <c r="S3330" s="10" t="s">
        <v>1575</v>
      </c>
      <c r="T3330" s="10" t="s">
        <v>1575</v>
      </c>
      <c r="U3330" s="10" t="s">
        <v>1575</v>
      </c>
      <c r="V3330" s="10">
        <v>0.16300000000000001</v>
      </c>
      <c r="W3330" s="10">
        <f>0.039-0.01</f>
        <v>2.8999999999999998E-2</v>
      </c>
      <c r="X3330" s="10">
        <f t="shared" si="3134"/>
        <v>0.192</v>
      </c>
      <c r="Y3330" s="10" t="str">
        <f t="shared" si="3135"/>
        <v>NA</v>
      </c>
      <c r="Z3330" s="10" t="str">
        <f t="shared" si="3136"/>
        <v>NA</v>
      </c>
      <c r="AA3330" s="10">
        <f t="shared" si="3137"/>
        <v>4.2883435582822083</v>
      </c>
      <c r="AB3330" s="10" t="str">
        <f t="shared" si="3138"/>
        <v>NA</v>
      </c>
      <c r="AC3330" s="10" t="str">
        <f t="shared" si="3139"/>
        <v>NA</v>
      </c>
      <c r="AD3330" s="10" t="str">
        <f t="shared" si="3140"/>
        <v>NA</v>
      </c>
      <c r="AE3330" s="10">
        <f t="shared" si="3141"/>
        <v>3.7916666666666665</v>
      </c>
      <c r="AF3330" s="1" t="s">
        <v>3730</v>
      </c>
    </row>
    <row r="3331" spans="1:32" x14ac:dyDescent="0.2">
      <c r="A3331" s="1" t="s">
        <v>6893</v>
      </c>
      <c r="B3331" s="1" t="s">
        <v>5</v>
      </c>
      <c r="C3331" s="1" t="s">
        <v>1575</v>
      </c>
      <c r="D3331" s="1" t="s">
        <v>1584</v>
      </c>
      <c r="E3331" s="1" t="s">
        <v>1586</v>
      </c>
      <c r="F3331" s="1" t="s">
        <v>66</v>
      </c>
      <c r="G3331" s="4">
        <v>0.49</v>
      </c>
      <c r="H3331" s="28">
        <v>40846</v>
      </c>
      <c r="I3331" s="29">
        <f t="shared" ref="I3331" si="3192">YEAR(H3331)</f>
        <v>2011</v>
      </c>
      <c r="J3331" s="1" t="s">
        <v>3703</v>
      </c>
      <c r="K3331" s="1" t="s">
        <v>7</v>
      </c>
      <c r="L3331" s="11" t="str">
        <f t="shared" ref="L3331:L3337" si="3193">IF(OR(A3331=J3331,A3331=K3331),"ДА","НЕТ")</f>
        <v>НЕТ</v>
      </c>
      <c r="M3331" s="10">
        <v>0</v>
      </c>
      <c r="N3331" s="10">
        <v>0</v>
      </c>
      <c r="O3331" s="10">
        <v>4.2000000000000003E-2</v>
      </c>
      <c r="P3331" s="10">
        <f t="shared" ref="P3331:P3394" si="3194">IFERROR(O3331/G3331,"NA")</f>
        <v>8.5714285714285715E-2</v>
      </c>
      <c r="Q3331" s="10">
        <f t="shared" ref="Q3331:Q3394" si="3195">IFERROR(P3331+W3331,"NA")</f>
        <v>0.11471428571428571</v>
      </c>
      <c r="R3331" s="10" t="s">
        <v>1575</v>
      </c>
      <c r="S3331" s="10" t="s">
        <v>1575</v>
      </c>
      <c r="T3331" s="10" t="s">
        <v>1575</v>
      </c>
      <c r="U3331" s="10" t="s">
        <v>1575</v>
      </c>
      <c r="V3331" s="10">
        <v>0.16300000000000001</v>
      </c>
      <c r="W3331" s="10">
        <f>0.039-0.01</f>
        <v>2.8999999999999998E-2</v>
      </c>
      <c r="X3331" s="10">
        <f t="shared" si="3134"/>
        <v>0.192</v>
      </c>
      <c r="Y3331" s="10" t="str">
        <f t="shared" si="3135"/>
        <v>NA</v>
      </c>
      <c r="Z3331" s="10" t="str">
        <f t="shared" si="3136"/>
        <v>NA</v>
      </c>
      <c r="AA3331" s="10">
        <f t="shared" si="3137"/>
        <v>0.52585451358457491</v>
      </c>
      <c r="AB3331" s="10" t="str">
        <f t="shared" si="3138"/>
        <v>NA</v>
      </c>
      <c r="AC3331" s="10" t="str">
        <f t="shared" si="3139"/>
        <v>NA</v>
      </c>
      <c r="AD3331" s="10" t="str">
        <f t="shared" si="3140"/>
        <v>NA</v>
      </c>
      <c r="AE3331" s="10">
        <f t="shared" si="3141"/>
        <v>0.59747023809523803</v>
      </c>
      <c r="AF3331" s="1" t="s">
        <v>3730</v>
      </c>
    </row>
    <row r="3332" spans="1:32" x14ac:dyDescent="0.2">
      <c r="A3332" s="1" t="s">
        <v>3732</v>
      </c>
      <c r="B3332" s="1" t="s">
        <v>5</v>
      </c>
      <c r="C3332" s="1" t="s">
        <v>1575</v>
      </c>
      <c r="D3332" s="1" t="s">
        <v>1584</v>
      </c>
      <c r="E3332" s="1" t="s">
        <v>1586</v>
      </c>
      <c r="F3332" s="1" t="s">
        <v>66</v>
      </c>
      <c r="G3332" s="4" t="s">
        <v>11</v>
      </c>
      <c r="H3332" s="28">
        <v>41274</v>
      </c>
      <c r="I3332" s="29">
        <f t="shared" si="3186"/>
        <v>2012</v>
      </c>
      <c r="J3332" s="1" t="s">
        <v>7</v>
      </c>
      <c r="K3332" s="1" t="s">
        <v>3703</v>
      </c>
      <c r="L3332" s="11" t="str">
        <f t="shared" si="3193"/>
        <v>НЕТ</v>
      </c>
      <c r="M3332" s="10">
        <v>0</v>
      </c>
      <c r="N3332" s="10">
        <v>0</v>
      </c>
      <c r="O3332" s="10" t="s">
        <v>1575</v>
      </c>
      <c r="P3332" s="10" t="str">
        <f t="shared" si="3194"/>
        <v>NA</v>
      </c>
      <c r="Q3332" s="10" t="str">
        <f t="shared" si="3195"/>
        <v>NA</v>
      </c>
      <c r="R3332" s="10" t="s">
        <v>1575</v>
      </c>
      <c r="S3332" s="10" t="s">
        <v>1575</v>
      </c>
      <c r="T3332" s="10" t="s">
        <v>1575</v>
      </c>
      <c r="U3332" s="10" t="s">
        <v>1575</v>
      </c>
      <c r="V3332" s="10">
        <f>345+0.162</f>
        <v>345.16199999999998</v>
      </c>
      <c r="W3332" s="10" t="s">
        <v>1575</v>
      </c>
      <c r="X3332" s="10" t="str">
        <f t="shared" si="3134"/>
        <v>NA</v>
      </c>
      <c r="Y3332" s="10" t="str">
        <f t="shared" si="3135"/>
        <v>NA</v>
      </c>
      <c r="Z3332" s="10" t="str">
        <f t="shared" si="3136"/>
        <v>NA</v>
      </c>
      <c r="AA3332" s="10" t="str">
        <f t="shared" si="3137"/>
        <v>NA</v>
      </c>
      <c r="AB3332" s="10" t="str">
        <f t="shared" si="3138"/>
        <v>NA</v>
      </c>
      <c r="AC3332" s="10" t="str">
        <f t="shared" si="3139"/>
        <v>NA</v>
      </c>
      <c r="AD3332" s="10" t="str">
        <f t="shared" si="3140"/>
        <v>NA</v>
      </c>
      <c r="AE3332" s="10" t="str">
        <f t="shared" si="3141"/>
        <v>NA</v>
      </c>
      <c r="AF3332" s="1" t="s">
        <v>3731</v>
      </c>
    </row>
    <row r="3333" spans="1:32" x14ac:dyDescent="0.2">
      <c r="A3333" s="1" t="s">
        <v>3737</v>
      </c>
      <c r="B3333" s="1" t="s">
        <v>1575</v>
      </c>
      <c r="C3333" s="1" t="s">
        <v>1575</v>
      </c>
      <c r="D3333" s="1" t="s">
        <v>1584</v>
      </c>
      <c r="E3333" s="1" t="s">
        <v>1586</v>
      </c>
      <c r="F3333" s="1" t="s">
        <v>66</v>
      </c>
      <c r="G3333" s="4">
        <v>0.5</v>
      </c>
      <c r="H3333" s="28">
        <v>40328</v>
      </c>
      <c r="I3333" s="29">
        <f t="shared" si="3186"/>
        <v>2010</v>
      </c>
      <c r="J3333" s="1" t="s">
        <v>3703</v>
      </c>
      <c r="K3333" s="1" t="s">
        <v>3733</v>
      </c>
      <c r="L3333" s="11" t="str">
        <f t="shared" ref="L3333:L3335" si="3196">IF(OR(A3333=J3333,A3333=K3333),"ДА","НЕТ")</f>
        <v>НЕТ</v>
      </c>
      <c r="M3333" s="10">
        <v>42.4</v>
      </c>
      <c r="N3333" s="10">
        <v>0</v>
      </c>
      <c r="O3333" s="10">
        <v>1.302</v>
      </c>
      <c r="P3333" s="10">
        <f t="shared" si="3194"/>
        <v>2.6040000000000001</v>
      </c>
      <c r="Q3333" s="10">
        <f t="shared" si="3195"/>
        <v>11.707000000000001</v>
      </c>
      <c r="R3333" s="10" t="s">
        <v>1575</v>
      </c>
      <c r="S3333" s="10" t="s">
        <v>1575</v>
      </c>
      <c r="T3333" s="10" t="s">
        <v>1575</v>
      </c>
      <c r="U3333" s="10" t="s">
        <v>1575</v>
      </c>
      <c r="V3333" s="10">
        <v>14.917999999999999</v>
      </c>
      <c r="W3333" s="10">
        <f>9.19-0.087</f>
        <v>9.1029999999999998</v>
      </c>
      <c r="X3333" s="10">
        <f t="shared" si="3134"/>
        <v>24.021000000000001</v>
      </c>
      <c r="Y3333" s="10" t="str">
        <f t="shared" si="3135"/>
        <v>NA</v>
      </c>
      <c r="Z3333" s="10" t="str">
        <f t="shared" si="3136"/>
        <v>NA</v>
      </c>
      <c r="AA3333" s="10">
        <f t="shared" si="3137"/>
        <v>0.17455422978951604</v>
      </c>
      <c r="AB3333" s="10" t="str">
        <f t="shared" si="3138"/>
        <v>NA</v>
      </c>
      <c r="AC3333" s="10" t="str">
        <f t="shared" si="3139"/>
        <v>NA</v>
      </c>
      <c r="AD3333" s="10" t="str">
        <f t="shared" si="3140"/>
        <v>NA</v>
      </c>
      <c r="AE3333" s="10">
        <f t="shared" si="3141"/>
        <v>0.48736522209733152</v>
      </c>
      <c r="AF3333" s="1" t="s">
        <v>3739</v>
      </c>
    </row>
    <row r="3334" spans="1:32" x14ac:dyDescent="0.2">
      <c r="A3334" s="1" t="s">
        <v>3736</v>
      </c>
      <c r="B3334" s="1" t="s">
        <v>5</v>
      </c>
      <c r="C3334" s="1" t="s">
        <v>1575</v>
      </c>
      <c r="D3334" s="1" t="s">
        <v>1584</v>
      </c>
      <c r="E3334" s="1" t="s">
        <v>1586</v>
      </c>
      <c r="F3334" s="1" t="s">
        <v>66</v>
      </c>
      <c r="G3334" s="4">
        <v>0.5</v>
      </c>
      <c r="H3334" s="28">
        <v>40481</v>
      </c>
      <c r="I3334" s="29">
        <f t="shared" si="3186"/>
        <v>2010</v>
      </c>
      <c r="J3334" s="1" t="s">
        <v>7</v>
      </c>
      <c r="K3334" s="1" t="s">
        <v>3703</v>
      </c>
      <c r="L3334" s="11" t="str">
        <f t="shared" si="3196"/>
        <v>НЕТ</v>
      </c>
      <c r="M3334" s="10">
        <v>0</v>
      </c>
      <c r="N3334" s="10">
        <v>0</v>
      </c>
      <c r="O3334" s="10">
        <v>0.75700000000000001</v>
      </c>
      <c r="P3334" s="10">
        <f t="shared" si="3194"/>
        <v>1.514</v>
      </c>
      <c r="Q3334" s="10">
        <f t="shared" si="3195"/>
        <v>1.484</v>
      </c>
      <c r="R3334" s="10" t="s">
        <v>1575</v>
      </c>
      <c r="S3334" s="10" t="s">
        <v>1575</v>
      </c>
      <c r="T3334" s="10" t="s">
        <v>1575</v>
      </c>
      <c r="U3334" s="10" t="s">
        <v>1575</v>
      </c>
      <c r="V3334" s="10">
        <v>48.97</v>
      </c>
      <c r="W3334" s="10">
        <f>0-0.03</f>
        <v>-0.03</v>
      </c>
      <c r="X3334" s="10">
        <f t="shared" si="3134"/>
        <v>48.94</v>
      </c>
      <c r="Y3334" s="10" t="str">
        <f t="shared" si="3135"/>
        <v>NA</v>
      </c>
      <c r="Z3334" s="10" t="str">
        <f t="shared" si="3136"/>
        <v>NA</v>
      </c>
      <c r="AA3334" s="10">
        <f t="shared" si="3137"/>
        <v>3.0916887890545232E-2</v>
      </c>
      <c r="AB3334" s="10" t="str">
        <f t="shared" si="3138"/>
        <v>NA</v>
      </c>
      <c r="AC3334" s="10" t="str">
        <f t="shared" si="3139"/>
        <v>NA</v>
      </c>
      <c r="AD3334" s="10" t="str">
        <f t="shared" si="3140"/>
        <v>NA</v>
      </c>
      <c r="AE3334" s="10">
        <f t="shared" si="3141"/>
        <v>3.0322844299141807E-2</v>
      </c>
      <c r="AF3334" s="1" t="s">
        <v>3735</v>
      </c>
    </row>
    <row r="3335" spans="1:32" x14ac:dyDescent="0.2">
      <c r="A3335" s="1" t="s">
        <v>6884</v>
      </c>
      <c r="B3335" s="1" t="s">
        <v>5</v>
      </c>
      <c r="C3335" s="1" t="s">
        <v>1575</v>
      </c>
      <c r="D3335" s="1" t="s">
        <v>1584</v>
      </c>
      <c r="E3335" s="1" t="s">
        <v>1586</v>
      </c>
      <c r="F3335" s="1" t="s">
        <v>66</v>
      </c>
      <c r="G3335" s="4">
        <v>0.5</v>
      </c>
      <c r="H3335" s="28">
        <v>40298</v>
      </c>
      <c r="I3335" s="29">
        <f t="shared" ref="I3335" si="3197">YEAR(H3335)</f>
        <v>2010</v>
      </c>
      <c r="J3335" s="1" t="s">
        <v>3703</v>
      </c>
      <c r="K3335" s="1" t="s">
        <v>7</v>
      </c>
      <c r="L3335" s="11" t="str">
        <f t="shared" si="3196"/>
        <v>НЕТ</v>
      </c>
      <c r="M3335" s="10">
        <v>0</v>
      </c>
      <c r="N3335" s="10">
        <v>0</v>
      </c>
      <c r="O3335" s="10">
        <v>2.3439999999999999</v>
      </c>
      <c r="P3335" s="10">
        <f t="shared" si="3194"/>
        <v>4.6879999999999997</v>
      </c>
      <c r="Q3335" s="10" t="str">
        <f t="shared" si="3195"/>
        <v>NA</v>
      </c>
      <c r="R3335" s="10" t="s">
        <v>1575</v>
      </c>
      <c r="S3335" s="10" t="s">
        <v>1575</v>
      </c>
      <c r="T3335" s="10" t="s">
        <v>1575</v>
      </c>
      <c r="U3335" s="10" t="s">
        <v>1575</v>
      </c>
      <c r="V3335" s="10" t="s">
        <v>1575</v>
      </c>
      <c r="W3335" s="10" t="s">
        <v>1575</v>
      </c>
      <c r="X3335" s="10" t="str">
        <f t="shared" ref="X3335:X3408" si="3198">IFERROR(V3335+W3335,"NA")</f>
        <v>NA</v>
      </c>
      <c r="Y3335" s="10" t="str">
        <f t="shared" ref="Y3335:Y3408" si="3199">IFERROR(P3335/R3335,"NA")</f>
        <v>NA</v>
      </c>
      <c r="Z3335" s="10" t="str">
        <f t="shared" ref="Z3335:Z3408" si="3200">IFERROR(P3335/U3335,"NA")</f>
        <v>NA</v>
      </c>
      <c r="AA3335" s="10" t="str">
        <f t="shared" ref="AA3335:AA3408" si="3201">IFERROR(P3335/V3335,"NA")</f>
        <v>NA</v>
      </c>
      <c r="AB3335" s="10" t="str">
        <f t="shared" ref="AB3335:AB3408" si="3202">IFERROR(Q3335/R3335,"NA")</f>
        <v>NA</v>
      </c>
      <c r="AC3335" s="10" t="str">
        <f t="shared" ref="AC3335:AC3408" si="3203">IFERROR(Q3335/S3335,"NA")</f>
        <v>NA</v>
      </c>
      <c r="AD3335" s="10" t="str">
        <f t="shared" ref="AD3335:AD3408" si="3204">IFERROR(Q3335/T3335,"NA")</f>
        <v>NA</v>
      </c>
      <c r="AE3335" s="10" t="str">
        <f t="shared" ref="AE3335:AE3408" si="3205">IFERROR(Q3335/X3335,"NA")</f>
        <v>NA</v>
      </c>
      <c r="AF3335" s="1" t="s">
        <v>3734</v>
      </c>
    </row>
    <row r="3336" spans="1:32" x14ac:dyDescent="0.2">
      <c r="A3336" s="1" t="s">
        <v>3610</v>
      </c>
      <c r="B3336" s="1" t="s">
        <v>5</v>
      </c>
      <c r="C3336" s="1" t="s">
        <v>1575</v>
      </c>
      <c r="D3336" s="1" t="s">
        <v>1584</v>
      </c>
      <c r="E3336" s="1" t="s">
        <v>1586</v>
      </c>
      <c r="F3336" s="1" t="s">
        <v>66</v>
      </c>
      <c r="G3336" s="4" t="s">
        <v>1575</v>
      </c>
      <c r="H3336" s="28">
        <v>39963</v>
      </c>
      <c r="I3336" s="29">
        <f t="shared" ref="I3336:I3337" si="3206">YEAR(H3336)</f>
        <v>2009</v>
      </c>
      <c r="J3336" s="1" t="s">
        <v>6039</v>
      </c>
      <c r="K3336" s="1" t="s">
        <v>3742</v>
      </c>
      <c r="L3336" s="11" t="str">
        <f t="shared" si="3193"/>
        <v>НЕТ</v>
      </c>
      <c r="M3336" s="10">
        <v>37.366999999999997</v>
      </c>
      <c r="N3336" s="10">
        <v>0</v>
      </c>
      <c r="O3336" s="10">
        <f>M3336*30.9843/1000</f>
        <v>1.1577903380999999</v>
      </c>
      <c r="P3336" s="10" t="str">
        <f t="shared" si="3194"/>
        <v>NA</v>
      </c>
      <c r="Q3336" s="10" t="str">
        <f t="shared" si="3195"/>
        <v>NA</v>
      </c>
      <c r="R3336" s="10" t="s">
        <v>1575</v>
      </c>
      <c r="S3336" s="10" t="s">
        <v>1575</v>
      </c>
      <c r="T3336" s="10" t="s">
        <v>1575</v>
      </c>
      <c r="U3336" s="10" t="s">
        <v>1575</v>
      </c>
      <c r="V3336" s="10" t="s">
        <v>1575</v>
      </c>
      <c r="W3336" s="10" t="s">
        <v>1575</v>
      </c>
      <c r="X3336" s="10" t="str">
        <f t="shared" si="3198"/>
        <v>NA</v>
      </c>
      <c r="Y3336" s="10" t="str">
        <f t="shared" si="3199"/>
        <v>NA</v>
      </c>
      <c r="Z3336" s="10" t="str">
        <f t="shared" si="3200"/>
        <v>NA</v>
      </c>
      <c r="AA3336" s="10" t="str">
        <f t="shared" si="3201"/>
        <v>NA</v>
      </c>
      <c r="AB3336" s="10" t="str">
        <f t="shared" si="3202"/>
        <v>NA</v>
      </c>
      <c r="AC3336" s="10" t="str">
        <f t="shared" si="3203"/>
        <v>NA</v>
      </c>
      <c r="AD3336" s="10" t="str">
        <f t="shared" si="3204"/>
        <v>NA</v>
      </c>
      <c r="AE3336" s="10" t="str">
        <f t="shared" si="3205"/>
        <v>NA</v>
      </c>
      <c r="AF3336" s="1" t="s">
        <v>3743</v>
      </c>
    </row>
    <row r="3337" spans="1:32" x14ac:dyDescent="0.2">
      <c r="A3337" s="1" t="s">
        <v>6894</v>
      </c>
      <c r="B3337" s="1" t="s">
        <v>5</v>
      </c>
      <c r="C3337" s="1" t="s">
        <v>1575</v>
      </c>
      <c r="D3337" s="1" t="s">
        <v>1584</v>
      </c>
      <c r="E3337" s="1" t="s">
        <v>1586</v>
      </c>
      <c r="F3337" s="1" t="s">
        <v>66</v>
      </c>
      <c r="G3337" s="4">
        <v>1</v>
      </c>
      <c r="H3337" s="28">
        <v>40025</v>
      </c>
      <c r="I3337" s="29">
        <f t="shared" si="3206"/>
        <v>2009</v>
      </c>
      <c r="J3337" s="1" t="s">
        <v>7</v>
      </c>
      <c r="K3337" s="1" t="s">
        <v>3703</v>
      </c>
      <c r="L3337" s="11" t="str">
        <f t="shared" si="3193"/>
        <v>НЕТ</v>
      </c>
      <c r="M3337" s="10">
        <v>1.8340000000000001</v>
      </c>
      <c r="N3337" s="10">
        <v>0</v>
      </c>
      <c r="O3337" s="10">
        <f>M3337*31.7555/1000</f>
        <v>5.8239587000000009E-2</v>
      </c>
      <c r="P3337" s="10">
        <f t="shared" si="3194"/>
        <v>5.8239587000000009E-2</v>
      </c>
      <c r="Q3337" s="10" t="str">
        <f t="shared" si="3195"/>
        <v>NA</v>
      </c>
      <c r="R3337" s="10" t="s">
        <v>1575</v>
      </c>
      <c r="S3337" s="10" t="s">
        <v>1575</v>
      </c>
      <c r="T3337" s="10" t="s">
        <v>1575</v>
      </c>
      <c r="U3337" s="10" t="s">
        <v>1575</v>
      </c>
      <c r="V3337" s="10" t="s">
        <v>1575</v>
      </c>
      <c r="W3337" s="10" t="s">
        <v>1575</v>
      </c>
      <c r="X3337" s="10" t="str">
        <f t="shared" si="3198"/>
        <v>NA</v>
      </c>
      <c r="Y3337" s="10" t="str">
        <f t="shared" si="3199"/>
        <v>NA</v>
      </c>
      <c r="Z3337" s="10" t="str">
        <f t="shared" si="3200"/>
        <v>NA</v>
      </c>
      <c r="AA3337" s="10" t="str">
        <f t="shared" si="3201"/>
        <v>NA</v>
      </c>
      <c r="AB3337" s="10" t="str">
        <f t="shared" si="3202"/>
        <v>NA</v>
      </c>
      <c r="AC3337" s="10" t="str">
        <f t="shared" si="3203"/>
        <v>NA</v>
      </c>
      <c r="AD3337" s="10" t="str">
        <f t="shared" si="3204"/>
        <v>NA</v>
      </c>
      <c r="AE3337" s="10" t="str">
        <f t="shared" si="3205"/>
        <v>NA</v>
      </c>
      <c r="AF3337" s="1" t="s">
        <v>3740</v>
      </c>
    </row>
    <row r="3338" spans="1:32" x14ac:dyDescent="0.2">
      <c r="A3338" s="1" t="s">
        <v>6895</v>
      </c>
      <c r="B3338" s="1" t="s">
        <v>5</v>
      </c>
      <c r="C3338" s="1" t="s">
        <v>1575</v>
      </c>
      <c r="D3338" s="1" t="s">
        <v>1584</v>
      </c>
      <c r="E3338" s="1" t="s">
        <v>1586</v>
      </c>
      <c r="F3338" s="1" t="s">
        <v>66</v>
      </c>
      <c r="G3338" s="4" t="s">
        <v>1575</v>
      </c>
      <c r="H3338" s="28">
        <v>40056</v>
      </c>
      <c r="I3338" s="29">
        <f t="shared" si="3125"/>
        <v>2009</v>
      </c>
      <c r="J3338" s="1" t="s">
        <v>7</v>
      </c>
      <c r="K3338" s="1" t="s">
        <v>3703</v>
      </c>
      <c r="L3338" s="11" t="str">
        <f t="shared" ref="L3338:L3340" si="3207">IF(OR(A3338=J3338,A3338=K3338),"ДА","НЕТ")</f>
        <v>НЕТ</v>
      </c>
      <c r="M3338" s="10">
        <v>0</v>
      </c>
      <c r="N3338" s="10">
        <v>0</v>
      </c>
      <c r="O3338" s="10" t="s">
        <v>1575</v>
      </c>
      <c r="P3338" s="10" t="str">
        <f t="shared" si="3194"/>
        <v>NA</v>
      </c>
      <c r="Q3338" s="10" t="str">
        <f t="shared" si="3195"/>
        <v>NA</v>
      </c>
      <c r="R3338" s="10" t="s">
        <v>1575</v>
      </c>
      <c r="S3338" s="10" t="s">
        <v>1575</v>
      </c>
      <c r="T3338" s="10" t="s">
        <v>1575</v>
      </c>
      <c r="U3338" s="10" t="s">
        <v>1575</v>
      </c>
      <c r="V3338" s="10" t="s">
        <v>1575</v>
      </c>
      <c r="W3338" s="10" t="s">
        <v>1575</v>
      </c>
      <c r="X3338" s="10" t="str">
        <f t="shared" si="3198"/>
        <v>NA</v>
      </c>
      <c r="Y3338" s="10" t="str">
        <f t="shared" si="3199"/>
        <v>NA</v>
      </c>
      <c r="Z3338" s="10" t="str">
        <f t="shared" si="3200"/>
        <v>NA</v>
      </c>
      <c r="AA3338" s="10" t="str">
        <f t="shared" si="3201"/>
        <v>NA</v>
      </c>
      <c r="AB3338" s="10" t="str">
        <f t="shared" si="3202"/>
        <v>NA</v>
      </c>
      <c r="AC3338" s="10" t="str">
        <f t="shared" si="3203"/>
        <v>NA</v>
      </c>
      <c r="AD3338" s="10" t="str">
        <f t="shared" si="3204"/>
        <v>NA</v>
      </c>
      <c r="AE3338" s="10" t="str">
        <f t="shared" si="3205"/>
        <v>NA</v>
      </c>
      <c r="AF3338" s="1" t="s">
        <v>3744</v>
      </c>
    </row>
    <row r="3339" spans="1:32" x14ac:dyDescent="0.2">
      <c r="A3339" s="1" t="s">
        <v>3703</v>
      </c>
      <c r="B3339" s="1" t="s">
        <v>5</v>
      </c>
      <c r="C3339" s="1" t="s">
        <v>3746</v>
      </c>
      <c r="D3339" s="1" t="s">
        <v>1584</v>
      </c>
      <c r="E3339" s="1" t="s">
        <v>3486</v>
      </c>
      <c r="F3339" s="1" t="s">
        <v>3447</v>
      </c>
      <c r="G3339" s="4">
        <f>841282/11217094</f>
        <v>7.4999995542517517E-2</v>
      </c>
      <c r="H3339" s="28">
        <v>40178</v>
      </c>
      <c r="I3339" s="29">
        <f t="shared" si="3125"/>
        <v>2009</v>
      </c>
      <c r="J3339" s="1" t="s">
        <v>6039</v>
      </c>
      <c r="K3339" s="1" t="s">
        <v>3703</v>
      </c>
      <c r="L3339" s="11" t="str">
        <f t="shared" ref="L3339" si="3208">IF(OR(A3339=J3339,A3339=K3339),"ДА","НЕТ")</f>
        <v>ДА</v>
      </c>
      <c r="M3339" s="10">
        <v>47.265999999999998</v>
      </c>
      <c r="N3339" s="10">
        <v>0</v>
      </c>
      <c r="O3339" s="10">
        <f>M3339*30.2442/1000</f>
        <v>1.4295223572</v>
      </c>
      <c r="P3339" s="10">
        <f t="shared" si="3194"/>
        <v>19.060299228812667</v>
      </c>
      <c r="Q3339" s="10" t="str">
        <f t="shared" si="3195"/>
        <v>NA</v>
      </c>
      <c r="R3339" s="10" t="s">
        <v>1575</v>
      </c>
      <c r="S3339" s="10" t="s">
        <v>1575</v>
      </c>
      <c r="T3339" s="10" t="s">
        <v>1575</v>
      </c>
      <c r="U3339" s="10" t="s">
        <v>1575</v>
      </c>
      <c r="V3339" s="10" t="s">
        <v>1575</v>
      </c>
      <c r="W3339" s="10" t="s">
        <v>1575</v>
      </c>
      <c r="X3339" s="10" t="str">
        <f t="shared" si="3198"/>
        <v>NA</v>
      </c>
      <c r="Y3339" s="10" t="str">
        <f t="shared" si="3199"/>
        <v>NA</v>
      </c>
      <c r="Z3339" s="10" t="str">
        <f t="shared" si="3200"/>
        <v>NA</v>
      </c>
      <c r="AA3339" s="10" t="str">
        <f t="shared" si="3201"/>
        <v>NA</v>
      </c>
      <c r="AB3339" s="10" t="str">
        <f t="shared" si="3202"/>
        <v>NA</v>
      </c>
      <c r="AC3339" s="10" t="str">
        <f t="shared" si="3203"/>
        <v>NA</v>
      </c>
      <c r="AD3339" s="10" t="str">
        <f t="shared" si="3204"/>
        <v>NA</v>
      </c>
      <c r="AE3339" s="10" t="str">
        <f t="shared" si="3205"/>
        <v>NA</v>
      </c>
      <c r="AF3339" s="1" t="s">
        <v>3745</v>
      </c>
    </row>
    <row r="3340" spans="1:32" x14ac:dyDescent="0.2">
      <c r="A3340" s="1" t="s">
        <v>6896</v>
      </c>
      <c r="B3340" s="1" t="s">
        <v>5</v>
      </c>
      <c r="C3340" s="1" t="s">
        <v>1575</v>
      </c>
      <c r="D3340" s="1" t="s">
        <v>1584</v>
      </c>
      <c r="E3340" s="1" t="s">
        <v>1586</v>
      </c>
      <c r="F3340" s="1" t="s">
        <v>66</v>
      </c>
      <c r="G3340" s="4" t="s">
        <v>1575</v>
      </c>
      <c r="H3340" s="28">
        <v>39782</v>
      </c>
      <c r="I3340" s="29">
        <f t="shared" si="3125"/>
        <v>2008</v>
      </c>
      <c r="J3340" s="1" t="s">
        <v>7</v>
      </c>
      <c r="K3340" s="1" t="s">
        <v>3703</v>
      </c>
      <c r="L3340" s="11" t="str">
        <f t="shared" si="3207"/>
        <v>НЕТ</v>
      </c>
      <c r="M3340" s="10">
        <v>0</v>
      </c>
      <c r="N3340" s="10">
        <v>0</v>
      </c>
      <c r="O3340" s="10" t="s">
        <v>1575</v>
      </c>
      <c r="P3340" s="10" t="str">
        <f t="shared" si="3194"/>
        <v>NA</v>
      </c>
      <c r="Q3340" s="10" t="str">
        <f t="shared" si="3195"/>
        <v>NA</v>
      </c>
      <c r="R3340" s="10" t="s">
        <v>1575</v>
      </c>
      <c r="S3340" s="10" t="s">
        <v>1575</v>
      </c>
      <c r="T3340" s="10" t="s">
        <v>1575</v>
      </c>
      <c r="U3340" s="10" t="s">
        <v>1575</v>
      </c>
      <c r="V3340" s="10" t="s">
        <v>1575</v>
      </c>
      <c r="W3340" s="10" t="s">
        <v>1575</v>
      </c>
      <c r="X3340" s="10" t="str">
        <f t="shared" si="3198"/>
        <v>NA</v>
      </c>
      <c r="Y3340" s="10" t="str">
        <f t="shared" si="3199"/>
        <v>NA</v>
      </c>
      <c r="Z3340" s="10" t="str">
        <f t="shared" si="3200"/>
        <v>NA</v>
      </c>
      <c r="AA3340" s="10" t="str">
        <f t="shared" si="3201"/>
        <v>NA</v>
      </c>
      <c r="AB3340" s="10" t="str">
        <f t="shared" si="3202"/>
        <v>NA</v>
      </c>
      <c r="AC3340" s="10" t="str">
        <f t="shared" si="3203"/>
        <v>NA</v>
      </c>
      <c r="AD3340" s="10" t="str">
        <f t="shared" si="3204"/>
        <v>NA</v>
      </c>
      <c r="AE3340" s="10" t="str">
        <f t="shared" si="3205"/>
        <v>NA</v>
      </c>
      <c r="AF3340" s="1" t="s">
        <v>3741</v>
      </c>
    </row>
    <row r="3341" spans="1:32" x14ac:dyDescent="0.2">
      <c r="A3341" s="1" t="s">
        <v>3737</v>
      </c>
      <c r="B3341" s="1" t="s">
        <v>1575</v>
      </c>
      <c r="C3341" s="1" t="s">
        <v>1575</v>
      </c>
      <c r="D3341" s="1" t="s">
        <v>1584</v>
      </c>
      <c r="E3341" s="1" t="s">
        <v>1586</v>
      </c>
      <c r="F3341" s="1" t="s">
        <v>66</v>
      </c>
      <c r="G3341" s="4">
        <v>0.5</v>
      </c>
      <c r="H3341" s="28">
        <v>39447</v>
      </c>
      <c r="I3341" s="29">
        <f t="shared" si="3125"/>
        <v>2007</v>
      </c>
      <c r="J3341" s="1" t="s">
        <v>3733</v>
      </c>
      <c r="K3341" s="1" t="s">
        <v>3703</v>
      </c>
      <c r="L3341" s="11" t="str">
        <f t="shared" ref="L3341" si="3209">IF(OR(A3341=J3341,A3341=K3341),"ДА","НЕТ")</f>
        <v>НЕТ</v>
      </c>
      <c r="M3341" s="10">
        <v>40</v>
      </c>
      <c r="N3341" s="10">
        <v>0</v>
      </c>
      <c r="O3341" s="10">
        <f>M3341*24.5462/1000</f>
        <v>0.98184799999999994</v>
      </c>
      <c r="P3341" s="10">
        <f t="shared" si="3194"/>
        <v>1.9636959999999999</v>
      </c>
      <c r="Q3341" s="10" t="str">
        <f t="shared" si="3195"/>
        <v>NA</v>
      </c>
      <c r="R3341" s="10" t="s">
        <v>1575</v>
      </c>
      <c r="S3341" s="10" t="s">
        <v>1575</v>
      </c>
      <c r="T3341" s="10" t="s">
        <v>1575</v>
      </c>
      <c r="U3341" s="10" t="s">
        <v>1575</v>
      </c>
      <c r="V3341" s="10" t="s">
        <v>1575</v>
      </c>
      <c r="W3341" s="10" t="s">
        <v>1575</v>
      </c>
      <c r="X3341" s="10" t="str">
        <f t="shared" si="3198"/>
        <v>NA</v>
      </c>
      <c r="Y3341" s="10" t="str">
        <f t="shared" si="3199"/>
        <v>NA</v>
      </c>
      <c r="Z3341" s="10" t="str">
        <f t="shared" si="3200"/>
        <v>NA</v>
      </c>
      <c r="AA3341" s="10" t="str">
        <f t="shared" si="3201"/>
        <v>NA</v>
      </c>
      <c r="AB3341" s="10" t="str">
        <f t="shared" si="3202"/>
        <v>NA</v>
      </c>
      <c r="AC3341" s="10" t="str">
        <f t="shared" si="3203"/>
        <v>NA</v>
      </c>
      <c r="AD3341" s="10" t="str">
        <f t="shared" si="3204"/>
        <v>NA</v>
      </c>
      <c r="AE3341" s="10" t="str">
        <f t="shared" si="3205"/>
        <v>NA</v>
      </c>
      <c r="AF3341" s="1" t="s">
        <v>3738</v>
      </c>
    </row>
    <row r="3342" spans="1:32" x14ac:dyDescent="0.2">
      <c r="A3342" s="1" t="s">
        <v>5685</v>
      </c>
      <c r="B3342" s="1" t="s">
        <v>5</v>
      </c>
      <c r="C3342" s="1" t="s">
        <v>3656</v>
      </c>
      <c r="D3342" s="1" t="s">
        <v>1584</v>
      </c>
      <c r="E3342" s="1" t="s">
        <v>3486</v>
      </c>
      <c r="F3342" s="1" t="s">
        <v>46</v>
      </c>
      <c r="G3342" s="4">
        <f>7820613/282215500</f>
        <v>2.7711493521794514E-2</v>
      </c>
      <c r="H3342" s="28">
        <v>44104</v>
      </c>
      <c r="I3342" s="29">
        <f t="shared" si="3125"/>
        <v>2020</v>
      </c>
      <c r="J3342" s="1" t="s">
        <v>7</v>
      </c>
      <c r="K3342" s="1" t="s">
        <v>5685</v>
      </c>
      <c r="L3342" s="11" t="str">
        <f t="shared" ref="L3342" si="3210">IF(OR(A3342=J3342,A3342=K3342),"ДА","НЕТ")</f>
        <v>ДА</v>
      </c>
      <c r="M3342" s="10">
        <v>0</v>
      </c>
      <c r="N3342" s="10">
        <v>0</v>
      </c>
      <c r="O3342" s="10">
        <v>1.728</v>
      </c>
      <c r="P3342" s="10">
        <f t="shared" si="3194"/>
        <v>62.356797862264763</v>
      </c>
      <c r="Q3342" s="10">
        <f t="shared" si="3195"/>
        <v>66.988797862264761</v>
      </c>
      <c r="R3342" s="10">
        <v>142.559</v>
      </c>
      <c r="S3342" s="10">
        <v>10.401999999999997</v>
      </c>
      <c r="T3342" s="10">
        <v>5.0149999999999988</v>
      </c>
      <c r="U3342" s="10">
        <v>0.52200000000000002</v>
      </c>
      <c r="V3342" s="10">
        <v>18.907</v>
      </c>
      <c r="W3342" s="10">
        <v>4.6320000000000032</v>
      </c>
      <c r="X3342" s="10">
        <f t="shared" si="3198"/>
        <v>23.539000000000001</v>
      </c>
      <c r="Y3342" s="10">
        <f t="shared" si="3199"/>
        <v>0.43741046066726591</v>
      </c>
      <c r="Z3342" s="10">
        <f t="shared" si="3200"/>
        <v>119.45746716908958</v>
      </c>
      <c r="AA3342" s="10">
        <f t="shared" si="3201"/>
        <v>3.2980799630964595</v>
      </c>
      <c r="AB3342" s="10">
        <f t="shared" si="3202"/>
        <v>0.46990227107558807</v>
      </c>
      <c r="AC3342" s="10">
        <f t="shared" si="3203"/>
        <v>6.439992103659371</v>
      </c>
      <c r="AD3342" s="10">
        <f t="shared" si="3204"/>
        <v>13.357686512914213</v>
      </c>
      <c r="AE3342" s="10">
        <f t="shared" si="3205"/>
        <v>2.8458642194768156</v>
      </c>
      <c r="AF3342" s="1" t="s">
        <v>3657</v>
      </c>
    </row>
    <row r="3343" spans="1:32" x14ac:dyDescent="0.2">
      <c r="A3343" s="1" t="s">
        <v>5685</v>
      </c>
      <c r="B3343" s="1" t="s">
        <v>5</v>
      </c>
      <c r="C3343" s="1" t="s">
        <v>3656</v>
      </c>
      <c r="D3343" s="1" t="s">
        <v>1584</v>
      </c>
      <c r="E3343" s="1" t="s">
        <v>3486</v>
      </c>
      <c r="F3343" s="1" t="s">
        <v>46</v>
      </c>
      <c r="G3343" s="4">
        <f>7820613/282215500</f>
        <v>2.7711493521794514E-2</v>
      </c>
      <c r="H3343" s="28">
        <v>44104</v>
      </c>
      <c r="I3343" s="29">
        <f t="shared" si="3125"/>
        <v>2020</v>
      </c>
      <c r="J3343" s="1" t="s">
        <v>5685</v>
      </c>
      <c r="K3343" s="1" t="s">
        <v>7</v>
      </c>
      <c r="L3343" s="11" t="str">
        <f t="shared" si="3146"/>
        <v>ДА</v>
      </c>
      <c r="M3343" s="10">
        <v>0</v>
      </c>
      <c r="N3343" s="10">
        <v>0</v>
      </c>
      <c r="O3343" s="10">
        <f>7820613*220.44/10^9</f>
        <v>1.7239759297200001</v>
      </c>
      <c r="P3343" s="10">
        <f t="shared" si="3194"/>
        <v>62.211584820000006</v>
      </c>
      <c r="Q3343" s="10">
        <f t="shared" si="3195"/>
        <v>66.843584820000004</v>
      </c>
      <c r="R3343" s="10">
        <v>142.559</v>
      </c>
      <c r="S3343" s="10">
        <v>10.401999999999997</v>
      </c>
      <c r="T3343" s="10">
        <v>5.0149999999999988</v>
      </c>
      <c r="U3343" s="10">
        <v>0.52200000000000002</v>
      </c>
      <c r="V3343" s="10">
        <v>18.907</v>
      </c>
      <c r="W3343" s="10">
        <v>4.6320000000000032</v>
      </c>
      <c r="X3343" s="10">
        <f t="shared" si="3198"/>
        <v>23.539000000000001</v>
      </c>
      <c r="Y3343" s="10">
        <f t="shared" si="3199"/>
        <v>0.43639184351742089</v>
      </c>
      <c r="Z3343" s="10">
        <f t="shared" si="3200"/>
        <v>119.17928126436782</v>
      </c>
      <c r="AA3343" s="10">
        <f t="shared" si="3201"/>
        <v>3.2903995779340987</v>
      </c>
      <c r="AB3343" s="10">
        <f t="shared" si="3202"/>
        <v>0.46888365392574305</v>
      </c>
      <c r="AC3343" s="10">
        <f t="shared" si="3203"/>
        <v>6.426031995770046</v>
      </c>
      <c r="AD3343" s="10">
        <f t="shared" si="3204"/>
        <v>13.328730771684949</v>
      </c>
      <c r="AE3343" s="10">
        <f t="shared" si="3205"/>
        <v>2.8396951790645311</v>
      </c>
      <c r="AF3343" s="1" t="s">
        <v>3657</v>
      </c>
    </row>
    <row r="3344" spans="1:32" x14ac:dyDescent="0.2">
      <c r="A3344" s="1" t="s">
        <v>6897</v>
      </c>
      <c r="B3344" s="1" t="s">
        <v>5</v>
      </c>
      <c r="C3344" s="1" t="s">
        <v>1575</v>
      </c>
      <c r="D3344" s="1" t="s">
        <v>1584</v>
      </c>
      <c r="E3344" s="1" t="s">
        <v>1587</v>
      </c>
      <c r="F3344" s="1" t="s">
        <v>3659</v>
      </c>
      <c r="G3344" s="4">
        <v>0.16009999999999999</v>
      </c>
      <c r="H3344" s="28">
        <v>43861</v>
      </c>
      <c r="I3344" s="29">
        <f t="shared" si="3125"/>
        <v>2020</v>
      </c>
      <c r="J3344" s="1" t="s">
        <v>5685</v>
      </c>
      <c r="K3344" s="1" t="s">
        <v>7</v>
      </c>
      <c r="L3344" s="11" t="str">
        <f t="shared" ref="L3344" si="3211">IF(OR(A3344=J3344,A3344=K3344),"ДА","НЕТ")</f>
        <v>НЕТ</v>
      </c>
      <c r="M3344" s="10">
        <v>0</v>
      </c>
      <c r="N3344" s="10">
        <v>0</v>
      </c>
      <c r="O3344" s="10">
        <v>0.6</v>
      </c>
      <c r="P3344" s="10">
        <f t="shared" si="3194"/>
        <v>3.7476577139287945</v>
      </c>
      <c r="Q3344" s="10" t="str">
        <f t="shared" si="3195"/>
        <v>NA</v>
      </c>
      <c r="R3344" s="10">
        <v>62.426000000000002</v>
      </c>
      <c r="S3344" s="10" t="s">
        <v>1575</v>
      </c>
      <c r="T3344" s="10" t="s">
        <v>1575</v>
      </c>
      <c r="U3344" s="10">
        <v>1.1180000000000001</v>
      </c>
      <c r="V3344" s="10">
        <v>5.1280000000000001</v>
      </c>
      <c r="W3344" s="10" t="s">
        <v>1575</v>
      </c>
      <c r="X3344" s="10" t="str">
        <f t="shared" si="3198"/>
        <v>NA</v>
      </c>
      <c r="Y3344" s="10">
        <f t="shared" si="3199"/>
        <v>6.0033603209060239E-2</v>
      </c>
      <c r="Z3344" s="10">
        <f t="shared" si="3200"/>
        <v>3.3521088675570612</v>
      </c>
      <c r="AA3344" s="10">
        <f t="shared" si="3201"/>
        <v>0.7308224871155995</v>
      </c>
      <c r="AB3344" s="10" t="str">
        <f t="shared" si="3202"/>
        <v>NA</v>
      </c>
      <c r="AC3344" s="10" t="str">
        <f t="shared" si="3203"/>
        <v>NA</v>
      </c>
      <c r="AD3344" s="10" t="str">
        <f t="shared" si="3204"/>
        <v>NA</v>
      </c>
      <c r="AE3344" s="10" t="str">
        <f t="shared" si="3205"/>
        <v>NA</v>
      </c>
      <c r="AF3344" s="1" t="s">
        <v>3658</v>
      </c>
    </row>
    <row r="3345" spans="1:32" x14ac:dyDescent="0.2">
      <c r="A3345" s="1" t="s">
        <v>3660</v>
      </c>
      <c r="B3345" s="1" t="s">
        <v>1575</v>
      </c>
      <c r="C3345" s="1" t="s">
        <v>1575</v>
      </c>
      <c r="D3345" s="1" t="s">
        <v>1584</v>
      </c>
      <c r="E3345" s="1" t="s">
        <v>3486</v>
      </c>
      <c r="F3345" s="1" t="s">
        <v>46</v>
      </c>
      <c r="G3345" s="4">
        <v>1</v>
      </c>
      <c r="H3345" s="28">
        <v>42369</v>
      </c>
      <c r="I3345" s="29">
        <f t="shared" si="3125"/>
        <v>2015</v>
      </c>
      <c r="J3345" s="1" t="s">
        <v>5685</v>
      </c>
      <c r="K3345" s="1" t="s">
        <v>7</v>
      </c>
      <c r="L3345" s="11" t="str">
        <f t="shared" ref="L3345" si="3212">IF(OR(A3345=J3345,A3345=K3345),"ДА","НЕТ")</f>
        <v>НЕТ</v>
      </c>
      <c r="M3345" s="10">
        <v>0</v>
      </c>
      <c r="N3345" s="10">
        <v>0</v>
      </c>
      <c r="O3345" s="10">
        <v>0.55600000000000005</v>
      </c>
      <c r="P3345" s="10">
        <f t="shared" si="3194"/>
        <v>0.55600000000000005</v>
      </c>
      <c r="Q3345" s="10">
        <f t="shared" si="3195"/>
        <v>0.59700000000000009</v>
      </c>
      <c r="R3345" s="10" t="s">
        <v>1575</v>
      </c>
      <c r="S3345" s="10" t="s">
        <v>1575</v>
      </c>
      <c r="T3345" s="10" t="s">
        <v>1575</v>
      </c>
      <c r="U3345" s="10" t="s">
        <v>1575</v>
      </c>
      <c r="V3345" s="10">
        <v>0.98099999999999998</v>
      </c>
      <c r="W3345" s="10">
        <f>0.088-0.047</f>
        <v>4.0999999999999995E-2</v>
      </c>
      <c r="X3345" s="10">
        <f t="shared" si="3198"/>
        <v>1.022</v>
      </c>
      <c r="Y3345" s="10" t="str">
        <f t="shared" si="3199"/>
        <v>NA</v>
      </c>
      <c r="Z3345" s="10" t="str">
        <f t="shared" si="3200"/>
        <v>NA</v>
      </c>
      <c r="AA3345" s="10">
        <f t="shared" si="3201"/>
        <v>0.56676860346585123</v>
      </c>
      <c r="AB3345" s="10" t="str">
        <f t="shared" si="3202"/>
        <v>NA</v>
      </c>
      <c r="AC3345" s="10" t="str">
        <f t="shared" si="3203"/>
        <v>NA</v>
      </c>
      <c r="AD3345" s="10" t="str">
        <f t="shared" si="3204"/>
        <v>NA</v>
      </c>
      <c r="AE3345" s="10">
        <f t="shared" si="3205"/>
        <v>0.58414872798434447</v>
      </c>
      <c r="AF3345" s="1" t="s">
        <v>3662</v>
      </c>
    </row>
    <row r="3346" spans="1:32" x14ac:dyDescent="0.2">
      <c r="A3346" s="1" t="s">
        <v>6898</v>
      </c>
      <c r="B3346" s="1" t="s">
        <v>5</v>
      </c>
      <c r="C3346" s="1" t="s">
        <v>1575</v>
      </c>
      <c r="D3346" s="1" t="s">
        <v>1584</v>
      </c>
      <c r="E3346" s="1" t="s">
        <v>1587</v>
      </c>
      <c r="F3346" s="1" t="s">
        <v>3659</v>
      </c>
      <c r="G3346" s="4">
        <v>0.5</v>
      </c>
      <c r="H3346" s="28">
        <v>42205</v>
      </c>
      <c r="I3346" s="29">
        <f t="shared" si="3125"/>
        <v>2015</v>
      </c>
      <c r="J3346" s="1" t="s">
        <v>7</v>
      </c>
      <c r="K3346" s="1" t="s">
        <v>5685</v>
      </c>
      <c r="L3346" s="11" t="str">
        <f t="shared" ref="L3346" si="3213">IF(OR(A3346=J3346,A3346=K3346),"ДА","НЕТ")</f>
        <v>НЕТ</v>
      </c>
      <c r="M3346" s="10">
        <v>0</v>
      </c>
      <c r="N3346" s="10">
        <v>0</v>
      </c>
      <c r="O3346" s="10">
        <v>0.442</v>
      </c>
      <c r="P3346" s="10">
        <f t="shared" si="3194"/>
        <v>0.88400000000000001</v>
      </c>
      <c r="Q3346" s="10" t="str">
        <f t="shared" si="3195"/>
        <v>NA</v>
      </c>
      <c r="R3346" s="10" t="s">
        <v>1575</v>
      </c>
      <c r="S3346" s="10" t="s">
        <v>1575</v>
      </c>
      <c r="T3346" s="10" t="s">
        <v>1575</v>
      </c>
      <c r="U3346" s="10" t="s">
        <v>1575</v>
      </c>
      <c r="V3346" s="10">
        <v>0.49909999999999999</v>
      </c>
      <c r="W3346" s="10" t="s">
        <v>1575</v>
      </c>
      <c r="X3346" s="10" t="str">
        <f t="shared" si="3198"/>
        <v>NA</v>
      </c>
      <c r="Y3346" s="10" t="str">
        <f t="shared" si="3199"/>
        <v>NA</v>
      </c>
      <c r="Z3346" s="10" t="str">
        <f t="shared" si="3200"/>
        <v>NA</v>
      </c>
      <c r="AA3346" s="10">
        <f t="shared" si="3201"/>
        <v>1.7711881386495694</v>
      </c>
      <c r="AB3346" s="10" t="str">
        <f t="shared" si="3202"/>
        <v>NA</v>
      </c>
      <c r="AC3346" s="10" t="str">
        <f t="shared" si="3203"/>
        <v>NA</v>
      </c>
      <c r="AD3346" s="10" t="str">
        <f t="shared" si="3204"/>
        <v>NA</v>
      </c>
      <c r="AE3346" s="10" t="str">
        <f t="shared" si="3205"/>
        <v>NA</v>
      </c>
      <c r="AF3346" s="1" t="s">
        <v>3661</v>
      </c>
    </row>
    <row r="3347" spans="1:32" x14ac:dyDescent="0.2">
      <c r="A3347" s="1" t="s">
        <v>6899</v>
      </c>
      <c r="B3347" s="1" t="s">
        <v>5</v>
      </c>
      <c r="C3347" s="1" t="s">
        <v>1575</v>
      </c>
      <c r="D3347" s="1" t="s">
        <v>1578</v>
      </c>
      <c r="E3347" s="1" t="s">
        <v>1599</v>
      </c>
      <c r="F3347" s="1" t="s">
        <v>3887</v>
      </c>
      <c r="G3347" s="4">
        <v>0.25</v>
      </c>
      <c r="H3347" s="28">
        <v>41639</v>
      </c>
      <c r="I3347" s="29">
        <f t="shared" si="3125"/>
        <v>2013</v>
      </c>
      <c r="J3347" s="1" t="s">
        <v>7</v>
      </c>
      <c r="K3347" s="1" t="s">
        <v>3888</v>
      </c>
      <c r="L3347" s="11" t="str">
        <f t="shared" ref="L3347" si="3214">IF(OR(A3347=J3347,A3347=K3347),"ДА","НЕТ")</f>
        <v>НЕТ</v>
      </c>
      <c r="M3347" s="10">
        <v>0</v>
      </c>
      <c r="N3347" s="10">
        <v>0</v>
      </c>
      <c r="O3347" s="10">
        <v>2E-3</v>
      </c>
      <c r="P3347" s="10">
        <f t="shared" si="3194"/>
        <v>8.0000000000000002E-3</v>
      </c>
      <c r="Q3347" s="10" t="str">
        <f t="shared" si="3195"/>
        <v>NA</v>
      </c>
      <c r="R3347" s="10" t="s">
        <v>1575</v>
      </c>
      <c r="S3347" s="10" t="s">
        <v>1575</v>
      </c>
      <c r="T3347" s="10" t="s">
        <v>1575</v>
      </c>
      <c r="U3347" s="10" t="s">
        <v>1575</v>
      </c>
      <c r="V3347" s="10" t="s">
        <v>1575</v>
      </c>
      <c r="W3347" s="10" t="s">
        <v>1575</v>
      </c>
      <c r="X3347" s="10" t="str">
        <f t="shared" si="3198"/>
        <v>NA</v>
      </c>
      <c r="Y3347" s="10" t="str">
        <f t="shared" si="3199"/>
        <v>NA</v>
      </c>
      <c r="Z3347" s="10" t="str">
        <f t="shared" si="3200"/>
        <v>NA</v>
      </c>
      <c r="AA3347" s="10" t="str">
        <f t="shared" si="3201"/>
        <v>NA</v>
      </c>
      <c r="AB3347" s="10" t="str">
        <f t="shared" si="3202"/>
        <v>NA</v>
      </c>
      <c r="AC3347" s="10" t="str">
        <f t="shared" si="3203"/>
        <v>NA</v>
      </c>
      <c r="AD3347" s="10" t="str">
        <f t="shared" si="3204"/>
        <v>NA</v>
      </c>
      <c r="AE3347" s="10" t="str">
        <f t="shared" si="3205"/>
        <v>NA</v>
      </c>
      <c r="AF3347" s="1" t="s">
        <v>3889</v>
      </c>
    </row>
    <row r="3348" spans="1:32" x14ac:dyDescent="0.2">
      <c r="A3348" s="1" t="s">
        <v>6899</v>
      </c>
      <c r="B3348" s="1" t="s">
        <v>5</v>
      </c>
      <c r="C3348" s="1" t="s">
        <v>1575</v>
      </c>
      <c r="D3348" s="1" t="s">
        <v>1578</v>
      </c>
      <c r="E3348" s="1" t="s">
        <v>1599</v>
      </c>
      <c r="F3348" s="1" t="s">
        <v>3887</v>
      </c>
      <c r="G3348" s="4">
        <v>0.25</v>
      </c>
      <c r="H3348" s="28">
        <v>40817</v>
      </c>
      <c r="I3348" s="29">
        <f t="shared" ref="I3348:I3376" si="3215">YEAR(H3348)</f>
        <v>2011</v>
      </c>
      <c r="J3348" s="1" t="s">
        <v>3888</v>
      </c>
      <c r="K3348" s="1" t="s">
        <v>7</v>
      </c>
      <c r="L3348" s="11" t="str">
        <f t="shared" ref="L3348" si="3216">IF(OR(A3348=J3348,A3348=K3348),"ДА","НЕТ")</f>
        <v>НЕТ</v>
      </c>
      <c r="M3348" s="10">
        <v>0</v>
      </c>
      <c r="N3348" s="10">
        <v>0</v>
      </c>
      <c r="O3348" s="10">
        <v>1.32E-3</v>
      </c>
      <c r="P3348" s="10">
        <f t="shared" si="3194"/>
        <v>5.28E-3</v>
      </c>
      <c r="Q3348" s="10" t="str">
        <f t="shared" si="3195"/>
        <v>NA</v>
      </c>
      <c r="R3348" s="10" t="s">
        <v>1575</v>
      </c>
      <c r="S3348" s="10" t="s">
        <v>1575</v>
      </c>
      <c r="T3348" s="10" t="s">
        <v>1575</v>
      </c>
      <c r="U3348" s="10" t="s">
        <v>1575</v>
      </c>
      <c r="V3348" s="10" t="s">
        <v>1575</v>
      </c>
      <c r="W3348" s="10" t="s">
        <v>1575</v>
      </c>
      <c r="X3348" s="10" t="str">
        <f t="shared" si="3198"/>
        <v>NA</v>
      </c>
      <c r="Y3348" s="10" t="str">
        <f t="shared" si="3199"/>
        <v>NA</v>
      </c>
      <c r="Z3348" s="10" t="str">
        <f t="shared" si="3200"/>
        <v>NA</v>
      </c>
      <c r="AA3348" s="10" t="str">
        <f t="shared" si="3201"/>
        <v>NA</v>
      </c>
      <c r="AB3348" s="10" t="str">
        <f t="shared" si="3202"/>
        <v>NA</v>
      </c>
      <c r="AC3348" s="10" t="str">
        <f t="shared" si="3203"/>
        <v>NA</v>
      </c>
      <c r="AD3348" s="10" t="str">
        <f t="shared" si="3204"/>
        <v>NA</v>
      </c>
      <c r="AE3348" s="10" t="str">
        <f t="shared" si="3205"/>
        <v>NA</v>
      </c>
      <c r="AF3348" s="1" t="s">
        <v>3890</v>
      </c>
    </row>
    <row r="3349" spans="1:32" x14ac:dyDescent="0.2">
      <c r="A3349" s="1" t="s">
        <v>5114</v>
      </c>
      <c r="B3349" s="1" t="s">
        <v>122</v>
      </c>
      <c r="C3349" s="1" t="s">
        <v>5115</v>
      </c>
      <c r="D3349" s="1" t="s">
        <v>1584</v>
      </c>
      <c r="E3349" s="1" t="s">
        <v>1586</v>
      </c>
      <c r="F3349" s="1" t="s">
        <v>66</v>
      </c>
      <c r="G3349" s="4">
        <f>9850350/(566493370+215485391)</f>
        <v>1.2596697623095674E-2</v>
      </c>
      <c r="H3349" s="28">
        <v>44377</v>
      </c>
      <c r="I3349" s="29">
        <f t="shared" si="3215"/>
        <v>2021</v>
      </c>
      <c r="J3349" s="1" t="s">
        <v>5114</v>
      </c>
      <c r="K3349" s="1" t="s">
        <v>7</v>
      </c>
      <c r="L3349" s="11" t="str">
        <f t="shared" ref="L3349" si="3217">IF(OR(A3349=J3349,A3349=K3349),"ДА","НЕТ")</f>
        <v>ДА</v>
      </c>
      <c r="M3349" s="10">
        <v>0</v>
      </c>
      <c r="N3349" s="10">
        <v>0</v>
      </c>
      <c r="O3349" s="10">
        <f>0.00216*100.1994</f>
        <v>0.216430704</v>
      </c>
      <c r="P3349" s="10">
        <f t="shared" si="3194"/>
        <v>17.181543169154164</v>
      </c>
      <c r="Q3349" s="10">
        <f t="shared" si="3195"/>
        <v>107.27401620415418</v>
      </c>
      <c r="R3349" s="10">
        <v>14.286133149659262</v>
      </c>
      <c r="S3349" s="10">
        <v>8.0666252723086433</v>
      </c>
      <c r="T3349" s="10">
        <v>6.8331082751728411</v>
      </c>
      <c r="U3349" s="10">
        <v>-1.3149774193111115</v>
      </c>
      <c r="V3349" s="10">
        <v>23.378931825000002</v>
      </c>
      <c r="W3349" s="10">
        <v>90.092473035000012</v>
      </c>
      <c r="X3349" s="10">
        <f t="shared" ref="X3349:X3354" si="3218">IFERROR(V3349+W3349,"NA")</f>
        <v>113.47140486000001</v>
      </c>
      <c r="Y3349" s="10">
        <f t="shared" ref="Y3349:Y3354" si="3219">IFERROR(P3349/R3349,"NA")</f>
        <v>1.2026727589028499</v>
      </c>
      <c r="Z3349" s="10">
        <f t="shared" ref="Z3349:Z3354" si="3220">IFERROR(P3349/U3349,"NA")</f>
        <v>-13.066036661036511</v>
      </c>
      <c r="AA3349" s="10">
        <f t="shared" ref="AA3349:AA3354" si="3221">IFERROR(P3349/V3349,"NA")</f>
        <v>0.73491566243335682</v>
      </c>
      <c r="AB3349" s="10">
        <f t="shared" ref="AB3349:AB3354" si="3222">IFERROR(Q3349/R3349,"NA")</f>
        <v>7.5089609679798324</v>
      </c>
      <c r="AC3349" s="10">
        <f t="shared" ref="AC3349:AC3354" si="3223">IFERROR(Q3349/S3349,"NA")</f>
        <v>13.298500002523692</v>
      </c>
      <c r="AD3349" s="10">
        <f t="shared" ref="AD3349:AD3354" si="3224">IFERROR(Q3349/T3349,"NA")</f>
        <v>15.699153574650582</v>
      </c>
      <c r="AE3349" s="10">
        <f t="shared" ref="AE3349:AE3354" si="3225">IFERROR(Q3349/X3349,"NA")</f>
        <v>0.94538369676931289</v>
      </c>
    </row>
    <row r="3350" spans="1:32" x14ac:dyDescent="0.2">
      <c r="A3350" s="1" t="s">
        <v>5117</v>
      </c>
      <c r="B3350" s="1" t="s">
        <v>122</v>
      </c>
      <c r="C3350" s="1" t="s">
        <v>5115</v>
      </c>
      <c r="D3350" s="1" t="s">
        <v>1584</v>
      </c>
      <c r="E3350" s="1" t="s">
        <v>1586</v>
      </c>
      <c r="F3350" s="1" t="s">
        <v>66</v>
      </c>
      <c r="G3350" s="4">
        <v>1</v>
      </c>
      <c r="H3350" s="28">
        <v>44327</v>
      </c>
      <c r="I3350" s="29">
        <f t="shared" si="3215"/>
        <v>2021</v>
      </c>
      <c r="J3350" s="1" t="s">
        <v>5114</v>
      </c>
      <c r="K3350" s="1" t="s">
        <v>7</v>
      </c>
      <c r="L3350" s="11" t="str">
        <f t="shared" ref="L3350:L3351" si="3226">IF(OR(A3350=J3350,A3350=K3350),"ДА","НЕТ")</f>
        <v>НЕТ</v>
      </c>
      <c r="M3350" s="10">
        <v>0</v>
      </c>
      <c r="N3350" s="10">
        <v>0</v>
      </c>
      <c r="O3350" s="10">
        <f>0.0511*100.1994</f>
        <v>5.1201893399999996</v>
      </c>
      <c r="P3350" s="10">
        <f t="shared" si="3194"/>
        <v>5.1201893399999996</v>
      </c>
      <c r="Q3350" s="10" t="str">
        <f t="shared" si="3195"/>
        <v>NA</v>
      </c>
      <c r="R3350" s="10" t="s">
        <v>1575</v>
      </c>
      <c r="S3350" s="10" t="s">
        <v>1575</v>
      </c>
      <c r="T3350" s="10" t="s">
        <v>1575</v>
      </c>
      <c r="U3350" s="10" t="s">
        <v>1575</v>
      </c>
      <c r="V3350" s="10" t="s">
        <v>1575</v>
      </c>
      <c r="W3350" s="10" t="s">
        <v>1575</v>
      </c>
      <c r="X3350" s="10" t="str">
        <f t="shared" si="3218"/>
        <v>NA</v>
      </c>
      <c r="Y3350" s="10" t="str">
        <f t="shared" si="3219"/>
        <v>NA</v>
      </c>
      <c r="Z3350" s="10" t="str">
        <f t="shared" si="3220"/>
        <v>NA</v>
      </c>
      <c r="AA3350" s="10" t="str">
        <f t="shared" si="3221"/>
        <v>NA</v>
      </c>
      <c r="AB3350" s="10" t="str">
        <f t="shared" si="3222"/>
        <v>NA</v>
      </c>
      <c r="AC3350" s="10" t="str">
        <f t="shared" si="3223"/>
        <v>NA</v>
      </c>
      <c r="AD3350" s="10" t="str">
        <f t="shared" si="3224"/>
        <v>NA</v>
      </c>
      <c r="AE3350" s="10" t="str">
        <f t="shared" si="3225"/>
        <v>NA</v>
      </c>
      <c r="AF3350" s="1" t="s">
        <v>5116</v>
      </c>
    </row>
    <row r="3351" spans="1:32" x14ac:dyDescent="0.2">
      <c r="A3351" s="1" t="s">
        <v>5114</v>
      </c>
      <c r="B3351" s="1" t="s">
        <v>122</v>
      </c>
      <c r="C3351" s="1" t="s">
        <v>5115</v>
      </c>
      <c r="D3351" s="1" t="s">
        <v>1584</v>
      </c>
      <c r="E3351" s="1" t="s">
        <v>1586</v>
      </c>
      <c r="F3351" s="1" t="s">
        <v>66</v>
      </c>
      <c r="G3351" s="4">
        <f>6000000/(591353766+214955406)</f>
        <v>7.4413143349434697E-3</v>
      </c>
      <c r="H3351" s="28">
        <v>44196</v>
      </c>
      <c r="I3351" s="29">
        <f t="shared" ref="I3351" si="3227">YEAR(H3351)</f>
        <v>2020</v>
      </c>
      <c r="J3351" s="1" t="s">
        <v>5114</v>
      </c>
      <c r="K3351" s="1" t="s">
        <v>7</v>
      </c>
      <c r="L3351" s="11" t="str">
        <f t="shared" si="3226"/>
        <v>ДА</v>
      </c>
      <c r="M3351" s="10">
        <v>0</v>
      </c>
      <c r="N3351" s="10">
        <v>0</v>
      </c>
      <c r="O3351" s="10">
        <f>2.16*100.1994/1000</f>
        <v>0.21643070400000003</v>
      </c>
      <c r="P3351" s="10">
        <f t="shared" si="3194"/>
        <v>29.085010289602852</v>
      </c>
      <c r="Q3351" s="10">
        <f t="shared" si="3195"/>
        <v>119.17748332460286</v>
      </c>
      <c r="R3351" s="10">
        <v>14.286133149659262</v>
      </c>
      <c r="S3351" s="10">
        <v>8.0666252723086433</v>
      </c>
      <c r="T3351" s="10">
        <v>6.8331082751728411</v>
      </c>
      <c r="U3351" s="10">
        <v>-1.3149774193111115</v>
      </c>
      <c r="V3351" s="10">
        <v>23.378931825000002</v>
      </c>
      <c r="W3351" s="10">
        <v>90.092473035000012</v>
      </c>
      <c r="X3351" s="10">
        <f t="shared" ref="X3351" si="3228">IFERROR(V3351+W3351,"NA")</f>
        <v>113.47140486000001</v>
      </c>
      <c r="Y3351" s="10">
        <f t="shared" ref="Y3351" si="3229">IFERROR(P3351/R3351,"NA")</f>
        <v>2.0358910269779025</v>
      </c>
      <c r="Z3351" s="10">
        <f t="shared" ref="Z3351" si="3230">IFERROR(P3351/U3351,"NA")</f>
        <v>-22.118258353698476</v>
      </c>
      <c r="AA3351" s="10">
        <f t="shared" ref="AA3351" si="3231">IFERROR(P3351/V3351,"NA")</f>
        <v>1.2440692546312624</v>
      </c>
      <c r="AB3351" s="10">
        <f t="shared" ref="AB3351" si="3232">IFERROR(Q3351/R3351,"NA")</f>
        <v>8.3421792360548839</v>
      </c>
      <c r="AC3351" s="10">
        <f t="shared" ref="AC3351" si="3233">IFERROR(Q3351/S3351,"NA")</f>
        <v>14.774143994728371</v>
      </c>
      <c r="AD3351" s="10">
        <f t="shared" ref="AD3351" si="3234">IFERROR(Q3351/T3351,"NA")</f>
        <v>17.441181747056145</v>
      </c>
      <c r="AE3351" s="10">
        <f t="shared" ref="AE3351" si="3235">IFERROR(Q3351/X3351,"NA")</f>
        <v>1.0502864882270821</v>
      </c>
    </row>
    <row r="3352" spans="1:32" x14ac:dyDescent="0.2">
      <c r="A3352" s="1" t="s">
        <v>5114</v>
      </c>
      <c r="B3352" s="1" t="s">
        <v>122</v>
      </c>
      <c r="C3352" s="1" t="s">
        <v>5115</v>
      </c>
      <c r="D3352" s="1" t="s">
        <v>1584</v>
      </c>
      <c r="E3352" s="1" t="s">
        <v>1586</v>
      </c>
      <c r="F3352" s="1" t="s">
        <v>66</v>
      </c>
      <c r="G3352" s="4">
        <f>253679/(489746016+100068218+195929647)</f>
        <v>3.2285202103915587E-4</v>
      </c>
      <c r="H3352" s="28">
        <v>43830</v>
      </c>
      <c r="I3352" s="29">
        <f t="shared" ref="I3352" si="3236">YEAR(H3352)</f>
        <v>2019</v>
      </c>
      <c r="J3352" s="1" t="s">
        <v>5114</v>
      </c>
      <c r="K3352" s="1" t="s">
        <v>7</v>
      </c>
      <c r="L3352" s="11" t="str">
        <f t="shared" ref="L3352" si="3237">IF(OR(A3352=J3352,A3352=K3352),"ДА","НЕТ")</f>
        <v>ДА</v>
      </c>
      <c r="M3352" s="10">
        <v>0</v>
      </c>
      <c r="N3352" s="10">
        <v>0</v>
      </c>
      <c r="O3352" s="10">
        <f>0.106*82.4299784552846/1000</f>
        <v>8.7375777162601673E-3</v>
      </c>
      <c r="P3352" s="10">
        <f t="shared" si="3194"/>
        <v>27.063723151358136</v>
      </c>
      <c r="Q3352" s="10">
        <f t="shared" si="3195"/>
        <v>110.63160666735813</v>
      </c>
      <c r="R3352" s="10">
        <v>14.455992611638626</v>
      </c>
      <c r="S3352" s="10">
        <v>14.375788242601635</v>
      </c>
      <c r="T3352" s="10">
        <v>14.228898020994318</v>
      </c>
      <c r="U3352" s="10">
        <v>3.793262748555287</v>
      </c>
      <c r="V3352" s="10">
        <v>29.683044508000002</v>
      </c>
      <c r="W3352" s="10">
        <v>83.567883515999995</v>
      </c>
      <c r="X3352" s="10">
        <f t="shared" ref="X3352" si="3238">IFERROR(V3352+W3352,"NA")</f>
        <v>113.25092802399999</v>
      </c>
      <c r="Y3352" s="10">
        <f t="shared" ref="Y3352" si="3239">IFERROR(P3352/R3352,"NA")</f>
        <v>1.872145613132711</v>
      </c>
      <c r="Z3352" s="10">
        <f t="shared" ref="Z3352" si="3240">IFERROR(P3352/U3352,"NA")</f>
        <v>7.1346819203773064</v>
      </c>
      <c r="AA3352" s="10">
        <f t="shared" ref="AA3352" si="3241">IFERROR(P3352/V3352,"NA")</f>
        <v>0.91175698449881304</v>
      </c>
      <c r="AB3352" s="10">
        <f t="shared" ref="AB3352" si="3242">IFERROR(Q3352/R3352,"NA")</f>
        <v>7.6529927511368401</v>
      </c>
      <c r="AC3352" s="10">
        <f t="shared" ref="AC3352" si="3243">IFERROR(Q3352/S3352,"NA")</f>
        <v>7.69568978064863</v>
      </c>
      <c r="AD3352" s="10">
        <f t="shared" ref="AD3352" si="3244">IFERROR(Q3352/T3352,"NA")</f>
        <v>7.7751352567236385</v>
      </c>
      <c r="AE3352" s="10">
        <f t="shared" ref="AE3352" si="3245">IFERROR(Q3352/X3352,"NA")</f>
        <v>0.97687152412484624</v>
      </c>
    </row>
    <row r="3353" spans="1:32" x14ac:dyDescent="0.2">
      <c r="A3353" s="1" t="s">
        <v>5120</v>
      </c>
      <c r="B3353" s="1" t="s">
        <v>122</v>
      </c>
      <c r="C3353" s="1" t="s">
        <v>5115</v>
      </c>
      <c r="D3353" s="1" t="s">
        <v>1584</v>
      </c>
      <c r="E3353" s="1" t="s">
        <v>1586</v>
      </c>
      <c r="F3353" s="1" t="s">
        <v>66</v>
      </c>
      <c r="G3353" s="4">
        <v>0.5</v>
      </c>
      <c r="H3353" s="28">
        <v>43830</v>
      </c>
      <c r="I3353" s="29">
        <f t="shared" si="3215"/>
        <v>2019</v>
      </c>
      <c r="J3353" s="1" t="s">
        <v>7</v>
      </c>
      <c r="K3353" s="1" t="s">
        <v>5119</v>
      </c>
      <c r="L3353" s="11" t="str">
        <f t="shared" ref="L3353" si="3246">IF(OR(A3353=J3353,A3353=K3353),"ДА","НЕТ")</f>
        <v>НЕТ</v>
      </c>
      <c r="M3353" s="10">
        <v>0</v>
      </c>
      <c r="N3353" s="10">
        <v>0</v>
      </c>
      <c r="O3353" s="10">
        <f>7*82.4299784552846/1000</f>
        <v>0.57700984918699216</v>
      </c>
      <c r="P3353" s="10">
        <f t="shared" si="3194"/>
        <v>1.1540196983739843</v>
      </c>
      <c r="Q3353" s="10" t="str">
        <f t="shared" si="3195"/>
        <v>NA</v>
      </c>
      <c r="R3353" s="10" t="s">
        <v>1575</v>
      </c>
      <c r="S3353" s="10" t="s">
        <v>1575</v>
      </c>
      <c r="T3353" s="10" t="s">
        <v>1575</v>
      </c>
      <c r="U3353" s="10" t="s">
        <v>1575</v>
      </c>
      <c r="V3353" s="10" t="s">
        <v>1575</v>
      </c>
      <c r="W3353" s="10" t="s">
        <v>1575</v>
      </c>
      <c r="X3353" s="10" t="str">
        <f t="shared" si="3218"/>
        <v>NA</v>
      </c>
      <c r="Y3353" s="10" t="str">
        <f t="shared" si="3219"/>
        <v>NA</v>
      </c>
      <c r="Z3353" s="10" t="str">
        <f t="shared" si="3220"/>
        <v>NA</v>
      </c>
      <c r="AA3353" s="10" t="str">
        <f t="shared" si="3221"/>
        <v>NA</v>
      </c>
      <c r="AB3353" s="10" t="str">
        <f t="shared" si="3222"/>
        <v>NA</v>
      </c>
      <c r="AC3353" s="10" t="str">
        <f t="shared" si="3223"/>
        <v>NA</v>
      </c>
      <c r="AD3353" s="10" t="str">
        <f t="shared" si="3224"/>
        <v>NA</v>
      </c>
      <c r="AE3353" s="10" t="str">
        <f t="shared" si="3225"/>
        <v>NA</v>
      </c>
      <c r="AF3353" s="1" t="s">
        <v>5118</v>
      </c>
    </row>
    <row r="3354" spans="1:32" x14ac:dyDescent="0.2">
      <c r="A3354" s="1" t="s">
        <v>5114</v>
      </c>
      <c r="B3354" s="1" t="s">
        <v>122</v>
      </c>
      <c r="C3354" s="1" t="s">
        <v>5115</v>
      </c>
      <c r="D3354" s="1" t="s">
        <v>1584</v>
      </c>
      <c r="E3354" s="1" t="s">
        <v>1586</v>
      </c>
      <c r="F3354" s="1" t="s">
        <v>66</v>
      </c>
      <c r="G3354" s="4">
        <f>8173958/(623182685+99556534+192388886)</f>
        <v>8.9320368977193632E-3</v>
      </c>
      <c r="H3354" s="28">
        <v>43465</v>
      </c>
      <c r="I3354" s="29">
        <f t="shared" ref="I3354" si="3247">YEAR(H3354)</f>
        <v>2018</v>
      </c>
      <c r="J3354" s="1" t="s">
        <v>5114</v>
      </c>
      <c r="K3354" s="1" t="s">
        <v>7</v>
      </c>
      <c r="L3354" s="11" t="str">
        <f t="shared" ref="L3354" si="3248">IF(OR(A3354=J3354,A3354=K3354),"ДА","НЕТ")</f>
        <v>ДА</v>
      </c>
      <c r="M3354" s="10">
        <v>0</v>
      </c>
      <c r="N3354" s="10">
        <v>0</v>
      </c>
      <c r="O3354" s="10">
        <f>(4.16+0.075)*83.7801825910932/1000</f>
        <v>0.35480907327327971</v>
      </c>
      <c r="P3354" s="10">
        <f t="shared" si="3194"/>
        <v>39.723198340556998</v>
      </c>
      <c r="Q3354" s="10">
        <f t="shared" si="3195"/>
        <v>121.976390930957</v>
      </c>
      <c r="R3354" s="10">
        <v>13.625925116432807</v>
      </c>
      <c r="S3354" s="10">
        <v>-2.5775810975975739</v>
      </c>
      <c r="T3354" s="10">
        <v>-2.6455268256789504</v>
      </c>
      <c r="U3354" s="10">
        <v>-10.110676215275717</v>
      </c>
      <c r="V3354" s="10">
        <v>26.098897566399998</v>
      </c>
      <c r="W3354" s="10">
        <v>82.253192590400005</v>
      </c>
      <c r="X3354" s="10">
        <f t="shared" si="3218"/>
        <v>108.3520901568</v>
      </c>
      <c r="Y3354" s="10">
        <f t="shared" si="3219"/>
        <v>2.9152661563251212</v>
      </c>
      <c r="Z3354" s="10">
        <f t="shared" si="3220"/>
        <v>-3.9288369536096108</v>
      </c>
      <c r="AA3354" s="10">
        <f t="shared" si="3221"/>
        <v>1.5220259108452563</v>
      </c>
      <c r="AB3354" s="10">
        <f t="shared" si="3222"/>
        <v>8.9517878521036334</v>
      </c>
      <c r="AC3354" s="10">
        <f t="shared" si="3223"/>
        <v>-47.322038109545687</v>
      </c>
      <c r="AD3354" s="10">
        <f t="shared" si="3224"/>
        <v>-46.106654352164</v>
      </c>
      <c r="AE3354" s="10">
        <f t="shared" si="3225"/>
        <v>1.1257410055905779</v>
      </c>
    </row>
    <row r="3355" spans="1:32" x14ac:dyDescent="0.2">
      <c r="A3355" s="1" t="s">
        <v>5114</v>
      </c>
      <c r="B3355" s="1" t="s">
        <v>122</v>
      </c>
      <c r="C3355" s="1" t="s">
        <v>5115</v>
      </c>
      <c r="D3355" s="1" t="s">
        <v>1584</v>
      </c>
      <c r="E3355" s="1" t="s">
        <v>1586</v>
      </c>
      <c r="F3355" s="1" t="s">
        <v>66</v>
      </c>
      <c r="G3355" s="4">
        <f>257703/(660571843+99143192+192388886)</f>
        <v>2.7066688238121435E-4</v>
      </c>
      <c r="H3355" s="28">
        <v>43100</v>
      </c>
      <c r="I3355" s="29">
        <f t="shared" ref="I3355" si="3249">YEAR(H3355)</f>
        <v>2017</v>
      </c>
      <c r="J3355" s="1" t="s">
        <v>5114</v>
      </c>
      <c r="K3355" s="1" t="s">
        <v>7</v>
      </c>
      <c r="L3355" s="11" t="str">
        <f t="shared" ref="L3355" si="3250">IF(OR(A3355=J3355,A3355=K3355),"ДА","НЕТ")</f>
        <v>ДА</v>
      </c>
      <c r="M3355" s="10">
        <v>0</v>
      </c>
      <c r="N3355" s="10">
        <v>0</v>
      </c>
      <c r="O3355" s="10">
        <f>(0.124)*75.203751417004/1000</f>
        <v>9.3252651757084973E-3</v>
      </c>
      <c r="P3355" s="10">
        <f t="shared" si="3194"/>
        <v>34.452922698442833</v>
      </c>
      <c r="Q3355" s="10">
        <f t="shared" si="3195"/>
        <v>97.220424549442839</v>
      </c>
      <c r="R3355" s="10">
        <v>13.311064000809708</v>
      </c>
      <c r="S3355" s="10">
        <v>10.599667947221047</v>
      </c>
      <c r="T3355" s="10">
        <v>10.532887015962746</v>
      </c>
      <c r="U3355" s="10">
        <v>3.2442146323781351</v>
      </c>
      <c r="V3355" s="10">
        <v>30.435585628200002</v>
      </c>
      <c r="W3355" s="10">
        <v>62.767501851000013</v>
      </c>
      <c r="X3355" s="10">
        <f t="shared" ref="X3355" si="3251">IFERROR(V3355+W3355,"NA")</f>
        <v>93.203087479200008</v>
      </c>
      <c r="Y3355" s="10">
        <f t="shared" ref="Y3355" si="3252">IFERROR(P3355/R3355,"NA")</f>
        <v>2.5882921678046977</v>
      </c>
      <c r="Z3355" s="10">
        <f t="shared" ref="Z3355" si="3253">IFERROR(P3355/U3355,"NA")</f>
        <v>10.619803743745372</v>
      </c>
      <c r="AA3355" s="10">
        <f t="shared" ref="AA3355" si="3254">IFERROR(P3355/V3355,"NA")</f>
        <v>1.1319947353508644</v>
      </c>
      <c r="AB3355" s="10">
        <f t="shared" ref="AB3355" si="3255">IFERROR(Q3355/R3355,"NA")</f>
        <v>7.3037305314983803</v>
      </c>
      <c r="AC3355" s="10">
        <f t="shared" ref="AC3355" si="3256">IFERROR(Q3355/S3355,"NA")</f>
        <v>9.1720254854711243</v>
      </c>
      <c r="AD3355" s="10">
        <f t="shared" ref="AD3355" si="3257">IFERROR(Q3355/T3355,"NA")</f>
        <v>9.2301782409802602</v>
      </c>
      <c r="AE3355" s="10">
        <f t="shared" ref="AE3355" si="3258">IFERROR(Q3355/X3355,"NA")</f>
        <v>1.0431030471081699</v>
      </c>
    </row>
    <row r="3356" spans="1:32" x14ac:dyDescent="0.2">
      <c r="A3356" s="1" t="s">
        <v>5114</v>
      </c>
      <c r="B3356" s="1" t="s">
        <v>122</v>
      </c>
      <c r="C3356" s="1" t="s">
        <v>5115</v>
      </c>
      <c r="D3356" s="1" t="s">
        <v>1584</v>
      </c>
      <c r="E3356" s="1" t="s">
        <v>1586</v>
      </c>
      <c r="F3356" s="1" t="s">
        <v>66</v>
      </c>
      <c r="G3356" s="4">
        <f>282468/(660571843+98265327+102837876)</f>
        <v>3.2781267289943081E-4</v>
      </c>
      <c r="H3356" s="28">
        <v>42735</v>
      </c>
      <c r="I3356" s="29">
        <f t="shared" ref="I3356" si="3259">YEAR(H3356)</f>
        <v>2016</v>
      </c>
      <c r="J3356" s="1" t="s">
        <v>5114</v>
      </c>
      <c r="K3356" s="1" t="s">
        <v>7</v>
      </c>
      <c r="L3356" s="11" t="str">
        <f t="shared" ref="L3356" si="3260">IF(OR(A3356=J3356,A3356=K3356),"ДА","НЕТ")</f>
        <v>ДА</v>
      </c>
      <c r="M3356" s="10">
        <v>0.13300000000000001</v>
      </c>
      <c r="N3356" s="10">
        <v>0</v>
      </c>
      <c r="O3356" s="10">
        <f>M3356*66.8334717741936/1000</f>
        <v>8.8888517459677491E-3</v>
      </c>
      <c r="P3356" s="10">
        <f t="shared" si="3194"/>
        <v>27.115644027266594</v>
      </c>
      <c r="Q3356" s="10">
        <f t="shared" si="3195"/>
        <v>79.334657363766595</v>
      </c>
      <c r="R3356" s="10">
        <v>13.052176036669364</v>
      </c>
      <c r="S3356" s="10">
        <v>6.6006741728346823</v>
      </c>
      <c r="T3356" s="10">
        <v>6.5270905204112948</v>
      </c>
      <c r="U3356" s="10">
        <v>0.5158875686250004</v>
      </c>
      <c r="V3356" s="10">
        <v>30.216430327000001</v>
      </c>
      <c r="W3356" s="10">
        <v>52.219013336500005</v>
      </c>
      <c r="X3356" s="10">
        <f t="shared" ref="X3356" si="3261">IFERROR(V3356+W3356,"NA")</f>
        <v>82.43544366350001</v>
      </c>
      <c r="Y3356" s="10">
        <f t="shared" ref="Y3356" si="3262">IFERROR(P3356/R3356,"NA")</f>
        <v>2.0774807167085929</v>
      </c>
      <c r="Z3356" s="10">
        <f t="shared" ref="Z3356" si="3263">IFERROR(P3356/U3356,"NA")</f>
        <v>52.561150290048964</v>
      </c>
      <c r="AA3356" s="10">
        <f t="shared" ref="AA3356" si="3264">IFERROR(P3356/V3356,"NA")</f>
        <v>0.89738078700306667</v>
      </c>
      <c r="AB3356" s="10">
        <f t="shared" ref="AB3356" si="3265">IFERROR(Q3356/R3356,"NA")</f>
        <v>6.0782705612367076</v>
      </c>
      <c r="AC3356" s="10">
        <f t="shared" ref="AC3356" si="3266">IFERROR(Q3356/S3356,"NA")</f>
        <v>12.019174903416882</v>
      </c>
      <c r="AD3356" s="10">
        <f t="shared" ref="AD3356" si="3267">IFERROR(Q3356/T3356,"NA")</f>
        <v>12.154673987693899</v>
      </c>
      <c r="AE3356" s="10">
        <f t="shared" ref="AE3356" si="3268">IFERROR(Q3356/X3356,"NA")</f>
        <v>0.96238527795894724</v>
      </c>
    </row>
    <row r="3357" spans="1:32" x14ac:dyDescent="0.2">
      <c r="A3357" s="1" t="s">
        <v>5114</v>
      </c>
      <c r="B3357" s="1" t="s">
        <v>122</v>
      </c>
      <c r="C3357" s="1" t="s">
        <v>5115</v>
      </c>
      <c r="D3357" s="1" t="s">
        <v>1584</v>
      </c>
      <c r="E3357" s="1" t="s">
        <v>1586</v>
      </c>
      <c r="F3357" s="1" t="s">
        <v>66</v>
      </c>
      <c r="G3357" s="4">
        <f>98040/(682560376+98328017)</f>
        <v>1.2554931137259202E-4</v>
      </c>
      <c r="H3357" s="28">
        <v>42369</v>
      </c>
      <c r="I3357" s="29">
        <f t="shared" ref="I3357" si="3269">YEAR(H3357)</f>
        <v>2015</v>
      </c>
      <c r="J3357" s="1" t="s">
        <v>5114</v>
      </c>
      <c r="K3357" s="1" t="s">
        <v>7</v>
      </c>
      <c r="L3357" s="11" t="str">
        <f t="shared" ref="L3357" si="3270">IF(OR(A3357=J3357,A3357=K3357),"ДА","НЕТ")</f>
        <v>ДА</v>
      </c>
      <c r="M3357" s="10">
        <v>7.5999999999999998E-2</v>
      </c>
      <c r="N3357" s="10">
        <v>0</v>
      </c>
      <c r="O3357" s="10">
        <f>M3357*61.3194348178138/1000</f>
        <v>4.6602770461538481E-3</v>
      </c>
      <c r="P3357" s="10">
        <f t="shared" si="3194"/>
        <v>37.119096832985157</v>
      </c>
      <c r="Q3357" s="10">
        <f t="shared" si="3195"/>
        <v>105.88312257328516</v>
      </c>
      <c r="R3357" s="10">
        <v>13.472125107212964</v>
      </c>
      <c r="S3357" s="10">
        <v>-6.8171268464356318</v>
      </c>
      <c r="T3357" s="10">
        <v>-6.9151766227093159</v>
      </c>
      <c r="U3357" s="10">
        <v>-11.795345162119846</v>
      </c>
      <c r="V3357" s="10">
        <v>33.893516573399999</v>
      </c>
      <c r="W3357" s="10">
        <v>68.764025740299999</v>
      </c>
      <c r="X3357" s="10">
        <f t="shared" ref="X3357" si="3271">IFERROR(V3357+W3357,"NA")</f>
        <v>102.65754231369999</v>
      </c>
      <c r="Y3357" s="10">
        <f t="shared" ref="Y3357" si="3272">IFERROR(P3357/R3357,"NA")</f>
        <v>2.7552517912049099</v>
      </c>
      <c r="Z3357" s="10">
        <f t="shared" ref="Z3357" si="3273">IFERROR(P3357/U3357,"NA")</f>
        <v>-3.1469275653069704</v>
      </c>
      <c r="AA3357" s="10">
        <f t="shared" ref="AA3357" si="3274">IFERROR(P3357/V3357,"NA")</f>
        <v>1.0951680612013162</v>
      </c>
      <c r="AB3357" s="10">
        <f t="shared" ref="AB3357" si="3275">IFERROR(Q3357/R3357,"NA")</f>
        <v>7.8594224541899056</v>
      </c>
      <c r="AC3357" s="10">
        <f t="shared" ref="AC3357" si="3276">IFERROR(Q3357/S3357,"NA")</f>
        <v>-15.531927886694183</v>
      </c>
      <c r="AD3357" s="10">
        <f t="shared" ref="AD3357" si="3277">IFERROR(Q3357/T3357,"NA")</f>
        <v>-15.311701833553592</v>
      </c>
      <c r="AE3357" s="10">
        <f t="shared" ref="AE3357" si="3278">IFERROR(Q3357/X3357,"NA")</f>
        <v>1.0314207820184169</v>
      </c>
    </row>
    <row r="3358" spans="1:32" x14ac:dyDescent="0.2">
      <c r="A3358" s="1" t="s">
        <v>5114</v>
      </c>
      <c r="B3358" s="1" t="s">
        <v>122</v>
      </c>
      <c r="C3358" s="1" t="s">
        <v>5115</v>
      </c>
      <c r="D3358" s="1" t="s">
        <v>1584</v>
      </c>
      <c r="E3358" s="1" t="s">
        <v>1586</v>
      </c>
      <c r="F3358" s="1" t="s">
        <v>66</v>
      </c>
      <c r="G3358" s="4">
        <f>(35000000+449014)/(737598353+98012427)</f>
        <v>4.2422877790063936E-2</v>
      </c>
      <c r="H3358" s="28">
        <v>42004</v>
      </c>
      <c r="I3358" s="29">
        <f t="shared" ref="I3358" si="3279">YEAR(H3358)</f>
        <v>2014</v>
      </c>
      <c r="J3358" s="1" t="s">
        <v>5114</v>
      </c>
      <c r="K3358" s="1" t="s">
        <v>7</v>
      </c>
      <c r="L3358" s="11" t="str">
        <f t="shared" ref="L3358" si="3280">IF(OR(A3358=J3358,A3358=K3358),"ДА","НЕТ")</f>
        <v>ДА</v>
      </c>
      <c r="M3358" s="10">
        <f>48.095+0.541</f>
        <v>48.635999999999996</v>
      </c>
      <c r="N3358" s="10">
        <v>0</v>
      </c>
      <c r="O3358" s="10">
        <f>M3358*38.6024680161944/1000</f>
        <v>1.8774696344356308</v>
      </c>
      <c r="P3358" s="10">
        <f t="shared" si="3194"/>
        <v>44.256064940397842</v>
      </c>
      <c r="Q3358" s="10">
        <f t="shared" si="3195"/>
        <v>100.12498803719785</v>
      </c>
      <c r="R3358" s="10">
        <v>9.9438413510996124</v>
      </c>
      <c r="S3358" s="10">
        <v>-9.4730456511741098E-2</v>
      </c>
      <c r="T3358" s="10">
        <v>-0.17741694300242949</v>
      </c>
      <c r="U3358" s="10">
        <v>-3.4043130518801683</v>
      </c>
      <c r="V3358" s="10">
        <v>39.228363477600006</v>
      </c>
      <c r="W3358" s="10">
        <v>55.868923096800003</v>
      </c>
      <c r="X3358" s="10">
        <f t="shared" ref="X3358" si="3281">IFERROR(V3358+W3358,"NA")</f>
        <v>95.097286574400016</v>
      </c>
      <c r="Y3358" s="10">
        <f t="shared" ref="Y3358" si="3282">IFERROR(P3358/R3358,"NA")</f>
        <v>4.4506004649303765</v>
      </c>
      <c r="Z3358" s="10">
        <f t="shared" ref="Z3358" si="3283">IFERROR(P3358/U3358,"NA")</f>
        <v>-12.999998609398057</v>
      </c>
      <c r="AA3358" s="10">
        <f t="shared" ref="AA3358" si="3284">IFERROR(P3358/V3358,"NA")</f>
        <v>1.1281649555854842</v>
      </c>
      <c r="AB3358" s="10">
        <f t="shared" ref="AB3358" si="3285">IFERROR(Q3358/R3358,"NA")</f>
        <v>10.069045201141087</v>
      </c>
      <c r="AC3358" s="10">
        <f t="shared" ref="AC3358" si="3286">IFERROR(Q3358/S3358,"NA")</f>
        <v>-1056.9461155799258</v>
      </c>
      <c r="AD3358" s="10">
        <f t="shared" ref="AD3358" si="3287">IFERROR(Q3358/T3358,"NA")</f>
        <v>-564.3485134101694</v>
      </c>
      <c r="AE3358" s="10">
        <f t="shared" ref="AE3358" si="3288">IFERROR(Q3358/X3358,"NA")</f>
        <v>1.052869031745342</v>
      </c>
    </row>
    <row r="3359" spans="1:32" x14ac:dyDescent="0.2">
      <c r="A3359" s="1" t="s">
        <v>6900</v>
      </c>
      <c r="B3359" s="1" t="s">
        <v>5</v>
      </c>
      <c r="C3359" s="1" t="s">
        <v>1575</v>
      </c>
      <c r="D3359" s="1" t="s">
        <v>1813</v>
      </c>
      <c r="E3359" s="1" t="s">
        <v>1587</v>
      </c>
      <c r="F3359" s="1" t="s">
        <v>3975</v>
      </c>
      <c r="G3359" s="4" t="s">
        <v>11</v>
      </c>
      <c r="H3359" s="28">
        <v>44469</v>
      </c>
      <c r="I3359" s="29">
        <f t="shared" si="3215"/>
        <v>2021</v>
      </c>
      <c r="J3359" s="1" t="s">
        <v>7</v>
      </c>
      <c r="K3359" s="1" t="s">
        <v>3967</v>
      </c>
      <c r="L3359" s="11" t="str">
        <f t="shared" ref="L3359" si="3289">IF(OR(A3359=J3359,A3359=K3359),"ДА","НЕТ")</f>
        <v>НЕТ</v>
      </c>
      <c r="M3359" s="10">
        <v>0</v>
      </c>
      <c r="N3359" s="10">
        <v>0</v>
      </c>
      <c r="O3359" s="10" t="s">
        <v>1575</v>
      </c>
      <c r="P3359" s="10" t="str">
        <f t="shared" si="3194"/>
        <v>NA</v>
      </c>
      <c r="Q3359" s="10" t="str">
        <f t="shared" si="3195"/>
        <v>NA</v>
      </c>
      <c r="R3359" s="10" t="s">
        <v>1575</v>
      </c>
      <c r="S3359" s="10" t="s">
        <v>1575</v>
      </c>
      <c r="T3359" s="10" t="s">
        <v>1575</v>
      </c>
      <c r="U3359" s="10" t="s">
        <v>1575</v>
      </c>
      <c r="V3359" s="10">
        <v>3.9660000000000002</v>
      </c>
      <c r="W3359" s="10" t="s">
        <v>1575</v>
      </c>
      <c r="X3359" s="10" t="str">
        <f t="shared" si="3198"/>
        <v>NA</v>
      </c>
      <c r="Y3359" s="10" t="str">
        <f t="shared" si="3199"/>
        <v>NA</v>
      </c>
      <c r="Z3359" s="10" t="str">
        <f t="shared" si="3200"/>
        <v>NA</v>
      </c>
      <c r="AA3359" s="10" t="str">
        <f t="shared" si="3201"/>
        <v>NA</v>
      </c>
      <c r="AB3359" s="10" t="str">
        <f t="shared" si="3202"/>
        <v>NA</v>
      </c>
      <c r="AC3359" s="10" t="str">
        <f t="shared" si="3203"/>
        <v>NA</v>
      </c>
      <c r="AD3359" s="10" t="str">
        <f t="shared" si="3204"/>
        <v>NA</v>
      </c>
      <c r="AE3359" s="10" t="str">
        <f t="shared" si="3205"/>
        <v>NA</v>
      </c>
      <c r="AF3359" s="1" t="s">
        <v>3968</v>
      </c>
    </row>
    <row r="3360" spans="1:32" x14ac:dyDescent="0.2">
      <c r="A3360" s="1" t="s">
        <v>3969</v>
      </c>
      <c r="B3360" s="1" t="s">
        <v>5</v>
      </c>
      <c r="C3360" s="1" t="s">
        <v>1575</v>
      </c>
      <c r="D3360" s="1" t="s">
        <v>1813</v>
      </c>
      <c r="E3360" s="1" t="s">
        <v>1587</v>
      </c>
      <c r="F3360" s="1" t="s">
        <v>3971</v>
      </c>
      <c r="G3360" s="4">
        <v>0.25</v>
      </c>
      <c r="H3360" s="28">
        <v>44012</v>
      </c>
      <c r="I3360" s="29">
        <f t="shared" si="3215"/>
        <v>2020</v>
      </c>
      <c r="J3360" s="1" t="s">
        <v>3967</v>
      </c>
      <c r="K3360" s="1" t="s">
        <v>7</v>
      </c>
      <c r="L3360" s="11" t="str">
        <f t="shared" ref="L3360:L3361" si="3290">IF(OR(A3360=J3360,A3360=K3360),"ДА","НЕТ")</f>
        <v>НЕТ</v>
      </c>
      <c r="M3360" s="10">
        <v>0.15</v>
      </c>
      <c r="N3360" s="10">
        <v>0</v>
      </c>
      <c r="O3360" s="10">
        <v>1.0999999999999999E-2</v>
      </c>
      <c r="P3360" s="10">
        <f t="shared" si="3194"/>
        <v>4.3999999999999997E-2</v>
      </c>
      <c r="Q3360" s="10" t="str">
        <f t="shared" si="3195"/>
        <v>NA</v>
      </c>
      <c r="R3360" s="10" t="s">
        <v>1575</v>
      </c>
      <c r="S3360" s="10" t="s">
        <v>1575</v>
      </c>
      <c r="T3360" s="10" t="s">
        <v>1575</v>
      </c>
      <c r="U3360" s="10" t="s">
        <v>1575</v>
      </c>
      <c r="V3360" s="10" t="s">
        <v>1575</v>
      </c>
      <c r="W3360" s="10" t="s">
        <v>1575</v>
      </c>
      <c r="X3360" s="10" t="str">
        <f t="shared" si="3198"/>
        <v>NA</v>
      </c>
      <c r="Y3360" s="10" t="str">
        <f t="shared" si="3199"/>
        <v>NA</v>
      </c>
      <c r="Z3360" s="10" t="str">
        <f t="shared" si="3200"/>
        <v>NA</v>
      </c>
      <c r="AA3360" s="10" t="str">
        <f t="shared" si="3201"/>
        <v>NA</v>
      </c>
      <c r="AB3360" s="10" t="str">
        <f t="shared" si="3202"/>
        <v>NA</v>
      </c>
      <c r="AC3360" s="10" t="str">
        <f t="shared" si="3203"/>
        <v>NA</v>
      </c>
      <c r="AD3360" s="10" t="str">
        <f t="shared" si="3204"/>
        <v>NA</v>
      </c>
      <c r="AE3360" s="10" t="str">
        <f t="shared" si="3205"/>
        <v>NA</v>
      </c>
      <c r="AF3360" s="1" t="s">
        <v>3970</v>
      </c>
    </row>
    <row r="3361" spans="1:32" x14ac:dyDescent="0.2">
      <c r="A3361" s="1" t="s">
        <v>6901</v>
      </c>
      <c r="B3361" s="1" t="s">
        <v>5</v>
      </c>
      <c r="C3361" s="1" t="s">
        <v>1575</v>
      </c>
      <c r="D3361" s="1" t="s">
        <v>1813</v>
      </c>
      <c r="E3361" s="1" t="s">
        <v>1587</v>
      </c>
      <c r="F3361" s="1" t="s">
        <v>3999</v>
      </c>
      <c r="G3361" s="4">
        <v>1</v>
      </c>
      <c r="H3361" s="28">
        <v>41759</v>
      </c>
      <c r="I3361" s="29">
        <f t="shared" si="3215"/>
        <v>2014</v>
      </c>
      <c r="J3361" s="1" t="s">
        <v>7</v>
      </c>
      <c r="K3361" s="1" t="s">
        <v>3967</v>
      </c>
      <c r="L3361" s="11" t="str">
        <f t="shared" si="3290"/>
        <v>НЕТ</v>
      </c>
      <c r="M3361" s="10">
        <v>0.5</v>
      </c>
      <c r="N3361" s="10">
        <v>0</v>
      </c>
      <c r="O3361" s="10">
        <v>3.5000000000000003E-2</v>
      </c>
      <c r="P3361" s="10">
        <f t="shared" si="3194"/>
        <v>3.5000000000000003E-2</v>
      </c>
      <c r="Q3361" s="10" t="str">
        <f t="shared" si="3195"/>
        <v>NA</v>
      </c>
      <c r="R3361" s="10" t="s">
        <v>1575</v>
      </c>
      <c r="S3361" s="10" t="s">
        <v>1575</v>
      </c>
      <c r="T3361" s="10" t="s">
        <v>1575</v>
      </c>
      <c r="U3361" s="10" t="s">
        <v>1575</v>
      </c>
      <c r="V3361" s="10">
        <v>-6.0000000000000001E-3</v>
      </c>
      <c r="W3361" s="10" t="s">
        <v>1575</v>
      </c>
      <c r="X3361" s="10" t="str">
        <f t="shared" si="3198"/>
        <v>NA</v>
      </c>
      <c r="Y3361" s="10" t="str">
        <f t="shared" si="3199"/>
        <v>NA</v>
      </c>
      <c r="Z3361" s="10" t="str">
        <f t="shared" si="3200"/>
        <v>NA</v>
      </c>
      <c r="AA3361" s="10">
        <f t="shared" si="3201"/>
        <v>-5.8333333333333339</v>
      </c>
      <c r="AB3361" s="10" t="str">
        <f t="shared" si="3202"/>
        <v>NA</v>
      </c>
      <c r="AC3361" s="10" t="str">
        <f t="shared" si="3203"/>
        <v>NA</v>
      </c>
      <c r="AD3361" s="10" t="str">
        <f t="shared" si="3204"/>
        <v>NA</v>
      </c>
      <c r="AE3361" s="10" t="str">
        <f t="shared" si="3205"/>
        <v>NA</v>
      </c>
      <c r="AF3361" s="1" t="s">
        <v>3972</v>
      </c>
    </row>
    <row r="3362" spans="1:32" x14ac:dyDescent="0.2">
      <c r="A3362" s="1" t="s">
        <v>6902</v>
      </c>
      <c r="B3362" s="1" t="s">
        <v>5</v>
      </c>
      <c r="C3362" s="1" t="s">
        <v>1575</v>
      </c>
      <c r="D3362" s="1" t="s">
        <v>1582</v>
      </c>
      <c r="E3362" s="1" t="s">
        <v>2166</v>
      </c>
      <c r="F3362" s="1" t="s">
        <v>3977</v>
      </c>
      <c r="G3362" s="4" t="s">
        <v>11</v>
      </c>
      <c r="H3362" s="28">
        <v>41790</v>
      </c>
      <c r="I3362" s="29">
        <f t="shared" si="3215"/>
        <v>2014</v>
      </c>
      <c r="J3362" s="1" t="s">
        <v>3976</v>
      </c>
      <c r="K3362" s="1" t="s">
        <v>3967</v>
      </c>
      <c r="L3362" s="11" t="str">
        <f t="shared" ref="L3362" si="3291">IF(OR(A3362=J3362,A3362=K3362),"ДА","НЕТ")</f>
        <v>НЕТ</v>
      </c>
      <c r="M3362" s="10">
        <v>11</v>
      </c>
      <c r="N3362" s="10">
        <v>0</v>
      </c>
      <c r="O3362" s="10">
        <v>0.36599999999999999</v>
      </c>
      <c r="P3362" s="10" t="str">
        <f t="shared" si="3194"/>
        <v>NA</v>
      </c>
      <c r="Q3362" s="10" t="str">
        <f t="shared" si="3195"/>
        <v>NA</v>
      </c>
      <c r="R3362" s="10" t="s">
        <v>1575</v>
      </c>
      <c r="S3362" s="10" t="s">
        <v>1575</v>
      </c>
      <c r="T3362" s="10" t="s">
        <v>1575</v>
      </c>
      <c r="U3362" s="10" t="s">
        <v>1575</v>
      </c>
      <c r="V3362" s="10">
        <v>8.6999999999999994E-2</v>
      </c>
      <c r="W3362" s="10" t="s">
        <v>1575</v>
      </c>
      <c r="X3362" s="10" t="str">
        <f t="shared" si="3198"/>
        <v>NA</v>
      </c>
      <c r="Y3362" s="10" t="str">
        <f t="shared" si="3199"/>
        <v>NA</v>
      </c>
      <c r="Z3362" s="10" t="str">
        <f t="shared" si="3200"/>
        <v>NA</v>
      </c>
      <c r="AA3362" s="10" t="str">
        <f t="shared" si="3201"/>
        <v>NA</v>
      </c>
      <c r="AB3362" s="10" t="str">
        <f t="shared" si="3202"/>
        <v>NA</v>
      </c>
      <c r="AC3362" s="10" t="str">
        <f t="shared" si="3203"/>
        <v>NA</v>
      </c>
      <c r="AD3362" s="10" t="str">
        <f t="shared" si="3204"/>
        <v>NA</v>
      </c>
      <c r="AE3362" s="10" t="str">
        <f t="shared" si="3205"/>
        <v>NA</v>
      </c>
      <c r="AF3362" s="1" t="s">
        <v>3984</v>
      </c>
    </row>
    <row r="3363" spans="1:32" x14ac:dyDescent="0.2">
      <c r="A3363" s="1" t="s">
        <v>6903</v>
      </c>
      <c r="B3363" s="1" t="s">
        <v>5</v>
      </c>
      <c r="C3363" s="1" t="s">
        <v>1575</v>
      </c>
      <c r="D3363" s="1" t="s">
        <v>1582</v>
      </c>
      <c r="E3363" s="1" t="s">
        <v>5352</v>
      </c>
      <c r="F3363" s="1" t="s">
        <v>3978</v>
      </c>
      <c r="G3363" s="4">
        <v>1</v>
      </c>
      <c r="H3363" s="28">
        <v>41912</v>
      </c>
      <c r="I3363" s="29">
        <f t="shared" si="3215"/>
        <v>2014</v>
      </c>
      <c r="J3363" s="1" t="s">
        <v>7</v>
      </c>
      <c r="K3363" s="1" t="s">
        <v>3967</v>
      </c>
      <c r="L3363" s="11" t="str">
        <f t="shared" ref="L3363" si="3292">IF(OR(A3363=J3363,A3363=K3363),"ДА","НЕТ")</f>
        <v>НЕТ</v>
      </c>
      <c r="M3363" s="10">
        <v>0.7</v>
      </c>
      <c r="N3363" s="10">
        <v>0</v>
      </c>
      <c r="O3363" s="10">
        <v>0.04</v>
      </c>
      <c r="P3363" s="10">
        <f t="shared" si="3194"/>
        <v>0.04</v>
      </c>
      <c r="Q3363" s="10" t="str">
        <f t="shared" si="3195"/>
        <v>NA</v>
      </c>
      <c r="R3363" s="10" t="s">
        <v>1575</v>
      </c>
      <c r="S3363" s="10" t="s">
        <v>1575</v>
      </c>
      <c r="T3363" s="10" t="s">
        <v>1575</v>
      </c>
      <c r="U3363" s="10" t="s">
        <v>1575</v>
      </c>
      <c r="V3363" s="10">
        <v>5.0000000000000001E-4</v>
      </c>
      <c r="W3363" s="10" t="s">
        <v>1575</v>
      </c>
      <c r="X3363" s="10" t="str">
        <f t="shared" si="3198"/>
        <v>NA</v>
      </c>
      <c r="Y3363" s="10" t="str">
        <f t="shared" si="3199"/>
        <v>NA</v>
      </c>
      <c r="Z3363" s="10" t="str">
        <f t="shared" si="3200"/>
        <v>NA</v>
      </c>
      <c r="AA3363" s="10">
        <f t="shared" si="3201"/>
        <v>80</v>
      </c>
      <c r="AB3363" s="10" t="str">
        <f t="shared" si="3202"/>
        <v>NA</v>
      </c>
      <c r="AC3363" s="10" t="str">
        <f t="shared" si="3203"/>
        <v>NA</v>
      </c>
      <c r="AD3363" s="10" t="str">
        <f t="shared" si="3204"/>
        <v>NA</v>
      </c>
      <c r="AE3363" s="10" t="str">
        <f t="shared" si="3205"/>
        <v>NA</v>
      </c>
      <c r="AF3363" s="1" t="s">
        <v>3973</v>
      </c>
    </row>
    <row r="3364" spans="1:32" x14ac:dyDescent="0.2">
      <c r="A3364" s="1" t="s">
        <v>6904</v>
      </c>
      <c r="B3364" s="1" t="s">
        <v>5</v>
      </c>
      <c r="C3364" s="1" t="s">
        <v>1575</v>
      </c>
      <c r="D3364" s="1" t="s">
        <v>1595</v>
      </c>
      <c r="E3364" s="16" t="s">
        <v>9208</v>
      </c>
      <c r="F3364" s="1" t="s">
        <v>3985</v>
      </c>
      <c r="G3364" s="4">
        <v>0.75</v>
      </c>
      <c r="H3364" s="28">
        <v>41912</v>
      </c>
      <c r="I3364" s="29">
        <f t="shared" si="3215"/>
        <v>2014</v>
      </c>
      <c r="J3364" s="1" t="s">
        <v>7</v>
      </c>
      <c r="K3364" s="1" t="s">
        <v>3967</v>
      </c>
      <c r="L3364" s="11" t="str">
        <f t="shared" ref="L3364:L3366" si="3293">IF(OR(A3364=J3364,A3364=K3364),"ДА","НЕТ")</f>
        <v>НЕТ</v>
      </c>
      <c r="M3364" s="10">
        <v>0</v>
      </c>
      <c r="N3364" s="10">
        <v>0</v>
      </c>
      <c r="O3364" s="10">
        <v>0</v>
      </c>
      <c r="P3364" s="10">
        <f t="shared" si="3194"/>
        <v>0</v>
      </c>
      <c r="Q3364" s="10" t="str">
        <f t="shared" si="3195"/>
        <v>NA</v>
      </c>
      <c r="R3364" s="10" t="s">
        <v>1575</v>
      </c>
      <c r="S3364" s="10" t="s">
        <v>1575</v>
      </c>
      <c r="T3364" s="10" t="s">
        <v>1575</v>
      </c>
      <c r="U3364" s="10" t="s">
        <v>1575</v>
      </c>
      <c r="V3364" s="10">
        <v>-1.2E-2</v>
      </c>
      <c r="W3364" s="10" t="s">
        <v>1575</v>
      </c>
      <c r="X3364" s="10" t="str">
        <f t="shared" si="3198"/>
        <v>NA</v>
      </c>
      <c r="Y3364" s="10" t="str">
        <f t="shared" si="3199"/>
        <v>NA</v>
      </c>
      <c r="Z3364" s="10" t="str">
        <f t="shared" si="3200"/>
        <v>NA</v>
      </c>
      <c r="AA3364" s="10">
        <f t="shared" si="3201"/>
        <v>0</v>
      </c>
      <c r="AB3364" s="10" t="str">
        <f t="shared" si="3202"/>
        <v>NA</v>
      </c>
      <c r="AC3364" s="10" t="str">
        <f t="shared" si="3203"/>
        <v>NA</v>
      </c>
      <c r="AD3364" s="10" t="str">
        <f t="shared" si="3204"/>
        <v>NA</v>
      </c>
      <c r="AE3364" s="10" t="str">
        <f t="shared" si="3205"/>
        <v>NA</v>
      </c>
      <c r="AF3364" s="1" t="s">
        <v>3974</v>
      </c>
    </row>
    <row r="3365" spans="1:32" x14ac:dyDescent="0.2">
      <c r="A3365" s="1" t="s">
        <v>6905</v>
      </c>
      <c r="B3365" s="1" t="s">
        <v>5</v>
      </c>
      <c r="C3365" s="1" t="s">
        <v>1575</v>
      </c>
      <c r="D3365" s="1" t="s">
        <v>1813</v>
      </c>
      <c r="E3365" s="1" t="s">
        <v>1587</v>
      </c>
      <c r="F3365" s="1" t="s">
        <v>3980</v>
      </c>
      <c r="G3365" s="4">
        <v>0.6</v>
      </c>
      <c r="H3365" s="28">
        <v>42004</v>
      </c>
      <c r="I3365" s="29">
        <f t="shared" si="3215"/>
        <v>2014</v>
      </c>
      <c r="J3365" s="1" t="s">
        <v>3967</v>
      </c>
      <c r="K3365" s="1" t="s">
        <v>7</v>
      </c>
      <c r="L3365" s="11" t="str">
        <f t="shared" si="3293"/>
        <v>НЕТ</v>
      </c>
      <c r="M3365" s="10">
        <v>0</v>
      </c>
      <c r="N3365" s="10">
        <v>0</v>
      </c>
      <c r="O3365" s="10">
        <v>1.9E-2</v>
      </c>
      <c r="P3365" s="10">
        <f t="shared" si="3194"/>
        <v>3.1666666666666669E-2</v>
      </c>
      <c r="Q3365" s="10" t="str">
        <f t="shared" si="3195"/>
        <v>NA</v>
      </c>
      <c r="R3365" s="10" t="s">
        <v>1575</v>
      </c>
      <c r="S3365" s="10" t="s">
        <v>1575</v>
      </c>
      <c r="T3365" s="10" t="s">
        <v>1575</v>
      </c>
      <c r="U3365" s="10" t="s">
        <v>1575</v>
      </c>
      <c r="V3365" s="10">
        <v>2E-3</v>
      </c>
      <c r="W3365" s="10" t="s">
        <v>1575</v>
      </c>
      <c r="X3365" s="10" t="str">
        <f t="shared" si="3198"/>
        <v>NA</v>
      </c>
      <c r="Y3365" s="10" t="str">
        <f t="shared" si="3199"/>
        <v>NA</v>
      </c>
      <c r="Z3365" s="10" t="str">
        <f t="shared" si="3200"/>
        <v>NA</v>
      </c>
      <c r="AA3365" s="10">
        <f t="shared" si="3201"/>
        <v>15.833333333333334</v>
      </c>
      <c r="AB3365" s="10" t="str">
        <f t="shared" si="3202"/>
        <v>NA</v>
      </c>
      <c r="AC3365" s="10" t="str">
        <f t="shared" si="3203"/>
        <v>NA</v>
      </c>
      <c r="AD3365" s="10" t="str">
        <f t="shared" si="3204"/>
        <v>NA</v>
      </c>
      <c r="AE3365" s="10" t="str">
        <f t="shared" si="3205"/>
        <v>NA</v>
      </c>
      <c r="AF3365" s="1" t="s">
        <v>3979</v>
      </c>
    </row>
    <row r="3366" spans="1:32" x14ac:dyDescent="0.2">
      <c r="A3366" s="1" t="s">
        <v>3996</v>
      </c>
      <c r="B3366" s="1" t="s">
        <v>5</v>
      </c>
      <c r="C3366" s="1" t="s">
        <v>1575</v>
      </c>
      <c r="D3366" s="1" t="s">
        <v>1582</v>
      </c>
      <c r="E3366" s="1" t="s">
        <v>2019</v>
      </c>
      <c r="F3366" s="1" t="s">
        <v>3995</v>
      </c>
      <c r="G3366" s="4" t="s">
        <v>11</v>
      </c>
      <c r="H3366" s="28">
        <v>41759</v>
      </c>
      <c r="I3366" s="29">
        <f t="shared" si="3215"/>
        <v>2014</v>
      </c>
      <c r="J3366" s="1" t="s">
        <v>3994</v>
      </c>
      <c r="K3366" s="1" t="s">
        <v>3967</v>
      </c>
      <c r="L3366" s="11" t="str">
        <f t="shared" si="3293"/>
        <v>НЕТ</v>
      </c>
      <c r="M3366" s="10">
        <v>1</v>
      </c>
      <c r="N3366" s="10">
        <v>0</v>
      </c>
      <c r="O3366" s="10">
        <v>3.5000000000000003E-2</v>
      </c>
      <c r="P3366" s="10" t="str">
        <f t="shared" si="3194"/>
        <v>NA</v>
      </c>
      <c r="Q3366" s="10" t="str">
        <f t="shared" si="3195"/>
        <v>NA</v>
      </c>
      <c r="R3366" s="10" t="s">
        <v>1575</v>
      </c>
      <c r="S3366" s="10" t="s">
        <v>1575</v>
      </c>
      <c r="T3366" s="10" t="s">
        <v>1575</v>
      </c>
      <c r="U3366" s="10" t="s">
        <v>1575</v>
      </c>
      <c r="V3366" s="10" t="s">
        <v>1575</v>
      </c>
      <c r="W3366" s="10" t="s">
        <v>1575</v>
      </c>
      <c r="X3366" s="10" t="str">
        <f t="shared" si="3198"/>
        <v>NA</v>
      </c>
      <c r="Y3366" s="10" t="str">
        <f t="shared" si="3199"/>
        <v>NA</v>
      </c>
      <c r="Z3366" s="10" t="str">
        <f t="shared" si="3200"/>
        <v>NA</v>
      </c>
      <c r="AA3366" s="10" t="str">
        <f t="shared" si="3201"/>
        <v>NA</v>
      </c>
      <c r="AB3366" s="10" t="str">
        <f t="shared" si="3202"/>
        <v>NA</v>
      </c>
      <c r="AC3366" s="10" t="str">
        <f t="shared" si="3203"/>
        <v>NA</v>
      </c>
      <c r="AD3366" s="10" t="str">
        <f t="shared" si="3204"/>
        <v>NA</v>
      </c>
      <c r="AE3366" s="10" t="str">
        <f t="shared" si="3205"/>
        <v>NA</v>
      </c>
      <c r="AF3366" s="1" t="s">
        <v>3993</v>
      </c>
    </row>
    <row r="3367" spans="1:32" x14ac:dyDescent="0.2">
      <c r="A3367" s="1" t="s">
        <v>6906</v>
      </c>
      <c r="B3367" s="1" t="s">
        <v>5</v>
      </c>
      <c r="C3367" s="1" t="s">
        <v>1575</v>
      </c>
      <c r="D3367" s="1" t="s">
        <v>1813</v>
      </c>
      <c r="E3367" s="1" t="s">
        <v>1587</v>
      </c>
      <c r="F3367" s="1" t="s">
        <v>3986</v>
      </c>
      <c r="G3367" s="4">
        <v>1</v>
      </c>
      <c r="H3367" s="28">
        <v>41517</v>
      </c>
      <c r="I3367" s="29">
        <f t="shared" si="3215"/>
        <v>2013</v>
      </c>
      <c r="J3367" s="1" t="s">
        <v>3967</v>
      </c>
      <c r="K3367" s="1" t="s">
        <v>7</v>
      </c>
      <c r="L3367" s="11" t="str">
        <f t="shared" ref="L3367:L3368" si="3294">IF(OR(A3367=J3367,A3367=K3367),"ДА","НЕТ")</f>
        <v>НЕТ</v>
      </c>
      <c r="M3367" s="10">
        <v>1</v>
      </c>
      <c r="N3367" s="10">
        <v>0</v>
      </c>
      <c r="O3367" s="10">
        <v>3.5000000000000003E-2</v>
      </c>
      <c r="P3367" s="10">
        <f t="shared" si="3194"/>
        <v>3.5000000000000003E-2</v>
      </c>
      <c r="Q3367" s="10" t="str">
        <f t="shared" si="3195"/>
        <v>NA</v>
      </c>
      <c r="R3367" s="10" t="s">
        <v>1575</v>
      </c>
      <c r="S3367" s="10" t="s">
        <v>1575</v>
      </c>
      <c r="T3367" s="10" t="s">
        <v>1575</v>
      </c>
      <c r="U3367" s="10" t="s">
        <v>1575</v>
      </c>
      <c r="V3367" s="10">
        <v>3.0000000000000001E-3</v>
      </c>
      <c r="W3367" s="10" t="s">
        <v>1575</v>
      </c>
      <c r="X3367" s="10" t="str">
        <f t="shared" si="3198"/>
        <v>NA</v>
      </c>
      <c r="Y3367" s="10" t="str">
        <f t="shared" si="3199"/>
        <v>NA</v>
      </c>
      <c r="Z3367" s="10" t="str">
        <f t="shared" si="3200"/>
        <v>NA</v>
      </c>
      <c r="AA3367" s="10">
        <f t="shared" si="3201"/>
        <v>11.666666666666668</v>
      </c>
      <c r="AB3367" s="10" t="str">
        <f t="shared" si="3202"/>
        <v>NA</v>
      </c>
      <c r="AC3367" s="10" t="str">
        <f t="shared" si="3203"/>
        <v>NA</v>
      </c>
      <c r="AD3367" s="10" t="str">
        <f t="shared" si="3204"/>
        <v>NA</v>
      </c>
      <c r="AE3367" s="10" t="str">
        <f t="shared" si="3205"/>
        <v>NA</v>
      </c>
      <c r="AF3367" s="1" t="s">
        <v>3983</v>
      </c>
    </row>
    <row r="3368" spans="1:32" x14ac:dyDescent="0.2">
      <c r="A3368" s="1" t="s">
        <v>6901</v>
      </c>
      <c r="B3368" s="1" t="s">
        <v>5</v>
      </c>
      <c r="C3368" s="1" t="s">
        <v>1575</v>
      </c>
      <c r="D3368" s="1" t="s">
        <v>1813</v>
      </c>
      <c r="E3368" s="1" t="s">
        <v>1587</v>
      </c>
      <c r="F3368" s="1" t="s">
        <v>3999</v>
      </c>
      <c r="G3368" s="4">
        <v>0.41</v>
      </c>
      <c r="H3368" s="28">
        <v>41333</v>
      </c>
      <c r="I3368" s="29">
        <f t="shared" si="3215"/>
        <v>2013</v>
      </c>
      <c r="J3368" s="1" t="s">
        <v>3967</v>
      </c>
      <c r="K3368" s="1" t="s">
        <v>7</v>
      </c>
      <c r="L3368" s="11" t="str">
        <f t="shared" si="3294"/>
        <v>НЕТ</v>
      </c>
      <c r="M3368" s="10">
        <v>1E-3</v>
      </c>
      <c r="N3368" s="10">
        <v>0</v>
      </c>
      <c r="O3368" s="10">
        <v>2.9999999999999997E-4</v>
      </c>
      <c r="P3368" s="10">
        <f t="shared" si="3194"/>
        <v>7.3170731707317073E-4</v>
      </c>
      <c r="Q3368" s="10" t="str">
        <f t="shared" si="3195"/>
        <v>NA</v>
      </c>
      <c r="R3368" s="10" t="s">
        <v>1575</v>
      </c>
      <c r="S3368" s="10" t="s">
        <v>1575</v>
      </c>
      <c r="T3368" s="10" t="s">
        <v>1575</v>
      </c>
      <c r="U3368" s="10" t="s">
        <v>1575</v>
      </c>
      <c r="V3368" s="10" t="s">
        <v>1575</v>
      </c>
      <c r="W3368" s="10" t="s">
        <v>1575</v>
      </c>
      <c r="X3368" s="10" t="str">
        <f t="shared" si="3198"/>
        <v>NA</v>
      </c>
      <c r="Y3368" s="10" t="str">
        <f t="shared" si="3199"/>
        <v>NA</v>
      </c>
      <c r="Z3368" s="10" t="str">
        <f t="shared" si="3200"/>
        <v>NA</v>
      </c>
      <c r="AA3368" s="10" t="str">
        <f t="shared" si="3201"/>
        <v>NA</v>
      </c>
      <c r="AB3368" s="10" t="str">
        <f t="shared" si="3202"/>
        <v>NA</v>
      </c>
      <c r="AC3368" s="10" t="str">
        <f t="shared" si="3203"/>
        <v>NA</v>
      </c>
      <c r="AD3368" s="10" t="str">
        <f t="shared" si="3204"/>
        <v>NA</v>
      </c>
      <c r="AE3368" s="10" t="str">
        <f t="shared" si="3205"/>
        <v>NA</v>
      </c>
      <c r="AF3368" s="1" t="s">
        <v>4006</v>
      </c>
    </row>
    <row r="3369" spans="1:32" x14ac:dyDescent="0.2">
      <c r="A3369" s="1" t="s">
        <v>6907</v>
      </c>
      <c r="B3369" s="1" t="s">
        <v>5</v>
      </c>
      <c r="C3369" s="1" t="s">
        <v>1575</v>
      </c>
      <c r="D3369" s="1" t="s">
        <v>1813</v>
      </c>
      <c r="E3369" s="1" t="s">
        <v>1587</v>
      </c>
      <c r="F3369" s="1" t="s">
        <v>3999</v>
      </c>
      <c r="G3369" s="4">
        <v>0.53</v>
      </c>
      <c r="H3369" s="28">
        <v>41639</v>
      </c>
      <c r="I3369" s="29">
        <f t="shared" si="3215"/>
        <v>2013</v>
      </c>
      <c r="J3369" s="1" t="s">
        <v>7</v>
      </c>
      <c r="K3369" s="1" t="s">
        <v>3967</v>
      </c>
      <c r="L3369" s="11" t="str">
        <f t="shared" ref="L3369:L3371" si="3295">IF(OR(A3369=J3369,A3369=K3369),"ДА","НЕТ")</f>
        <v>НЕТ</v>
      </c>
      <c r="M3369" s="10">
        <v>9.2E-5</v>
      </c>
      <c r="N3369" s="10">
        <v>0</v>
      </c>
      <c r="O3369" s="10">
        <v>3.0000000000000001E-6</v>
      </c>
      <c r="P3369" s="10">
        <f t="shared" si="3194"/>
        <v>5.6603773584905662E-6</v>
      </c>
      <c r="Q3369" s="10" t="str">
        <f t="shared" si="3195"/>
        <v>NA</v>
      </c>
      <c r="R3369" s="10" t="s">
        <v>1575</v>
      </c>
      <c r="S3369" s="10" t="s">
        <v>1575</v>
      </c>
      <c r="T3369" s="10" t="s">
        <v>1575</v>
      </c>
      <c r="U3369" s="10" t="s">
        <v>1575</v>
      </c>
      <c r="V3369" s="10">
        <v>2.8999999999999998E-3</v>
      </c>
      <c r="W3369" s="10" t="s">
        <v>1575</v>
      </c>
      <c r="X3369" s="10" t="str">
        <f t="shared" si="3198"/>
        <v>NA</v>
      </c>
      <c r="Y3369" s="10" t="str">
        <f t="shared" si="3199"/>
        <v>NA</v>
      </c>
      <c r="Z3369" s="10" t="str">
        <f t="shared" si="3200"/>
        <v>NA</v>
      </c>
      <c r="AA3369" s="10">
        <f t="shared" si="3201"/>
        <v>1.9518542615484713E-3</v>
      </c>
      <c r="AB3369" s="10" t="str">
        <f t="shared" si="3202"/>
        <v>NA</v>
      </c>
      <c r="AC3369" s="10" t="str">
        <f t="shared" si="3203"/>
        <v>NA</v>
      </c>
      <c r="AD3369" s="10" t="str">
        <f t="shared" si="3204"/>
        <v>NA</v>
      </c>
      <c r="AE3369" s="10" t="str">
        <f t="shared" si="3205"/>
        <v>NA</v>
      </c>
      <c r="AF3369" s="1" t="s">
        <v>3981</v>
      </c>
    </row>
    <row r="3370" spans="1:32" x14ac:dyDescent="0.2">
      <c r="A3370" s="1" t="s">
        <v>6907</v>
      </c>
      <c r="B3370" s="1" t="s">
        <v>5</v>
      </c>
      <c r="C3370" s="1" t="s">
        <v>1575</v>
      </c>
      <c r="D3370" s="1" t="s">
        <v>1813</v>
      </c>
      <c r="E3370" s="1" t="s">
        <v>1587</v>
      </c>
      <c r="F3370" s="1" t="s">
        <v>3999</v>
      </c>
      <c r="G3370" s="4">
        <v>0.1</v>
      </c>
      <c r="H3370" s="28">
        <v>41310</v>
      </c>
      <c r="I3370" s="29">
        <f t="shared" si="3215"/>
        <v>2013</v>
      </c>
      <c r="J3370" s="1" t="s">
        <v>3967</v>
      </c>
      <c r="K3370" s="1" t="s">
        <v>7</v>
      </c>
      <c r="L3370" s="11" t="str">
        <f t="shared" si="3295"/>
        <v>НЕТ</v>
      </c>
      <c r="M3370" s="10">
        <v>0.06</v>
      </c>
      <c r="N3370" s="10">
        <v>0</v>
      </c>
      <c r="O3370" s="10">
        <v>1.9E-3</v>
      </c>
      <c r="P3370" s="10">
        <f t="shared" si="3194"/>
        <v>1.9E-2</v>
      </c>
      <c r="Q3370" s="10" t="str">
        <f t="shared" si="3195"/>
        <v>NA</v>
      </c>
      <c r="R3370" s="10" t="s">
        <v>1575</v>
      </c>
      <c r="S3370" s="10" t="s">
        <v>1575</v>
      </c>
      <c r="T3370" s="10" t="s">
        <v>1575</v>
      </c>
      <c r="U3370" s="10" t="s">
        <v>1575</v>
      </c>
      <c r="V3370" s="10">
        <v>2.8999999999999998E-3</v>
      </c>
      <c r="W3370" s="10" t="s">
        <v>1575</v>
      </c>
      <c r="X3370" s="10" t="str">
        <f t="shared" si="3198"/>
        <v>NA</v>
      </c>
      <c r="Y3370" s="10" t="str">
        <f t="shared" si="3199"/>
        <v>NA</v>
      </c>
      <c r="Z3370" s="10" t="str">
        <f t="shared" si="3200"/>
        <v>NA</v>
      </c>
      <c r="AA3370" s="10">
        <f t="shared" si="3201"/>
        <v>6.5517241379310347</v>
      </c>
      <c r="AB3370" s="10" t="str">
        <f t="shared" si="3202"/>
        <v>NA</v>
      </c>
      <c r="AC3370" s="10" t="str">
        <f t="shared" si="3203"/>
        <v>NA</v>
      </c>
      <c r="AD3370" s="10" t="str">
        <f t="shared" si="3204"/>
        <v>NA</v>
      </c>
      <c r="AE3370" s="10" t="str">
        <f t="shared" si="3205"/>
        <v>NA</v>
      </c>
      <c r="AF3370" s="1" t="s">
        <v>4005</v>
      </c>
    </row>
    <row r="3371" spans="1:32" x14ac:dyDescent="0.2">
      <c r="A3371" s="1" t="s">
        <v>6907</v>
      </c>
      <c r="B3371" s="1" t="s">
        <v>5</v>
      </c>
      <c r="C3371" s="1" t="s">
        <v>1575</v>
      </c>
      <c r="D3371" s="1" t="s">
        <v>1813</v>
      </c>
      <c r="E3371" s="1" t="s">
        <v>1587</v>
      </c>
      <c r="F3371" s="1" t="s">
        <v>3999</v>
      </c>
      <c r="G3371" s="4">
        <v>0.43</v>
      </c>
      <c r="H3371" s="28">
        <v>40999</v>
      </c>
      <c r="I3371" s="29">
        <f t="shared" si="3215"/>
        <v>2012</v>
      </c>
      <c r="J3371" s="1" t="s">
        <v>3967</v>
      </c>
      <c r="K3371" s="1" t="s">
        <v>7</v>
      </c>
      <c r="L3371" s="11" t="str">
        <f t="shared" si="3295"/>
        <v>НЕТ</v>
      </c>
      <c r="M3371" s="10">
        <v>0.5</v>
      </c>
      <c r="N3371" s="10">
        <v>0</v>
      </c>
      <c r="O3371" s="10">
        <v>1.6500000000000001E-2</v>
      </c>
      <c r="P3371" s="10">
        <f t="shared" si="3194"/>
        <v>3.8372093023255817E-2</v>
      </c>
      <c r="Q3371" s="10" t="str">
        <f t="shared" si="3195"/>
        <v>NA</v>
      </c>
      <c r="R3371" s="10" t="s">
        <v>1575</v>
      </c>
      <c r="S3371" s="10" t="s">
        <v>1575</v>
      </c>
      <c r="T3371" s="10" t="s">
        <v>1575</v>
      </c>
      <c r="U3371" s="10" t="s">
        <v>1575</v>
      </c>
      <c r="V3371" s="10">
        <v>2.8999999999999998E-3</v>
      </c>
      <c r="W3371" s="10" t="s">
        <v>1575</v>
      </c>
      <c r="X3371" s="10" t="str">
        <f t="shared" si="3198"/>
        <v>NA</v>
      </c>
      <c r="Y3371" s="10" t="str">
        <f t="shared" si="3199"/>
        <v>NA</v>
      </c>
      <c r="Z3371" s="10" t="str">
        <f t="shared" si="3200"/>
        <v>NA</v>
      </c>
      <c r="AA3371" s="10">
        <f t="shared" si="3201"/>
        <v>13.2317562149158</v>
      </c>
      <c r="AB3371" s="10" t="str">
        <f t="shared" si="3202"/>
        <v>NA</v>
      </c>
      <c r="AC3371" s="10" t="str">
        <f t="shared" si="3203"/>
        <v>NA</v>
      </c>
      <c r="AD3371" s="10" t="str">
        <f t="shared" si="3204"/>
        <v>NA</v>
      </c>
      <c r="AE3371" s="10" t="str">
        <f t="shared" si="3205"/>
        <v>NA</v>
      </c>
      <c r="AF3371" s="1" t="s">
        <v>3982</v>
      </c>
    </row>
    <row r="3372" spans="1:32" x14ac:dyDescent="0.2">
      <c r="A3372" s="1" t="s">
        <v>6908</v>
      </c>
      <c r="B3372" s="1" t="s">
        <v>5</v>
      </c>
      <c r="C3372" s="1" t="s">
        <v>1575</v>
      </c>
      <c r="D3372" s="1" t="s">
        <v>1813</v>
      </c>
      <c r="E3372" s="1" t="s">
        <v>1587</v>
      </c>
      <c r="F3372" s="1" t="s">
        <v>4000</v>
      </c>
      <c r="G3372" s="4">
        <v>1</v>
      </c>
      <c r="H3372" s="28">
        <v>41029</v>
      </c>
      <c r="I3372" s="29">
        <f t="shared" si="3215"/>
        <v>2012</v>
      </c>
      <c r="J3372" s="1" t="s">
        <v>3990</v>
      </c>
      <c r="K3372" s="1" t="s">
        <v>7</v>
      </c>
      <c r="L3372" s="11" t="str">
        <f t="shared" ref="L3372:L3375" si="3296">IF(OR(A3372=J3372,A3372=K3372),"ДА","НЕТ")</f>
        <v>НЕТ</v>
      </c>
      <c r="M3372" s="10">
        <v>28</v>
      </c>
      <c r="N3372" s="10">
        <v>0</v>
      </c>
      <c r="O3372" s="10">
        <v>0.92</v>
      </c>
      <c r="P3372" s="10">
        <f t="shared" si="3194"/>
        <v>0.92</v>
      </c>
      <c r="Q3372" s="10">
        <f t="shared" si="3195"/>
        <v>0.90200000000000002</v>
      </c>
      <c r="R3372" s="10">
        <v>5.3120000000000003</v>
      </c>
      <c r="S3372" s="10" t="s">
        <v>1575</v>
      </c>
      <c r="T3372" s="10" t="s">
        <v>1575</v>
      </c>
      <c r="U3372" s="10">
        <v>0.27100000000000002</v>
      </c>
      <c r="V3372" s="10">
        <v>0.45900000000000002</v>
      </c>
      <c r="W3372" s="10">
        <f>0.148-0.166</f>
        <v>-1.8000000000000016E-2</v>
      </c>
      <c r="X3372" s="10">
        <f t="shared" si="3198"/>
        <v>0.441</v>
      </c>
      <c r="Y3372" s="10">
        <f t="shared" si="3199"/>
        <v>0.17319277108433734</v>
      </c>
      <c r="Z3372" s="10">
        <f t="shared" si="3200"/>
        <v>3.3948339483394832</v>
      </c>
      <c r="AA3372" s="10">
        <f t="shared" si="3201"/>
        <v>2.0043572984749454</v>
      </c>
      <c r="AB3372" s="10">
        <f t="shared" si="3202"/>
        <v>0.16980421686746988</v>
      </c>
      <c r="AC3372" s="10" t="str">
        <f t="shared" si="3203"/>
        <v>NA</v>
      </c>
      <c r="AD3372" s="10" t="str">
        <f t="shared" si="3204"/>
        <v>NA</v>
      </c>
      <c r="AE3372" s="10">
        <f t="shared" si="3205"/>
        <v>2.0453514739229024</v>
      </c>
      <c r="AF3372" s="1" t="s">
        <v>4001</v>
      </c>
    </row>
    <row r="3373" spans="1:32" x14ac:dyDescent="0.2">
      <c r="A3373" s="1" t="s">
        <v>6901</v>
      </c>
      <c r="B3373" s="1" t="s">
        <v>5</v>
      </c>
      <c r="C3373" s="1" t="s">
        <v>1575</v>
      </c>
      <c r="D3373" s="1" t="s">
        <v>1813</v>
      </c>
      <c r="E3373" s="1" t="s">
        <v>1587</v>
      </c>
      <c r="F3373" s="1" t="s">
        <v>3999</v>
      </c>
      <c r="G3373" s="4">
        <v>0.59</v>
      </c>
      <c r="H3373" s="28">
        <v>40994</v>
      </c>
      <c r="I3373" s="29">
        <f t="shared" ref="I3373:I3375" si="3297">YEAR(H3373)</f>
        <v>2012</v>
      </c>
      <c r="J3373" s="1" t="s">
        <v>3967</v>
      </c>
      <c r="K3373" s="1" t="s">
        <v>7</v>
      </c>
      <c r="L3373" s="11" t="str">
        <f t="shared" si="3296"/>
        <v>НЕТ</v>
      </c>
      <c r="M3373" s="10">
        <v>0.3</v>
      </c>
      <c r="N3373" s="10">
        <v>0</v>
      </c>
      <c r="O3373" s="10">
        <v>8.9999999999999993E-3</v>
      </c>
      <c r="P3373" s="10">
        <f t="shared" si="3194"/>
        <v>1.5254237288135592E-2</v>
      </c>
      <c r="Q3373" s="10" t="str">
        <f t="shared" si="3195"/>
        <v>NA</v>
      </c>
      <c r="R3373" s="10" t="s">
        <v>1575</v>
      </c>
      <c r="S3373" s="10" t="s">
        <v>1575</v>
      </c>
      <c r="T3373" s="10" t="s">
        <v>1575</v>
      </c>
      <c r="U3373" s="10" t="s">
        <v>1575</v>
      </c>
      <c r="V3373" s="10" t="s">
        <v>1575</v>
      </c>
      <c r="W3373" s="10" t="s">
        <v>1575</v>
      </c>
      <c r="X3373" s="10" t="str">
        <f t="shared" si="3198"/>
        <v>NA</v>
      </c>
      <c r="Y3373" s="10" t="str">
        <f t="shared" si="3199"/>
        <v>NA</v>
      </c>
      <c r="Z3373" s="10" t="str">
        <f t="shared" si="3200"/>
        <v>NA</v>
      </c>
      <c r="AA3373" s="10" t="str">
        <f t="shared" si="3201"/>
        <v>NA</v>
      </c>
      <c r="AB3373" s="10" t="str">
        <f t="shared" si="3202"/>
        <v>NA</v>
      </c>
      <c r="AC3373" s="10" t="str">
        <f t="shared" si="3203"/>
        <v>NA</v>
      </c>
      <c r="AD3373" s="10" t="str">
        <f t="shared" si="3204"/>
        <v>NA</v>
      </c>
      <c r="AE3373" s="10" t="str">
        <f t="shared" si="3205"/>
        <v>NA</v>
      </c>
      <c r="AF3373" s="1" t="s">
        <v>3991</v>
      </c>
    </row>
    <row r="3374" spans="1:32" x14ac:dyDescent="0.2">
      <c r="A3374" s="1" t="s">
        <v>3992</v>
      </c>
      <c r="B3374" s="1" t="s">
        <v>5</v>
      </c>
      <c r="C3374" s="1" t="s">
        <v>1575</v>
      </c>
      <c r="D3374" s="1" t="s">
        <v>1580</v>
      </c>
      <c r="E3374" s="1" t="s">
        <v>1827</v>
      </c>
      <c r="F3374" s="1" t="s">
        <v>3997</v>
      </c>
      <c r="G3374" s="4">
        <v>1</v>
      </c>
      <c r="H3374" s="28">
        <v>41094</v>
      </c>
      <c r="I3374" s="29">
        <f t="shared" si="3297"/>
        <v>2012</v>
      </c>
      <c r="J3374" s="1" t="s">
        <v>7</v>
      </c>
      <c r="K3374" s="1" t="s">
        <v>3967</v>
      </c>
      <c r="L3374" s="11" t="str">
        <f t="shared" si="3296"/>
        <v>НЕТ</v>
      </c>
      <c r="M3374" s="10">
        <v>8.3000000000000007</v>
      </c>
      <c r="N3374" s="10">
        <v>0</v>
      </c>
      <c r="O3374" s="10">
        <v>0.27200000000000002</v>
      </c>
      <c r="P3374" s="10">
        <f t="shared" si="3194"/>
        <v>0.27200000000000002</v>
      </c>
      <c r="Q3374" s="10" t="str">
        <f t="shared" si="3195"/>
        <v>NA</v>
      </c>
      <c r="R3374" s="10" t="s">
        <v>1575</v>
      </c>
      <c r="S3374" s="10" t="s">
        <v>1575</v>
      </c>
      <c r="T3374" s="10" t="s">
        <v>1575</v>
      </c>
      <c r="U3374" s="10" t="s">
        <v>1575</v>
      </c>
      <c r="V3374" s="10">
        <v>8.1000000000000003E-2</v>
      </c>
      <c r="W3374" s="10" t="s">
        <v>1575</v>
      </c>
      <c r="X3374" s="10" t="str">
        <f t="shared" si="3198"/>
        <v>NA</v>
      </c>
      <c r="Y3374" s="10" t="str">
        <f t="shared" si="3199"/>
        <v>NA</v>
      </c>
      <c r="Z3374" s="10" t="str">
        <f t="shared" si="3200"/>
        <v>NA</v>
      </c>
      <c r="AA3374" s="10">
        <f t="shared" si="3201"/>
        <v>3.3580246913580249</v>
      </c>
      <c r="AB3374" s="10" t="str">
        <f t="shared" si="3202"/>
        <v>NA</v>
      </c>
      <c r="AC3374" s="10" t="str">
        <f t="shared" si="3203"/>
        <v>NA</v>
      </c>
      <c r="AD3374" s="10" t="str">
        <f t="shared" si="3204"/>
        <v>NA</v>
      </c>
      <c r="AE3374" s="10" t="str">
        <f t="shared" si="3205"/>
        <v>NA</v>
      </c>
      <c r="AF3374" s="1" t="s">
        <v>3998</v>
      </c>
    </row>
    <row r="3375" spans="1:32" x14ac:dyDescent="0.2">
      <c r="A3375" s="1" t="s">
        <v>4002</v>
      </c>
      <c r="B3375" s="1" t="s">
        <v>179</v>
      </c>
      <c r="C3375" s="1" t="s">
        <v>1575</v>
      </c>
      <c r="D3375" s="1" t="s">
        <v>1813</v>
      </c>
      <c r="E3375" s="1" t="s">
        <v>1587</v>
      </c>
      <c r="F3375" s="1" t="s">
        <v>4003</v>
      </c>
      <c r="G3375" s="4">
        <v>0.51</v>
      </c>
      <c r="H3375" s="28">
        <v>40816</v>
      </c>
      <c r="I3375" s="29">
        <f t="shared" si="3297"/>
        <v>2011</v>
      </c>
      <c r="J3375" s="1" t="s">
        <v>3967</v>
      </c>
      <c r="K3375" s="1" t="s">
        <v>7</v>
      </c>
      <c r="L3375" s="11" t="str">
        <f t="shared" si="3296"/>
        <v>НЕТ</v>
      </c>
      <c r="M3375" s="10">
        <v>0.9</v>
      </c>
      <c r="N3375" s="10">
        <v>0</v>
      </c>
      <c r="O3375" s="10">
        <v>2.7E-2</v>
      </c>
      <c r="P3375" s="10">
        <f t="shared" si="3194"/>
        <v>5.2941176470588235E-2</v>
      </c>
      <c r="Q3375" s="10" t="str">
        <f t="shared" si="3195"/>
        <v>NA</v>
      </c>
      <c r="R3375" s="10" t="s">
        <v>1575</v>
      </c>
      <c r="S3375" s="10" t="s">
        <v>1575</v>
      </c>
      <c r="T3375" s="10" t="s">
        <v>1575</v>
      </c>
      <c r="U3375" s="10" t="s">
        <v>1575</v>
      </c>
      <c r="V3375" s="10">
        <v>6.0000000000000002E-5</v>
      </c>
      <c r="W3375" s="10" t="s">
        <v>1575</v>
      </c>
      <c r="X3375" s="10" t="str">
        <f t="shared" si="3198"/>
        <v>NA</v>
      </c>
      <c r="Y3375" s="10" t="str">
        <f t="shared" si="3199"/>
        <v>NA</v>
      </c>
      <c r="Z3375" s="10" t="str">
        <f t="shared" si="3200"/>
        <v>NA</v>
      </c>
      <c r="AA3375" s="10">
        <f t="shared" si="3201"/>
        <v>882.35294117647061</v>
      </c>
      <c r="AB3375" s="10" t="str">
        <f t="shared" si="3202"/>
        <v>NA</v>
      </c>
      <c r="AC3375" s="10" t="str">
        <f t="shared" si="3203"/>
        <v>NA</v>
      </c>
      <c r="AD3375" s="10" t="str">
        <f t="shared" si="3204"/>
        <v>NA</v>
      </c>
      <c r="AE3375" s="10" t="str">
        <f t="shared" si="3205"/>
        <v>NA</v>
      </c>
      <c r="AF3375" s="1" t="s">
        <v>4004</v>
      </c>
    </row>
    <row r="3376" spans="1:32" x14ac:dyDescent="0.2">
      <c r="A3376" s="1" t="s">
        <v>6904</v>
      </c>
      <c r="B3376" s="1" t="s">
        <v>5</v>
      </c>
      <c r="C3376" s="1" t="s">
        <v>1575</v>
      </c>
      <c r="D3376" s="1" t="s">
        <v>1595</v>
      </c>
      <c r="E3376" s="16" t="s">
        <v>9208</v>
      </c>
      <c r="F3376" s="1" t="s">
        <v>3985</v>
      </c>
      <c r="G3376" s="4">
        <v>0.75</v>
      </c>
      <c r="H3376" s="28">
        <v>40543</v>
      </c>
      <c r="I3376" s="29">
        <f t="shared" si="3215"/>
        <v>2010</v>
      </c>
      <c r="J3376" s="1" t="s">
        <v>3967</v>
      </c>
      <c r="K3376" s="1" t="s">
        <v>7</v>
      </c>
      <c r="L3376" s="11" t="str">
        <f t="shared" ref="L3376" si="3298">IF(OR(A3376=J3376,A3376=K3376),"ДА","НЕТ")</f>
        <v>НЕТ</v>
      </c>
      <c r="M3376" s="10">
        <v>0</v>
      </c>
      <c r="N3376" s="10">
        <v>0</v>
      </c>
      <c r="O3376" s="10" t="s">
        <v>1575</v>
      </c>
      <c r="P3376" s="10" t="str">
        <f t="shared" si="3194"/>
        <v>NA</v>
      </c>
      <c r="Q3376" s="10" t="str">
        <f t="shared" si="3195"/>
        <v>NA</v>
      </c>
      <c r="R3376" s="10" t="s">
        <v>1575</v>
      </c>
      <c r="S3376" s="10" t="s">
        <v>1575</v>
      </c>
      <c r="T3376" s="10" t="s">
        <v>1575</v>
      </c>
      <c r="U3376" s="10" t="s">
        <v>1575</v>
      </c>
      <c r="V3376" s="10">
        <v>-4.5999999999999999E-3</v>
      </c>
      <c r="W3376" s="10" t="s">
        <v>1575</v>
      </c>
      <c r="X3376" s="10" t="str">
        <f t="shared" si="3198"/>
        <v>NA</v>
      </c>
      <c r="Y3376" s="10" t="str">
        <f t="shared" si="3199"/>
        <v>NA</v>
      </c>
      <c r="Z3376" s="10" t="str">
        <f t="shared" si="3200"/>
        <v>NA</v>
      </c>
      <c r="AA3376" s="10" t="str">
        <f t="shared" si="3201"/>
        <v>NA</v>
      </c>
      <c r="AB3376" s="10" t="str">
        <f t="shared" si="3202"/>
        <v>NA</v>
      </c>
      <c r="AC3376" s="10" t="str">
        <f t="shared" si="3203"/>
        <v>NA</v>
      </c>
      <c r="AD3376" s="10" t="str">
        <f t="shared" si="3204"/>
        <v>NA</v>
      </c>
      <c r="AE3376" s="10" t="str">
        <f t="shared" si="3205"/>
        <v>NA</v>
      </c>
      <c r="AF3376" s="1" t="s">
        <v>3987</v>
      </c>
    </row>
    <row r="3377" spans="1:32" x14ac:dyDescent="0.2">
      <c r="A3377" s="1" t="s">
        <v>3967</v>
      </c>
      <c r="B3377" s="1" t="s">
        <v>5</v>
      </c>
      <c r="C3377" s="1" t="s">
        <v>3989</v>
      </c>
      <c r="D3377" s="1" t="s">
        <v>1582</v>
      </c>
      <c r="E3377" s="1" t="s">
        <v>2019</v>
      </c>
      <c r="F3377" s="1" t="s">
        <v>668</v>
      </c>
      <c r="G3377" s="4">
        <f>10.748197/140</f>
        <v>7.6772835714285712E-2</v>
      </c>
      <c r="H3377" s="28">
        <v>40543</v>
      </c>
      <c r="I3377" s="29">
        <f t="shared" ref="I3377:I3386" si="3299">YEAR(H3377)</f>
        <v>2010</v>
      </c>
      <c r="J3377" s="1" t="s">
        <v>3967</v>
      </c>
      <c r="K3377" s="1" t="s">
        <v>7</v>
      </c>
      <c r="L3377" s="11" t="str">
        <f t="shared" ref="L3377" si="3300">IF(OR(A3377=J3377,A3377=K3377),"ДА","НЕТ")</f>
        <v>ДА</v>
      </c>
      <c r="M3377" s="10">
        <f>10.748197*0.23</f>
        <v>2.4720853099999998</v>
      </c>
      <c r="N3377" s="10">
        <v>0</v>
      </c>
      <c r="O3377" s="10">
        <f>10.748197*6.98/1000</f>
        <v>7.502241506E-2</v>
      </c>
      <c r="P3377" s="10">
        <f t="shared" si="3194"/>
        <v>0.97720000000000007</v>
      </c>
      <c r="Q3377" s="10">
        <f t="shared" si="3195"/>
        <v>7.2362000000000002</v>
      </c>
      <c r="R3377" s="10" t="s">
        <v>1575</v>
      </c>
      <c r="S3377" s="10" t="s">
        <v>1575</v>
      </c>
      <c r="T3377" s="10" t="s">
        <v>1575</v>
      </c>
      <c r="U3377" s="10" t="s">
        <v>1575</v>
      </c>
      <c r="V3377" s="10">
        <v>-5.0149999999999988</v>
      </c>
      <c r="W3377" s="10">
        <v>6.2590000000000003</v>
      </c>
      <c r="X3377" s="10">
        <f t="shared" si="3198"/>
        <v>1.2440000000000015</v>
      </c>
      <c r="Y3377" s="10" t="str">
        <f t="shared" si="3199"/>
        <v>NA</v>
      </c>
      <c r="Z3377" s="10" t="str">
        <f t="shared" si="3200"/>
        <v>NA</v>
      </c>
      <c r="AA3377" s="10">
        <f t="shared" si="3201"/>
        <v>-0.19485543369890335</v>
      </c>
      <c r="AB3377" s="10" t="str">
        <f t="shared" si="3202"/>
        <v>NA</v>
      </c>
      <c r="AC3377" s="10" t="str">
        <f t="shared" si="3203"/>
        <v>NA</v>
      </c>
      <c r="AD3377" s="10" t="str">
        <f t="shared" si="3204"/>
        <v>NA</v>
      </c>
      <c r="AE3377" s="10">
        <f t="shared" si="3205"/>
        <v>5.8168810289388997</v>
      </c>
      <c r="AF3377" s="1" t="s">
        <v>3988</v>
      </c>
    </row>
    <row r="3378" spans="1:32" x14ac:dyDescent="0.2">
      <c r="A3378" s="1" t="s">
        <v>4017</v>
      </c>
      <c r="B3378" s="1" t="s">
        <v>1575</v>
      </c>
      <c r="C3378" s="1" t="s">
        <v>1575</v>
      </c>
      <c r="D3378" s="1" t="s">
        <v>1813</v>
      </c>
      <c r="E3378" s="1" t="s">
        <v>1587</v>
      </c>
      <c r="F3378" s="1" t="s">
        <v>3999</v>
      </c>
      <c r="G3378" s="4">
        <v>0.25</v>
      </c>
      <c r="H3378" s="28">
        <v>40543</v>
      </c>
      <c r="I3378" s="29">
        <f t="shared" si="3299"/>
        <v>2010</v>
      </c>
      <c r="J3378" s="1" t="s">
        <v>3967</v>
      </c>
      <c r="K3378" s="1" t="s">
        <v>7</v>
      </c>
      <c r="L3378" s="11" t="str">
        <f t="shared" ref="L3378:L3379" si="3301">IF(OR(A3378=J3378,A3378=K3378),"ДА","НЕТ")</f>
        <v>НЕТ</v>
      </c>
      <c r="M3378" s="10">
        <v>2</v>
      </c>
      <c r="N3378" s="10">
        <v>0</v>
      </c>
      <c r="O3378" s="10">
        <v>7.5999999999999998E-2</v>
      </c>
      <c r="P3378" s="10">
        <f t="shared" si="3194"/>
        <v>0.30399999999999999</v>
      </c>
      <c r="Q3378" s="10" t="str">
        <f t="shared" si="3195"/>
        <v>NA</v>
      </c>
      <c r="R3378" s="10" t="s">
        <v>1575</v>
      </c>
      <c r="S3378" s="10" t="s">
        <v>1575</v>
      </c>
      <c r="T3378" s="10" t="s">
        <v>1575</v>
      </c>
      <c r="U3378" s="10" t="s">
        <v>1575</v>
      </c>
      <c r="V3378" s="10" t="s">
        <v>1575</v>
      </c>
      <c r="W3378" s="10" t="s">
        <v>1575</v>
      </c>
      <c r="X3378" s="10" t="str">
        <f t="shared" si="3198"/>
        <v>NA</v>
      </c>
      <c r="Y3378" s="10" t="str">
        <f t="shared" si="3199"/>
        <v>NA</v>
      </c>
      <c r="Z3378" s="10" t="str">
        <f t="shared" si="3200"/>
        <v>NA</v>
      </c>
      <c r="AA3378" s="10" t="str">
        <f t="shared" si="3201"/>
        <v>NA</v>
      </c>
      <c r="AB3378" s="10" t="str">
        <f t="shared" si="3202"/>
        <v>NA</v>
      </c>
      <c r="AC3378" s="10" t="str">
        <f t="shared" si="3203"/>
        <v>NA</v>
      </c>
      <c r="AD3378" s="10" t="str">
        <f t="shared" si="3204"/>
        <v>NA</v>
      </c>
      <c r="AE3378" s="10" t="str">
        <f t="shared" si="3205"/>
        <v>NA</v>
      </c>
      <c r="AF3378" s="1" t="s">
        <v>4020</v>
      </c>
    </row>
    <row r="3379" spans="1:32" x14ac:dyDescent="0.2">
      <c r="A3379" s="1" t="s">
        <v>4018</v>
      </c>
      <c r="B3379" s="1" t="s">
        <v>1575</v>
      </c>
      <c r="C3379" s="1" t="s">
        <v>1575</v>
      </c>
      <c r="D3379" s="1" t="s">
        <v>1813</v>
      </c>
      <c r="E3379" s="1" t="s">
        <v>1587</v>
      </c>
      <c r="F3379" s="1" t="s">
        <v>3999</v>
      </c>
      <c r="G3379" s="4">
        <v>0.45</v>
      </c>
      <c r="H3379" s="28">
        <v>40543</v>
      </c>
      <c r="I3379" s="29">
        <f t="shared" si="3299"/>
        <v>2010</v>
      </c>
      <c r="J3379" s="1" t="s">
        <v>3967</v>
      </c>
      <c r="K3379" s="1" t="s">
        <v>7</v>
      </c>
      <c r="L3379" s="11" t="str">
        <f t="shared" si="3301"/>
        <v>НЕТ</v>
      </c>
      <c r="M3379" s="10">
        <v>2</v>
      </c>
      <c r="N3379" s="10">
        <v>0</v>
      </c>
      <c r="O3379" s="10">
        <v>0.06</v>
      </c>
      <c r="P3379" s="10">
        <f t="shared" si="3194"/>
        <v>0.13333333333333333</v>
      </c>
      <c r="Q3379" s="10" t="str">
        <f t="shared" si="3195"/>
        <v>NA</v>
      </c>
      <c r="R3379" s="10" t="s">
        <v>1575</v>
      </c>
      <c r="S3379" s="10" t="s">
        <v>1575</v>
      </c>
      <c r="T3379" s="10" t="s">
        <v>1575</v>
      </c>
      <c r="U3379" s="10" t="s">
        <v>1575</v>
      </c>
      <c r="V3379" s="10" t="s">
        <v>1575</v>
      </c>
      <c r="W3379" s="10" t="s">
        <v>1575</v>
      </c>
      <c r="X3379" s="10" t="str">
        <f t="shared" si="3198"/>
        <v>NA</v>
      </c>
      <c r="Y3379" s="10" t="str">
        <f t="shared" si="3199"/>
        <v>NA</v>
      </c>
      <c r="Z3379" s="10" t="str">
        <f t="shared" si="3200"/>
        <v>NA</v>
      </c>
      <c r="AA3379" s="10" t="str">
        <f t="shared" si="3201"/>
        <v>NA</v>
      </c>
      <c r="AB3379" s="10" t="str">
        <f t="shared" si="3202"/>
        <v>NA</v>
      </c>
      <c r="AC3379" s="10" t="str">
        <f t="shared" si="3203"/>
        <v>NA</v>
      </c>
      <c r="AD3379" s="10" t="str">
        <f t="shared" si="3204"/>
        <v>NA</v>
      </c>
      <c r="AE3379" s="10" t="str">
        <f t="shared" si="3205"/>
        <v>NA</v>
      </c>
      <c r="AF3379" s="1" t="s">
        <v>4019</v>
      </c>
    </row>
    <row r="3380" spans="1:32" x14ac:dyDescent="0.2">
      <c r="A3380" s="1" t="s">
        <v>3992</v>
      </c>
      <c r="B3380" s="1" t="s">
        <v>5</v>
      </c>
      <c r="C3380" s="1" t="s">
        <v>1575</v>
      </c>
      <c r="D3380" s="1" t="s">
        <v>1580</v>
      </c>
      <c r="E3380" s="1" t="s">
        <v>1827</v>
      </c>
      <c r="F3380" s="1" t="s">
        <v>3997</v>
      </c>
      <c r="G3380" s="4">
        <v>0.74</v>
      </c>
      <c r="H3380" s="28">
        <v>39903</v>
      </c>
      <c r="I3380" s="29">
        <f t="shared" si="3299"/>
        <v>2009</v>
      </c>
      <c r="J3380" s="1" t="s">
        <v>3967</v>
      </c>
      <c r="K3380" s="1" t="s">
        <v>7</v>
      </c>
      <c r="L3380" s="11" t="str">
        <f t="shared" ref="L3380:L3382" si="3302">IF(OR(A3380=J3380,A3380=K3380),"ДА","НЕТ")</f>
        <v>НЕТ</v>
      </c>
      <c r="M3380" s="10">
        <v>3</v>
      </c>
      <c r="N3380" s="10">
        <v>0</v>
      </c>
      <c r="O3380" s="10">
        <v>0.09</v>
      </c>
      <c r="P3380" s="10">
        <f t="shared" si="3194"/>
        <v>0.12162162162162161</v>
      </c>
      <c r="Q3380" s="10">
        <f t="shared" si="3195"/>
        <v>0.12062162162162161</v>
      </c>
      <c r="R3380" s="10" t="s">
        <v>1575</v>
      </c>
      <c r="S3380" s="10" t="s">
        <v>1575</v>
      </c>
      <c r="T3380" s="10" t="s">
        <v>1575</v>
      </c>
      <c r="U3380" s="10" t="s">
        <v>1575</v>
      </c>
      <c r="V3380" s="10">
        <v>-1.2999999999999999E-2</v>
      </c>
      <c r="W3380" s="10">
        <f>0.001+0.002-0.004</f>
        <v>-1E-3</v>
      </c>
      <c r="X3380" s="10">
        <f t="shared" si="3198"/>
        <v>-1.3999999999999999E-2</v>
      </c>
      <c r="Y3380" s="10" t="str">
        <f t="shared" si="3199"/>
        <v>NA</v>
      </c>
      <c r="Z3380" s="10" t="str">
        <f t="shared" si="3200"/>
        <v>NA</v>
      </c>
      <c r="AA3380" s="10">
        <f t="shared" si="3201"/>
        <v>-9.3555093555093549</v>
      </c>
      <c r="AB3380" s="10" t="str">
        <f t="shared" si="3202"/>
        <v>NA</v>
      </c>
      <c r="AC3380" s="10" t="str">
        <f t="shared" si="3203"/>
        <v>NA</v>
      </c>
      <c r="AD3380" s="10" t="str">
        <f t="shared" si="3204"/>
        <v>NA</v>
      </c>
      <c r="AE3380" s="10">
        <f t="shared" si="3205"/>
        <v>-8.615830115830116</v>
      </c>
      <c r="AF3380" s="1" t="s">
        <v>4007</v>
      </c>
    </row>
    <row r="3381" spans="1:32" x14ac:dyDescent="0.2">
      <c r="A3381" s="1" t="s">
        <v>6909</v>
      </c>
      <c r="B3381" s="1" t="s">
        <v>5</v>
      </c>
      <c r="C3381" s="1" t="s">
        <v>1575</v>
      </c>
      <c r="D3381" s="1" t="s">
        <v>1582</v>
      </c>
      <c r="E3381" s="1" t="s">
        <v>2166</v>
      </c>
      <c r="F3381" s="1" t="s">
        <v>3977</v>
      </c>
      <c r="G3381" s="4">
        <v>0.41</v>
      </c>
      <c r="H3381" s="28">
        <v>40178</v>
      </c>
      <c r="I3381" s="29">
        <f t="shared" si="3299"/>
        <v>2009</v>
      </c>
      <c r="J3381" s="1" t="s">
        <v>7</v>
      </c>
      <c r="K3381" s="1" t="s">
        <v>3967</v>
      </c>
      <c r="L3381" s="11" t="str">
        <f t="shared" si="3302"/>
        <v>НЕТ</v>
      </c>
      <c r="M3381" s="10">
        <v>0</v>
      </c>
      <c r="N3381" s="10">
        <v>0</v>
      </c>
      <c r="O3381" s="10">
        <v>0</v>
      </c>
      <c r="P3381" s="10">
        <f t="shared" si="3194"/>
        <v>0</v>
      </c>
      <c r="Q3381" s="10" t="str">
        <f t="shared" si="3195"/>
        <v>NA</v>
      </c>
      <c r="R3381" s="10" t="s">
        <v>1575</v>
      </c>
      <c r="S3381" s="10" t="s">
        <v>1575</v>
      </c>
      <c r="T3381" s="10" t="s">
        <v>1575</v>
      </c>
      <c r="U3381" s="10" t="s">
        <v>1575</v>
      </c>
      <c r="V3381" s="10" t="s">
        <v>1575</v>
      </c>
      <c r="W3381" s="10" t="s">
        <v>1575</v>
      </c>
      <c r="X3381" s="10" t="str">
        <f t="shared" si="3198"/>
        <v>NA</v>
      </c>
      <c r="Y3381" s="10" t="str">
        <f t="shared" si="3199"/>
        <v>NA</v>
      </c>
      <c r="Z3381" s="10" t="str">
        <f t="shared" si="3200"/>
        <v>NA</v>
      </c>
      <c r="AA3381" s="10" t="str">
        <f t="shared" si="3201"/>
        <v>NA</v>
      </c>
      <c r="AB3381" s="10" t="str">
        <f t="shared" si="3202"/>
        <v>NA</v>
      </c>
      <c r="AC3381" s="10" t="str">
        <f t="shared" si="3203"/>
        <v>NA</v>
      </c>
      <c r="AD3381" s="10" t="str">
        <f t="shared" si="3204"/>
        <v>NA</v>
      </c>
      <c r="AE3381" s="10" t="str">
        <f t="shared" si="3205"/>
        <v>NA</v>
      </c>
      <c r="AF3381" s="1" t="s">
        <v>4008</v>
      </c>
    </row>
    <row r="3382" spans="1:32" x14ac:dyDescent="0.2">
      <c r="A3382" s="1" t="s">
        <v>6909</v>
      </c>
      <c r="B3382" s="1" t="s">
        <v>5</v>
      </c>
      <c r="C3382" s="1" t="s">
        <v>1575</v>
      </c>
      <c r="D3382" s="1" t="s">
        <v>1582</v>
      </c>
      <c r="E3382" s="1" t="s">
        <v>2166</v>
      </c>
      <c r="F3382" s="1" t="s">
        <v>3977</v>
      </c>
      <c r="G3382" s="4">
        <v>0.1</v>
      </c>
      <c r="H3382" s="28">
        <v>39691</v>
      </c>
      <c r="I3382" s="29">
        <f t="shared" si="3299"/>
        <v>2008</v>
      </c>
      <c r="J3382" s="1" t="s">
        <v>7</v>
      </c>
      <c r="K3382" s="1" t="s">
        <v>3967</v>
      </c>
      <c r="L3382" s="11" t="str">
        <f t="shared" si="3302"/>
        <v>НЕТ</v>
      </c>
      <c r="M3382" s="10">
        <v>0</v>
      </c>
      <c r="N3382" s="10">
        <v>0</v>
      </c>
      <c r="O3382" s="10">
        <v>0</v>
      </c>
      <c r="P3382" s="10">
        <f t="shared" si="3194"/>
        <v>0</v>
      </c>
      <c r="Q3382" s="10" t="str">
        <f t="shared" si="3195"/>
        <v>NA</v>
      </c>
      <c r="R3382" s="10" t="s">
        <v>1575</v>
      </c>
      <c r="S3382" s="10" t="s">
        <v>1575</v>
      </c>
      <c r="T3382" s="10" t="s">
        <v>1575</v>
      </c>
      <c r="U3382" s="10" t="s">
        <v>1575</v>
      </c>
      <c r="V3382" s="10">
        <f>0.024-0.036</f>
        <v>-1.1999999999999997E-2</v>
      </c>
      <c r="W3382" s="10" t="s">
        <v>1575</v>
      </c>
      <c r="X3382" s="10" t="str">
        <f t="shared" si="3198"/>
        <v>NA</v>
      </c>
      <c r="Y3382" s="10" t="str">
        <f t="shared" si="3199"/>
        <v>NA</v>
      </c>
      <c r="Z3382" s="10" t="str">
        <f t="shared" si="3200"/>
        <v>NA</v>
      </c>
      <c r="AA3382" s="10">
        <f t="shared" si="3201"/>
        <v>0</v>
      </c>
      <c r="AB3382" s="10" t="str">
        <f t="shared" si="3202"/>
        <v>NA</v>
      </c>
      <c r="AC3382" s="10" t="str">
        <f t="shared" si="3203"/>
        <v>NA</v>
      </c>
      <c r="AD3382" s="10" t="str">
        <f t="shared" si="3204"/>
        <v>NA</v>
      </c>
      <c r="AE3382" s="10" t="str">
        <f t="shared" si="3205"/>
        <v>NA</v>
      </c>
      <c r="AF3382" s="1" t="s">
        <v>4014</v>
      </c>
    </row>
    <row r="3383" spans="1:32" x14ac:dyDescent="0.2">
      <c r="A3383" s="1" t="s">
        <v>4011</v>
      </c>
      <c r="B3383" s="1" t="s">
        <v>1575</v>
      </c>
      <c r="C3383" s="1" t="s">
        <v>1575</v>
      </c>
      <c r="D3383" s="1" t="s">
        <v>1582</v>
      </c>
      <c r="E3383" s="1" t="s">
        <v>2166</v>
      </c>
      <c r="F3383" s="1" t="s">
        <v>3977</v>
      </c>
      <c r="G3383" s="4">
        <v>0.08</v>
      </c>
      <c r="H3383" s="28">
        <v>39813</v>
      </c>
      <c r="I3383" s="29">
        <f t="shared" si="3299"/>
        <v>2008</v>
      </c>
      <c r="J3383" s="1" t="s">
        <v>3967</v>
      </c>
      <c r="K3383" s="1" t="s">
        <v>7</v>
      </c>
      <c r="L3383" s="11" t="str">
        <f t="shared" ref="L3383:L3385" si="3303">IF(OR(A3383=J3383,A3383=K3383),"ДА","НЕТ")</f>
        <v>НЕТ</v>
      </c>
      <c r="M3383" s="10">
        <f>6+0.2</f>
        <v>6.2</v>
      </c>
      <c r="N3383" s="10">
        <v>0</v>
      </c>
      <c r="O3383" s="10">
        <f>0.176+0.006</f>
        <v>0.182</v>
      </c>
      <c r="P3383" s="10">
        <f t="shared" si="3194"/>
        <v>2.2749999999999999</v>
      </c>
      <c r="Q3383" s="10" t="str">
        <f t="shared" si="3195"/>
        <v>NA</v>
      </c>
      <c r="R3383" s="10" t="s">
        <v>1575</v>
      </c>
      <c r="S3383" s="10" t="s">
        <v>1575</v>
      </c>
      <c r="T3383" s="10" t="s">
        <v>1575</v>
      </c>
      <c r="U3383" s="10" t="s">
        <v>1575</v>
      </c>
      <c r="V3383" s="10" t="s">
        <v>1575</v>
      </c>
      <c r="W3383" s="10" t="s">
        <v>1575</v>
      </c>
      <c r="X3383" s="10" t="str">
        <f t="shared" si="3198"/>
        <v>NA</v>
      </c>
      <c r="Y3383" s="10" t="str">
        <f t="shared" si="3199"/>
        <v>NA</v>
      </c>
      <c r="Z3383" s="10" t="str">
        <f t="shared" si="3200"/>
        <v>NA</v>
      </c>
      <c r="AA3383" s="10" t="str">
        <f t="shared" si="3201"/>
        <v>NA</v>
      </c>
      <c r="AB3383" s="10" t="str">
        <f t="shared" si="3202"/>
        <v>NA</v>
      </c>
      <c r="AC3383" s="10" t="str">
        <f t="shared" si="3203"/>
        <v>NA</v>
      </c>
      <c r="AD3383" s="10" t="str">
        <f t="shared" si="3204"/>
        <v>NA</v>
      </c>
      <c r="AE3383" s="10" t="str">
        <f t="shared" si="3205"/>
        <v>NA</v>
      </c>
      <c r="AF3383" s="1" t="s">
        <v>4013</v>
      </c>
    </row>
    <row r="3384" spans="1:32" x14ac:dyDescent="0.2">
      <c r="A3384" s="1" t="s">
        <v>4010</v>
      </c>
      <c r="B3384" s="1" t="s">
        <v>1575</v>
      </c>
      <c r="C3384" s="1" t="s">
        <v>1575</v>
      </c>
      <c r="D3384" s="1" t="s">
        <v>1813</v>
      </c>
      <c r="E3384" s="1" t="s">
        <v>1587</v>
      </c>
      <c r="F3384" s="1" t="s">
        <v>3999</v>
      </c>
      <c r="G3384" s="4">
        <v>0.4</v>
      </c>
      <c r="H3384" s="28">
        <v>39813</v>
      </c>
      <c r="I3384" s="29">
        <f t="shared" si="3299"/>
        <v>2008</v>
      </c>
      <c r="J3384" s="1" t="s">
        <v>3967</v>
      </c>
      <c r="K3384" s="1" t="s">
        <v>7</v>
      </c>
      <c r="L3384" s="11" t="str">
        <f t="shared" si="3303"/>
        <v>НЕТ</v>
      </c>
      <c r="M3384" s="10">
        <v>0</v>
      </c>
      <c r="N3384" s="10">
        <v>0</v>
      </c>
      <c r="O3384" s="10" t="s">
        <v>1575</v>
      </c>
      <c r="P3384" s="10" t="str">
        <f t="shared" si="3194"/>
        <v>NA</v>
      </c>
      <c r="Q3384" s="10" t="str">
        <f t="shared" si="3195"/>
        <v>NA</v>
      </c>
      <c r="R3384" s="10" t="s">
        <v>1575</v>
      </c>
      <c r="S3384" s="10" t="s">
        <v>1575</v>
      </c>
      <c r="T3384" s="10" t="s">
        <v>1575</v>
      </c>
      <c r="U3384" s="10" t="s">
        <v>1575</v>
      </c>
      <c r="V3384" s="10" t="s">
        <v>1575</v>
      </c>
      <c r="W3384" s="10" t="s">
        <v>1575</v>
      </c>
      <c r="X3384" s="10" t="str">
        <f t="shared" si="3198"/>
        <v>NA</v>
      </c>
      <c r="Y3384" s="10" t="str">
        <f t="shared" si="3199"/>
        <v>NA</v>
      </c>
      <c r="Z3384" s="10" t="str">
        <f t="shared" si="3200"/>
        <v>NA</v>
      </c>
      <c r="AA3384" s="10" t="str">
        <f t="shared" si="3201"/>
        <v>NA</v>
      </c>
      <c r="AB3384" s="10" t="str">
        <f t="shared" si="3202"/>
        <v>NA</v>
      </c>
      <c r="AC3384" s="10" t="str">
        <f t="shared" si="3203"/>
        <v>NA</v>
      </c>
      <c r="AD3384" s="10" t="str">
        <f t="shared" si="3204"/>
        <v>NA</v>
      </c>
      <c r="AE3384" s="10" t="str">
        <f t="shared" si="3205"/>
        <v>NA</v>
      </c>
      <c r="AF3384" s="1" t="s">
        <v>4009</v>
      </c>
    </row>
    <row r="3385" spans="1:32" x14ac:dyDescent="0.2">
      <c r="A3385" s="1" t="s">
        <v>4012</v>
      </c>
      <c r="B3385" s="1" t="s">
        <v>1575</v>
      </c>
      <c r="C3385" s="1" t="s">
        <v>1575</v>
      </c>
      <c r="D3385" s="1" t="s">
        <v>1813</v>
      </c>
      <c r="E3385" s="1" t="s">
        <v>1587</v>
      </c>
      <c r="F3385" s="1" t="s">
        <v>3999</v>
      </c>
      <c r="G3385" s="4">
        <v>0.51</v>
      </c>
      <c r="H3385" s="28">
        <v>39813</v>
      </c>
      <c r="I3385" s="29">
        <f t="shared" si="3299"/>
        <v>2008</v>
      </c>
      <c r="J3385" s="1" t="s">
        <v>3967</v>
      </c>
      <c r="K3385" s="1" t="s">
        <v>7</v>
      </c>
      <c r="L3385" s="11" t="str">
        <f t="shared" si="3303"/>
        <v>НЕТ</v>
      </c>
      <c r="M3385" s="10">
        <v>0</v>
      </c>
      <c r="N3385" s="10">
        <v>0</v>
      </c>
      <c r="O3385" s="10" t="s">
        <v>1575</v>
      </c>
      <c r="P3385" s="10" t="str">
        <f t="shared" si="3194"/>
        <v>NA</v>
      </c>
      <c r="Q3385" s="10" t="str">
        <f t="shared" si="3195"/>
        <v>NA</v>
      </c>
      <c r="R3385" s="10" t="s">
        <v>1575</v>
      </c>
      <c r="S3385" s="10" t="s">
        <v>1575</v>
      </c>
      <c r="T3385" s="10" t="s">
        <v>1575</v>
      </c>
      <c r="U3385" s="10" t="s">
        <v>1575</v>
      </c>
      <c r="V3385" s="10" t="s">
        <v>1575</v>
      </c>
      <c r="W3385" s="10" t="s">
        <v>1575</v>
      </c>
      <c r="X3385" s="10" t="str">
        <f t="shared" si="3198"/>
        <v>NA</v>
      </c>
      <c r="Y3385" s="10" t="str">
        <f t="shared" si="3199"/>
        <v>NA</v>
      </c>
      <c r="Z3385" s="10" t="str">
        <f t="shared" si="3200"/>
        <v>NA</v>
      </c>
      <c r="AA3385" s="10" t="str">
        <f t="shared" si="3201"/>
        <v>NA</v>
      </c>
      <c r="AB3385" s="10" t="str">
        <f t="shared" si="3202"/>
        <v>NA</v>
      </c>
      <c r="AC3385" s="10" t="str">
        <f t="shared" si="3203"/>
        <v>NA</v>
      </c>
      <c r="AD3385" s="10" t="str">
        <f t="shared" si="3204"/>
        <v>NA</v>
      </c>
      <c r="AE3385" s="10" t="str">
        <f t="shared" si="3205"/>
        <v>NA</v>
      </c>
      <c r="AF3385" s="1" t="s">
        <v>4015</v>
      </c>
    </row>
    <row r="3386" spans="1:32" x14ac:dyDescent="0.2">
      <c r="A3386" s="1" t="s">
        <v>6910</v>
      </c>
      <c r="B3386" s="1" t="s">
        <v>5</v>
      </c>
      <c r="C3386" s="1" t="s">
        <v>1575</v>
      </c>
      <c r="D3386" s="1" t="s">
        <v>1595</v>
      </c>
      <c r="E3386" s="16" t="s">
        <v>9208</v>
      </c>
      <c r="F3386" s="1" t="s">
        <v>244</v>
      </c>
      <c r="G3386" s="4">
        <v>0.5</v>
      </c>
      <c r="H3386" s="28">
        <v>39447</v>
      </c>
      <c r="I3386" s="29">
        <f t="shared" si="3299"/>
        <v>2007</v>
      </c>
      <c r="J3386" s="1" t="s">
        <v>3967</v>
      </c>
      <c r="K3386" s="1" t="s">
        <v>7</v>
      </c>
      <c r="L3386" s="11" t="str">
        <f t="shared" ref="L3386" si="3304">IF(OR(A3386=J3386,A3386=K3386),"ДА","НЕТ")</f>
        <v>НЕТ</v>
      </c>
      <c r="M3386" s="10"/>
      <c r="N3386" s="10"/>
      <c r="O3386" s="10" t="s">
        <v>1575</v>
      </c>
      <c r="P3386" s="10" t="str">
        <f t="shared" si="3194"/>
        <v>NA</v>
      </c>
      <c r="Q3386" s="10" t="str">
        <f t="shared" si="3195"/>
        <v>NA</v>
      </c>
      <c r="R3386" s="10" t="s">
        <v>1575</v>
      </c>
      <c r="S3386" s="10" t="s">
        <v>1575</v>
      </c>
      <c r="T3386" s="10" t="s">
        <v>1575</v>
      </c>
      <c r="U3386" s="10" t="s">
        <v>1575</v>
      </c>
      <c r="V3386" s="10" t="s">
        <v>1575</v>
      </c>
      <c r="W3386" s="10" t="s">
        <v>1575</v>
      </c>
      <c r="X3386" s="10" t="str">
        <f t="shared" si="3198"/>
        <v>NA</v>
      </c>
      <c r="Y3386" s="10" t="str">
        <f t="shared" si="3199"/>
        <v>NA</v>
      </c>
      <c r="Z3386" s="10" t="str">
        <f t="shared" si="3200"/>
        <v>NA</v>
      </c>
      <c r="AA3386" s="10" t="str">
        <f t="shared" si="3201"/>
        <v>NA</v>
      </c>
      <c r="AB3386" s="10" t="str">
        <f t="shared" si="3202"/>
        <v>NA</v>
      </c>
      <c r="AC3386" s="10" t="str">
        <f t="shared" si="3203"/>
        <v>NA</v>
      </c>
      <c r="AD3386" s="10" t="str">
        <f t="shared" si="3204"/>
        <v>NA</v>
      </c>
      <c r="AE3386" s="10" t="str">
        <f t="shared" si="3205"/>
        <v>NA</v>
      </c>
      <c r="AF3386" s="1" t="s">
        <v>4016</v>
      </c>
    </row>
    <row r="3387" spans="1:32" x14ac:dyDescent="0.2">
      <c r="A3387" s="1" t="s">
        <v>6911</v>
      </c>
      <c r="B3387" s="1" t="s">
        <v>5</v>
      </c>
      <c r="C3387" s="1" t="s">
        <v>1575</v>
      </c>
      <c r="D3387" s="1" t="s">
        <v>1582</v>
      </c>
      <c r="E3387" s="1" t="s">
        <v>2019</v>
      </c>
      <c r="F3387" s="1" t="s">
        <v>2872</v>
      </c>
      <c r="G3387" s="4">
        <v>0.50999000000000005</v>
      </c>
      <c r="H3387" s="28">
        <v>42124</v>
      </c>
      <c r="I3387" s="29">
        <f t="shared" si="3125"/>
        <v>2015</v>
      </c>
      <c r="J3387" s="1" t="s">
        <v>7</v>
      </c>
      <c r="K3387" s="1" t="s">
        <v>2870</v>
      </c>
      <c r="L3387" s="11" t="str">
        <f t="shared" ref="L3387:L3388" si="3305">IF(OR(A3387=J3387,A3387=K3387),"ДА","НЕТ")</f>
        <v>НЕТ</v>
      </c>
      <c r="M3387" s="10">
        <v>0</v>
      </c>
      <c r="N3387" s="10">
        <v>0</v>
      </c>
      <c r="O3387" s="10">
        <v>0.815994</v>
      </c>
      <c r="P3387" s="10">
        <f t="shared" si="3194"/>
        <v>1.6000196082276121</v>
      </c>
      <c r="Q3387" s="10">
        <f t="shared" si="3195"/>
        <v>-1.7905323917723879</v>
      </c>
      <c r="R3387" s="10" t="s">
        <v>1575</v>
      </c>
      <c r="S3387" s="10" t="s">
        <v>1575</v>
      </c>
      <c r="T3387" s="10" t="s">
        <v>1575</v>
      </c>
      <c r="U3387" s="10" t="s">
        <v>1575</v>
      </c>
      <c r="V3387" s="10">
        <v>1.9005380000000001</v>
      </c>
      <c r="W3387" s="10">
        <f>0.00008+0.074884-3.465516</f>
        <v>-3.390552</v>
      </c>
      <c r="X3387" s="10">
        <f t="shared" si="3198"/>
        <v>-1.4900139999999999</v>
      </c>
      <c r="Y3387" s="10" t="str">
        <f t="shared" si="3199"/>
        <v>NA</v>
      </c>
      <c r="Z3387" s="10" t="str">
        <f t="shared" si="3200"/>
        <v>NA</v>
      </c>
      <c r="AA3387" s="10">
        <f t="shared" si="3201"/>
        <v>0.8418771991023658</v>
      </c>
      <c r="AB3387" s="10" t="str">
        <f t="shared" si="3202"/>
        <v>NA</v>
      </c>
      <c r="AC3387" s="10" t="str">
        <f t="shared" si="3203"/>
        <v>NA</v>
      </c>
      <c r="AD3387" s="10" t="str">
        <f t="shared" si="3204"/>
        <v>NA</v>
      </c>
      <c r="AE3387" s="10">
        <f t="shared" si="3205"/>
        <v>1.201688300762535</v>
      </c>
      <c r="AF3387" s="1" t="s">
        <v>2869</v>
      </c>
    </row>
    <row r="3388" spans="1:32" x14ac:dyDescent="0.2">
      <c r="A3388" s="1" t="s">
        <v>6911</v>
      </c>
      <c r="B3388" s="1" t="s">
        <v>5</v>
      </c>
      <c r="C3388" s="1" t="s">
        <v>1575</v>
      </c>
      <c r="D3388" s="1" t="s">
        <v>1582</v>
      </c>
      <c r="E3388" s="1" t="s">
        <v>2019</v>
      </c>
      <c r="F3388" s="1" t="s">
        <v>2872</v>
      </c>
      <c r="G3388" s="4">
        <f>100%-50.999%</f>
        <v>0.49000999999999995</v>
      </c>
      <c r="H3388" s="28">
        <v>42338</v>
      </c>
      <c r="I3388" s="29">
        <f t="shared" si="3125"/>
        <v>2015</v>
      </c>
      <c r="J3388" s="1" t="s">
        <v>7</v>
      </c>
      <c r="K3388" s="1" t="s">
        <v>2870</v>
      </c>
      <c r="L3388" s="11" t="str">
        <f t="shared" si="3305"/>
        <v>НЕТ</v>
      </c>
      <c r="M3388" s="10">
        <v>0</v>
      </c>
      <c r="N3388" s="10">
        <v>0</v>
      </c>
      <c r="O3388" s="10">
        <f>G3388*V3388-0.021415</f>
        <v>0.78400904688999995</v>
      </c>
      <c r="P3388" s="10">
        <f t="shared" si="3194"/>
        <v>1.5999858102691782</v>
      </c>
      <c r="Q3388" s="10">
        <f t="shared" si="3195"/>
        <v>-1.8138991897308219</v>
      </c>
      <c r="R3388" s="10" t="s">
        <v>1575</v>
      </c>
      <c r="S3388" s="10" t="s">
        <v>1575</v>
      </c>
      <c r="T3388" s="10" t="s">
        <v>1575</v>
      </c>
      <c r="U3388" s="10" t="s">
        <v>1575</v>
      </c>
      <c r="V3388" s="10">
        <v>1.643689</v>
      </c>
      <c r="W3388" s="10">
        <f>0.00008+0.078697-3.492662</f>
        <v>-3.4138850000000001</v>
      </c>
      <c r="X3388" s="10">
        <f t="shared" si="3198"/>
        <v>-1.7701960000000001</v>
      </c>
      <c r="Y3388" s="10" t="str">
        <f t="shared" si="3199"/>
        <v>NA</v>
      </c>
      <c r="Z3388" s="10" t="str">
        <f t="shared" si="3200"/>
        <v>NA</v>
      </c>
      <c r="AA3388" s="10">
        <f t="shared" si="3201"/>
        <v>0.97341152144303345</v>
      </c>
      <c r="AB3388" s="10" t="str">
        <f t="shared" si="3202"/>
        <v>NA</v>
      </c>
      <c r="AC3388" s="10" t="str">
        <f t="shared" si="3203"/>
        <v>NA</v>
      </c>
      <c r="AD3388" s="10" t="str">
        <f t="shared" si="3204"/>
        <v>NA</v>
      </c>
      <c r="AE3388" s="10">
        <f t="shared" si="3205"/>
        <v>1.02468833379514</v>
      </c>
      <c r="AF3388" s="1" t="s">
        <v>2877</v>
      </c>
    </row>
    <row r="3389" spans="1:32" x14ac:dyDescent="0.2">
      <c r="A3389" s="1" t="s">
        <v>6912</v>
      </c>
      <c r="B3389" s="1" t="s">
        <v>5</v>
      </c>
      <c r="C3389" s="1" t="s">
        <v>1575</v>
      </c>
      <c r="D3389" s="1" t="s">
        <v>1582</v>
      </c>
      <c r="E3389" s="1" t="s">
        <v>2019</v>
      </c>
      <c r="F3389" s="1" t="s">
        <v>2873</v>
      </c>
      <c r="G3389" s="4">
        <v>0.90910000000000002</v>
      </c>
      <c r="H3389" s="28">
        <v>42338</v>
      </c>
      <c r="I3389" s="29">
        <f t="shared" si="3125"/>
        <v>2015</v>
      </c>
      <c r="J3389" s="1" t="s">
        <v>7</v>
      </c>
      <c r="K3389" s="1" t="s">
        <v>2870</v>
      </c>
      <c r="L3389" s="11" t="str">
        <f t="shared" ref="L3389:L3392" si="3306">IF(OR(A3389=J3389,A3389=K3389),"ДА","НЕТ")</f>
        <v>НЕТ</v>
      </c>
      <c r="M3389" s="10">
        <v>0</v>
      </c>
      <c r="N3389" s="10">
        <v>0</v>
      </c>
      <c r="O3389" s="10">
        <v>1.0000000000000001E-5</v>
      </c>
      <c r="P3389" s="10">
        <f t="shared" si="3194"/>
        <v>1.099989000109999E-5</v>
      </c>
      <c r="Q3389" s="10">
        <f t="shared" si="3195"/>
        <v>1.099989000109999E-5</v>
      </c>
      <c r="R3389" s="10" t="s">
        <v>1575</v>
      </c>
      <c r="S3389" s="10" t="s">
        <v>1575</v>
      </c>
      <c r="T3389" s="10" t="s">
        <v>1575</v>
      </c>
      <c r="U3389" s="10" t="s">
        <v>1575</v>
      </c>
      <c r="V3389" s="10">
        <v>1.1E-5</v>
      </c>
      <c r="W3389" s="10">
        <v>0</v>
      </c>
      <c r="X3389" s="10">
        <f t="shared" si="3198"/>
        <v>1.1E-5</v>
      </c>
      <c r="Y3389" s="10" t="str">
        <f t="shared" si="3199"/>
        <v>NA</v>
      </c>
      <c r="Z3389" s="10" t="str">
        <f t="shared" si="3200"/>
        <v>NA</v>
      </c>
      <c r="AA3389" s="10">
        <f t="shared" si="3201"/>
        <v>0.99999000009999905</v>
      </c>
      <c r="AB3389" s="10" t="str">
        <f t="shared" si="3202"/>
        <v>NA</v>
      </c>
      <c r="AC3389" s="10" t="str">
        <f t="shared" si="3203"/>
        <v>NA</v>
      </c>
      <c r="AD3389" s="10" t="str">
        <f t="shared" si="3204"/>
        <v>NA</v>
      </c>
      <c r="AE3389" s="10">
        <f t="shared" si="3205"/>
        <v>0.99999000009999905</v>
      </c>
      <c r="AF3389" s="1" t="s">
        <v>2871</v>
      </c>
    </row>
    <row r="3390" spans="1:32" x14ac:dyDescent="0.2">
      <c r="A3390" s="1" t="s">
        <v>6913</v>
      </c>
      <c r="B3390" s="1" t="s">
        <v>5</v>
      </c>
      <c r="C3390" s="1" t="s">
        <v>1575</v>
      </c>
      <c r="D3390" s="1" t="s">
        <v>1582</v>
      </c>
      <c r="E3390" s="1" t="s">
        <v>2010</v>
      </c>
      <c r="F3390" s="1" t="s">
        <v>2878</v>
      </c>
      <c r="G3390" s="4">
        <v>1</v>
      </c>
      <c r="H3390" s="28">
        <v>42004</v>
      </c>
      <c r="I3390" s="29">
        <f t="shared" si="3125"/>
        <v>2014</v>
      </c>
      <c r="J3390" s="1" t="s">
        <v>2870</v>
      </c>
      <c r="K3390" s="1" t="s">
        <v>7</v>
      </c>
      <c r="L3390" s="11" t="str">
        <f t="shared" ref="L3390:L3391" si="3307">IF(OR(A3390=J3390,A3390=K3390),"ДА","НЕТ")</f>
        <v>НЕТ</v>
      </c>
      <c r="M3390" s="10">
        <v>0</v>
      </c>
      <c r="N3390" s="10">
        <v>0</v>
      </c>
      <c r="O3390" s="10">
        <v>0.192825</v>
      </c>
      <c r="P3390" s="10">
        <f t="shared" si="3194"/>
        <v>0.192825</v>
      </c>
      <c r="Q3390" s="10">
        <f t="shared" si="3195"/>
        <v>0.19264100000000001</v>
      </c>
      <c r="R3390" s="10" t="s">
        <v>1575</v>
      </c>
      <c r="S3390" s="10" t="s">
        <v>1575</v>
      </c>
      <c r="T3390" s="10" t="s">
        <v>1575</v>
      </c>
      <c r="U3390" s="10" t="s">
        <v>1575</v>
      </c>
      <c r="V3390" s="10">
        <v>3.9800000000000002E-4</v>
      </c>
      <c r="W3390" s="10">
        <v>-1.84E-4</v>
      </c>
      <c r="X3390" s="10">
        <f t="shared" si="3198"/>
        <v>2.1400000000000002E-4</v>
      </c>
      <c r="Y3390" s="10" t="str">
        <f t="shared" si="3199"/>
        <v>NA</v>
      </c>
      <c r="Z3390" s="10" t="str">
        <f t="shared" si="3200"/>
        <v>NA</v>
      </c>
      <c r="AA3390" s="10">
        <f t="shared" si="3201"/>
        <v>484.48492462311555</v>
      </c>
      <c r="AB3390" s="10" t="str">
        <f t="shared" si="3202"/>
        <v>NA</v>
      </c>
      <c r="AC3390" s="10" t="str">
        <f t="shared" si="3203"/>
        <v>NA</v>
      </c>
      <c r="AD3390" s="10" t="str">
        <f t="shared" si="3204"/>
        <v>NA</v>
      </c>
      <c r="AE3390" s="10">
        <f t="shared" si="3205"/>
        <v>900.19158878504663</v>
      </c>
      <c r="AF3390" s="1" t="s">
        <v>2875</v>
      </c>
    </row>
    <row r="3391" spans="1:32" x14ac:dyDescent="0.2">
      <c r="A3391" s="1" t="s">
        <v>6914</v>
      </c>
      <c r="B3391" s="1" t="s">
        <v>5</v>
      </c>
      <c r="C3391" s="1" t="s">
        <v>1575</v>
      </c>
      <c r="D3391" s="1" t="s">
        <v>1582</v>
      </c>
      <c r="E3391" s="1" t="s">
        <v>2019</v>
      </c>
      <c r="F3391" s="1" t="s">
        <v>2873</v>
      </c>
      <c r="G3391" s="4">
        <v>1</v>
      </c>
      <c r="H3391" s="28">
        <v>42004</v>
      </c>
      <c r="I3391" s="29">
        <f t="shared" si="3125"/>
        <v>2014</v>
      </c>
      <c r="J3391" s="1" t="s">
        <v>2870</v>
      </c>
      <c r="K3391" s="1" t="s">
        <v>7</v>
      </c>
      <c r="L3391" s="11" t="str">
        <f t="shared" si="3307"/>
        <v>НЕТ</v>
      </c>
      <c r="M3391" s="10">
        <v>0</v>
      </c>
      <c r="N3391" s="10">
        <v>0</v>
      </c>
      <c r="O3391" s="10">
        <v>0.247309</v>
      </c>
      <c r="P3391" s="10">
        <f t="shared" si="3194"/>
        <v>0.247309</v>
      </c>
      <c r="Q3391" s="10">
        <f t="shared" si="3195"/>
        <v>0.247307</v>
      </c>
      <c r="R3391" s="10" t="s">
        <v>1575</v>
      </c>
      <c r="S3391" s="10" t="s">
        <v>1575</v>
      </c>
      <c r="T3391" s="10" t="s">
        <v>1575</v>
      </c>
      <c r="U3391" s="10" t="s">
        <v>1575</v>
      </c>
      <c r="V3391" s="10">
        <v>2.9799999999999998E-4</v>
      </c>
      <c r="W3391" s="10">
        <v>-1.9999999999999999E-6</v>
      </c>
      <c r="X3391" s="10">
        <f t="shared" si="3198"/>
        <v>2.9599999999999998E-4</v>
      </c>
      <c r="Y3391" s="10" t="str">
        <f t="shared" si="3199"/>
        <v>NA</v>
      </c>
      <c r="Z3391" s="10" t="str">
        <f t="shared" si="3200"/>
        <v>NA</v>
      </c>
      <c r="AA3391" s="10">
        <f t="shared" si="3201"/>
        <v>829.89597315436242</v>
      </c>
      <c r="AB3391" s="10" t="str">
        <f t="shared" si="3202"/>
        <v>NA</v>
      </c>
      <c r="AC3391" s="10" t="str">
        <f t="shared" si="3203"/>
        <v>NA</v>
      </c>
      <c r="AD3391" s="10" t="str">
        <f t="shared" si="3204"/>
        <v>NA</v>
      </c>
      <c r="AE3391" s="10">
        <f t="shared" si="3205"/>
        <v>835.49662162162167</v>
      </c>
      <c r="AF3391" s="1" t="s">
        <v>2876</v>
      </c>
    </row>
    <row r="3392" spans="1:32" x14ac:dyDescent="0.2">
      <c r="A3392" s="1" t="s">
        <v>6915</v>
      </c>
      <c r="B3392" s="1" t="s">
        <v>5</v>
      </c>
      <c r="C3392" s="1" t="s">
        <v>1575</v>
      </c>
      <c r="D3392" s="1" t="s">
        <v>1582</v>
      </c>
      <c r="E3392" s="1" t="s">
        <v>2019</v>
      </c>
      <c r="F3392" s="1" t="s">
        <v>2873</v>
      </c>
      <c r="G3392" s="4">
        <v>0.2</v>
      </c>
      <c r="H3392" s="28">
        <v>41670</v>
      </c>
      <c r="I3392" s="29">
        <f t="shared" si="3125"/>
        <v>2014</v>
      </c>
      <c r="J3392" s="1" t="s">
        <v>7</v>
      </c>
      <c r="K3392" s="1" t="s">
        <v>2870</v>
      </c>
      <c r="L3392" s="11" t="str">
        <f t="shared" si="3306"/>
        <v>НЕТ</v>
      </c>
      <c r="M3392" s="10">
        <v>0</v>
      </c>
      <c r="N3392" s="10">
        <v>0</v>
      </c>
      <c r="O3392" s="10">
        <v>2.0000000000000002E-5</v>
      </c>
      <c r="P3392" s="10">
        <f t="shared" si="3194"/>
        <v>1E-4</v>
      </c>
      <c r="Q3392" s="10" t="str">
        <f t="shared" si="3195"/>
        <v>NA</v>
      </c>
      <c r="R3392" s="10" t="s">
        <v>1575</v>
      </c>
      <c r="S3392" s="10" t="s">
        <v>1575</v>
      </c>
      <c r="T3392" s="10" t="s">
        <v>1575</v>
      </c>
      <c r="U3392" s="10" t="s">
        <v>1575</v>
      </c>
      <c r="V3392" s="10" t="s">
        <v>1575</v>
      </c>
      <c r="W3392" s="10" t="s">
        <v>1575</v>
      </c>
      <c r="X3392" s="10" t="str">
        <f t="shared" si="3198"/>
        <v>NA</v>
      </c>
      <c r="Y3392" s="10" t="str">
        <f t="shared" si="3199"/>
        <v>NA</v>
      </c>
      <c r="Z3392" s="10" t="str">
        <f t="shared" si="3200"/>
        <v>NA</v>
      </c>
      <c r="AA3392" s="10" t="str">
        <f t="shared" si="3201"/>
        <v>NA</v>
      </c>
      <c r="AB3392" s="10" t="str">
        <f t="shared" si="3202"/>
        <v>NA</v>
      </c>
      <c r="AC3392" s="10" t="str">
        <f t="shared" si="3203"/>
        <v>NA</v>
      </c>
      <c r="AD3392" s="10" t="str">
        <f t="shared" si="3204"/>
        <v>NA</v>
      </c>
      <c r="AE3392" s="10" t="str">
        <f t="shared" si="3205"/>
        <v>NA</v>
      </c>
      <c r="AF3392" s="1" t="s">
        <v>2874</v>
      </c>
    </row>
    <row r="3393" spans="1:32" x14ac:dyDescent="0.2">
      <c r="A3393" s="1" t="s">
        <v>6915</v>
      </c>
      <c r="B3393" s="1" t="s">
        <v>5</v>
      </c>
      <c r="C3393" s="1" t="s">
        <v>1575</v>
      </c>
      <c r="D3393" s="1" t="s">
        <v>1582</v>
      </c>
      <c r="E3393" s="1" t="s">
        <v>2019</v>
      </c>
      <c r="F3393" s="1" t="s">
        <v>2873</v>
      </c>
      <c r="G3393" s="4">
        <v>0.2</v>
      </c>
      <c r="H3393" s="28">
        <v>41274</v>
      </c>
      <c r="I3393" s="29">
        <f t="shared" si="3125"/>
        <v>2012</v>
      </c>
      <c r="J3393" s="1" t="s">
        <v>2870</v>
      </c>
      <c r="K3393" s="1" t="s">
        <v>7</v>
      </c>
      <c r="L3393" s="11" t="str">
        <f t="shared" ref="L3393" si="3308">IF(OR(A3393=J3393,A3393=K3393),"ДА","НЕТ")</f>
        <v>НЕТ</v>
      </c>
      <c r="M3393" s="10">
        <v>0</v>
      </c>
      <c r="N3393" s="10">
        <v>0</v>
      </c>
      <c r="O3393" s="10">
        <v>2.0000000000000002E-5</v>
      </c>
      <c r="P3393" s="10">
        <f t="shared" si="3194"/>
        <v>1E-4</v>
      </c>
      <c r="Q3393" s="10" t="str">
        <f t="shared" si="3195"/>
        <v>NA</v>
      </c>
      <c r="R3393" s="10">
        <v>0</v>
      </c>
      <c r="S3393" s="10" t="s">
        <v>1575</v>
      </c>
      <c r="T3393" s="10" t="s">
        <v>1575</v>
      </c>
      <c r="U3393" s="10">
        <v>1.9999999999999999E-6</v>
      </c>
      <c r="V3393" s="10">
        <f>0.000106-0.000003</f>
        <v>1.03E-4</v>
      </c>
      <c r="W3393" s="10" t="s">
        <v>1575</v>
      </c>
      <c r="X3393" s="10" t="str">
        <f t="shared" si="3198"/>
        <v>NA</v>
      </c>
      <c r="Y3393" s="10" t="str">
        <f t="shared" si="3199"/>
        <v>NA</v>
      </c>
      <c r="Z3393" s="10">
        <f t="shared" si="3200"/>
        <v>50.000000000000007</v>
      </c>
      <c r="AA3393" s="10">
        <f t="shared" si="3201"/>
        <v>0.97087378640776711</v>
      </c>
      <c r="AB3393" s="10" t="str">
        <f t="shared" si="3202"/>
        <v>NA</v>
      </c>
      <c r="AC3393" s="10" t="str">
        <f t="shared" si="3203"/>
        <v>NA</v>
      </c>
      <c r="AD3393" s="10" t="str">
        <f t="shared" si="3204"/>
        <v>NA</v>
      </c>
      <c r="AE3393" s="10" t="str">
        <f t="shared" si="3205"/>
        <v>NA</v>
      </c>
      <c r="AF3393" s="1" t="s">
        <v>2879</v>
      </c>
    </row>
    <row r="3394" spans="1:32" x14ac:dyDescent="0.2">
      <c r="A3394" s="1" t="s">
        <v>6916</v>
      </c>
      <c r="B3394" s="1" t="s">
        <v>5</v>
      </c>
      <c r="C3394" s="1" t="s">
        <v>1575</v>
      </c>
      <c r="D3394" s="1" t="s">
        <v>1582</v>
      </c>
      <c r="E3394" s="1" t="s">
        <v>2019</v>
      </c>
      <c r="F3394" s="1" t="s">
        <v>2872</v>
      </c>
      <c r="G3394" s="4">
        <v>0.74</v>
      </c>
      <c r="H3394" s="28">
        <v>40791</v>
      </c>
      <c r="I3394" s="29">
        <f t="shared" ref="I3394:I3436" si="3309">YEAR(H3394)</f>
        <v>2011</v>
      </c>
      <c r="J3394" s="1" t="s">
        <v>7</v>
      </c>
      <c r="K3394" s="1" t="s">
        <v>2870</v>
      </c>
      <c r="L3394" s="11" t="str">
        <f t="shared" ref="L3394" si="3310">IF(OR(A3394=J3394,A3394=K3394),"ДА","НЕТ")</f>
        <v>НЕТ</v>
      </c>
      <c r="M3394" s="10">
        <v>0</v>
      </c>
      <c r="N3394" s="10">
        <v>0</v>
      </c>
      <c r="O3394" s="10">
        <v>7.4000000000000003E-6</v>
      </c>
      <c r="P3394" s="10">
        <f t="shared" si="3194"/>
        <v>1.0000000000000001E-5</v>
      </c>
      <c r="Q3394" s="10" t="str">
        <f t="shared" si="3195"/>
        <v>NA</v>
      </c>
      <c r="R3394" s="10" t="s">
        <v>1575</v>
      </c>
      <c r="S3394" s="10" t="s">
        <v>1575</v>
      </c>
      <c r="T3394" s="10" t="s">
        <v>1575</v>
      </c>
      <c r="U3394" s="10" t="s">
        <v>1575</v>
      </c>
      <c r="V3394" s="10" t="s">
        <v>1575</v>
      </c>
      <c r="W3394" s="10" t="s">
        <v>1575</v>
      </c>
      <c r="X3394" s="10" t="str">
        <f t="shared" si="3198"/>
        <v>NA</v>
      </c>
      <c r="Y3394" s="10" t="str">
        <f t="shared" si="3199"/>
        <v>NA</v>
      </c>
      <c r="Z3394" s="10" t="str">
        <f t="shared" si="3200"/>
        <v>NA</v>
      </c>
      <c r="AA3394" s="10" t="str">
        <f t="shared" si="3201"/>
        <v>NA</v>
      </c>
      <c r="AB3394" s="10" t="str">
        <f t="shared" si="3202"/>
        <v>NA</v>
      </c>
      <c r="AC3394" s="10" t="str">
        <f t="shared" si="3203"/>
        <v>NA</v>
      </c>
      <c r="AD3394" s="10" t="str">
        <f t="shared" si="3204"/>
        <v>NA</v>
      </c>
      <c r="AE3394" s="10" t="str">
        <f t="shared" si="3205"/>
        <v>NA</v>
      </c>
      <c r="AF3394" s="1" t="s">
        <v>2880</v>
      </c>
    </row>
    <row r="3395" spans="1:32" x14ac:dyDescent="0.2">
      <c r="A3395" s="1" t="s">
        <v>6917</v>
      </c>
      <c r="B3395" s="1" t="s">
        <v>5</v>
      </c>
      <c r="C3395" s="1" t="s">
        <v>1575</v>
      </c>
      <c r="D3395" s="1" t="s">
        <v>1582</v>
      </c>
      <c r="E3395" s="1" t="s">
        <v>2019</v>
      </c>
      <c r="F3395" s="1" t="s">
        <v>2872</v>
      </c>
      <c r="G3395" s="4">
        <v>1</v>
      </c>
      <c r="H3395" s="28">
        <v>41639</v>
      </c>
      <c r="I3395" s="29">
        <f t="shared" si="3309"/>
        <v>2013</v>
      </c>
      <c r="J3395" s="1" t="s">
        <v>2870</v>
      </c>
      <c r="K3395" s="1" t="s">
        <v>7</v>
      </c>
      <c r="L3395" s="11" t="str">
        <f t="shared" ref="L3395" si="3311">IF(OR(A3395=J3395,A3395=K3395),"ДА","НЕТ")</f>
        <v>НЕТ</v>
      </c>
      <c r="M3395" s="10">
        <v>0</v>
      </c>
      <c r="N3395" s="10">
        <v>0</v>
      </c>
      <c r="O3395" s="10">
        <v>1.0000000000000001E-5</v>
      </c>
      <c r="P3395" s="10">
        <f t="shared" ref="P3395:P3458" si="3312">IFERROR(O3395/G3395,"NA")</f>
        <v>1.0000000000000001E-5</v>
      </c>
      <c r="Q3395" s="10" t="str">
        <f t="shared" ref="Q3395:Q3458" si="3313">IFERROR(P3395+W3395,"NA")</f>
        <v>NA</v>
      </c>
      <c r="R3395" s="10" t="s">
        <v>1575</v>
      </c>
      <c r="S3395" s="10" t="s">
        <v>1575</v>
      </c>
      <c r="T3395" s="10" t="s">
        <v>1575</v>
      </c>
      <c r="U3395" s="10" t="s">
        <v>1575</v>
      </c>
      <c r="V3395" s="10" t="s">
        <v>1575</v>
      </c>
      <c r="W3395" s="10" t="s">
        <v>1575</v>
      </c>
      <c r="X3395" s="10" t="str">
        <f t="shared" si="3198"/>
        <v>NA</v>
      </c>
      <c r="Y3395" s="10" t="str">
        <f t="shared" si="3199"/>
        <v>NA</v>
      </c>
      <c r="Z3395" s="10" t="str">
        <f t="shared" si="3200"/>
        <v>NA</v>
      </c>
      <c r="AA3395" s="10" t="str">
        <f t="shared" si="3201"/>
        <v>NA</v>
      </c>
      <c r="AB3395" s="10" t="str">
        <f t="shared" si="3202"/>
        <v>NA</v>
      </c>
      <c r="AC3395" s="10" t="str">
        <f t="shared" si="3203"/>
        <v>NA</v>
      </c>
      <c r="AD3395" s="10" t="str">
        <f t="shared" si="3204"/>
        <v>NA</v>
      </c>
      <c r="AE3395" s="10" t="str">
        <f t="shared" si="3205"/>
        <v>NA</v>
      </c>
      <c r="AF3395" s="1" t="s">
        <v>2881</v>
      </c>
    </row>
    <row r="3396" spans="1:32" x14ac:dyDescent="0.2">
      <c r="A3396" s="1" t="s">
        <v>4023</v>
      </c>
      <c r="B3396" s="1" t="s">
        <v>5</v>
      </c>
      <c r="C3396" s="1" t="s">
        <v>1575</v>
      </c>
      <c r="D3396" s="1" t="s">
        <v>2160</v>
      </c>
      <c r="E3396" s="1" t="s">
        <v>2167</v>
      </c>
      <c r="F3396" s="1" t="s">
        <v>4024</v>
      </c>
      <c r="G3396" s="4">
        <v>1</v>
      </c>
      <c r="H3396" s="28">
        <v>45382</v>
      </c>
      <c r="I3396" s="29">
        <f t="shared" si="3309"/>
        <v>2024</v>
      </c>
      <c r="J3396" s="1" t="s">
        <v>6057</v>
      </c>
      <c r="K3396" s="1" t="s">
        <v>7</v>
      </c>
      <c r="L3396" s="11" t="str">
        <f t="shared" ref="L3396" si="3314">IF(OR(A3396=J3396,A3396=K3396),"ДА","НЕТ")</f>
        <v>НЕТ</v>
      </c>
      <c r="M3396" s="10">
        <v>0</v>
      </c>
      <c r="N3396" s="10">
        <v>0</v>
      </c>
      <c r="O3396" s="10">
        <v>3.7</v>
      </c>
      <c r="P3396" s="10">
        <f t="shared" si="3312"/>
        <v>3.7</v>
      </c>
      <c r="Q3396" s="10" t="str">
        <f t="shared" si="3313"/>
        <v>NA</v>
      </c>
      <c r="R3396" s="10" t="s">
        <v>1575</v>
      </c>
      <c r="S3396" s="10" t="s">
        <v>1575</v>
      </c>
      <c r="T3396" s="10" t="s">
        <v>1575</v>
      </c>
      <c r="U3396" s="10" t="s">
        <v>1575</v>
      </c>
      <c r="V3396" s="10" t="s">
        <v>1575</v>
      </c>
      <c r="W3396" s="10" t="s">
        <v>1575</v>
      </c>
      <c r="X3396" s="10" t="str">
        <f t="shared" si="3198"/>
        <v>NA</v>
      </c>
      <c r="Y3396" s="10" t="str">
        <f t="shared" si="3199"/>
        <v>NA</v>
      </c>
      <c r="Z3396" s="10" t="str">
        <f t="shared" si="3200"/>
        <v>NA</v>
      </c>
      <c r="AA3396" s="10" t="str">
        <f t="shared" si="3201"/>
        <v>NA</v>
      </c>
      <c r="AB3396" s="10" t="str">
        <f t="shared" si="3202"/>
        <v>NA</v>
      </c>
      <c r="AC3396" s="10" t="str">
        <f t="shared" si="3203"/>
        <v>NA</v>
      </c>
      <c r="AD3396" s="10" t="str">
        <f t="shared" si="3204"/>
        <v>NA</v>
      </c>
      <c r="AE3396" s="10" t="str">
        <f t="shared" si="3205"/>
        <v>NA</v>
      </c>
      <c r="AF3396" s="1" t="s">
        <v>4022</v>
      </c>
    </row>
    <row r="3397" spans="1:32" x14ac:dyDescent="0.2">
      <c r="A3397" s="1" t="s">
        <v>4028</v>
      </c>
      <c r="B3397" s="1" t="s">
        <v>1575</v>
      </c>
      <c r="C3397" s="1" t="s">
        <v>1575</v>
      </c>
      <c r="D3397" s="1" t="s">
        <v>2160</v>
      </c>
      <c r="E3397" s="1" t="s">
        <v>2167</v>
      </c>
      <c r="F3397" s="1" t="s">
        <v>4021</v>
      </c>
      <c r="G3397" s="4">
        <v>1</v>
      </c>
      <c r="H3397" s="28">
        <v>44979</v>
      </c>
      <c r="I3397" s="29">
        <f t="shared" si="3309"/>
        <v>2023</v>
      </c>
      <c r="J3397" s="1" t="s">
        <v>7</v>
      </c>
      <c r="K3397" s="1" t="s">
        <v>6057</v>
      </c>
      <c r="L3397" s="11" t="str">
        <f t="shared" ref="L3397:L3399" si="3315">IF(OR(A3397=J3397,A3397=K3397),"ДА","НЕТ")</f>
        <v>НЕТ</v>
      </c>
      <c r="M3397" s="10">
        <v>0</v>
      </c>
      <c r="N3397" s="10">
        <v>0</v>
      </c>
      <c r="O3397" s="10" t="s">
        <v>1575</v>
      </c>
      <c r="P3397" s="10" t="str">
        <f t="shared" si="3312"/>
        <v>NA</v>
      </c>
      <c r="Q3397" s="10" t="str">
        <f t="shared" si="3313"/>
        <v>NA</v>
      </c>
      <c r="R3397" s="10">
        <v>13.67</v>
      </c>
      <c r="S3397" s="10" t="s">
        <v>1575</v>
      </c>
      <c r="T3397" s="10" t="s">
        <v>1575</v>
      </c>
      <c r="U3397" s="10">
        <v>0.48799999999999999</v>
      </c>
      <c r="V3397" s="10" t="s">
        <v>1575</v>
      </c>
      <c r="W3397" s="10" t="s">
        <v>1575</v>
      </c>
      <c r="X3397" s="10" t="str">
        <f t="shared" si="3198"/>
        <v>NA</v>
      </c>
      <c r="Y3397" s="10" t="str">
        <f t="shared" si="3199"/>
        <v>NA</v>
      </c>
      <c r="Z3397" s="10" t="str">
        <f t="shared" si="3200"/>
        <v>NA</v>
      </c>
      <c r="AA3397" s="10" t="str">
        <f t="shared" si="3201"/>
        <v>NA</v>
      </c>
      <c r="AB3397" s="10" t="str">
        <f t="shared" si="3202"/>
        <v>NA</v>
      </c>
      <c r="AC3397" s="10" t="str">
        <f t="shared" si="3203"/>
        <v>NA</v>
      </c>
      <c r="AD3397" s="10" t="str">
        <f t="shared" si="3204"/>
        <v>NA</v>
      </c>
      <c r="AE3397" s="10" t="str">
        <f t="shared" si="3205"/>
        <v>NA</v>
      </c>
      <c r="AF3397" s="1" t="s">
        <v>4029</v>
      </c>
    </row>
    <row r="3398" spans="1:32" x14ac:dyDescent="0.2">
      <c r="A3398" s="1" t="s">
        <v>6050</v>
      </c>
      <c r="B3398" s="1" t="s">
        <v>5</v>
      </c>
      <c r="C3398" s="1" t="s">
        <v>1575</v>
      </c>
      <c r="D3398" s="1" t="s">
        <v>2160</v>
      </c>
      <c r="E3398" s="1" t="s">
        <v>2167</v>
      </c>
      <c r="F3398" s="1" t="s">
        <v>4036</v>
      </c>
      <c r="G3398" s="4">
        <v>1</v>
      </c>
      <c r="H3398" s="28">
        <v>44558</v>
      </c>
      <c r="I3398" s="29">
        <f t="shared" si="3309"/>
        <v>2021</v>
      </c>
      <c r="J3398" s="1" t="s">
        <v>6057</v>
      </c>
      <c r="K3398" s="1" t="s">
        <v>7</v>
      </c>
      <c r="L3398" s="11" t="str">
        <f t="shared" si="3315"/>
        <v>НЕТ</v>
      </c>
      <c r="M3398" s="10">
        <v>528</v>
      </c>
      <c r="N3398" s="10">
        <v>0</v>
      </c>
      <c r="O3398" s="10">
        <v>38.747999999999998</v>
      </c>
      <c r="P3398" s="10">
        <f t="shared" si="3312"/>
        <v>38.747999999999998</v>
      </c>
      <c r="Q3398" s="10">
        <f t="shared" si="3313"/>
        <v>57.25</v>
      </c>
      <c r="R3398" s="10">
        <v>30</v>
      </c>
      <c r="S3398" s="10">
        <v>11</v>
      </c>
      <c r="T3398" s="10" t="s">
        <v>1575</v>
      </c>
      <c r="U3398" s="10" t="s">
        <v>1575</v>
      </c>
      <c r="V3398" s="10">
        <v>38.747</v>
      </c>
      <c r="W3398" s="10">
        <f>11.004+4.352+3.456-0.31</f>
        <v>18.502000000000002</v>
      </c>
      <c r="X3398" s="10">
        <f t="shared" si="3198"/>
        <v>57.249000000000002</v>
      </c>
      <c r="Y3398" s="10">
        <f t="shared" si="3199"/>
        <v>1.2915999999999999</v>
      </c>
      <c r="Z3398" s="10" t="str">
        <f t="shared" si="3200"/>
        <v>NA</v>
      </c>
      <c r="AA3398" s="10">
        <f t="shared" si="3201"/>
        <v>1.0000258084496865</v>
      </c>
      <c r="AB3398" s="10">
        <f t="shared" si="3202"/>
        <v>1.9083333333333334</v>
      </c>
      <c r="AC3398" s="10">
        <f t="shared" si="3203"/>
        <v>5.2045454545454541</v>
      </c>
      <c r="AD3398" s="10" t="str">
        <f t="shared" si="3204"/>
        <v>NA</v>
      </c>
      <c r="AE3398" s="10">
        <f t="shared" si="3205"/>
        <v>1.0000174675540183</v>
      </c>
      <c r="AF3398" s="1" t="s">
        <v>4025</v>
      </c>
    </row>
    <row r="3399" spans="1:32" x14ac:dyDescent="0.2">
      <c r="A3399" s="1" t="s">
        <v>6918</v>
      </c>
      <c r="B3399" s="1" t="s">
        <v>5</v>
      </c>
      <c r="C3399" s="1" t="s">
        <v>1575</v>
      </c>
      <c r="D3399" s="1" t="s">
        <v>2160</v>
      </c>
      <c r="E3399" s="1" t="s">
        <v>2167</v>
      </c>
      <c r="F3399" s="1" t="s">
        <v>4036</v>
      </c>
      <c r="G3399" s="4">
        <v>0.28999999999999998</v>
      </c>
      <c r="H3399" s="28">
        <v>44336</v>
      </c>
      <c r="I3399" s="29">
        <f t="shared" ref="I3399" si="3316">YEAR(H3399)</f>
        <v>2021</v>
      </c>
      <c r="J3399" s="1" t="s">
        <v>6057</v>
      </c>
      <c r="K3399" s="1" t="s">
        <v>7</v>
      </c>
      <c r="L3399" s="11" t="str">
        <f t="shared" si="3315"/>
        <v>НЕТ</v>
      </c>
      <c r="M3399" s="10">
        <v>17</v>
      </c>
      <c r="N3399" s="10">
        <v>0</v>
      </c>
      <c r="O3399" s="10">
        <f>0.62+0.601</f>
        <v>1.2210000000000001</v>
      </c>
      <c r="P3399" s="10">
        <f t="shared" si="3312"/>
        <v>4.2103448275862076</v>
      </c>
      <c r="Q3399" s="10">
        <f t="shared" si="3313"/>
        <v>7.102344827586208</v>
      </c>
      <c r="R3399" s="10" t="s">
        <v>1575</v>
      </c>
      <c r="S3399" s="10" t="s">
        <v>1575</v>
      </c>
      <c r="T3399" s="10" t="s">
        <v>1575</v>
      </c>
      <c r="U3399" s="10" t="s">
        <v>1575</v>
      </c>
      <c r="V3399" s="10">
        <v>7.53</v>
      </c>
      <c r="W3399" s="10">
        <f>1.83+1.224-0.162</f>
        <v>2.8920000000000003</v>
      </c>
      <c r="X3399" s="10">
        <f t="shared" si="3198"/>
        <v>10.422000000000001</v>
      </c>
      <c r="Y3399" s="10" t="str">
        <f t="shared" si="3199"/>
        <v>NA</v>
      </c>
      <c r="Z3399" s="10" t="str">
        <f t="shared" si="3200"/>
        <v>NA</v>
      </c>
      <c r="AA3399" s="10">
        <f t="shared" si="3201"/>
        <v>0.55914273938727854</v>
      </c>
      <c r="AB3399" s="10" t="str">
        <f t="shared" si="3202"/>
        <v>NA</v>
      </c>
      <c r="AC3399" s="10" t="str">
        <f t="shared" si="3203"/>
        <v>NA</v>
      </c>
      <c r="AD3399" s="10" t="str">
        <f t="shared" si="3204"/>
        <v>NA</v>
      </c>
      <c r="AE3399" s="10">
        <f t="shared" si="3205"/>
        <v>0.68147618764020412</v>
      </c>
      <c r="AF3399" s="1" t="s">
        <v>4026</v>
      </c>
    </row>
    <row r="3400" spans="1:32" x14ac:dyDescent="0.2">
      <c r="A3400" s="1" t="s">
        <v>6918</v>
      </c>
      <c r="B3400" s="1" t="s">
        <v>5</v>
      </c>
      <c r="C3400" s="1" t="s">
        <v>1575</v>
      </c>
      <c r="D3400" s="1" t="s">
        <v>2160</v>
      </c>
      <c r="E3400" s="1" t="s">
        <v>2167</v>
      </c>
      <c r="F3400" s="1" t="s">
        <v>4036</v>
      </c>
      <c r="G3400" s="4">
        <v>0.71</v>
      </c>
      <c r="H3400" s="28">
        <v>44242</v>
      </c>
      <c r="I3400" s="29">
        <f t="shared" si="3309"/>
        <v>2021</v>
      </c>
      <c r="J3400" s="1" t="s">
        <v>6057</v>
      </c>
      <c r="K3400" s="1" t="s">
        <v>7</v>
      </c>
      <c r="L3400" s="11" t="str">
        <f t="shared" ref="L3400:L3401" si="3317">IF(OR(A3400=J3400,A3400=K3400),"ДА","НЕТ")</f>
        <v>НЕТ</v>
      </c>
      <c r="M3400" s="10">
        <v>0</v>
      </c>
      <c r="N3400" s="10">
        <v>0</v>
      </c>
      <c r="O3400" s="10">
        <v>2.306</v>
      </c>
      <c r="P3400" s="10">
        <f t="shared" si="3312"/>
        <v>3.2478873239436621</v>
      </c>
      <c r="Q3400" s="10">
        <f t="shared" si="3313"/>
        <v>6.1398873239436629</v>
      </c>
      <c r="R3400" s="10" t="s">
        <v>1575</v>
      </c>
      <c r="S3400" s="10" t="s">
        <v>1575</v>
      </c>
      <c r="T3400" s="10" t="s">
        <v>1575</v>
      </c>
      <c r="U3400" s="10" t="s">
        <v>1575</v>
      </c>
      <c r="V3400" s="10">
        <v>7.53</v>
      </c>
      <c r="W3400" s="10">
        <f>1.83+1.224-0.162</f>
        <v>2.8920000000000003</v>
      </c>
      <c r="X3400" s="10">
        <f t="shared" si="3198"/>
        <v>10.422000000000001</v>
      </c>
      <c r="Y3400" s="10" t="str">
        <f t="shared" si="3199"/>
        <v>NA</v>
      </c>
      <c r="Z3400" s="10" t="str">
        <f t="shared" si="3200"/>
        <v>NA</v>
      </c>
      <c r="AA3400" s="10">
        <f t="shared" si="3201"/>
        <v>0.43132633784112379</v>
      </c>
      <c r="AB3400" s="10" t="str">
        <f t="shared" si="3202"/>
        <v>NA</v>
      </c>
      <c r="AC3400" s="10" t="str">
        <f t="shared" si="3203"/>
        <v>NA</v>
      </c>
      <c r="AD3400" s="10" t="str">
        <f t="shared" si="3204"/>
        <v>NA</v>
      </c>
      <c r="AE3400" s="10">
        <f t="shared" si="3205"/>
        <v>0.58912754979309756</v>
      </c>
      <c r="AF3400" s="1" t="s">
        <v>4026</v>
      </c>
    </row>
    <row r="3401" spans="1:32" x14ac:dyDescent="0.2">
      <c r="A3401" s="1" t="s">
        <v>6057</v>
      </c>
      <c r="B3401" s="1" t="s">
        <v>5</v>
      </c>
      <c r="C3401" s="1" t="s">
        <v>3468</v>
      </c>
      <c r="D3401" s="1" t="s">
        <v>2160</v>
      </c>
      <c r="E3401" s="1" t="s">
        <v>2167</v>
      </c>
      <c r="F3401" s="1" t="s">
        <v>4036</v>
      </c>
      <c r="G3401" s="4">
        <f>3.75/15.69</f>
        <v>0.23900573613766732</v>
      </c>
      <c r="H3401" s="28">
        <v>44314</v>
      </c>
      <c r="I3401" s="29">
        <f t="shared" si="3309"/>
        <v>2021</v>
      </c>
      <c r="J3401" s="1" t="s">
        <v>7</v>
      </c>
      <c r="K3401" s="1" t="s">
        <v>6057</v>
      </c>
      <c r="L3401" s="11" t="str">
        <f t="shared" si="3317"/>
        <v>ДА</v>
      </c>
      <c r="M3401" s="10">
        <v>0</v>
      </c>
      <c r="N3401" s="10">
        <v>0</v>
      </c>
      <c r="O3401" s="10">
        <f>3.75*8</f>
        <v>30</v>
      </c>
      <c r="P3401" s="10">
        <f t="shared" si="3312"/>
        <v>125.52</v>
      </c>
      <c r="Q3401" s="10">
        <f t="shared" si="3313"/>
        <v>187.95191399999999</v>
      </c>
      <c r="R3401" s="10">
        <v>68.986649</v>
      </c>
      <c r="S3401" s="10">
        <v>17.457366000000007</v>
      </c>
      <c r="T3401" s="10">
        <v>11.184670000000008</v>
      </c>
      <c r="U3401" s="10">
        <v>-1.3478829999999926</v>
      </c>
      <c r="V3401" s="10">
        <v>8.8682159999999985</v>
      </c>
      <c r="W3401" s="10">
        <v>62.431914000000006</v>
      </c>
      <c r="X3401" s="10">
        <f t="shared" si="3198"/>
        <v>71.30013000000001</v>
      </c>
      <c r="Y3401" s="10">
        <f t="shared" si="3199"/>
        <v>1.8194824914600505</v>
      </c>
      <c r="Z3401" s="10">
        <f t="shared" si="3200"/>
        <v>-93.123809707519626</v>
      </c>
      <c r="AA3401" s="10">
        <f t="shared" si="3201"/>
        <v>14.153917766549666</v>
      </c>
      <c r="AB3401" s="10">
        <f t="shared" si="3202"/>
        <v>2.7244679474139986</v>
      </c>
      <c r="AC3401" s="10">
        <f t="shared" si="3203"/>
        <v>10.766338633216483</v>
      </c>
      <c r="AD3401" s="10">
        <f t="shared" si="3204"/>
        <v>16.804421945394889</v>
      </c>
      <c r="AE3401" s="10">
        <f t="shared" si="3205"/>
        <v>2.6360669188120691</v>
      </c>
      <c r="AF3401" s="1" t="s">
        <v>4027</v>
      </c>
    </row>
    <row r="3402" spans="1:32" x14ac:dyDescent="0.2">
      <c r="A3402" s="1" t="s">
        <v>6919</v>
      </c>
      <c r="B3402" s="1" t="s">
        <v>5</v>
      </c>
      <c r="C3402" s="1" t="s">
        <v>1575</v>
      </c>
      <c r="D3402" s="1" t="s">
        <v>2160</v>
      </c>
      <c r="E3402" s="1" t="s">
        <v>2167</v>
      </c>
      <c r="F3402" s="1" t="s">
        <v>4036</v>
      </c>
      <c r="G3402" s="4">
        <v>0.15</v>
      </c>
      <c r="H3402" s="28">
        <v>44312</v>
      </c>
      <c r="I3402" s="29">
        <f t="shared" si="3309"/>
        <v>2021</v>
      </c>
      <c r="J3402" s="1" t="s">
        <v>7</v>
      </c>
      <c r="K3402" s="1" t="s">
        <v>6057</v>
      </c>
      <c r="L3402" s="11" t="str">
        <f t="shared" ref="L3402:L3405" si="3318">IF(OR(A3402=J3402,A3402=K3402),"ДА","НЕТ")</f>
        <v>НЕТ</v>
      </c>
      <c r="M3402" s="10">
        <v>0</v>
      </c>
      <c r="N3402" s="10">
        <v>0</v>
      </c>
      <c r="O3402" s="10" t="s">
        <v>1575</v>
      </c>
      <c r="P3402" s="10" t="str">
        <f t="shared" si="3312"/>
        <v>NA</v>
      </c>
      <c r="Q3402" s="10" t="str">
        <f t="shared" si="3313"/>
        <v>NA</v>
      </c>
      <c r="R3402" s="10">
        <v>39.341000000000001</v>
      </c>
      <c r="S3402" s="10">
        <f>T3402+0.043735</f>
        <v>-0.15968000000000002</v>
      </c>
      <c r="T3402" s="10">
        <f>U3402+0.067921+0.172597</f>
        <v>-0.20341500000000001</v>
      </c>
      <c r="U3402" s="10">
        <v>-0.44393300000000002</v>
      </c>
      <c r="V3402" s="10">
        <v>-0.100299</v>
      </c>
      <c r="W3402" s="10">
        <f>3.848259+1.347869+0.006748+0.061322-0.126712</f>
        <v>5.1374859999999991</v>
      </c>
      <c r="X3402" s="10">
        <f t="shared" si="3198"/>
        <v>5.0371869999999994</v>
      </c>
      <c r="Y3402" s="10" t="str">
        <f t="shared" si="3199"/>
        <v>NA</v>
      </c>
      <c r="Z3402" s="10" t="str">
        <f t="shared" si="3200"/>
        <v>NA</v>
      </c>
      <c r="AA3402" s="10" t="str">
        <f t="shared" si="3201"/>
        <v>NA</v>
      </c>
      <c r="AB3402" s="10" t="str">
        <f t="shared" si="3202"/>
        <v>NA</v>
      </c>
      <c r="AC3402" s="10" t="str">
        <f t="shared" si="3203"/>
        <v>NA</v>
      </c>
      <c r="AD3402" s="10" t="str">
        <f t="shared" si="3204"/>
        <v>NA</v>
      </c>
      <c r="AE3402" s="10" t="str">
        <f t="shared" si="3205"/>
        <v>NA</v>
      </c>
      <c r="AF3402" s="1" t="s">
        <v>4030</v>
      </c>
    </row>
    <row r="3403" spans="1:32" x14ac:dyDescent="0.2">
      <c r="A3403" s="1" t="s">
        <v>6920</v>
      </c>
      <c r="B3403" s="1" t="s">
        <v>5</v>
      </c>
      <c r="C3403" s="1" t="s">
        <v>1575</v>
      </c>
      <c r="D3403" s="1" t="s">
        <v>2160</v>
      </c>
      <c r="E3403" s="1" t="s">
        <v>2167</v>
      </c>
      <c r="F3403" s="1" t="s">
        <v>4036</v>
      </c>
      <c r="G3403" s="4">
        <v>1</v>
      </c>
      <c r="H3403" s="28">
        <v>43844</v>
      </c>
      <c r="I3403" s="29">
        <f t="shared" si="3309"/>
        <v>2020</v>
      </c>
      <c r="J3403" s="1" t="s">
        <v>6057</v>
      </c>
      <c r="K3403" s="1" t="s">
        <v>7</v>
      </c>
      <c r="L3403" s="11" t="str">
        <f t="shared" si="3318"/>
        <v>НЕТ</v>
      </c>
      <c r="M3403" s="10">
        <v>0</v>
      </c>
      <c r="N3403" s="10">
        <v>0</v>
      </c>
      <c r="O3403" s="10">
        <v>0.95</v>
      </c>
      <c r="P3403" s="10">
        <f t="shared" si="3312"/>
        <v>0.95</v>
      </c>
      <c r="Q3403" s="10">
        <f t="shared" si="3313"/>
        <v>1.572727</v>
      </c>
      <c r="R3403" s="10" t="s">
        <v>1575</v>
      </c>
      <c r="S3403" s="10" t="s">
        <v>1575</v>
      </c>
      <c r="T3403" s="10" t="s">
        <v>1575</v>
      </c>
      <c r="U3403" s="10" t="s">
        <v>1575</v>
      </c>
      <c r="V3403" s="10">
        <v>1.9387449999999999</v>
      </c>
      <c r="W3403" s="10">
        <f>0.427051+0.196606-0.00093</f>
        <v>0.62272700000000003</v>
      </c>
      <c r="X3403" s="10">
        <f t="shared" si="3198"/>
        <v>2.5614720000000002</v>
      </c>
      <c r="Y3403" s="10" t="str">
        <f t="shared" si="3199"/>
        <v>NA</v>
      </c>
      <c r="Z3403" s="10" t="str">
        <f t="shared" si="3200"/>
        <v>NA</v>
      </c>
      <c r="AA3403" s="10">
        <f t="shared" si="3201"/>
        <v>0.49000771117398112</v>
      </c>
      <c r="AB3403" s="10" t="str">
        <f t="shared" si="3202"/>
        <v>NA</v>
      </c>
      <c r="AC3403" s="10" t="str">
        <f t="shared" si="3203"/>
        <v>NA</v>
      </c>
      <c r="AD3403" s="10" t="str">
        <f t="shared" si="3204"/>
        <v>NA</v>
      </c>
      <c r="AE3403" s="10">
        <f t="shared" si="3205"/>
        <v>0.61399343814806484</v>
      </c>
      <c r="AF3403" s="1" t="s">
        <v>4031</v>
      </c>
    </row>
    <row r="3404" spans="1:32" x14ac:dyDescent="0.2">
      <c r="A3404" s="1" t="s">
        <v>6921</v>
      </c>
      <c r="B3404" s="1" t="s">
        <v>5</v>
      </c>
      <c r="C3404" s="1" t="s">
        <v>1575</v>
      </c>
      <c r="D3404" s="1" t="s">
        <v>2160</v>
      </c>
      <c r="E3404" s="1" t="s">
        <v>2167</v>
      </c>
      <c r="F3404" s="1" t="s">
        <v>4035</v>
      </c>
      <c r="G3404" s="4">
        <v>0.75019999999999998</v>
      </c>
      <c r="H3404" s="28">
        <v>43843</v>
      </c>
      <c r="I3404" s="29">
        <f t="shared" si="3309"/>
        <v>2020</v>
      </c>
      <c r="J3404" s="1" t="s">
        <v>6057</v>
      </c>
      <c r="K3404" s="1" t="s">
        <v>7</v>
      </c>
      <c r="L3404" s="11" t="str">
        <f t="shared" si="3318"/>
        <v>НЕТ</v>
      </c>
      <c r="M3404" s="10">
        <v>0</v>
      </c>
      <c r="N3404" s="10">
        <v>0</v>
      </c>
      <c r="O3404" s="10">
        <v>8.0000000000000002E-3</v>
      </c>
      <c r="P3404" s="10">
        <f t="shared" si="3312"/>
        <v>1.0663822980538524E-2</v>
      </c>
      <c r="Q3404" s="10" t="str">
        <f t="shared" si="3313"/>
        <v>NA</v>
      </c>
      <c r="R3404" s="10" t="s">
        <v>1575</v>
      </c>
      <c r="S3404" s="10" t="s">
        <v>1575</v>
      </c>
      <c r="T3404" s="10" t="s">
        <v>1575</v>
      </c>
      <c r="U3404" s="10" t="s">
        <v>1575</v>
      </c>
      <c r="V3404" s="10" t="s">
        <v>1575</v>
      </c>
      <c r="W3404" s="10" t="s">
        <v>1575</v>
      </c>
      <c r="X3404" s="10" t="str">
        <f t="shared" si="3198"/>
        <v>NA</v>
      </c>
      <c r="Y3404" s="10" t="str">
        <f t="shared" si="3199"/>
        <v>NA</v>
      </c>
      <c r="Z3404" s="10" t="str">
        <f t="shared" si="3200"/>
        <v>NA</v>
      </c>
      <c r="AA3404" s="10" t="str">
        <f t="shared" si="3201"/>
        <v>NA</v>
      </c>
      <c r="AB3404" s="10" t="str">
        <f t="shared" si="3202"/>
        <v>NA</v>
      </c>
      <c r="AC3404" s="10" t="str">
        <f t="shared" si="3203"/>
        <v>NA</v>
      </c>
      <c r="AD3404" s="10" t="str">
        <f t="shared" si="3204"/>
        <v>NA</v>
      </c>
      <c r="AE3404" s="10" t="str">
        <f t="shared" si="3205"/>
        <v>NA</v>
      </c>
      <c r="AF3404" s="1" t="s">
        <v>4032</v>
      </c>
    </row>
    <row r="3405" spans="1:32" x14ac:dyDescent="0.2">
      <c r="A3405" s="1" t="s">
        <v>6922</v>
      </c>
      <c r="B3405" s="1" t="s">
        <v>5</v>
      </c>
      <c r="C3405" s="1" t="s">
        <v>1575</v>
      </c>
      <c r="D3405" s="1" t="s">
        <v>2160</v>
      </c>
      <c r="E3405" s="1" t="s">
        <v>2167</v>
      </c>
      <c r="F3405" s="1" t="s">
        <v>4036</v>
      </c>
      <c r="G3405" s="4">
        <v>1</v>
      </c>
      <c r="H3405" s="28">
        <v>43922</v>
      </c>
      <c r="I3405" s="29">
        <f t="shared" si="3309"/>
        <v>2020</v>
      </c>
      <c r="J3405" s="1" t="s">
        <v>6057</v>
      </c>
      <c r="K3405" s="1" t="s">
        <v>7</v>
      </c>
      <c r="L3405" s="11" t="str">
        <f t="shared" si="3318"/>
        <v>НЕТ</v>
      </c>
      <c r="M3405" s="10">
        <v>0</v>
      </c>
      <c r="N3405" s="10">
        <v>0</v>
      </c>
      <c r="O3405" s="10">
        <v>6.5898999999999999E-2</v>
      </c>
      <c r="P3405" s="10">
        <f t="shared" si="3312"/>
        <v>6.5898999999999999E-2</v>
      </c>
      <c r="Q3405" s="10" t="str">
        <f t="shared" si="3313"/>
        <v>NA</v>
      </c>
      <c r="R3405" s="10" t="s">
        <v>1575</v>
      </c>
      <c r="S3405" s="10" t="s">
        <v>1575</v>
      </c>
      <c r="T3405" s="10" t="s">
        <v>1575</v>
      </c>
      <c r="U3405" s="10" t="s">
        <v>1575</v>
      </c>
      <c r="V3405" s="10" t="s">
        <v>1575</v>
      </c>
      <c r="W3405" s="10" t="s">
        <v>1575</v>
      </c>
      <c r="X3405" s="10" t="str">
        <f t="shared" si="3198"/>
        <v>NA</v>
      </c>
      <c r="Y3405" s="10" t="str">
        <f t="shared" si="3199"/>
        <v>NA</v>
      </c>
      <c r="Z3405" s="10" t="str">
        <f t="shared" si="3200"/>
        <v>NA</v>
      </c>
      <c r="AA3405" s="10" t="str">
        <f t="shared" si="3201"/>
        <v>NA</v>
      </c>
      <c r="AB3405" s="10" t="str">
        <f t="shared" si="3202"/>
        <v>NA</v>
      </c>
      <c r="AC3405" s="10" t="str">
        <f t="shared" si="3203"/>
        <v>NA</v>
      </c>
      <c r="AD3405" s="10" t="str">
        <f t="shared" si="3204"/>
        <v>NA</v>
      </c>
      <c r="AE3405" s="10" t="str">
        <f t="shared" si="3205"/>
        <v>NA</v>
      </c>
      <c r="AF3405" s="1" t="s">
        <v>4033</v>
      </c>
    </row>
    <row r="3406" spans="1:32" x14ac:dyDescent="0.2">
      <c r="A3406" s="1" t="s">
        <v>3476</v>
      </c>
      <c r="B3406" s="1" t="s">
        <v>5</v>
      </c>
      <c r="C3406" s="1" t="s">
        <v>1575</v>
      </c>
      <c r="D3406" s="1" t="s">
        <v>2160</v>
      </c>
      <c r="E3406" s="1" t="s">
        <v>2167</v>
      </c>
      <c r="F3406" s="1" t="s">
        <v>4036</v>
      </c>
      <c r="G3406" s="4">
        <v>1</v>
      </c>
      <c r="H3406" s="28">
        <v>43646</v>
      </c>
      <c r="I3406" s="29">
        <f t="shared" si="3309"/>
        <v>2019</v>
      </c>
      <c r="J3406" s="1" t="s">
        <v>6057</v>
      </c>
      <c r="K3406" s="1" t="s">
        <v>7</v>
      </c>
      <c r="L3406" s="11" t="str">
        <f t="shared" ref="L3406" si="3319">IF(OR(A3406=J3406,A3406=K3406),"ДА","НЕТ")</f>
        <v>НЕТ</v>
      </c>
      <c r="M3406" s="10">
        <v>0</v>
      </c>
      <c r="N3406" s="10">
        <v>0</v>
      </c>
      <c r="O3406" s="10">
        <v>0.14000000000000001</v>
      </c>
      <c r="P3406" s="10">
        <f t="shared" si="3312"/>
        <v>0.14000000000000001</v>
      </c>
      <c r="Q3406" s="10">
        <f t="shared" si="3313"/>
        <v>0.22772400000000001</v>
      </c>
      <c r="R3406" s="10" t="s">
        <v>1575</v>
      </c>
      <c r="S3406" s="10" t="s">
        <v>1575</v>
      </c>
      <c r="T3406" s="10" t="s">
        <v>1575</v>
      </c>
      <c r="U3406" s="10" t="s">
        <v>1575</v>
      </c>
      <c r="V3406" s="10">
        <v>0.14000000000000001</v>
      </c>
      <c r="W3406" s="10">
        <f>0.05532+0.032816-0.000412</f>
        <v>8.7723999999999996E-2</v>
      </c>
      <c r="X3406" s="10">
        <f t="shared" si="3198"/>
        <v>0.22772400000000001</v>
      </c>
      <c r="Y3406" s="10" t="str">
        <f t="shared" si="3199"/>
        <v>NA</v>
      </c>
      <c r="Z3406" s="10" t="str">
        <f t="shared" si="3200"/>
        <v>NA</v>
      </c>
      <c r="AA3406" s="10">
        <f t="shared" si="3201"/>
        <v>1</v>
      </c>
      <c r="AB3406" s="10" t="str">
        <f t="shared" si="3202"/>
        <v>NA</v>
      </c>
      <c r="AC3406" s="10" t="str">
        <f t="shared" si="3203"/>
        <v>NA</v>
      </c>
      <c r="AD3406" s="10" t="str">
        <f t="shared" si="3204"/>
        <v>NA</v>
      </c>
      <c r="AE3406" s="10">
        <f t="shared" si="3205"/>
        <v>1</v>
      </c>
      <c r="AF3406" s="1" t="s">
        <v>4034</v>
      </c>
    </row>
    <row r="3407" spans="1:32" x14ac:dyDescent="0.2">
      <c r="A3407" s="1" t="s">
        <v>6923</v>
      </c>
      <c r="B3407" s="1" t="s">
        <v>5</v>
      </c>
      <c r="C3407" s="1" t="s">
        <v>1575</v>
      </c>
      <c r="D3407" s="1" t="s">
        <v>2160</v>
      </c>
      <c r="E3407" s="1" t="s">
        <v>2167</v>
      </c>
      <c r="F3407" s="1" t="s">
        <v>4036</v>
      </c>
      <c r="G3407" s="4">
        <v>1</v>
      </c>
      <c r="H3407" s="28">
        <v>43281</v>
      </c>
      <c r="I3407" s="29">
        <f t="shared" si="3309"/>
        <v>2018</v>
      </c>
      <c r="J3407" s="1" t="s">
        <v>6057</v>
      </c>
      <c r="K3407" s="1" t="s">
        <v>7</v>
      </c>
      <c r="L3407" s="11" t="str">
        <f t="shared" ref="L3407:L3408" si="3320">IF(OR(A3407=J3407,A3407=K3407),"ДА","НЕТ")</f>
        <v>НЕТ</v>
      </c>
      <c r="M3407" s="10">
        <v>0</v>
      </c>
      <c r="N3407" s="10">
        <v>0</v>
      </c>
      <c r="O3407" s="10">
        <v>1.049102</v>
      </c>
      <c r="P3407" s="10">
        <f t="shared" si="3312"/>
        <v>1.049102</v>
      </c>
      <c r="Q3407" s="10">
        <f t="shared" si="3313"/>
        <v>1.5672920000000001</v>
      </c>
      <c r="R3407" s="10" t="s">
        <v>1575</v>
      </c>
      <c r="S3407" s="10" t="s">
        <v>1575</v>
      </c>
      <c r="T3407" s="10" t="s">
        <v>1575</v>
      </c>
      <c r="U3407" s="10" t="s">
        <v>1575</v>
      </c>
      <c r="V3407" s="10">
        <v>1.2652950000000001</v>
      </c>
      <c r="W3407" s="10">
        <f>0.344872+0.277914-0.104596</f>
        <v>0.51819000000000004</v>
      </c>
      <c r="X3407" s="10">
        <f t="shared" si="3198"/>
        <v>1.7834850000000002</v>
      </c>
      <c r="Y3407" s="10" t="str">
        <f t="shared" si="3199"/>
        <v>NA</v>
      </c>
      <c r="Z3407" s="10" t="str">
        <f t="shared" si="3200"/>
        <v>NA</v>
      </c>
      <c r="AA3407" s="10">
        <f t="shared" si="3201"/>
        <v>0.82913628837543807</v>
      </c>
      <c r="AB3407" s="10" t="str">
        <f t="shared" si="3202"/>
        <v>NA</v>
      </c>
      <c r="AC3407" s="10" t="str">
        <f t="shared" si="3203"/>
        <v>NA</v>
      </c>
      <c r="AD3407" s="10" t="str">
        <f t="shared" si="3204"/>
        <v>NA</v>
      </c>
      <c r="AE3407" s="10">
        <f t="shared" si="3205"/>
        <v>0.87878058968816664</v>
      </c>
      <c r="AF3407" s="1" t="s">
        <v>4037</v>
      </c>
    </row>
    <row r="3408" spans="1:32" x14ac:dyDescent="0.2">
      <c r="A3408" s="1" t="s">
        <v>6924</v>
      </c>
      <c r="B3408" s="1" t="s">
        <v>5</v>
      </c>
      <c r="C3408" s="1" t="s">
        <v>1575</v>
      </c>
      <c r="D3408" s="1" t="s">
        <v>2160</v>
      </c>
      <c r="E3408" s="1" t="s">
        <v>2167</v>
      </c>
      <c r="F3408" s="1" t="s">
        <v>4036</v>
      </c>
      <c r="G3408" s="4">
        <v>1</v>
      </c>
      <c r="H3408" s="28">
        <v>43465</v>
      </c>
      <c r="I3408" s="29">
        <f t="shared" si="3309"/>
        <v>2018</v>
      </c>
      <c r="J3408" s="1" t="s">
        <v>7</v>
      </c>
      <c r="K3408" s="1" t="s">
        <v>6057</v>
      </c>
      <c r="L3408" s="11" t="str">
        <f t="shared" si="3320"/>
        <v>НЕТ</v>
      </c>
      <c r="M3408" s="10">
        <v>0</v>
      </c>
      <c r="N3408" s="10">
        <v>0</v>
      </c>
      <c r="O3408" s="10" t="s">
        <v>1575</v>
      </c>
      <c r="P3408" s="10" t="str">
        <f t="shared" si="3312"/>
        <v>NA</v>
      </c>
      <c r="Q3408" s="10" t="str">
        <f t="shared" si="3313"/>
        <v>NA</v>
      </c>
      <c r="R3408" s="10">
        <v>0.109351</v>
      </c>
      <c r="S3408" s="10" t="s">
        <v>1575</v>
      </c>
      <c r="T3408" s="10" t="s">
        <v>1575</v>
      </c>
      <c r="U3408" s="10">
        <v>-0.11503099999999999</v>
      </c>
      <c r="V3408" s="10">
        <v>-0.25870500000000002</v>
      </c>
      <c r="W3408" s="10">
        <f>0.018265-0.002225</f>
        <v>1.6039999999999999E-2</v>
      </c>
      <c r="X3408" s="10">
        <f t="shared" si="3198"/>
        <v>-0.24266500000000002</v>
      </c>
      <c r="Y3408" s="10" t="str">
        <f t="shared" si="3199"/>
        <v>NA</v>
      </c>
      <c r="Z3408" s="10" t="str">
        <f t="shared" si="3200"/>
        <v>NA</v>
      </c>
      <c r="AA3408" s="10" t="str">
        <f t="shared" si="3201"/>
        <v>NA</v>
      </c>
      <c r="AB3408" s="10" t="str">
        <f t="shared" si="3202"/>
        <v>NA</v>
      </c>
      <c r="AC3408" s="10" t="str">
        <f t="shared" si="3203"/>
        <v>NA</v>
      </c>
      <c r="AD3408" s="10" t="str">
        <f t="shared" si="3204"/>
        <v>NA</v>
      </c>
      <c r="AE3408" s="10" t="str">
        <f t="shared" si="3205"/>
        <v>NA</v>
      </c>
      <c r="AF3408" s="1" t="s">
        <v>4038</v>
      </c>
    </row>
    <row r="3409" spans="1:32" x14ac:dyDescent="0.2">
      <c r="A3409" s="1" t="s">
        <v>6925</v>
      </c>
      <c r="B3409" s="1" t="s">
        <v>5</v>
      </c>
      <c r="C3409" s="1" t="s">
        <v>1575</v>
      </c>
      <c r="D3409" s="1" t="s">
        <v>1578</v>
      </c>
      <c r="E3409" s="1" t="s">
        <v>9262</v>
      </c>
      <c r="F3409" s="1" t="s">
        <v>5187</v>
      </c>
      <c r="G3409" s="4">
        <v>1</v>
      </c>
      <c r="H3409" s="28">
        <v>45329</v>
      </c>
      <c r="I3409" s="29">
        <f t="shared" si="3309"/>
        <v>2024</v>
      </c>
      <c r="J3409" s="1" t="s">
        <v>7</v>
      </c>
      <c r="K3409" s="1" t="s">
        <v>6926</v>
      </c>
      <c r="L3409" s="11" t="str">
        <f t="shared" ref="L3409" si="3321">IF(OR(A3409=J3409,A3409=K3409),"ДА","НЕТ")</f>
        <v>НЕТ</v>
      </c>
      <c r="M3409" s="10">
        <v>0</v>
      </c>
      <c r="N3409" s="10">
        <v>0</v>
      </c>
      <c r="O3409" s="10">
        <v>1.0000000000000001E-5</v>
      </c>
      <c r="P3409" s="10">
        <f t="shared" si="3312"/>
        <v>1.0000000000000001E-5</v>
      </c>
      <c r="Q3409" s="10" t="str">
        <f t="shared" si="3313"/>
        <v>NA</v>
      </c>
      <c r="R3409" s="10" t="s">
        <v>1575</v>
      </c>
      <c r="S3409" s="10" t="s">
        <v>1575</v>
      </c>
      <c r="T3409" s="10" t="s">
        <v>1575</v>
      </c>
      <c r="U3409" s="10" t="s">
        <v>1575</v>
      </c>
      <c r="V3409" s="10" t="s">
        <v>1575</v>
      </c>
      <c r="W3409" s="10" t="s">
        <v>1575</v>
      </c>
      <c r="X3409" s="10" t="str">
        <f t="shared" ref="X3409:X3415" si="3322">IFERROR(V3409+W3409,"NA")</f>
        <v>NA</v>
      </c>
      <c r="Y3409" s="10" t="str">
        <f t="shared" ref="Y3409:Y3415" si="3323">IFERROR(P3409/R3409,"NA")</f>
        <v>NA</v>
      </c>
      <c r="Z3409" s="10" t="str">
        <f t="shared" ref="Z3409:Z3415" si="3324">IFERROR(P3409/U3409,"NA")</f>
        <v>NA</v>
      </c>
      <c r="AA3409" s="10" t="str">
        <f t="shared" ref="AA3409:AA3415" si="3325">IFERROR(P3409/V3409,"NA")</f>
        <v>NA</v>
      </c>
      <c r="AB3409" s="10" t="str">
        <f t="shared" ref="AB3409:AB3415" si="3326">IFERROR(Q3409/R3409,"NA")</f>
        <v>NA</v>
      </c>
      <c r="AC3409" s="10" t="str">
        <f t="shared" ref="AC3409:AC3415" si="3327">IFERROR(Q3409/S3409,"NA")</f>
        <v>NA</v>
      </c>
      <c r="AD3409" s="10" t="str">
        <f t="shared" ref="AD3409:AD3415" si="3328">IFERROR(Q3409/T3409,"NA")</f>
        <v>NA</v>
      </c>
      <c r="AE3409" s="10" t="str">
        <f t="shared" ref="AE3409:AE3415" si="3329">IFERROR(Q3409/X3409,"NA")</f>
        <v>NA</v>
      </c>
      <c r="AF3409" s="1" t="s">
        <v>5186</v>
      </c>
    </row>
    <row r="3410" spans="1:32" x14ac:dyDescent="0.2">
      <c r="A3410" s="1" t="s">
        <v>6927</v>
      </c>
      <c r="B3410" s="1" t="s">
        <v>5</v>
      </c>
      <c r="C3410" s="1" t="s">
        <v>1575</v>
      </c>
      <c r="D3410" s="1" t="s">
        <v>2160</v>
      </c>
      <c r="E3410" s="1" t="s">
        <v>2161</v>
      </c>
      <c r="F3410" s="1" t="s">
        <v>5190</v>
      </c>
      <c r="G3410" s="4">
        <v>1</v>
      </c>
      <c r="H3410" s="28">
        <v>45268</v>
      </c>
      <c r="I3410" s="29">
        <f t="shared" si="3309"/>
        <v>2023</v>
      </c>
      <c r="J3410" s="1" t="s">
        <v>6928</v>
      </c>
      <c r="K3410" s="1" t="s">
        <v>7</v>
      </c>
      <c r="L3410" s="11" t="str">
        <f t="shared" ref="L3410:L3413" si="3330">IF(OR(A3410=J3410,A3410=K3410),"ДА","НЕТ")</f>
        <v>НЕТ</v>
      </c>
      <c r="M3410" s="10">
        <v>0</v>
      </c>
      <c r="N3410" s="10">
        <v>0</v>
      </c>
      <c r="O3410" s="10">
        <v>1E-4</v>
      </c>
      <c r="P3410" s="10">
        <f t="shared" si="3312"/>
        <v>1E-4</v>
      </c>
      <c r="Q3410" s="10" t="str">
        <f t="shared" si="3313"/>
        <v>NA</v>
      </c>
      <c r="R3410" s="10" t="s">
        <v>1575</v>
      </c>
      <c r="S3410" s="10" t="s">
        <v>1575</v>
      </c>
      <c r="T3410" s="10" t="s">
        <v>1575</v>
      </c>
      <c r="U3410" s="10" t="s">
        <v>1575</v>
      </c>
      <c r="V3410" s="10" t="s">
        <v>1575</v>
      </c>
      <c r="W3410" s="10" t="s">
        <v>1575</v>
      </c>
      <c r="X3410" s="10" t="str">
        <f t="shared" si="3322"/>
        <v>NA</v>
      </c>
      <c r="Y3410" s="10" t="str">
        <f t="shared" si="3323"/>
        <v>NA</v>
      </c>
      <c r="Z3410" s="10" t="str">
        <f t="shared" si="3324"/>
        <v>NA</v>
      </c>
      <c r="AA3410" s="10" t="str">
        <f t="shared" si="3325"/>
        <v>NA</v>
      </c>
      <c r="AB3410" s="10" t="str">
        <f t="shared" si="3326"/>
        <v>NA</v>
      </c>
      <c r="AC3410" s="10" t="str">
        <f t="shared" si="3327"/>
        <v>NA</v>
      </c>
      <c r="AD3410" s="10" t="str">
        <f t="shared" si="3328"/>
        <v>NA</v>
      </c>
      <c r="AE3410" s="10" t="str">
        <f t="shared" si="3329"/>
        <v>NA</v>
      </c>
      <c r="AF3410" s="1" t="s">
        <v>5189</v>
      </c>
    </row>
    <row r="3411" spans="1:32" x14ac:dyDescent="0.2">
      <c r="A3411" s="1" t="s">
        <v>6929</v>
      </c>
      <c r="B3411" s="1" t="s">
        <v>5</v>
      </c>
      <c r="C3411" s="1" t="s">
        <v>1575</v>
      </c>
      <c r="D3411" s="1" t="s">
        <v>2160</v>
      </c>
      <c r="E3411" s="1" t="s">
        <v>2161</v>
      </c>
      <c r="F3411" s="1" t="s">
        <v>5190</v>
      </c>
      <c r="G3411" s="4">
        <v>1</v>
      </c>
      <c r="H3411" s="28">
        <v>45268</v>
      </c>
      <c r="I3411" s="29">
        <f t="shared" si="3309"/>
        <v>2023</v>
      </c>
      <c r="J3411" s="1" t="s">
        <v>6928</v>
      </c>
      <c r="K3411" s="1" t="s">
        <v>7</v>
      </c>
      <c r="L3411" s="11" t="str">
        <f t="shared" si="3330"/>
        <v>НЕТ</v>
      </c>
      <c r="M3411" s="10">
        <v>0</v>
      </c>
      <c r="N3411" s="10">
        <v>0</v>
      </c>
      <c r="O3411" s="10">
        <v>1E-4</v>
      </c>
      <c r="P3411" s="10">
        <f t="shared" si="3312"/>
        <v>1E-4</v>
      </c>
      <c r="Q3411" s="10" t="str">
        <f t="shared" si="3313"/>
        <v>NA</v>
      </c>
      <c r="R3411" s="10" t="s">
        <v>1575</v>
      </c>
      <c r="S3411" s="10" t="s">
        <v>1575</v>
      </c>
      <c r="T3411" s="10" t="s">
        <v>1575</v>
      </c>
      <c r="U3411" s="10" t="s">
        <v>1575</v>
      </c>
      <c r="V3411" s="10" t="s">
        <v>1575</v>
      </c>
      <c r="W3411" s="10" t="s">
        <v>1575</v>
      </c>
      <c r="X3411" s="10" t="str">
        <f t="shared" si="3322"/>
        <v>NA</v>
      </c>
      <c r="Y3411" s="10" t="str">
        <f t="shared" si="3323"/>
        <v>NA</v>
      </c>
      <c r="Z3411" s="10" t="str">
        <f t="shared" si="3324"/>
        <v>NA</v>
      </c>
      <c r="AA3411" s="10" t="str">
        <f t="shared" si="3325"/>
        <v>NA</v>
      </c>
      <c r="AB3411" s="10" t="str">
        <f t="shared" si="3326"/>
        <v>NA</v>
      </c>
      <c r="AC3411" s="10" t="str">
        <f t="shared" si="3327"/>
        <v>NA</v>
      </c>
      <c r="AD3411" s="10" t="str">
        <f t="shared" si="3328"/>
        <v>NA</v>
      </c>
      <c r="AE3411" s="10" t="str">
        <f t="shared" si="3329"/>
        <v>NA</v>
      </c>
      <c r="AF3411" s="1" t="s">
        <v>5192</v>
      </c>
    </row>
    <row r="3412" spans="1:32" x14ac:dyDescent="0.2">
      <c r="A3412" s="1" t="s">
        <v>6930</v>
      </c>
      <c r="B3412" s="1" t="s">
        <v>5</v>
      </c>
      <c r="C3412" s="1" t="s">
        <v>1575</v>
      </c>
      <c r="D3412" s="1" t="s">
        <v>2160</v>
      </c>
      <c r="E3412" s="1" t="s">
        <v>2161</v>
      </c>
      <c r="F3412" s="1" t="s">
        <v>5190</v>
      </c>
      <c r="G3412" s="4">
        <v>1</v>
      </c>
      <c r="H3412" s="28">
        <v>45268</v>
      </c>
      <c r="I3412" s="29">
        <f t="shared" si="3309"/>
        <v>2023</v>
      </c>
      <c r="J3412" s="1" t="s">
        <v>6928</v>
      </c>
      <c r="K3412" s="1" t="s">
        <v>7</v>
      </c>
      <c r="L3412" s="11" t="str">
        <f t="shared" si="3330"/>
        <v>НЕТ</v>
      </c>
      <c r="M3412" s="10">
        <v>0</v>
      </c>
      <c r="N3412" s="10">
        <v>0</v>
      </c>
      <c r="O3412" s="10">
        <v>1E-4</v>
      </c>
      <c r="P3412" s="10">
        <f t="shared" si="3312"/>
        <v>1E-4</v>
      </c>
      <c r="Q3412" s="10" t="str">
        <f t="shared" si="3313"/>
        <v>NA</v>
      </c>
      <c r="R3412" s="10" t="s">
        <v>1575</v>
      </c>
      <c r="S3412" s="10" t="s">
        <v>1575</v>
      </c>
      <c r="T3412" s="10" t="s">
        <v>1575</v>
      </c>
      <c r="U3412" s="10" t="s">
        <v>1575</v>
      </c>
      <c r="V3412" s="10" t="s">
        <v>1575</v>
      </c>
      <c r="W3412" s="10" t="s">
        <v>1575</v>
      </c>
      <c r="X3412" s="10" t="str">
        <f t="shared" si="3322"/>
        <v>NA</v>
      </c>
      <c r="Y3412" s="10" t="str">
        <f t="shared" si="3323"/>
        <v>NA</v>
      </c>
      <c r="Z3412" s="10" t="str">
        <f t="shared" si="3324"/>
        <v>NA</v>
      </c>
      <c r="AA3412" s="10" t="str">
        <f t="shared" si="3325"/>
        <v>NA</v>
      </c>
      <c r="AB3412" s="10" t="str">
        <f t="shared" si="3326"/>
        <v>NA</v>
      </c>
      <c r="AC3412" s="10" t="str">
        <f t="shared" si="3327"/>
        <v>NA</v>
      </c>
      <c r="AD3412" s="10" t="str">
        <f t="shared" si="3328"/>
        <v>NA</v>
      </c>
      <c r="AE3412" s="10" t="str">
        <f t="shared" si="3329"/>
        <v>NA</v>
      </c>
      <c r="AF3412" s="1" t="s">
        <v>5193</v>
      </c>
    </row>
    <row r="3413" spans="1:32" x14ac:dyDescent="0.2">
      <c r="A3413" s="1" t="s">
        <v>6931</v>
      </c>
      <c r="B3413" s="1" t="s">
        <v>5</v>
      </c>
      <c r="C3413" s="1" t="s">
        <v>1575</v>
      </c>
      <c r="D3413" s="1" t="s">
        <v>2160</v>
      </c>
      <c r="E3413" s="1" t="s">
        <v>2161</v>
      </c>
      <c r="F3413" s="1" t="s">
        <v>5190</v>
      </c>
      <c r="G3413" s="4">
        <v>1</v>
      </c>
      <c r="H3413" s="28">
        <v>45268</v>
      </c>
      <c r="I3413" s="29">
        <f t="shared" si="3309"/>
        <v>2023</v>
      </c>
      <c r="J3413" s="1" t="s">
        <v>6928</v>
      </c>
      <c r="K3413" s="1" t="s">
        <v>7</v>
      </c>
      <c r="L3413" s="11" t="str">
        <f t="shared" si="3330"/>
        <v>НЕТ</v>
      </c>
      <c r="M3413" s="10">
        <v>0</v>
      </c>
      <c r="N3413" s="10">
        <v>0</v>
      </c>
      <c r="O3413" s="10">
        <v>1E-4</v>
      </c>
      <c r="P3413" s="10">
        <f t="shared" si="3312"/>
        <v>1E-4</v>
      </c>
      <c r="Q3413" s="10" t="str">
        <f t="shared" si="3313"/>
        <v>NA</v>
      </c>
      <c r="R3413" s="10" t="s">
        <v>1575</v>
      </c>
      <c r="S3413" s="10" t="s">
        <v>1575</v>
      </c>
      <c r="T3413" s="10" t="s">
        <v>1575</v>
      </c>
      <c r="U3413" s="10" t="s">
        <v>1575</v>
      </c>
      <c r="V3413" s="10" t="s">
        <v>1575</v>
      </c>
      <c r="W3413" s="10" t="s">
        <v>1575</v>
      </c>
      <c r="X3413" s="10" t="s">
        <v>1575</v>
      </c>
      <c r="Y3413" s="10" t="s">
        <v>1575</v>
      </c>
      <c r="Z3413" s="10" t="s">
        <v>1575</v>
      </c>
      <c r="AA3413" s="10" t="s">
        <v>1575</v>
      </c>
      <c r="AB3413" s="10" t="s">
        <v>1575</v>
      </c>
      <c r="AC3413" s="10" t="s">
        <v>1575</v>
      </c>
      <c r="AD3413" s="10" t="s">
        <v>1575</v>
      </c>
      <c r="AE3413" s="10" t="s">
        <v>1575</v>
      </c>
      <c r="AF3413" s="1" t="s">
        <v>5191</v>
      </c>
    </row>
    <row r="3414" spans="1:32" x14ac:dyDescent="0.2">
      <c r="A3414" s="1" t="s">
        <v>6932</v>
      </c>
      <c r="B3414" s="1" t="s">
        <v>5</v>
      </c>
      <c r="C3414" s="1" t="s">
        <v>1575</v>
      </c>
      <c r="D3414" s="1" t="s">
        <v>2160</v>
      </c>
      <c r="E3414" s="1" t="s">
        <v>2161</v>
      </c>
      <c r="F3414" s="1" t="s">
        <v>5188</v>
      </c>
      <c r="G3414" s="4">
        <f>99%+0.5%+0.5%</f>
        <v>1</v>
      </c>
      <c r="H3414" s="28">
        <v>44904</v>
      </c>
      <c r="I3414" s="29">
        <f t="shared" si="3309"/>
        <v>2022</v>
      </c>
      <c r="J3414" s="1" t="s">
        <v>6928</v>
      </c>
      <c r="K3414" s="1" t="s">
        <v>7</v>
      </c>
      <c r="L3414" s="11" t="str">
        <f t="shared" ref="L3414" si="3331">IF(OR(A3414=J3414,A3414=K3414),"ДА","НЕТ")</f>
        <v>НЕТ</v>
      </c>
      <c r="M3414" s="10">
        <v>0</v>
      </c>
      <c r="N3414" s="10">
        <v>0</v>
      </c>
      <c r="O3414" s="10">
        <f>0.88042284+0.00444658+0.00444658</f>
        <v>0.889316</v>
      </c>
      <c r="P3414" s="10">
        <f t="shared" si="3312"/>
        <v>0.889316</v>
      </c>
      <c r="Q3414" s="10" t="str">
        <f t="shared" si="3313"/>
        <v>NA</v>
      </c>
      <c r="R3414" s="10" t="s">
        <v>1575</v>
      </c>
      <c r="S3414" s="10" t="s">
        <v>1575</v>
      </c>
      <c r="T3414" s="10" t="s">
        <v>1575</v>
      </c>
      <c r="U3414" s="10" t="s">
        <v>1575</v>
      </c>
      <c r="V3414" s="10" t="s">
        <v>1575</v>
      </c>
      <c r="W3414" s="10" t="s">
        <v>1575</v>
      </c>
      <c r="X3414" s="10" t="str">
        <f t="shared" si="3322"/>
        <v>NA</v>
      </c>
      <c r="Y3414" s="10" t="str">
        <f t="shared" si="3323"/>
        <v>NA</v>
      </c>
      <c r="Z3414" s="10" t="str">
        <f t="shared" si="3324"/>
        <v>NA</v>
      </c>
      <c r="AA3414" s="10" t="str">
        <f t="shared" si="3325"/>
        <v>NA</v>
      </c>
      <c r="AB3414" s="10" t="str">
        <f t="shared" si="3326"/>
        <v>NA</v>
      </c>
      <c r="AC3414" s="10" t="str">
        <f t="shared" si="3327"/>
        <v>NA</v>
      </c>
      <c r="AD3414" s="10" t="str">
        <f t="shared" si="3328"/>
        <v>NA</v>
      </c>
      <c r="AE3414" s="10" t="str">
        <f t="shared" si="3329"/>
        <v>NA</v>
      </c>
      <c r="AF3414" s="1" t="s">
        <v>5194</v>
      </c>
    </row>
    <row r="3415" spans="1:32" x14ac:dyDescent="0.2">
      <c r="A3415" s="1" t="s">
        <v>6933</v>
      </c>
      <c r="B3415" s="1" t="s">
        <v>5</v>
      </c>
      <c r="C3415" s="1" t="s">
        <v>1575</v>
      </c>
      <c r="D3415" s="1" t="s">
        <v>2160</v>
      </c>
      <c r="E3415" s="1" t="s">
        <v>2161</v>
      </c>
      <c r="F3415" s="1" t="s">
        <v>5195</v>
      </c>
      <c r="G3415" s="4">
        <v>0.95</v>
      </c>
      <c r="H3415" s="28">
        <v>44350</v>
      </c>
      <c r="I3415" s="29">
        <f t="shared" si="3309"/>
        <v>2021</v>
      </c>
      <c r="J3415" s="1" t="s">
        <v>6928</v>
      </c>
      <c r="K3415" s="1" t="s">
        <v>7</v>
      </c>
      <c r="L3415" s="11" t="str">
        <f t="shared" ref="L3415" si="3332">IF(OR(A3415=J3415,A3415=K3415),"ДА","НЕТ")</f>
        <v>НЕТ</v>
      </c>
      <c r="M3415" s="10">
        <v>0</v>
      </c>
      <c r="N3415" s="10">
        <v>0</v>
      </c>
      <c r="O3415" s="10">
        <v>2.7550000000000001E-3</v>
      </c>
      <c r="P3415" s="10">
        <f t="shared" si="3312"/>
        <v>2.9000000000000002E-3</v>
      </c>
      <c r="Q3415" s="10" t="str">
        <f t="shared" si="3313"/>
        <v>NA</v>
      </c>
      <c r="R3415" s="10" t="s">
        <v>1575</v>
      </c>
      <c r="S3415" s="10" t="s">
        <v>1575</v>
      </c>
      <c r="T3415" s="10" t="s">
        <v>1575</v>
      </c>
      <c r="U3415" s="10" t="s">
        <v>1575</v>
      </c>
      <c r="V3415" s="10" t="s">
        <v>1575</v>
      </c>
      <c r="W3415" s="10" t="s">
        <v>1575</v>
      </c>
      <c r="X3415" s="10" t="str">
        <f t="shared" si="3322"/>
        <v>NA</v>
      </c>
      <c r="Y3415" s="10" t="str">
        <f t="shared" si="3323"/>
        <v>NA</v>
      </c>
      <c r="Z3415" s="10" t="str">
        <f t="shared" si="3324"/>
        <v>NA</v>
      </c>
      <c r="AA3415" s="10" t="str">
        <f t="shared" si="3325"/>
        <v>NA</v>
      </c>
      <c r="AB3415" s="10" t="str">
        <f t="shared" si="3326"/>
        <v>NA</v>
      </c>
      <c r="AC3415" s="10" t="str">
        <f t="shared" si="3327"/>
        <v>NA</v>
      </c>
      <c r="AD3415" s="10" t="str">
        <f t="shared" si="3328"/>
        <v>NA</v>
      </c>
      <c r="AE3415" s="10" t="str">
        <f t="shared" si="3329"/>
        <v>NA</v>
      </c>
      <c r="AF3415" s="1" t="s">
        <v>5196</v>
      </c>
    </row>
    <row r="3416" spans="1:32" x14ac:dyDescent="0.2">
      <c r="A3416" s="1" t="s">
        <v>6934</v>
      </c>
      <c r="B3416" s="1" t="s">
        <v>5</v>
      </c>
      <c r="C3416" s="1" t="s">
        <v>1575</v>
      </c>
      <c r="D3416" s="1" t="s">
        <v>2160</v>
      </c>
      <c r="E3416" s="1" t="s">
        <v>2161</v>
      </c>
      <c r="F3416" s="1" t="s">
        <v>5190</v>
      </c>
      <c r="G3416" s="4">
        <v>1</v>
      </c>
      <c r="H3416" s="28">
        <v>43210</v>
      </c>
      <c r="I3416" s="29">
        <f t="shared" si="3309"/>
        <v>2018</v>
      </c>
      <c r="J3416" s="1" t="s">
        <v>6928</v>
      </c>
      <c r="K3416" s="1" t="s">
        <v>7</v>
      </c>
      <c r="L3416" s="11" t="str">
        <f t="shared" ref="L3416" si="3333">IF(OR(A3416=J3416,A3416=K3416),"ДА","НЕТ")</f>
        <v>НЕТ</v>
      </c>
      <c r="M3416" s="10">
        <v>0</v>
      </c>
      <c r="N3416" s="10">
        <v>0</v>
      </c>
      <c r="O3416" s="10">
        <v>0.19400000000000001</v>
      </c>
      <c r="P3416" s="10">
        <f t="shared" si="3312"/>
        <v>0.19400000000000001</v>
      </c>
      <c r="Q3416" s="10" t="str">
        <f t="shared" si="3313"/>
        <v>NA</v>
      </c>
      <c r="R3416" s="10" t="s">
        <v>1575</v>
      </c>
      <c r="S3416" s="10" t="s">
        <v>1575</v>
      </c>
      <c r="T3416" s="10" t="s">
        <v>1575</v>
      </c>
      <c r="U3416" s="10" t="s">
        <v>1575</v>
      </c>
      <c r="V3416" s="10" t="s">
        <v>1575</v>
      </c>
      <c r="W3416" s="10" t="s">
        <v>1575</v>
      </c>
      <c r="X3416" s="10" t="str">
        <f t="shared" ref="X3416:X3417" si="3334">IFERROR(V3416+W3416,"NA")</f>
        <v>NA</v>
      </c>
      <c r="Y3416" s="10" t="str">
        <f t="shared" ref="Y3416:Y3417" si="3335">IFERROR(P3416/R3416,"NA")</f>
        <v>NA</v>
      </c>
      <c r="Z3416" s="10" t="str">
        <f t="shared" ref="Z3416:Z3417" si="3336">IFERROR(P3416/U3416,"NA")</f>
        <v>NA</v>
      </c>
      <c r="AA3416" s="10" t="str">
        <f t="shared" ref="AA3416:AA3417" si="3337">IFERROR(P3416/V3416,"NA")</f>
        <v>NA</v>
      </c>
      <c r="AB3416" s="10" t="str">
        <f t="shared" ref="AB3416:AB3417" si="3338">IFERROR(Q3416/R3416,"NA")</f>
        <v>NA</v>
      </c>
      <c r="AC3416" s="10" t="str">
        <f t="shared" ref="AC3416:AC3417" si="3339">IFERROR(Q3416/S3416,"NA")</f>
        <v>NA</v>
      </c>
      <c r="AD3416" s="10" t="str">
        <f t="shared" ref="AD3416:AD3417" si="3340">IFERROR(Q3416/T3416,"NA")</f>
        <v>NA</v>
      </c>
      <c r="AE3416" s="10" t="str">
        <f t="shared" ref="AE3416:AE3417" si="3341">IFERROR(Q3416/X3416,"NA")</f>
        <v>NA</v>
      </c>
      <c r="AF3416" s="1" t="s">
        <v>5197</v>
      </c>
    </row>
    <row r="3417" spans="1:32" x14ac:dyDescent="0.2">
      <c r="A3417" s="1" t="s">
        <v>6933</v>
      </c>
      <c r="B3417" s="1" t="s">
        <v>5</v>
      </c>
      <c r="C3417" s="1" t="s">
        <v>1575</v>
      </c>
      <c r="D3417" s="1" t="s">
        <v>2160</v>
      </c>
      <c r="E3417" s="1" t="s">
        <v>2161</v>
      </c>
      <c r="F3417" s="1" t="s">
        <v>5195</v>
      </c>
      <c r="G3417" s="4">
        <v>0.95</v>
      </c>
      <c r="H3417" s="28">
        <v>43279</v>
      </c>
      <c r="I3417" s="29">
        <f t="shared" si="3309"/>
        <v>2018</v>
      </c>
      <c r="J3417" s="1" t="s">
        <v>6928</v>
      </c>
      <c r="K3417" s="1" t="s">
        <v>7</v>
      </c>
      <c r="L3417" s="11" t="str">
        <f t="shared" ref="L3417" si="3342">IF(OR(A3417=J3417,A3417=K3417),"ДА","НЕТ")</f>
        <v>НЕТ</v>
      </c>
      <c r="M3417" s="10">
        <v>0</v>
      </c>
      <c r="N3417" s="10">
        <v>0</v>
      </c>
      <c r="O3417" s="10">
        <v>9.5000000000000005E-6</v>
      </c>
      <c r="P3417" s="10">
        <f t="shared" si="3312"/>
        <v>1.0000000000000001E-5</v>
      </c>
      <c r="Q3417" s="10" t="str">
        <f t="shared" si="3313"/>
        <v>NA</v>
      </c>
      <c r="R3417" s="10" t="s">
        <v>1575</v>
      </c>
      <c r="S3417" s="10" t="s">
        <v>1575</v>
      </c>
      <c r="T3417" s="10" t="s">
        <v>1575</v>
      </c>
      <c r="U3417" s="10" t="s">
        <v>1575</v>
      </c>
      <c r="V3417" s="10" t="s">
        <v>1575</v>
      </c>
      <c r="W3417" s="10" t="s">
        <v>1575</v>
      </c>
      <c r="X3417" s="10" t="str">
        <f t="shared" si="3334"/>
        <v>NA</v>
      </c>
      <c r="Y3417" s="10" t="str">
        <f t="shared" si="3335"/>
        <v>NA</v>
      </c>
      <c r="Z3417" s="10" t="str">
        <f t="shared" si="3336"/>
        <v>NA</v>
      </c>
      <c r="AA3417" s="10" t="str">
        <f t="shared" si="3337"/>
        <v>NA</v>
      </c>
      <c r="AB3417" s="10" t="str">
        <f t="shared" si="3338"/>
        <v>NA</v>
      </c>
      <c r="AC3417" s="10" t="str">
        <f t="shared" si="3339"/>
        <v>NA</v>
      </c>
      <c r="AD3417" s="10" t="str">
        <f t="shared" si="3340"/>
        <v>NA</v>
      </c>
      <c r="AE3417" s="10" t="str">
        <f t="shared" si="3341"/>
        <v>NA</v>
      </c>
      <c r="AF3417" s="1" t="s">
        <v>5198</v>
      </c>
    </row>
    <row r="3418" spans="1:32" x14ac:dyDescent="0.2">
      <c r="A3418" s="1" t="s">
        <v>569</v>
      </c>
      <c r="B3418" s="1" t="s">
        <v>5</v>
      </c>
      <c r="C3418" s="1" t="s">
        <v>1575</v>
      </c>
      <c r="D3418" s="1" t="s">
        <v>1689</v>
      </c>
      <c r="E3418" s="1" t="s">
        <v>3027</v>
      </c>
      <c r="F3418" s="1" t="s">
        <v>576</v>
      </c>
      <c r="G3418" s="4">
        <v>9.0999999999999998E-2</v>
      </c>
      <c r="H3418" s="28">
        <v>42370</v>
      </c>
      <c r="I3418" s="29">
        <f t="shared" si="3309"/>
        <v>2016</v>
      </c>
      <c r="J3418" s="1" t="s">
        <v>570</v>
      </c>
      <c r="K3418" s="1" t="s">
        <v>7</v>
      </c>
      <c r="L3418" s="11" t="str">
        <f t="shared" si="2540"/>
        <v>НЕТ</v>
      </c>
      <c r="M3418" s="10">
        <v>0</v>
      </c>
      <c r="N3418" s="10">
        <v>0</v>
      </c>
      <c r="O3418" s="10">
        <v>8.952</v>
      </c>
      <c r="P3418" s="10">
        <f t="shared" si="3312"/>
        <v>98.373626373626379</v>
      </c>
      <c r="Q3418" s="10" t="str">
        <f t="shared" si="3313"/>
        <v>NA</v>
      </c>
      <c r="R3418" s="10" t="s">
        <v>1575</v>
      </c>
      <c r="S3418" s="10" t="s">
        <v>1575</v>
      </c>
      <c r="T3418" s="10" t="s">
        <v>1575</v>
      </c>
      <c r="U3418" s="10" t="s">
        <v>1575</v>
      </c>
      <c r="V3418" s="10" t="s">
        <v>1575</v>
      </c>
      <c r="W3418" s="10" t="s">
        <v>1575</v>
      </c>
      <c r="X3418" s="10" t="str">
        <f t="shared" ref="X3418:X3481" si="3343">IFERROR(V3418+W3418,"NA")</f>
        <v>NA</v>
      </c>
      <c r="Y3418" s="10" t="str">
        <f t="shared" ref="Y3418:Y3481" si="3344">IFERROR(P3418/R3418,"NA")</f>
        <v>NA</v>
      </c>
      <c r="Z3418" s="10" t="str">
        <f t="shared" ref="Z3418:Z3481" si="3345">IFERROR(P3418/U3418,"NA")</f>
        <v>NA</v>
      </c>
      <c r="AA3418" s="10" t="str">
        <f t="shared" ref="AA3418:AA3481" si="3346">IFERROR(P3418/V3418,"NA")</f>
        <v>NA</v>
      </c>
      <c r="AB3418" s="10" t="str">
        <f t="shared" ref="AB3418:AB3481" si="3347">IFERROR(Q3418/R3418,"NA")</f>
        <v>NA</v>
      </c>
      <c r="AC3418" s="10" t="str">
        <f t="shared" ref="AC3418:AC3481" si="3348">IFERROR(Q3418/S3418,"NA")</f>
        <v>NA</v>
      </c>
      <c r="AD3418" s="10" t="str">
        <f t="shared" ref="AD3418:AD3481" si="3349">IFERROR(Q3418/T3418,"NA")</f>
        <v>NA</v>
      </c>
      <c r="AE3418" s="10" t="str">
        <f t="shared" ref="AE3418:AE3481" si="3350">IFERROR(Q3418/X3418,"NA")</f>
        <v>NA</v>
      </c>
      <c r="AF3418" s="1" t="s">
        <v>571</v>
      </c>
    </row>
    <row r="3419" spans="1:32" x14ac:dyDescent="0.2">
      <c r="A3419" s="1" t="s">
        <v>7163</v>
      </c>
      <c r="B3419" s="1" t="s">
        <v>223</v>
      </c>
      <c r="C3419" s="1" t="s">
        <v>1575</v>
      </c>
      <c r="D3419" s="1" t="s">
        <v>1689</v>
      </c>
      <c r="E3419" s="1" t="s">
        <v>3026</v>
      </c>
      <c r="F3419" s="1" t="s">
        <v>572</v>
      </c>
      <c r="G3419" s="4">
        <v>0.505</v>
      </c>
      <c r="H3419" s="28">
        <v>42583</v>
      </c>
      <c r="I3419" s="29">
        <f t="shared" si="3309"/>
        <v>2016</v>
      </c>
      <c r="J3419" s="1" t="s">
        <v>7</v>
      </c>
      <c r="K3419" s="1" t="s">
        <v>570</v>
      </c>
      <c r="L3419" s="11" t="str">
        <f t="shared" si="2540"/>
        <v>НЕТ</v>
      </c>
      <c r="M3419" s="10">
        <v>0</v>
      </c>
      <c r="N3419" s="10">
        <v>0</v>
      </c>
      <c r="O3419" s="10">
        <v>0.186</v>
      </c>
      <c r="P3419" s="10">
        <f t="shared" si="3312"/>
        <v>0.36831683168316831</v>
      </c>
      <c r="Q3419" s="10" t="str">
        <f t="shared" si="3313"/>
        <v>NA</v>
      </c>
      <c r="R3419" s="10" t="s">
        <v>1575</v>
      </c>
      <c r="S3419" s="10" t="s">
        <v>1575</v>
      </c>
      <c r="T3419" s="10" t="s">
        <v>1575</v>
      </c>
      <c r="U3419" s="10" t="s">
        <v>1575</v>
      </c>
      <c r="V3419" s="10" t="s">
        <v>1575</v>
      </c>
      <c r="W3419" s="10" t="s">
        <v>1575</v>
      </c>
      <c r="X3419" s="10" t="str">
        <f t="shared" si="3343"/>
        <v>NA</v>
      </c>
      <c r="Y3419" s="10" t="str">
        <f t="shared" si="3344"/>
        <v>NA</v>
      </c>
      <c r="Z3419" s="10" t="str">
        <f t="shared" si="3345"/>
        <v>NA</v>
      </c>
      <c r="AA3419" s="10" t="str">
        <f t="shared" si="3346"/>
        <v>NA</v>
      </c>
      <c r="AB3419" s="10" t="str">
        <f t="shared" si="3347"/>
        <v>NA</v>
      </c>
      <c r="AC3419" s="10" t="str">
        <f t="shared" si="3348"/>
        <v>NA</v>
      </c>
      <c r="AD3419" s="10" t="str">
        <f t="shared" si="3349"/>
        <v>NA</v>
      </c>
      <c r="AE3419" s="10" t="str">
        <f t="shared" si="3350"/>
        <v>NA</v>
      </c>
    </row>
    <row r="3420" spans="1:32" x14ac:dyDescent="0.2">
      <c r="A3420" s="1" t="s">
        <v>569</v>
      </c>
      <c r="B3420" s="1" t="s">
        <v>5</v>
      </c>
      <c r="C3420" s="1" t="s">
        <v>1575</v>
      </c>
      <c r="D3420" s="1" t="s">
        <v>1689</v>
      </c>
      <c r="E3420" s="1" t="s">
        <v>3027</v>
      </c>
      <c r="F3420" s="1" t="s">
        <v>576</v>
      </c>
      <c r="G3420" s="4">
        <v>0.3805</v>
      </c>
      <c r="H3420" s="28">
        <v>41183</v>
      </c>
      <c r="I3420" s="29">
        <f t="shared" si="3309"/>
        <v>2012</v>
      </c>
      <c r="J3420" s="1" t="s">
        <v>7</v>
      </c>
      <c r="K3420" s="1" t="s">
        <v>570</v>
      </c>
      <c r="L3420" s="11" t="str">
        <f t="shared" si="2540"/>
        <v>НЕТ</v>
      </c>
      <c r="M3420" s="10">
        <v>0</v>
      </c>
      <c r="N3420" s="10">
        <v>0</v>
      </c>
      <c r="O3420" s="10">
        <v>12.755000000000001</v>
      </c>
      <c r="P3420" s="10">
        <f t="shared" si="3312"/>
        <v>33.521681997371878</v>
      </c>
      <c r="Q3420" s="10" t="str">
        <f t="shared" si="3313"/>
        <v>NA</v>
      </c>
      <c r="R3420" s="10" t="s">
        <v>1575</v>
      </c>
      <c r="S3420" s="10" t="s">
        <v>1575</v>
      </c>
      <c r="T3420" s="10" t="s">
        <v>1575</v>
      </c>
      <c r="U3420" s="10" t="s">
        <v>1575</v>
      </c>
      <c r="V3420" s="10" t="s">
        <v>1575</v>
      </c>
      <c r="W3420" s="10" t="s">
        <v>1575</v>
      </c>
      <c r="X3420" s="10" t="str">
        <f t="shared" si="3343"/>
        <v>NA</v>
      </c>
      <c r="Y3420" s="10" t="str">
        <f t="shared" si="3344"/>
        <v>NA</v>
      </c>
      <c r="Z3420" s="10" t="str">
        <f t="shared" si="3345"/>
        <v>NA</v>
      </c>
      <c r="AA3420" s="10" t="str">
        <f t="shared" si="3346"/>
        <v>NA</v>
      </c>
      <c r="AB3420" s="10" t="str">
        <f t="shared" si="3347"/>
        <v>NA</v>
      </c>
      <c r="AC3420" s="10" t="str">
        <f t="shared" si="3348"/>
        <v>NA</v>
      </c>
      <c r="AD3420" s="10" t="str">
        <f t="shared" si="3349"/>
        <v>NA</v>
      </c>
      <c r="AE3420" s="10" t="str">
        <f t="shared" si="3350"/>
        <v>NA</v>
      </c>
    </row>
    <row r="3421" spans="1:32" x14ac:dyDescent="0.2">
      <c r="A3421" s="1" t="s">
        <v>569</v>
      </c>
      <c r="B3421" s="1" t="s">
        <v>5</v>
      </c>
      <c r="C3421" s="1" t="s">
        <v>1575</v>
      </c>
      <c r="D3421" s="1" t="s">
        <v>1689</v>
      </c>
      <c r="E3421" s="1" t="s">
        <v>3027</v>
      </c>
      <c r="F3421" s="1" t="s">
        <v>576</v>
      </c>
      <c r="G3421" s="4">
        <v>0.1095</v>
      </c>
      <c r="H3421" s="28">
        <v>41609</v>
      </c>
      <c r="I3421" s="29">
        <f t="shared" si="3309"/>
        <v>2013</v>
      </c>
      <c r="J3421" s="1" t="s">
        <v>570</v>
      </c>
      <c r="K3421" s="1" t="s">
        <v>7</v>
      </c>
      <c r="L3421" s="11" t="str">
        <f t="shared" si="2540"/>
        <v>НЕТ</v>
      </c>
      <c r="M3421" s="10">
        <v>0</v>
      </c>
      <c r="N3421" s="10">
        <v>0</v>
      </c>
      <c r="O3421" s="10">
        <v>4.1769999999999996</v>
      </c>
      <c r="P3421" s="10">
        <f t="shared" si="3312"/>
        <v>38.146118721461185</v>
      </c>
      <c r="Q3421" s="10" t="str">
        <f t="shared" si="3313"/>
        <v>NA</v>
      </c>
      <c r="R3421" s="10" t="s">
        <v>1575</v>
      </c>
      <c r="S3421" s="10" t="s">
        <v>1575</v>
      </c>
      <c r="T3421" s="10" t="s">
        <v>1575</v>
      </c>
      <c r="U3421" s="10" t="s">
        <v>1575</v>
      </c>
      <c r="V3421" s="10" t="s">
        <v>1575</v>
      </c>
      <c r="W3421" s="10" t="s">
        <v>1575</v>
      </c>
      <c r="X3421" s="10" t="str">
        <f t="shared" si="3343"/>
        <v>NA</v>
      </c>
      <c r="Y3421" s="10" t="str">
        <f t="shared" si="3344"/>
        <v>NA</v>
      </c>
      <c r="Z3421" s="10" t="str">
        <f t="shared" si="3345"/>
        <v>NA</v>
      </c>
      <c r="AA3421" s="10" t="str">
        <f t="shared" si="3346"/>
        <v>NA</v>
      </c>
      <c r="AB3421" s="10" t="str">
        <f t="shared" si="3347"/>
        <v>NA</v>
      </c>
      <c r="AC3421" s="10" t="str">
        <f t="shared" si="3348"/>
        <v>NA</v>
      </c>
      <c r="AD3421" s="10" t="str">
        <f t="shared" si="3349"/>
        <v>NA</v>
      </c>
      <c r="AE3421" s="10" t="str">
        <f t="shared" si="3350"/>
        <v>NA</v>
      </c>
      <c r="AF3421" s="1" t="s">
        <v>573</v>
      </c>
    </row>
    <row r="3422" spans="1:32" x14ac:dyDescent="0.2">
      <c r="A3422" s="1" t="s">
        <v>575</v>
      </c>
      <c r="B3422" s="1" t="s">
        <v>5</v>
      </c>
      <c r="C3422" s="1" t="s">
        <v>5354</v>
      </c>
      <c r="D3422" s="1" t="s">
        <v>1689</v>
      </c>
      <c r="E3422" s="1" t="s">
        <v>3026</v>
      </c>
      <c r="F3422" s="1" t="s">
        <v>572</v>
      </c>
      <c r="G3422" s="4">
        <f>86.95%-85.54%</f>
        <v>1.4100000000000001E-2</v>
      </c>
      <c r="H3422" s="28">
        <v>40909</v>
      </c>
      <c r="I3422" s="29">
        <f t="shared" si="3309"/>
        <v>2012</v>
      </c>
      <c r="J3422" s="1" t="s">
        <v>570</v>
      </c>
      <c r="K3422" s="1" t="s">
        <v>7</v>
      </c>
      <c r="L3422" s="11" t="str">
        <f t="shared" si="2540"/>
        <v>НЕТ</v>
      </c>
      <c r="M3422" s="10">
        <v>0</v>
      </c>
      <c r="N3422" s="10">
        <v>0</v>
      </c>
      <c r="O3422" s="10">
        <v>0.11600000000000001</v>
      </c>
      <c r="P3422" s="10">
        <f t="shared" si="3312"/>
        <v>8.2269503546099294</v>
      </c>
      <c r="Q3422" s="10">
        <f t="shared" si="3313"/>
        <v>-3.0460496453900703</v>
      </c>
      <c r="R3422" s="10">
        <v>16.728999999999999</v>
      </c>
      <c r="S3422" s="10">
        <v>9.7030000000000012</v>
      </c>
      <c r="T3422" s="10">
        <v>9.3350000000000009</v>
      </c>
      <c r="U3422" s="10">
        <v>9.3309999999999995</v>
      </c>
      <c r="V3422" s="10">
        <v>18.600999999999999</v>
      </c>
      <c r="W3422" s="10">
        <v>-11.273</v>
      </c>
      <c r="X3422" s="10">
        <f t="shared" si="3343"/>
        <v>7.3279999999999994</v>
      </c>
      <c r="Y3422" s="10">
        <f t="shared" si="3344"/>
        <v>0.49177777240779064</v>
      </c>
      <c r="Z3422" s="10">
        <f t="shared" si="3345"/>
        <v>0.88167938641195265</v>
      </c>
      <c r="AA3422" s="10">
        <f t="shared" si="3346"/>
        <v>0.44228538006612172</v>
      </c>
      <c r="AB3422" s="10">
        <f t="shared" si="3347"/>
        <v>-0.18208199207305101</v>
      </c>
      <c r="AC3422" s="10">
        <f t="shared" si="3348"/>
        <v>-0.31392864530455217</v>
      </c>
      <c r="AD3422" s="10">
        <f t="shared" si="3349"/>
        <v>-0.32630419340011463</v>
      </c>
      <c r="AE3422" s="10">
        <f t="shared" si="3350"/>
        <v>-0.41567271361764063</v>
      </c>
      <c r="AF3422" s="1" t="s">
        <v>574</v>
      </c>
    </row>
    <row r="3423" spans="1:32" x14ac:dyDescent="0.2">
      <c r="A3423" s="1" t="s">
        <v>6935</v>
      </c>
      <c r="B3423" s="1" t="s">
        <v>5</v>
      </c>
      <c r="C3423" s="1" t="s">
        <v>1575</v>
      </c>
      <c r="D3423" s="1" t="s">
        <v>1689</v>
      </c>
      <c r="E3423" s="1" t="s">
        <v>1690</v>
      </c>
      <c r="F3423" s="1" t="s">
        <v>596</v>
      </c>
      <c r="G3423" s="4"/>
      <c r="H3423" s="28">
        <v>40544</v>
      </c>
      <c r="I3423" s="29">
        <f t="shared" si="3309"/>
        <v>2011</v>
      </c>
      <c r="J3423" s="1" t="s">
        <v>7</v>
      </c>
      <c r="K3423" s="1" t="s">
        <v>570</v>
      </c>
      <c r="L3423" s="11" t="str">
        <f t="shared" si="2540"/>
        <v>НЕТ</v>
      </c>
      <c r="M3423" s="10">
        <v>137.83500000000001</v>
      </c>
      <c r="N3423" s="10">
        <v>0</v>
      </c>
      <c r="O3423" s="10">
        <v>4.26</v>
      </c>
      <c r="P3423" s="10" t="str">
        <f t="shared" si="3312"/>
        <v>NA</v>
      </c>
      <c r="Q3423" s="10" t="str">
        <f t="shared" si="3313"/>
        <v>NA</v>
      </c>
      <c r="R3423" s="10" t="s">
        <v>1575</v>
      </c>
      <c r="S3423" s="10" t="s">
        <v>1575</v>
      </c>
      <c r="T3423" s="10" t="s">
        <v>1575</v>
      </c>
      <c r="U3423" s="10" t="s">
        <v>1575</v>
      </c>
      <c r="V3423" s="10" t="s">
        <v>1575</v>
      </c>
      <c r="W3423" s="10" t="s">
        <v>1575</v>
      </c>
      <c r="X3423" s="10" t="str">
        <f t="shared" si="3343"/>
        <v>NA</v>
      </c>
      <c r="Y3423" s="10" t="str">
        <f t="shared" si="3344"/>
        <v>NA</v>
      </c>
      <c r="Z3423" s="10" t="str">
        <f t="shared" si="3345"/>
        <v>NA</v>
      </c>
      <c r="AA3423" s="10" t="str">
        <f t="shared" si="3346"/>
        <v>NA</v>
      </c>
      <c r="AB3423" s="10" t="str">
        <f t="shared" si="3347"/>
        <v>NA</v>
      </c>
      <c r="AC3423" s="10" t="str">
        <f t="shared" si="3348"/>
        <v>NA</v>
      </c>
      <c r="AD3423" s="10" t="str">
        <f t="shared" si="3349"/>
        <v>NA</v>
      </c>
      <c r="AE3423" s="10" t="str">
        <f t="shared" si="3350"/>
        <v>NA</v>
      </c>
    </row>
    <row r="3424" spans="1:32" x14ac:dyDescent="0.2">
      <c r="A3424" s="1" t="s">
        <v>575</v>
      </c>
      <c r="B3424" s="1" t="s">
        <v>5</v>
      </c>
      <c r="C3424" s="1" t="s">
        <v>5354</v>
      </c>
      <c r="D3424" s="1" t="s">
        <v>1689</v>
      </c>
      <c r="E3424" s="1" t="s">
        <v>3026</v>
      </c>
      <c r="F3424" s="1" t="s">
        <v>572</v>
      </c>
      <c r="G3424" s="4">
        <f>85.54%-73.9%</f>
        <v>0.11639999999999995</v>
      </c>
      <c r="H3424" s="28">
        <v>40544</v>
      </c>
      <c r="I3424" s="29">
        <f t="shared" si="3309"/>
        <v>2011</v>
      </c>
      <c r="J3424" s="1" t="s">
        <v>570</v>
      </c>
      <c r="K3424" s="1" t="s">
        <v>7</v>
      </c>
      <c r="L3424" s="11" t="str">
        <f t="shared" si="2540"/>
        <v>НЕТ</v>
      </c>
      <c r="M3424" s="10">
        <v>0</v>
      </c>
      <c r="N3424" s="10">
        <v>0</v>
      </c>
      <c r="O3424" s="10">
        <v>2.024</v>
      </c>
      <c r="P3424" s="10">
        <f t="shared" si="3312"/>
        <v>17.388316151202758</v>
      </c>
      <c r="Q3424" s="10">
        <f t="shared" si="3313"/>
        <v>10.911316151202758</v>
      </c>
      <c r="R3424" s="10" t="s">
        <v>1575</v>
      </c>
      <c r="S3424" s="10" t="s">
        <v>1575</v>
      </c>
      <c r="T3424" s="10" t="s">
        <v>1575</v>
      </c>
      <c r="U3424" s="10" t="s">
        <v>1575</v>
      </c>
      <c r="V3424" s="10">
        <v>12.643999999999998</v>
      </c>
      <c r="W3424" s="10">
        <v>-6.4769999999999994</v>
      </c>
      <c r="X3424" s="10">
        <f t="shared" si="3343"/>
        <v>6.1669999999999989</v>
      </c>
      <c r="Y3424" s="10" t="str">
        <f t="shared" si="3344"/>
        <v>NA</v>
      </c>
      <c r="Z3424" s="10" t="str">
        <f t="shared" si="3345"/>
        <v>NA</v>
      </c>
      <c r="AA3424" s="10">
        <f t="shared" si="3346"/>
        <v>1.3752227262893673</v>
      </c>
      <c r="AB3424" s="10" t="str">
        <f t="shared" si="3347"/>
        <v>NA</v>
      </c>
      <c r="AC3424" s="10" t="str">
        <f t="shared" si="3348"/>
        <v>NA</v>
      </c>
      <c r="AD3424" s="10" t="str">
        <f t="shared" si="3349"/>
        <v>NA</v>
      </c>
      <c r="AE3424" s="10">
        <f t="shared" si="3350"/>
        <v>1.7693069808987774</v>
      </c>
      <c r="AF3424" s="1" t="s">
        <v>577</v>
      </c>
    </row>
    <row r="3425" spans="1:32" x14ac:dyDescent="0.2">
      <c r="A3425" s="1" t="s">
        <v>578</v>
      </c>
      <c r="B3425" s="1" t="s">
        <v>5</v>
      </c>
      <c r="C3425" s="1" t="s">
        <v>1575</v>
      </c>
      <c r="D3425" s="1" t="s">
        <v>1689</v>
      </c>
      <c r="E3425" s="10" t="s">
        <v>1575</v>
      </c>
      <c r="F3425" s="1" t="s">
        <v>579</v>
      </c>
      <c r="G3425" s="4">
        <v>0.5</v>
      </c>
      <c r="H3425" s="28">
        <v>42675</v>
      </c>
      <c r="I3425" s="29">
        <f t="shared" si="3309"/>
        <v>2016</v>
      </c>
      <c r="J3425" s="1" t="s">
        <v>580</v>
      </c>
      <c r="K3425" s="1" t="s">
        <v>7</v>
      </c>
      <c r="L3425" s="11" t="str">
        <f t="shared" si="2540"/>
        <v>НЕТ</v>
      </c>
      <c r="M3425" s="10">
        <v>0</v>
      </c>
      <c r="N3425" s="10">
        <v>0</v>
      </c>
      <c r="O3425" s="10">
        <v>0.95499999999999996</v>
      </c>
      <c r="P3425" s="10">
        <f t="shared" si="3312"/>
        <v>1.91</v>
      </c>
      <c r="Q3425" s="10" t="str">
        <f t="shared" si="3313"/>
        <v>NA</v>
      </c>
      <c r="R3425" s="10" t="s">
        <v>1575</v>
      </c>
      <c r="S3425" s="10" t="s">
        <v>1575</v>
      </c>
      <c r="T3425" s="10" t="s">
        <v>1575</v>
      </c>
      <c r="U3425" s="10" t="s">
        <v>1575</v>
      </c>
      <c r="V3425" s="10" t="s">
        <v>1575</v>
      </c>
      <c r="W3425" s="10" t="s">
        <v>1575</v>
      </c>
      <c r="X3425" s="10" t="str">
        <f t="shared" si="3343"/>
        <v>NA</v>
      </c>
      <c r="Y3425" s="10" t="str">
        <f t="shared" si="3344"/>
        <v>NA</v>
      </c>
      <c r="Z3425" s="10" t="str">
        <f t="shared" si="3345"/>
        <v>NA</v>
      </c>
      <c r="AA3425" s="10" t="str">
        <f t="shared" si="3346"/>
        <v>NA</v>
      </c>
      <c r="AB3425" s="10" t="str">
        <f t="shared" si="3347"/>
        <v>NA</v>
      </c>
      <c r="AC3425" s="10" t="str">
        <f t="shared" si="3348"/>
        <v>NA</v>
      </c>
      <c r="AD3425" s="10" t="str">
        <f t="shared" si="3349"/>
        <v>NA</v>
      </c>
      <c r="AE3425" s="10" t="str">
        <f t="shared" si="3350"/>
        <v>NA</v>
      </c>
    </row>
    <row r="3426" spans="1:32" x14ac:dyDescent="0.2">
      <c r="A3426" s="30" t="s">
        <v>595</v>
      </c>
      <c r="B3426" s="30" t="s">
        <v>1575</v>
      </c>
      <c r="C3426" s="1" t="s">
        <v>1575</v>
      </c>
      <c r="D3426" s="1" t="s">
        <v>1689</v>
      </c>
      <c r="E3426" s="1" t="s">
        <v>1690</v>
      </c>
      <c r="F3426" s="1" t="s">
        <v>583</v>
      </c>
      <c r="G3426" s="7">
        <f>95%-49%</f>
        <v>0.45999999999999996</v>
      </c>
      <c r="H3426" s="28">
        <v>42309</v>
      </c>
      <c r="I3426" s="29">
        <f t="shared" si="3309"/>
        <v>2015</v>
      </c>
      <c r="J3426" s="1" t="s">
        <v>581</v>
      </c>
      <c r="K3426" s="1" t="s">
        <v>7</v>
      </c>
      <c r="L3426" s="11" t="str">
        <f t="shared" si="2540"/>
        <v>НЕТ</v>
      </c>
      <c r="M3426" s="10">
        <v>0</v>
      </c>
      <c r="N3426" s="10">
        <v>0</v>
      </c>
      <c r="O3426" s="10">
        <v>14.047000000000001</v>
      </c>
      <c r="P3426" s="10">
        <f t="shared" si="3312"/>
        <v>30.536956521739135</v>
      </c>
      <c r="Q3426" s="10" t="str">
        <f t="shared" si="3313"/>
        <v>NA</v>
      </c>
      <c r="R3426" s="10" t="s">
        <v>1575</v>
      </c>
      <c r="S3426" s="10" t="s">
        <v>1575</v>
      </c>
      <c r="T3426" s="10" t="s">
        <v>1575</v>
      </c>
      <c r="U3426" s="10" t="s">
        <v>1575</v>
      </c>
      <c r="V3426" s="10" t="s">
        <v>1575</v>
      </c>
      <c r="W3426" s="10" t="s">
        <v>1575</v>
      </c>
      <c r="X3426" s="10" t="str">
        <f t="shared" si="3343"/>
        <v>NA</v>
      </c>
      <c r="Y3426" s="10" t="str">
        <f t="shared" si="3344"/>
        <v>NA</v>
      </c>
      <c r="Z3426" s="10" t="str">
        <f t="shared" si="3345"/>
        <v>NA</v>
      </c>
      <c r="AA3426" s="10" t="str">
        <f t="shared" si="3346"/>
        <v>NA</v>
      </c>
      <c r="AB3426" s="10" t="str">
        <f t="shared" si="3347"/>
        <v>NA</v>
      </c>
      <c r="AC3426" s="10" t="str">
        <f t="shared" si="3348"/>
        <v>NA</v>
      </c>
      <c r="AD3426" s="10" t="str">
        <f t="shared" si="3349"/>
        <v>NA</v>
      </c>
      <c r="AE3426" s="10" t="str">
        <f t="shared" si="3350"/>
        <v>NA</v>
      </c>
      <c r="AF3426" s="1" t="s">
        <v>585</v>
      </c>
    </row>
    <row r="3427" spans="1:32" x14ac:dyDescent="0.2">
      <c r="A3427" s="30" t="s">
        <v>6936</v>
      </c>
      <c r="B3427" s="1" t="s">
        <v>5</v>
      </c>
      <c r="C3427" s="1" t="s">
        <v>1575</v>
      </c>
      <c r="D3427" s="1" t="s">
        <v>1689</v>
      </c>
      <c r="E3427" s="1" t="s">
        <v>1690</v>
      </c>
      <c r="F3427" s="1" t="s">
        <v>586</v>
      </c>
      <c r="G3427" s="7">
        <v>0.10390000000000001</v>
      </c>
      <c r="H3427" s="28">
        <v>41671</v>
      </c>
      <c r="I3427" s="29">
        <f t="shared" si="3309"/>
        <v>2014</v>
      </c>
      <c r="J3427" s="1" t="s">
        <v>581</v>
      </c>
      <c r="K3427" s="1" t="s">
        <v>7</v>
      </c>
      <c r="L3427" s="11" t="str">
        <f t="shared" si="2540"/>
        <v>НЕТ</v>
      </c>
      <c r="M3427" s="10">
        <v>0</v>
      </c>
      <c r="N3427" s="10">
        <v>0</v>
      </c>
      <c r="O3427" s="10">
        <f>44*129764139/1000000000</f>
        <v>5.7096221160000002</v>
      </c>
      <c r="P3427" s="10">
        <f t="shared" si="3312"/>
        <v>54.953052127045233</v>
      </c>
      <c r="Q3427" s="10" t="str">
        <f t="shared" si="3313"/>
        <v>NA</v>
      </c>
      <c r="R3427" s="10" t="s">
        <v>1575</v>
      </c>
      <c r="S3427" s="10" t="s">
        <v>1575</v>
      </c>
      <c r="T3427" s="10" t="s">
        <v>1575</v>
      </c>
      <c r="U3427" s="10" t="s">
        <v>1575</v>
      </c>
      <c r="V3427" s="10" t="s">
        <v>1575</v>
      </c>
      <c r="W3427" s="10" t="s">
        <v>1575</v>
      </c>
      <c r="X3427" s="10" t="str">
        <f t="shared" si="3343"/>
        <v>NA</v>
      </c>
      <c r="Y3427" s="10" t="str">
        <f t="shared" si="3344"/>
        <v>NA</v>
      </c>
      <c r="Z3427" s="10" t="str">
        <f t="shared" si="3345"/>
        <v>NA</v>
      </c>
      <c r="AA3427" s="10" t="str">
        <f t="shared" si="3346"/>
        <v>NA</v>
      </c>
      <c r="AB3427" s="10" t="str">
        <f t="shared" si="3347"/>
        <v>NA</v>
      </c>
      <c r="AC3427" s="10" t="str">
        <f t="shared" si="3348"/>
        <v>NA</v>
      </c>
      <c r="AD3427" s="10" t="str">
        <f t="shared" si="3349"/>
        <v>NA</v>
      </c>
      <c r="AE3427" s="10" t="str">
        <f t="shared" si="3350"/>
        <v>NA</v>
      </c>
      <c r="AF3427" s="1" t="s">
        <v>587</v>
      </c>
    </row>
    <row r="3428" spans="1:32" x14ac:dyDescent="0.2">
      <c r="A3428" s="1" t="s">
        <v>6937</v>
      </c>
      <c r="B3428" s="1" t="s">
        <v>5</v>
      </c>
      <c r="C3428" s="1" t="s">
        <v>1575</v>
      </c>
      <c r="D3428" s="1" t="s">
        <v>1689</v>
      </c>
      <c r="E3428" s="1" t="s">
        <v>1690</v>
      </c>
      <c r="F3428" s="1" t="s">
        <v>586</v>
      </c>
      <c r="G3428" s="7">
        <f>100%-97.99%</f>
        <v>2.0100000000000007E-2</v>
      </c>
      <c r="H3428" s="28">
        <v>41852</v>
      </c>
      <c r="I3428" s="29">
        <f t="shared" si="3309"/>
        <v>2014</v>
      </c>
      <c r="J3428" s="1" t="s">
        <v>581</v>
      </c>
      <c r="K3428" s="1" t="s">
        <v>7</v>
      </c>
      <c r="L3428" s="11" t="str">
        <f t="shared" si="2540"/>
        <v>НЕТ</v>
      </c>
      <c r="M3428" s="10">
        <v>0</v>
      </c>
      <c r="N3428" s="10">
        <v>0</v>
      </c>
      <c r="O3428" s="10">
        <f>44*(1-0.9799)*(129764139/0.1039)/1000000000</f>
        <v>1.1045563477536093</v>
      </c>
      <c r="P3428" s="10">
        <f t="shared" si="3312"/>
        <v>54.953052127045225</v>
      </c>
      <c r="Q3428" s="10" t="str">
        <f t="shared" si="3313"/>
        <v>NA</v>
      </c>
      <c r="R3428" s="10" t="s">
        <v>1575</v>
      </c>
      <c r="S3428" s="10" t="s">
        <v>1575</v>
      </c>
      <c r="T3428" s="10" t="s">
        <v>1575</v>
      </c>
      <c r="U3428" s="10" t="s">
        <v>1575</v>
      </c>
      <c r="V3428" s="10" t="s">
        <v>1575</v>
      </c>
      <c r="W3428" s="10" t="s">
        <v>1575</v>
      </c>
      <c r="X3428" s="10" t="str">
        <f t="shared" si="3343"/>
        <v>NA</v>
      </c>
      <c r="Y3428" s="10" t="str">
        <f t="shared" si="3344"/>
        <v>NA</v>
      </c>
      <c r="Z3428" s="10" t="str">
        <f t="shared" si="3345"/>
        <v>NA</v>
      </c>
      <c r="AA3428" s="10" t="str">
        <f t="shared" si="3346"/>
        <v>NA</v>
      </c>
      <c r="AB3428" s="10" t="str">
        <f t="shared" si="3347"/>
        <v>NA</v>
      </c>
      <c r="AC3428" s="10" t="str">
        <f t="shared" si="3348"/>
        <v>NA</v>
      </c>
      <c r="AD3428" s="10" t="str">
        <f t="shared" si="3349"/>
        <v>NA</v>
      </c>
      <c r="AE3428" s="10" t="str">
        <f t="shared" si="3350"/>
        <v>NA</v>
      </c>
      <c r="AF3428" s="1" t="s">
        <v>588</v>
      </c>
    </row>
    <row r="3429" spans="1:32" x14ac:dyDescent="0.2">
      <c r="A3429" s="30" t="s">
        <v>6938</v>
      </c>
      <c r="B3429" s="1" t="s">
        <v>5</v>
      </c>
      <c r="C3429" s="1" t="s">
        <v>1575</v>
      </c>
      <c r="D3429" s="1" t="s">
        <v>1689</v>
      </c>
      <c r="E3429" s="1" t="s">
        <v>1690</v>
      </c>
      <c r="F3429" s="1" t="s">
        <v>586</v>
      </c>
      <c r="G3429" s="7">
        <v>0.80100000000000005</v>
      </c>
      <c r="H3429" s="28">
        <v>41821</v>
      </c>
      <c r="I3429" s="29">
        <f t="shared" si="3309"/>
        <v>2014</v>
      </c>
      <c r="J3429" s="1" t="s">
        <v>581</v>
      </c>
      <c r="K3429" s="1" t="s">
        <v>7</v>
      </c>
      <c r="L3429" s="11" t="str">
        <f t="shared" si="2540"/>
        <v>НЕТ</v>
      </c>
      <c r="M3429" s="10">
        <v>0</v>
      </c>
      <c r="N3429" s="10">
        <v>0</v>
      </c>
      <c r="O3429" s="10">
        <v>0.23499999999999999</v>
      </c>
      <c r="P3429" s="10">
        <f t="shared" si="3312"/>
        <v>0.29338327091136074</v>
      </c>
      <c r="Q3429" s="10" t="str">
        <f t="shared" si="3313"/>
        <v>NA</v>
      </c>
      <c r="R3429" s="10" t="s">
        <v>1575</v>
      </c>
      <c r="S3429" s="10" t="s">
        <v>1575</v>
      </c>
      <c r="T3429" s="10" t="s">
        <v>1575</v>
      </c>
      <c r="U3429" s="10" t="s">
        <v>1575</v>
      </c>
      <c r="V3429" s="10" t="s">
        <v>1575</v>
      </c>
      <c r="W3429" s="10" t="s">
        <v>1575</v>
      </c>
      <c r="X3429" s="10" t="str">
        <f t="shared" si="3343"/>
        <v>NA</v>
      </c>
      <c r="Y3429" s="10" t="str">
        <f t="shared" si="3344"/>
        <v>NA</v>
      </c>
      <c r="Z3429" s="10" t="str">
        <f t="shared" si="3345"/>
        <v>NA</v>
      </c>
      <c r="AA3429" s="10" t="str">
        <f t="shared" si="3346"/>
        <v>NA</v>
      </c>
      <c r="AB3429" s="10" t="str">
        <f t="shared" si="3347"/>
        <v>NA</v>
      </c>
      <c r="AC3429" s="10" t="str">
        <f t="shared" si="3348"/>
        <v>NA</v>
      </c>
      <c r="AD3429" s="10" t="str">
        <f t="shared" si="3349"/>
        <v>NA</v>
      </c>
      <c r="AE3429" s="10" t="str">
        <f t="shared" si="3350"/>
        <v>NA</v>
      </c>
    </row>
    <row r="3430" spans="1:32" x14ac:dyDescent="0.2">
      <c r="A3430" s="30" t="s">
        <v>6939</v>
      </c>
      <c r="B3430" s="1" t="s">
        <v>5</v>
      </c>
      <c r="C3430" s="1" t="s">
        <v>1575</v>
      </c>
      <c r="D3430" s="1" t="s">
        <v>1689</v>
      </c>
      <c r="E3430" s="1" t="s">
        <v>1690</v>
      </c>
      <c r="F3430" s="1" t="s">
        <v>586</v>
      </c>
      <c r="G3430" s="7">
        <v>0.80100000000000005</v>
      </c>
      <c r="H3430" s="28">
        <v>41821</v>
      </c>
      <c r="I3430" s="29">
        <f t="shared" si="3309"/>
        <v>2014</v>
      </c>
      <c r="J3430" s="1" t="s">
        <v>581</v>
      </c>
      <c r="K3430" s="1" t="s">
        <v>7</v>
      </c>
      <c r="L3430" s="11" t="str">
        <f t="shared" si="2540"/>
        <v>НЕТ</v>
      </c>
      <c r="M3430" s="10">
        <v>0</v>
      </c>
      <c r="N3430" s="10">
        <v>0</v>
      </c>
      <c r="O3430" s="10">
        <v>1.4E-2</v>
      </c>
      <c r="P3430" s="10">
        <f t="shared" si="3312"/>
        <v>1.7478152309612985E-2</v>
      </c>
      <c r="Q3430" s="10" t="str">
        <f t="shared" si="3313"/>
        <v>NA</v>
      </c>
      <c r="R3430" s="10" t="s">
        <v>1575</v>
      </c>
      <c r="S3430" s="10" t="s">
        <v>1575</v>
      </c>
      <c r="T3430" s="10" t="s">
        <v>1575</v>
      </c>
      <c r="U3430" s="10" t="s">
        <v>1575</v>
      </c>
      <c r="V3430" s="10" t="s">
        <v>1575</v>
      </c>
      <c r="W3430" s="10" t="s">
        <v>1575</v>
      </c>
      <c r="X3430" s="10" t="str">
        <f t="shared" si="3343"/>
        <v>NA</v>
      </c>
      <c r="Y3430" s="10" t="str">
        <f t="shared" si="3344"/>
        <v>NA</v>
      </c>
      <c r="Z3430" s="10" t="str">
        <f t="shared" si="3345"/>
        <v>NA</v>
      </c>
      <c r="AA3430" s="10" t="str">
        <f t="shared" si="3346"/>
        <v>NA</v>
      </c>
      <c r="AB3430" s="10" t="str">
        <f t="shared" si="3347"/>
        <v>NA</v>
      </c>
      <c r="AC3430" s="10" t="str">
        <f t="shared" si="3348"/>
        <v>NA</v>
      </c>
      <c r="AD3430" s="10" t="str">
        <f t="shared" si="3349"/>
        <v>NA</v>
      </c>
      <c r="AE3430" s="10" t="str">
        <f t="shared" si="3350"/>
        <v>NA</v>
      </c>
    </row>
    <row r="3431" spans="1:32" x14ac:dyDescent="0.2">
      <c r="A3431" s="1" t="s">
        <v>584</v>
      </c>
      <c r="B3431" s="1" t="s">
        <v>5</v>
      </c>
      <c r="C3431" s="1" t="s">
        <v>1575</v>
      </c>
      <c r="D3431" s="1" t="s">
        <v>1689</v>
      </c>
      <c r="E3431" s="10" t="s">
        <v>1575</v>
      </c>
      <c r="F3431" s="1" t="s">
        <v>583</v>
      </c>
      <c r="G3431" s="4">
        <v>1</v>
      </c>
      <c r="H3431" s="28">
        <v>41275</v>
      </c>
      <c r="I3431" s="29">
        <f t="shared" si="3309"/>
        <v>2013</v>
      </c>
      <c r="J3431" s="1" t="s">
        <v>7</v>
      </c>
      <c r="K3431" s="1" t="s">
        <v>581</v>
      </c>
      <c r="L3431" s="11" t="str">
        <f t="shared" si="2540"/>
        <v>НЕТ</v>
      </c>
      <c r="M3431" s="10">
        <v>0</v>
      </c>
      <c r="N3431" s="10">
        <v>0</v>
      </c>
      <c r="O3431" s="10">
        <v>0.376</v>
      </c>
      <c r="P3431" s="10">
        <f t="shared" si="3312"/>
        <v>0.376</v>
      </c>
      <c r="Q3431" s="10" t="str">
        <f t="shared" si="3313"/>
        <v>NA</v>
      </c>
      <c r="R3431" s="10" t="s">
        <v>1575</v>
      </c>
      <c r="S3431" s="10" t="s">
        <v>1575</v>
      </c>
      <c r="T3431" s="10" t="s">
        <v>1575</v>
      </c>
      <c r="U3431" s="10" t="s">
        <v>1575</v>
      </c>
      <c r="V3431" s="10" t="s">
        <v>1575</v>
      </c>
      <c r="W3431" s="10" t="s">
        <v>1575</v>
      </c>
      <c r="X3431" s="10" t="str">
        <f t="shared" si="3343"/>
        <v>NA</v>
      </c>
      <c r="Y3431" s="10" t="str">
        <f t="shared" si="3344"/>
        <v>NA</v>
      </c>
      <c r="Z3431" s="10" t="str">
        <f t="shared" si="3345"/>
        <v>NA</v>
      </c>
      <c r="AA3431" s="10" t="str">
        <f t="shared" si="3346"/>
        <v>NA</v>
      </c>
      <c r="AB3431" s="10" t="str">
        <f t="shared" si="3347"/>
        <v>NA</v>
      </c>
      <c r="AC3431" s="10" t="str">
        <f t="shared" si="3348"/>
        <v>NA</v>
      </c>
      <c r="AD3431" s="10" t="str">
        <f t="shared" si="3349"/>
        <v>NA</v>
      </c>
      <c r="AE3431" s="10" t="str">
        <f t="shared" si="3350"/>
        <v>NA</v>
      </c>
    </row>
    <row r="3432" spans="1:32" x14ac:dyDescent="0.2">
      <c r="A3432" s="1" t="s">
        <v>6940</v>
      </c>
      <c r="B3432" s="1" t="s">
        <v>5</v>
      </c>
      <c r="C3432" s="1" t="s">
        <v>1575</v>
      </c>
      <c r="D3432" s="1" t="s">
        <v>1689</v>
      </c>
      <c r="E3432" s="10" t="s">
        <v>1575</v>
      </c>
      <c r="F3432" s="1" t="s">
        <v>583</v>
      </c>
      <c r="G3432" s="4"/>
      <c r="H3432" s="28">
        <v>41275</v>
      </c>
      <c r="I3432" s="29">
        <f t="shared" si="3309"/>
        <v>2013</v>
      </c>
      <c r="J3432" s="1" t="s">
        <v>7</v>
      </c>
      <c r="K3432" s="1" t="s">
        <v>581</v>
      </c>
      <c r="L3432" s="11" t="str">
        <f t="shared" si="2540"/>
        <v>НЕТ</v>
      </c>
      <c r="M3432" s="10">
        <v>0</v>
      </c>
      <c r="N3432" s="10">
        <v>0</v>
      </c>
      <c r="O3432" s="10">
        <v>0.25700000000000001</v>
      </c>
      <c r="P3432" s="10" t="str">
        <f t="shared" si="3312"/>
        <v>NA</v>
      </c>
      <c r="Q3432" s="10" t="str">
        <f t="shared" si="3313"/>
        <v>NA</v>
      </c>
      <c r="R3432" s="10" t="s">
        <v>1575</v>
      </c>
      <c r="S3432" s="10" t="s">
        <v>1575</v>
      </c>
      <c r="T3432" s="10" t="s">
        <v>1575</v>
      </c>
      <c r="U3432" s="10" t="s">
        <v>1575</v>
      </c>
      <c r="V3432" s="10" t="s">
        <v>1575</v>
      </c>
      <c r="W3432" s="10" t="s">
        <v>1575</v>
      </c>
      <c r="X3432" s="10" t="str">
        <f t="shared" si="3343"/>
        <v>NA</v>
      </c>
      <c r="Y3432" s="10" t="str">
        <f t="shared" si="3344"/>
        <v>NA</v>
      </c>
      <c r="Z3432" s="10" t="str">
        <f t="shared" si="3345"/>
        <v>NA</v>
      </c>
      <c r="AA3432" s="10" t="str">
        <f t="shared" si="3346"/>
        <v>NA</v>
      </c>
      <c r="AB3432" s="10" t="str">
        <f t="shared" si="3347"/>
        <v>NA</v>
      </c>
      <c r="AC3432" s="10" t="str">
        <f t="shared" si="3348"/>
        <v>NA</v>
      </c>
      <c r="AD3432" s="10" t="str">
        <f t="shared" si="3349"/>
        <v>NA</v>
      </c>
      <c r="AE3432" s="10" t="str">
        <f t="shared" si="3350"/>
        <v>NA</v>
      </c>
    </row>
    <row r="3433" spans="1:32" x14ac:dyDescent="0.2">
      <c r="A3433" s="1" t="s">
        <v>6940</v>
      </c>
      <c r="B3433" s="1" t="s">
        <v>5</v>
      </c>
      <c r="C3433" s="1" t="s">
        <v>1575</v>
      </c>
      <c r="D3433" s="1" t="s">
        <v>1689</v>
      </c>
      <c r="E3433" s="10" t="s">
        <v>1575</v>
      </c>
      <c r="F3433" s="1" t="s">
        <v>583</v>
      </c>
      <c r="G3433" s="4">
        <v>0.25340000000000001</v>
      </c>
      <c r="H3433" s="28">
        <v>41426</v>
      </c>
      <c r="I3433" s="29">
        <f t="shared" si="3309"/>
        <v>2013</v>
      </c>
      <c r="J3433" s="1" t="s">
        <v>581</v>
      </c>
      <c r="K3433" s="1" t="s">
        <v>7</v>
      </c>
      <c r="L3433" s="11" t="str">
        <f t="shared" si="2540"/>
        <v>НЕТ</v>
      </c>
      <c r="M3433" s="10">
        <v>30.95</v>
      </c>
      <c r="N3433" s="10">
        <v>0</v>
      </c>
      <c r="O3433" s="10">
        <v>1.012</v>
      </c>
      <c r="P3433" s="10">
        <f t="shared" si="3312"/>
        <v>3.9936858721389106</v>
      </c>
      <c r="Q3433" s="10" t="str">
        <f t="shared" si="3313"/>
        <v>NA</v>
      </c>
      <c r="R3433" s="10" t="s">
        <v>1575</v>
      </c>
      <c r="S3433" s="10" t="s">
        <v>1575</v>
      </c>
      <c r="T3433" s="10" t="s">
        <v>1575</v>
      </c>
      <c r="U3433" s="10" t="s">
        <v>1575</v>
      </c>
      <c r="V3433" s="10" t="s">
        <v>1575</v>
      </c>
      <c r="W3433" s="10" t="s">
        <v>1575</v>
      </c>
      <c r="X3433" s="10" t="str">
        <f t="shared" si="3343"/>
        <v>NA</v>
      </c>
      <c r="Y3433" s="10" t="str">
        <f t="shared" si="3344"/>
        <v>NA</v>
      </c>
      <c r="Z3433" s="10" t="str">
        <f t="shared" si="3345"/>
        <v>NA</v>
      </c>
      <c r="AA3433" s="10" t="str">
        <f t="shared" si="3346"/>
        <v>NA</v>
      </c>
      <c r="AB3433" s="10" t="str">
        <f t="shared" si="3347"/>
        <v>NA</v>
      </c>
      <c r="AC3433" s="10" t="str">
        <f t="shared" si="3348"/>
        <v>NA</v>
      </c>
      <c r="AD3433" s="10" t="str">
        <f t="shared" si="3349"/>
        <v>NA</v>
      </c>
      <c r="AE3433" s="10" t="str">
        <f t="shared" si="3350"/>
        <v>NA</v>
      </c>
      <c r="AF3433" s="1" t="s">
        <v>591</v>
      </c>
    </row>
    <row r="3434" spans="1:32" x14ac:dyDescent="0.2">
      <c r="A3434" s="30" t="s">
        <v>592</v>
      </c>
      <c r="B3434" s="30" t="s">
        <v>1575</v>
      </c>
      <c r="C3434" s="1" t="s">
        <v>1575</v>
      </c>
      <c r="D3434" s="1" t="s">
        <v>1689</v>
      </c>
      <c r="E3434" s="1" t="s">
        <v>1690</v>
      </c>
      <c r="F3434" s="1" t="s">
        <v>593</v>
      </c>
      <c r="G3434" s="7">
        <v>1</v>
      </c>
      <c r="H3434" s="28">
        <v>41487</v>
      </c>
      <c r="I3434" s="29">
        <f t="shared" si="3309"/>
        <v>2013</v>
      </c>
      <c r="J3434" s="1" t="s">
        <v>581</v>
      </c>
      <c r="K3434" s="1" t="s">
        <v>595</v>
      </c>
      <c r="L3434" s="11" t="str">
        <f t="shared" si="2540"/>
        <v>НЕТ</v>
      </c>
      <c r="M3434" s="10">
        <v>4.41</v>
      </c>
      <c r="N3434" s="10">
        <v>0</v>
      </c>
      <c r="O3434" s="10">
        <v>0.14599999999999999</v>
      </c>
      <c r="P3434" s="10">
        <f t="shared" si="3312"/>
        <v>0.14599999999999999</v>
      </c>
      <c r="Q3434" s="10" t="str">
        <f t="shared" si="3313"/>
        <v>NA</v>
      </c>
      <c r="R3434" s="10" t="s">
        <v>1575</v>
      </c>
      <c r="S3434" s="10" t="s">
        <v>1575</v>
      </c>
      <c r="T3434" s="10" t="s">
        <v>1575</v>
      </c>
      <c r="U3434" s="10" t="s">
        <v>1575</v>
      </c>
      <c r="V3434" s="10" t="s">
        <v>1575</v>
      </c>
      <c r="W3434" s="10" t="s">
        <v>1575</v>
      </c>
      <c r="X3434" s="10" t="str">
        <f t="shared" si="3343"/>
        <v>NA</v>
      </c>
      <c r="Y3434" s="10" t="str">
        <f t="shared" si="3344"/>
        <v>NA</v>
      </c>
      <c r="Z3434" s="10" t="str">
        <f t="shared" si="3345"/>
        <v>NA</v>
      </c>
      <c r="AA3434" s="10" t="str">
        <f t="shared" si="3346"/>
        <v>NA</v>
      </c>
      <c r="AB3434" s="10" t="str">
        <f t="shared" si="3347"/>
        <v>NA</v>
      </c>
      <c r="AC3434" s="10" t="str">
        <f t="shared" si="3348"/>
        <v>NA</v>
      </c>
      <c r="AD3434" s="10" t="str">
        <f t="shared" si="3349"/>
        <v>NA</v>
      </c>
      <c r="AE3434" s="10" t="str">
        <f t="shared" si="3350"/>
        <v>NA</v>
      </c>
      <c r="AF3434" s="1" t="s">
        <v>594</v>
      </c>
    </row>
    <row r="3435" spans="1:32" x14ac:dyDescent="0.2">
      <c r="A3435" s="1" t="s">
        <v>6935</v>
      </c>
      <c r="B3435" s="1" t="s">
        <v>5</v>
      </c>
      <c r="C3435" s="1" t="s">
        <v>1575</v>
      </c>
      <c r="D3435" s="1" t="s">
        <v>1689</v>
      </c>
      <c r="E3435" s="1" t="s">
        <v>1690</v>
      </c>
      <c r="F3435" s="1" t="s">
        <v>596</v>
      </c>
      <c r="G3435" s="4">
        <v>4.0500000000000001E-2</v>
      </c>
      <c r="H3435" s="28">
        <v>41365</v>
      </c>
      <c r="I3435" s="29">
        <f t="shared" si="3309"/>
        <v>2013</v>
      </c>
      <c r="J3435" s="1" t="s">
        <v>581</v>
      </c>
      <c r="K3435" s="1" t="s">
        <v>7</v>
      </c>
      <c r="L3435" s="11" t="str">
        <f t="shared" si="2540"/>
        <v>НЕТ</v>
      </c>
      <c r="M3435" s="10">
        <v>0</v>
      </c>
      <c r="N3435" s="10">
        <v>0</v>
      </c>
      <c r="O3435" s="10">
        <f>(6880*98913+5504*238138)/1000000000</f>
        <v>1.991232992</v>
      </c>
      <c r="P3435" s="10">
        <f t="shared" si="3312"/>
        <v>49.166246716049379</v>
      </c>
      <c r="Q3435" s="10" t="str">
        <f t="shared" si="3313"/>
        <v>NA</v>
      </c>
      <c r="R3435" s="10" t="s">
        <v>1575</v>
      </c>
      <c r="S3435" s="10" t="s">
        <v>1575</v>
      </c>
      <c r="T3435" s="10" t="s">
        <v>1575</v>
      </c>
      <c r="U3435" s="10" t="s">
        <v>1575</v>
      </c>
      <c r="V3435" s="10" t="s">
        <v>1575</v>
      </c>
      <c r="W3435" s="10" t="s">
        <v>1575</v>
      </c>
      <c r="X3435" s="10" t="str">
        <f t="shared" si="3343"/>
        <v>NA</v>
      </c>
      <c r="Y3435" s="10" t="str">
        <f t="shared" si="3344"/>
        <v>NA</v>
      </c>
      <c r="Z3435" s="10" t="str">
        <f t="shared" si="3345"/>
        <v>NA</v>
      </c>
      <c r="AA3435" s="10" t="str">
        <f t="shared" si="3346"/>
        <v>NA</v>
      </c>
      <c r="AB3435" s="10" t="str">
        <f t="shared" si="3347"/>
        <v>NA</v>
      </c>
      <c r="AC3435" s="10" t="str">
        <f t="shared" si="3348"/>
        <v>NA</v>
      </c>
      <c r="AD3435" s="10" t="str">
        <f t="shared" si="3349"/>
        <v>NA</v>
      </c>
      <c r="AE3435" s="10" t="str">
        <f t="shared" si="3350"/>
        <v>NA</v>
      </c>
      <c r="AF3435" s="1" t="s">
        <v>599</v>
      </c>
    </row>
    <row r="3436" spans="1:32" x14ac:dyDescent="0.2">
      <c r="A3436" s="1" t="s">
        <v>6935</v>
      </c>
      <c r="B3436" s="1" t="s">
        <v>5</v>
      </c>
      <c r="C3436" s="1" t="s">
        <v>1575</v>
      </c>
      <c r="D3436" s="1" t="s">
        <v>1689</v>
      </c>
      <c r="E3436" s="1" t="s">
        <v>1690</v>
      </c>
      <c r="F3436" s="1" t="s">
        <v>596</v>
      </c>
      <c r="G3436" s="4">
        <v>0.1095</v>
      </c>
      <c r="H3436" s="28">
        <v>41214</v>
      </c>
      <c r="I3436" s="29">
        <f t="shared" si="3309"/>
        <v>2012</v>
      </c>
      <c r="J3436" s="1" t="s">
        <v>581</v>
      </c>
      <c r="K3436" s="1" t="s">
        <v>7</v>
      </c>
      <c r="L3436" s="11" t="str">
        <f t="shared" si="2540"/>
        <v>НЕТ</v>
      </c>
      <c r="M3436" s="10">
        <v>0</v>
      </c>
      <c r="N3436" s="10">
        <v>0</v>
      </c>
      <c r="O3436" s="10">
        <f>(6679.9*738957+5344*171439)/1000000000</f>
        <v>5.8523288803</v>
      </c>
      <c r="P3436" s="10">
        <f t="shared" si="3312"/>
        <v>53.445925847488581</v>
      </c>
      <c r="Q3436" s="10" t="str">
        <f t="shared" si="3313"/>
        <v>NA</v>
      </c>
      <c r="R3436" s="10" t="s">
        <v>1575</v>
      </c>
      <c r="S3436" s="10" t="s">
        <v>1575</v>
      </c>
      <c r="T3436" s="10" t="s">
        <v>1575</v>
      </c>
      <c r="U3436" s="10" t="s">
        <v>1575</v>
      </c>
      <c r="V3436" s="10" t="s">
        <v>1575</v>
      </c>
      <c r="W3436" s="10" t="s">
        <v>1575</v>
      </c>
      <c r="X3436" s="10" t="str">
        <f t="shared" si="3343"/>
        <v>NA</v>
      </c>
      <c r="Y3436" s="10" t="str">
        <f t="shared" si="3344"/>
        <v>NA</v>
      </c>
      <c r="Z3436" s="10" t="str">
        <f t="shared" si="3345"/>
        <v>NA</v>
      </c>
      <c r="AA3436" s="10" t="str">
        <f t="shared" si="3346"/>
        <v>NA</v>
      </c>
      <c r="AB3436" s="10" t="str">
        <f t="shared" si="3347"/>
        <v>NA</v>
      </c>
      <c r="AC3436" s="10" t="str">
        <f t="shared" si="3348"/>
        <v>NA</v>
      </c>
      <c r="AD3436" s="10" t="str">
        <f t="shared" si="3349"/>
        <v>NA</v>
      </c>
      <c r="AE3436" s="10" t="str">
        <f t="shared" si="3350"/>
        <v>NA</v>
      </c>
      <c r="AF3436" s="1" t="s">
        <v>600</v>
      </c>
    </row>
    <row r="3437" spans="1:32" x14ac:dyDescent="0.2">
      <c r="A3437" s="1" t="s">
        <v>6941</v>
      </c>
      <c r="B3437" s="1" t="s">
        <v>5</v>
      </c>
      <c r="C3437" s="1" t="s">
        <v>1575</v>
      </c>
      <c r="D3437" s="10" t="s">
        <v>1575</v>
      </c>
      <c r="E3437" s="10" t="s">
        <v>1575</v>
      </c>
      <c r="F3437" s="10" t="s">
        <v>1575</v>
      </c>
      <c r="G3437" s="4">
        <v>0.76</v>
      </c>
      <c r="H3437" s="28">
        <v>41487</v>
      </c>
      <c r="I3437" s="29">
        <f t="shared" ref="I3437:I3480" si="3351">YEAR(H3437)</f>
        <v>2013</v>
      </c>
      <c r="J3437" s="1" t="s">
        <v>581</v>
      </c>
      <c r="K3437" s="1" t="s">
        <v>7</v>
      </c>
      <c r="L3437" s="11" t="str">
        <f t="shared" si="2540"/>
        <v>НЕТ</v>
      </c>
      <c r="M3437" s="10">
        <v>141.91999999999999</v>
      </c>
      <c r="N3437" s="10">
        <v>0</v>
      </c>
      <c r="O3437" s="10">
        <v>4.6760000000000002</v>
      </c>
      <c r="P3437" s="10">
        <f t="shared" si="3312"/>
        <v>6.1526315789473687</v>
      </c>
      <c r="Q3437" s="10" t="str">
        <f t="shared" si="3313"/>
        <v>NA</v>
      </c>
      <c r="R3437" s="10" t="s">
        <v>1575</v>
      </c>
      <c r="S3437" s="10" t="s">
        <v>1575</v>
      </c>
      <c r="T3437" s="10" t="s">
        <v>1575</v>
      </c>
      <c r="U3437" s="10" t="s">
        <v>1575</v>
      </c>
      <c r="V3437" s="10" t="s">
        <v>1575</v>
      </c>
      <c r="W3437" s="10" t="s">
        <v>1575</v>
      </c>
      <c r="X3437" s="10" t="str">
        <f t="shared" si="3343"/>
        <v>NA</v>
      </c>
      <c r="Y3437" s="10" t="str">
        <f t="shared" si="3344"/>
        <v>NA</v>
      </c>
      <c r="Z3437" s="10" t="str">
        <f t="shared" si="3345"/>
        <v>NA</v>
      </c>
      <c r="AA3437" s="10" t="str">
        <f t="shared" si="3346"/>
        <v>NA</v>
      </c>
      <c r="AB3437" s="10" t="str">
        <f t="shared" si="3347"/>
        <v>NA</v>
      </c>
      <c r="AC3437" s="10" t="str">
        <f t="shared" si="3348"/>
        <v>NA</v>
      </c>
      <c r="AD3437" s="10" t="str">
        <f t="shared" si="3349"/>
        <v>NA</v>
      </c>
      <c r="AE3437" s="10" t="str">
        <f t="shared" si="3350"/>
        <v>NA</v>
      </c>
      <c r="AF3437" s="1" t="s">
        <v>598</v>
      </c>
    </row>
    <row r="3438" spans="1:32" x14ac:dyDescent="0.2">
      <c r="A3438" s="1" t="s">
        <v>6941</v>
      </c>
      <c r="B3438" s="1" t="s">
        <v>5</v>
      </c>
      <c r="C3438" s="1" t="s">
        <v>1575</v>
      </c>
      <c r="D3438" s="10" t="s">
        <v>1575</v>
      </c>
      <c r="E3438" s="10" t="s">
        <v>1575</v>
      </c>
      <c r="F3438" s="10" t="s">
        <v>1575</v>
      </c>
      <c r="G3438" s="4">
        <v>0.24</v>
      </c>
      <c r="H3438" s="28">
        <v>41183</v>
      </c>
      <c r="I3438" s="29">
        <f t="shared" si="3351"/>
        <v>2012</v>
      </c>
      <c r="J3438" s="1" t="s">
        <v>581</v>
      </c>
      <c r="K3438" s="1" t="s">
        <v>7</v>
      </c>
      <c r="L3438" s="11" t="str">
        <f t="shared" si="2540"/>
        <v>НЕТ</v>
      </c>
      <c r="M3438" s="10">
        <v>31.76</v>
      </c>
      <c r="N3438" s="10">
        <v>0</v>
      </c>
      <c r="O3438" s="10">
        <v>0.98699999999999999</v>
      </c>
      <c r="P3438" s="10">
        <f t="shared" si="3312"/>
        <v>4.1124999999999998</v>
      </c>
      <c r="Q3438" s="10" t="str">
        <f t="shared" si="3313"/>
        <v>NA</v>
      </c>
      <c r="R3438" s="10" t="s">
        <v>1575</v>
      </c>
      <c r="S3438" s="10" t="s">
        <v>1575</v>
      </c>
      <c r="T3438" s="10" t="s">
        <v>1575</v>
      </c>
      <c r="U3438" s="10" t="s">
        <v>1575</v>
      </c>
      <c r="V3438" s="10" t="s">
        <v>1575</v>
      </c>
      <c r="W3438" s="10" t="s">
        <v>1575</v>
      </c>
      <c r="X3438" s="10" t="str">
        <f t="shared" si="3343"/>
        <v>NA</v>
      </c>
      <c r="Y3438" s="10" t="str">
        <f t="shared" si="3344"/>
        <v>NA</v>
      </c>
      <c r="Z3438" s="10" t="str">
        <f t="shared" si="3345"/>
        <v>NA</v>
      </c>
      <c r="AA3438" s="10" t="str">
        <f t="shared" si="3346"/>
        <v>NA</v>
      </c>
      <c r="AB3438" s="10" t="str">
        <f t="shared" si="3347"/>
        <v>NA</v>
      </c>
      <c r="AC3438" s="10" t="str">
        <f t="shared" si="3348"/>
        <v>NA</v>
      </c>
      <c r="AD3438" s="10" t="str">
        <f t="shared" si="3349"/>
        <v>NA</v>
      </c>
      <c r="AE3438" s="10" t="str">
        <f t="shared" si="3350"/>
        <v>NA</v>
      </c>
      <c r="AF3438" s="1" t="s">
        <v>598</v>
      </c>
    </row>
    <row r="3439" spans="1:32" x14ac:dyDescent="0.2">
      <c r="A3439" s="1" t="s">
        <v>6935</v>
      </c>
      <c r="B3439" s="1" t="s">
        <v>5</v>
      </c>
      <c r="C3439" s="1" t="s">
        <v>1575</v>
      </c>
      <c r="D3439" s="1" t="s">
        <v>1689</v>
      </c>
      <c r="E3439" s="1" t="s">
        <v>1690</v>
      </c>
      <c r="F3439" s="1" t="s">
        <v>596</v>
      </c>
      <c r="G3439" s="4">
        <v>0.2</v>
      </c>
      <c r="H3439" s="28">
        <v>41153</v>
      </c>
      <c r="I3439" s="29">
        <f t="shared" si="3351"/>
        <v>2012</v>
      </c>
      <c r="J3439" s="1" t="s">
        <v>581</v>
      </c>
      <c r="K3439" s="1" t="s">
        <v>7</v>
      </c>
      <c r="L3439" s="11" t="str">
        <f t="shared" si="2540"/>
        <v>НЕТ</v>
      </c>
      <c r="M3439" s="10">
        <v>0</v>
      </c>
      <c r="N3439" s="10">
        <v>0</v>
      </c>
      <c r="O3439" s="10">
        <v>11.11</v>
      </c>
      <c r="P3439" s="10">
        <f t="shared" si="3312"/>
        <v>55.55</v>
      </c>
      <c r="Q3439" s="10" t="str">
        <f t="shared" si="3313"/>
        <v>NA</v>
      </c>
      <c r="R3439" s="10" t="s">
        <v>1575</v>
      </c>
      <c r="S3439" s="10" t="s">
        <v>1575</v>
      </c>
      <c r="T3439" s="10" t="s">
        <v>1575</v>
      </c>
      <c r="U3439" s="10" t="s">
        <v>1575</v>
      </c>
      <c r="V3439" s="10" t="s">
        <v>1575</v>
      </c>
      <c r="W3439" s="10" t="s">
        <v>1575</v>
      </c>
      <c r="X3439" s="10" t="str">
        <f t="shared" si="3343"/>
        <v>NA</v>
      </c>
      <c r="Y3439" s="10" t="str">
        <f t="shared" si="3344"/>
        <v>NA</v>
      </c>
      <c r="Z3439" s="10" t="str">
        <f t="shared" si="3345"/>
        <v>NA</v>
      </c>
      <c r="AA3439" s="10" t="str">
        <f t="shared" si="3346"/>
        <v>NA</v>
      </c>
      <c r="AB3439" s="10" t="str">
        <f t="shared" si="3347"/>
        <v>NA</v>
      </c>
      <c r="AC3439" s="10" t="str">
        <f t="shared" si="3348"/>
        <v>NA</v>
      </c>
      <c r="AD3439" s="10" t="str">
        <f t="shared" si="3349"/>
        <v>NA</v>
      </c>
      <c r="AE3439" s="10" t="str">
        <f t="shared" si="3350"/>
        <v>NA</v>
      </c>
      <c r="AF3439" s="1" t="s">
        <v>597</v>
      </c>
    </row>
    <row r="3440" spans="1:32" x14ac:dyDescent="0.2">
      <c r="A3440" s="1" t="s">
        <v>589</v>
      </c>
      <c r="B3440" s="1" t="s">
        <v>5</v>
      </c>
      <c r="C3440" s="1" t="s">
        <v>1575</v>
      </c>
      <c r="D3440" s="1" t="s">
        <v>1689</v>
      </c>
      <c r="E3440" s="10" t="s">
        <v>1575</v>
      </c>
      <c r="F3440" s="1" t="s">
        <v>583</v>
      </c>
      <c r="G3440" s="4" t="s">
        <v>582</v>
      </c>
      <c r="H3440" s="28">
        <v>40664</v>
      </c>
      <c r="I3440" s="29">
        <f t="shared" si="3351"/>
        <v>2011</v>
      </c>
      <c r="J3440" s="1" t="s">
        <v>581</v>
      </c>
      <c r="K3440" s="1" t="s">
        <v>7</v>
      </c>
      <c r="L3440" s="11" t="str">
        <f t="shared" si="2540"/>
        <v>НЕТ</v>
      </c>
      <c r="M3440" s="10">
        <v>0</v>
      </c>
      <c r="N3440" s="10">
        <v>0</v>
      </c>
      <c r="O3440" s="10">
        <v>0.313</v>
      </c>
      <c r="P3440" s="10" t="str">
        <f t="shared" si="3312"/>
        <v>NA</v>
      </c>
      <c r="Q3440" s="10" t="str">
        <f t="shared" si="3313"/>
        <v>NA</v>
      </c>
      <c r="R3440" s="10" t="s">
        <v>1575</v>
      </c>
      <c r="S3440" s="10" t="s">
        <v>1575</v>
      </c>
      <c r="T3440" s="10" t="s">
        <v>1575</v>
      </c>
      <c r="U3440" s="10" t="s">
        <v>1575</v>
      </c>
      <c r="V3440" s="10" t="s">
        <v>1575</v>
      </c>
      <c r="W3440" s="10" t="s">
        <v>1575</v>
      </c>
      <c r="X3440" s="10" t="str">
        <f t="shared" si="3343"/>
        <v>NA</v>
      </c>
      <c r="Y3440" s="10" t="str">
        <f t="shared" si="3344"/>
        <v>NA</v>
      </c>
      <c r="Z3440" s="10" t="str">
        <f t="shared" si="3345"/>
        <v>NA</v>
      </c>
      <c r="AA3440" s="10" t="str">
        <f t="shared" si="3346"/>
        <v>NA</v>
      </c>
      <c r="AB3440" s="10" t="str">
        <f t="shared" si="3347"/>
        <v>NA</v>
      </c>
      <c r="AC3440" s="10" t="str">
        <f t="shared" si="3348"/>
        <v>NA</v>
      </c>
      <c r="AD3440" s="10" t="str">
        <f t="shared" si="3349"/>
        <v>NA</v>
      </c>
      <c r="AE3440" s="10" t="str">
        <f t="shared" si="3350"/>
        <v>NA</v>
      </c>
      <c r="AF3440" s="1" t="s">
        <v>602</v>
      </c>
    </row>
    <row r="3441" spans="1:32" x14ac:dyDescent="0.2">
      <c r="A3441" s="1" t="s">
        <v>584</v>
      </c>
      <c r="B3441" s="1" t="s">
        <v>5</v>
      </c>
      <c r="C3441" s="1" t="s">
        <v>1575</v>
      </c>
      <c r="D3441" s="1" t="s">
        <v>1689</v>
      </c>
      <c r="E3441" s="10" t="s">
        <v>1575</v>
      </c>
      <c r="F3441" s="1" t="s">
        <v>583</v>
      </c>
      <c r="G3441" s="4">
        <v>0.2185</v>
      </c>
      <c r="H3441" s="28">
        <v>40725</v>
      </c>
      <c r="I3441" s="29">
        <f t="shared" si="3351"/>
        <v>2011</v>
      </c>
      <c r="J3441" s="1" t="s">
        <v>590</v>
      </c>
      <c r="K3441" s="1" t="s">
        <v>581</v>
      </c>
      <c r="L3441" s="11" t="str">
        <f t="shared" si="2540"/>
        <v>НЕТ</v>
      </c>
      <c r="M3441" s="10">
        <v>0</v>
      </c>
      <c r="N3441" s="10">
        <v>0</v>
      </c>
      <c r="O3441" s="10">
        <v>0.14499999999999999</v>
      </c>
      <c r="P3441" s="10">
        <f t="shared" si="3312"/>
        <v>0.66361556064073224</v>
      </c>
      <c r="Q3441" s="10" t="str">
        <f t="shared" si="3313"/>
        <v>NA</v>
      </c>
      <c r="R3441" s="10" t="s">
        <v>1575</v>
      </c>
      <c r="S3441" s="10" t="s">
        <v>1575</v>
      </c>
      <c r="T3441" s="10" t="s">
        <v>1575</v>
      </c>
      <c r="U3441" s="10" t="s">
        <v>1575</v>
      </c>
      <c r="V3441" s="10" t="s">
        <v>1575</v>
      </c>
      <c r="W3441" s="10" t="s">
        <v>1575</v>
      </c>
      <c r="X3441" s="10" t="str">
        <f t="shared" si="3343"/>
        <v>NA</v>
      </c>
      <c r="Y3441" s="10" t="str">
        <f t="shared" si="3344"/>
        <v>NA</v>
      </c>
      <c r="Z3441" s="10" t="str">
        <f t="shared" si="3345"/>
        <v>NA</v>
      </c>
      <c r="AA3441" s="10" t="str">
        <f t="shared" si="3346"/>
        <v>NA</v>
      </c>
      <c r="AB3441" s="10" t="str">
        <f t="shared" si="3347"/>
        <v>NA</v>
      </c>
      <c r="AC3441" s="10" t="str">
        <f t="shared" si="3348"/>
        <v>NA</v>
      </c>
      <c r="AD3441" s="10" t="str">
        <f t="shared" si="3349"/>
        <v>NA</v>
      </c>
      <c r="AE3441" s="10" t="str">
        <f t="shared" si="3350"/>
        <v>NA</v>
      </c>
    </row>
    <row r="3442" spans="1:32" x14ac:dyDescent="0.2">
      <c r="A3442" s="1" t="s">
        <v>6935</v>
      </c>
      <c r="B3442" s="1" t="s">
        <v>5</v>
      </c>
      <c r="C3442" s="1" t="s">
        <v>1575</v>
      </c>
      <c r="D3442" s="1" t="s">
        <v>1689</v>
      </c>
      <c r="E3442" s="1" t="s">
        <v>1690</v>
      </c>
      <c r="F3442" s="1" t="s">
        <v>596</v>
      </c>
      <c r="G3442" s="4">
        <v>6.6000000000000003E-2</v>
      </c>
      <c r="H3442" s="28">
        <v>39814</v>
      </c>
      <c r="I3442" s="29">
        <f t="shared" si="3351"/>
        <v>2009</v>
      </c>
      <c r="J3442" s="1" t="s">
        <v>581</v>
      </c>
      <c r="K3442" s="1" t="s">
        <v>7</v>
      </c>
      <c r="L3442" s="11" t="str">
        <f t="shared" si="2540"/>
        <v>НЕТ</v>
      </c>
      <c r="M3442" s="10">
        <v>0</v>
      </c>
      <c r="N3442" s="10">
        <v>0</v>
      </c>
      <c r="O3442" s="10">
        <v>4.59</v>
      </c>
      <c r="P3442" s="10">
        <f t="shared" si="3312"/>
        <v>69.545454545454547</v>
      </c>
      <c r="Q3442" s="10" t="str">
        <f t="shared" si="3313"/>
        <v>NA</v>
      </c>
      <c r="R3442" s="10" t="s">
        <v>1575</v>
      </c>
      <c r="S3442" s="10" t="s">
        <v>1575</v>
      </c>
      <c r="T3442" s="10" t="s">
        <v>1575</v>
      </c>
      <c r="U3442" s="10" t="s">
        <v>1575</v>
      </c>
      <c r="V3442" s="10" t="s">
        <v>1575</v>
      </c>
      <c r="W3442" s="10" t="s">
        <v>1575</v>
      </c>
      <c r="X3442" s="10" t="str">
        <f t="shared" si="3343"/>
        <v>NA</v>
      </c>
      <c r="Y3442" s="10" t="str">
        <f t="shared" si="3344"/>
        <v>NA</v>
      </c>
      <c r="Z3442" s="10" t="str">
        <f t="shared" si="3345"/>
        <v>NA</v>
      </c>
      <c r="AA3442" s="10" t="str">
        <f t="shared" si="3346"/>
        <v>NA</v>
      </c>
      <c r="AB3442" s="10" t="str">
        <f t="shared" si="3347"/>
        <v>NA</v>
      </c>
      <c r="AC3442" s="10" t="str">
        <f t="shared" si="3348"/>
        <v>NA</v>
      </c>
      <c r="AD3442" s="10" t="str">
        <f t="shared" si="3349"/>
        <v>NA</v>
      </c>
      <c r="AE3442" s="10" t="str">
        <f t="shared" si="3350"/>
        <v>NA</v>
      </c>
    </row>
    <row r="3443" spans="1:32" x14ac:dyDescent="0.2">
      <c r="A3443" s="1" t="s">
        <v>6942</v>
      </c>
      <c r="B3443" s="1" t="s">
        <v>5</v>
      </c>
      <c r="C3443" s="1" t="s">
        <v>1575</v>
      </c>
      <c r="D3443" s="1" t="s">
        <v>1689</v>
      </c>
      <c r="E3443" s="1" t="s">
        <v>3026</v>
      </c>
      <c r="F3443" s="1" t="s">
        <v>572</v>
      </c>
      <c r="G3443" s="4">
        <v>6.88E-2</v>
      </c>
      <c r="H3443" s="28">
        <v>39814</v>
      </c>
      <c r="I3443" s="29">
        <f t="shared" si="3351"/>
        <v>2009</v>
      </c>
      <c r="J3443" s="1" t="s">
        <v>581</v>
      </c>
      <c r="K3443" s="1" t="s">
        <v>7</v>
      </c>
      <c r="L3443" s="11" t="str">
        <f t="shared" si="2540"/>
        <v>НЕТ</v>
      </c>
      <c r="M3443" s="10">
        <v>0</v>
      </c>
      <c r="N3443" s="10">
        <v>0</v>
      </c>
      <c r="O3443" s="10">
        <v>0.54300000000000004</v>
      </c>
      <c r="P3443" s="10">
        <f t="shared" si="3312"/>
        <v>7.8924418604651168</v>
      </c>
      <c r="Q3443" s="10" t="str">
        <f t="shared" si="3313"/>
        <v>NA</v>
      </c>
      <c r="R3443" s="10" t="s">
        <v>1575</v>
      </c>
      <c r="S3443" s="10" t="s">
        <v>1575</v>
      </c>
      <c r="T3443" s="10" t="s">
        <v>1575</v>
      </c>
      <c r="U3443" s="10" t="s">
        <v>1575</v>
      </c>
      <c r="V3443" s="10" t="s">
        <v>1575</v>
      </c>
      <c r="W3443" s="10" t="s">
        <v>1575</v>
      </c>
      <c r="X3443" s="10" t="str">
        <f t="shared" si="3343"/>
        <v>NA</v>
      </c>
      <c r="Y3443" s="10" t="str">
        <f t="shared" si="3344"/>
        <v>NA</v>
      </c>
      <c r="Z3443" s="10" t="str">
        <f t="shared" si="3345"/>
        <v>NA</v>
      </c>
      <c r="AA3443" s="10" t="str">
        <f t="shared" si="3346"/>
        <v>NA</v>
      </c>
      <c r="AB3443" s="10" t="str">
        <f t="shared" si="3347"/>
        <v>NA</v>
      </c>
      <c r="AC3443" s="10" t="str">
        <f t="shared" si="3348"/>
        <v>NA</v>
      </c>
      <c r="AD3443" s="10" t="str">
        <f t="shared" si="3349"/>
        <v>NA</v>
      </c>
      <c r="AE3443" s="10" t="str">
        <f t="shared" si="3350"/>
        <v>NA</v>
      </c>
    </row>
    <row r="3444" spans="1:32" x14ac:dyDescent="0.2">
      <c r="A3444" s="30" t="s">
        <v>6936</v>
      </c>
      <c r="B3444" s="1" t="s">
        <v>5</v>
      </c>
      <c r="C3444" s="1" t="s">
        <v>1575</v>
      </c>
      <c r="D3444" s="1" t="s">
        <v>1689</v>
      </c>
      <c r="E3444" s="1" t="s">
        <v>1690</v>
      </c>
      <c r="F3444" s="1" t="s">
        <v>596</v>
      </c>
      <c r="G3444" s="4">
        <v>0.11</v>
      </c>
      <c r="H3444" s="28">
        <v>39448</v>
      </c>
      <c r="I3444" s="29">
        <f t="shared" si="3351"/>
        <v>2008</v>
      </c>
      <c r="J3444" s="1" t="s">
        <v>581</v>
      </c>
      <c r="K3444" s="1" t="s">
        <v>7</v>
      </c>
      <c r="L3444" s="11" t="str">
        <f t="shared" si="2540"/>
        <v>НЕТ</v>
      </c>
      <c r="M3444" s="10">
        <v>0</v>
      </c>
      <c r="N3444" s="10">
        <v>0</v>
      </c>
      <c r="O3444" s="10">
        <v>5.66</v>
      </c>
      <c r="P3444" s="10">
        <f t="shared" si="3312"/>
        <v>51.454545454545453</v>
      </c>
      <c r="Q3444" s="10" t="str">
        <f t="shared" si="3313"/>
        <v>NA</v>
      </c>
      <c r="R3444" s="10" t="s">
        <v>1575</v>
      </c>
      <c r="S3444" s="10" t="s">
        <v>1575</v>
      </c>
      <c r="T3444" s="10" t="s">
        <v>1575</v>
      </c>
      <c r="U3444" s="10" t="s">
        <v>1575</v>
      </c>
      <c r="V3444" s="10" t="s">
        <v>1575</v>
      </c>
      <c r="W3444" s="10" t="s">
        <v>1575</v>
      </c>
      <c r="X3444" s="10" t="str">
        <f t="shared" si="3343"/>
        <v>NA</v>
      </c>
      <c r="Y3444" s="10" t="str">
        <f t="shared" si="3344"/>
        <v>NA</v>
      </c>
      <c r="Z3444" s="10" t="str">
        <f t="shared" si="3345"/>
        <v>NA</v>
      </c>
      <c r="AA3444" s="10" t="str">
        <f t="shared" si="3346"/>
        <v>NA</v>
      </c>
      <c r="AB3444" s="10" t="str">
        <f t="shared" si="3347"/>
        <v>NA</v>
      </c>
      <c r="AC3444" s="10" t="str">
        <f t="shared" si="3348"/>
        <v>NA</v>
      </c>
      <c r="AD3444" s="10" t="str">
        <f t="shared" si="3349"/>
        <v>NA</v>
      </c>
      <c r="AE3444" s="10" t="str">
        <f t="shared" si="3350"/>
        <v>NA</v>
      </c>
    </row>
    <row r="3445" spans="1:32" x14ac:dyDescent="0.2">
      <c r="A3445" s="1" t="s">
        <v>6935</v>
      </c>
      <c r="B3445" s="1" t="s">
        <v>5</v>
      </c>
      <c r="C3445" s="1" t="s">
        <v>1575</v>
      </c>
      <c r="D3445" s="1" t="s">
        <v>1689</v>
      </c>
      <c r="E3445" s="1" t="s">
        <v>1690</v>
      </c>
      <c r="F3445" s="1" t="s">
        <v>596</v>
      </c>
      <c r="G3445" s="4">
        <v>0.12</v>
      </c>
      <c r="H3445" s="28">
        <v>39448</v>
      </c>
      <c r="I3445" s="29">
        <f t="shared" si="3351"/>
        <v>2008</v>
      </c>
      <c r="J3445" s="1" t="s">
        <v>581</v>
      </c>
      <c r="K3445" s="1" t="s">
        <v>7</v>
      </c>
      <c r="L3445" s="11" t="str">
        <f t="shared" si="2540"/>
        <v>НЕТ</v>
      </c>
      <c r="M3445" s="10">
        <v>0</v>
      </c>
      <c r="N3445" s="10">
        <v>0</v>
      </c>
      <c r="O3445" s="10">
        <v>1.847</v>
      </c>
      <c r="P3445" s="10">
        <f t="shared" si="3312"/>
        <v>15.391666666666667</v>
      </c>
      <c r="Q3445" s="10" t="str">
        <f t="shared" si="3313"/>
        <v>NA</v>
      </c>
      <c r="R3445" s="10" t="s">
        <v>1575</v>
      </c>
      <c r="S3445" s="10" t="s">
        <v>1575</v>
      </c>
      <c r="T3445" s="10" t="s">
        <v>1575</v>
      </c>
      <c r="U3445" s="10" t="s">
        <v>1575</v>
      </c>
      <c r="V3445" s="10" t="s">
        <v>1575</v>
      </c>
      <c r="W3445" s="10" t="s">
        <v>1575</v>
      </c>
      <c r="X3445" s="10" t="str">
        <f t="shared" si="3343"/>
        <v>NA</v>
      </c>
      <c r="Y3445" s="10" t="str">
        <f t="shared" si="3344"/>
        <v>NA</v>
      </c>
      <c r="Z3445" s="10" t="str">
        <f t="shared" si="3345"/>
        <v>NA</v>
      </c>
      <c r="AA3445" s="10" t="str">
        <f t="shared" si="3346"/>
        <v>NA</v>
      </c>
      <c r="AB3445" s="10" t="str">
        <f t="shared" si="3347"/>
        <v>NA</v>
      </c>
      <c r="AC3445" s="10" t="str">
        <f t="shared" si="3348"/>
        <v>NA</v>
      </c>
      <c r="AD3445" s="10" t="str">
        <f t="shared" si="3349"/>
        <v>NA</v>
      </c>
      <c r="AE3445" s="10" t="str">
        <f t="shared" si="3350"/>
        <v>NA</v>
      </c>
    </row>
    <row r="3446" spans="1:32" x14ac:dyDescent="0.2">
      <c r="A3446" s="1" t="s">
        <v>6943</v>
      </c>
      <c r="B3446" s="1" t="s">
        <v>5</v>
      </c>
      <c r="C3446" s="1" t="s">
        <v>1575</v>
      </c>
      <c r="D3446" s="1" t="s">
        <v>1689</v>
      </c>
      <c r="E3446" s="10" t="s">
        <v>1575</v>
      </c>
      <c r="F3446" s="1" t="s">
        <v>601</v>
      </c>
      <c r="G3446" s="4">
        <v>0.67</v>
      </c>
      <c r="H3446" s="28">
        <v>39448</v>
      </c>
      <c r="I3446" s="29">
        <f t="shared" si="3351"/>
        <v>2008</v>
      </c>
      <c r="J3446" s="1" t="s">
        <v>581</v>
      </c>
      <c r="K3446" s="1" t="s">
        <v>7</v>
      </c>
      <c r="L3446" s="11" t="str">
        <f t="shared" si="2540"/>
        <v>НЕТ</v>
      </c>
      <c r="M3446" s="10">
        <v>0</v>
      </c>
      <c r="N3446" s="10">
        <v>0</v>
      </c>
      <c r="O3446" s="10">
        <v>1.089</v>
      </c>
      <c r="P3446" s="10">
        <f t="shared" si="3312"/>
        <v>1.6253731343283582</v>
      </c>
      <c r="Q3446" s="10" t="str">
        <f t="shared" si="3313"/>
        <v>NA</v>
      </c>
      <c r="R3446" s="10" t="s">
        <v>1575</v>
      </c>
      <c r="S3446" s="10" t="s">
        <v>1575</v>
      </c>
      <c r="T3446" s="10" t="s">
        <v>1575</v>
      </c>
      <c r="U3446" s="10" t="s">
        <v>1575</v>
      </c>
      <c r="V3446" s="10" t="s">
        <v>1575</v>
      </c>
      <c r="W3446" s="10" t="s">
        <v>1575</v>
      </c>
      <c r="X3446" s="10" t="str">
        <f t="shared" si="3343"/>
        <v>NA</v>
      </c>
      <c r="Y3446" s="10" t="str">
        <f t="shared" si="3344"/>
        <v>NA</v>
      </c>
      <c r="Z3446" s="10" t="str">
        <f t="shared" si="3345"/>
        <v>NA</v>
      </c>
      <c r="AA3446" s="10" t="str">
        <f t="shared" si="3346"/>
        <v>NA</v>
      </c>
      <c r="AB3446" s="10" t="str">
        <f t="shared" si="3347"/>
        <v>NA</v>
      </c>
      <c r="AC3446" s="10" t="str">
        <f t="shared" si="3348"/>
        <v>NA</v>
      </c>
      <c r="AD3446" s="10" t="str">
        <f t="shared" si="3349"/>
        <v>NA</v>
      </c>
      <c r="AE3446" s="10" t="str">
        <f t="shared" si="3350"/>
        <v>NA</v>
      </c>
    </row>
    <row r="3447" spans="1:32" x14ac:dyDescent="0.2">
      <c r="A3447" s="1" t="s">
        <v>604</v>
      </c>
      <c r="B3447" s="1" t="s">
        <v>5</v>
      </c>
      <c r="C3447" s="1" t="s">
        <v>1700</v>
      </c>
      <c r="D3447" s="1" t="s">
        <v>1689</v>
      </c>
      <c r="E3447" s="1" t="s">
        <v>3027</v>
      </c>
      <c r="F3447" s="1" t="s">
        <v>603</v>
      </c>
      <c r="G3447" s="4">
        <v>0.18529999999999999</v>
      </c>
      <c r="H3447" s="28">
        <v>44286</v>
      </c>
      <c r="I3447" s="29">
        <f t="shared" si="3351"/>
        <v>2021</v>
      </c>
      <c r="J3447" s="1" t="s">
        <v>1024</v>
      </c>
      <c r="K3447" s="1" t="s">
        <v>7</v>
      </c>
      <c r="L3447" s="11" t="str">
        <f t="shared" ref="L3447:L3510" si="3352">IF(OR(A3447=J3447,A3447=K3447),"ДА","НЕТ")</f>
        <v>НЕТ</v>
      </c>
      <c r="M3447" s="10">
        <v>1.290451</v>
      </c>
      <c r="N3447" s="10">
        <v>0</v>
      </c>
      <c r="O3447" s="10">
        <v>97.376000000000005</v>
      </c>
      <c r="P3447" s="10">
        <f t="shared" si="3312"/>
        <v>525.50458715596335</v>
      </c>
      <c r="Q3447" s="10">
        <f t="shared" si="3313"/>
        <v>850.61758715596329</v>
      </c>
      <c r="R3447" s="10">
        <v>195.22200000000001</v>
      </c>
      <c r="S3447" s="10">
        <v>86.575000000000003</v>
      </c>
      <c r="T3447" s="10">
        <v>63.77</v>
      </c>
      <c r="U3447" s="10">
        <v>-2.2709999999999999</v>
      </c>
      <c r="V3447" s="10">
        <v>127.97799999999999</v>
      </c>
      <c r="W3447" s="10">
        <v>325.113</v>
      </c>
      <c r="X3447" s="10">
        <f t="shared" si="3343"/>
        <v>453.09100000000001</v>
      </c>
      <c r="Y3447" s="10">
        <f t="shared" si="3344"/>
        <v>2.6918307729454845</v>
      </c>
      <c r="Z3447" s="10">
        <f t="shared" si="3345"/>
        <v>-231.39788073798476</v>
      </c>
      <c r="AA3447" s="10">
        <f t="shared" si="3346"/>
        <v>4.106210342058505</v>
      </c>
      <c r="AB3447" s="10">
        <f t="shared" si="3347"/>
        <v>4.3571809896218827</v>
      </c>
      <c r="AC3447" s="10">
        <f t="shared" si="3348"/>
        <v>9.8252103627601883</v>
      </c>
      <c r="AD3447" s="10">
        <f t="shared" si="3349"/>
        <v>13.338836242056818</v>
      </c>
      <c r="AE3447" s="10">
        <f t="shared" si="3350"/>
        <v>1.8773658871086896</v>
      </c>
      <c r="AF3447" s="1" t="s">
        <v>1025</v>
      </c>
    </row>
    <row r="3448" spans="1:32" x14ac:dyDescent="0.2">
      <c r="A3448" s="1" t="s">
        <v>604</v>
      </c>
      <c r="B3448" s="1" t="s">
        <v>5</v>
      </c>
      <c r="C3448" s="1" t="s">
        <v>1700</v>
      </c>
      <c r="D3448" s="1" t="s">
        <v>1689</v>
      </c>
      <c r="E3448" s="1" t="s">
        <v>3027</v>
      </c>
      <c r="F3448" s="1" t="s">
        <v>603</v>
      </c>
      <c r="G3448" s="4">
        <f>7.594929/293601.5891</f>
        <v>2.5868146774277797E-5</v>
      </c>
      <c r="H3448" s="28">
        <v>43830</v>
      </c>
      <c r="I3448" s="29">
        <f t="shared" si="3351"/>
        <v>2019</v>
      </c>
      <c r="J3448" s="1" t="s">
        <v>604</v>
      </c>
      <c r="K3448" s="1" t="s">
        <v>7</v>
      </c>
      <c r="L3448" s="11" t="str">
        <f t="shared" si="3352"/>
        <v>ДА</v>
      </c>
      <c r="M3448" s="10">
        <v>0</v>
      </c>
      <c r="N3448" s="10">
        <v>0</v>
      </c>
      <c r="O3448" s="10">
        <v>0.67100000000000004</v>
      </c>
      <c r="P3448" s="10">
        <f t="shared" si="3312"/>
        <v>25939.237389329119</v>
      </c>
      <c r="Q3448" s="10">
        <f t="shared" si="3313"/>
        <v>26281.306389329118</v>
      </c>
      <c r="R3448" s="10">
        <v>180.23699999999999</v>
      </c>
      <c r="S3448" s="10">
        <v>99.001999999999995</v>
      </c>
      <c r="T3448" s="10">
        <v>81.391999999999996</v>
      </c>
      <c r="U3448" s="10">
        <v>78.245000000000005</v>
      </c>
      <c r="V3448" s="10">
        <v>130.339</v>
      </c>
      <c r="W3448" s="10">
        <v>342.06899999999996</v>
      </c>
      <c r="X3448" s="10">
        <f t="shared" si="3343"/>
        <v>472.40799999999996</v>
      </c>
      <c r="Y3448" s="10">
        <f t="shared" si="3344"/>
        <v>143.91738316399585</v>
      </c>
      <c r="Z3448" s="10">
        <f t="shared" si="3345"/>
        <v>331.51303456232495</v>
      </c>
      <c r="AA3448" s="10">
        <f t="shared" si="3346"/>
        <v>199.01362899308049</v>
      </c>
      <c r="AB3448" s="10">
        <f t="shared" si="3347"/>
        <v>145.81526761613387</v>
      </c>
      <c r="AC3448" s="10">
        <f t="shared" si="3348"/>
        <v>265.4623784300228</v>
      </c>
      <c r="AD3448" s="10">
        <f t="shared" si="3349"/>
        <v>322.89790629704538</v>
      </c>
      <c r="AE3448" s="10">
        <f t="shared" si="3350"/>
        <v>55.632644640499571</v>
      </c>
      <c r="AF3448" s="1" t="s">
        <v>1026</v>
      </c>
    </row>
    <row r="3449" spans="1:32" x14ac:dyDescent="0.2">
      <c r="A3449" s="1" t="s">
        <v>604</v>
      </c>
      <c r="B3449" s="1" t="s">
        <v>5</v>
      </c>
      <c r="C3449" s="1" t="s">
        <v>1700</v>
      </c>
      <c r="D3449" s="1" t="s">
        <v>1689</v>
      </c>
      <c r="E3449" s="1" t="s">
        <v>3027</v>
      </c>
      <c r="F3449" s="1" t="s">
        <v>603</v>
      </c>
      <c r="G3449" s="4">
        <f>51.908433/293601.5891</f>
        <v>1.7679888300032367E-4</v>
      </c>
      <c r="H3449" s="28">
        <v>43465</v>
      </c>
      <c r="I3449" s="29">
        <f t="shared" si="3351"/>
        <v>2018</v>
      </c>
      <c r="J3449" s="1" t="s">
        <v>604</v>
      </c>
      <c r="K3449" s="1" t="s">
        <v>7</v>
      </c>
      <c r="L3449" s="11" t="str">
        <f t="shared" si="3352"/>
        <v>ДА</v>
      </c>
      <c r="M3449" s="10">
        <v>0</v>
      </c>
      <c r="N3449" s="10">
        <v>0</v>
      </c>
      <c r="O3449" s="10">
        <v>7.0570000000000004</v>
      </c>
      <c r="P3449" s="10">
        <f t="shared" si="3312"/>
        <v>39915.410551474364</v>
      </c>
      <c r="Q3449" s="10">
        <f t="shared" si="3313"/>
        <v>40303.306551474365</v>
      </c>
      <c r="R3449" s="10">
        <v>173.613</v>
      </c>
      <c r="S3449" s="10">
        <v>92.415999999999997</v>
      </c>
      <c r="T3449" s="10">
        <v>76.311999999999998</v>
      </c>
      <c r="U3449" s="10">
        <v>-8.8460000000000001</v>
      </c>
      <c r="V3449" s="10">
        <v>53.527000000000001</v>
      </c>
      <c r="W3449" s="10">
        <v>387.89599999999996</v>
      </c>
      <c r="X3449" s="10">
        <f t="shared" si="3343"/>
        <v>441.42299999999994</v>
      </c>
      <c r="Y3449" s="10">
        <f t="shared" si="3344"/>
        <v>229.91026335282706</v>
      </c>
      <c r="Z3449" s="10">
        <f t="shared" si="3345"/>
        <v>-4512.2553189548225</v>
      </c>
      <c r="AA3449" s="10">
        <f t="shared" si="3346"/>
        <v>745.70610255524059</v>
      </c>
      <c r="AB3449" s="10">
        <f t="shared" si="3347"/>
        <v>232.1445200041147</v>
      </c>
      <c r="AC3449" s="10">
        <f t="shared" si="3348"/>
        <v>436.10745489389677</v>
      </c>
      <c r="AD3449" s="10">
        <f t="shared" si="3349"/>
        <v>528.13851755260464</v>
      </c>
      <c r="AE3449" s="10">
        <f t="shared" si="3350"/>
        <v>91.303141321304892</v>
      </c>
      <c r="AF3449" s="1" t="s">
        <v>1027</v>
      </c>
    </row>
    <row r="3450" spans="1:32" x14ac:dyDescent="0.2">
      <c r="A3450" s="1" t="s">
        <v>604</v>
      </c>
      <c r="B3450" s="1" t="s">
        <v>5</v>
      </c>
      <c r="C3450" s="1" t="s">
        <v>1700</v>
      </c>
      <c r="D3450" s="1" t="s">
        <v>1689</v>
      </c>
      <c r="E3450" s="1" t="s">
        <v>3027</v>
      </c>
      <c r="F3450" s="1" t="s">
        <v>603</v>
      </c>
      <c r="G3450" s="4">
        <f>11.109568/293601.5891</f>
        <v>3.7838923263511724E-5</v>
      </c>
      <c r="H3450" s="28">
        <v>43100</v>
      </c>
      <c r="I3450" s="29">
        <f t="shared" si="3351"/>
        <v>2017</v>
      </c>
      <c r="J3450" s="1" t="s">
        <v>604</v>
      </c>
      <c r="K3450" s="1" t="s">
        <v>7</v>
      </c>
      <c r="L3450" s="11" t="str">
        <f t="shared" si="3352"/>
        <v>ДА</v>
      </c>
      <c r="M3450" s="10">
        <v>0</v>
      </c>
      <c r="N3450" s="10">
        <v>0</v>
      </c>
      <c r="O3450" s="10">
        <v>1.516</v>
      </c>
      <c r="P3450" s="10">
        <f t="shared" si="3312"/>
        <v>40064.56498358892</v>
      </c>
      <c r="Q3450" s="10">
        <f t="shared" si="3313"/>
        <v>40409.146983588922</v>
      </c>
      <c r="R3450" s="10">
        <v>160.928</v>
      </c>
      <c r="S3450" s="10">
        <v>78.042000000000002</v>
      </c>
      <c r="T3450" s="10">
        <v>64.082999999999998</v>
      </c>
      <c r="U3450" s="10">
        <v>50.856000000000002</v>
      </c>
      <c r="V3450" s="10">
        <v>66.215999999999994</v>
      </c>
      <c r="W3450" s="10">
        <v>344.58199999999994</v>
      </c>
      <c r="X3450" s="10">
        <f t="shared" si="3343"/>
        <v>410.79799999999994</v>
      </c>
      <c r="Y3450" s="10">
        <f t="shared" si="3344"/>
        <v>248.95956566656469</v>
      </c>
      <c r="Z3450" s="10">
        <f t="shared" si="3345"/>
        <v>787.80409358952568</v>
      </c>
      <c r="AA3450" s="10">
        <f t="shared" si="3346"/>
        <v>605.05867137231064</v>
      </c>
      <c r="AB3450" s="10">
        <f t="shared" si="3347"/>
        <v>251.10078409965277</v>
      </c>
      <c r="AC3450" s="10">
        <f t="shared" si="3348"/>
        <v>517.78717848836425</v>
      </c>
      <c r="AD3450" s="10">
        <f t="shared" si="3349"/>
        <v>630.57514447808194</v>
      </c>
      <c r="AE3450" s="10">
        <f t="shared" si="3350"/>
        <v>98.3674384578039</v>
      </c>
      <c r="AF3450" s="1" t="s">
        <v>1028</v>
      </c>
    </row>
    <row r="3451" spans="1:32" x14ac:dyDescent="0.2">
      <c r="A3451" s="1" t="s">
        <v>604</v>
      </c>
      <c r="B3451" s="1" t="s">
        <v>5</v>
      </c>
      <c r="C3451" s="1" t="s">
        <v>1700</v>
      </c>
      <c r="D3451" s="1" t="s">
        <v>1689</v>
      </c>
      <c r="E3451" s="1" t="s">
        <v>3027</v>
      </c>
      <c r="F3451" s="1" t="s">
        <v>603</v>
      </c>
      <c r="G3451" s="4">
        <f>4.9%+3.4%-2.4%</f>
        <v>5.9000000000000004E-2</v>
      </c>
      <c r="H3451" s="28">
        <v>42735</v>
      </c>
      <c r="I3451" s="29">
        <f t="shared" si="3351"/>
        <v>2016</v>
      </c>
      <c r="J3451" s="1" t="s">
        <v>604</v>
      </c>
      <c r="K3451" s="1" t="s">
        <v>7</v>
      </c>
      <c r="L3451" s="11" t="str">
        <f t="shared" si="3352"/>
        <v>ДА</v>
      </c>
      <c r="M3451" s="10">
        <v>0</v>
      </c>
      <c r="N3451" s="10">
        <v>0</v>
      </c>
      <c r="O3451" s="10">
        <v>33.634999999999998</v>
      </c>
      <c r="P3451" s="10">
        <f t="shared" si="3312"/>
        <v>570.0847457627118</v>
      </c>
      <c r="Q3451" s="10">
        <f t="shared" si="3313"/>
        <v>946.78474576271185</v>
      </c>
      <c r="R3451" s="10">
        <v>151.73099999999999</v>
      </c>
      <c r="S3451" s="10">
        <v>88.734999999999999</v>
      </c>
      <c r="T3451" s="10">
        <v>75.72</v>
      </c>
      <c r="U3451" s="10">
        <v>94.957999999999998</v>
      </c>
      <c r="V3451" s="10">
        <v>16.747</v>
      </c>
      <c r="W3451" s="10">
        <v>376.70000000000005</v>
      </c>
      <c r="X3451" s="10">
        <f t="shared" si="3343"/>
        <v>393.44700000000006</v>
      </c>
      <c r="Y3451" s="10">
        <f t="shared" si="3344"/>
        <v>3.7572068052191829</v>
      </c>
      <c r="Z3451" s="10">
        <f t="shared" si="3345"/>
        <v>6.0035462600593084</v>
      </c>
      <c r="AA3451" s="10">
        <f t="shared" si="3346"/>
        <v>34.041007091581285</v>
      </c>
      <c r="AB3451" s="10">
        <f t="shared" si="3347"/>
        <v>6.2398899747758332</v>
      </c>
      <c r="AC3451" s="10">
        <f t="shared" si="3348"/>
        <v>10.669800481914823</v>
      </c>
      <c r="AD3451" s="10">
        <f t="shared" si="3349"/>
        <v>12.503760509280399</v>
      </c>
      <c r="AE3451" s="10">
        <f t="shared" si="3350"/>
        <v>2.4063844577864661</v>
      </c>
      <c r="AF3451" s="1" t="s">
        <v>1029</v>
      </c>
    </row>
    <row r="3452" spans="1:32" x14ac:dyDescent="0.2">
      <c r="A3452" s="1" t="s">
        <v>604</v>
      </c>
      <c r="B3452" s="1" t="s">
        <v>5</v>
      </c>
      <c r="C3452" s="1" t="s">
        <v>1700</v>
      </c>
      <c r="D3452" s="1" t="s">
        <v>1689</v>
      </c>
      <c r="E3452" s="1" t="s">
        <v>3027</v>
      </c>
      <c r="F3452" s="1" t="s">
        <v>603</v>
      </c>
      <c r="G3452" s="4">
        <f>33.54%+2.4%</f>
        <v>0.3594</v>
      </c>
      <c r="H3452" s="28">
        <v>42369</v>
      </c>
      <c r="I3452" s="29">
        <f t="shared" si="3351"/>
        <v>2015</v>
      </c>
      <c r="J3452" s="1" t="s">
        <v>604</v>
      </c>
      <c r="K3452" s="1" t="s">
        <v>7</v>
      </c>
      <c r="L3452" s="11" t="str">
        <f t="shared" si="3352"/>
        <v>ДА</v>
      </c>
      <c r="M3452" s="10">
        <v>0</v>
      </c>
      <c r="N3452" s="10">
        <v>0</v>
      </c>
      <c r="O3452" s="10">
        <v>204.887</v>
      </c>
      <c r="P3452" s="10">
        <f t="shared" si="3312"/>
        <v>570.08069003895378</v>
      </c>
      <c r="Q3452" s="10">
        <f t="shared" si="3313"/>
        <v>1021.0686900389537</v>
      </c>
      <c r="R3452" s="10">
        <v>189.18899999999999</v>
      </c>
      <c r="S3452" s="10">
        <v>101.75</v>
      </c>
      <c r="T3452" s="10">
        <v>88.32</v>
      </c>
      <c r="U3452" s="10">
        <v>10.15</v>
      </c>
      <c r="V3452" s="10">
        <v>-44.682000000000002</v>
      </c>
      <c r="W3452" s="10">
        <v>450.988</v>
      </c>
      <c r="X3452" s="10">
        <f t="shared" si="3343"/>
        <v>406.30599999999998</v>
      </c>
      <c r="Y3452" s="10">
        <f t="shared" si="3344"/>
        <v>3.0132866606354165</v>
      </c>
      <c r="Z3452" s="10">
        <f t="shared" si="3345"/>
        <v>56.165585225512686</v>
      </c>
      <c r="AA3452" s="10">
        <f t="shared" si="3346"/>
        <v>-12.758620698244343</v>
      </c>
      <c r="AB3452" s="10">
        <f t="shared" si="3347"/>
        <v>5.3970827587172288</v>
      </c>
      <c r="AC3452" s="10">
        <f t="shared" si="3348"/>
        <v>10.035073120775959</v>
      </c>
      <c r="AD3452" s="10">
        <f t="shared" si="3349"/>
        <v>11.561013247723661</v>
      </c>
      <c r="AE3452" s="10">
        <f t="shared" si="3350"/>
        <v>2.513053437652788</v>
      </c>
      <c r="AF3452" s="1" t="s">
        <v>1030</v>
      </c>
    </row>
    <row r="3453" spans="1:32" x14ac:dyDescent="0.2">
      <c r="A3453" s="1" t="s">
        <v>604</v>
      </c>
      <c r="B3453" s="1" t="s">
        <v>5</v>
      </c>
      <c r="C3453" s="1" t="s">
        <v>1700</v>
      </c>
      <c r="D3453" s="1" t="s">
        <v>1689</v>
      </c>
      <c r="E3453" s="1" t="s">
        <v>3027</v>
      </c>
      <c r="F3453" s="1" t="s">
        <v>603</v>
      </c>
      <c r="G3453" s="4">
        <f>2.957805 /293601.5891</f>
        <v>1.0074213184835926E-5</v>
      </c>
      <c r="H3453" s="28">
        <v>42004</v>
      </c>
      <c r="I3453" s="29">
        <f t="shared" si="3351"/>
        <v>2014</v>
      </c>
      <c r="J3453" s="1" t="s">
        <v>604</v>
      </c>
      <c r="K3453" s="1" t="s">
        <v>7</v>
      </c>
      <c r="L3453" s="11" t="str">
        <f t="shared" si="3352"/>
        <v>ДА</v>
      </c>
      <c r="M3453" s="10">
        <v>0</v>
      </c>
      <c r="N3453" s="10">
        <v>0</v>
      </c>
      <c r="O3453" s="10">
        <v>1E-3</v>
      </c>
      <c r="P3453" s="10">
        <f t="shared" si="3312"/>
        <v>99.263335175915927</v>
      </c>
      <c r="Q3453" s="10">
        <f t="shared" si="3313"/>
        <v>335.32133517591592</v>
      </c>
      <c r="R3453" s="10">
        <v>136.529</v>
      </c>
      <c r="S3453" s="10">
        <v>31.341999999999999</v>
      </c>
      <c r="T3453" s="10">
        <v>17.433</v>
      </c>
      <c r="U3453" s="10">
        <v>-33.277000000000001</v>
      </c>
      <c r="V3453" s="10">
        <v>150.25399999999999</v>
      </c>
      <c r="W3453" s="10">
        <v>236.05799999999996</v>
      </c>
      <c r="X3453" s="10">
        <f t="shared" si="3343"/>
        <v>386.31199999999995</v>
      </c>
      <c r="Y3453" s="10">
        <f t="shared" si="3344"/>
        <v>0.72704945598309467</v>
      </c>
      <c r="Z3453" s="10">
        <f t="shared" si="3345"/>
        <v>-2.982941225949332</v>
      </c>
      <c r="AA3453" s="10">
        <f t="shared" si="3346"/>
        <v>0.6606368893734339</v>
      </c>
      <c r="AB3453" s="10">
        <f t="shared" si="3347"/>
        <v>2.4560447610098657</v>
      </c>
      <c r="AC3453" s="10">
        <f t="shared" si="3348"/>
        <v>10.698785501114029</v>
      </c>
      <c r="AD3453" s="10">
        <f t="shared" si="3349"/>
        <v>19.234861192905175</v>
      </c>
      <c r="AE3453" s="10">
        <f t="shared" si="3350"/>
        <v>0.86800652109154253</v>
      </c>
      <c r="AF3453" s="1" t="s">
        <v>1031</v>
      </c>
    </row>
    <row r="3454" spans="1:32" x14ac:dyDescent="0.2">
      <c r="A3454" s="1" t="s">
        <v>604</v>
      </c>
      <c r="B3454" s="1" t="s">
        <v>5</v>
      </c>
      <c r="C3454" s="1" t="s">
        <v>1700</v>
      </c>
      <c r="D3454" s="1" t="s">
        <v>1689</v>
      </c>
      <c r="E3454" s="1" t="s">
        <v>3027</v>
      </c>
      <c r="F3454" s="1" t="s">
        <v>603</v>
      </c>
      <c r="G3454" s="4">
        <f>363.494972/293601.5891</f>
        <v>1.2380551928014073E-3</v>
      </c>
      <c r="H3454" s="28">
        <v>41639</v>
      </c>
      <c r="I3454" s="29">
        <f t="shared" si="3351"/>
        <v>2013</v>
      </c>
      <c r="J3454" s="1" t="s">
        <v>604</v>
      </c>
      <c r="K3454" s="1" t="s">
        <v>7</v>
      </c>
      <c r="L3454" s="11" t="str">
        <f t="shared" si="3352"/>
        <v>ДА</v>
      </c>
      <c r="M3454" s="10">
        <v>0</v>
      </c>
      <c r="N3454" s="10">
        <v>0</v>
      </c>
      <c r="O3454" s="10">
        <v>0.182</v>
      </c>
      <c r="P3454" s="10">
        <f t="shared" si="3312"/>
        <v>147.00475476232995</v>
      </c>
      <c r="Q3454" s="10">
        <f t="shared" si="3313"/>
        <v>322.18975476232993</v>
      </c>
      <c r="R3454" s="10">
        <v>105.819</v>
      </c>
      <c r="S3454" s="10">
        <v>38.832000000000001</v>
      </c>
      <c r="T3454" s="10">
        <v>25.605</v>
      </c>
      <c r="U3454" s="10">
        <v>21.221</v>
      </c>
      <c r="V3454" s="10">
        <v>187.93700000000001</v>
      </c>
      <c r="W3454" s="10">
        <v>175.185</v>
      </c>
      <c r="X3454" s="10">
        <f t="shared" si="3343"/>
        <v>363.12200000000001</v>
      </c>
      <c r="Y3454" s="10">
        <f t="shared" si="3344"/>
        <v>1.3892094497427678</v>
      </c>
      <c r="Z3454" s="10">
        <f t="shared" si="3345"/>
        <v>6.9273245729385966</v>
      </c>
      <c r="AA3454" s="10">
        <f t="shared" si="3346"/>
        <v>0.7822023058914952</v>
      </c>
      <c r="AB3454" s="10">
        <f t="shared" si="3347"/>
        <v>3.0447249998802666</v>
      </c>
      <c r="AC3454" s="10">
        <f t="shared" si="3348"/>
        <v>8.2970167584036343</v>
      </c>
      <c r="AD3454" s="10">
        <f t="shared" si="3349"/>
        <v>12.5830796626569</v>
      </c>
      <c r="AE3454" s="10">
        <f t="shared" si="3350"/>
        <v>0.88727687874138694</v>
      </c>
      <c r="AF3454" s="1" t="s">
        <v>1032</v>
      </c>
    </row>
    <row r="3455" spans="1:32" x14ac:dyDescent="0.2">
      <c r="A3455" s="1" t="s">
        <v>6944</v>
      </c>
      <c r="B3455" s="1" t="s">
        <v>5</v>
      </c>
      <c r="C3455" s="1" t="s">
        <v>1575</v>
      </c>
      <c r="D3455" s="1" t="s">
        <v>1689</v>
      </c>
      <c r="E3455" s="1" t="s">
        <v>3027</v>
      </c>
      <c r="F3455" s="1" t="s">
        <v>603</v>
      </c>
      <c r="G3455" s="4">
        <v>1</v>
      </c>
      <c r="H3455" s="28">
        <v>40680</v>
      </c>
      <c r="I3455" s="29">
        <f t="shared" si="3351"/>
        <v>2011</v>
      </c>
      <c r="J3455" s="1" t="s">
        <v>604</v>
      </c>
      <c r="K3455" s="1" t="s">
        <v>7</v>
      </c>
      <c r="L3455" s="11" t="str">
        <f t="shared" si="3352"/>
        <v>НЕТ</v>
      </c>
      <c r="M3455" s="10">
        <f>1432.093+7373.884+19.637</f>
        <v>8825.6140000000014</v>
      </c>
      <c r="N3455" s="10">
        <v>0</v>
      </c>
      <c r="O3455" s="10">
        <v>0</v>
      </c>
      <c r="P3455" s="10">
        <f t="shared" si="3312"/>
        <v>0</v>
      </c>
      <c r="Q3455" s="10" t="str">
        <f t="shared" si="3313"/>
        <v>NA</v>
      </c>
      <c r="R3455" s="10" t="s">
        <v>1575</v>
      </c>
      <c r="S3455" s="10" t="s">
        <v>1575</v>
      </c>
      <c r="T3455" s="10" t="s">
        <v>1575</v>
      </c>
      <c r="U3455" s="10" t="s">
        <v>1575</v>
      </c>
      <c r="V3455" s="10" t="s">
        <v>1575</v>
      </c>
      <c r="W3455" s="10" t="s">
        <v>1575</v>
      </c>
      <c r="X3455" s="10" t="str">
        <f t="shared" si="3343"/>
        <v>NA</v>
      </c>
      <c r="Y3455" s="10" t="str">
        <f t="shared" si="3344"/>
        <v>NA</v>
      </c>
      <c r="Z3455" s="10" t="str">
        <f t="shared" si="3345"/>
        <v>NA</v>
      </c>
      <c r="AA3455" s="10" t="str">
        <f t="shared" si="3346"/>
        <v>NA</v>
      </c>
      <c r="AB3455" s="10" t="str">
        <f t="shared" si="3347"/>
        <v>NA</v>
      </c>
      <c r="AC3455" s="10" t="str">
        <f t="shared" si="3348"/>
        <v>NA</v>
      </c>
      <c r="AD3455" s="10" t="str">
        <f t="shared" si="3349"/>
        <v>NA</v>
      </c>
      <c r="AE3455" s="10" t="str">
        <f t="shared" si="3350"/>
        <v>NA</v>
      </c>
      <c r="AF3455" s="1" t="s">
        <v>605</v>
      </c>
    </row>
    <row r="3456" spans="1:32" x14ac:dyDescent="0.2">
      <c r="A3456" s="1" t="s">
        <v>6945</v>
      </c>
      <c r="B3456" s="1" t="s">
        <v>5</v>
      </c>
      <c r="C3456" s="1" t="s">
        <v>1575</v>
      </c>
      <c r="D3456" s="10" t="s">
        <v>1575</v>
      </c>
      <c r="E3456" s="10" t="s">
        <v>1575</v>
      </c>
      <c r="F3456" s="1" t="s">
        <v>46</v>
      </c>
      <c r="G3456" s="4">
        <v>0.47639999999999999</v>
      </c>
      <c r="H3456" s="28">
        <v>40823</v>
      </c>
      <c r="I3456" s="29">
        <f t="shared" si="3351"/>
        <v>2011</v>
      </c>
      <c r="J3456" s="1" t="s">
        <v>604</v>
      </c>
      <c r="K3456" s="1" t="s">
        <v>7</v>
      </c>
      <c r="L3456" s="11" t="str">
        <f t="shared" si="3352"/>
        <v>НЕТ</v>
      </c>
      <c r="M3456" s="10">
        <v>35.375</v>
      </c>
      <c r="N3456" s="10">
        <v>0</v>
      </c>
      <c r="O3456" s="10">
        <v>0</v>
      </c>
      <c r="P3456" s="10">
        <f t="shared" si="3312"/>
        <v>0</v>
      </c>
      <c r="Q3456" s="10" t="str">
        <f t="shared" si="3313"/>
        <v>NA</v>
      </c>
      <c r="R3456" s="10" t="s">
        <v>1575</v>
      </c>
      <c r="S3456" s="10" t="s">
        <v>1575</v>
      </c>
      <c r="T3456" s="10" t="s">
        <v>1575</v>
      </c>
      <c r="U3456" s="10" t="s">
        <v>1575</v>
      </c>
      <c r="V3456" s="10" t="s">
        <v>1575</v>
      </c>
      <c r="W3456" s="10" t="s">
        <v>1575</v>
      </c>
      <c r="X3456" s="10" t="str">
        <f t="shared" si="3343"/>
        <v>NA</v>
      </c>
      <c r="Y3456" s="10" t="str">
        <f t="shared" si="3344"/>
        <v>NA</v>
      </c>
      <c r="Z3456" s="10" t="str">
        <f t="shared" si="3345"/>
        <v>NA</v>
      </c>
      <c r="AA3456" s="10" t="str">
        <f t="shared" si="3346"/>
        <v>NA</v>
      </c>
      <c r="AB3456" s="10" t="str">
        <f t="shared" si="3347"/>
        <v>NA</v>
      </c>
      <c r="AC3456" s="10" t="str">
        <f t="shared" si="3348"/>
        <v>NA</v>
      </c>
      <c r="AD3456" s="10" t="str">
        <f t="shared" si="3349"/>
        <v>NA</v>
      </c>
      <c r="AE3456" s="10" t="str">
        <f t="shared" si="3350"/>
        <v>NA</v>
      </c>
    </row>
    <row r="3457" spans="1:32" x14ac:dyDescent="0.2">
      <c r="A3457" s="1" t="s">
        <v>6946</v>
      </c>
      <c r="B3457" s="1" t="s">
        <v>5</v>
      </c>
      <c r="C3457" s="1" t="s">
        <v>1575</v>
      </c>
      <c r="D3457" s="10" t="s">
        <v>1575</v>
      </c>
      <c r="E3457" s="10" t="s">
        <v>1575</v>
      </c>
      <c r="F3457" s="1" t="s">
        <v>46</v>
      </c>
      <c r="G3457" s="4">
        <v>1</v>
      </c>
      <c r="H3457" s="28">
        <v>40848</v>
      </c>
      <c r="I3457" s="29">
        <f t="shared" si="3351"/>
        <v>2011</v>
      </c>
      <c r="J3457" s="1" t="s">
        <v>7</v>
      </c>
      <c r="K3457" s="1" t="s">
        <v>604</v>
      </c>
      <c r="L3457" s="11" t="str">
        <f t="shared" si="3352"/>
        <v>НЕТ</v>
      </c>
      <c r="M3457" s="10">
        <v>1.81</v>
      </c>
      <c r="N3457" s="10">
        <v>0</v>
      </c>
      <c r="O3457" s="10">
        <v>0</v>
      </c>
      <c r="P3457" s="10">
        <f t="shared" si="3312"/>
        <v>0</v>
      </c>
      <c r="Q3457" s="10" t="str">
        <f t="shared" si="3313"/>
        <v>NA</v>
      </c>
      <c r="R3457" s="10" t="s">
        <v>1575</v>
      </c>
      <c r="S3457" s="10" t="s">
        <v>1575</v>
      </c>
      <c r="T3457" s="10" t="s">
        <v>1575</v>
      </c>
      <c r="U3457" s="10" t="s">
        <v>1575</v>
      </c>
      <c r="V3457" s="10" t="s">
        <v>1575</v>
      </c>
      <c r="W3457" s="10" t="s">
        <v>1575</v>
      </c>
      <c r="X3457" s="10" t="str">
        <f t="shared" si="3343"/>
        <v>NA</v>
      </c>
      <c r="Y3457" s="10" t="str">
        <f t="shared" si="3344"/>
        <v>NA</v>
      </c>
      <c r="Z3457" s="10" t="str">
        <f t="shared" si="3345"/>
        <v>NA</v>
      </c>
      <c r="AA3457" s="10" t="str">
        <f t="shared" si="3346"/>
        <v>NA</v>
      </c>
      <c r="AB3457" s="10" t="str">
        <f t="shared" si="3347"/>
        <v>NA</v>
      </c>
      <c r="AC3457" s="10" t="str">
        <f t="shared" si="3348"/>
        <v>NA</v>
      </c>
      <c r="AD3457" s="10" t="str">
        <f t="shared" si="3349"/>
        <v>NA</v>
      </c>
      <c r="AE3457" s="10" t="str">
        <f t="shared" si="3350"/>
        <v>NA</v>
      </c>
      <c r="AF3457" s="1" t="s">
        <v>606</v>
      </c>
    </row>
    <row r="3458" spans="1:32" x14ac:dyDescent="0.2">
      <c r="A3458" s="1" t="s">
        <v>6947</v>
      </c>
      <c r="B3458" s="1" t="s">
        <v>5</v>
      </c>
      <c r="C3458" s="1" t="s">
        <v>1575</v>
      </c>
      <c r="D3458" s="10" t="s">
        <v>1575</v>
      </c>
      <c r="E3458" s="10" t="s">
        <v>1575</v>
      </c>
      <c r="F3458" s="1" t="s">
        <v>607</v>
      </c>
      <c r="G3458" s="4">
        <v>0.51</v>
      </c>
      <c r="H3458" s="28">
        <v>40299</v>
      </c>
      <c r="I3458" s="29">
        <f t="shared" si="3351"/>
        <v>2010</v>
      </c>
      <c r="J3458" s="1" t="s">
        <v>7</v>
      </c>
      <c r="K3458" s="1" t="s">
        <v>604</v>
      </c>
      <c r="L3458" s="11" t="str">
        <f t="shared" si="3352"/>
        <v>НЕТ</v>
      </c>
      <c r="M3458" s="10">
        <v>0</v>
      </c>
      <c r="N3458" s="10">
        <v>0</v>
      </c>
      <c r="O3458" s="10">
        <v>8.0000000000000002E-3</v>
      </c>
      <c r="P3458" s="10">
        <f t="shared" si="3312"/>
        <v>1.5686274509803921E-2</v>
      </c>
      <c r="Q3458" s="10" t="str">
        <f t="shared" si="3313"/>
        <v>NA</v>
      </c>
      <c r="R3458" s="10" t="s">
        <v>1575</v>
      </c>
      <c r="S3458" s="10" t="s">
        <v>1575</v>
      </c>
      <c r="T3458" s="10" t="s">
        <v>1575</v>
      </c>
      <c r="U3458" s="10" t="s">
        <v>1575</v>
      </c>
      <c r="V3458" s="10" t="s">
        <v>1575</v>
      </c>
      <c r="W3458" s="10" t="s">
        <v>1575</v>
      </c>
      <c r="X3458" s="10" t="str">
        <f t="shared" si="3343"/>
        <v>NA</v>
      </c>
      <c r="Y3458" s="10" t="str">
        <f t="shared" si="3344"/>
        <v>NA</v>
      </c>
      <c r="Z3458" s="10" t="str">
        <f t="shared" si="3345"/>
        <v>NA</v>
      </c>
      <c r="AA3458" s="10" t="str">
        <f t="shared" si="3346"/>
        <v>NA</v>
      </c>
      <c r="AB3458" s="10" t="str">
        <f t="shared" si="3347"/>
        <v>NA</v>
      </c>
      <c r="AC3458" s="10" t="str">
        <f t="shared" si="3348"/>
        <v>NA</v>
      </c>
      <c r="AD3458" s="10" t="str">
        <f t="shared" si="3349"/>
        <v>NA</v>
      </c>
      <c r="AE3458" s="10" t="str">
        <f t="shared" si="3350"/>
        <v>NA</v>
      </c>
    </row>
    <row r="3459" spans="1:32" x14ac:dyDescent="0.2">
      <c r="A3459" s="1" t="s">
        <v>609</v>
      </c>
      <c r="C3459" s="1" t="s">
        <v>1575</v>
      </c>
      <c r="D3459" s="10" t="s">
        <v>1575</v>
      </c>
      <c r="E3459" s="10" t="s">
        <v>1575</v>
      </c>
      <c r="G3459" s="4"/>
      <c r="H3459" s="28">
        <v>40378</v>
      </c>
      <c r="I3459" s="29">
        <f t="shared" si="3351"/>
        <v>2010</v>
      </c>
      <c r="J3459" s="1" t="s">
        <v>7</v>
      </c>
      <c r="K3459" s="1" t="s">
        <v>604</v>
      </c>
      <c r="L3459" s="11" t="str">
        <f t="shared" si="3352"/>
        <v>НЕТ</v>
      </c>
      <c r="M3459" s="10">
        <v>129.6</v>
      </c>
      <c r="N3459" s="10">
        <v>0</v>
      </c>
      <c r="O3459" s="10">
        <v>3.948</v>
      </c>
      <c r="P3459" s="10" t="str">
        <f t="shared" ref="P3459:P3522" si="3353">IFERROR(O3459/G3459,"NA")</f>
        <v>NA</v>
      </c>
      <c r="Q3459" s="10" t="str">
        <f t="shared" ref="Q3459:Q3522" si="3354">IFERROR(P3459+W3459,"NA")</f>
        <v>NA</v>
      </c>
      <c r="R3459" s="10" t="s">
        <v>1575</v>
      </c>
      <c r="S3459" s="10" t="s">
        <v>1575</v>
      </c>
      <c r="T3459" s="10" t="s">
        <v>1575</v>
      </c>
      <c r="U3459" s="10" t="s">
        <v>1575</v>
      </c>
      <c r="V3459" s="10" t="s">
        <v>1575</v>
      </c>
      <c r="W3459" s="10" t="s">
        <v>1575</v>
      </c>
      <c r="X3459" s="10" t="str">
        <f t="shared" si="3343"/>
        <v>NA</v>
      </c>
      <c r="Y3459" s="10" t="str">
        <f t="shared" si="3344"/>
        <v>NA</v>
      </c>
      <c r="Z3459" s="10" t="str">
        <f t="shared" si="3345"/>
        <v>NA</v>
      </c>
      <c r="AA3459" s="10" t="str">
        <f t="shared" si="3346"/>
        <v>NA</v>
      </c>
      <c r="AB3459" s="10" t="str">
        <f t="shared" si="3347"/>
        <v>NA</v>
      </c>
      <c r="AC3459" s="10" t="str">
        <f t="shared" si="3348"/>
        <v>NA</v>
      </c>
      <c r="AD3459" s="10" t="str">
        <f t="shared" si="3349"/>
        <v>NA</v>
      </c>
      <c r="AE3459" s="10" t="str">
        <f t="shared" si="3350"/>
        <v>NA</v>
      </c>
      <c r="AF3459" s="1" t="s">
        <v>608</v>
      </c>
    </row>
    <row r="3460" spans="1:32" x14ac:dyDescent="0.2">
      <c r="A3460" s="1" t="s">
        <v>6935</v>
      </c>
      <c r="B3460" s="1" t="s">
        <v>78</v>
      </c>
      <c r="C3460" s="1" t="s">
        <v>1575</v>
      </c>
      <c r="D3460" s="1" t="s">
        <v>1689</v>
      </c>
      <c r="E3460" s="1" t="s">
        <v>1690</v>
      </c>
      <c r="F3460" s="1" t="s">
        <v>596</v>
      </c>
      <c r="G3460" s="4">
        <v>1</v>
      </c>
      <c r="H3460" s="28">
        <v>44439</v>
      </c>
      <c r="I3460" s="29">
        <f t="shared" si="3351"/>
        <v>2021</v>
      </c>
      <c r="J3460" s="1" t="s">
        <v>6948</v>
      </c>
      <c r="K3460" s="1" t="s">
        <v>1036</v>
      </c>
      <c r="L3460" s="11" t="str">
        <f t="shared" si="3352"/>
        <v>НЕТ</v>
      </c>
      <c r="M3460" s="10">
        <v>410</v>
      </c>
      <c r="N3460" s="10">
        <v>0</v>
      </c>
      <c r="O3460" s="10">
        <v>0</v>
      </c>
      <c r="P3460" s="10">
        <f t="shared" si="3353"/>
        <v>0</v>
      </c>
      <c r="Q3460" s="10" t="str">
        <f t="shared" si="3354"/>
        <v>NA</v>
      </c>
      <c r="R3460" s="10" t="s">
        <v>1575</v>
      </c>
      <c r="S3460" s="10" t="s">
        <v>1575</v>
      </c>
      <c r="T3460" s="10" t="s">
        <v>1575</v>
      </c>
      <c r="U3460" s="10" t="s">
        <v>1575</v>
      </c>
      <c r="V3460" s="10" t="s">
        <v>1575</v>
      </c>
      <c r="W3460" s="10" t="s">
        <v>1575</v>
      </c>
      <c r="X3460" s="10" t="str">
        <f t="shared" si="3343"/>
        <v>NA</v>
      </c>
      <c r="Y3460" s="10" t="str">
        <f t="shared" si="3344"/>
        <v>NA</v>
      </c>
      <c r="Z3460" s="10" t="str">
        <f t="shared" si="3345"/>
        <v>NA</v>
      </c>
      <c r="AA3460" s="10" t="str">
        <f t="shared" si="3346"/>
        <v>NA</v>
      </c>
      <c r="AB3460" s="10" t="str">
        <f t="shared" si="3347"/>
        <v>NA</v>
      </c>
      <c r="AC3460" s="10" t="str">
        <f t="shared" si="3348"/>
        <v>NA</v>
      </c>
      <c r="AD3460" s="10" t="str">
        <f t="shared" si="3349"/>
        <v>NA</v>
      </c>
      <c r="AE3460" s="10" t="str">
        <f t="shared" si="3350"/>
        <v>NA</v>
      </c>
      <c r="AF3460" s="1" t="s">
        <v>1034</v>
      </c>
    </row>
    <row r="3461" spans="1:32" x14ac:dyDescent="0.2">
      <c r="A3461" s="1" t="s">
        <v>1038</v>
      </c>
      <c r="B3461" s="1" t="s">
        <v>78</v>
      </c>
      <c r="C3461" s="1" t="s">
        <v>1575</v>
      </c>
      <c r="D3461" s="10" t="s">
        <v>1575</v>
      </c>
      <c r="E3461" s="10" t="s">
        <v>1575</v>
      </c>
      <c r="F3461" s="1" t="s">
        <v>1039</v>
      </c>
      <c r="G3461" s="4">
        <v>0.51480000000000004</v>
      </c>
      <c r="H3461" s="28">
        <v>44561</v>
      </c>
      <c r="I3461" s="29">
        <f t="shared" si="3351"/>
        <v>2021</v>
      </c>
      <c r="J3461" s="1" t="s">
        <v>6948</v>
      </c>
      <c r="K3461" s="1" t="s">
        <v>7</v>
      </c>
      <c r="L3461" s="11" t="str">
        <f t="shared" si="3352"/>
        <v>НЕТ</v>
      </c>
      <c r="M3461" s="10">
        <v>96.5</v>
      </c>
      <c r="N3461" s="10">
        <v>0</v>
      </c>
      <c r="O3461" s="10">
        <v>0</v>
      </c>
      <c r="P3461" s="10">
        <f t="shared" si="3353"/>
        <v>0</v>
      </c>
      <c r="Q3461" s="10" t="str">
        <f t="shared" si="3354"/>
        <v>NA</v>
      </c>
      <c r="R3461" s="10" t="s">
        <v>1575</v>
      </c>
      <c r="S3461" s="10" t="s">
        <v>1575</v>
      </c>
      <c r="T3461" s="10" t="s">
        <v>1575</v>
      </c>
      <c r="U3461" s="10" t="s">
        <v>1575</v>
      </c>
      <c r="V3461" s="10" t="s">
        <v>1575</v>
      </c>
      <c r="W3461" s="10" t="s">
        <v>1575</v>
      </c>
      <c r="X3461" s="10" t="str">
        <f t="shared" si="3343"/>
        <v>NA</v>
      </c>
      <c r="Y3461" s="10" t="str">
        <f t="shared" si="3344"/>
        <v>NA</v>
      </c>
      <c r="Z3461" s="10" t="str">
        <f t="shared" si="3345"/>
        <v>NA</v>
      </c>
      <c r="AA3461" s="10" t="str">
        <f t="shared" si="3346"/>
        <v>NA</v>
      </c>
      <c r="AB3461" s="10" t="str">
        <f t="shared" si="3347"/>
        <v>NA</v>
      </c>
      <c r="AC3461" s="10" t="str">
        <f t="shared" si="3348"/>
        <v>NA</v>
      </c>
      <c r="AD3461" s="10" t="str">
        <f t="shared" si="3349"/>
        <v>NA</v>
      </c>
      <c r="AE3461" s="10" t="str">
        <f t="shared" si="3350"/>
        <v>NA</v>
      </c>
      <c r="AF3461" s="1" t="s">
        <v>1037</v>
      </c>
    </row>
    <row r="3462" spans="1:32" x14ac:dyDescent="0.2">
      <c r="A3462" s="1" t="s">
        <v>1041</v>
      </c>
      <c r="C3462" s="1" t="s">
        <v>1575</v>
      </c>
      <c r="D3462" s="10" t="s">
        <v>1575</v>
      </c>
      <c r="E3462" s="10" t="s">
        <v>1575</v>
      </c>
      <c r="F3462" s="1" t="s">
        <v>572</v>
      </c>
      <c r="G3462" s="4"/>
      <c r="H3462" s="28">
        <v>44620</v>
      </c>
      <c r="I3462" s="29">
        <f t="shared" si="3351"/>
        <v>2022</v>
      </c>
      <c r="J3462" s="1" t="s">
        <v>6948</v>
      </c>
      <c r="K3462" s="1" t="s">
        <v>1042</v>
      </c>
      <c r="L3462" s="11" t="str">
        <f t="shared" si="3352"/>
        <v>НЕТ</v>
      </c>
      <c r="M3462" s="10">
        <v>0</v>
      </c>
      <c r="N3462" s="10">
        <v>455</v>
      </c>
      <c r="O3462" s="10">
        <v>0</v>
      </c>
      <c r="P3462" s="10" t="str">
        <f t="shared" si="3353"/>
        <v>NA</v>
      </c>
      <c r="Q3462" s="10" t="str">
        <f t="shared" si="3354"/>
        <v>NA</v>
      </c>
      <c r="R3462" s="10" t="s">
        <v>1575</v>
      </c>
      <c r="S3462" s="10" t="s">
        <v>1575</v>
      </c>
      <c r="T3462" s="10" t="s">
        <v>1575</v>
      </c>
      <c r="U3462" s="10" t="s">
        <v>1575</v>
      </c>
      <c r="V3462" s="10" t="s">
        <v>1575</v>
      </c>
      <c r="W3462" s="10" t="s">
        <v>1575</v>
      </c>
      <c r="X3462" s="10" t="str">
        <f t="shared" si="3343"/>
        <v>NA</v>
      </c>
      <c r="Y3462" s="10" t="str">
        <f t="shared" si="3344"/>
        <v>NA</v>
      </c>
      <c r="Z3462" s="10" t="str">
        <f t="shared" si="3345"/>
        <v>NA</v>
      </c>
      <c r="AA3462" s="10" t="str">
        <f t="shared" si="3346"/>
        <v>NA</v>
      </c>
      <c r="AB3462" s="10" t="str">
        <f t="shared" si="3347"/>
        <v>NA</v>
      </c>
      <c r="AC3462" s="10" t="str">
        <f t="shared" si="3348"/>
        <v>NA</v>
      </c>
      <c r="AD3462" s="10" t="str">
        <f t="shared" si="3349"/>
        <v>NA</v>
      </c>
      <c r="AE3462" s="10" t="str">
        <f t="shared" si="3350"/>
        <v>NA</v>
      </c>
      <c r="AF3462" s="1" t="s">
        <v>1040</v>
      </c>
    </row>
    <row r="3463" spans="1:32" x14ac:dyDescent="0.2">
      <c r="A3463" s="1" t="s">
        <v>1044</v>
      </c>
      <c r="B3463" s="1" t="s">
        <v>5</v>
      </c>
      <c r="C3463" s="1" t="s">
        <v>1575</v>
      </c>
      <c r="D3463" s="10" t="s">
        <v>1575</v>
      </c>
      <c r="E3463" s="10" t="s">
        <v>1575</v>
      </c>
      <c r="F3463" s="1" t="s">
        <v>740</v>
      </c>
      <c r="G3463" s="4"/>
      <c r="H3463" s="28">
        <v>44196</v>
      </c>
      <c r="I3463" s="29">
        <f t="shared" si="3351"/>
        <v>2020</v>
      </c>
      <c r="J3463" s="1" t="s">
        <v>7</v>
      </c>
      <c r="K3463" s="1" t="s">
        <v>6948</v>
      </c>
      <c r="L3463" s="11" t="str">
        <f t="shared" si="3352"/>
        <v>НЕТ</v>
      </c>
      <c r="M3463" s="10">
        <v>283</v>
      </c>
      <c r="N3463" s="10">
        <v>0</v>
      </c>
      <c r="O3463" s="10">
        <v>21.309000000000001</v>
      </c>
      <c r="P3463" s="10" t="str">
        <f t="shared" si="3353"/>
        <v>NA</v>
      </c>
      <c r="Q3463" s="10" t="str">
        <f t="shared" si="3354"/>
        <v>NA</v>
      </c>
      <c r="R3463" s="10" t="s">
        <v>1575</v>
      </c>
      <c r="S3463" s="10" t="s">
        <v>1575</v>
      </c>
      <c r="T3463" s="10" t="s">
        <v>1575</v>
      </c>
      <c r="U3463" s="10" t="s">
        <v>1575</v>
      </c>
      <c r="V3463" s="10" t="s">
        <v>1575</v>
      </c>
      <c r="W3463" s="10" t="s">
        <v>1575</v>
      </c>
      <c r="X3463" s="10" t="str">
        <f t="shared" si="3343"/>
        <v>NA</v>
      </c>
      <c r="Y3463" s="10" t="str">
        <f t="shared" si="3344"/>
        <v>NA</v>
      </c>
      <c r="Z3463" s="10" t="str">
        <f t="shared" si="3345"/>
        <v>NA</v>
      </c>
      <c r="AA3463" s="10" t="str">
        <f t="shared" si="3346"/>
        <v>NA</v>
      </c>
      <c r="AB3463" s="10" t="str">
        <f t="shared" si="3347"/>
        <v>NA</v>
      </c>
      <c r="AC3463" s="10" t="str">
        <f t="shared" si="3348"/>
        <v>NA</v>
      </c>
      <c r="AD3463" s="10" t="str">
        <f t="shared" si="3349"/>
        <v>NA</v>
      </c>
      <c r="AE3463" s="10" t="str">
        <f t="shared" si="3350"/>
        <v>NA</v>
      </c>
      <c r="AF3463" s="1" t="s">
        <v>1043</v>
      </c>
    </row>
    <row r="3464" spans="1:32" x14ac:dyDescent="0.2">
      <c r="A3464" s="1" t="s">
        <v>6949</v>
      </c>
      <c r="B3464" s="1" t="s">
        <v>91</v>
      </c>
      <c r="C3464" s="1" t="s">
        <v>1575</v>
      </c>
      <c r="D3464" s="10" t="s">
        <v>1575</v>
      </c>
      <c r="E3464" s="10" t="s">
        <v>1575</v>
      </c>
      <c r="F3464" s="1" t="s">
        <v>1051</v>
      </c>
      <c r="G3464" s="4">
        <v>1</v>
      </c>
      <c r="H3464" s="28">
        <v>43251</v>
      </c>
      <c r="I3464" s="29">
        <f t="shared" si="3351"/>
        <v>2018</v>
      </c>
      <c r="J3464" s="1" t="s">
        <v>7</v>
      </c>
      <c r="K3464" s="1" t="s">
        <v>6948</v>
      </c>
      <c r="L3464" s="11" t="str">
        <f t="shared" si="3352"/>
        <v>НЕТ</v>
      </c>
      <c r="M3464" s="10">
        <v>29.396999999999998</v>
      </c>
      <c r="N3464" s="10">
        <v>0</v>
      </c>
      <c r="O3464" s="10">
        <v>0</v>
      </c>
      <c r="P3464" s="10">
        <f t="shared" si="3353"/>
        <v>0</v>
      </c>
      <c r="Q3464" s="10" t="str">
        <f t="shared" si="3354"/>
        <v>NA</v>
      </c>
      <c r="R3464" s="10" t="s">
        <v>1575</v>
      </c>
      <c r="S3464" s="10" t="s">
        <v>1575</v>
      </c>
      <c r="T3464" s="10" t="s">
        <v>1575</v>
      </c>
      <c r="U3464" s="10" t="s">
        <v>1575</v>
      </c>
      <c r="V3464" s="10" t="s">
        <v>1575</v>
      </c>
      <c r="W3464" s="10" t="s">
        <v>1575</v>
      </c>
      <c r="X3464" s="10" t="str">
        <f t="shared" si="3343"/>
        <v>NA</v>
      </c>
      <c r="Y3464" s="10" t="str">
        <f t="shared" si="3344"/>
        <v>NA</v>
      </c>
      <c r="Z3464" s="10" t="str">
        <f t="shared" si="3345"/>
        <v>NA</v>
      </c>
      <c r="AA3464" s="10" t="str">
        <f t="shared" si="3346"/>
        <v>NA</v>
      </c>
      <c r="AB3464" s="10" t="str">
        <f t="shared" si="3347"/>
        <v>NA</v>
      </c>
      <c r="AC3464" s="10" t="str">
        <f t="shared" si="3348"/>
        <v>NA</v>
      </c>
      <c r="AD3464" s="10" t="str">
        <f t="shared" si="3349"/>
        <v>NA</v>
      </c>
      <c r="AE3464" s="10" t="str">
        <f t="shared" si="3350"/>
        <v>NA</v>
      </c>
      <c r="AF3464" s="1" t="s">
        <v>1045</v>
      </c>
    </row>
    <row r="3465" spans="1:32" x14ac:dyDescent="0.2">
      <c r="A3465" s="1" t="s">
        <v>1046</v>
      </c>
      <c r="B3465" s="1" t="s">
        <v>75</v>
      </c>
      <c r="C3465" s="1" t="s">
        <v>1575</v>
      </c>
      <c r="D3465" s="10" t="s">
        <v>1575</v>
      </c>
      <c r="E3465" s="10" t="s">
        <v>1575</v>
      </c>
      <c r="F3465" s="1" t="s">
        <v>572</v>
      </c>
      <c r="G3465" s="4">
        <v>1</v>
      </c>
      <c r="H3465" s="28">
        <v>43190</v>
      </c>
      <c r="I3465" s="29">
        <f t="shared" si="3351"/>
        <v>2018</v>
      </c>
      <c r="J3465" s="1" t="s">
        <v>6948</v>
      </c>
      <c r="K3465" s="1" t="s">
        <v>1048</v>
      </c>
      <c r="L3465" s="11" t="str">
        <f t="shared" si="3352"/>
        <v>НЕТ</v>
      </c>
      <c r="M3465" s="10"/>
      <c r="N3465" s="10">
        <v>0</v>
      </c>
      <c r="O3465" s="10">
        <v>0</v>
      </c>
      <c r="P3465" s="10">
        <f t="shared" si="3353"/>
        <v>0</v>
      </c>
      <c r="Q3465" s="10" t="str">
        <f t="shared" si="3354"/>
        <v>NA</v>
      </c>
      <c r="R3465" s="10" t="s">
        <v>1575</v>
      </c>
      <c r="S3465" s="10" t="s">
        <v>1575</v>
      </c>
      <c r="T3465" s="10" t="s">
        <v>1575</v>
      </c>
      <c r="U3465" s="10" t="s">
        <v>1575</v>
      </c>
      <c r="V3465" s="10" t="s">
        <v>1575</v>
      </c>
      <c r="W3465" s="10" t="s">
        <v>1575</v>
      </c>
      <c r="X3465" s="10" t="str">
        <f t="shared" si="3343"/>
        <v>NA</v>
      </c>
      <c r="Y3465" s="10" t="str">
        <f t="shared" si="3344"/>
        <v>NA</v>
      </c>
      <c r="Z3465" s="10" t="str">
        <f t="shared" si="3345"/>
        <v>NA</v>
      </c>
      <c r="AA3465" s="10" t="str">
        <f t="shared" si="3346"/>
        <v>NA</v>
      </c>
      <c r="AB3465" s="10" t="str">
        <f t="shared" si="3347"/>
        <v>NA</v>
      </c>
      <c r="AC3465" s="10" t="str">
        <f t="shared" si="3348"/>
        <v>NA</v>
      </c>
      <c r="AD3465" s="10" t="str">
        <f t="shared" si="3349"/>
        <v>NA</v>
      </c>
      <c r="AE3465" s="10" t="str">
        <f t="shared" si="3350"/>
        <v>NA</v>
      </c>
      <c r="AF3465" s="1" t="s">
        <v>1047</v>
      </c>
    </row>
    <row r="3466" spans="1:32" x14ac:dyDescent="0.2">
      <c r="A3466" s="1" t="s">
        <v>6950</v>
      </c>
      <c r="B3466" s="1" t="s">
        <v>5</v>
      </c>
      <c r="C3466" s="1" t="s">
        <v>1575</v>
      </c>
      <c r="D3466" s="1" t="s">
        <v>1597</v>
      </c>
      <c r="E3466" s="1" t="s">
        <v>1660</v>
      </c>
      <c r="F3466" s="1" t="s">
        <v>16</v>
      </c>
      <c r="G3466" s="4">
        <v>1</v>
      </c>
      <c r="H3466" s="28">
        <v>43069</v>
      </c>
      <c r="I3466" s="29">
        <f t="shared" si="3351"/>
        <v>2017</v>
      </c>
      <c r="J3466" s="1" t="s">
        <v>7</v>
      </c>
      <c r="K3466" s="1" t="s">
        <v>6948</v>
      </c>
      <c r="L3466" s="11" t="str">
        <f t="shared" si="3352"/>
        <v>НЕТ</v>
      </c>
      <c r="M3466" s="10">
        <v>225.17400000000001</v>
      </c>
      <c r="N3466" s="10">
        <v>0</v>
      </c>
      <c r="O3466" s="10">
        <v>0</v>
      </c>
      <c r="P3466" s="10">
        <f t="shared" si="3353"/>
        <v>0</v>
      </c>
      <c r="Q3466" s="10" t="str">
        <f t="shared" si="3354"/>
        <v>NA</v>
      </c>
      <c r="R3466" s="10" t="s">
        <v>1575</v>
      </c>
      <c r="S3466" s="10" t="s">
        <v>1575</v>
      </c>
      <c r="T3466" s="10" t="s">
        <v>1575</v>
      </c>
      <c r="U3466" s="10" t="s">
        <v>1575</v>
      </c>
      <c r="V3466" s="10" t="s">
        <v>1575</v>
      </c>
      <c r="W3466" s="10" t="s">
        <v>1575</v>
      </c>
      <c r="X3466" s="10" t="str">
        <f t="shared" si="3343"/>
        <v>NA</v>
      </c>
      <c r="Y3466" s="10" t="str">
        <f t="shared" si="3344"/>
        <v>NA</v>
      </c>
      <c r="Z3466" s="10" t="str">
        <f t="shared" si="3345"/>
        <v>NA</v>
      </c>
      <c r="AA3466" s="10" t="str">
        <f t="shared" si="3346"/>
        <v>NA</v>
      </c>
      <c r="AB3466" s="10" t="str">
        <f t="shared" si="3347"/>
        <v>NA</v>
      </c>
      <c r="AC3466" s="10" t="str">
        <f t="shared" si="3348"/>
        <v>NA</v>
      </c>
      <c r="AD3466" s="10" t="str">
        <f t="shared" si="3349"/>
        <v>NA</v>
      </c>
      <c r="AE3466" s="10" t="str">
        <f t="shared" si="3350"/>
        <v>NA</v>
      </c>
      <c r="AF3466" s="1" t="s">
        <v>1049</v>
      </c>
    </row>
    <row r="3467" spans="1:32" x14ac:dyDescent="0.2">
      <c r="A3467" s="1" t="s">
        <v>6951</v>
      </c>
      <c r="B3467" s="1" t="s">
        <v>111</v>
      </c>
      <c r="C3467" s="1" t="s">
        <v>1575</v>
      </c>
      <c r="D3467" s="10" t="s">
        <v>1575</v>
      </c>
      <c r="E3467" s="10" t="s">
        <v>1575</v>
      </c>
      <c r="F3467" s="1" t="s">
        <v>1051</v>
      </c>
      <c r="G3467" s="4">
        <v>1</v>
      </c>
      <c r="H3467" s="28">
        <v>42794</v>
      </c>
      <c r="I3467" s="29">
        <f t="shared" si="3351"/>
        <v>2017</v>
      </c>
      <c r="J3467" s="1" t="s">
        <v>6948</v>
      </c>
      <c r="K3467" s="1" t="s">
        <v>7</v>
      </c>
      <c r="L3467" s="11" t="str">
        <f t="shared" si="3352"/>
        <v>НЕТ</v>
      </c>
      <c r="M3467" s="10">
        <v>0.32</v>
      </c>
      <c r="N3467" s="10">
        <v>0</v>
      </c>
      <c r="O3467" s="10">
        <v>0</v>
      </c>
      <c r="P3467" s="10">
        <f t="shared" si="3353"/>
        <v>0</v>
      </c>
      <c r="Q3467" s="10" t="str">
        <f t="shared" si="3354"/>
        <v>NA</v>
      </c>
      <c r="R3467" s="10" t="s">
        <v>1575</v>
      </c>
      <c r="S3467" s="10" t="s">
        <v>1575</v>
      </c>
      <c r="T3467" s="10" t="s">
        <v>1575</v>
      </c>
      <c r="U3467" s="10" t="s">
        <v>1575</v>
      </c>
      <c r="V3467" s="10" t="s">
        <v>1575</v>
      </c>
      <c r="W3467" s="10" t="s">
        <v>1575</v>
      </c>
      <c r="X3467" s="10" t="str">
        <f t="shared" si="3343"/>
        <v>NA</v>
      </c>
      <c r="Y3467" s="10" t="str">
        <f t="shared" si="3344"/>
        <v>NA</v>
      </c>
      <c r="Z3467" s="10" t="str">
        <f t="shared" si="3345"/>
        <v>NA</v>
      </c>
      <c r="AA3467" s="10" t="str">
        <f t="shared" si="3346"/>
        <v>NA</v>
      </c>
      <c r="AB3467" s="10" t="str">
        <f t="shared" si="3347"/>
        <v>NA</v>
      </c>
      <c r="AC3467" s="10" t="str">
        <f t="shared" si="3348"/>
        <v>NA</v>
      </c>
      <c r="AD3467" s="10" t="str">
        <f t="shared" si="3349"/>
        <v>NA</v>
      </c>
      <c r="AE3467" s="10" t="str">
        <f t="shared" si="3350"/>
        <v>NA</v>
      </c>
      <c r="AF3467" s="1" t="s">
        <v>1050</v>
      </c>
    </row>
    <row r="3468" spans="1:32" x14ac:dyDescent="0.2">
      <c r="A3468" s="1" t="s">
        <v>6952</v>
      </c>
      <c r="B3468" s="1" t="s">
        <v>1053</v>
      </c>
      <c r="C3468" s="1" t="s">
        <v>1575</v>
      </c>
      <c r="D3468" s="10" t="s">
        <v>1575</v>
      </c>
      <c r="E3468" s="10" t="s">
        <v>1575</v>
      </c>
      <c r="F3468" s="1" t="s">
        <v>1051</v>
      </c>
      <c r="G3468" s="4">
        <v>1</v>
      </c>
      <c r="H3468" s="28">
        <v>42923</v>
      </c>
      <c r="I3468" s="29">
        <f t="shared" si="3351"/>
        <v>2017</v>
      </c>
      <c r="J3468" s="1" t="s">
        <v>6948</v>
      </c>
      <c r="K3468" s="1" t="s">
        <v>7</v>
      </c>
      <c r="L3468" s="11" t="str">
        <f t="shared" si="3352"/>
        <v>НЕТ</v>
      </c>
      <c r="M3468" s="10">
        <v>6.7320000000000002</v>
      </c>
      <c r="N3468" s="10">
        <v>0</v>
      </c>
      <c r="O3468" s="10">
        <v>0</v>
      </c>
      <c r="P3468" s="10">
        <f t="shared" si="3353"/>
        <v>0</v>
      </c>
      <c r="Q3468" s="10" t="str">
        <f t="shared" si="3354"/>
        <v>NA</v>
      </c>
      <c r="R3468" s="10" t="s">
        <v>1575</v>
      </c>
      <c r="S3468" s="10" t="s">
        <v>1575</v>
      </c>
      <c r="T3468" s="10" t="s">
        <v>1575</v>
      </c>
      <c r="U3468" s="10" t="s">
        <v>1575</v>
      </c>
      <c r="V3468" s="10" t="s">
        <v>1575</v>
      </c>
      <c r="W3468" s="10" t="s">
        <v>1575</v>
      </c>
      <c r="X3468" s="10" t="str">
        <f t="shared" si="3343"/>
        <v>NA</v>
      </c>
      <c r="Y3468" s="10" t="str">
        <f t="shared" si="3344"/>
        <v>NA</v>
      </c>
      <c r="Z3468" s="10" t="str">
        <f t="shared" si="3345"/>
        <v>NA</v>
      </c>
      <c r="AA3468" s="10" t="str">
        <f t="shared" si="3346"/>
        <v>NA</v>
      </c>
      <c r="AB3468" s="10" t="str">
        <f t="shared" si="3347"/>
        <v>NA</v>
      </c>
      <c r="AC3468" s="10" t="str">
        <f t="shared" si="3348"/>
        <v>NA</v>
      </c>
      <c r="AD3468" s="10" t="str">
        <f t="shared" si="3349"/>
        <v>NA</v>
      </c>
      <c r="AE3468" s="10" t="str">
        <f t="shared" si="3350"/>
        <v>NA</v>
      </c>
      <c r="AF3468" s="1" t="s">
        <v>1052</v>
      </c>
    </row>
    <row r="3469" spans="1:32" x14ac:dyDescent="0.2">
      <c r="A3469" s="1" t="s">
        <v>6953</v>
      </c>
      <c r="B3469" s="1" t="s">
        <v>1059</v>
      </c>
      <c r="C3469" s="1" t="s">
        <v>1575</v>
      </c>
      <c r="D3469" s="10" t="s">
        <v>1575</v>
      </c>
      <c r="E3469" s="10" t="s">
        <v>1575</v>
      </c>
      <c r="F3469" s="1" t="s">
        <v>1058</v>
      </c>
      <c r="G3469" s="6" t="s">
        <v>1057</v>
      </c>
      <c r="H3469" s="28">
        <v>42916</v>
      </c>
      <c r="I3469" s="29">
        <f t="shared" si="3351"/>
        <v>2017</v>
      </c>
      <c r="J3469" s="1" t="s">
        <v>6948</v>
      </c>
      <c r="K3469" s="1" t="s">
        <v>7</v>
      </c>
      <c r="L3469" s="11" t="str">
        <f t="shared" si="3352"/>
        <v>НЕТ</v>
      </c>
      <c r="M3469" s="10"/>
      <c r="N3469" s="10">
        <v>0</v>
      </c>
      <c r="O3469" s="10">
        <v>0</v>
      </c>
      <c r="P3469" s="10" t="str">
        <f t="shared" si="3353"/>
        <v>NA</v>
      </c>
      <c r="Q3469" s="10" t="str">
        <f t="shared" si="3354"/>
        <v>NA</v>
      </c>
      <c r="R3469" s="10" t="s">
        <v>1575</v>
      </c>
      <c r="S3469" s="10" t="s">
        <v>1575</v>
      </c>
      <c r="T3469" s="10" t="s">
        <v>1575</v>
      </c>
      <c r="U3469" s="10" t="s">
        <v>1575</v>
      </c>
      <c r="V3469" s="10" t="s">
        <v>1575</v>
      </c>
      <c r="W3469" s="10" t="s">
        <v>1575</v>
      </c>
      <c r="X3469" s="10" t="str">
        <f t="shared" si="3343"/>
        <v>NA</v>
      </c>
      <c r="Y3469" s="10" t="str">
        <f t="shared" si="3344"/>
        <v>NA</v>
      </c>
      <c r="Z3469" s="10" t="str">
        <f t="shared" si="3345"/>
        <v>NA</v>
      </c>
      <c r="AA3469" s="10" t="str">
        <f t="shared" si="3346"/>
        <v>NA</v>
      </c>
      <c r="AB3469" s="10" t="str">
        <f t="shared" si="3347"/>
        <v>NA</v>
      </c>
      <c r="AC3469" s="10" t="str">
        <f t="shared" si="3348"/>
        <v>NA</v>
      </c>
      <c r="AD3469" s="10" t="str">
        <f t="shared" si="3349"/>
        <v>NA</v>
      </c>
      <c r="AE3469" s="10" t="str">
        <f t="shared" si="3350"/>
        <v>NA</v>
      </c>
      <c r="AF3469" s="1" t="s">
        <v>1054</v>
      </c>
    </row>
    <row r="3470" spans="1:32" x14ac:dyDescent="0.2">
      <c r="A3470" s="1" t="s">
        <v>6954</v>
      </c>
      <c r="B3470" s="1" t="s">
        <v>5</v>
      </c>
      <c r="C3470" s="1" t="s">
        <v>1575</v>
      </c>
      <c r="D3470" s="10" t="s">
        <v>1575</v>
      </c>
      <c r="E3470" s="10" t="s">
        <v>1575</v>
      </c>
      <c r="F3470" s="1" t="s">
        <v>566</v>
      </c>
      <c r="G3470" s="4">
        <v>0.1</v>
      </c>
      <c r="H3470" s="28">
        <v>42855</v>
      </c>
      <c r="I3470" s="29">
        <f t="shared" si="3351"/>
        <v>2017</v>
      </c>
      <c r="J3470" s="1" t="s">
        <v>6948</v>
      </c>
      <c r="K3470" s="1" t="s">
        <v>7</v>
      </c>
      <c r="L3470" s="11" t="str">
        <f t="shared" si="3352"/>
        <v>НЕТ</v>
      </c>
      <c r="M3470" s="10"/>
      <c r="N3470" s="10">
        <v>0</v>
      </c>
      <c r="O3470" s="10">
        <v>0</v>
      </c>
      <c r="P3470" s="10">
        <f t="shared" si="3353"/>
        <v>0</v>
      </c>
      <c r="Q3470" s="10" t="str">
        <f t="shared" si="3354"/>
        <v>NA</v>
      </c>
      <c r="R3470" s="10" t="s">
        <v>1575</v>
      </c>
      <c r="S3470" s="10" t="s">
        <v>1575</v>
      </c>
      <c r="T3470" s="10" t="s">
        <v>1575</v>
      </c>
      <c r="U3470" s="10" t="s">
        <v>1575</v>
      </c>
      <c r="V3470" s="10" t="s">
        <v>1575</v>
      </c>
      <c r="W3470" s="10" t="s">
        <v>1575</v>
      </c>
      <c r="X3470" s="10" t="str">
        <f t="shared" si="3343"/>
        <v>NA</v>
      </c>
      <c r="Y3470" s="10" t="str">
        <f t="shared" si="3344"/>
        <v>NA</v>
      </c>
      <c r="Z3470" s="10" t="str">
        <f t="shared" si="3345"/>
        <v>NA</v>
      </c>
      <c r="AA3470" s="10" t="str">
        <f t="shared" si="3346"/>
        <v>NA</v>
      </c>
      <c r="AB3470" s="10" t="str">
        <f t="shared" si="3347"/>
        <v>NA</v>
      </c>
      <c r="AC3470" s="10" t="str">
        <f t="shared" si="3348"/>
        <v>NA</v>
      </c>
      <c r="AD3470" s="10" t="str">
        <f t="shared" si="3349"/>
        <v>NA</v>
      </c>
      <c r="AE3470" s="10" t="str">
        <f t="shared" si="3350"/>
        <v>NA</v>
      </c>
      <c r="AF3470" s="1" t="s">
        <v>1055</v>
      </c>
    </row>
    <row r="3471" spans="1:32" x14ac:dyDescent="0.2">
      <c r="A3471" s="1" t="s">
        <v>6955</v>
      </c>
      <c r="B3471" s="1" t="s">
        <v>5</v>
      </c>
      <c r="C3471" s="1" t="s">
        <v>1575</v>
      </c>
      <c r="D3471" s="10" t="s">
        <v>1575</v>
      </c>
      <c r="E3471" s="10" t="s">
        <v>1575</v>
      </c>
      <c r="F3471" s="1" t="s">
        <v>1060</v>
      </c>
      <c r="G3471" s="4">
        <v>0.24890000000000001</v>
      </c>
      <c r="H3471" s="28">
        <v>43100</v>
      </c>
      <c r="I3471" s="29">
        <f t="shared" si="3351"/>
        <v>2017</v>
      </c>
      <c r="J3471" s="1" t="s">
        <v>6948</v>
      </c>
      <c r="K3471" s="1" t="s">
        <v>7</v>
      </c>
      <c r="L3471" s="11" t="str">
        <f t="shared" si="3352"/>
        <v>НЕТ</v>
      </c>
      <c r="M3471" s="10"/>
      <c r="N3471" s="10">
        <v>0</v>
      </c>
      <c r="O3471" s="10">
        <v>0</v>
      </c>
      <c r="P3471" s="10">
        <f t="shared" si="3353"/>
        <v>0</v>
      </c>
      <c r="Q3471" s="10" t="str">
        <f t="shared" si="3354"/>
        <v>NA</v>
      </c>
      <c r="R3471" s="10" t="s">
        <v>1575</v>
      </c>
      <c r="S3471" s="10" t="s">
        <v>1575</v>
      </c>
      <c r="T3471" s="10" t="s">
        <v>1575</v>
      </c>
      <c r="U3471" s="10" t="s">
        <v>1575</v>
      </c>
      <c r="V3471" s="10" t="s">
        <v>1575</v>
      </c>
      <c r="W3471" s="10" t="s">
        <v>1575</v>
      </c>
      <c r="X3471" s="10" t="str">
        <f t="shared" si="3343"/>
        <v>NA</v>
      </c>
      <c r="Y3471" s="10" t="str">
        <f t="shared" si="3344"/>
        <v>NA</v>
      </c>
      <c r="Z3471" s="10" t="str">
        <f t="shared" si="3345"/>
        <v>NA</v>
      </c>
      <c r="AA3471" s="10" t="str">
        <f t="shared" si="3346"/>
        <v>NA</v>
      </c>
      <c r="AB3471" s="10" t="str">
        <f t="shared" si="3347"/>
        <v>NA</v>
      </c>
      <c r="AC3471" s="10" t="str">
        <f t="shared" si="3348"/>
        <v>NA</v>
      </c>
      <c r="AD3471" s="10" t="str">
        <f t="shared" si="3349"/>
        <v>NA</v>
      </c>
      <c r="AE3471" s="10" t="str">
        <f t="shared" si="3350"/>
        <v>NA</v>
      </c>
      <c r="AF3471" s="1" t="s">
        <v>1056</v>
      </c>
    </row>
    <row r="3472" spans="1:32" x14ac:dyDescent="0.2">
      <c r="A3472" s="1" t="s">
        <v>6956</v>
      </c>
      <c r="B3472" s="1" t="s">
        <v>5</v>
      </c>
      <c r="C3472" s="1" t="s">
        <v>1575</v>
      </c>
      <c r="D3472" s="10" t="s">
        <v>1575</v>
      </c>
      <c r="E3472" s="10" t="s">
        <v>1575</v>
      </c>
      <c r="F3472" s="1" t="s">
        <v>1061</v>
      </c>
      <c r="G3472" s="4">
        <v>1</v>
      </c>
      <c r="H3472" s="28">
        <v>42490</v>
      </c>
      <c r="I3472" s="29">
        <f t="shared" si="3351"/>
        <v>2016</v>
      </c>
      <c r="J3472" s="1" t="s">
        <v>6948</v>
      </c>
      <c r="K3472" s="1" t="s">
        <v>7</v>
      </c>
      <c r="L3472" s="11" t="str">
        <f t="shared" si="3352"/>
        <v>НЕТ</v>
      </c>
      <c r="M3472" s="10">
        <v>11.343999999999999</v>
      </c>
      <c r="N3472" s="10">
        <v>0</v>
      </c>
      <c r="O3472" s="10">
        <v>0</v>
      </c>
      <c r="P3472" s="10">
        <f t="shared" si="3353"/>
        <v>0</v>
      </c>
      <c r="Q3472" s="10" t="str">
        <f t="shared" si="3354"/>
        <v>NA</v>
      </c>
      <c r="R3472" s="10" t="s">
        <v>1575</v>
      </c>
      <c r="S3472" s="10" t="s">
        <v>1575</v>
      </c>
      <c r="T3472" s="10" t="s">
        <v>1575</v>
      </c>
      <c r="U3472" s="10" t="s">
        <v>1575</v>
      </c>
      <c r="V3472" s="10" t="s">
        <v>1575</v>
      </c>
      <c r="W3472" s="10" t="s">
        <v>1575</v>
      </c>
      <c r="X3472" s="10" t="str">
        <f t="shared" si="3343"/>
        <v>NA</v>
      </c>
      <c r="Y3472" s="10" t="str">
        <f t="shared" si="3344"/>
        <v>NA</v>
      </c>
      <c r="Z3472" s="10" t="str">
        <f t="shared" si="3345"/>
        <v>NA</v>
      </c>
      <c r="AA3472" s="10" t="str">
        <f t="shared" si="3346"/>
        <v>NA</v>
      </c>
      <c r="AB3472" s="10" t="str">
        <f t="shared" si="3347"/>
        <v>NA</v>
      </c>
      <c r="AC3472" s="10" t="str">
        <f t="shared" si="3348"/>
        <v>NA</v>
      </c>
      <c r="AD3472" s="10" t="str">
        <f t="shared" si="3349"/>
        <v>NA</v>
      </c>
      <c r="AE3472" s="10" t="str">
        <f t="shared" si="3350"/>
        <v>NA</v>
      </c>
      <c r="AF3472" s="1" t="s">
        <v>1062</v>
      </c>
    </row>
    <row r="3473" spans="1:32" x14ac:dyDescent="0.2">
      <c r="A3473" s="1" t="s">
        <v>6957</v>
      </c>
      <c r="B3473" s="1" t="s">
        <v>78</v>
      </c>
      <c r="C3473" s="1" t="s">
        <v>1575</v>
      </c>
      <c r="D3473" s="10" t="s">
        <v>1575</v>
      </c>
      <c r="E3473" s="10" t="s">
        <v>1575</v>
      </c>
      <c r="F3473" s="1" t="s">
        <v>1051</v>
      </c>
      <c r="G3473" s="6" t="s">
        <v>1063</v>
      </c>
      <c r="H3473" s="28">
        <v>42643</v>
      </c>
      <c r="I3473" s="29">
        <f t="shared" si="3351"/>
        <v>2016</v>
      </c>
      <c r="J3473" s="1" t="s">
        <v>6948</v>
      </c>
      <c r="K3473" s="1" t="s">
        <v>7</v>
      </c>
      <c r="L3473" s="11" t="str">
        <f t="shared" si="3352"/>
        <v>НЕТ</v>
      </c>
      <c r="M3473" s="10">
        <v>93.194999999999993</v>
      </c>
      <c r="N3473" s="10">
        <v>0</v>
      </c>
      <c r="O3473" s="10">
        <v>0</v>
      </c>
      <c r="P3473" s="10" t="str">
        <f t="shared" si="3353"/>
        <v>NA</v>
      </c>
      <c r="Q3473" s="10" t="str">
        <f t="shared" si="3354"/>
        <v>NA</v>
      </c>
      <c r="R3473" s="10" t="s">
        <v>1575</v>
      </c>
      <c r="S3473" s="10" t="s">
        <v>1575</v>
      </c>
      <c r="T3473" s="10" t="s">
        <v>1575</v>
      </c>
      <c r="U3473" s="10" t="s">
        <v>1575</v>
      </c>
      <c r="V3473" s="10" t="s">
        <v>1575</v>
      </c>
      <c r="W3473" s="10" t="s">
        <v>1575</v>
      </c>
      <c r="X3473" s="10" t="str">
        <f t="shared" si="3343"/>
        <v>NA</v>
      </c>
      <c r="Y3473" s="10" t="str">
        <f t="shared" si="3344"/>
        <v>NA</v>
      </c>
      <c r="Z3473" s="10" t="str">
        <f t="shared" si="3345"/>
        <v>NA</v>
      </c>
      <c r="AA3473" s="10" t="str">
        <f t="shared" si="3346"/>
        <v>NA</v>
      </c>
      <c r="AB3473" s="10" t="str">
        <f t="shared" si="3347"/>
        <v>NA</v>
      </c>
      <c r="AC3473" s="10" t="str">
        <f t="shared" si="3348"/>
        <v>NA</v>
      </c>
      <c r="AD3473" s="10" t="str">
        <f t="shared" si="3349"/>
        <v>NA</v>
      </c>
      <c r="AE3473" s="10" t="str">
        <f t="shared" si="3350"/>
        <v>NA</v>
      </c>
      <c r="AF3473" s="1" t="s">
        <v>1064</v>
      </c>
    </row>
    <row r="3474" spans="1:32" x14ac:dyDescent="0.2">
      <c r="A3474" s="1" t="s">
        <v>6958</v>
      </c>
      <c r="B3474" s="1" t="s">
        <v>5</v>
      </c>
      <c r="C3474" s="1" t="s">
        <v>5356</v>
      </c>
      <c r="D3474" s="1" t="s">
        <v>1615</v>
      </c>
      <c r="E3474" s="1" t="s">
        <v>1616</v>
      </c>
      <c r="F3474" s="1" t="s">
        <v>740</v>
      </c>
      <c r="G3474" s="4">
        <f>G3561</f>
        <v>0.36200000000000004</v>
      </c>
      <c r="H3474" s="28">
        <v>42735</v>
      </c>
      <c r="I3474" s="29">
        <f t="shared" si="3351"/>
        <v>2016</v>
      </c>
      <c r="J3474" s="1" t="s">
        <v>1272</v>
      </c>
      <c r="K3474" s="1" t="s">
        <v>6948</v>
      </c>
      <c r="L3474" s="11" t="str">
        <f t="shared" si="3352"/>
        <v>НЕТ</v>
      </c>
      <c r="M3474" s="10">
        <f>M3561</f>
        <v>144</v>
      </c>
      <c r="N3474" s="10">
        <v>0</v>
      </c>
      <c r="O3474" s="10">
        <v>0</v>
      </c>
      <c r="P3474" s="10">
        <f t="shared" si="3353"/>
        <v>0</v>
      </c>
      <c r="Q3474" s="10" t="str">
        <f t="shared" si="3354"/>
        <v>NA</v>
      </c>
      <c r="R3474" s="10" t="s">
        <v>1575</v>
      </c>
      <c r="S3474" s="10" t="s">
        <v>1575</v>
      </c>
      <c r="T3474" s="10" t="s">
        <v>1575</v>
      </c>
      <c r="U3474" s="10" t="s">
        <v>1575</v>
      </c>
      <c r="V3474" s="10" t="s">
        <v>1575</v>
      </c>
      <c r="W3474" s="10" t="s">
        <v>1575</v>
      </c>
      <c r="X3474" s="10" t="str">
        <f t="shared" si="3343"/>
        <v>NA</v>
      </c>
      <c r="Y3474" s="10" t="str">
        <f t="shared" si="3344"/>
        <v>NA</v>
      </c>
      <c r="Z3474" s="10" t="str">
        <f t="shared" si="3345"/>
        <v>NA</v>
      </c>
      <c r="AA3474" s="10" t="str">
        <f t="shared" si="3346"/>
        <v>NA</v>
      </c>
      <c r="AB3474" s="10" t="str">
        <f t="shared" si="3347"/>
        <v>NA</v>
      </c>
      <c r="AC3474" s="10" t="str">
        <f t="shared" si="3348"/>
        <v>NA</v>
      </c>
      <c r="AD3474" s="10" t="str">
        <f t="shared" si="3349"/>
        <v>NA</v>
      </c>
      <c r="AE3474" s="10" t="str">
        <f t="shared" si="3350"/>
        <v>NA</v>
      </c>
      <c r="AF3474" s="1" t="s">
        <v>1066</v>
      </c>
    </row>
    <row r="3475" spans="1:32" x14ac:dyDescent="0.2">
      <c r="A3475" s="1" t="s">
        <v>6959</v>
      </c>
      <c r="C3475" s="1" t="s">
        <v>1575</v>
      </c>
      <c r="D3475" s="10" t="s">
        <v>1575</v>
      </c>
      <c r="E3475" s="10" t="s">
        <v>1575</v>
      </c>
      <c r="F3475" s="10" t="s">
        <v>1575</v>
      </c>
      <c r="G3475" s="4">
        <v>0.1452</v>
      </c>
      <c r="H3475" s="28">
        <v>42400</v>
      </c>
      <c r="I3475" s="29">
        <f t="shared" si="3351"/>
        <v>2016</v>
      </c>
      <c r="J3475" s="1" t="s">
        <v>6948</v>
      </c>
      <c r="K3475" s="1" t="s">
        <v>7</v>
      </c>
      <c r="L3475" s="11" t="str">
        <f t="shared" si="3352"/>
        <v>НЕТ</v>
      </c>
      <c r="M3475" s="10">
        <v>8.625</v>
      </c>
      <c r="N3475" s="10">
        <v>0</v>
      </c>
      <c r="O3475" s="10">
        <v>0</v>
      </c>
      <c r="P3475" s="10">
        <f t="shared" si="3353"/>
        <v>0</v>
      </c>
      <c r="Q3475" s="10" t="str">
        <f t="shared" si="3354"/>
        <v>NA</v>
      </c>
      <c r="R3475" s="10" t="s">
        <v>1575</v>
      </c>
      <c r="S3475" s="10" t="s">
        <v>1575</v>
      </c>
      <c r="T3475" s="10" t="s">
        <v>1575</v>
      </c>
      <c r="U3475" s="10" t="s">
        <v>1575</v>
      </c>
      <c r="V3475" s="10" t="s">
        <v>1575</v>
      </c>
      <c r="W3475" s="10" t="s">
        <v>1575</v>
      </c>
      <c r="X3475" s="10" t="str">
        <f t="shared" si="3343"/>
        <v>NA</v>
      </c>
      <c r="Y3475" s="10" t="str">
        <f t="shared" si="3344"/>
        <v>NA</v>
      </c>
      <c r="Z3475" s="10" t="str">
        <f t="shared" si="3345"/>
        <v>NA</v>
      </c>
      <c r="AA3475" s="10" t="str">
        <f t="shared" si="3346"/>
        <v>NA</v>
      </c>
      <c r="AB3475" s="10" t="str">
        <f t="shared" si="3347"/>
        <v>NA</v>
      </c>
      <c r="AC3475" s="10" t="str">
        <f t="shared" si="3348"/>
        <v>NA</v>
      </c>
      <c r="AD3475" s="10" t="str">
        <f t="shared" si="3349"/>
        <v>NA</v>
      </c>
      <c r="AE3475" s="10" t="str">
        <f t="shared" si="3350"/>
        <v>NA</v>
      </c>
      <c r="AF3475" s="1" t="s">
        <v>1065</v>
      </c>
    </row>
    <row r="3476" spans="1:32" x14ac:dyDescent="0.2">
      <c r="A3476" s="1" t="s">
        <v>1035</v>
      </c>
      <c r="C3476" s="1" t="s">
        <v>1575</v>
      </c>
      <c r="D3476" s="10" t="s">
        <v>1575</v>
      </c>
      <c r="E3476" s="10" t="s">
        <v>1575</v>
      </c>
      <c r="F3476" s="10" t="s">
        <v>1575</v>
      </c>
      <c r="G3476" s="10" t="s">
        <v>1575</v>
      </c>
      <c r="H3476" s="28">
        <v>42735</v>
      </c>
      <c r="I3476" s="29">
        <f t="shared" si="3351"/>
        <v>2016</v>
      </c>
      <c r="J3476" s="1" t="s">
        <v>6948</v>
      </c>
      <c r="K3476" s="1" t="s">
        <v>7</v>
      </c>
      <c r="L3476" s="11" t="str">
        <f t="shared" si="3352"/>
        <v>НЕТ</v>
      </c>
      <c r="M3476" s="10">
        <v>20.516999999999999</v>
      </c>
      <c r="N3476" s="10">
        <v>0</v>
      </c>
      <c r="O3476" s="10">
        <v>0</v>
      </c>
      <c r="P3476" s="10" t="str">
        <f t="shared" si="3353"/>
        <v>NA</v>
      </c>
      <c r="Q3476" s="10" t="str">
        <f t="shared" si="3354"/>
        <v>NA</v>
      </c>
      <c r="R3476" s="10" t="s">
        <v>1575</v>
      </c>
      <c r="S3476" s="10" t="s">
        <v>1575</v>
      </c>
      <c r="T3476" s="10" t="s">
        <v>1575</v>
      </c>
      <c r="U3476" s="10" t="s">
        <v>1575</v>
      </c>
      <c r="V3476" s="10" t="s">
        <v>1575</v>
      </c>
      <c r="W3476" s="10" t="s">
        <v>1575</v>
      </c>
      <c r="X3476" s="10" t="str">
        <f t="shared" si="3343"/>
        <v>NA</v>
      </c>
      <c r="Y3476" s="10" t="str">
        <f t="shared" si="3344"/>
        <v>NA</v>
      </c>
      <c r="Z3476" s="10" t="str">
        <f t="shared" si="3345"/>
        <v>NA</v>
      </c>
      <c r="AA3476" s="10" t="str">
        <f t="shared" si="3346"/>
        <v>NA</v>
      </c>
      <c r="AB3476" s="10" t="str">
        <f t="shared" si="3347"/>
        <v>NA</v>
      </c>
      <c r="AC3476" s="10" t="str">
        <f t="shared" si="3348"/>
        <v>NA</v>
      </c>
      <c r="AD3476" s="10" t="str">
        <f t="shared" si="3349"/>
        <v>NA</v>
      </c>
      <c r="AE3476" s="10" t="str">
        <f t="shared" si="3350"/>
        <v>NA</v>
      </c>
    </row>
    <row r="3477" spans="1:32" x14ac:dyDescent="0.2">
      <c r="A3477" s="1" t="s">
        <v>6960</v>
      </c>
      <c r="C3477" s="1" t="s">
        <v>1575</v>
      </c>
      <c r="D3477" s="10" t="s">
        <v>1575</v>
      </c>
      <c r="E3477" s="10" t="s">
        <v>1575</v>
      </c>
      <c r="F3477" s="10" t="s">
        <v>1575</v>
      </c>
      <c r="G3477" s="10" t="s">
        <v>1575</v>
      </c>
      <c r="H3477" s="28">
        <v>42735</v>
      </c>
      <c r="I3477" s="29">
        <f t="shared" si="3351"/>
        <v>2016</v>
      </c>
      <c r="J3477" s="1" t="s">
        <v>6948</v>
      </c>
      <c r="K3477" s="1" t="s">
        <v>7</v>
      </c>
      <c r="L3477" s="11" t="str">
        <f t="shared" si="3352"/>
        <v>НЕТ</v>
      </c>
      <c r="M3477" s="10">
        <v>7.3579999999999997</v>
      </c>
      <c r="N3477" s="10">
        <v>0</v>
      </c>
      <c r="O3477" s="10">
        <v>0</v>
      </c>
      <c r="P3477" s="10" t="str">
        <f t="shared" si="3353"/>
        <v>NA</v>
      </c>
      <c r="Q3477" s="10" t="str">
        <f t="shared" si="3354"/>
        <v>NA</v>
      </c>
      <c r="R3477" s="10" t="s">
        <v>1575</v>
      </c>
      <c r="S3477" s="10" t="s">
        <v>1575</v>
      </c>
      <c r="T3477" s="10" t="s">
        <v>1575</v>
      </c>
      <c r="U3477" s="10" t="s">
        <v>1575</v>
      </c>
      <c r="V3477" s="10" t="s">
        <v>1575</v>
      </c>
      <c r="W3477" s="10" t="s">
        <v>1575</v>
      </c>
      <c r="X3477" s="10" t="str">
        <f t="shared" si="3343"/>
        <v>NA</v>
      </c>
      <c r="Y3477" s="10" t="str">
        <f t="shared" si="3344"/>
        <v>NA</v>
      </c>
      <c r="Z3477" s="10" t="str">
        <f t="shared" si="3345"/>
        <v>NA</v>
      </c>
      <c r="AA3477" s="10" t="str">
        <f t="shared" si="3346"/>
        <v>NA</v>
      </c>
      <c r="AB3477" s="10" t="str">
        <f t="shared" si="3347"/>
        <v>NA</v>
      </c>
      <c r="AC3477" s="10" t="str">
        <f t="shared" si="3348"/>
        <v>NA</v>
      </c>
      <c r="AD3477" s="10" t="str">
        <f t="shared" si="3349"/>
        <v>NA</v>
      </c>
      <c r="AE3477" s="10" t="str">
        <f t="shared" si="3350"/>
        <v>NA</v>
      </c>
    </row>
    <row r="3478" spans="1:32" x14ac:dyDescent="0.2">
      <c r="A3478" s="1" t="s">
        <v>6961</v>
      </c>
      <c r="C3478" s="1" t="s">
        <v>1575</v>
      </c>
      <c r="D3478" s="10" t="s">
        <v>1575</v>
      </c>
      <c r="E3478" s="10" t="s">
        <v>1575</v>
      </c>
      <c r="F3478" s="10" t="s">
        <v>1575</v>
      </c>
      <c r="G3478" s="10" t="s">
        <v>1575</v>
      </c>
      <c r="H3478" s="28">
        <v>42369</v>
      </c>
      <c r="I3478" s="29">
        <f t="shared" si="3351"/>
        <v>2015</v>
      </c>
      <c r="J3478" s="1" t="s">
        <v>6948</v>
      </c>
      <c r="K3478" s="1" t="s">
        <v>7</v>
      </c>
      <c r="L3478" s="11" t="str">
        <f t="shared" si="3352"/>
        <v>НЕТ</v>
      </c>
      <c r="M3478" s="10">
        <v>18.28</v>
      </c>
      <c r="N3478" s="10">
        <v>0</v>
      </c>
      <c r="O3478" s="10">
        <v>0</v>
      </c>
      <c r="P3478" s="10" t="str">
        <f t="shared" si="3353"/>
        <v>NA</v>
      </c>
      <c r="Q3478" s="10" t="str">
        <f t="shared" si="3354"/>
        <v>NA</v>
      </c>
      <c r="R3478" s="10" t="s">
        <v>1575</v>
      </c>
      <c r="S3478" s="10" t="s">
        <v>1575</v>
      </c>
      <c r="T3478" s="10" t="s">
        <v>1575</v>
      </c>
      <c r="U3478" s="10" t="s">
        <v>1575</v>
      </c>
      <c r="V3478" s="10" t="s">
        <v>1575</v>
      </c>
      <c r="W3478" s="10" t="s">
        <v>1575</v>
      </c>
      <c r="X3478" s="10" t="str">
        <f t="shared" si="3343"/>
        <v>NA</v>
      </c>
      <c r="Y3478" s="10" t="str">
        <f t="shared" si="3344"/>
        <v>NA</v>
      </c>
      <c r="Z3478" s="10" t="str">
        <f t="shared" si="3345"/>
        <v>NA</v>
      </c>
      <c r="AA3478" s="10" t="str">
        <f t="shared" si="3346"/>
        <v>NA</v>
      </c>
      <c r="AB3478" s="10" t="str">
        <f t="shared" si="3347"/>
        <v>NA</v>
      </c>
      <c r="AC3478" s="10" t="str">
        <f t="shared" si="3348"/>
        <v>NA</v>
      </c>
      <c r="AD3478" s="10" t="str">
        <f t="shared" si="3349"/>
        <v>NA</v>
      </c>
      <c r="AE3478" s="10" t="str">
        <f t="shared" si="3350"/>
        <v>NA</v>
      </c>
    </row>
    <row r="3479" spans="1:32" x14ac:dyDescent="0.2">
      <c r="A3479" s="1" t="s">
        <v>6960</v>
      </c>
      <c r="C3479" s="1" t="s">
        <v>1575</v>
      </c>
      <c r="D3479" s="10" t="s">
        <v>1575</v>
      </c>
      <c r="E3479" s="10" t="s">
        <v>1575</v>
      </c>
      <c r="F3479" s="10" t="s">
        <v>1575</v>
      </c>
      <c r="G3479" s="10" t="s">
        <v>1575</v>
      </c>
      <c r="H3479" s="28">
        <v>42369</v>
      </c>
      <c r="I3479" s="29">
        <f t="shared" si="3351"/>
        <v>2015</v>
      </c>
      <c r="J3479" s="1" t="s">
        <v>6948</v>
      </c>
      <c r="K3479" s="1" t="s">
        <v>7</v>
      </c>
      <c r="L3479" s="11" t="str">
        <f t="shared" si="3352"/>
        <v>НЕТ</v>
      </c>
      <c r="M3479" s="10">
        <v>5.9669999999999996</v>
      </c>
      <c r="N3479" s="10">
        <v>0</v>
      </c>
      <c r="O3479" s="10">
        <v>0</v>
      </c>
      <c r="P3479" s="10" t="str">
        <f t="shared" si="3353"/>
        <v>NA</v>
      </c>
      <c r="Q3479" s="10" t="str">
        <f t="shared" si="3354"/>
        <v>NA</v>
      </c>
      <c r="R3479" s="10" t="s">
        <v>1575</v>
      </c>
      <c r="S3479" s="10" t="s">
        <v>1575</v>
      </c>
      <c r="T3479" s="10" t="s">
        <v>1575</v>
      </c>
      <c r="U3479" s="10" t="s">
        <v>1575</v>
      </c>
      <c r="V3479" s="10" t="s">
        <v>1575</v>
      </c>
      <c r="W3479" s="10" t="s">
        <v>1575</v>
      </c>
      <c r="X3479" s="10" t="str">
        <f t="shared" si="3343"/>
        <v>NA</v>
      </c>
      <c r="Y3479" s="10" t="str">
        <f t="shared" si="3344"/>
        <v>NA</v>
      </c>
      <c r="Z3479" s="10" t="str">
        <f t="shared" si="3345"/>
        <v>NA</v>
      </c>
      <c r="AA3479" s="10" t="str">
        <f t="shared" si="3346"/>
        <v>NA</v>
      </c>
      <c r="AB3479" s="10" t="str">
        <f t="shared" si="3347"/>
        <v>NA</v>
      </c>
      <c r="AC3479" s="10" t="str">
        <f t="shared" si="3348"/>
        <v>NA</v>
      </c>
      <c r="AD3479" s="10" t="str">
        <f t="shared" si="3349"/>
        <v>NA</v>
      </c>
      <c r="AE3479" s="10" t="str">
        <f t="shared" si="3350"/>
        <v>NA</v>
      </c>
    </row>
    <row r="3480" spans="1:32" x14ac:dyDescent="0.2">
      <c r="A3480" s="1" t="s">
        <v>6958</v>
      </c>
      <c r="B3480" s="1" t="s">
        <v>5</v>
      </c>
      <c r="C3480" s="1" t="s">
        <v>5356</v>
      </c>
      <c r="D3480" s="1" t="s">
        <v>1615</v>
      </c>
      <c r="E3480" s="1" t="s">
        <v>1616</v>
      </c>
      <c r="F3480" s="1" t="s">
        <v>740</v>
      </c>
      <c r="G3480" s="10" t="s">
        <v>1575</v>
      </c>
      <c r="H3480" s="28">
        <v>42004</v>
      </c>
      <c r="I3480" s="29">
        <f t="shared" si="3351"/>
        <v>2014</v>
      </c>
      <c r="J3480" s="1" t="s">
        <v>6948</v>
      </c>
      <c r="K3480" s="1" t="s">
        <v>7</v>
      </c>
      <c r="L3480" s="11" t="str">
        <f t="shared" si="3352"/>
        <v>НЕТ</v>
      </c>
      <c r="M3480" s="10">
        <v>75.772000000000006</v>
      </c>
      <c r="N3480" s="10">
        <v>0</v>
      </c>
      <c r="O3480" s="10">
        <v>0</v>
      </c>
      <c r="P3480" s="10" t="str">
        <f t="shared" si="3353"/>
        <v>NA</v>
      </c>
      <c r="Q3480" s="10" t="str">
        <f t="shared" si="3354"/>
        <v>NA</v>
      </c>
      <c r="R3480" s="10" t="s">
        <v>1575</v>
      </c>
      <c r="S3480" s="10" t="s">
        <v>1575</v>
      </c>
      <c r="T3480" s="10" t="s">
        <v>1575</v>
      </c>
      <c r="U3480" s="10" t="s">
        <v>1575</v>
      </c>
      <c r="V3480" s="10" t="s">
        <v>1575</v>
      </c>
      <c r="W3480" s="10" t="s">
        <v>1575</v>
      </c>
      <c r="X3480" s="10" t="str">
        <f t="shared" si="3343"/>
        <v>NA</v>
      </c>
      <c r="Y3480" s="10" t="str">
        <f t="shared" si="3344"/>
        <v>NA</v>
      </c>
      <c r="Z3480" s="10" t="str">
        <f t="shared" si="3345"/>
        <v>NA</v>
      </c>
      <c r="AA3480" s="10" t="str">
        <f t="shared" si="3346"/>
        <v>NA</v>
      </c>
      <c r="AB3480" s="10" t="str">
        <f t="shared" si="3347"/>
        <v>NA</v>
      </c>
      <c r="AC3480" s="10" t="str">
        <f t="shared" si="3348"/>
        <v>NA</v>
      </c>
      <c r="AD3480" s="10" t="str">
        <f t="shared" si="3349"/>
        <v>NA</v>
      </c>
      <c r="AE3480" s="10" t="str">
        <f t="shared" si="3350"/>
        <v>NA</v>
      </c>
    </row>
    <row r="3481" spans="1:32" x14ac:dyDescent="0.2">
      <c r="A3481" s="1" t="s">
        <v>6961</v>
      </c>
      <c r="B3481" s="1" t="s">
        <v>1069</v>
      </c>
      <c r="C3481" s="1" t="s">
        <v>1575</v>
      </c>
      <c r="D3481" s="10" t="s">
        <v>1575</v>
      </c>
      <c r="E3481" s="10" t="s">
        <v>1575</v>
      </c>
      <c r="F3481" s="1" t="s">
        <v>1070</v>
      </c>
      <c r="G3481" s="4">
        <v>0.5</v>
      </c>
      <c r="H3481" s="28">
        <v>42004</v>
      </c>
      <c r="I3481" s="29">
        <f t="shared" ref="I3481:I3544" si="3355">YEAR(H3481)</f>
        <v>2014</v>
      </c>
      <c r="J3481" s="1" t="s">
        <v>6948</v>
      </c>
      <c r="K3481" s="1" t="s">
        <v>6962</v>
      </c>
      <c r="L3481" s="11" t="str">
        <f t="shared" si="3352"/>
        <v>НЕТ</v>
      </c>
      <c r="M3481" s="10">
        <v>13.108000000000001</v>
      </c>
      <c r="N3481" s="10">
        <v>0</v>
      </c>
      <c r="O3481" s="10">
        <v>0</v>
      </c>
      <c r="P3481" s="10">
        <f t="shared" si="3353"/>
        <v>0</v>
      </c>
      <c r="Q3481" s="10" t="str">
        <f t="shared" si="3354"/>
        <v>NA</v>
      </c>
      <c r="R3481" s="10" t="s">
        <v>1575</v>
      </c>
      <c r="S3481" s="10" t="s">
        <v>1575</v>
      </c>
      <c r="T3481" s="10" t="s">
        <v>1575</v>
      </c>
      <c r="U3481" s="10" t="s">
        <v>1575</v>
      </c>
      <c r="V3481" s="10" t="s">
        <v>1575</v>
      </c>
      <c r="W3481" s="10" t="s">
        <v>1575</v>
      </c>
      <c r="X3481" s="10" t="str">
        <f t="shared" si="3343"/>
        <v>NA</v>
      </c>
      <c r="Y3481" s="10" t="str">
        <f t="shared" si="3344"/>
        <v>NA</v>
      </c>
      <c r="Z3481" s="10" t="str">
        <f t="shared" si="3345"/>
        <v>NA</v>
      </c>
      <c r="AA3481" s="10" t="str">
        <f t="shared" si="3346"/>
        <v>NA</v>
      </c>
      <c r="AB3481" s="10" t="str">
        <f t="shared" si="3347"/>
        <v>NA</v>
      </c>
      <c r="AC3481" s="10" t="str">
        <f t="shared" si="3348"/>
        <v>NA</v>
      </c>
      <c r="AD3481" s="10" t="str">
        <f t="shared" si="3349"/>
        <v>NA</v>
      </c>
      <c r="AE3481" s="10" t="str">
        <f t="shared" si="3350"/>
        <v>NA</v>
      </c>
      <c r="AF3481" s="1" t="s">
        <v>1068</v>
      </c>
    </row>
    <row r="3482" spans="1:32" x14ac:dyDescent="0.2">
      <c r="A3482" s="1" t="s">
        <v>7164</v>
      </c>
      <c r="B3482" s="1" t="s">
        <v>5</v>
      </c>
      <c r="C3482" s="1" t="s">
        <v>1575</v>
      </c>
      <c r="D3482" s="1" t="s">
        <v>1597</v>
      </c>
      <c r="E3482" s="1" t="s">
        <v>1660</v>
      </c>
      <c r="F3482" s="1" t="s">
        <v>16</v>
      </c>
      <c r="G3482" s="4">
        <v>0.20100000000000001</v>
      </c>
      <c r="H3482" s="28">
        <v>42004</v>
      </c>
      <c r="I3482" s="29">
        <f t="shared" si="3355"/>
        <v>2014</v>
      </c>
      <c r="J3482" s="1" t="s">
        <v>6948</v>
      </c>
      <c r="K3482" s="1" t="s">
        <v>7</v>
      </c>
      <c r="L3482" s="11" t="str">
        <f t="shared" si="3352"/>
        <v>НЕТ</v>
      </c>
      <c r="M3482" s="10"/>
      <c r="N3482" s="10">
        <v>0</v>
      </c>
      <c r="O3482" s="10">
        <v>0</v>
      </c>
      <c r="P3482" s="10">
        <f t="shared" si="3353"/>
        <v>0</v>
      </c>
      <c r="Q3482" s="10" t="str">
        <f t="shared" si="3354"/>
        <v>NA</v>
      </c>
      <c r="R3482" s="10" t="s">
        <v>1575</v>
      </c>
      <c r="S3482" s="10" t="s">
        <v>1575</v>
      </c>
      <c r="T3482" s="10" t="s">
        <v>1575</v>
      </c>
      <c r="U3482" s="10" t="s">
        <v>1575</v>
      </c>
      <c r="V3482" s="10" t="s">
        <v>1575</v>
      </c>
      <c r="W3482" s="10" t="s">
        <v>1575</v>
      </c>
      <c r="X3482" s="10" t="str">
        <f t="shared" ref="X3482:X3545" si="3356">IFERROR(V3482+W3482,"NA")</f>
        <v>NA</v>
      </c>
      <c r="Y3482" s="10" t="str">
        <f t="shared" ref="Y3482:Y3545" si="3357">IFERROR(P3482/R3482,"NA")</f>
        <v>NA</v>
      </c>
      <c r="Z3482" s="10" t="str">
        <f t="shared" ref="Z3482:Z3545" si="3358">IFERROR(P3482/U3482,"NA")</f>
        <v>NA</v>
      </c>
      <c r="AA3482" s="10" t="str">
        <f t="shared" ref="AA3482:AA3545" si="3359">IFERROR(P3482/V3482,"NA")</f>
        <v>NA</v>
      </c>
      <c r="AB3482" s="10" t="str">
        <f t="shared" ref="AB3482:AB3545" si="3360">IFERROR(Q3482/R3482,"NA")</f>
        <v>NA</v>
      </c>
      <c r="AC3482" s="10" t="str">
        <f t="shared" ref="AC3482:AC3545" si="3361">IFERROR(Q3482/S3482,"NA")</f>
        <v>NA</v>
      </c>
      <c r="AD3482" s="10" t="str">
        <f t="shared" ref="AD3482:AD3545" si="3362">IFERROR(Q3482/T3482,"NA")</f>
        <v>NA</v>
      </c>
      <c r="AE3482" s="10" t="str">
        <f t="shared" ref="AE3482:AE3545" si="3363">IFERROR(Q3482/X3482,"NA")</f>
        <v>NA</v>
      </c>
      <c r="AF3482" s="1" t="s">
        <v>1067</v>
      </c>
    </row>
    <row r="3483" spans="1:32" x14ac:dyDescent="0.2">
      <c r="A3483" s="1" t="s">
        <v>6958</v>
      </c>
      <c r="B3483" s="1" t="s">
        <v>5</v>
      </c>
      <c r="C3483" s="1" t="s">
        <v>5356</v>
      </c>
      <c r="D3483" s="1" t="s">
        <v>1615</v>
      </c>
      <c r="E3483" s="1" t="s">
        <v>1616</v>
      </c>
      <c r="F3483" s="1" t="s">
        <v>740</v>
      </c>
      <c r="G3483" s="4">
        <v>0.36199999999999999</v>
      </c>
      <c r="H3483" s="28">
        <v>41394</v>
      </c>
      <c r="I3483" s="29">
        <f t="shared" si="3355"/>
        <v>2013</v>
      </c>
      <c r="J3483" s="1" t="s">
        <v>6948</v>
      </c>
      <c r="K3483" s="1" t="s">
        <v>7</v>
      </c>
      <c r="L3483" s="11" t="str">
        <f t="shared" si="3352"/>
        <v>НЕТ</v>
      </c>
      <c r="M3483" s="10">
        <v>0</v>
      </c>
      <c r="N3483" s="10">
        <v>0</v>
      </c>
      <c r="O3483" s="10">
        <v>3.1138599999999999</v>
      </c>
      <c r="P3483" s="10">
        <f t="shared" si="3353"/>
        <v>8.6018232044198886</v>
      </c>
      <c r="Q3483" s="10" t="str">
        <f t="shared" si="3354"/>
        <v>NA</v>
      </c>
      <c r="R3483" s="10" t="s">
        <v>1575</v>
      </c>
      <c r="S3483" s="10" t="s">
        <v>1575</v>
      </c>
      <c r="T3483" s="10" t="s">
        <v>1575</v>
      </c>
      <c r="U3483" s="10" t="s">
        <v>1575</v>
      </c>
      <c r="V3483" s="10" t="s">
        <v>1575</v>
      </c>
      <c r="W3483" s="10" t="s">
        <v>1575</v>
      </c>
      <c r="X3483" s="10" t="str">
        <f t="shared" si="3356"/>
        <v>NA</v>
      </c>
      <c r="Y3483" s="10" t="str">
        <f t="shared" si="3357"/>
        <v>NA</v>
      </c>
      <c r="Z3483" s="10" t="str">
        <f t="shared" si="3358"/>
        <v>NA</v>
      </c>
      <c r="AA3483" s="10" t="str">
        <f t="shared" si="3359"/>
        <v>NA</v>
      </c>
      <c r="AB3483" s="10" t="str">
        <f t="shared" si="3360"/>
        <v>NA</v>
      </c>
      <c r="AC3483" s="10" t="str">
        <f t="shared" si="3361"/>
        <v>NA</v>
      </c>
      <c r="AD3483" s="10" t="str">
        <f t="shared" si="3362"/>
        <v>NA</v>
      </c>
      <c r="AE3483" s="10" t="str">
        <f t="shared" si="3363"/>
        <v>NA</v>
      </c>
      <c r="AF3483" s="1" t="s">
        <v>1071</v>
      </c>
    </row>
    <row r="3484" spans="1:32" x14ac:dyDescent="0.2">
      <c r="A3484" s="1" t="s">
        <v>6963</v>
      </c>
      <c r="B3484" s="1" t="s">
        <v>3</v>
      </c>
      <c r="C3484" s="1" t="s">
        <v>1575</v>
      </c>
      <c r="D3484" s="10" t="s">
        <v>1575</v>
      </c>
      <c r="E3484" s="10" t="s">
        <v>1575</v>
      </c>
      <c r="F3484" s="1" t="s">
        <v>1514</v>
      </c>
      <c r="H3484" s="28">
        <v>41274</v>
      </c>
      <c r="I3484" s="29">
        <f t="shared" si="3355"/>
        <v>2012</v>
      </c>
      <c r="J3484" s="1" t="s">
        <v>6948</v>
      </c>
      <c r="K3484" s="1" t="s">
        <v>7</v>
      </c>
      <c r="L3484" s="11" t="str">
        <f t="shared" si="3352"/>
        <v>НЕТ</v>
      </c>
      <c r="M3484" s="10">
        <v>0</v>
      </c>
      <c r="N3484" s="10">
        <v>0</v>
      </c>
      <c r="O3484" s="10"/>
      <c r="P3484" s="10" t="str">
        <f t="shared" si="3353"/>
        <v>NA</v>
      </c>
      <c r="Q3484" s="10" t="str">
        <f t="shared" si="3354"/>
        <v>NA</v>
      </c>
      <c r="R3484" s="10" t="s">
        <v>1575</v>
      </c>
      <c r="S3484" s="10" t="s">
        <v>1575</v>
      </c>
      <c r="T3484" s="10" t="s">
        <v>1575</v>
      </c>
      <c r="U3484" s="10" t="s">
        <v>1575</v>
      </c>
      <c r="V3484" s="10" t="s">
        <v>1575</v>
      </c>
      <c r="W3484" s="10" t="s">
        <v>1575</v>
      </c>
      <c r="X3484" s="10" t="str">
        <f t="shared" si="3356"/>
        <v>NA</v>
      </c>
      <c r="Y3484" s="10" t="str">
        <f t="shared" si="3357"/>
        <v>NA</v>
      </c>
      <c r="Z3484" s="10" t="str">
        <f t="shared" si="3358"/>
        <v>NA</v>
      </c>
      <c r="AA3484" s="10" t="str">
        <f t="shared" si="3359"/>
        <v>NA</v>
      </c>
      <c r="AB3484" s="10" t="str">
        <f t="shared" si="3360"/>
        <v>NA</v>
      </c>
      <c r="AC3484" s="10" t="str">
        <f t="shared" si="3361"/>
        <v>NA</v>
      </c>
      <c r="AD3484" s="10" t="str">
        <f t="shared" si="3362"/>
        <v>NA</v>
      </c>
      <c r="AE3484" s="10" t="str">
        <f t="shared" si="3363"/>
        <v>NA</v>
      </c>
      <c r="AF3484" s="1" t="s">
        <v>1072</v>
      </c>
    </row>
    <row r="3485" spans="1:32" x14ac:dyDescent="0.2">
      <c r="A3485" s="1" t="s">
        <v>6964</v>
      </c>
      <c r="B3485" s="1" t="s">
        <v>3</v>
      </c>
      <c r="C3485" s="1" t="s">
        <v>2260</v>
      </c>
      <c r="D3485" s="1" t="s">
        <v>1689</v>
      </c>
      <c r="E3485" s="1" t="s">
        <v>3027</v>
      </c>
      <c r="F3485" s="1" t="s">
        <v>603</v>
      </c>
      <c r="H3485" s="28">
        <v>41639</v>
      </c>
      <c r="I3485" s="29">
        <f t="shared" si="3355"/>
        <v>2013</v>
      </c>
      <c r="J3485" s="1" t="s">
        <v>6965</v>
      </c>
      <c r="K3485" s="1" t="s">
        <v>6948</v>
      </c>
      <c r="L3485" s="11" t="str">
        <f t="shared" si="3352"/>
        <v>НЕТ</v>
      </c>
      <c r="M3485" s="10">
        <v>0</v>
      </c>
      <c r="N3485" s="10">
        <v>0</v>
      </c>
      <c r="O3485" s="10">
        <v>1.4045289999999999</v>
      </c>
      <c r="P3485" s="10" t="str">
        <f t="shared" si="3353"/>
        <v>NA</v>
      </c>
      <c r="Q3485" s="10" t="str">
        <f t="shared" si="3354"/>
        <v>NA</v>
      </c>
      <c r="R3485" s="10" t="s">
        <v>1575</v>
      </c>
      <c r="S3485" s="10" t="s">
        <v>1575</v>
      </c>
      <c r="T3485" s="10" t="s">
        <v>1575</v>
      </c>
      <c r="U3485" s="10" t="s">
        <v>1575</v>
      </c>
      <c r="V3485" s="10" t="s">
        <v>1575</v>
      </c>
      <c r="W3485" s="10" t="s">
        <v>1575</v>
      </c>
      <c r="X3485" s="10" t="str">
        <f t="shared" si="3356"/>
        <v>NA</v>
      </c>
      <c r="Y3485" s="10" t="str">
        <f t="shared" si="3357"/>
        <v>NA</v>
      </c>
      <c r="Z3485" s="10" t="str">
        <f t="shared" si="3358"/>
        <v>NA</v>
      </c>
      <c r="AA3485" s="10" t="str">
        <f t="shared" si="3359"/>
        <v>NA</v>
      </c>
      <c r="AB3485" s="10" t="str">
        <f t="shared" si="3360"/>
        <v>NA</v>
      </c>
      <c r="AC3485" s="10" t="str">
        <f t="shared" si="3361"/>
        <v>NA</v>
      </c>
      <c r="AD3485" s="10" t="str">
        <f t="shared" si="3362"/>
        <v>NA</v>
      </c>
      <c r="AE3485" s="10" t="str">
        <f t="shared" si="3363"/>
        <v>NA</v>
      </c>
      <c r="AF3485" s="1" t="s">
        <v>1075</v>
      </c>
    </row>
    <row r="3486" spans="1:32" x14ac:dyDescent="0.2">
      <c r="A3486" s="1" t="s">
        <v>6964</v>
      </c>
      <c r="B3486" s="1" t="s">
        <v>3</v>
      </c>
      <c r="C3486" s="1" t="s">
        <v>2260</v>
      </c>
      <c r="D3486" s="1" t="s">
        <v>1689</v>
      </c>
      <c r="E3486" s="1" t="s">
        <v>3027</v>
      </c>
      <c r="F3486" s="1" t="s">
        <v>603</v>
      </c>
      <c r="H3486" s="28">
        <v>41274</v>
      </c>
      <c r="I3486" s="29">
        <f t="shared" si="3355"/>
        <v>2012</v>
      </c>
      <c r="J3486" s="1" t="s">
        <v>6965</v>
      </c>
      <c r="K3486" s="1" t="s">
        <v>6948</v>
      </c>
      <c r="L3486" s="11" t="str">
        <f t="shared" si="3352"/>
        <v>НЕТ</v>
      </c>
      <c r="M3486" s="10">
        <v>0</v>
      </c>
      <c r="N3486" s="10">
        <v>0</v>
      </c>
      <c r="O3486" s="10">
        <v>20.415641000000001</v>
      </c>
      <c r="P3486" s="10" t="str">
        <f t="shared" si="3353"/>
        <v>NA</v>
      </c>
      <c r="Q3486" s="10" t="str">
        <f t="shared" si="3354"/>
        <v>NA</v>
      </c>
      <c r="R3486" s="10" t="s">
        <v>1575</v>
      </c>
      <c r="S3486" s="10" t="s">
        <v>1575</v>
      </c>
      <c r="T3486" s="10" t="s">
        <v>1575</v>
      </c>
      <c r="U3486" s="10" t="s">
        <v>1575</v>
      </c>
      <c r="V3486" s="10" t="s">
        <v>1575</v>
      </c>
      <c r="W3486" s="10" t="s">
        <v>1575</v>
      </c>
      <c r="X3486" s="10" t="str">
        <f t="shared" si="3356"/>
        <v>NA</v>
      </c>
      <c r="Y3486" s="10" t="str">
        <f t="shared" si="3357"/>
        <v>NA</v>
      </c>
      <c r="Z3486" s="10" t="str">
        <f t="shared" si="3358"/>
        <v>NA</v>
      </c>
      <c r="AA3486" s="10" t="str">
        <f t="shared" si="3359"/>
        <v>NA</v>
      </c>
      <c r="AB3486" s="10" t="str">
        <f t="shared" si="3360"/>
        <v>NA</v>
      </c>
      <c r="AC3486" s="10" t="str">
        <f t="shared" si="3361"/>
        <v>NA</v>
      </c>
      <c r="AD3486" s="10" t="str">
        <f t="shared" si="3362"/>
        <v>NA</v>
      </c>
      <c r="AE3486" s="10" t="str">
        <f t="shared" si="3363"/>
        <v>NA</v>
      </c>
      <c r="AF3486" s="1" t="s">
        <v>1074</v>
      </c>
    </row>
    <row r="3487" spans="1:32" x14ac:dyDescent="0.2">
      <c r="A3487" s="1" t="s">
        <v>6964</v>
      </c>
      <c r="B3487" s="1" t="s">
        <v>3</v>
      </c>
      <c r="C3487" s="1" t="s">
        <v>2260</v>
      </c>
      <c r="D3487" s="1" t="s">
        <v>1689</v>
      </c>
      <c r="E3487" s="1" t="s">
        <v>3027</v>
      </c>
      <c r="F3487" s="1" t="s">
        <v>603</v>
      </c>
      <c r="H3487" s="28">
        <v>41090</v>
      </c>
      <c r="I3487" s="29">
        <f t="shared" si="3355"/>
        <v>2012</v>
      </c>
      <c r="J3487" s="1" t="s">
        <v>6948</v>
      </c>
      <c r="K3487" s="1" t="s">
        <v>7</v>
      </c>
      <c r="L3487" s="11" t="str">
        <f t="shared" si="3352"/>
        <v>НЕТ</v>
      </c>
      <c r="M3487" s="10">
        <v>0</v>
      </c>
      <c r="N3487" s="10">
        <v>0</v>
      </c>
      <c r="O3487" s="10">
        <v>5.9607E-2</v>
      </c>
      <c r="P3487" s="10" t="str">
        <f t="shared" si="3353"/>
        <v>NA</v>
      </c>
      <c r="Q3487" s="10" t="str">
        <f t="shared" si="3354"/>
        <v>NA</v>
      </c>
      <c r="R3487" s="10" t="s">
        <v>1575</v>
      </c>
      <c r="S3487" s="10" t="s">
        <v>1575</v>
      </c>
      <c r="T3487" s="10" t="s">
        <v>1575</v>
      </c>
      <c r="U3487" s="10" t="s">
        <v>1575</v>
      </c>
      <c r="V3487" s="10" t="s">
        <v>1575</v>
      </c>
      <c r="W3487" s="10" t="s">
        <v>1575</v>
      </c>
      <c r="X3487" s="10" t="str">
        <f t="shared" si="3356"/>
        <v>NA</v>
      </c>
      <c r="Y3487" s="10" t="str">
        <f t="shared" si="3357"/>
        <v>NA</v>
      </c>
      <c r="Z3487" s="10" t="str">
        <f t="shared" si="3358"/>
        <v>NA</v>
      </c>
      <c r="AA3487" s="10" t="str">
        <f t="shared" si="3359"/>
        <v>NA</v>
      </c>
      <c r="AB3487" s="10" t="str">
        <f t="shared" si="3360"/>
        <v>NA</v>
      </c>
      <c r="AC3487" s="10" t="str">
        <f t="shared" si="3361"/>
        <v>NA</v>
      </c>
      <c r="AD3487" s="10" t="str">
        <f t="shared" si="3362"/>
        <v>NA</v>
      </c>
      <c r="AE3487" s="10" t="str">
        <f t="shared" si="3363"/>
        <v>NA</v>
      </c>
      <c r="AF3487" s="1" t="s">
        <v>1073</v>
      </c>
    </row>
    <row r="3488" spans="1:32" x14ac:dyDescent="0.2">
      <c r="A3488" s="1" t="s">
        <v>6966</v>
      </c>
      <c r="B3488" s="1" t="s">
        <v>181</v>
      </c>
      <c r="C3488" s="1" t="s">
        <v>1575</v>
      </c>
      <c r="D3488" s="10" t="s">
        <v>1575</v>
      </c>
      <c r="E3488" s="10" t="s">
        <v>1575</v>
      </c>
      <c r="F3488" s="1" t="s">
        <v>1078</v>
      </c>
      <c r="G3488" s="4">
        <v>1</v>
      </c>
      <c r="H3488" s="28">
        <v>40999</v>
      </c>
      <c r="I3488" s="29">
        <f t="shared" si="3355"/>
        <v>2012</v>
      </c>
      <c r="J3488" s="1" t="s">
        <v>6948</v>
      </c>
      <c r="K3488" s="1" t="s">
        <v>7</v>
      </c>
      <c r="L3488" s="11" t="str">
        <f t="shared" si="3352"/>
        <v>НЕТ</v>
      </c>
      <c r="M3488" s="10">
        <v>0</v>
      </c>
      <c r="N3488" s="10">
        <v>893.14</v>
      </c>
      <c r="O3488" s="10">
        <v>0</v>
      </c>
      <c r="P3488" s="10">
        <f t="shared" si="3353"/>
        <v>0</v>
      </c>
      <c r="Q3488" s="10" t="str">
        <f t="shared" si="3354"/>
        <v>NA</v>
      </c>
      <c r="R3488" s="10" t="s">
        <v>1575</v>
      </c>
      <c r="S3488" s="10" t="s">
        <v>1575</v>
      </c>
      <c r="T3488" s="10" t="s">
        <v>1575</v>
      </c>
      <c r="U3488" s="10" t="s">
        <v>1575</v>
      </c>
      <c r="V3488" s="10" t="s">
        <v>1575</v>
      </c>
      <c r="W3488" s="10" t="s">
        <v>1575</v>
      </c>
      <c r="X3488" s="10" t="str">
        <f t="shared" si="3356"/>
        <v>NA</v>
      </c>
      <c r="Y3488" s="10" t="str">
        <f t="shared" si="3357"/>
        <v>NA</v>
      </c>
      <c r="Z3488" s="10" t="str">
        <f t="shared" si="3358"/>
        <v>NA</v>
      </c>
      <c r="AA3488" s="10" t="str">
        <f t="shared" si="3359"/>
        <v>NA</v>
      </c>
      <c r="AB3488" s="10" t="str">
        <f t="shared" si="3360"/>
        <v>NA</v>
      </c>
      <c r="AC3488" s="10" t="str">
        <f t="shared" si="3361"/>
        <v>NA</v>
      </c>
      <c r="AD3488" s="10" t="str">
        <f t="shared" si="3362"/>
        <v>NA</v>
      </c>
      <c r="AE3488" s="10" t="str">
        <f t="shared" si="3363"/>
        <v>NA</v>
      </c>
      <c r="AF3488" s="1" t="s">
        <v>1077</v>
      </c>
    </row>
    <row r="3489" spans="1:32" x14ac:dyDescent="0.2">
      <c r="A3489" s="1" t="s">
        <v>6963</v>
      </c>
      <c r="B3489" s="1" t="s">
        <v>3</v>
      </c>
      <c r="C3489" s="1" t="s">
        <v>1575</v>
      </c>
      <c r="D3489" s="10" t="s">
        <v>1575</v>
      </c>
      <c r="E3489" s="10" t="s">
        <v>1575</v>
      </c>
      <c r="F3489" s="1" t="s">
        <v>1514</v>
      </c>
      <c r="G3489" s="4">
        <v>1</v>
      </c>
      <c r="H3489" s="28">
        <v>41092</v>
      </c>
      <c r="I3489" s="29">
        <f t="shared" si="3355"/>
        <v>2012</v>
      </c>
      <c r="J3489" s="1" t="s">
        <v>6948</v>
      </c>
      <c r="K3489" s="1" t="s">
        <v>7</v>
      </c>
      <c r="L3489" s="11" t="str">
        <f t="shared" si="3352"/>
        <v>НЕТ</v>
      </c>
      <c r="M3489" s="10">
        <v>0</v>
      </c>
      <c r="N3489" s="10">
        <v>195.655</v>
      </c>
      <c r="O3489" s="10">
        <v>0</v>
      </c>
      <c r="P3489" s="10">
        <f t="shared" si="3353"/>
        <v>0</v>
      </c>
      <c r="Q3489" s="10" t="str">
        <f t="shared" si="3354"/>
        <v>NA</v>
      </c>
      <c r="R3489" s="10" t="s">
        <v>1575</v>
      </c>
      <c r="S3489" s="10" t="s">
        <v>1575</v>
      </c>
      <c r="T3489" s="10" t="s">
        <v>1575</v>
      </c>
      <c r="U3489" s="10" t="s">
        <v>1575</v>
      </c>
      <c r="V3489" s="10" t="s">
        <v>1575</v>
      </c>
      <c r="W3489" s="10" t="s">
        <v>1575</v>
      </c>
      <c r="X3489" s="10" t="str">
        <f t="shared" si="3356"/>
        <v>NA</v>
      </c>
      <c r="Y3489" s="10" t="str">
        <f t="shared" si="3357"/>
        <v>NA</v>
      </c>
      <c r="Z3489" s="10" t="str">
        <f t="shared" si="3358"/>
        <v>NA</v>
      </c>
      <c r="AA3489" s="10" t="str">
        <f t="shared" si="3359"/>
        <v>NA</v>
      </c>
      <c r="AB3489" s="10" t="str">
        <f t="shared" si="3360"/>
        <v>NA</v>
      </c>
      <c r="AC3489" s="10" t="str">
        <f t="shared" si="3361"/>
        <v>NA</v>
      </c>
      <c r="AD3489" s="10" t="str">
        <f t="shared" si="3362"/>
        <v>NA</v>
      </c>
      <c r="AE3489" s="10" t="str">
        <f t="shared" si="3363"/>
        <v>NA</v>
      </c>
      <c r="AF3489" s="1" t="s">
        <v>1079</v>
      </c>
    </row>
    <row r="3490" spans="1:32" x14ac:dyDescent="0.2">
      <c r="A3490" s="1" t="s">
        <v>6950</v>
      </c>
      <c r="B3490" s="1" t="s">
        <v>5</v>
      </c>
      <c r="C3490" s="1" t="s">
        <v>1575</v>
      </c>
      <c r="D3490" s="1" t="s">
        <v>1597</v>
      </c>
      <c r="E3490" s="1" t="s">
        <v>1660</v>
      </c>
      <c r="F3490" s="1" t="s">
        <v>16</v>
      </c>
      <c r="G3490" s="4">
        <v>1</v>
      </c>
      <c r="H3490" s="28">
        <v>40939</v>
      </c>
      <c r="I3490" s="29">
        <f t="shared" si="3355"/>
        <v>2012</v>
      </c>
      <c r="J3490" s="1" t="s">
        <v>6948</v>
      </c>
      <c r="K3490" s="1" t="s">
        <v>7</v>
      </c>
      <c r="L3490" s="11" t="str">
        <f t="shared" si="3352"/>
        <v>НЕТ</v>
      </c>
      <c r="M3490" s="10">
        <v>0</v>
      </c>
      <c r="N3490" s="10">
        <v>0</v>
      </c>
      <c r="O3490" s="10">
        <v>6.682169</v>
      </c>
      <c r="P3490" s="10">
        <f t="shared" si="3353"/>
        <v>6.682169</v>
      </c>
      <c r="Q3490" s="10" t="str">
        <f t="shared" si="3354"/>
        <v>NA</v>
      </c>
      <c r="R3490" s="10" t="s">
        <v>1575</v>
      </c>
      <c r="S3490" s="10" t="s">
        <v>1575</v>
      </c>
      <c r="T3490" s="10" t="s">
        <v>1575</v>
      </c>
      <c r="U3490" s="10" t="s">
        <v>1575</v>
      </c>
      <c r="V3490" s="10" t="s">
        <v>1575</v>
      </c>
      <c r="W3490" s="10" t="s">
        <v>1575</v>
      </c>
      <c r="X3490" s="10" t="str">
        <f t="shared" si="3356"/>
        <v>NA</v>
      </c>
      <c r="Y3490" s="10" t="str">
        <f t="shared" si="3357"/>
        <v>NA</v>
      </c>
      <c r="Z3490" s="10" t="str">
        <f t="shared" si="3358"/>
        <v>NA</v>
      </c>
      <c r="AA3490" s="10" t="str">
        <f t="shared" si="3359"/>
        <v>NA</v>
      </c>
      <c r="AB3490" s="10" t="str">
        <f t="shared" si="3360"/>
        <v>NA</v>
      </c>
      <c r="AC3490" s="10" t="str">
        <f t="shared" si="3361"/>
        <v>NA</v>
      </c>
      <c r="AD3490" s="10" t="str">
        <f t="shared" si="3362"/>
        <v>NA</v>
      </c>
      <c r="AE3490" s="10" t="str">
        <f t="shared" si="3363"/>
        <v>NA</v>
      </c>
      <c r="AF3490" s="1" t="s">
        <v>1076</v>
      </c>
    </row>
    <row r="3491" spans="1:32" x14ac:dyDescent="0.2">
      <c r="A3491" s="1" t="s">
        <v>6967</v>
      </c>
      <c r="B3491" s="1" t="s">
        <v>5</v>
      </c>
      <c r="C3491" s="1" t="s">
        <v>1575</v>
      </c>
      <c r="D3491" s="10" t="s">
        <v>1575</v>
      </c>
      <c r="E3491" s="10" t="s">
        <v>1575</v>
      </c>
      <c r="F3491" s="1" t="s">
        <v>46</v>
      </c>
      <c r="G3491" s="10" t="s">
        <v>1575</v>
      </c>
      <c r="H3491" s="28">
        <v>40724</v>
      </c>
      <c r="I3491" s="29">
        <f t="shared" si="3355"/>
        <v>2011</v>
      </c>
      <c r="J3491" s="1" t="s">
        <v>6948</v>
      </c>
      <c r="K3491" s="1" t="s">
        <v>7</v>
      </c>
      <c r="L3491" s="11" t="str">
        <f t="shared" si="3352"/>
        <v>НЕТ</v>
      </c>
      <c r="M3491" s="10">
        <v>0</v>
      </c>
      <c r="N3491" s="10">
        <v>0</v>
      </c>
      <c r="O3491" s="10">
        <v>146.321</v>
      </c>
      <c r="P3491" s="10" t="str">
        <f t="shared" si="3353"/>
        <v>NA</v>
      </c>
      <c r="Q3491" s="10" t="str">
        <f t="shared" si="3354"/>
        <v>NA</v>
      </c>
      <c r="R3491" s="10" t="s">
        <v>1575</v>
      </c>
      <c r="S3491" s="10" t="s">
        <v>1575</v>
      </c>
      <c r="T3491" s="10" t="s">
        <v>1575</v>
      </c>
      <c r="U3491" s="10" t="s">
        <v>1575</v>
      </c>
      <c r="V3491" s="10" t="s">
        <v>1575</v>
      </c>
      <c r="W3491" s="10" t="s">
        <v>1575</v>
      </c>
      <c r="X3491" s="10" t="str">
        <f t="shared" si="3356"/>
        <v>NA</v>
      </c>
      <c r="Y3491" s="10" t="str">
        <f t="shared" si="3357"/>
        <v>NA</v>
      </c>
      <c r="Z3491" s="10" t="str">
        <f t="shared" si="3358"/>
        <v>NA</v>
      </c>
      <c r="AA3491" s="10" t="str">
        <f t="shared" si="3359"/>
        <v>NA</v>
      </c>
      <c r="AB3491" s="10" t="str">
        <f t="shared" si="3360"/>
        <v>NA</v>
      </c>
      <c r="AC3491" s="10" t="str">
        <f t="shared" si="3361"/>
        <v>NA</v>
      </c>
      <c r="AD3491" s="10" t="str">
        <f t="shared" si="3362"/>
        <v>NA</v>
      </c>
      <c r="AE3491" s="10" t="str">
        <f t="shared" si="3363"/>
        <v>NA</v>
      </c>
      <c r="AF3491" s="1" t="s">
        <v>1083</v>
      </c>
    </row>
    <row r="3492" spans="1:32" x14ac:dyDescent="0.2">
      <c r="A3492" s="1" t="s">
        <v>6961</v>
      </c>
      <c r="C3492" s="1" t="s">
        <v>1575</v>
      </c>
      <c r="D3492" s="10" t="s">
        <v>1575</v>
      </c>
      <c r="E3492" s="10" t="s">
        <v>1575</v>
      </c>
      <c r="F3492" s="10" t="s">
        <v>1575</v>
      </c>
      <c r="G3492" s="4">
        <f>100%-99.1%</f>
        <v>9.000000000000008E-3</v>
      </c>
      <c r="H3492" s="28">
        <v>40908</v>
      </c>
      <c r="I3492" s="29">
        <f t="shared" si="3355"/>
        <v>2011</v>
      </c>
      <c r="J3492" s="1" t="s">
        <v>6948</v>
      </c>
      <c r="K3492" s="1" t="s">
        <v>7</v>
      </c>
      <c r="L3492" s="11" t="str">
        <f t="shared" si="3352"/>
        <v>НЕТ</v>
      </c>
      <c r="M3492" s="10">
        <v>0</v>
      </c>
      <c r="N3492" s="10">
        <v>0</v>
      </c>
      <c r="O3492" s="10">
        <v>176.715</v>
      </c>
      <c r="P3492" s="10">
        <f t="shared" si="3353"/>
        <v>19634.999999999982</v>
      </c>
      <c r="Q3492" s="10" t="str">
        <f t="shared" si="3354"/>
        <v>NA</v>
      </c>
      <c r="R3492" s="10" t="s">
        <v>1575</v>
      </c>
      <c r="S3492" s="10" t="s">
        <v>1575</v>
      </c>
      <c r="T3492" s="10" t="s">
        <v>1575</v>
      </c>
      <c r="U3492" s="10" t="s">
        <v>1575</v>
      </c>
      <c r="V3492" s="10" t="s">
        <v>1575</v>
      </c>
      <c r="W3492" s="10" t="s">
        <v>1575</v>
      </c>
      <c r="X3492" s="10" t="str">
        <f t="shared" si="3356"/>
        <v>NA</v>
      </c>
      <c r="Y3492" s="10" t="str">
        <f t="shared" si="3357"/>
        <v>NA</v>
      </c>
      <c r="Z3492" s="10" t="str">
        <f t="shared" si="3358"/>
        <v>NA</v>
      </c>
      <c r="AA3492" s="10" t="str">
        <f t="shared" si="3359"/>
        <v>NA</v>
      </c>
      <c r="AB3492" s="10" t="str">
        <f t="shared" si="3360"/>
        <v>NA</v>
      </c>
      <c r="AC3492" s="10" t="str">
        <f t="shared" si="3361"/>
        <v>NA</v>
      </c>
      <c r="AD3492" s="10" t="str">
        <f t="shared" si="3362"/>
        <v>NA</v>
      </c>
      <c r="AE3492" s="10" t="str">
        <f t="shared" si="3363"/>
        <v>NA</v>
      </c>
      <c r="AF3492" s="1" t="s">
        <v>1082</v>
      </c>
    </row>
    <row r="3493" spans="1:32" x14ac:dyDescent="0.2">
      <c r="A3493" s="1" t="s">
        <v>6968</v>
      </c>
      <c r="C3493" s="1" t="s">
        <v>1575</v>
      </c>
      <c r="D3493" s="10" t="s">
        <v>1575</v>
      </c>
      <c r="E3493" s="10" t="s">
        <v>1575</v>
      </c>
      <c r="F3493" s="10" t="s">
        <v>1575</v>
      </c>
      <c r="G3493" s="4">
        <f>99.1%-94.8%</f>
        <v>4.3000000000000038E-2</v>
      </c>
      <c r="H3493" s="28">
        <v>40543</v>
      </c>
      <c r="I3493" s="29">
        <f t="shared" si="3355"/>
        <v>2010</v>
      </c>
      <c r="J3493" s="1" t="s">
        <v>6948</v>
      </c>
      <c r="K3493" s="1" t="s">
        <v>7</v>
      </c>
      <c r="L3493" s="11" t="str">
        <f t="shared" si="3352"/>
        <v>НЕТ</v>
      </c>
      <c r="M3493" s="10">
        <v>0</v>
      </c>
      <c r="N3493" s="10">
        <v>0</v>
      </c>
      <c r="O3493" s="10">
        <v>448.983</v>
      </c>
      <c r="P3493" s="10">
        <f t="shared" si="3353"/>
        <v>10441.465116279061</v>
      </c>
      <c r="Q3493" s="10" t="str">
        <f t="shared" si="3354"/>
        <v>NA</v>
      </c>
      <c r="R3493" s="10" t="s">
        <v>1575</v>
      </c>
      <c r="S3493" s="10" t="s">
        <v>1575</v>
      </c>
      <c r="T3493" s="10" t="s">
        <v>1575</v>
      </c>
      <c r="U3493" s="10" t="s">
        <v>1575</v>
      </c>
      <c r="V3493" s="10" t="s">
        <v>1575</v>
      </c>
      <c r="W3493" s="10" t="s">
        <v>1575</v>
      </c>
      <c r="X3493" s="10" t="str">
        <f t="shared" si="3356"/>
        <v>NA</v>
      </c>
      <c r="Y3493" s="10" t="str">
        <f t="shared" si="3357"/>
        <v>NA</v>
      </c>
      <c r="Z3493" s="10" t="str">
        <f t="shared" si="3358"/>
        <v>NA</v>
      </c>
      <c r="AA3493" s="10" t="str">
        <f t="shared" si="3359"/>
        <v>NA</v>
      </c>
      <c r="AB3493" s="10" t="str">
        <f t="shared" si="3360"/>
        <v>NA</v>
      </c>
      <c r="AC3493" s="10" t="str">
        <f t="shared" si="3361"/>
        <v>NA</v>
      </c>
      <c r="AD3493" s="10" t="str">
        <f t="shared" si="3362"/>
        <v>NA</v>
      </c>
      <c r="AE3493" s="10" t="str">
        <f t="shared" si="3363"/>
        <v>NA</v>
      </c>
      <c r="AF3493" s="1" t="s">
        <v>1081</v>
      </c>
    </row>
    <row r="3494" spans="1:32" x14ac:dyDescent="0.2">
      <c r="A3494" s="1" t="s">
        <v>6964</v>
      </c>
      <c r="B3494" s="1" t="s">
        <v>3</v>
      </c>
      <c r="C3494" s="1" t="s">
        <v>2260</v>
      </c>
      <c r="D3494" s="1" t="s">
        <v>1689</v>
      </c>
      <c r="E3494" s="1" t="s">
        <v>3027</v>
      </c>
      <c r="F3494" s="1" t="s">
        <v>603</v>
      </c>
      <c r="H3494" s="28">
        <v>40543</v>
      </c>
      <c r="I3494" s="29">
        <f t="shared" si="3355"/>
        <v>2010</v>
      </c>
      <c r="J3494" s="1" t="s">
        <v>6965</v>
      </c>
      <c r="K3494" s="1" t="s">
        <v>6948</v>
      </c>
      <c r="L3494" s="11" t="str">
        <f t="shared" si="3352"/>
        <v>НЕТ</v>
      </c>
      <c r="M3494" s="10">
        <v>0</v>
      </c>
      <c r="N3494" s="10">
        <v>0</v>
      </c>
      <c r="O3494" s="10">
        <v>5.3826669999999996</v>
      </c>
      <c r="P3494" s="10" t="str">
        <f t="shared" si="3353"/>
        <v>NA</v>
      </c>
      <c r="Q3494" s="10" t="str">
        <f t="shared" si="3354"/>
        <v>NA</v>
      </c>
      <c r="R3494" s="10" t="s">
        <v>1575</v>
      </c>
      <c r="S3494" s="10" t="s">
        <v>1575</v>
      </c>
      <c r="T3494" s="10" t="s">
        <v>1575</v>
      </c>
      <c r="U3494" s="10" t="s">
        <v>1575</v>
      </c>
      <c r="V3494" s="10" t="s">
        <v>1575</v>
      </c>
      <c r="W3494" s="10" t="s">
        <v>1575</v>
      </c>
      <c r="X3494" s="10" t="str">
        <f t="shared" si="3356"/>
        <v>NA</v>
      </c>
      <c r="Y3494" s="10" t="str">
        <f t="shared" si="3357"/>
        <v>NA</v>
      </c>
      <c r="Z3494" s="10" t="str">
        <f t="shared" si="3358"/>
        <v>NA</v>
      </c>
      <c r="AA3494" s="10" t="str">
        <f t="shared" si="3359"/>
        <v>NA</v>
      </c>
      <c r="AB3494" s="10" t="str">
        <f t="shared" si="3360"/>
        <v>NA</v>
      </c>
      <c r="AC3494" s="10" t="str">
        <f t="shared" si="3361"/>
        <v>NA</v>
      </c>
      <c r="AD3494" s="10" t="str">
        <f t="shared" si="3362"/>
        <v>NA</v>
      </c>
      <c r="AE3494" s="10" t="str">
        <f t="shared" si="3363"/>
        <v>NA</v>
      </c>
      <c r="AF3494" s="1" t="s">
        <v>1080</v>
      </c>
    </row>
    <row r="3495" spans="1:32" x14ac:dyDescent="0.2">
      <c r="A3495" s="1" t="s">
        <v>6969</v>
      </c>
      <c r="B3495" s="1" t="s">
        <v>5</v>
      </c>
      <c r="C3495" s="1" t="s">
        <v>1575</v>
      </c>
      <c r="D3495" s="10" t="s">
        <v>1575</v>
      </c>
      <c r="E3495" s="10" t="s">
        <v>1575</v>
      </c>
      <c r="F3495" s="1" t="s">
        <v>1745</v>
      </c>
      <c r="G3495" s="9">
        <v>0.32500000000000001</v>
      </c>
      <c r="H3495" s="28">
        <v>42185</v>
      </c>
      <c r="I3495" s="29">
        <f t="shared" si="3355"/>
        <v>2015</v>
      </c>
      <c r="J3495" s="1" t="s">
        <v>1742</v>
      </c>
      <c r="K3495" s="1" t="s">
        <v>7</v>
      </c>
      <c r="L3495" s="11" t="str">
        <f t="shared" si="3352"/>
        <v>НЕТ</v>
      </c>
      <c r="M3495" s="10">
        <v>0</v>
      </c>
      <c r="N3495" s="10">
        <v>0</v>
      </c>
      <c r="O3495" s="10"/>
      <c r="P3495" s="10">
        <f t="shared" si="3353"/>
        <v>0</v>
      </c>
      <c r="Q3495" s="10" t="str">
        <f t="shared" si="3354"/>
        <v>NA</v>
      </c>
      <c r="R3495" s="10" t="s">
        <v>1575</v>
      </c>
      <c r="S3495" s="10" t="s">
        <v>1575</v>
      </c>
      <c r="T3495" s="10" t="s">
        <v>1575</v>
      </c>
      <c r="U3495" s="10" t="s">
        <v>1575</v>
      </c>
      <c r="V3495" s="10" t="s">
        <v>1575</v>
      </c>
      <c r="W3495" s="10" t="s">
        <v>1575</v>
      </c>
      <c r="X3495" s="10" t="str">
        <f t="shared" si="3356"/>
        <v>NA</v>
      </c>
      <c r="Y3495" s="10" t="str">
        <f t="shared" si="3357"/>
        <v>NA</v>
      </c>
      <c r="Z3495" s="10" t="str">
        <f t="shared" si="3358"/>
        <v>NA</v>
      </c>
      <c r="AA3495" s="10" t="str">
        <f t="shared" si="3359"/>
        <v>NA</v>
      </c>
      <c r="AB3495" s="10" t="str">
        <f t="shared" si="3360"/>
        <v>NA</v>
      </c>
      <c r="AC3495" s="10" t="str">
        <f t="shared" si="3361"/>
        <v>NA</v>
      </c>
      <c r="AD3495" s="10" t="str">
        <f t="shared" si="3362"/>
        <v>NA</v>
      </c>
      <c r="AE3495" s="10" t="str">
        <f t="shared" si="3363"/>
        <v>NA</v>
      </c>
      <c r="AF3495" s="1" t="s">
        <v>1744</v>
      </c>
    </row>
    <row r="3496" spans="1:32" x14ac:dyDescent="0.2">
      <c r="A3496" s="1" t="s">
        <v>1749</v>
      </c>
      <c r="B3496" s="1" t="s">
        <v>1747</v>
      </c>
      <c r="C3496" s="1" t="s">
        <v>1575</v>
      </c>
      <c r="D3496" s="1" t="s">
        <v>1615</v>
      </c>
      <c r="E3496" s="1" t="s">
        <v>1616</v>
      </c>
      <c r="F3496" s="1" t="s">
        <v>1746</v>
      </c>
      <c r="G3496" s="9">
        <v>0.55000000000000004</v>
      </c>
      <c r="H3496" s="28">
        <v>41869</v>
      </c>
      <c r="I3496" s="29">
        <f t="shared" si="3355"/>
        <v>2014</v>
      </c>
      <c r="J3496" s="1" t="s">
        <v>1742</v>
      </c>
      <c r="K3496" s="1" t="s">
        <v>7</v>
      </c>
      <c r="L3496" s="11" t="str">
        <f t="shared" si="3352"/>
        <v>НЕТ</v>
      </c>
      <c r="M3496" s="10">
        <v>0</v>
      </c>
      <c r="N3496" s="10">
        <v>0</v>
      </c>
      <c r="O3496" s="10">
        <v>2.7582589999999998</v>
      </c>
      <c r="P3496" s="10">
        <f t="shared" si="3353"/>
        <v>5.0150163636363629</v>
      </c>
      <c r="Q3496" s="10" t="str">
        <f t="shared" si="3354"/>
        <v>NA</v>
      </c>
      <c r="R3496" s="10" t="s">
        <v>1575</v>
      </c>
      <c r="S3496" s="10" t="s">
        <v>1575</v>
      </c>
      <c r="T3496" s="10" t="s">
        <v>1575</v>
      </c>
      <c r="U3496" s="10" t="s">
        <v>1575</v>
      </c>
      <c r="V3496" s="10">
        <f>0.654739</f>
        <v>0.65473899999999996</v>
      </c>
      <c r="W3496" s="10" t="s">
        <v>1575</v>
      </c>
      <c r="X3496" s="10" t="str">
        <f t="shared" si="3356"/>
        <v>NA</v>
      </c>
      <c r="Y3496" s="10" t="str">
        <f t="shared" si="3357"/>
        <v>NA</v>
      </c>
      <c r="Z3496" s="10" t="str">
        <f t="shared" si="3358"/>
        <v>NA</v>
      </c>
      <c r="AA3496" s="10">
        <f t="shared" si="3359"/>
        <v>7.6595656645416925</v>
      </c>
      <c r="AB3496" s="10" t="str">
        <f t="shared" si="3360"/>
        <v>NA</v>
      </c>
      <c r="AC3496" s="10" t="str">
        <f t="shared" si="3361"/>
        <v>NA</v>
      </c>
      <c r="AD3496" s="10" t="str">
        <f t="shared" si="3362"/>
        <v>NA</v>
      </c>
      <c r="AE3496" s="10" t="str">
        <f t="shared" si="3363"/>
        <v>NA</v>
      </c>
      <c r="AF3496" s="1" t="s">
        <v>1748</v>
      </c>
    </row>
    <row r="3497" spans="1:32" x14ac:dyDescent="0.2">
      <c r="A3497" s="1" t="s">
        <v>6970</v>
      </c>
      <c r="B3497" s="1" t="s">
        <v>5</v>
      </c>
      <c r="C3497" s="1" t="s">
        <v>1575</v>
      </c>
      <c r="D3497" s="1" t="s">
        <v>1689</v>
      </c>
      <c r="E3497" s="1" t="s">
        <v>3026</v>
      </c>
      <c r="F3497" s="1" t="s">
        <v>572</v>
      </c>
      <c r="G3497" s="4">
        <f>9.97%-9.27%</f>
        <v>7.0000000000000201E-3</v>
      </c>
      <c r="H3497" s="28">
        <v>41759</v>
      </c>
      <c r="I3497" s="29">
        <f t="shared" si="3355"/>
        <v>2014</v>
      </c>
      <c r="J3497" s="1" t="s">
        <v>1742</v>
      </c>
      <c r="K3497" s="1" t="s">
        <v>7</v>
      </c>
      <c r="L3497" s="11" t="str">
        <f t="shared" si="3352"/>
        <v>НЕТ</v>
      </c>
      <c r="M3497" s="10">
        <v>0</v>
      </c>
      <c r="N3497" s="10">
        <v>0</v>
      </c>
      <c r="O3497" s="10">
        <v>0.46065699999999998</v>
      </c>
      <c r="P3497" s="10">
        <f t="shared" si="3353"/>
        <v>65.80814285714267</v>
      </c>
      <c r="Q3497" s="10" t="str">
        <f t="shared" si="3354"/>
        <v>NA</v>
      </c>
      <c r="R3497" s="10" t="s">
        <v>1575</v>
      </c>
      <c r="S3497" s="10" t="s">
        <v>1575</v>
      </c>
      <c r="T3497" s="10" t="s">
        <v>1575</v>
      </c>
      <c r="U3497" s="10" t="s">
        <v>1575</v>
      </c>
      <c r="V3497" s="10" t="s">
        <v>1575</v>
      </c>
      <c r="W3497" s="10" t="s">
        <v>1575</v>
      </c>
      <c r="X3497" s="10" t="str">
        <f t="shared" si="3356"/>
        <v>NA</v>
      </c>
      <c r="Y3497" s="10" t="str">
        <f t="shared" si="3357"/>
        <v>NA</v>
      </c>
      <c r="Z3497" s="10" t="str">
        <f t="shared" si="3358"/>
        <v>NA</v>
      </c>
      <c r="AA3497" s="10" t="str">
        <f t="shared" si="3359"/>
        <v>NA</v>
      </c>
      <c r="AB3497" s="10" t="str">
        <f t="shared" si="3360"/>
        <v>NA</v>
      </c>
      <c r="AC3497" s="10" t="str">
        <f t="shared" si="3361"/>
        <v>NA</v>
      </c>
      <c r="AD3497" s="10" t="str">
        <f t="shared" si="3362"/>
        <v>NA</v>
      </c>
      <c r="AE3497" s="10" t="str">
        <f t="shared" si="3363"/>
        <v>NA</v>
      </c>
      <c r="AF3497" s="1" t="s">
        <v>1755</v>
      </c>
    </row>
    <row r="3498" spans="1:32" x14ac:dyDescent="0.2">
      <c r="A3498" s="1" t="s">
        <v>604</v>
      </c>
      <c r="B3498" s="1" t="s">
        <v>5</v>
      </c>
      <c r="C3498" s="1" t="s">
        <v>1700</v>
      </c>
      <c r="D3498" s="1" t="s">
        <v>1689</v>
      </c>
      <c r="E3498" s="1" t="s">
        <v>3027</v>
      </c>
      <c r="F3498" s="1" t="s">
        <v>603</v>
      </c>
      <c r="G3498" s="4">
        <v>0.19989999999999999</v>
      </c>
      <c r="H3498" s="28">
        <v>41627</v>
      </c>
      <c r="I3498" s="29">
        <f t="shared" si="3355"/>
        <v>2013</v>
      </c>
      <c r="J3498" s="1" t="s">
        <v>1742</v>
      </c>
      <c r="K3498" s="1" t="s">
        <v>7</v>
      </c>
      <c r="L3498" s="11" t="str">
        <f t="shared" si="3352"/>
        <v>НЕТ</v>
      </c>
      <c r="M3498" s="10">
        <v>0</v>
      </c>
      <c r="N3498" s="10">
        <v>0</v>
      </c>
      <c r="O3498" s="10">
        <v>101.400333</v>
      </c>
      <c r="P3498" s="10">
        <f t="shared" si="3353"/>
        <v>507.2552926463232</v>
      </c>
      <c r="Q3498" s="10">
        <f t="shared" si="3354"/>
        <v>608.25529264632314</v>
      </c>
      <c r="R3498" s="10">
        <v>122.81100000000001</v>
      </c>
      <c r="S3498" s="10">
        <v>71.957000000000008</v>
      </c>
      <c r="T3498" s="10">
        <v>57.67</v>
      </c>
      <c r="U3498" s="10">
        <v>49.643999999999998</v>
      </c>
      <c r="V3498" s="10">
        <v>266.20399999999995</v>
      </c>
      <c r="W3498" s="10">
        <v>101</v>
      </c>
      <c r="X3498" s="10">
        <f t="shared" si="3356"/>
        <v>367.20399999999995</v>
      </c>
      <c r="Y3498" s="10">
        <f t="shared" si="3357"/>
        <v>4.1303734408670492</v>
      </c>
      <c r="Z3498" s="10">
        <f t="shared" si="3358"/>
        <v>10.217856994728935</v>
      </c>
      <c r="AA3498" s="10">
        <f t="shared" si="3359"/>
        <v>1.9055134131956066</v>
      </c>
      <c r="AB3498" s="10">
        <f t="shared" si="3360"/>
        <v>4.9527753429767944</v>
      </c>
      <c r="AC3498" s="10">
        <f t="shared" si="3361"/>
        <v>8.4530385180916809</v>
      </c>
      <c r="AD3498" s="10">
        <f t="shared" si="3362"/>
        <v>10.547169978261195</v>
      </c>
      <c r="AE3498" s="10">
        <f t="shared" si="3363"/>
        <v>1.6564506177664819</v>
      </c>
      <c r="AF3498" s="1" t="s">
        <v>1743</v>
      </c>
    </row>
    <row r="3499" spans="1:32" x14ac:dyDescent="0.2">
      <c r="A3499" s="1" t="s">
        <v>6971</v>
      </c>
      <c r="B3499" s="1" t="s">
        <v>5</v>
      </c>
      <c r="C3499" s="1" t="s">
        <v>1575</v>
      </c>
      <c r="D3499" s="1" t="s">
        <v>1615</v>
      </c>
      <c r="E3499" s="1" t="s">
        <v>1750</v>
      </c>
      <c r="F3499" s="1" t="s">
        <v>1752</v>
      </c>
      <c r="G3499" s="9">
        <v>1</v>
      </c>
      <c r="H3499" s="28">
        <v>41639</v>
      </c>
      <c r="I3499" s="29">
        <f t="shared" si="3355"/>
        <v>2013</v>
      </c>
      <c r="J3499" s="1" t="s">
        <v>7</v>
      </c>
      <c r="K3499" s="1" t="s">
        <v>1742</v>
      </c>
      <c r="L3499" s="11" t="str">
        <f t="shared" si="3352"/>
        <v>НЕТ</v>
      </c>
      <c r="M3499" s="10">
        <v>0</v>
      </c>
      <c r="N3499" s="10">
        <v>0</v>
      </c>
      <c r="O3499" s="10">
        <v>0.15</v>
      </c>
      <c r="P3499" s="10">
        <f t="shared" si="3353"/>
        <v>0.15</v>
      </c>
      <c r="Q3499" s="10" t="str">
        <f t="shared" si="3354"/>
        <v>NA</v>
      </c>
      <c r="R3499" s="10" t="s">
        <v>1575</v>
      </c>
      <c r="S3499" s="10" t="s">
        <v>1575</v>
      </c>
      <c r="T3499" s="10" t="s">
        <v>1575</v>
      </c>
      <c r="U3499" s="10" t="s">
        <v>1575</v>
      </c>
      <c r="V3499" s="10">
        <f>0.114926</f>
        <v>0.114926</v>
      </c>
      <c r="W3499" s="10" t="s">
        <v>1575</v>
      </c>
      <c r="X3499" s="10" t="str">
        <f t="shared" si="3356"/>
        <v>NA</v>
      </c>
      <c r="Y3499" s="10" t="str">
        <f t="shared" si="3357"/>
        <v>NA</v>
      </c>
      <c r="Z3499" s="10" t="str">
        <f t="shared" si="3358"/>
        <v>NA</v>
      </c>
      <c r="AA3499" s="10">
        <f t="shared" si="3359"/>
        <v>1.3051876859892453</v>
      </c>
      <c r="AB3499" s="10" t="str">
        <f t="shared" si="3360"/>
        <v>NA</v>
      </c>
      <c r="AC3499" s="10" t="str">
        <f t="shared" si="3361"/>
        <v>NA</v>
      </c>
      <c r="AD3499" s="10" t="str">
        <f t="shared" si="3362"/>
        <v>NA</v>
      </c>
      <c r="AE3499" s="10" t="str">
        <f t="shared" si="3363"/>
        <v>NA</v>
      </c>
      <c r="AF3499" s="1" t="s">
        <v>1751</v>
      </c>
    </row>
    <row r="3500" spans="1:32" x14ac:dyDescent="0.2">
      <c r="A3500" s="1" t="s">
        <v>1753</v>
      </c>
      <c r="C3500" s="1" t="s">
        <v>1575</v>
      </c>
      <c r="D3500" s="10" t="s">
        <v>1575</v>
      </c>
      <c r="E3500" s="10" t="s">
        <v>1575</v>
      </c>
      <c r="F3500" s="10" t="s">
        <v>1575</v>
      </c>
      <c r="G3500" s="9">
        <v>1</v>
      </c>
      <c r="H3500" s="28">
        <v>41639</v>
      </c>
      <c r="I3500" s="29">
        <f t="shared" si="3355"/>
        <v>2013</v>
      </c>
      <c r="J3500" s="1" t="s">
        <v>7</v>
      </c>
      <c r="K3500" s="1" t="s">
        <v>1742</v>
      </c>
      <c r="L3500" s="11" t="str">
        <f t="shared" si="3352"/>
        <v>НЕТ</v>
      </c>
      <c r="M3500" s="10">
        <v>0</v>
      </c>
      <c r="N3500" s="10">
        <v>0</v>
      </c>
      <c r="O3500" s="10">
        <v>0.55248600000000003</v>
      </c>
      <c r="P3500" s="10">
        <f t="shared" si="3353"/>
        <v>0.55248600000000003</v>
      </c>
      <c r="Q3500" s="10" t="str">
        <f t="shared" si="3354"/>
        <v>NA</v>
      </c>
      <c r="R3500" s="10" t="s">
        <v>1575</v>
      </c>
      <c r="S3500" s="10" t="s">
        <v>1575</v>
      </c>
      <c r="T3500" s="10" t="s">
        <v>1575</v>
      </c>
      <c r="U3500" s="10" t="s">
        <v>1575</v>
      </c>
      <c r="V3500" s="10">
        <f>0.638806</f>
        <v>0.63880599999999998</v>
      </c>
      <c r="W3500" s="10" t="s">
        <v>1575</v>
      </c>
      <c r="X3500" s="10" t="str">
        <f t="shared" si="3356"/>
        <v>NA</v>
      </c>
      <c r="Y3500" s="10" t="str">
        <f t="shared" si="3357"/>
        <v>NA</v>
      </c>
      <c r="Z3500" s="10" t="str">
        <f t="shared" si="3358"/>
        <v>NA</v>
      </c>
      <c r="AA3500" s="10">
        <f t="shared" si="3359"/>
        <v>0.86487290351061208</v>
      </c>
      <c r="AB3500" s="10" t="str">
        <f t="shared" si="3360"/>
        <v>NA</v>
      </c>
      <c r="AC3500" s="10" t="str">
        <f t="shared" si="3361"/>
        <v>NA</v>
      </c>
      <c r="AD3500" s="10" t="str">
        <f t="shared" si="3362"/>
        <v>NA</v>
      </c>
      <c r="AE3500" s="10" t="str">
        <f t="shared" si="3363"/>
        <v>NA</v>
      </c>
      <c r="AF3500" s="1" t="s">
        <v>1754</v>
      </c>
    </row>
    <row r="3501" spans="1:32" x14ac:dyDescent="0.2">
      <c r="A3501" s="1" t="s">
        <v>1756</v>
      </c>
      <c r="B3501" s="1" t="s">
        <v>5</v>
      </c>
      <c r="C3501" s="1" t="s">
        <v>1575</v>
      </c>
      <c r="D3501" s="1" t="s">
        <v>1689</v>
      </c>
      <c r="E3501" s="1" t="s">
        <v>3026</v>
      </c>
      <c r="F3501" s="1" t="s">
        <v>572</v>
      </c>
      <c r="G3501" s="4">
        <v>0.41199999999999998</v>
      </c>
      <c r="H3501" s="28">
        <v>40927</v>
      </c>
      <c r="I3501" s="29">
        <f t="shared" si="3355"/>
        <v>2012</v>
      </c>
      <c r="J3501" s="1" t="s">
        <v>1742</v>
      </c>
      <c r="K3501" s="1" t="s">
        <v>7</v>
      </c>
      <c r="L3501" s="11" t="str">
        <f t="shared" si="3352"/>
        <v>НЕТ</v>
      </c>
      <c r="M3501" s="10">
        <v>254.86600000000001</v>
      </c>
      <c r="N3501" s="10">
        <v>0</v>
      </c>
      <c r="O3501" s="10">
        <v>7.7628940000000002</v>
      </c>
      <c r="P3501" s="10">
        <f t="shared" si="3353"/>
        <v>18.84197572815534</v>
      </c>
      <c r="Q3501" s="10" t="str">
        <f t="shared" si="3354"/>
        <v>NA</v>
      </c>
      <c r="R3501" s="10" t="s">
        <v>1575</v>
      </c>
      <c r="S3501" s="10" t="s">
        <v>1575</v>
      </c>
      <c r="T3501" s="10" t="s">
        <v>1575</v>
      </c>
      <c r="U3501" s="10" t="s">
        <v>1575</v>
      </c>
      <c r="V3501" s="10" t="s">
        <v>1575</v>
      </c>
      <c r="W3501" s="10" t="s">
        <v>1575</v>
      </c>
      <c r="X3501" s="10" t="str">
        <f t="shared" si="3356"/>
        <v>NA</v>
      </c>
      <c r="Y3501" s="10" t="str">
        <f t="shared" si="3357"/>
        <v>NA</v>
      </c>
      <c r="Z3501" s="10" t="str">
        <f t="shared" si="3358"/>
        <v>NA</v>
      </c>
      <c r="AA3501" s="10" t="str">
        <f t="shared" si="3359"/>
        <v>NA</v>
      </c>
      <c r="AB3501" s="10" t="str">
        <f t="shared" si="3360"/>
        <v>NA</v>
      </c>
      <c r="AC3501" s="10" t="str">
        <f t="shared" si="3361"/>
        <v>NA</v>
      </c>
      <c r="AD3501" s="10" t="str">
        <f t="shared" si="3362"/>
        <v>NA</v>
      </c>
      <c r="AE3501" s="10" t="str">
        <f t="shared" si="3363"/>
        <v>NA</v>
      </c>
      <c r="AF3501" s="1" t="s">
        <v>1758</v>
      </c>
    </row>
    <row r="3502" spans="1:32" x14ac:dyDescent="0.2">
      <c r="A3502" s="1" t="s">
        <v>1756</v>
      </c>
      <c r="B3502" s="1" t="s">
        <v>5</v>
      </c>
      <c r="C3502" s="1" t="s">
        <v>1575</v>
      </c>
      <c r="D3502" s="1" t="s">
        <v>1689</v>
      </c>
      <c r="E3502" s="1" t="s">
        <v>3026</v>
      </c>
      <c r="F3502" s="1" t="s">
        <v>572</v>
      </c>
      <c r="G3502" s="4">
        <v>0.123</v>
      </c>
      <c r="H3502" s="28">
        <v>41182</v>
      </c>
      <c r="I3502" s="29">
        <f t="shared" si="3355"/>
        <v>2012</v>
      </c>
      <c r="J3502" s="1" t="s">
        <v>1742</v>
      </c>
      <c r="K3502" s="1" t="s">
        <v>7</v>
      </c>
      <c r="L3502" s="11" t="str">
        <f t="shared" si="3352"/>
        <v>НЕТ</v>
      </c>
      <c r="M3502" s="10">
        <v>0</v>
      </c>
      <c r="N3502" s="10">
        <v>0</v>
      </c>
      <c r="O3502" s="10">
        <v>2.3221500000000002</v>
      </c>
      <c r="P3502" s="10">
        <f t="shared" si="3353"/>
        <v>18.87926829268293</v>
      </c>
      <c r="Q3502" s="10" t="str">
        <f t="shared" si="3354"/>
        <v>NA</v>
      </c>
      <c r="R3502" s="10" t="s">
        <v>1575</v>
      </c>
      <c r="S3502" s="10" t="s">
        <v>1575</v>
      </c>
      <c r="T3502" s="10" t="s">
        <v>1575</v>
      </c>
      <c r="U3502" s="10" t="s">
        <v>1575</v>
      </c>
      <c r="V3502" s="10" t="s">
        <v>1575</v>
      </c>
      <c r="W3502" s="10" t="s">
        <v>1575</v>
      </c>
      <c r="X3502" s="10" t="str">
        <f t="shared" si="3356"/>
        <v>NA</v>
      </c>
      <c r="Y3502" s="10" t="str">
        <f t="shared" si="3357"/>
        <v>NA</v>
      </c>
      <c r="Z3502" s="10" t="str">
        <f t="shared" si="3358"/>
        <v>NA</v>
      </c>
      <c r="AA3502" s="10" t="str">
        <f t="shared" si="3359"/>
        <v>NA</v>
      </c>
      <c r="AB3502" s="10" t="str">
        <f t="shared" si="3360"/>
        <v>NA</v>
      </c>
      <c r="AC3502" s="10" t="str">
        <f t="shared" si="3361"/>
        <v>NA</v>
      </c>
      <c r="AD3502" s="10" t="str">
        <f t="shared" si="3362"/>
        <v>NA</v>
      </c>
      <c r="AE3502" s="10" t="str">
        <f t="shared" si="3363"/>
        <v>NA</v>
      </c>
      <c r="AF3502" s="1" t="s">
        <v>1757</v>
      </c>
    </row>
    <row r="3503" spans="1:32" x14ac:dyDescent="0.2">
      <c r="A3503" s="1" t="s">
        <v>6972</v>
      </c>
      <c r="B3503" s="1" t="s">
        <v>5</v>
      </c>
      <c r="C3503" s="1" t="s">
        <v>1575</v>
      </c>
      <c r="D3503" s="1" t="s">
        <v>1689</v>
      </c>
      <c r="E3503" s="1" t="s">
        <v>1761</v>
      </c>
      <c r="F3503" s="1" t="s">
        <v>1762</v>
      </c>
      <c r="G3503" s="4"/>
      <c r="H3503" s="28">
        <v>41274</v>
      </c>
      <c r="I3503" s="29">
        <f t="shared" si="3355"/>
        <v>2012</v>
      </c>
      <c r="J3503" s="1" t="s">
        <v>1742</v>
      </c>
      <c r="K3503" s="1" t="s">
        <v>7</v>
      </c>
      <c r="L3503" s="11" t="str">
        <f t="shared" si="3352"/>
        <v>НЕТ</v>
      </c>
      <c r="M3503" s="10">
        <v>8.266</v>
      </c>
      <c r="N3503" s="10">
        <v>0</v>
      </c>
      <c r="O3503" s="10">
        <v>0</v>
      </c>
      <c r="P3503" s="10" t="str">
        <f t="shared" si="3353"/>
        <v>NA</v>
      </c>
      <c r="Q3503" s="10" t="str">
        <f t="shared" si="3354"/>
        <v>NA</v>
      </c>
      <c r="R3503" s="10" t="s">
        <v>1575</v>
      </c>
      <c r="S3503" s="10" t="s">
        <v>1575</v>
      </c>
      <c r="T3503" s="10" t="s">
        <v>1575</v>
      </c>
      <c r="U3503" s="10" t="s">
        <v>1575</v>
      </c>
      <c r="V3503" s="10" t="s">
        <v>1575</v>
      </c>
      <c r="W3503" s="10" t="s">
        <v>1575</v>
      </c>
      <c r="X3503" s="10" t="str">
        <f t="shared" si="3356"/>
        <v>NA</v>
      </c>
      <c r="Y3503" s="10" t="str">
        <f t="shared" si="3357"/>
        <v>NA</v>
      </c>
      <c r="Z3503" s="10" t="str">
        <f t="shared" si="3358"/>
        <v>NA</v>
      </c>
      <c r="AA3503" s="10" t="str">
        <f t="shared" si="3359"/>
        <v>NA</v>
      </c>
      <c r="AB3503" s="10" t="str">
        <f t="shared" si="3360"/>
        <v>NA</v>
      </c>
      <c r="AC3503" s="10" t="str">
        <f t="shared" si="3361"/>
        <v>NA</v>
      </c>
      <c r="AD3503" s="10" t="str">
        <f t="shared" si="3362"/>
        <v>NA</v>
      </c>
      <c r="AE3503" s="10" t="str">
        <f t="shared" si="3363"/>
        <v>NA</v>
      </c>
      <c r="AF3503" s="1" t="s">
        <v>1759</v>
      </c>
    </row>
    <row r="3504" spans="1:32" x14ac:dyDescent="0.2">
      <c r="A3504" s="1" t="s">
        <v>6973</v>
      </c>
      <c r="B3504" s="1" t="s">
        <v>5</v>
      </c>
      <c r="C3504" s="1" t="s">
        <v>1575</v>
      </c>
      <c r="D3504" s="1" t="s">
        <v>1689</v>
      </c>
      <c r="E3504" s="1" t="s">
        <v>1690</v>
      </c>
      <c r="F3504" s="1" t="s">
        <v>1763</v>
      </c>
      <c r="G3504" s="4">
        <v>0.10100000000000001</v>
      </c>
      <c r="H3504" s="28">
        <v>40908</v>
      </c>
      <c r="I3504" s="29">
        <f t="shared" si="3355"/>
        <v>2011</v>
      </c>
      <c r="J3504" s="1" t="s">
        <v>1742</v>
      </c>
      <c r="K3504" s="1" t="s">
        <v>7</v>
      </c>
      <c r="L3504" s="11" t="str">
        <f t="shared" si="3352"/>
        <v>НЕТ</v>
      </c>
      <c r="M3504" s="10">
        <v>23.132000000000001</v>
      </c>
      <c r="N3504" s="10">
        <v>0</v>
      </c>
      <c r="O3504" s="10">
        <v>0</v>
      </c>
      <c r="P3504" s="10">
        <f t="shared" si="3353"/>
        <v>0</v>
      </c>
      <c r="Q3504" s="10" t="str">
        <f t="shared" si="3354"/>
        <v>NA</v>
      </c>
      <c r="R3504" s="10" t="s">
        <v>1575</v>
      </c>
      <c r="S3504" s="10" t="s">
        <v>1575</v>
      </c>
      <c r="T3504" s="10" t="s">
        <v>1575</v>
      </c>
      <c r="U3504" s="10" t="s">
        <v>1575</v>
      </c>
      <c r="V3504" s="10" t="s">
        <v>1575</v>
      </c>
      <c r="W3504" s="10" t="s">
        <v>1575</v>
      </c>
      <c r="X3504" s="10" t="str">
        <f t="shared" si="3356"/>
        <v>NA</v>
      </c>
      <c r="Y3504" s="10" t="str">
        <f t="shared" si="3357"/>
        <v>NA</v>
      </c>
      <c r="Z3504" s="10" t="str">
        <f t="shared" si="3358"/>
        <v>NA</v>
      </c>
      <c r="AA3504" s="10" t="str">
        <f t="shared" si="3359"/>
        <v>NA</v>
      </c>
      <c r="AB3504" s="10" t="str">
        <f t="shared" si="3360"/>
        <v>NA</v>
      </c>
      <c r="AC3504" s="10" t="str">
        <f t="shared" si="3361"/>
        <v>NA</v>
      </c>
      <c r="AD3504" s="10" t="str">
        <f t="shared" si="3362"/>
        <v>NA</v>
      </c>
      <c r="AE3504" s="10" t="str">
        <f t="shared" si="3363"/>
        <v>NA</v>
      </c>
      <c r="AF3504" s="1" t="s">
        <v>1760</v>
      </c>
    </row>
    <row r="3505" spans="1:32" x14ac:dyDescent="0.2">
      <c r="A3505" s="1" t="s">
        <v>6974</v>
      </c>
      <c r="B3505" s="1" t="s">
        <v>5</v>
      </c>
      <c r="C3505" s="1" t="s">
        <v>1575</v>
      </c>
      <c r="D3505" s="10" t="s">
        <v>1575</v>
      </c>
      <c r="E3505" s="10" t="s">
        <v>1575</v>
      </c>
      <c r="F3505" s="1" t="s">
        <v>1084</v>
      </c>
      <c r="G3505" s="4">
        <v>1</v>
      </c>
      <c r="H3505" s="28">
        <v>43585</v>
      </c>
      <c r="I3505" s="29">
        <f t="shared" si="3355"/>
        <v>2019</v>
      </c>
      <c r="J3505" s="1" t="s">
        <v>634</v>
      </c>
      <c r="K3505" s="1" t="s">
        <v>7</v>
      </c>
      <c r="L3505" s="11" t="str">
        <f t="shared" si="3352"/>
        <v>НЕТ</v>
      </c>
      <c r="M3505" s="10">
        <v>0</v>
      </c>
      <c r="N3505" s="10">
        <v>0</v>
      </c>
      <c r="O3505" s="10">
        <v>0.33500000000000002</v>
      </c>
      <c r="P3505" s="10">
        <f t="shared" si="3353"/>
        <v>0.33500000000000002</v>
      </c>
      <c r="Q3505" s="10" t="str">
        <f t="shared" si="3354"/>
        <v>NA</v>
      </c>
      <c r="R3505" s="10" t="s">
        <v>1575</v>
      </c>
      <c r="S3505" s="10" t="s">
        <v>1575</v>
      </c>
      <c r="T3505" s="10" t="s">
        <v>1575</v>
      </c>
      <c r="U3505" s="10" t="s">
        <v>1575</v>
      </c>
      <c r="V3505" s="10" t="s">
        <v>1575</v>
      </c>
      <c r="W3505" s="10" t="s">
        <v>1575</v>
      </c>
      <c r="X3505" s="10" t="str">
        <f t="shared" si="3356"/>
        <v>NA</v>
      </c>
      <c r="Y3505" s="10" t="str">
        <f t="shared" si="3357"/>
        <v>NA</v>
      </c>
      <c r="Z3505" s="10" t="str">
        <f t="shared" si="3358"/>
        <v>NA</v>
      </c>
      <c r="AA3505" s="10" t="str">
        <f t="shared" si="3359"/>
        <v>NA</v>
      </c>
      <c r="AB3505" s="10" t="str">
        <f t="shared" si="3360"/>
        <v>NA</v>
      </c>
      <c r="AC3505" s="10" t="str">
        <f t="shared" si="3361"/>
        <v>NA</v>
      </c>
      <c r="AD3505" s="10" t="str">
        <f t="shared" si="3362"/>
        <v>NA</v>
      </c>
      <c r="AE3505" s="10" t="str">
        <f t="shared" si="3363"/>
        <v>NA</v>
      </c>
      <c r="AF3505" s="1" t="s">
        <v>1085</v>
      </c>
    </row>
    <row r="3506" spans="1:32" x14ac:dyDescent="0.2">
      <c r="A3506" s="1" t="s">
        <v>6975</v>
      </c>
      <c r="B3506" s="1" t="s">
        <v>5</v>
      </c>
      <c r="C3506" s="1" t="s">
        <v>1575</v>
      </c>
      <c r="D3506" s="1" t="s">
        <v>1689</v>
      </c>
      <c r="E3506" s="1" t="s">
        <v>1698</v>
      </c>
      <c r="F3506" s="1" t="s">
        <v>1086</v>
      </c>
      <c r="G3506" s="4">
        <v>1</v>
      </c>
      <c r="H3506" s="28">
        <v>44473</v>
      </c>
      <c r="I3506" s="29">
        <f t="shared" si="3355"/>
        <v>2021</v>
      </c>
      <c r="J3506" s="1" t="s">
        <v>5765</v>
      </c>
      <c r="K3506" s="1" t="s">
        <v>7</v>
      </c>
      <c r="L3506" s="11" t="str">
        <f t="shared" si="3352"/>
        <v>НЕТ</v>
      </c>
      <c r="M3506" s="10">
        <v>0</v>
      </c>
      <c r="N3506" s="10">
        <v>0</v>
      </c>
      <c r="O3506" s="10"/>
      <c r="P3506" s="10">
        <f t="shared" si="3353"/>
        <v>0</v>
      </c>
      <c r="Q3506" s="10" t="str">
        <f t="shared" si="3354"/>
        <v>NA</v>
      </c>
      <c r="R3506" s="10" t="s">
        <v>1575</v>
      </c>
      <c r="S3506" s="10" t="s">
        <v>1575</v>
      </c>
      <c r="T3506" s="10" t="s">
        <v>1575</v>
      </c>
      <c r="U3506" s="10" t="s">
        <v>1575</v>
      </c>
      <c r="V3506" s="10" t="s">
        <v>1575</v>
      </c>
      <c r="W3506" s="10" t="s">
        <v>1575</v>
      </c>
      <c r="X3506" s="10" t="str">
        <f t="shared" si="3356"/>
        <v>NA</v>
      </c>
      <c r="Y3506" s="10" t="str">
        <f t="shared" si="3357"/>
        <v>NA</v>
      </c>
      <c r="Z3506" s="10" t="str">
        <f t="shared" si="3358"/>
        <v>NA</v>
      </c>
      <c r="AA3506" s="10" t="str">
        <f t="shared" si="3359"/>
        <v>NA</v>
      </c>
      <c r="AB3506" s="10" t="str">
        <f t="shared" si="3360"/>
        <v>NA</v>
      </c>
      <c r="AC3506" s="10" t="str">
        <f t="shared" si="3361"/>
        <v>NA</v>
      </c>
      <c r="AD3506" s="10" t="str">
        <f t="shared" si="3362"/>
        <v>NA</v>
      </c>
      <c r="AE3506" s="10" t="str">
        <f t="shared" si="3363"/>
        <v>NA</v>
      </c>
      <c r="AF3506" s="1" t="s">
        <v>1087</v>
      </c>
    </row>
    <row r="3507" spans="1:32" x14ac:dyDescent="0.2">
      <c r="A3507" s="1" t="s">
        <v>6976</v>
      </c>
      <c r="B3507" s="1" t="s">
        <v>5</v>
      </c>
      <c r="C3507" s="1" t="s">
        <v>1575</v>
      </c>
      <c r="D3507" s="1" t="s">
        <v>1689</v>
      </c>
      <c r="E3507" s="1" t="s">
        <v>1698</v>
      </c>
      <c r="F3507" s="1" t="s">
        <v>583</v>
      </c>
      <c r="G3507" s="4">
        <v>0.4</v>
      </c>
      <c r="H3507" s="28">
        <v>44196</v>
      </c>
      <c r="I3507" s="29">
        <f t="shared" si="3355"/>
        <v>2020</v>
      </c>
      <c r="J3507" s="1" t="s">
        <v>7</v>
      </c>
      <c r="K3507" s="1" t="s">
        <v>5765</v>
      </c>
      <c r="L3507" s="11" t="str">
        <f t="shared" si="3352"/>
        <v>НЕТ</v>
      </c>
      <c r="M3507" s="10">
        <v>0</v>
      </c>
      <c r="N3507" s="10">
        <v>0</v>
      </c>
      <c r="O3507" s="10">
        <v>19.004000000000001</v>
      </c>
      <c r="P3507" s="10">
        <f t="shared" si="3353"/>
        <v>47.51</v>
      </c>
      <c r="Q3507" s="10" t="str">
        <f t="shared" si="3354"/>
        <v>NA</v>
      </c>
      <c r="R3507" s="10" t="s">
        <v>1575</v>
      </c>
      <c r="S3507" s="10" t="s">
        <v>1575</v>
      </c>
      <c r="T3507" s="10" t="s">
        <v>1575</v>
      </c>
      <c r="U3507" s="10" t="s">
        <v>1575</v>
      </c>
      <c r="V3507" s="10" t="s">
        <v>1575</v>
      </c>
      <c r="W3507" s="10" t="s">
        <v>1575</v>
      </c>
      <c r="X3507" s="10" t="str">
        <f t="shared" si="3356"/>
        <v>NA</v>
      </c>
      <c r="Y3507" s="10" t="str">
        <f t="shared" si="3357"/>
        <v>NA</v>
      </c>
      <c r="Z3507" s="10" t="str">
        <f t="shared" si="3358"/>
        <v>NA</v>
      </c>
      <c r="AA3507" s="10" t="str">
        <f t="shared" si="3359"/>
        <v>NA</v>
      </c>
      <c r="AB3507" s="10" t="str">
        <f t="shared" si="3360"/>
        <v>NA</v>
      </c>
      <c r="AC3507" s="10" t="str">
        <f t="shared" si="3361"/>
        <v>NA</v>
      </c>
      <c r="AD3507" s="10" t="str">
        <f t="shared" si="3362"/>
        <v>NA</v>
      </c>
      <c r="AE3507" s="10" t="str">
        <f t="shared" si="3363"/>
        <v>NA</v>
      </c>
      <c r="AF3507" s="1" t="s">
        <v>1088</v>
      </c>
    </row>
    <row r="3508" spans="1:32" x14ac:dyDescent="0.2">
      <c r="A3508" s="1" t="s">
        <v>6968</v>
      </c>
      <c r="B3508" s="1" t="s">
        <v>5</v>
      </c>
      <c r="C3508" s="1" t="s">
        <v>1575</v>
      </c>
      <c r="D3508" s="1" t="s">
        <v>1689</v>
      </c>
      <c r="E3508" s="1" t="s">
        <v>1698</v>
      </c>
      <c r="F3508" s="1" t="s">
        <v>583</v>
      </c>
      <c r="G3508" s="4">
        <v>0.5</v>
      </c>
      <c r="H3508" s="28">
        <v>41790</v>
      </c>
      <c r="I3508" s="29">
        <f t="shared" si="3355"/>
        <v>2014</v>
      </c>
      <c r="J3508" s="1" t="s">
        <v>6977</v>
      </c>
      <c r="K3508" s="1" t="s">
        <v>6978</v>
      </c>
      <c r="L3508" s="11" t="str">
        <f t="shared" si="3352"/>
        <v>НЕТ</v>
      </c>
      <c r="M3508" s="10">
        <v>0</v>
      </c>
      <c r="N3508" s="10">
        <v>0</v>
      </c>
      <c r="O3508" s="10">
        <f>2.297+2.131</f>
        <v>4.4279999999999999</v>
      </c>
      <c r="P3508" s="10">
        <f t="shared" si="3353"/>
        <v>8.8559999999999999</v>
      </c>
      <c r="Q3508" s="10" t="str">
        <f t="shared" si="3354"/>
        <v>NA</v>
      </c>
      <c r="R3508" s="10" t="s">
        <v>1575</v>
      </c>
      <c r="S3508" s="10" t="s">
        <v>1575</v>
      </c>
      <c r="T3508" s="10" t="s">
        <v>1575</v>
      </c>
      <c r="U3508" s="10" t="s">
        <v>1575</v>
      </c>
      <c r="V3508" s="10" t="s">
        <v>1575</v>
      </c>
      <c r="W3508" s="10" t="s">
        <v>1575</v>
      </c>
      <c r="X3508" s="10" t="str">
        <f t="shared" si="3356"/>
        <v>NA</v>
      </c>
      <c r="Y3508" s="10" t="str">
        <f t="shared" si="3357"/>
        <v>NA</v>
      </c>
      <c r="Z3508" s="10" t="str">
        <f t="shared" si="3358"/>
        <v>NA</v>
      </c>
      <c r="AA3508" s="10" t="str">
        <f t="shared" si="3359"/>
        <v>NA</v>
      </c>
      <c r="AB3508" s="10" t="str">
        <f t="shared" si="3360"/>
        <v>NA</v>
      </c>
      <c r="AC3508" s="10" t="str">
        <f t="shared" si="3361"/>
        <v>NA</v>
      </c>
      <c r="AD3508" s="10" t="str">
        <f t="shared" si="3362"/>
        <v>NA</v>
      </c>
      <c r="AE3508" s="10" t="str">
        <f t="shared" si="3363"/>
        <v>NA</v>
      </c>
      <c r="AF3508" s="1" t="s">
        <v>1102</v>
      </c>
    </row>
    <row r="3509" spans="1:32" x14ac:dyDescent="0.2">
      <c r="A3509" s="1" t="s">
        <v>6979</v>
      </c>
      <c r="B3509" s="1" t="s">
        <v>5</v>
      </c>
      <c r="C3509" s="1" t="s">
        <v>1575</v>
      </c>
      <c r="D3509" s="1" t="s">
        <v>1689</v>
      </c>
      <c r="E3509" s="1" t="s">
        <v>1698</v>
      </c>
      <c r="F3509" s="1" t="s">
        <v>583</v>
      </c>
      <c r="G3509" s="4">
        <v>0.5</v>
      </c>
      <c r="H3509" s="28">
        <v>43677</v>
      </c>
      <c r="I3509" s="29">
        <f t="shared" si="3355"/>
        <v>2019</v>
      </c>
      <c r="J3509" s="1" t="s">
        <v>6977</v>
      </c>
      <c r="K3509" s="1" t="s">
        <v>7</v>
      </c>
      <c r="L3509" s="11" t="str">
        <f t="shared" si="3352"/>
        <v>НЕТ</v>
      </c>
      <c r="M3509" s="10">
        <v>0</v>
      </c>
      <c r="N3509" s="10">
        <v>0</v>
      </c>
      <c r="O3509" s="10"/>
      <c r="P3509" s="10">
        <f t="shared" si="3353"/>
        <v>0</v>
      </c>
      <c r="Q3509" s="10" t="str">
        <f t="shared" si="3354"/>
        <v>NA</v>
      </c>
      <c r="R3509" s="10" t="s">
        <v>1575</v>
      </c>
      <c r="S3509" s="10" t="s">
        <v>1575</v>
      </c>
      <c r="T3509" s="10" t="s">
        <v>1575</v>
      </c>
      <c r="U3509" s="10" t="s">
        <v>1575</v>
      </c>
      <c r="V3509" s="10" t="s">
        <v>1575</v>
      </c>
      <c r="W3509" s="10" t="s">
        <v>1575</v>
      </c>
      <c r="X3509" s="10" t="str">
        <f t="shared" si="3356"/>
        <v>NA</v>
      </c>
      <c r="Y3509" s="10" t="str">
        <f t="shared" si="3357"/>
        <v>NA</v>
      </c>
      <c r="Z3509" s="10" t="str">
        <f t="shared" si="3358"/>
        <v>NA</v>
      </c>
      <c r="AA3509" s="10" t="str">
        <f t="shared" si="3359"/>
        <v>NA</v>
      </c>
      <c r="AB3509" s="10" t="str">
        <f t="shared" si="3360"/>
        <v>NA</v>
      </c>
      <c r="AC3509" s="10" t="str">
        <f t="shared" si="3361"/>
        <v>NA</v>
      </c>
      <c r="AD3509" s="10" t="str">
        <f t="shared" si="3362"/>
        <v>NA</v>
      </c>
      <c r="AE3509" s="10" t="str">
        <f t="shared" si="3363"/>
        <v>NA</v>
      </c>
      <c r="AF3509" s="1" t="s">
        <v>1089</v>
      </c>
    </row>
    <row r="3510" spans="1:32" x14ac:dyDescent="0.2">
      <c r="A3510" s="1" t="s">
        <v>1090</v>
      </c>
      <c r="B3510" s="1" t="s">
        <v>23</v>
      </c>
      <c r="C3510" s="1" t="s">
        <v>1575</v>
      </c>
      <c r="D3510" s="1" t="s">
        <v>1689</v>
      </c>
      <c r="E3510" s="1" t="s">
        <v>1698</v>
      </c>
      <c r="F3510" s="1" t="s">
        <v>583</v>
      </c>
      <c r="G3510" s="4">
        <v>0.5</v>
      </c>
      <c r="H3510" s="28">
        <v>43738</v>
      </c>
      <c r="I3510" s="29">
        <f t="shared" si="3355"/>
        <v>2019</v>
      </c>
      <c r="J3510" s="1" t="s">
        <v>5765</v>
      </c>
      <c r="K3510" s="1" t="s">
        <v>7</v>
      </c>
      <c r="L3510" s="11" t="str">
        <f t="shared" si="3352"/>
        <v>НЕТ</v>
      </c>
      <c r="M3510" s="10">
        <v>0</v>
      </c>
      <c r="N3510" s="10">
        <v>0</v>
      </c>
      <c r="O3510" s="10"/>
      <c r="P3510" s="10">
        <f t="shared" si="3353"/>
        <v>0</v>
      </c>
      <c r="Q3510" s="10" t="str">
        <f t="shared" si="3354"/>
        <v>NA</v>
      </c>
      <c r="R3510" s="10" t="s">
        <v>1575</v>
      </c>
      <c r="S3510" s="10" t="s">
        <v>1575</v>
      </c>
      <c r="T3510" s="10" t="s">
        <v>1575</v>
      </c>
      <c r="U3510" s="10" t="s">
        <v>1575</v>
      </c>
      <c r="V3510" s="10" t="s">
        <v>1575</v>
      </c>
      <c r="W3510" s="10" t="s">
        <v>1575</v>
      </c>
      <c r="X3510" s="10" t="str">
        <f t="shared" si="3356"/>
        <v>NA</v>
      </c>
      <c r="Y3510" s="10" t="str">
        <f t="shared" si="3357"/>
        <v>NA</v>
      </c>
      <c r="Z3510" s="10" t="str">
        <f t="shared" si="3358"/>
        <v>NA</v>
      </c>
      <c r="AA3510" s="10" t="str">
        <f t="shared" si="3359"/>
        <v>NA</v>
      </c>
      <c r="AB3510" s="10" t="str">
        <f t="shared" si="3360"/>
        <v>NA</v>
      </c>
      <c r="AC3510" s="10" t="str">
        <f t="shared" si="3361"/>
        <v>NA</v>
      </c>
      <c r="AD3510" s="10" t="str">
        <f t="shared" si="3362"/>
        <v>NA</v>
      </c>
      <c r="AE3510" s="10" t="str">
        <f t="shared" si="3363"/>
        <v>NA</v>
      </c>
      <c r="AF3510" s="1" t="s">
        <v>1091</v>
      </c>
    </row>
    <row r="3511" spans="1:32" x14ac:dyDescent="0.2">
      <c r="A3511" s="1" t="s">
        <v>1093</v>
      </c>
      <c r="B3511" s="1" t="s">
        <v>99</v>
      </c>
      <c r="C3511" s="1" t="s">
        <v>1575</v>
      </c>
      <c r="D3511" s="10" t="s">
        <v>1575</v>
      </c>
      <c r="E3511" s="10" t="s">
        <v>1575</v>
      </c>
      <c r="F3511" s="1" t="s">
        <v>1095</v>
      </c>
      <c r="G3511" s="4">
        <v>0.33329999999999999</v>
      </c>
      <c r="H3511" s="28">
        <v>43830</v>
      </c>
      <c r="I3511" s="29">
        <f t="shared" si="3355"/>
        <v>2019</v>
      </c>
      <c r="J3511" s="1" t="s">
        <v>5765</v>
      </c>
      <c r="K3511" s="1" t="s">
        <v>1094</v>
      </c>
      <c r="L3511" s="11" t="str">
        <f t="shared" ref="L3511:L3574" si="3364">IF(OR(A3511=J3511,A3511=K3511),"ДА","НЕТ")</f>
        <v>НЕТ</v>
      </c>
      <c r="M3511" s="10">
        <v>0</v>
      </c>
      <c r="N3511" s="10">
        <v>0</v>
      </c>
      <c r="O3511" s="10"/>
      <c r="P3511" s="10">
        <f t="shared" si="3353"/>
        <v>0</v>
      </c>
      <c r="Q3511" s="10" t="str">
        <f t="shared" si="3354"/>
        <v>NA</v>
      </c>
      <c r="R3511" s="10" t="s">
        <v>1575</v>
      </c>
      <c r="S3511" s="10" t="s">
        <v>1575</v>
      </c>
      <c r="T3511" s="10" t="s">
        <v>1575</v>
      </c>
      <c r="U3511" s="10" t="s">
        <v>1575</v>
      </c>
      <c r="V3511" s="10" t="s">
        <v>1575</v>
      </c>
      <c r="W3511" s="10" t="s">
        <v>1575</v>
      </c>
      <c r="X3511" s="10" t="str">
        <f t="shared" si="3356"/>
        <v>NA</v>
      </c>
      <c r="Y3511" s="10" t="str">
        <f t="shared" si="3357"/>
        <v>NA</v>
      </c>
      <c r="Z3511" s="10" t="str">
        <f t="shared" si="3358"/>
        <v>NA</v>
      </c>
      <c r="AA3511" s="10" t="str">
        <f t="shared" si="3359"/>
        <v>NA</v>
      </c>
      <c r="AB3511" s="10" t="str">
        <f t="shared" si="3360"/>
        <v>NA</v>
      </c>
      <c r="AC3511" s="10" t="str">
        <f t="shared" si="3361"/>
        <v>NA</v>
      </c>
      <c r="AD3511" s="10" t="str">
        <f t="shared" si="3362"/>
        <v>NA</v>
      </c>
      <c r="AE3511" s="10" t="str">
        <f t="shared" si="3363"/>
        <v>NA</v>
      </c>
      <c r="AF3511" s="1" t="s">
        <v>1092</v>
      </c>
    </row>
    <row r="3512" spans="1:32" x14ac:dyDescent="0.2">
      <c r="A3512" s="1" t="s">
        <v>6980</v>
      </c>
      <c r="B3512" s="1" t="s">
        <v>5</v>
      </c>
      <c r="C3512" s="1" t="s">
        <v>1575</v>
      </c>
      <c r="D3512" s="1" t="s">
        <v>1689</v>
      </c>
      <c r="E3512" s="1" t="s">
        <v>1698</v>
      </c>
      <c r="F3512" s="1" t="s">
        <v>583</v>
      </c>
      <c r="G3512" s="4">
        <v>0.33329999999999999</v>
      </c>
      <c r="H3512" s="28">
        <v>43524</v>
      </c>
      <c r="I3512" s="29">
        <f t="shared" si="3355"/>
        <v>2019</v>
      </c>
      <c r="J3512" s="1" t="s">
        <v>5765</v>
      </c>
      <c r="K3512" s="1" t="s">
        <v>7</v>
      </c>
      <c r="L3512" s="11" t="str">
        <f t="shared" si="3364"/>
        <v>НЕТ</v>
      </c>
      <c r="M3512" s="10">
        <v>0</v>
      </c>
      <c r="N3512" s="10">
        <v>0</v>
      </c>
      <c r="O3512" s="10">
        <v>0.3</v>
      </c>
      <c r="P3512" s="10">
        <f t="shared" si="3353"/>
        <v>0.90009000900090008</v>
      </c>
      <c r="Q3512" s="10" t="str">
        <f t="shared" si="3354"/>
        <v>NA</v>
      </c>
      <c r="R3512" s="10" t="s">
        <v>1575</v>
      </c>
      <c r="S3512" s="10" t="s">
        <v>1575</v>
      </c>
      <c r="T3512" s="10" t="s">
        <v>1575</v>
      </c>
      <c r="U3512" s="10" t="s">
        <v>1575</v>
      </c>
      <c r="V3512" s="10" t="s">
        <v>1575</v>
      </c>
      <c r="W3512" s="10" t="s">
        <v>1575</v>
      </c>
      <c r="X3512" s="10" t="str">
        <f t="shared" si="3356"/>
        <v>NA</v>
      </c>
      <c r="Y3512" s="10" t="str">
        <f t="shared" si="3357"/>
        <v>NA</v>
      </c>
      <c r="Z3512" s="10" t="str">
        <f t="shared" si="3358"/>
        <v>NA</v>
      </c>
      <c r="AA3512" s="10" t="str">
        <f t="shared" si="3359"/>
        <v>NA</v>
      </c>
      <c r="AB3512" s="10" t="str">
        <f t="shared" si="3360"/>
        <v>NA</v>
      </c>
      <c r="AC3512" s="10" t="str">
        <f t="shared" si="3361"/>
        <v>NA</v>
      </c>
      <c r="AD3512" s="10" t="str">
        <f t="shared" si="3362"/>
        <v>NA</v>
      </c>
      <c r="AE3512" s="10" t="str">
        <f t="shared" si="3363"/>
        <v>NA</v>
      </c>
      <c r="AF3512" s="1" t="s">
        <v>1096</v>
      </c>
    </row>
    <row r="3513" spans="1:32" x14ac:dyDescent="0.2">
      <c r="A3513" s="1" t="s">
        <v>6981</v>
      </c>
      <c r="B3513" s="1" t="s">
        <v>5</v>
      </c>
      <c r="C3513" s="1" t="s">
        <v>1575</v>
      </c>
      <c r="D3513" s="10" t="s">
        <v>1575</v>
      </c>
      <c r="E3513" s="10" t="s">
        <v>1575</v>
      </c>
      <c r="F3513" s="1" t="s">
        <v>740</v>
      </c>
      <c r="G3513" s="4">
        <v>1</v>
      </c>
      <c r="H3513" s="28">
        <v>42338</v>
      </c>
      <c r="I3513" s="29">
        <f t="shared" si="3355"/>
        <v>2015</v>
      </c>
      <c r="J3513" s="1" t="s">
        <v>7</v>
      </c>
      <c r="K3513" s="1" t="s">
        <v>5765</v>
      </c>
      <c r="L3513" s="11" t="str">
        <f t="shared" si="3364"/>
        <v>НЕТ</v>
      </c>
      <c r="M3513" s="10">
        <v>0</v>
      </c>
      <c r="N3513" s="10">
        <v>0</v>
      </c>
      <c r="O3513" s="10">
        <f>21.335+3.445+0.719</f>
        <v>25.499000000000002</v>
      </c>
      <c r="P3513" s="10">
        <f t="shared" si="3353"/>
        <v>25.499000000000002</v>
      </c>
      <c r="Q3513" s="10" t="str">
        <f t="shared" si="3354"/>
        <v>NA</v>
      </c>
      <c r="R3513" s="10" t="s">
        <v>1575</v>
      </c>
      <c r="S3513" s="10" t="s">
        <v>1575</v>
      </c>
      <c r="T3513" s="10" t="s">
        <v>1575</v>
      </c>
      <c r="U3513" s="10" t="s">
        <v>1575</v>
      </c>
      <c r="V3513" s="10" t="s">
        <v>1575</v>
      </c>
      <c r="W3513" s="10" t="s">
        <v>1575</v>
      </c>
      <c r="X3513" s="10" t="str">
        <f t="shared" si="3356"/>
        <v>NA</v>
      </c>
      <c r="Y3513" s="10" t="str">
        <f t="shared" si="3357"/>
        <v>NA</v>
      </c>
      <c r="Z3513" s="10" t="str">
        <f t="shared" si="3358"/>
        <v>NA</v>
      </c>
      <c r="AA3513" s="10" t="str">
        <f t="shared" si="3359"/>
        <v>NA</v>
      </c>
      <c r="AB3513" s="10" t="str">
        <f t="shared" si="3360"/>
        <v>NA</v>
      </c>
      <c r="AC3513" s="10" t="str">
        <f t="shared" si="3361"/>
        <v>NA</v>
      </c>
      <c r="AD3513" s="10" t="str">
        <f t="shared" si="3362"/>
        <v>NA</v>
      </c>
      <c r="AE3513" s="10" t="str">
        <f t="shared" si="3363"/>
        <v>NA</v>
      </c>
      <c r="AF3513" s="1" t="s">
        <v>1106</v>
      </c>
    </row>
    <row r="3514" spans="1:32" x14ac:dyDescent="0.2">
      <c r="A3514" s="1" t="s">
        <v>1097</v>
      </c>
      <c r="B3514" s="1" t="s">
        <v>5</v>
      </c>
      <c r="C3514" s="1" t="s">
        <v>1575</v>
      </c>
      <c r="D3514" s="10" t="s">
        <v>1575</v>
      </c>
      <c r="E3514" s="10" t="s">
        <v>1575</v>
      </c>
      <c r="F3514" s="10" t="s">
        <v>1575</v>
      </c>
      <c r="G3514" s="4">
        <v>0.499</v>
      </c>
      <c r="H3514" s="28">
        <v>43131</v>
      </c>
      <c r="I3514" s="29">
        <f t="shared" si="3355"/>
        <v>2018</v>
      </c>
      <c r="J3514" s="1" t="s">
        <v>1098</v>
      </c>
      <c r="K3514" s="1" t="s">
        <v>1099</v>
      </c>
      <c r="L3514" s="11" t="str">
        <f t="shared" si="3364"/>
        <v>НЕТ</v>
      </c>
      <c r="M3514" s="10">
        <v>0</v>
      </c>
      <c r="N3514" s="10">
        <v>0</v>
      </c>
      <c r="O3514" s="10">
        <v>1.6E-2</v>
      </c>
      <c r="P3514" s="10">
        <f t="shared" si="3353"/>
        <v>3.2064128256513023E-2</v>
      </c>
      <c r="Q3514" s="10" t="str">
        <f t="shared" si="3354"/>
        <v>NA</v>
      </c>
      <c r="R3514" s="10" t="s">
        <v>1575</v>
      </c>
      <c r="S3514" s="10" t="s">
        <v>1575</v>
      </c>
      <c r="T3514" s="10" t="s">
        <v>1575</v>
      </c>
      <c r="U3514" s="10" t="s">
        <v>1575</v>
      </c>
      <c r="V3514" s="10" t="s">
        <v>1575</v>
      </c>
      <c r="W3514" s="10" t="s">
        <v>1575</v>
      </c>
      <c r="X3514" s="10" t="str">
        <f t="shared" si="3356"/>
        <v>NA</v>
      </c>
      <c r="Y3514" s="10" t="str">
        <f t="shared" si="3357"/>
        <v>NA</v>
      </c>
      <c r="Z3514" s="10" t="str">
        <f t="shared" si="3358"/>
        <v>NA</v>
      </c>
      <c r="AA3514" s="10" t="str">
        <f t="shared" si="3359"/>
        <v>NA</v>
      </c>
      <c r="AB3514" s="10" t="str">
        <f t="shared" si="3360"/>
        <v>NA</v>
      </c>
      <c r="AC3514" s="10" t="str">
        <f t="shared" si="3361"/>
        <v>NA</v>
      </c>
      <c r="AD3514" s="10" t="str">
        <f t="shared" si="3362"/>
        <v>NA</v>
      </c>
      <c r="AE3514" s="10" t="str">
        <f t="shared" si="3363"/>
        <v>NA</v>
      </c>
      <c r="AF3514" s="1" t="s">
        <v>1100</v>
      </c>
    </row>
    <row r="3515" spans="1:32" x14ac:dyDescent="0.2">
      <c r="A3515" s="1" t="s">
        <v>6982</v>
      </c>
      <c r="B3515" s="1" t="s">
        <v>5</v>
      </c>
      <c r="C3515" s="1" t="s">
        <v>1575</v>
      </c>
      <c r="D3515" s="1" t="s">
        <v>1689</v>
      </c>
      <c r="E3515" s="1" t="s">
        <v>1698</v>
      </c>
      <c r="F3515" s="1" t="s">
        <v>54</v>
      </c>
      <c r="G3515" s="4">
        <v>1</v>
      </c>
      <c r="H3515" s="28">
        <v>42369</v>
      </c>
      <c r="I3515" s="29">
        <f t="shared" si="3355"/>
        <v>2015</v>
      </c>
      <c r="J3515" s="1" t="s">
        <v>6983</v>
      </c>
      <c r="K3515" s="1" t="s">
        <v>5765</v>
      </c>
      <c r="L3515" s="11" t="str">
        <f t="shared" si="3364"/>
        <v>НЕТ</v>
      </c>
      <c r="M3515" s="10">
        <v>0</v>
      </c>
      <c r="N3515" s="10">
        <v>0</v>
      </c>
      <c r="O3515" s="10">
        <f>22-0.175</f>
        <v>21.824999999999999</v>
      </c>
      <c r="P3515" s="10">
        <f t="shared" si="3353"/>
        <v>21.824999999999999</v>
      </c>
      <c r="Q3515" s="10" t="str">
        <f t="shared" si="3354"/>
        <v>NA</v>
      </c>
      <c r="R3515" s="10" t="s">
        <v>1575</v>
      </c>
      <c r="S3515" s="10" t="s">
        <v>1575</v>
      </c>
      <c r="T3515" s="10" t="s">
        <v>1575</v>
      </c>
      <c r="U3515" s="10" t="s">
        <v>1575</v>
      </c>
      <c r="V3515" s="10" t="s">
        <v>1575</v>
      </c>
      <c r="W3515" s="10" t="s">
        <v>1575</v>
      </c>
      <c r="X3515" s="10" t="str">
        <f t="shared" si="3356"/>
        <v>NA</v>
      </c>
      <c r="Y3515" s="10" t="str">
        <f t="shared" si="3357"/>
        <v>NA</v>
      </c>
      <c r="Z3515" s="10" t="str">
        <f t="shared" si="3358"/>
        <v>NA</v>
      </c>
      <c r="AA3515" s="10" t="str">
        <f t="shared" si="3359"/>
        <v>NA</v>
      </c>
      <c r="AB3515" s="10" t="str">
        <f t="shared" si="3360"/>
        <v>NA</v>
      </c>
      <c r="AC3515" s="10" t="str">
        <f t="shared" si="3361"/>
        <v>NA</v>
      </c>
      <c r="AD3515" s="10" t="str">
        <f t="shared" si="3362"/>
        <v>NA</v>
      </c>
      <c r="AE3515" s="10" t="str">
        <f t="shared" si="3363"/>
        <v>NA</v>
      </c>
      <c r="AF3515" s="1" t="s">
        <v>1101</v>
      </c>
    </row>
    <row r="3516" spans="1:32" x14ac:dyDescent="0.2">
      <c r="A3516" s="1" t="s">
        <v>6984</v>
      </c>
      <c r="B3516" s="1" t="s">
        <v>5</v>
      </c>
      <c r="C3516" s="1" t="s">
        <v>1575</v>
      </c>
      <c r="D3516" s="1" t="s">
        <v>1597</v>
      </c>
      <c r="E3516" s="1" t="s">
        <v>1666</v>
      </c>
      <c r="F3516" s="1" t="s">
        <v>1104</v>
      </c>
      <c r="G3516" s="4">
        <v>0.44</v>
      </c>
      <c r="H3516" s="28">
        <v>42551</v>
      </c>
      <c r="I3516" s="29">
        <f t="shared" si="3355"/>
        <v>2016</v>
      </c>
      <c r="J3516" s="1" t="s">
        <v>7</v>
      </c>
      <c r="K3516" s="1" t="s">
        <v>5765</v>
      </c>
      <c r="L3516" s="11" t="str">
        <f t="shared" si="3364"/>
        <v>НЕТ</v>
      </c>
      <c r="M3516" s="10">
        <v>0</v>
      </c>
      <c r="N3516" s="10">
        <v>0</v>
      </c>
      <c r="O3516" s="10"/>
      <c r="P3516" s="10">
        <f t="shared" si="3353"/>
        <v>0</v>
      </c>
      <c r="Q3516" s="10" t="str">
        <f t="shared" si="3354"/>
        <v>NA</v>
      </c>
      <c r="R3516" s="10" t="s">
        <v>1575</v>
      </c>
      <c r="S3516" s="10" t="s">
        <v>1575</v>
      </c>
      <c r="T3516" s="10" t="s">
        <v>1575</v>
      </c>
      <c r="U3516" s="10" t="s">
        <v>1575</v>
      </c>
      <c r="V3516" s="10" t="s">
        <v>1575</v>
      </c>
      <c r="W3516" s="10" t="s">
        <v>1575</v>
      </c>
      <c r="X3516" s="10" t="str">
        <f t="shared" si="3356"/>
        <v>NA</v>
      </c>
      <c r="Y3516" s="10" t="str">
        <f t="shared" si="3357"/>
        <v>NA</v>
      </c>
      <c r="Z3516" s="10" t="str">
        <f t="shared" si="3358"/>
        <v>NA</v>
      </c>
      <c r="AA3516" s="10" t="str">
        <f t="shared" si="3359"/>
        <v>NA</v>
      </c>
      <c r="AB3516" s="10" t="str">
        <f t="shared" si="3360"/>
        <v>NA</v>
      </c>
      <c r="AC3516" s="10" t="str">
        <f t="shared" si="3361"/>
        <v>NA</v>
      </c>
      <c r="AD3516" s="10" t="str">
        <f t="shared" si="3362"/>
        <v>NA</v>
      </c>
      <c r="AE3516" s="10" t="str">
        <f t="shared" si="3363"/>
        <v>NA</v>
      </c>
      <c r="AF3516" s="1" t="s">
        <v>1103</v>
      </c>
    </row>
    <row r="3517" spans="1:32" x14ac:dyDescent="0.2">
      <c r="A3517" s="1" t="s">
        <v>6985</v>
      </c>
      <c r="B3517" s="1" t="s">
        <v>5</v>
      </c>
      <c r="C3517" s="1" t="s">
        <v>1575</v>
      </c>
      <c r="D3517" s="1" t="s">
        <v>1601</v>
      </c>
      <c r="E3517" s="1" t="s">
        <v>1608</v>
      </c>
      <c r="F3517" s="1" t="s">
        <v>1562</v>
      </c>
      <c r="G3517" s="4">
        <v>1</v>
      </c>
      <c r="H3517" s="28">
        <v>42428</v>
      </c>
      <c r="I3517" s="29">
        <f t="shared" si="3355"/>
        <v>2016</v>
      </c>
      <c r="J3517" s="1" t="s">
        <v>5765</v>
      </c>
      <c r="K3517" s="1" t="s">
        <v>6986</v>
      </c>
      <c r="L3517" s="11" t="str">
        <f t="shared" si="3364"/>
        <v>НЕТ</v>
      </c>
      <c r="M3517" s="10">
        <v>0</v>
      </c>
      <c r="N3517" s="10">
        <v>0</v>
      </c>
      <c r="O3517" s="10">
        <v>5.87</v>
      </c>
      <c r="P3517" s="10">
        <f t="shared" si="3353"/>
        <v>5.87</v>
      </c>
      <c r="Q3517" s="10" t="str">
        <f t="shared" si="3354"/>
        <v>NA</v>
      </c>
      <c r="R3517" s="10" t="s">
        <v>1575</v>
      </c>
      <c r="S3517" s="10" t="s">
        <v>1575</v>
      </c>
      <c r="T3517" s="10" t="s">
        <v>1575</v>
      </c>
      <c r="U3517" s="10" t="s">
        <v>1575</v>
      </c>
      <c r="V3517" s="10" t="s">
        <v>1575</v>
      </c>
      <c r="W3517" s="10" t="s">
        <v>1575</v>
      </c>
      <c r="X3517" s="10" t="str">
        <f t="shared" si="3356"/>
        <v>NA</v>
      </c>
      <c r="Y3517" s="10" t="str">
        <f t="shared" si="3357"/>
        <v>NA</v>
      </c>
      <c r="Z3517" s="10" t="str">
        <f t="shared" si="3358"/>
        <v>NA</v>
      </c>
      <c r="AA3517" s="10" t="str">
        <f t="shared" si="3359"/>
        <v>NA</v>
      </c>
      <c r="AB3517" s="10" t="str">
        <f t="shared" si="3360"/>
        <v>NA</v>
      </c>
      <c r="AC3517" s="10" t="str">
        <f t="shared" si="3361"/>
        <v>NA</v>
      </c>
      <c r="AD3517" s="10" t="str">
        <f t="shared" si="3362"/>
        <v>NA</v>
      </c>
      <c r="AE3517" s="10" t="str">
        <f t="shared" si="3363"/>
        <v>NA</v>
      </c>
      <c r="AF3517" s="1" t="s">
        <v>1105</v>
      </c>
    </row>
    <row r="3518" spans="1:32" x14ac:dyDescent="0.2">
      <c r="A3518" s="1" t="s">
        <v>6987</v>
      </c>
      <c r="B3518" s="1" t="s">
        <v>5</v>
      </c>
      <c r="C3518" s="1" t="s">
        <v>1575</v>
      </c>
      <c r="D3518" s="10" t="s">
        <v>1575</v>
      </c>
      <c r="E3518" s="10" t="s">
        <v>1575</v>
      </c>
      <c r="F3518" s="10" t="s">
        <v>1575</v>
      </c>
      <c r="G3518" s="4">
        <v>0.17499999999999999</v>
      </c>
      <c r="H3518" s="28">
        <v>42369</v>
      </c>
      <c r="I3518" s="29">
        <f t="shared" si="3355"/>
        <v>2015</v>
      </c>
      <c r="J3518" s="1" t="s">
        <v>5765</v>
      </c>
      <c r="K3518" s="1" t="s">
        <v>1108</v>
      </c>
      <c r="L3518" s="11" t="str">
        <f t="shared" si="3364"/>
        <v>НЕТ</v>
      </c>
      <c r="M3518" s="10">
        <v>0</v>
      </c>
      <c r="N3518" s="10">
        <v>0</v>
      </c>
      <c r="O3518" s="10">
        <v>0.5</v>
      </c>
      <c r="P3518" s="10">
        <f t="shared" si="3353"/>
        <v>2.8571428571428572</v>
      </c>
      <c r="Q3518" s="10" t="str">
        <f t="shared" si="3354"/>
        <v>NA</v>
      </c>
      <c r="R3518" s="10" t="s">
        <v>1575</v>
      </c>
      <c r="S3518" s="10" t="s">
        <v>1575</v>
      </c>
      <c r="T3518" s="10" t="s">
        <v>1575</v>
      </c>
      <c r="U3518" s="10" t="s">
        <v>1575</v>
      </c>
      <c r="V3518" s="10" t="s">
        <v>1575</v>
      </c>
      <c r="W3518" s="10" t="s">
        <v>1575</v>
      </c>
      <c r="X3518" s="10" t="str">
        <f t="shared" si="3356"/>
        <v>NA</v>
      </c>
      <c r="Y3518" s="10" t="str">
        <f t="shared" si="3357"/>
        <v>NA</v>
      </c>
      <c r="Z3518" s="10" t="str">
        <f t="shared" si="3358"/>
        <v>NA</v>
      </c>
      <c r="AA3518" s="10" t="str">
        <f t="shared" si="3359"/>
        <v>NA</v>
      </c>
      <c r="AB3518" s="10" t="str">
        <f t="shared" si="3360"/>
        <v>NA</v>
      </c>
      <c r="AC3518" s="10" t="str">
        <f t="shared" si="3361"/>
        <v>NA</v>
      </c>
      <c r="AD3518" s="10" t="str">
        <f t="shared" si="3362"/>
        <v>NA</v>
      </c>
      <c r="AE3518" s="10" t="str">
        <f t="shared" si="3363"/>
        <v>NA</v>
      </c>
      <c r="AF3518" s="1" t="s">
        <v>1107</v>
      </c>
    </row>
    <row r="3519" spans="1:32" x14ac:dyDescent="0.2">
      <c r="A3519" s="1" t="s">
        <v>5705</v>
      </c>
      <c r="B3519" s="1" t="s">
        <v>5</v>
      </c>
      <c r="C3519" s="1" t="s">
        <v>1575</v>
      </c>
      <c r="D3519" s="1" t="s">
        <v>1689</v>
      </c>
      <c r="E3519" s="1" t="s">
        <v>1698</v>
      </c>
      <c r="F3519" s="1" t="s">
        <v>622</v>
      </c>
      <c r="G3519" s="4">
        <v>0.49</v>
      </c>
      <c r="H3519" s="28">
        <v>41704</v>
      </c>
      <c r="I3519" s="29">
        <f t="shared" si="3355"/>
        <v>2014</v>
      </c>
      <c r="J3519" s="1" t="s">
        <v>5765</v>
      </c>
      <c r="K3519" s="1" t="s">
        <v>2219</v>
      </c>
      <c r="L3519" s="11" t="str">
        <f t="shared" si="3364"/>
        <v>НЕТ</v>
      </c>
      <c r="M3519" s="10">
        <v>1.5669999999999999</v>
      </c>
      <c r="N3519" s="10">
        <v>0</v>
      </c>
      <c r="O3519" s="10">
        <f>20.548+61.41</f>
        <v>81.957999999999998</v>
      </c>
      <c r="P3519" s="10">
        <f t="shared" si="3353"/>
        <v>167.26122448979592</v>
      </c>
      <c r="Q3519" s="10" t="str">
        <f t="shared" si="3354"/>
        <v>NA</v>
      </c>
      <c r="R3519" s="10" t="s">
        <v>1575</v>
      </c>
      <c r="S3519" s="10" t="s">
        <v>1575</v>
      </c>
      <c r="T3519" s="10" t="s">
        <v>1575</v>
      </c>
      <c r="U3519" s="10" t="s">
        <v>1575</v>
      </c>
      <c r="V3519" s="10" t="s">
        <v>1575</v>
      </c>
      <c r="W3519" s="10" t="s">
        <v>1575</v>
      </c>
      <c r="X3519" s="10" t="str">
        <f t="shared" si="3356"/>
        <v>NA</v>
      </c>
      <c r="Y3519" s="10" t="str">
        <f t="shared" si="3357"/>
        <v>NA</v>
      </c>
      <c r="Z3519" s="10" t="str">
        <f t="shared" si="3358"/>
        <v>NA</v>
      </c>
      <c r="AA3519" s="10" t="str">
        <f t="shared" si="3359"/>
        <v>NA</v>
      </c>
      <c r="AB3519" s="10" t="str">
        <f t="shared" si="3360"/>
        <v>NA</v>
      </c>
      <c r="AC3519" s="10" t="str">
        <f t="shared" si="3361"/>
        <v>NA</v>
      </c>
      <c r="AD3519" s="10" t="str">
        <f t="shared" si="3362"/>
        <v>NA</v>
      </c>
      <c r="AE3519" s="10" t="str">
        <f t="shared" si="3363"/>
        <v>NA</v>
      </c>
      <c r="AF3519" s="1" t="s">
        <v>1109</v>
      </c>
    </row>
    <row r="3520" spans="1:32" x14ac:dyDescent="0.2">
      <c r="A3520" s="1" t="s">
        <v>6988</v>
      </c>
      <c r="B3520" s="1" t="s">
        <v>5</v>
      </c>
      <c r="C3520" s="1" t="s">
        <v>1575</v>
      </c>
      <c r="D3520" s="10" t="s">
        <v>1575</v>
      </c>
      <c r="E3520" s="10" t="s">
        <v>1575</v>
      </c>
      <c r="F3520" s="1" t="s">
        <v>1110</v>
      </c>
      <c r="G3520" s="4">
        <v>1</v>
      </c>
      <c r="H3520" s="28">
        <v>42180</v>
      </c>
      <c r="I3520" s="29">
        <f t="shared" si="3355"/>
        <v>2015</v>
      </c>
      <c r="J3520" s="1" t="s">
        <v>5765</v>
      </c>
      <c r="K3520" s="1" t="s">
        <v>2219</v>
      </c>
      <c r="L3520" s="11" t="str">
        <f t="shared" si="3364"/>
        <v>НЕТ</v>
      </c>
      <c r="M3520" s="10">
        <v>0</v>
      </c>
      <c r="N3520" s="10">
        <v>0</v>
      </c>
      <c r="O3520" s="10">
        <v>0.19700000000000001</v>
      </c>
      <c r="P3520" s="10">
        <f t="shared" si="3353"/>
        <v>0.19700000000000001</v>
      </c>
      <c r="Q3520" s="10" t="str">
        <f t="shared" si="3354"/>
        <v>NA</v>
      </c>
      <c r="R3520" s="10" t="s">
        <v>1575</v>
      </c>
      <c r="S3520" s="10" t="s">
        <v>1575</v>
      </c>
      <c r="T3520" s="10" t="s">
        <v>1575</v>
      </c>
      <c r="U3520" s="10" t="s">
        <v>1575</v>
      </c>
      <c r="V3520" s="10" t="s">
        <v>1575</v>
      </c>
      <c r="W3520" s="10" t="s">
        <v>1575</v>
      </c>
      <c r="X3520" s="10" t="str">
        <f t="shared" si="3356"/>
        <v>NA</v>
      </c>
      <c r="Y3520" s="10" t="str">
        <f t="shared" si="3357"/>
        <v>NA</v>
      </c>
      <c r="Z3520" s="10" t="str">
        <f t="shared" si="3358"/>
        <v>NA</v>
      </c>
      <c r="AA3520" s="10" t="str">
        <f t="shared" si="3359"/>
        <v>NA</v>
      </c>
      <c r="AB3520" s="10" t="str">
        <f t="shared" si="3360"/>
        <v>NA</v>
      </c>
      <c r="AC3520" s="10" t="str">
        <f t="shared" si="3361"/>
        <v>NA</v>
      </c>
      <c r="AD3520" s="10" t="str">
        <f t="shared" si="3362"/>
        <v>NA</v>
      </c>
      <c r="AE3520" s="10" t="str">
        <f t="shared" si="3363"/>
        <v>NA</v>
      </c>
      <c r="AF3520" s="1" t="s">
        <v>1111</v>
      </c>
    </row>
    <row r="3521" spans="1:32" x14ac:dyDescent="0.2">
      <c r="A3521" s="1" t="s">
        <v>6989</v>
      </c>
      <c r="B3521" s="1" t="s">
        <v>5</v>
      </c>
      <c r="C3521" s="1" t="s">
        <v>1575</v>
      </c>
      <c r="D3521" s="1" t="s">
        <v>1689</v>
      </c>
      <c r="E3521" s="1" t="s">
        <v>1698</v>
      </c>
      <c r="F3521" s="1" t="s">
        <v>1112</v>
      </c>
      <c r="G3521" s="4">
        <v>0.5</v>
      </c>
      <c r="H3521" s="28">
        <v>40997</v>
      </c>
      <c r="I3521" s="29">
        <f t="shared" si="3355"/>
        <v>2012</v>
      </c>
      <c r="J3521" s="1" t="s">
        <v>5765</v>
      </c>
      <c r="K3521" s="1" t="s">
        <v>7</v>
      </c>
      <c r="L3521" s="11" t="str">
        <f t="shared" si="3364"/>
        <v>НЕТ</v>
      </c>
      <c r="M3521" s="10">
        <v>0</v>
      </c>
      <c r="N3521" s="10">
        <v>0</v>
      </c>
      <c r="O3521" s="10">
        <v>1.2</v>
      </c>
      <c r="P3521" s="10">
        <f t="shared" si="3353"/>
        <v>2.4</v>
      </c>
      <c r="Q3521" s="10" t="str">
        <f t="shared" si="3354"/>
        <v>NA</v>
      </c>
      <c r="R3521" s="10" t="s">
        <v>1575</v>
      </c>
      <c r="S3521" s="10" t="s">
        <v>1575</v>
      </c>
      <c r="T3521" s="10" t="s">
        <v>1575</v>
      </c>
      <c r="U3521" s="10" t="s">
        <v>1575</v>
      </c>
      <c r="V3521" s="10" t="s">
        <v>1575</v>
      </c>
      <c r="W3521" s="10" t="s">
        <v>1575</v>
      </c>
      <c r="X3521" s="10" t="str">
        <f t="shared" si="3356"/>
        <v>NA</v>
      </c>
      <c r="Y3521" s="10" t="str">
        <f t="shared" si="3357"/>
        <v>NA</v>
      </c>
      <c r="Z3521" s="10" t="str">
        <f t="shared" si="3358"/>
        <v>NA</v>
      </c>
      <c r="AA3521" s="10" t="str">
        <f t="shared" si="3359"/>
        <v>NA</v>
      </c>
      <c r="AB3521" s="10" t="str">
        <f t="shared" si="3360"/>
        <v>NA</v>
      </c>
      <c r="AC3521" s="10" t="str">
        <f t="shared" si="3361"/>
        <v>NA</v>
      </c>
      <c r="AD3521" s="10" t="str">
        <f t="shared" si="3362"/>
        <v>NA</v>
      </c>
      <c r="AE3521" s="10" t="str">
        <f t="shared" si="3363"/>
        <v>NA</v>
      </c>
      <c r="AF3521" s="1" t="s">
        <v>1113</v>
      </c>
    </row>
    <row r="3522" spans="1:32" x14ac:dyDescent="0.2">
      <c r="A3522" s="1" t="s">
        <v>1115</v>
      </c>
      <c r="B3522" s="1" t="s">
        <v>5</v>
      </c>
      <c r="C3522" s="1" t="s">
        <v>1575</v>
      </c>
      <c r="D3522" s="1" t="s">
        <v>1689</v>
      </c>
      <c r="E3522" s="1" t="s">
        <v>1698</v>
      </c>
      <c r="F3522" s="1" t="s">
        <v>1112</v>
      </c>
      <c r="G3522" s="4">
        <v>1</v>
      </c>
      <c r="H3522" s="28">
        <v>40755</v>
      </c>
      <c r="I3522" s="29">
        <f t="shared" si="3355"/>
        <v>2011</v>
      </c>
      <c r="J3522" s="1" t="s">
        <v>5765</v>
      </c>
      <c r="K3522" s="1" t="s">
        <v>7</v>
      </c>
      <c r="L3522" s="11" t="str">
        <f t="shared" si="3364"/>
        <v>НЕТ</v>
      </c>
      <c r="M3522" s="10">
        <v>0</v>
      </c>
      <c r="N3522" s="10">
        <v>0</v>
      </c>
      <c r="O3522" s="10">
        <v>1.673</v>
      </c>
      <c r="P3522" s="10">
        <f t="shared" si="3353"/>
        <v>1.673</v>
      </c>
      <c r="Q3522" s="10" t="str">
        <f t="shared" si="3354"/>
        <v>NA</v>
      </c>
      <c r="R3522" s="10" t="s">
        <v>1575</v>
      </c>
      <c r="S3522" s="10" t="s">
        <v>1575</v>
      </c>
      <c r="T3522" s="10" t="s">
        <v>1575</v>
      </c>
      <c r="U3522" s="10" t="s">
        <v>1575</v>
      </c>
      <c r="V3522" s="10" t="s">
        <v>1575</v>
      </c>
      <c r="W3522" s="10" t="s">
        <v>1575</v>
      </c>
      <c r="X3522" s="10" t="str">
        <f t="shared" si="3356"/>
        <v>NA</v>
      </c>
      <c r="Y3522" s="10" t="str">
        <f t="shared" si="3357"/>
        <v>NA</v>
      </c>
      <c r="Z3522" s="10" t="str">
        <f t="shared" si="3358"/>
        <v>NA</v>
      </c>
      <c r="AA3522" s="10" t="str">
        <f t="shared" si="3359"/>
        <v>NA</v>
      </c>
      <c r="AB3522" s="10" t="str">
        <f t="shared" si="3360"/>
        <v>NA</v>
      </c>
      <c r="AC3522" s="10" t="str">
        <f t="shared" si="3361"/>
        <v>NA</v>
      </c>
      <c r="AD3522" s="10" t="str">
        <f t="shared" si="3362"/>
        <v>NA</v>
      </c>
      <c r="AE3522" s="10" t="str">
        <f t="shared" si="3363"/>
        <v>NA</v>
      </c>
      <c r="AF3522" s="1" t="s">
        <v>1114</v>
      </c>
    </row>
    <row r="3523" spans="1:32" x14ac:dyDescent="0.2">
      <c r="A3523" s="1" t="s">
        <v>6990</v>
      </c>
      <c r="B3523" s="1" t="s">
        <v>5</v>
      </c>
      <c r="C3523" s="1" t="s">
        <v>1575</v>
      </c>
      <c r="D3523" s="1" t="s">
        <v>1689</v>
      </c>
      <c r="E3523" s="1" t="s">
        <v>1698</v>
      </c>
      <c r="F3523" s="1" t="s">
        <v>1112</v>
      </c>
      <c r="G3523" s="4">
        <v>0.18</v>
      </c>
      <c r="H3523" s="28">
        <v>40724</v>
      </c>
      <c r="I3523" s="29">
        <f t="shared" si="3355"/>
        <v>2011</v>
      </c>
      <c r="J3523" s="1" t="s">
        <v>5765</v>
      </c>
      <c r="K3523" s="1" t="s">
        <v>6991</v>
      </c>
      <c r="L3523" s="11" t="str">
        <f t="shared" si="3364"/>
        <v>НЕТ</v>
      </c>
      <c r="M3523" s="10">
        <v>0</v>
      </c>
      <c r="N3523" s="10">
        <v>0</v>
      </c>
      <c r="O3523" s="10">
        <v>0.94099999999999995</v>
      </c>
      <c r="P3523" s="10">
        <f t="shared" ref="P3523:P3579" si="3365">IFERROR(O3523/G3523,"NA")</f>
        <v>5.2277777777777779</v>
      </c>
      <c r="Q3523" s="10" t="str">
        <f t="shared" ref="Q3523:Q3579" si="3366">IFERROR(P3523+W3523,"NA")</f>
        <v>NA</v>
      </c>
      <c r="R3523" s="10" t="s">
        <v>1575</v>
      </c>
      <c r="S3523" s="10" t="s">
        <v>1575</v>
      </c>
      <c r="T3523" s="10" t="s">
        <v>1575</v>
      </c>
      <c r="U3523" s="10" t="s">
        <v>1575</v>
      </c>
      <c r="V3523" s="10" t="s">
        <v>1575</v>
      </c>
      <c r="W3523" s="10" t="s">
        <v>1575</v>
      </c>
      <c r="X3523" s="10" t="str">
        <f t="shared" si="3356"/>
        <v>NA</v>
      </c>
      <c r="Y3523" s="10" t="str">
        <f t="shared" si="3357"/>
        <v>NA</v>
      </c>
      <c r="Z3523" s="10" t="str">
        <f t="shared" si="3358"/>
        <v>NA</v>
      </c>
      <c r="AA3523" s="10" t="str">
        <f t="shared" si="3359"/>
        <v>NA</v>
      </c>
      <c r="AB3523" s="10" t="str">
        <f t="shared" si="3360"/>
        <v>NA</v>
      </c>
      <c r="AC3523" s="10" t="str">
        <f t="shared" si="3361"/>
        <v>NA</v>
      </c>
      <c r="AD3523" s="10" t="str">
        <f t="shared" si="3362"/>
        <v>NA</v>
      </c>
      <c r="AE3523" s="10" t="str">
        <f t="shared" si="3363"/>
        <v>NA</v>
      </c>
      <c r="AF3523" s="1" t="s">
        <v>1116</v>
      </c>
    </row>
    <row r="3524" spans="1:32" x14ac:dyDescent="0.2">
      <c r="A3524" s="1" t="s">
        <v>6979</v>
      </c>
      <c r="B3524" s="1" t="s">
        <v>5</v>
      </c>
      <c r="C3524" s="1" t="s">
        <v>1575</v>
      </c>
      <c r="D3524" s="1" t="s">
        <v>1689</v>
      </c>
      <c r="E3524" s="1" t="s">
        <v>1698</v>
      </c>
      <c r="F3524" s="1" t="s">
        <v>1112</v>
      </c>
      <c r="G3524" s="4">
        <f>100%-50%</f>
        <v>0.5</v>
      </c>
      <c r="H3524" s="28">
        <v>40847</v>
      </c>
      <c r="I3524" s="29">
        <f t="shared" si="3355"/>
        <v>2011</v>
      </c>
      <c r="J3524" s="1" t="s">
        <v>5765</v>
      </c>
      <c r="K3524" s="1" t="s">
        <v>7</v>
      </c>
      <c r="L3524" s="11" t="str">
        <f t="shared" si="3364"/>
        <v>НЕТ</v>
      </c>
      <c r="M3524" s="10">
        <v>9.0030000000000006E-3</v>
      </c>
      <c r="N3524" s="10">
        <v>0</v>
      </c>
      <c r="O3524" s="10">
        <v>0.28299999999999997</v>
      </c>
      <c r="P3524" s="10">
        <f t="shared" si="3365"/>
        <v>0.56599999999999995</v>
      </c>
      <c r="Q3524" s="10" t="str">
        <f t="shared" si="3366"/>
        <v>NA</v>
      </c>
      <c r="R3524" s="10" t="s">
        <v>1575</v>
      </c>
      <c r="S3524" s="10" t="s">
        <v>1575</v>
      </c>
      <c r="T3524" s="10" t="s">
        <v>1575</v>
      </c>
      <c r="U3524" s="10" t="s">
        <v>1575</v>
      </c>
      <c r="V3524" s="10" t="s">
        <v>1575</v>
      </c>
      <c r="W3524" s="10" t="s">
        <v>1575</v>
      </c>
      <c r="X3524" s="10" t="str">
        <f t="shared" si="3356"/>
        <v>NA</v>
      </c>
      <c r="Y3524" s="10" t="str">
        <f t="shared" si="3357"/>
        <v>NA</v>
      </c>
      <c r="Z3524" s="10" t="str">
        <f t="shared" si="3358"/>
        <v>NA</v>
      </c>
      <c r="AA3524" s="10" t="str">
        <f t="shared" si="3359"/>
        <v>NA</v>
      </c>
      <c r="AB3524" s="10" t="str">
        <f t="shared" si="3360"/>
        <v>NA</v>
      </c>
      <c r="AC3524" s="10" t="str">
        <f t="shared" si="3361"/>
        <v>NA</v>
      </c>
      <c r="AD3524" s="10" t="str">
        <f t="shared" si="3362"/>
        <v>NA</v>
      </c>
      <c r="AE3524" s="10" t="str">
        <f t="shared" si="3363"/>
        <v>NA</v>
      </c>
      <c r="AF3524" s="1" t="s">
        <v>1116</v>
      </c>
    </row>
    <row r="3525" spans="1:32" x14ac:dyDescent="0.2">
      <c r="A3525" s="1" t="s">
        <v>6992</v>
      </c>
      <c r="B3525" s="1" t="s">
        <v>5</v>
      </c>
      <c r="C3525" s="1" t="s">
        <v>1575</v>
      </c>
      <c r="D3525" s="1" t="s">
        <v>1689</v>
      </c>
      <c r="E3525" s="1" t="s">
        <v>1697</v>
      </c>
      <c r="F3525" s="1" t="s">
        <v>1112</v>
      </c>
      <c r="G3525" s="4" t="s">
        <v>1575</v>
      </c>
      <c r="H3525" s="28">
        <v>40877</v>
      </c>
      <c r="I3525" s="29">
        <f t="shared" si="3355"/>
        <v>2011</v>
      </c>
      <c r="J3525" s="1" t="s">
        <v>5765</v>
      </c>
      <c r="K3525" s="1" t="s">
        <v>1117</v>
      </c>
      <c r="L3525" s="11" t="str">
        <f t="shared" si="3364"/>
        <v>НЕТ</v>
      </c>
      <c r="M3525" s="10">
        <v>0</v>
      </c>
      <c r="N3525" s="10">
        <v>0</v>
      </c>
      <c r="O3525" s="10"/>
      <c r="P3525" s="10" t="str">
        <f t="shared" si="3365"/>
        <v>NA</v>
      </c>
      <c r="Q3525" s="10" t="str">
        <f t="shared" si="3366"/>
        <v>NA</v>
      </c>
      <c r="R3525" s="10" t="s">
        <v>1575</v>
      </c>
      <c r="S3525" s="10" t="s">
        <v>1575</v>
      </c>
      <c r="T3525" s="10" t="s">
        <v>1575</v>
      </c>
      <c r="U3525" s="10" t="s">
        <v>1575</v>
      </c>
      <c r="V3525" s="10" t="s">
        <v>1575</v>
      </c>
      <c r="W3525" s="10" t="s">
        <v>1575</v>
      </c>
      <c r="X3525" s="10" t="str">
        <f t="shared" si="3356"/>
        <v>NA</v>
      </c>
      <c r="Y3525" s="10" t="str">
        <f t="shared" si="3357"/>
        <v>NA</v>
      </c>
      <c r="Z3525" s="10" t="str">
        <f t="shared" si="3358"/>
        <v>NA</v>
      </c>
      <c r="AA3525" s="10" t="str">
        <f t="shared" si="3359"/>
        <v>NA</v>
      </c>
      <c r="AB3525" s="10" t="str">
        <f t="shared" si="3360"/>
        <v>NA</v>
      </c>
      <c r="AC3525" s="10" t="str">
        <f t="shared" si="3361"/>
        <v>NA</v>
      </c>
      <c r="AD3525" s="10" t="str">
        <f t="shared" si="3362"/>
        <v>NA</v>
      </c>
      <c r="AE3525" s="10" t="str">
        <f t="shared" si="3363"/>
        <v>NA</v>
      </c>
      <c r="AF3525" s="1" t="s">
        <v>1118</v>
      </c>
    </row>
    <row r="3526" spans="1:32" x14ac:dyDescent="0.2">
      <c r="A3526" s="1" t="s">
        <v>6992</v>
      </c>
      <c r="B3526" s="1" t="s">
        <v>5</v>
      </c>
      <c r="C3526" s="1" t="s">
        <v>1575</v>
      </c>
      <c r="D3526" s="1" t="s">
        <v>1689</v>
      </c>
      <c r="E3526" s="1" t="s">
        <v>1697</v>
      </c>
      <c r="F3526" s="1" t="s">
        <v>1112</v>
      </c>
      <c r="G3526" s="4" t="s">
        <v>1575</v>
      </c>
      <c r="H3526" s="28">
        <v>40877</v>
      </c>
      <c r="I3526" s="29">
        <f t="shared" si="3355"/>
        <v>2011</v>
      </c>
      <c r="J3526" s="1" t="s">
        <v>5765</v>
      </c>
      <c r="K3526" s="1" t="s">
        <v>1117</v>
      </c>
      <c r="L3526" s="11" t="str">
        <f t="shared" si="3364"/>
        <v>НЕТ</v>
      </c>
      <c r="M3526" s="10">
        <v>0</v>
      </c>
      <c r="N3526" s="10">
        <v>0</v>
      </c>
      <c r="O3526" s="10"/>
      <c r="P3526" s="10" t="str">
        <f t="shared" si="3365"/>
        <v>NA</v>
      </c>
      <c r="Q3526" s="10" t="str">
        <f t="shared" si="3366"/>
        <v>NA</v>
      </c>
      <c r="R3526" s="10" t="s">
        <v>1575</v>
      </c>
      <c r="S3526" s="10" t="s">
        <v>1575</v>
      </c>
      <c r="T3526" s="10" t="s">
        <v>1575</v>
      </c>
      <c r="U3526" s="10" t="s">
        <v>1575</v>
      </c>
      <c r="V3526" s="10" t="s">
        <v>1575</v>
      </c>
      <c r="W3526" s="10" t="s">
        <v>1575</v>
      </c>
      <c r="X3526" s="10" t="str">
        <f t="shared" si="3356"/>
        <v>NA</v>
      </c>
      <c r="Y3526" s="10" t="str">
        <f t="shared" si="3357"/>
        <v>NA</v>
      </c>
      <c r="Z3526" s="10" t="str">
        <f t="shared" si="3358"/>
        <v>NA</v>
      </c>
      <c r="AA3526" s="10" t="str">
        <f t="shared" si="3359"/>
        <v>NA</v>
      </c>
      <c r="AB3526" s="10" t="str">
        <f t="shared" si="3360"/>
        <v>NA</v>
      </c>
      <c r="AC3526" s="10" t="str">
        <f t="shared" si="3361"/>
        <v>NA</v>
      </c>
      <c r="AD3526" s="10" t="str">
        <f t="shared" si="3362"/>
        <v>NA</v>
      </c>
      <c r="AE3526" s="10" t="str">
        <f t="shared" si="3363"/>
        <v>NA</v>
      </c>
      <c r="AF3526" s="1" t="s">
        <v>1119</v>
      </c>
    </row>
    <row r="3527" spans="1:32" x14ac:dyDescent="0.2">
      <c r="A3527" s="1" t="s">
        <v>6993</v>
      </c>
      <c r="B3527" s="1" t="s">
        <v>5</v>
      </c>
      <c r="C3527" s="1" t="s">
        <v>1575</v>
      </c>
      <c r="D3527" s="1" t="s">
        <v>1689</v>
      </c>
      <c r="E3527" s="1" t="s">
        <v>1698</v>
      </c>
      <c r="F3527" s="10" t="s">
        <v>1575</v>
      </c>
      <c r="G3527" s="4">
        <v>1</v>
      </c>
      <c r="H3527" s="28">
        <v>40878</v>
      </c>
      <c r="I3527" s="29">
        <f t="shared" si="3355"/>
        <v>2011</v>
      </c>
      <c r="J3527" s="1" t="s">
        <v>5765</v>
      </c>
      <c r="K3527" s="1" t="s">
        <v>1123</v>
      </c>
      <c r="L3527" s="11" t="str">
        <f t="shared" si="3364"/>
        <v>НЕТ</v>
      </c>
      <c r="M3527" s="10">
        <v>0</v>
      </c>
      <c r="N3527" s="10">
        <v>0</v>
      </c>
      <c r="O3527" s="10">
        <v>1E-3</v>
      </c>
      <c r="P3527" s="10">
        <f t="shared" si="3365"/>
        <v>1E-3</v>
      </c>
      <c r="Q3527" s="10" t="str">
        <f t="shared" si="3366"/>
        <v>NA</v>
      </c>
      <c r="R3527" s="10" t="s">
        <v>1575</v>
      </c>
      <c r="S3527" s="10" t="s">
        <v>1575</v>
      </c>
      <c r="T3527" s="10" t="s">
        <v>1575</v>
      </c>
      <c r="U3527" s="10" t="s">
        <v>1575</v>
      </c>
      <c r="V3527" s="10" t="s">
        <v>1575</v>
      </c>
      <c r="W3527" s="10" t="s">
        <v>1575</v>
      </c>
      <c r="X3527" s="10" t="str">
        <f t="shared" si="3356"/>
        <v>NA</v>
      </c>
      <c r="Y3527" s="10" t="str">
        <f t="shared" si="3357"/>
        <v>NA</v>
      </c>
      <c r="Z3527" s="10" t="str">
        <f t="shared" si="3358"/>
        <v>NA</v>
      </c>
      <c r="AA3527" s="10" t="str">
        <f t="shared" si="3359"/>
        <v>NA</v>
      </c>
      <c r="AB3527" s="10" t="str">
        <f t="shared" si="3360"/>
        <v>NA</v>
      </c>
      <c r="AC3527" s="10" t="str">
        <f t="shared" si="3361"/>
        <v>NA</v>
      </c>
      <c r="AD3527" s="10" t="str">
        <f t="shared" si="3362"/>
        <v>NA</v>
      </c>
      <c r="AE3527" s="10" t="str">
        <f t="shared" si="3363"/>
        <v>NA</v>
      </c>
      <c r="AF3527" s="1" t="s">
        <v>1124</v>
      </c>
    </row>
    <row r="3528" spans="1:32" x14ac:dyDescent="0.2">
      <c r="A3528" s="1" t="s">
        <v>1120</v>
      </c>
      <c r="B3528" s="1" t="s">
        <v>3</v>
      </c>
      <c r="C3528" s="1" t="s">
        <v>1575</v>
      </c>
      <c r="D3528" s="1" t="s">
        <v>1689</v>
      </c>
      <c r="E3528" s="1" t="s">
        <v>1698</v>
      </c>
      <c r="F3528" s="10" t="s">
        <v>1575</v>
      </c>
      <c r="G3528" s="4">
        <v>1</v>
      </c>
      <c r="H3528" s="28">
        <v>40025</v>
      </c>
      <c r="I3528" s="29">
        <f t="shared" si="3355"/>
        <v>2009</v>
      </c>
      <c r="J3528" s="1" t="s">
        <v>5765</v>
      </c>
      <c r="K3528" s="1" t="s">
        <v>7</v>
      </c>
      <c r="L3528" s="11" t="str">
        <f t="shared" si="3364"/>
        <v>НЕТ</v>
      </c>
      <c r="M3528" s="10">
        <v>0</v>
      </c>
      <c r="N3528" s="10">
        <v>222</v>
      </c>
      <c r="O3528" s="10">
        <v>9.7080000000000002</v>
      </c>
      <c r="P3528" s="10">
        <f t="shared" si="3365"/>
        <v>9.7080000000000002</v>
      </c>
      <c r="Q3528" s="10" t="str">
        <f t="shared" si="3366"/>
        <v>NA</v>
      </c>
      <c r="R3528" s="10" t="s">
        <v>1575</v>
      </c>
      <c r="S3528" s="10" t="s">
        <v>1575</v>
      </c>
      <c r="T3528" s="10" t="s">
        <v>1575</v>
      </c>
      <c r="U3528" s="10" t="s">
        <v>1575</v>
      </c>
      <c r="V3528" s="10" t="s">
        <v>1575</v>
      </c>
      <c r="W3528" s="10" t="s">
        <v>1575</v>
      </c>
      <c r="X3528" s="10" t="str">
        <f t="shared" si="3356"/>
        <v>NA</v>
      </c>
      <c r="Y3528" s="10" t="str">
        <f t="shared" si="3357"/>
        <v>NA</v>
      </c>
      <c r="Z3528" s="10" t="str">
        <f t="shared" si="3358"/>
        <v>NA</v>
      </c>
      <c r="AA3528" s="10" t="str">
        <f t="shared" si="3359"/>
        <v>NA</v>
      </c>
      <c r="AB3528" s="10" t="str">
        <f t="shared" si="3360"/>
        <v>NA</v>
      </c>
      <c r="AC3528" s="10" t="str">
        <f t="shared" si="3361"/>
        <v>NA</v>
      </c>
      <c r="AD3528" s="10" t="str">
        <f t="shared" si="3362"/>
        <v>NA</v>
      </c>
      <c r="AE3528" s="10" t="str">
        <f t="shared" si="3363"/>
        <v>NA</v>
      </c>
      <c r="AF3528" s="1" t="s">
        <v>1121</v>
      </c>
    </row>
    <row r="3529" spans="1:32" x14ac:dyDescent="0.2">
      <c r="A3529" s="1" t="s">
        <v>6980</v>
      </c>
      <c r="B3529" s="1" t="s">
        <v>5</v>
      </c>
      <c r="C3529" s="1" t="s">
        <v>1575</v>
      </c>
      <c r="D3529" s="1" t="s">
        <v>1689</v>
      </c>
      <c r="E3529" s="1" t="s">
        <v>1698</v>
      </c>
      <c r="F3529" s="1" t="s">
        <v>1112</v>
      </c>
      <c r="G3529" s="4">
        <v>0.67</v>
      </c>
      <c r="H3529" s="28">
        <v>40209</v>
      </c>
      <c r="I3529" s="29">
        <f t="shared" si="3355"/>
        <v>2010</v>
      </c>
      <c r="J3529" s="1" t="s">
        <v>5765</v>
      </c>
      <c r="K3529" s="1" t="s">
        <v>7</v>
      </c>
      <c r="L3529" s="11" t="str">
        <f t="shared" si="3364"/>
        <v>НЕТ</v>
      </c>
      <c r="M3529" s="10">
        <v>0</v>
      </c>
      <c r="N3529" s="10">
        <v>0</v>
      </c>
      <c r="O3529" s="10">
        <v>0.56999999999999995</v>
      </c>
      <c r="P3529" s="10">
        <f t="shared" si="3365"/>
        <v>0.85074626865671632</v>
      </c>
      <c r="Q3529" s="10" t="str">
        <f t="shared" si="3366"/>
        <v>NA</v>
      </c>
      <c r="R3529" s="10" t="s">
        <v>1575</v>
      </c>
      <c r="S3529" s="10" t="s">
        <v>1575</v>
      </c>
      <c r="T3529" s="10" t="s">
        <v>1575</v>
      </c>
      <c r="U3529" s="10" t="s">
        <v>1575</v>
      </c>
      <c r="V3529" s="10" t="s">
        <v>1575</v>
      </c>
      <c r="W3529" s="10" t="s">
        <v>1575</v>
      </c>
      <c r="X3529" s="10" t="str">
        <f t="shared" si="3356"/>
        <v>NA</v>
      </c>
      <c r="Y3529" s="10" t="str">
        <f t="shared" si="3357"/>
        <v>NA</v>
      </c>
      <c r="Z3529" s="10" t="str">
        <f t="shared" si="3358"/>
        <v>NA</v>
      </c>
      <c r="AA3529" s="10" t="str">
        <f t="shared" si="3359"/>
        <v>NA</v>
      </c>
      <c r="AB3529" s="10" t="str">
        <f t="shared" si="3360"/>
        <v>NA</v>
      </c>
      <c r="AC3529" s="10" t="str">
        <f t="shared" si="3361"/>
        <v>NA</v>
      </c>
      <c r="AD3529" s="10" t="str">
        <f t="shared" si="3362"/>
        <v>NA</v>
      </c>
      <c r="AE3529" s="10" t="str">
        <f t="shared" si="3363"/>
        <v>NA</v>
      </c>
      <c r="AF3529" s="1" t="s">
        <v>1125</v>
      </c>
    </row>
    <row r="3530" spans="1:32" x14ac:dyDescent="0.2">
      <c r="A3530" s="1" t="s">
        <v>6994</v>
      </c>
      <c r="B3530" s="1" t="s">
        <v>5</v>
      </c>
      <c r="C3530" s="1" t="s">
        <v>1575</v>
      </c>
      <c r="D3530" s="1" t="s">
        <v>1689</v>
      </c>
      <c r="E3530" s="1" t="s">
        <v>1698</v>
      </c>
      <c r="F3530" s="1" t="s">
        <v>1112</v>
      </c>
      <c r="G3530" s="4">
        <v>1</v>
      </c>
      <c r="H3530" s="28">
        <v>40451</v>
      </c>
      <c r="I3530" s="29">
        <f t="shared" si="3355"/>
        <v>2010</v>
      </c>
      <c r="J3530" s="1" t="s">
        <v>5765</v>
      </c>
      <c r="K3530" s="1" t="s">
        <v>6995</v>
      </c>
      <c r="L3530" s="11" t="str">
        <f t="shared" si="3364"/>
        <v>НЕТ</v>
      </c>
      <c r="M3530" s="10">
        <v>0</v>
      </c>
      <c r="N3530" s="10">
        <v>0</v>
      </c>
      <c r="O3530" s="10">
        <v>2.4</v>
      </c>
      <c r="P3530" s="10">
        <f t="shared" si="3365"/>
        <v>2.4</v>
      </c>
      <c r="Q3530" s="10" t="str">
        <f t="shared" si="3366"/>
        <v>NA</v>
      </c>
      <c r="R3530" s="10" t="s">
        <v>1575</v>
      </c>
      <c r="S3530" s="10" t="s">
        <v>1575</v>
      </c>
      <c r="T3530" s="10" t="s">
        <v>1575</v>
      </c>
      <c r="U3530" s="10" t="s">
        <v>1575</v>
      </c>
      <c r="V3530" s="10" t="s">
        <v>1575</v>
      </c>
      <c r="W3530" s="10" t="s">
        <v>1575</v>
      </c>
      <c r="X3530" s="10" t="str">
        <f t="shared" si="3356"/>
        <v>NA</v>
      </c>
      <c r="Y3530" s="10" t="str">
        <f t="shared" si="3357"/>
        <v>NA</v>
      </c>
      <c r="Z3530" s="10" t="str">
        <f t="shared" si="3358"/>
        <v>NA</v>
      </c>
      <c r="AA3530" s="10" t="str">
        <f t="shared" si="3359"/>
        <v>NA</v>
      </c>
      <c r="AB3530" s="10" t="str">
        <f t="shared" si="3360"/>
        <v>NA</v>
      </c>
      <c r="AC3530" s="10" t="str">
        <f t="shared" si="3361"/>
        <v>NA</v>
      </c>
      <c r="AD3530" s="10" t="str">
        <f t="shared" si="3362"/>
        <v>NA</v>
      </c>
      <c r="AE3530" s="10" t="str">
        <f t="shared" si="3363"/>
        <v>NA</v>
      </c>
      <c r="AF3530" s="1" t="s">
        <v>1126</v>
      </c>
    </row>
    <row r="3531" spans="1:32" x14ac:dyDescent="0.2">
      <c r="A3531" s="1" t="s">
        <v>6996</v>
      </c>
      <c r="B3531" s="1" t="s">
        <v>5</v>
      </c>
      <c r="C3531" s="1" t="s">
        <v>1575</v>
      </c>
      <c r="D3531" s="10" t="s">
        <v>1575</v>
      </c>
      <c r="E3531" s="10" t="s">
        <v>1575</v>
      </c>
      <c r="F3531" s="10" t="s">
        <v>1575</v>
      </c>
      <c r="G3531" s="4" t="s">
        <v>1575</v>
      </c>
      <c r="H3531" s="28">
        <v>40421</v>
      </c>
      <c r="I3531" s="29">
        <f t="shared" si="3355"/>
        <v>2010</v>
      </c>
      <c r="J3531" s="1" t="s">
        <v>5765</v>
      </c>
      <c r="K3531" s="1" t="s">
        <v>7</v>
      </c>
      <c r="L3531" s="11" t="str">
        <f t="shared" si="3364"/>
        <v>НЕТ</v>
      </c>
      <c r="M3531" s="10">
        <v>0</v>
      </c>
      <c r="N3531" s="10">
        <v>0</v>
      </c>
      <c r="O3531" s="10">
        <v>1.004</v>
      </c>
      <c r="P3531" s="10" t="str">
        <f t="shared" si="3365"/>
        <v>NA</v>
      </c>
      <c r="Q3531" s="10" t="str">
        <f t="shared" si="3366"/>
        <v>NA</v>
      </c>
      <c r="R3531" s="10" t="s">
        <v>1575</v>
      </c>
      <c r="S3531" s="10" t="s">
        <v>1575</v>
      </c>
      <c r="T3531" s="10" t="s">
        <v>1575</v>
      </c>
      <c r="U3531" s="10" t="s">
        <v>1575</v>
      </c>
      <c r="V3531" s="10" t="s">
        <v>1575</v>
      </c>
      <c r="W3531" s="10" t="s">
        <v>1575</v>
      </c>
      <c r="X3531" s="10" t="str">
        <f t="shared" si="3356"/>
        <v>NA</v>
      </c>
      <c r="Y3531" s="10" t="str">
        <f t="shared" si="3357"/>
        <v>NA</v>
      </c>
      <c r="Z3531" s="10" t="str">
        <f t="shared" si="3358"/>
        <v>NA</v>
      </c>
      <c r="AA3531" s="10" t="str">
        <f t="shared" si="3359"/>
        <v>NA</v>
      </c>
      <c r="AB3531" s="10" t="str">
        <f t="shared" si="3360"/>
        <v>NA</v>
      </c>
      <c r="AC3531" s="10" t="str">
        <f t="shared" si="3361"/>
        <v>NA</v>
      </c>
      <c r="AD3531" s="10" t="str">
        <f t="shared" si="3362"/>
        <v>NA</v>
      </c>
      <c r="AE3531" s="10" t="str">
        <f t="shared" si="3363"/>
        <v>NA</v>
      </c>
      <c r="AF3531" s="1" t="s">
        <v>1127</v>
      </c>
    </row>
    <row r="3532" spans="1:32" x14ac:dyDescent="0.2">
      <c r="A3532" s="1" t="s">
        <v>6997</v>
      </c>
      <c r="B3532" s="1" t="s">
        <v>5</v>
      </c>
      <c r="C3532" s="1" t="s">
        <v>1575</v>
      </c>
      <c r="D3532" s="10" t="s">
        <v>1575</v>
      </c>
      <c r="E3532" s="10" t="s">
        <v>1575</v>
      </c>
      <c r="F3532" s="1" t="s">
        <v>1112</v>
      </c>
      <c r="G3532" s="4">
        <v>1</v>
      </c>
      <c r="H3532" s="28">
        <v>40359</v>
      </c>
      <c r="I3532" s="29">
        <f t="shared" si="3355"/>
        <v>2010</v>
      </c>
      <c r="J3532" s="1" t="s">
        <v>1129</v>
      </c>
      <c r="K3532" s="1" t="s">
        <v>5765</v>
      </c>
      <c r="L3532" s="11" t="str">
        <f t="shared" si="3364"/>
        <v>НЕТ</v>
      </c>
      <c r="M3532" s="10">
        <v>0</v>
      </c>
      <c r="N3532" s="10">
        <v>0</v>
      </c>
      <c r="O3532" s="10">
        <v>0.75800000000000001</v>
      </c>
      <c r="P3532" s="10">
        <f t="shared" si="3365"/>
        <v>0.75800000000000001</v>
      </c>
      <c r="Q3532" s="10" t="str">
        <f t="shared" si="3366"/>
        <v>NA</v>
      </c>
      <c r="R3532" s="10" t="s">
        <v>1575</v>
      </c>
      <c r="S3532" s="10" t="s">
        <v>1575</v>
      </c>
      <c r="T3532" s="10" t="s">
        <v>1575</v>
      </c>
      <c r="U3532" s="10" t="s">
        <v>1575</v>
      </c>
      <c r="V3532" s="10" t="s">
        <v>1575</v>
      </c>
      <c r="W3532" s="10" t="s">
        <v>1575</v>
      </c>
      <c r="X3532" s="10" t="str">
        <f t="shared" si="3356"/>
        <v>NA</v>
      </c>
      <c r="Y3532" s="10" t="str">
        <f t="shared" si="3357"/>
        <v>NA</v>
      </c>
      <c r="Z3532" s="10" t="str">
        <f t="shared" si="3358"/>
        <v>NA</v>
      </c>
      <c r="AA3532" s="10" t="str">
        <f t="shared" si="3359"/>
        <v>NA</v>
      </c>
      <c r="AB3532" s="10" t="str">
        <f t="shared" si="3360"/>
        <v>NA</v>
      </c>
      <c r="AC3532" s="10" t="str">
        <f t="shared" si="3361"/>
        <v>NA</v>
      </c>
      <c r="AD3532" s="10" t="str">
        <f t="shared" si="3362"/>
        <v>NA</v>
      </c>
      <c r="AE3532" s="10" t="str">
        <f t="shared" si="3363"/>
        <v>NA</v>
      </c>
      <c r="AF3532" s="1" t="s">
        <v>1128</v>
      </c>
    </row>
    <row r="3533" spans="1:32" x14ac:dyDescent="0.2">
      <c r="A3533" s="1" t="s">
        <v>5703</v>
      </c>
      <c r="B3533" s="1" t="s">
        <v>5</v>
      </c>
      <c r="C3533" s="1" t="s">
        <v>1575</v>
      </c>
      <c r="D3533" s="10" t="s">
        <v>1575</v>
      </c>
      <c r="E3533" s="10" t="s">
        <v>1575</v>
      </c>
      <c r="F3533" s="1" t="s">
        <v>1112</v>
      </c>
      <c r="G3533" s="4">
        <v>1</v>
      </c>
      <c r="H3533" s="28">
        <v>40663</v>
      </c>
      <c r="I3533" s="29">
        <f t="shared" si="3355"/>
        <v>2011</v>
      </c>
      <c r="J3533" s="1" t="s">
        <v>6998</v>
      </c>
      <c r="K3533" s="1" t="s">
        <v>5765</v>
      </c>
      <c r="L3533" s="11" t="str">
        <f t="shared" si="3364"/>
        <v>НЕТ</v>
      </c>
      <c r="M3533" s="10">
        <v>0</v>
      </c>
      <c r="N3533" s="10">
        <v>0</v>
      </c>
      <c r="O3533" s="10">
        <v>0.72799999999999998</v>
      </c>
      <c r="P3533" s="10">
        <f t="shared" si="3365"/>
        <v>0.72799999999999998</v>
      </c>
      <c r="Q3533" s="10" t="str">
        <f t="shared" si="3366"/>
        <v>NA</v>
      </c>
      <c r="R3533" s="10" t="s">
        <v>1575</v>
      </c>
      <c r="S3533" s="10" t="s">
        <v>1575</v>
      </c>
      <c r="T3533" s="10" t="s">
        <v>1575</v>
      </c>
      <c r="U3533" s="10" t="s">
        <v>1575</v>
      </c>
      <c r="V3533" s="10" t="s">
        <v>1575</v>
      </c>
      <c r="W3533" s="10" t="s">
        <v>1575</v>
      </c>
      <c r="X3533" s="10" t="str">
        <f t="shared" si="3356"/>
        <v>NA</v>
      </c>
      <c r="Y3533" s="10" t="str">
        <f t="shared" si="3357"/>
        <v>NA</v>
      </c>
      <c r="Z3533" s="10" t="str">
        <f t="shared" si="3358"/>
        <v>NA</v>
      </c>
      <c r="AA3533" s="10" t="str">
        <f t="shared" si="3359"/>
        <v>NA</v>
      </c>
      <c r="AB3533" s="10" t="str">
        <f t="shared" si="3360"/>
        <v>NA</v>
      </c>
      <c r="AC3533" s="10" t="str">
        <f t="shared" si="3361"/>
        <v>NA</v>
      </c>
      <c r="AD3533" s="10" t="str">
        <f t="shared" si="3362"/>
        <v>NA</v>
      </c>
      <c r="AE3533" s="10" t="str">
        <f t="shared" si="3363"/>
        <v>NA</v>
      </c>
      <c r="AF3533" s="1" t="s">
        <v>1130</v>
      </c>
    </row>
    <row r="3534" spans="1:32" x14ac:dyDescent="0.2">
      <c r="A3534" s="1" t="s">
        <v>6999</v>
      </c>
      <c r="B3534" s="1" t="s">
        <v>5</v>
      </c>
      <c r="C3534" s="1" t="s">
        <v>5355</v>
      </c>
      <c r="D3534" s="10" t="s">
        <v>1575</v>
      </c>
      <c r="E3534" s="10" t="s">
        <v>1575</v>
      </c>
      <c r="F3534" s="1" t="s">
        <v>1112</v>
      </c>
      <c r="G3534" s="4">
        <v>1</v>
      </c>
      <c r="H3534" s="28">
        <v>40724</v>
      </c>
      <c r="I3534" s="29">
        <f t="shared" si="3355"/>
        <v>2011</v>
      </c>
      <c r="J3534" s="1" t="s">
        <v>7000</v>
      </c>
      <c r="K3534" s="1" t="s">
        <v>5765</v>
      </c>
      <c r="L3534" s="11" t="str">
        <f t="shared" si="3364"/>
        <v>НЕТ</v>
      </c>
      <c r="M3534" s="10">
        <v>0</v>
      </c>
      <c r="N3534" s="10">
        <v>0</v>
      </c>
      <c r="O3534" s="10">
        <v>0.4</v>
      </c>
      <c r="P3534" s="10">
        <f t="shared" si="3365"/>
        <v>0.4</v>
      </c>
      <c r="Q3534" s="10" t="str">
        <f t="shared" si="3366"/>
        <v>NA</v>
      </c>
      <c r="R3534" s="10" t="s">
        <v>1575</v>
      </c>
      <c r="S3534" s="10" t="s">
        <v>1575</v>
      </c>
      <c r="T3534" s="10" t="s">
        <v>1575</v>
      </c>
      <c r="U3534" s="10" t="s">
        <v>1575</v>
      </c>
      <c r="V3534" s="10" t="s">
        <v>1575</v>
      </c>
      <c r="W3534" s="10" t="s">
        <v>1575</v>
      </c>
      <c r="X3534" s="10" t="str">
        <f t="shared" si="3356"/>
        <v>NA</v>
      </c>
      <c r="Y3534" s="10" t="str">
        <f t="shared" si="3357"/>
        <v>NA</v>
      </c>
      <c r="Z3534" s="10" t="str">
        <f t="shared" si="3358"/>
        <v>NA</v>
      </c>
      <c r="AA3534" s="10" t="str">
        <f t="shared" si="3359"/>
        <v>NA</v>
      </c>
      <c r="AB3534" s="10" t="str">
        <f t="shared" si="3360"/>
        <v>NA</v>
      </c>
      <c r="AC3534" s="10" t="str">
        <f t="shared" si="3361"/>
        <v>NA</v>
      </c>
      <c r="AD3534" s="10" t="str">
        <f t="shared" si="3362"/>
        <v>NA</v>
      </c>
      <c r="AE3534" s="10" t="str">
        <f t="shared" si="3363"/>
        <v>NA</v>
      </c>
      <c r="AF3534" s="1" t="s">
        <v>1131</v>
      </c>
    </row>
    <row r="3535" spans="1:32" x14ac:dyDescent="0.2">
      <c r="A3535" s="1" t="s">
        <v>7001</v>
      </c>
      <c r="B3535" s="1" t="s">
        <v>5</v>
      </c>
      <c r="C3535" s="1" t="s">
        <v>1575</v>
      </c>
      <c r="D3535" s="10" t="s">
        <v>1575</v>
      </c>
      <c r="E3535" s="10" t="s">
        <v>1575</v>
      </c>
      <c r="F3535" s="1" t="s">
        <v>1112</v>
      </c>
      <c r="G3535" s="4">
        <v>0.5</v>
      </c>
      <c r="H3535" s="28">
        <v>40451</v>
      </c>
      <c r="I3535" s="29">
        <f t="shared" si="3355"/>
        <v>2010</v>
      </c>
      <c r="J3535" s="1" t="s">
        <v>5765</v>
      </c>
      <c r="K3535" s="1" t="s">
        <v>7002</v>
      </c>
      <c r="L3535" s="11" t="str">
        <f t="shared" si="3364"/>
        <v>НЕТ</v>
      </c>
      <c r="M3535" s="10">
        <v>0</v>
      </c>
      <c r="N3535" s="10">
        <v>0</v>
      </c>
      <c r="O3535" s="10">
        <v>3.36</v>
      </c>
      <c r="P3535" s="10">
        <f t="shared" si="3365"/>
        <v>6.72</v>
      </c>
      <c r="Q3535" s="10" t="str">
        <f t="shared" si="3366"/>
        <v>NA</v>
      </c>
      <c r="R3535" s="10" t="s">
        <v>1575</v>
      </c>
      <c r="S3535" s="10" t="s">
        <v>1575</v>
      </c>
      <c r="T3535" s="10" t="s">
        <v>1575</v>
      </c>
      <c r="U3535" s="10" t="s">
        <v>1575</v>
      </c>
      <c r="V3535" s="10" t="s">
        <v>1575</v>
      </c>
      <c r="W3535" s="10" t="s">
        <v>1575</v>
      </c>
      <c r="X3535" s="10" t="str">
        <f t="shared" si="3356"/>
        <v>NA</v>
      </c>
      <c r="Y3535" s="10" t="str">
        <f t="shared" si="3357"/>
        <v>NA</v>
      </c>
      <c r="Z3535" s="10" t="str">
        <f t="shared" si="3358"/>
        <v>NA</v>
      </c>
      <c r="AA3535" s="10" t="str">
        <f t="shared" si="3359"/>
        <v>NA</v>
      </c>
      <c r="AB3535" s="10" t="str">
        <f t="shared" si="3360"/>
        <v>NA</v>
      </c>
      <c r="AC3535" s="10" t="str">
        <f t="shared" si="3361"/>
        <v>NA</v>
      </c>
      <c r="AD3535" s="10" t="str">
        <f t="shared" si="3362"/>
        <v>NA</v>
      </c>
      <c r="AE3535" s="10" t="str">
        <f t="shared" si="3363"/>
        <v>NA</v>
      </c>
      <c r="AF3535" s="1" t="s">
        <v>1132</v>
      </c>
    </row>
    <row r="3536" spans="1:32" x14ac:dyDescent="0.2">
      <c r="A3536" s="1" t="s">
        <v>6989</v>
      </c>
      <c r="B3536" s="1" t="s">
        <v>5</v>
      </c>
      <c r="C3536" s="1" t="s">
        <v>1575</v>
      </c>
      <c r="D3536" s="10" t="s">
        <v>1575</v>
      </c>
      <c r="E3536" s="10" t="s">
        <v>1575</v>
      </c>
      <c r="F3536" s="1" t="s">
        <v>1112</v>
      </c>
      <c r="G3536" s="4">
        <v>0.5</v>
      </c>
      <c r="H3536" s="28">
        <v>40178</v>
      </c>
      <c r="I3536" s="29">
        <f t="shared" si="3355"/>
        <v>2009</v>
      </c>
      <c r="J3536" s="1" t="s">
        <v>5765</v>
      </c>
      <c r="L3536" s="11" t="str">
        <f t="shared" si="3364"/>
        <v>НЕТ</v>
      </c>
      <c r="M3536" s="10">
        <v>0</v>
      </c>
      <c r="N3536" s="10">
        <v>0</v>
      </c>
      <c r="O3536" s="10">
        <v>1</v>
      </c>
      <c r="P3536" s="10">
        <f t="shared" si="3365"/>
        <v>2</v>
      </c>
      <c r="Q3536" s="10" t="str">
        <f t="shared" si="3366"/>
        <v>NA</v>
      </c>
      <c r="R3536" s="10" t="s">
        <v>1575</v>
      </c>
      <c r="S3536" s="10" t="s">
        <v>1575</v>
      </c>
      <c r="T3536" s="10" t="s">
        <v>1575</v>
      </c>
      <c r="U3536" s="10" t="s">
        <v>1575</v>
      </c>
      <c r="V3536" s="10" t="s">
        <v>1575</v>
      </c>
      <c r="W3536" s="10" t="s">
        <v>1575</v>
      </c>
      <c r="X3536" s="10" t="str">
        <f t="shared" si="3356"/>
        <v>NA</v>
      </c>
      <c r="Y3536" s="10" t="str">
        <f t="shared" si="3357"/>
        <v>NA</v>
      </c>
      <c r="Z3536" s="10" t="str">
        <f t="shared" si="3358"/>
        <v>NA</v>
      </c>
      <c r="AA3536" s="10" t="str">
        <f t="shared" si="3359"/>
        <v>NA</v>
      </c>
      <c r="AB3536" s="10" t="str">
        <f t="shared" si="3360"/>
        <v>NA</v>
      </c>
      <c r="AC3536" s="10" t="str">
        <f t="shared" si="3361"/>
        <v>NA</v>
      </c>
      <c r="AD3536" s="10" t="str">
        <f t="shared" si="3362"/>
        <v>NA</v>
      </c>
      <c r="AE3536" s="10" t="str">
        <f t="shared" si="3363"/>
        <v>NA</v>
      </c>
      <c r="AF3536" s="1" t="s">
        <v>1133</v>
      </c>
    </row>
    <row r="3537" spans="1:32" x14ac:dyDescent="0.2">
      <c r="A3537" s="1" t="s">
        <v>7003</v>
      </c>
      <c r="B3537" s="1" t="s">
        <v>5</v>
      </c>
      <c r="C3537" s="1" t="s">
        <v>1575</v>
      </c>
      <c r="D3537" s="10" t="s">
        <v>1575</v>
      </c>
      <c r="E3537" s="10" t="s">
        <v>1575</v>
      </c>
      <c r="F3537" s="10" t="s">
        <v>1575</v>
      </c>
      <c r="G3537" s="4" t="s">
        <v>1575</v>
      </c>
      <c r="H3537" s="28">
        <v>40908</v>
      </c>
      <c r="I3537" s="29">
        <f t="shared" si="3355"/>
        <v>2011</v>
      </c>
      <c r="J3537" s="1" t="s">
        <v>7</v>
      </c>
      <c r="K3537" s="1" t="s">
        <v>5765</v>
      </c>
      <c r="L3537" s="11" t="str">
        <f t="shared" si="3364"/>
        <v>НЕТ</v>
      </c>
      <c r="M3537" s="10">
        <v>0</v>
      </c>
      <c r="N3537" s="10">
        <v>0</v>
      </c>
      <c r="O3537" s="10"/>
      <c r="P3537" s="10" t="str">
        <f t="shared" si="3365"/>
        <v>NA</v>
      </c>
      <c r="Q3537" s="10" t="str">
        <f t="shared" si="3366"/>
        <v>NA</v>
      </c>
      <c r="R3537" s="10" t="s">
        <v>1575</v>
      </c>
      <c r="S3537" s="10" t="s">
        <v>1575</v>
      </c>
      <c r="T3537" s="10" t="s">
        <v>1575</v>
      </c>
      <c r="U3537" s="10" t="s">
        <v>1575</v>
      </c>
      <c r="V3537" s="10" t="s">
        <v>1575</v>
      </c>
      <c r="W3537" s="10" t="s">
        <v>1575</v>
      </c>
      <c r="X3537" s="10" t="str">
        <f t="shared" si="3356"/>
        <v>NA</v>
      </c>
      <c r="Y3537" s="10" t="str">
        <f t="shared" si="3357"/>
        <v>NA</v>
      </c>
      <c r="Z3537" s="10" t="str">
        <f t="shared" si="3358"/>
        <v>NA</v>
      </c>
      <c r="AA3537" s="10" t="str">
        <f t="shared" si="3359"/>
        <v>NA</v>
      </c>
      <c r="AB3537" s="10" t="str">
        <f t="shared" si="3360"/>
        <v>NA</v>
      </c>
      <c r="AC3537" s="10" t="str">
        <f t="shared" si="3361"/>
        <v>NA</v>
      </c>
      <c r="AD3537" s="10" t="str">
        <f t="shared" si="3362"/>
        <v>NA</v>
      </c>
      <c r="AE3537" s="10" t="str">
        <f t="shared" si="3363"/>
        <v>NA</v>
      </c>
      <c r="AF3537" s="1" t="s">
        <v>1122</v>
      </c>
    </row>
    <row r="3538" spans="1:32" x14ac:dyDescent="0.2">
      <c r="A3538" s="1" t="s">
        <v>7004</v>
      </c>
      <c r="B3538" s="1" t="s">
        <v>5</v>
      </c>
      <c r="C3538" s="1" t="s">
        <v>1575</v>
      </c>
      <c r="D3538" s="10" t="s">
        <v>1575</v>
      </c>
      <c r="E3538" s="10" t="s">
        <v>1575</v>
      </c>
      <c r="F3538" s="1" t="s">
        <v>1112</v>
      </c>
      <c r="G3538" s="4" t="s">
        <v>1575</v>
      </c>
      <c r="H3538" s="28">
        <v>39844</v>
      </c>
      <c r="I3538" s="29">
        <f t="shared" si="3355"/>
        <v>2009</v>
      </c>
      <c r="J3538" s="1" t="s">
        <v>7</v>
      </c>
      <c r="K3538" s="1" t="s">
        <v>5765</v>
      </c>
      <c r="L3538" s="11" t="str">
        <f t="shared" si="3364"/>
        <v>НЕТ</v>
      </c>
      <c r="M3538" s="10">
        <v>0</v>
      </c>
      <c r="N3538" s="10">
        <v>0</v>
      </c>
      <c r="O3538" s="10">
        <v>6.3330000000000002</v>
      </c>
      <c r="P3538" s="10" t="str">
        <f t="shared" si="3365"/>
        <v>NA</v>
      </c>
      <c r="Q3538" s="10" t="str">
        <f t="shared" si="3366"/>
        <v>NA</v>
      </c>
      <c r="R3538" s="10" t="s">
        <v>1575</v>
      </c>
      <c r="S3538" s="10" t="s">
        <v>1575</v>
      </c>
      <c r="T3538" s="10" t="s">
        <v>1575</v>
      </c>
      <c r="U3538" s="10" t="s">
        <v>1575</v>
      </c>
      <c r="V3538" s="10" t="s">
        <v>1575</v>
      </c>
      <c r="W3538" s="10" t="s">
        <v>1575</v>
      </c>
      <c r="X3538" s="10" t="str">
        <f t="shared" si="3356"/>
        <v>NA</v>
      </c>
      <c r="Y3538" s="10" t="str">
        <f t="shared" si="3357"/>
        <v>NA</v>
      </c>
      <c r="Z3538" s="10" t="str">
        <f t="shared" si="3358"/>
        <v>NA</v>
      </c>
      <c r="AA3538" s="10" t="str">
        <f t="shared" si="3359"/>
        <v>NA</v>
      </c>
      <c r="AB3538" s="10" t="str">
        <f t="shared" si="3360"/>
        <v>NA</v>
      </c>
      <c r="AC3538" s="10" t="str">
        <f t="shared" si="3361"/>
        <v>NA</v>
      </c>
      <c r="AD3538" s="10" t="str">
        <f t="shared" si="3362"/>
        <v>NA</v>
      </c>
      <c r="AE3538" s="10" t="str">
        <f t="shared" si="3363"/>
        <v>NA</v>
      </c>
      <c r="AF3538" s="1" t="s">
        <v>1134</v>
      </c>
    </row>
    <row r="3539" spans="1:32" x14ac:dyDescent="0.2">
      <c r="A3539" s="1" t="s">
        <v>7005</v>
      </c>
      <c r="B3539" s="1" t="s">
        <v>5</v>
      </c>
      <c r="C3539" s="1" t="s">
        <v>1575</v>
      </c>
      <c r="D3539" s="10" t="s">
        <v>1575</v>
      </c>
      <c r="E3539" s="10" t="s">
        <v>1575</v>
      </c>
      <c r="F3539" s="1" t="s">
        <v>1135</v>
      </c>
      <c r="G3539" s="4">
        <v>0.4</v>
      </c>
      <c r="H3539" s="28">
        <v>44196</v>
      </c>
      <c r="I3539" s="29">
        <f t="shared" si="3355"/>
        <v>2020</v>
      </c>
      <c r="J3539" s="1" t="s">
        <v>7006</v>
      </c>
      <c r="K3539" s="1" t="s">
        <v>7</v>
      </c>
      <c r="L3539" s="11" t="str">
        <f t="shared" si="3364"/>
        <v>НЕТ</v>
      </c>
      <c r="M3539" s="10">
        <v>0</v>
      </c>
      <c r="N3539" s="10">
        <v>0</v>
      </c>
      <c r="O3539" s="10">
        <v>0.01</v>
      </c>
      <c r="P3539" s="10">
        <f t="shared" si="3365"/>
        <v>2.4999999999999998E-2</v>
      </c>
      <c r="Q3539" s="10" t="str">
        <f t="shared" si="3366"/>
        <v>NA</v>
      </c>
      <c r="R3539" s="10" t="s">
        <v>1575</v>
      </c>
      <c r="S3539" s="10" t="s">
        <v>1575</v>
      </c>
      <c r="T3539" s="10" t="s">
        <v>1575</v>
      </c>
      <c r="U3539" s="10" t="s">
        <v>1575</v>
      </c>
      <c r="V3539" s="10" t="s">
        <v>1575</v>
      </c>
      <c r="W3539" s="10" t="s">
        <v>1575</v>
      </c>
      <c r="X3539" s="10" t="str">
        <f t="shared" si="3356"/>
        <v>NA</v>
      </c>
      <c r="Y3539" s="10" t="str">
        <f t="shared" si="3357"/>
        <v>NA</v>
      </c>
      <c r="Z3539" s="10" t="str">
        <f t="shared" si="3358"/>
        <v>NA</v>
      </c>
      <c r="AA3539" s="10" t="str">
        <f t="shared" si="3359"/>
        <v>NA</v>
      </c>
      <c r="AB3539" s="10" t="str">
        <f t="shared" si="3360"/>
        <v>NA</v>
      </c>
      <c r="AC3539" s="10" t="str">
        <f t="shared" si="3361"/>
        <v>NA</v>
      </c>
      <c r="AD3539" s="10" t="str">
        <f t="shared" si="3362"/>
        <v>NA</v>
      </c>
      <c r="AE3539" s="10" t="str">
        <f t="shared" si="3363"/>
        <v>NA</v>
      </c>
      <c r="AF3539" s="1" t="s">
        <v>1136</v>
      </c>
    </row>
    <row r="3540" spans="1:32" x14ac:dyDescent="0.2">
      <c r="A3540" s="1" t="s">
        <v>7007</v>
      </c>
      <c r="B3540" s="1" t="s">
        <v>5</v>
      </c>
      <c r="C3540" s="1" t="s">
        <v>1575</v>
      </c>
      <c r="D3540" s="10" t="s">
        <v>1575</v>
      </c>
      <c r="E3540" s="10" t="s">
        <v>1575</v>
      </c>
      <c r="F3540" s="1" t="s">
        <v>1135</v>
      </c>
      <c r="G3540" s="4">
        <v>1</v>
      </c>
      <c r="H3540" s="28">
        <v>44469</v>
      </c>
      <c r="I3540" s="29">
        <f t="shared" si="3355"/>
        <v>2021</v>
      </c>
      <c r="J3540" s="1" t="s">
        <v>7</v>
      </c>
      <c r="K3540" s="1" t="s">
        <v>7006</v>
      </c>
      <c r="L3540" s="11" t="str">
        <f t="shared" si="3364"/>
        <v>НЕТ</v>
      </c>
      <c r="M3540" s="10">
        <v>0</v>
      </c>
      <c r="N3540" s="10">
        <v>0</v>
      </c>
      <c r="O3540" s="10">
        <v>2.4</v>
      </c>
      <c r="P3540" s="10">
        <f t="shared" si="3365"/>
        <v>2.4</v>
      </c>
      <c r="Q3540" s="10" t="str">
        <f t="shared" si="3366"/>
        <v>NA</v>
      </c>
      <c r="R3540" s="10" t="s">
        <v>1575</v>
      </c>
      <c r="S3540" s="10" t="s">
        <v>1575</v>
      </c>
      <c r="T3540" s="10" t="s">
        <v>1575</v>
      </c>
      <c r="U3540" s="10" t="s">
        <v>1575</v>
      </c>
      <c r="V3540" s="10" t="s">
        <v>1575</v>
      </c>
      <c r="W3540" s="10" t="s">
        <v>1575</v>
      </c>
      <c r="X3540" s="10" t="str">
        <f t="shared" si="3356"/>
        <v>NA</v>
      </c>
      <c r="Y3540" s="10" t="str">
        <f t="shared" si="3357"/>
        <v>NA</v>
      </c>
      <c r="Z3540" s="10" t="str">
        <f t="shared" si="3358"/>
        <v>NA</v>
      </c>
      <c r="AA3540" s="10" t="str">
        <f t="shared" si="3359"/>
        <v>NA</v>
      </c>
      <c r="AB3540" s="10" t="str">
        <f t="shared" si="3360"/>
        <v>NA</v>
      </c>
      <c r="AC3540" s="10" t="str">
        <f t="shared" si="3361"/>
        <v>NA</v>
      </c>
      <c r="AD3540" s="10" t="str">
        <f t="shared" si="3362"/>
        <v>NA</v>
      </c>
      <c r="AE3540" s="10" t="str">
        <f t="shared" si="3363"/>
        <v>NA</v>
      </c>
      <c r="AF3540" s="1" t="s">
        <v>1137</v>
      </c>
    </row>
    <row r="3541" spans="1:32" x14ac:dyDescent="0.2">
      <c r="A3541" s="1" t="s">
        <v>7008</v>
      </c>
      <c r="B3541" s="1" t="s">
        <v>5</v>
      </c>
      <c r="C3541" s="1" t="s">
        <v>1575</v>
      </c>
      <c r="D3541" s="1" t="s">
        <v>1597</v>
      </c>
      <c r="E3541" s="1" t="s">
        <v>1660</v>
      </c>
      <c r="F3541" s="1" t="s">
        <v>16</v>
      </c>
      <c r="G3541" s="4">
        <v>1</v>
      </c>
      <c r="H3541" s="28">
        <v>42946</v>
      </c>
      <c r="I3541" s="29">
        <f t="shared" si="3355"/>
        <v>2017</v>
      </c>
      <c r="J3541" s="1" t="s">
        <v>7</v>
      </c>
      <c r="K3541" s="1" t="s">
        <v>7006</v>
      </c>
      <c r="L3541" s="11" t="str">
        <f t="shared" si="3364"/>
        <v>НЕТ</v>
      </c>
      <c r="M3541" s="10">
        <v>0</v>
      </c>
      <c r="N3541" s="10">
        <v>0</v>
      </c>
      <c r="O3541" s="10">
        <v>3.3324370000000001</v>
      </c>
      <c r="P3541" s="10">
        <f t="shared" si="3365"/>
        <v>3.3324370000000001</v>
      </c>
      <c r="Q3541" s="10" t="str">
        <f t="shared" si="3366"/>
        <v>NA</v>
      </c>
      <c r="R3541" s="10" t="s">
        <v>1575</v>
      </c>
      <c r="S3541" s="10" t="s">
        <v>1575</v>
      </c>
      <c r="T3541" s="10" t="s">
        <v>1575</v>
      </c>
      <c r="U3541" s="10" t="s">
        <v>1575</v>
      </c>
      <c r="V3541" s="10" t="s">
        <v>1575</v>
      </c>
      <c r="W3541" s="10" t="s">
        <v>1575</v>
      </c>
      <c r="X3541" s="10" t="str">
        <f t="shared" si="3356"/>
        <v>NA</v>
      </c>
      <c r="Y3541" s="10" t="str">
        <f t="shared" si="3357"/>
        <v>NA</v>
      </c>
      <c r="Z3541" s="10" t="str">
        <f t="shared" si="3358"/>
        <v>NA</v>
      </c>
      <c r="AA3541" s="10" t="str">
        <f t="shared" si="3359"/>
        <v>NA</v>
      </c>
      <c r="AB3541" s="10" t="str">
        <f t="shared" si="3360"/>
        <v>NA</v>
      </c>
      <c r="AC3541" s="10" t="str">
        <f t="shared" si="3361"/>
        <v>NA</v>
      </c>
      <c r="AD3541" s="10" t="str">
        <f t="shared" si="3362"/>
        <v>NA</v>
      </c>
      <c r="AE3541" s="10" t="str">
        <f t="shared" si="3363"/>
        <v>NA</v>
      </c>
      <c r="AF3541" s="1" t="s">
        <v>1138</v>
      </c>
    </row>
    <row r="3542" spans="1:32" x14ac:dyDescent="0.2">
      <c r="A3542" s="1" t="s">
        <v>7005</v>
      </c>
      <c r="B3542" s="1" t="s">
        <v>5</v>
      </c>
      <c r="C3542" s="1" t="s">
        <v>1575</v>
      </c>
      <c r="D3542" s="10" t="s">
        <v>1575</v>
      </c>
      <c r="E3542" s="10" t="s">
        <v>1575</v>
      </c>
      <c r="F3542" s="1" t="s">
        <v>1135</v>
      </c>
      <c r="G3542" s="4">
        <v>0.6</v>
      </c>
      <c r="H3542" s="28">
        <v>40847</v>
      </c>
      <c r="I3542" s="29">
        <f t="shared" si="3355"/>
        <v>2011</v>
      </c>
      <c r="J3542" s="1" t="s">
        <v>7006</v>
      </c>
      <c r="K3542" s="1" t="s">
        <v>7</v>
      </c>
      <c r="L3542" s="11" t="str">
        <f t="shared" si="3364"/>
        <v>НЕТ</v>
      </c>
      <c r="M3542" s="10">
        <v>0</v>
      </c>
      <c r="N3542" s="10">
        <v>0</v>
      </c>
      <c r="O3542" s="10">
        <v>0.01</v>
      </c>
      <c r="P3542" s="10">
        <f t="shared" si="3365"/>
        <v>1.6666666666666666E-2</v>
      </c>
      <c r="Q3542" s="10" t="str">
        <f t="shared" si="3366"/>
        <v>NA</v>
      </c>
      <c r="R3542" s="10" t="s">
        <v>1575</v>
      </c>
      <c r="S3542" s="10" t="s">
        <v>1575</v>
      </c>
      <c r="T3542" s="10" t="s">
        <v>1575</v>
      </c>
      <c r="U3542" s="10" t="s">
        <v>1575</v>
      </c>
      <c r="V3542" s="10" t="s">
        <v>1575</v>
      </c>
      <c r="W3542" s="10" t="s">
        <v>1575</v>
      </c>
      <c r="X3542" s="10" t="str">
        <f t="shared" si="3356"/>
        <v>NA</v>
      </c>
      <c r="Y3542" s="10" t="str">
        <f t="shared" si="3357"/>
        <v>NA</v>
      </c>
      <c r="Z3542" s="10" t="str">
        <f t="shared" si="3358"/>
        <v>NA</v>
      </c>
      <c r="AA3542" s="10" t="str">
        <f t="shared" si="3359"/>
        <v>NA</v>
      </c>
      <c r="AB3542" s="10" t="str">
        <f t="shared" si="3360"/>
        <v>NA</v>
      </c>
      <c r="AC3542" s="10" t="str">
        <f t="shared" si="3361"/>
        <v>NA</v>
      </c>
      <c r="AD3542" s="10" t="str">
        <f t="shared" si="3362"/>
        <v>NA</v>
      </c>
      <c r="AE3542" s="10" t="str">
        <f t="shared" si="3363"/>
        <v>NA</v>
      </c>
      <c r="AF3542" s="1" t="s">
        <v>1139</v>
      </c>
    </row>
    <row r="3543" spans="1:32" x14ac:dyDescent="0.2">
      <c r="A3543" s="1" t="s">
        <v>7009</v>
      </c>
      <c r="B3543" s="1" t="s">
        <v>5</v>
      </c>
      <c r="C3543" s="1" t="s">
        <v>1575</v>
      </c>
      <c r="D3543" s="1" t="s">
        <v>1600</v>
      </c>
      <c r="E3543" s="1" t="s">
        <v>2991</v>
      </c>
      <c r="F3543" s="1" t="s">
        <v>1258</v>
      </c>
      <c r="G3543" s="4" t="s">
        <v>1575</v>
      </c>
      <c r="H3543" s="28">
        <v>44804</v>
      </c>
      <c r="I3543" s="29">
        <f t="shared" si="3355"/>
        <v>2022</v>
      </c>
      <c r="J3543" s="1" t="s">
        <v>7</v>
      </c>
      <c r="K3543" s="1" t="s">
        <v>1254</v>
      </c>
      <c r="L3543" s="11" t="str">
        <f t="shared" si="3364"/>
        <v>НЕТ</v>
      </c>
      <c r="M3543" s="10">
        <v>0</v>
      </c>
      <c r="N3543" s="10">
        <v>0</v>
      </c>
      <c r="O3543" s="10"/>
      <c r="P3543" s="10" t="str">
        <f t="shared" si="3365"/>
        <v>NA</v>
      </c>
      <c r="Q3543" s="10" t="str">
        <f t="shared" si="3366"/>
        <v>NA</v>
      </c>
      <c r="R3543" s="10" t="s">
        <v>1575</v>
      </c>
      <c r="S3543" s="10" t="s">
        <v>1575</v>
      </c>
      <c r="T3543" s="10" t="s">
        <v>1575</v>
      </c>
      <c r="U3543" s="10" t="s">
        <v>1575</v>
      </c>
      <c r="V3543" s="10" t="s">
        <v>1575</v>
      </c>
      <c r="W3543" s="10" t="s">
        <v>1575</v>
      </c>
      <c r="X3543" s="10" t="str">
        <f t="shared" si="3356"/>
        <v>NA</v>
      </c>
      <c r="Y3543" s="10" t="str">
        <f t="shared" si="3357"/>
        <v>NA</v>
      </c>
      <c r="Z3543" s="10" t="str">
        <f t="shared" si="3358"/>
        <v>NA</v>
      </c>
      <c r="AA3543" s="10" t="str">
        <f t="shared" si="3359"/>
        <v>NA</v>
      </c>
      <c r="AB3543" s="10" t="str">
        <f t="shared" si="3360"/>
        <v>NA</v>
      </c>
      <c r="AC3543" s="10" t="str">
        <f t="shared" si="3361"/>
        <v>NA</v>
      </c>
      <c r="AD3543" s="10" t="str">
        <f t="shared" si="3362"/>
        <v>NA</v>
      </c>
      <c r="AE3543" s="10" t="str">
        <f t="shared" si="3363"/>
        <v>NA</v>
      </c>
      <c r="AF3543" s="1" t="s">
        <v>1259</v>
      </c>
    </row>
    <row r="3544" spans="1:32" x14ac:dyDescent="0.2">
      <c r="A3544" s="1" t="s">
        <v>1254</v>
      </c>
      <c r="B3544" s="1" t="s">
        <v>5</v>
      </c>
      <c r="C3544" s="1" t="s">
        <v>1695</v>
      </c>
      <c r="D3544" s="1" t="s">
        <v>1600</v>
      </c>
      <c r="E3544" s="1" t="s">
        <v>1696</v>
      </c>
      <c r="F3544" s="1" t="s">
        <v>1255</v>
      </c>
      <c r="G3544" s="4">
        <f>37958929/33004640000</f>
        <v>1.1501088634810136E-3</v>
      </c>
      <c r="H3544" s="28">
        <v>44592</v>
      </c>
      <c r="I3544" s="29">
        <f t="shared" si="3355"/>
        <v>2022</v>
      </c>
      <c r="J3544" s="1" t="s">
        <v>1254</v>
      </c>
      <c r="K3544" s="1" t="s">
        <v>7</v>
      </c>
      <c r="L3544" s="11" t="str">
        <f t="shared" si="3364"/>
        <v>ДА</v>
      </c>
      <c r="M3544" s="10">
        <v>0</v>
      </c>
      <c r="N3544" s="10">
        <v>0</v>
      </c>
      <c r="O3544" s="10">
        <v>6.11</v>
      </c>
      <c r="P3544" s="10">
        <f t="shared" si="3365"/>
        <v>5312.5405724697866</v>
      </c>
      <c r="Q3544" s="10">
        <f t="shared" si="3366"/>
        <v>5357.4995724697865</v>
      </c>
      <c r="R3544" s="10">
        <v>152.39400000000001</v>
      </c>
      <c r="S3544" s="10">
        <v>41.342000000000006</v>
      </c>
      <c r="T3544" s="10">
        <v>36.906000000000006</v>
      </c>
      <c r="U3544" s="10">
        <v>25.885999999999999</v>
      </c>
      <c r="V3544" s="10">
        <v>45.121000000000002</v>
      </c>
      <c r="W3544" s="10">
        <v>44.958999999999996</v>
      </c>
      <c r="X3544" s="10">
        <f t="shared" si="3356"/>
        <v>90.08</v>
      </c>
      <c r="Y3544" s="10">
        <f t="shared" si="3357"/>
        <v>34.860562571162816</v>
      </c>
      <c r="Z3544" s="10">
        <f t="shared" si="3358"/>
        <v>205.22833085334878</v>
      </c>
      <c r="AA3544" s="10">
        <f t="shared" si="3359"/>
        <v>117.7398677438396</v>
      </c>
      <c r="AB3544" s="10">
        <f t="shared" si="3360"/>
        <v>35.155580747731449</v>
      </c>
      <c r="AC3544" s="10">
        <f t="shared" si="3361"/>
        <v>129.58975309539417</v>
      </c>
      <c r="AD3544" s="10">
        <f t="shared" si="3362"/>
        <v>145.16608606919704</v>
      </c>
      <c r="AE3544" s="10">
        <f t="shared" si="3363"/>
        <v>59.474906443936355</v>
      </c>
      <c r="AF3544" s="1" t="s">
        <v>1256</v>
      </c>
    </row>
    <row r="3545" spans="1:32" x14ac:dyDescent="0.2">
      <c r="A3545" s="1" t="s">
        <v>1254</v>
      </c>
      <c r="B3545" s="1" t="s">
        <v>5</v>
      </c>
      <c r="C3545" s="1" t="s">
        <v>1695</v>
      </c>
      <c r="D3545" s="1" t="s">
        <v>1600</v>
      </c>
      <c r="E3545" s="1" t="s">
        <v>1696</v>
      </c>
      <c r="F3545" s="1" t="s">
        <v>1255</v>
      </c>
      <c r="G3545" s="4">
        <f>135400/33004640000</f>
        <v>4.1024534732086151E-6</v>
      </c>
      <c r="H3545" s="28">
        <v>43159</v>
      </c>
      <c r="I3545" s="29">
        <f t="shared" ref="I3545:I3579" si="3367">YEAR(H3545)</f>
        <v>2018</v>
      </c>
      <c r="J3545" s="1" t="s">
        <v>7</v>
      </c>
      <c r="K3545" s="1" t="s">
        <v>1254</v>
      </c>
      <c r="L3545" s="11" t="str">
        <f t="shared" si="3364"/>
        <v>ДА</v>
      </c>
      <c r="M3545" s="10">
        <v>0</v>
      </c>
      <c r="N3545" s="10">
        <v>0</v>
      </c>
      <c r="O3545" s="10">
        <v>1.0999999999999999E-2</v>
      </c>
      <c r="P3545" s="10">
        <f t="shared" si="3365"/>
        <v>2681.3223042836044</v>
      </c>
      <c r="Q3545" s="10">
        <f t="shared" si="3366"/>
        <v>2722.1713042836045</v>
      </c>
      <c r="R3545" s="10">
        <v>85.36</v>
      </c>
      <c r="S3545" s="10">
        <v>17.081</v>
      </c>
      <c r="T3545" s="10">
        <v>13.552999999999999</v>
      </c>
      <c r="U3545" s="10">
        <v>7.5990000000000002</v>
      </c>
      <c r="V3545" s="10">
        <v>26.858000000000001</v>
      </c>
      <c r="W3545" s="10">
        <v>40.848999999999997</v>
      </c>
      <c r="X3545" s="10">
        <f t="shared" si="3356"/>
        <v>67.706999999999994</v>
      </c>
      <c r="Y3545" s="10">
        <f t="shared" si="3357"/>
        <v>31.411929525346817</v>
      </c>
      <c r="Z3545" s="10">
        <f t="shared" si="3358"/>
        <v>352.85199424708571</v>
      </c>
      <c r="AA3545" s="10">
        <f t="shared" si="3359"/>
        <v>99.833282607923309</v>
      </c>
      <c r="AB3545" s="10">
        <f t="shared" si="3360"/>
        <v>31.890479197324328</v>
      </c>
      <c r="AC3545" s="10">
        <f t="shared" si="3361"/>
        <v>159.36838032220624</v>
      </c>
      <c r="AD3545" s="10">
        <f t="shared" si="3362"/>
        <v>200.85378176666455</v>
      </c>
      <c r="AE3545" s="10">
        <f t="shared" si="3363"/>
        <v>40.205167918879951</v>
      </c>
      <c r="AF3545" s="1" t="s">
        <v>1257</v>
      </c>
    </row>
    <row r="3546" spans="1:32" x14ac:dyDescent="0.2">
      <c r="A3546" s="1" t="s">
        <v>1254</v>
      </c>
      <c r="B3546" s="1" t="s">
        <v>5</v>
      </c>
      <c r="C3546" s="1" t="s">
        <v>1695</v>
      </c>
      <c r="D3546" s="1" t="s">
        <v>1600</v>
      </c>
      <c r="E3546" s="1" t="s">
        <v>1696</v>
      </c>
      <c r="F3546" s="1" t="s">
        <v>1255</v>
      </c>
      <c r="G3546" s="4">
        <f>135400/33004640000</f>
        <v>4.1024534732086151E-6</v>
      </c>
      <c r="H3546" s="28">
        <v>42794</v>
      </c>
      <c r="I3546" s="29">
        <f t="shared" si="3367"/>
        <v>2017</v>
      </c>
      <c r="J3546" s="1" t="s">
        <v>1254</v>
      </c>
      <c r="K3546" s="1" t="s">
        <v>7</v>
      </c>
      <c r="L3546" s="11" t="str">
        <f t="shared" si="3364"/>
        <v>ДА</v>
      </c>
      <c r="M3546" s="10">
        <v>0</v>
      </c>
      <c r="N3546" s="10">
        <v>0</v>
      </c>
      <c r="O3546" s="10">
        <v>1.0999999999999999E-2</v>
      </c>
      <c r="P3546" s="10">
        <f t="shared" si="3365"/>
        <v>2681.3223042836044</v>
      </c>
      <c r="Q3546" s="10" t="str">
        <f t="shared" si="3366"/>
        <v>NA</v>
      </c>
      <c r="R3546" s="10" t="s">
        <v>1575</v>
      </c>
      <c r="S3546" s="10" t="s">
        <v>1575</v>
      </c>
      <c r="T3546" s="10" t="s">
        <v>1575</v>
      </c>
      <c r="U3546" s="10" t="s">
        <v>1575</v>
      </c>
      <c r="V3546" s="10" t="s">
        <v>1575</v>
      </c>
      <c r="W3546" s="10" t="s">
        <v>1575</v>
      </c>
      <c r="X3546" s="10" t="str">
        <f t="shared" ref="X3546:X3579" si="3368">IFERROR(V3546+W3546,"NA")</f>
        <v>NA</v>
      </c>
      <c r="Y3546" s="10" t="str">
        <f t="shared" ref="Y3546:Y3579" si="3369">IFERROR(P3546/R3546,"NA")</f>
        <v>NA</v>
      </c>
      <c r="Z3546" s="10" t="str">
        <f t="shared" ref="Z3546:Z3579" si="3370">IFERROR(P3546/U3546,"NA")</f>
        <v>NA</v>
      </c>
      <c r="AA3546" s="10" t="str">
        <f t="shared" ref="AA3546:AA3579" si="3371">IFERROR(P3546/V3546,"NA")</f>
        <v>NA</v>
      </c>
      <c r="AB3546" s="10" t="str">
        <f t="shared" ref="AB3546:AB3579" si="3372">IFERROR(Q3546/R3546,"NA")</f>
        <v>NA</v>
      </c>
      <c r="AC3546" s="10" t="str">
        <f t="shared" ref="AC3546:AC3579" si="3373">IFERROR(Q3546/S3546,"NA")</f>
        <v>NA</v>
      </c>
      <c r="AD3546" s="10" t="str">
        <f t="shared" ref="AD3546:AD3579" si="3374">IFERROR(Q3546/T3546,"NA")</f>
        <v>NA</v>
      </c>
      <c r="AE3546" s="10" t="str">
        <f t="shared" ref="AE3546:AE3579" si="3375">IFERROR(Q3546/X3546,"NA")</f>
        <v>NA</v>
      </c>
      <c r="AF3546" s="1" t="s">
        <v>1257</v>
      </c>
    </row>
    <row r="3547" spans="1:32" x14ac:dyDescent="0.2">
      <c r="A3547" s="1" t="s">
        <v>7010</v>
      </c>
      <c r="B3547" s="1" t="s">
        <v>5</v>
      </c>
      <c r="C3547" s="1" t="s">
        <v>1575</v>
      </c>
      <c r="D3547" s="1" t="s">
        <v>1600</v>
      </c>
      <c r="E3547" s="1" t="s">
        <v>1696</v>
      </c>
      <c r="F3547" s="1" t="s">
        <v>120</v>
      </c>
      <c r="G3547" s="4">
        <v>0.33300000000000002</v>
      </c>
      <c r="H3547" s="28">
        <v>43465</v>
      </c>
      <c r="I3547" s="29">
        <f t="shared" si="3367"/>
        <v>2018</v>
      </c>
      <c r="J3547" s="1" t="s">
        <v>7</v>
      </c>
      <c r="K3547" s="1" t="s">
        <v>1254</v>
      </c>
      <c r="L3547" s="11" t="str">
        <f t="shared" si="3364"/>
        <v>НЕТ</v>
      </c>
      <c r="M3547" s="10">
        <v>0</v>
      </c>
      <c r="N3547" s="10">
        <v>0</v>
      </c>
      <c r="O3547" s="10"/>
      <c r="P3547" s="10">
        <f t="shared" si="3365"/>
        <v>0</v>
      </c>
      <c r="Q3547" s="10" t="str">
        <f t="shared" si="3366"/>
        <v>NA</v>
      </c>
      <c r="R3547" s="10" t="s">
        <v>1575</v>
      </c>
      <c r="S3547" s="10" t="s">
        <v>1575</v>
      </c>
      <c r="T3547" s="10" t="s">
        <v>1575</v>
      </c>
      <c r="U3547" s="10" t="s">
        <v>1575</v>
      </c>
      <c r="V3547" s="10" t="s">
        <v>1575</v>
      </c>
      <c r="W3547" s="10" t="s">
        <v>1575</v>
      </c>
      <c r="X3547" s="10" t="str">
        <f t="shared" si="3368"/>
        <v>NA</v>
      </c>
      <c r="Y3547" s="10" t="str">
        <f t="shared" si="3369"/>
        <v>NA</v>
      </c>
      <c r="Z3547" s="10" t="str">
        <f t="shared" si="3370"/>
        <v>NA</v>
      </c>
      <c r="AA3547" s="10" t="str">
        <f t="shared" si="3371"/>
        <v>NA</v>
      </c>
      <c r="AB3547" s="10" t="str">
        <f t="shared" si="3372"/>
        <v>NA</v>
      </c>
      <c r="AC3547" s="10" t="str">
        <f t="shared" si="3373"/>
        <v>NA</v>
      </c>
      <c r="AD3547" s="10" t="str">
        <f t="shared" si="3374"/>
        <v>NA</v>
      </c>
      <c r="AE3547" s="10" t="str">
        <f t="shared" si="3375"/>
        <v>NA</v>
      </c>
      <c r="AF3547" s="1" t="s">
        <v>1260</v>
      </c>
    </row>
    <row r="3548" spans="1:32" x14ac:dyDescent="0.2">
      <c r="A3548" s="1" t="s">
        <v>7011</v>
      </c>
      <c r="B3548" s="1" t="s">
        <v>5</v>
      </c>
      <c r="C3548" s="1" t="s">
        <v>1575</v>
      </c>
      <c r="D3548" s="1" t="s">
        <v>1600</v>
      </c>
      <c r="E3548" s="1" t="s">
        <v>1659</v>
      </c>
      <c r="F3548" s="1" t="s">
        <v>1265</v>
      </c>
      <c r="G3548" s="4">
        <v>1.2999999999999999E-2</v>
      </c>
      <c r="H3548" s="28">
        <v>43131</v>
      </c>
      <c r="I3548" s="29">
        <f t="shared" si="3367"/>
        <v>2018</v>
      </c>
      <c r="J3548" s="1" t="s">
        <v>1254</v>
      </c>
      <c r="K3548" s="1" t="s">
        <v>7</v>
      </c>
      <c r="L3548" s="11" t="str">
        <f t="shared" si="3364"/>
        <v>НЕТ</v>
      </c>
      <c r="M3548" s="10">
        <v>0</v>
      </c>
      <c r="N3548" s="10">
        <v>0</v>
      </c>
      <c r="O3548" s="10">
        <v>6.0000000000000001E-3</v>
      </c>
      <c r="P3548" s="10">
        <f t="shared" si="3365"/>
        <v>0.46153846153846156</v>
      </c>
      <c r="Q3548" s="10" t="str">
        <f t="shared" si="3366"/>
        <v>NA</v>
      </c>
      <c r="R3548" s="10" t="s">
        <v>1575</v>
      </c>
      <c r="S3548" s="10" t="s">
        <v>1575</v>
      </c>
      <c r="T3548" s="10" t="s">
        <v>1575</v>
      </c>
      <c r="U3548" s="10" t="s">
        <v>1575</v>
      </c>
      <c r="V3548" s="10" t="s">
        <v>1575</v>
      </c>
      <c r="W3548" s="10" t="s">
        <v>1575</v>
      </c>
      <c r="X3548" s="10" t="str">
        <f t="shared" si="3368"/>
        <v>NA</v>
      </c>
      <c r="Y3548" s="10" t="str">
        <f t="shared" si="3369"/>
        <v>NA</v>
      </c>
      <c r="Z3548" s="10" t="str">
        <f t="shared" si="3370"/>
        <v>NA</v>
      </c>
      <c r="AA3548" s="10" t="str">
        <f t="shared" si="3371"/>
        <v>NA</v>
      </c>
      <c r="AB3548" s="10" t="str">
        <f t="shared" si="3372"/>
        <v>NA</v>
      </c>
      <c r="AC3548" s="10" t="str">
        <f t="shared" si="3373"/>
        <v>NA</v>
      </c>
      <c r="AD3548" s="10" t="str">
        <f t="shared" si="3374"/>
        <v>NA</v>
      </c>
      <c r="AE3548" s="10" t="str">
        <f t="shared" si="3375"/>
        <v>NA</v>
      </c>
      <c r="AF3548" s="1" t="s">
        <v>1264</v>
      </c>
    </row>
    <row r="3549" spans="1:32" x14ac:dyDescent="0.2">
      <c r="A3549" s="1" t="s">
        <v>7012</v>
      </c>
      <c r="B3549" s="1" t="s">
        <v>5</v>
      </c>
      <c r="C3549" s="1" t="s">
        <v>1575</v>
      </c>
      <c r="D3549" s="1" t="s">
        <v>1600</v>
      </c>
      <c r="E3549" s="1" t="s">
        <v>1659</v>
      </c>
      <c r="F3549" s="1" t="s">
        <v>118</v>
      </c>
      <c r="G3549" s="4">
        <v>1</v>
      </c>
      <c r="H3549" s="28">
        <v>43373</v>
      </c>
      <c r="I3549" s="29">
        <f t="shared" si="3367"/>
        <v>2018</v>
      </c>
      <c r="J3549" s="1" t="s">
        <v>7</v>
      </c>
      <c r="K3549" s="1" t="s">
        <v>1254</v>
      </c>
      <c r="L3549" s="11" t="str">
        <f t="shared" si="3364"/>
        <v>НЕТ</v>
      </c>
      <c r="M3549" s="10">
        <v>0</v>
      </c>
      <c r="N3549" s="10">
        <v>0</v>
      </c>
      <c r="O3549" s="10">
        <v>7.9999999999999996E-6</v>
      </c>
      <c r="P3549" s="10">
        <f t="shared" si="3365"/>
        <v>7.9999999999999996E-6</v>
      </c>
      <c r="Q3549" s="10" t="str">
        <f t="shared" si="3366"/>
        <v>NA</v>
      </c>
      <c r="R3549" s="10" t="s">
        <v>1575</v>
      </c>
      <c r="S3549" s="10" t="s">
        <v>1575</v>
      </c>
      <c r="T3549" s="10" t="s">
        <v>1575</v>
      </c>
      <c r="U3549" s="10" t="s">
        <v>1575</v>
      </c>
      <c r="V3549" s="10" t="s">
        <v>1575</v>
      </c>
      <c r="W3549" s="10" t="s">
        <v>1575</v>
      </c>
      <c r="X3549" s="10" t="str">
        <f t="shared" si="3368"/>
        <v>NA</v>
      </c>
      <c r="Y3549" s="10" t="str">
        <f t="shared" si="3369"/>
        <v>NA</v>
      </c>
      <c r="Z3549" s="10" t="str">
        <f t="shared" si="3370"/>
        <v>NA</v>
      </c>
      <c r="AA3549" s="10" t="str">
        <f t="shared" si="3371"/>
        <v>NA</v>
      </c>
      <c r="AB3549" s="10" t="str">
        <f t="shared" si="3372"/>
        <v>NA</v>
      </c>
      <c r="AC3549" s="10" t="str">
        <f t="shared" si="3373"/>
        <v>NA</v>
      </c>
      <c r="AD3549" s="10" t="str">
        <f t="shared" si="3374"/>
        <v>NA</v>
      </c>
      <c r="AE3549" s="10" t="str">
        <f t="shared" si="3375"/>
        <v>NA</v>
      </c>
      <c r="AF3549" s="1" t="s">
        <v>1261</v>
      </c>
    </row>
    <row r="3550" spans="1:32" x14ac:dyDescent="0.2">
      <c r="A3550" s="1" t="s">
        <v>7013</v>
      </c>
      <c r="B3550" s="1" t="s">
        <v>5</v>
      </c>
      <c r="C3550" s="1" t="s">
        <v>1575</v>
      </c>
      <c r="D3550" s="1" t="s">
        <v>1600</v>
      </c>
      <c r="E3550" s="1" t="s">
        <v>1659</v>
      </c>
      <c r="F3550" s="1" t="s">
        <v>118</v>
      </c>
      <c r="G3550" s="4">
        <v>1</v>
      </c>
      <c r="H3550" s="28">
        <v>42094</v>
      </c>
      <c r="I3550" s="29">
        <f t="shared" si="3367"/>
        <v>2015</v>
      </c>
      <c r="J3550" s="1" t="s">
        <v>7</v>
      </c>
      <c r="K3550" s="1" t="s">
        <v>1271</v>
      </c>
      <c r="L3550" s="11" t="str">
        <f t="shared" si="3364"/>
        <v>НЕТ</v>
      </c>
      <c r="M3550" s="10">
        <v>0</v>
      </c>
      <c r="N3550" s="10">
        <v>0</v>
      </c>
      <c r="O3550" s="10">
        <v>0.02</v>
      </c>
      <c r="P3550" s="10">
        <f t="shared" si="3365"/>
        <v>0.02</v>
      </c>
      <c r="Q3550" s="10" t="str">
        <f t="shared" si="3366"/>
        <v>NA</v>
      </c>
      <c r="R3550" s="10" t="s">
        <v>1575</v>
      </c>
      <c r="S3550" s="10" t="s">
        <v>1575</v>
      </c>
      <c r="T3550" s="10" t="s">
        <v>1575</v>
      </c>
      <c r="U3550" s="10" t="s">
        <v>1575</v>
      </c>
      <c r="V3550" s="10" t="s">
        <v>1575</v>
      </c>
      <c r="W3550" s="10" t="s">
        <v>1575</v>
      </c>
      <c r="X3550" s="10" t="str">
        <f t="shared" si="3368"/>
        <v>NA</v>
      </c>
      <c r="Y3550" s="10" t="str">
        <f t="shared" si="3369"/>
        <v>NA</v>
      </c>
      <c r="Z3550" s="10" t="str">
        <f t="shared" si="3370"/>
        <v>NA</v>
      </c>
      <c r="AA3550" s="10" t="str">
        <f t="shared" si="3371"/>
        <v>NA</v>
      </c>
      <c r="AB3550" s="10" t="str">
        <f t="shared" si="3372"/>
        <v>NA</v>
      </c>
      <c r="AC3550" s="10" t="str">
        <f t="shared" si="3373"/>
        <v>NA</v>
      </c>
      <c r="AD3550" s="10" t="str">
        <f t="shared" si="3374"/>
        <v>NA</v>
      </c>
      <c r="AE3550" s="10" t="str">
        <f t="shared" si="3375"/>
        <v>NA</v>
      </c>
      <c r="AF3550" s="1" t="s">
        <v>1270</v>
      </c>
    </row>
    <row r="3551" spans="1:32" x14ac:dyDescent="0.2">
      <c r="A3551" s="1" t="s">
        <v>7014</v>
      </c>
      <c r="B3551" s="1" t="s">
        <v>5</v>
      </c>
      <c r="C3551" s="1" t="s">
        <v>1575</v>
      </c>
      <c r="D3551" s="1" t="s">
        <v>1600</v>
      </c>
      <c r="E3551" s="1" t="s">
        <v>1696</v>
      </c>
      <c r="F3551" s="1" t="s">
        <v>1263</v>
      </c>
      <c r="G3551" s="4">
        <v>0.04</v>
      </c>
      <c r="H3551" s="28">
        <v>43131</v>
      </c>
      <c r="I3551" s="29">
        <f t="shared" si="3367"/>
        <v>2018</v>
      </c>
      <c r="J3551" s="1" t="s">
        <v>1254</v>
      </c>
      <c r="K3551" s="1" t="s">
        <v>7</v>
      </c>
      <c r="L3551" s="11" t="str">
        <f t="shared" si="3364"/>
        <v>НЕТ</v>
      </c>
      <c r="M3551" s="10">
        <v>0</v>
      </c>
      <c r="N3551" s="10">
        <v>0</v>
      </c>
      <c r="O3551" s="10">
        <v>3.7999999999999999E-2</v>
      </c>
      <c r="P3551" s="10">
        <f t="shared" si="3365"/>
        <v>0.95</v>
      </c>
      <c r="Q3551" s="10" t="str">
        <f t="shared" si="3366"/>
        <v>NA</v>
      </c>
      <c r="R3551" s="10" t="s">
        <v>1575</v>
      </c>
      <c r="S3551" s="10" t="s">
        <v>1575</v>
      </c>
      <c r="T3551" s="10" t="s">
        <v>1575</v>
      </c>
      <c r="U3551" s="10" t="s">
        <v>1575</v>
      </c>
      <c r="V3551" s="10" t="s">
        <v>1575</v>
      </c>
      <c r="W3551" s="10" t="s">
        <v>1575</v>
      </c>
      <c r="X3551" s="10" t="str">
        <f t="shared" si="3368"/>
        <v>NA</v>
      </c>
      <c r="Y3551" s="10" t="str">
        <f t="shared" si="3369"/>
        <v>NA</v>
      </c>
      <c r="Z3551" s="10" t="str">
        <f t="shared" si="3370"/>
        <v>NA</v>
      </c>
      <c r="AA3551" s="10" t="str">
        <f t="shared" si="3371"/>
        <v>NA</v>
      </c>
      <c r="AB3551" s="10" t="str">
        <f t="shared" si="3372"/>
        <v>NA</v>
      </c>
      <c r="AC3551" s="10" t="str">
        <f t="shared" si="3373"/>
        <v>NA</v>
      </c>
      <c r="AD3551" s="10" t="str">
        <f t="shared" si="3374"/>
        <v>NA</v>
      </c>
      <c r="AE3551" s="10" t="str">
        <f t="shared" si="3375"/>
        <v>NA</v>
      </c>
      <c r="AF3551" s="1" t="s">
        <v>1262</v>
      </c>
    </row>
    <row r="3552" spans="1:32" x14ac:dyDescent="0.2">
      <c r="A3552" s="1" t="s">
        <v>1268</v>
      </c>
      <c r="B3552" s="1" t="s">
        <v>5</v>
      </c>
      <c r="C3552" s="1" t="s">
        <v>1658</v>
      </c>
      <c r="D3552" s="1" t="s">
        <v>1600</v>
      </c>
      <c r="E3552" s="1" t="s">
        <v>1659</v>
      </c>
      <c r="F3552" s="1" t="s">
        <v>118</v>
      </c>
      <c r="G3552" s="4">
        <f>67230/99258355</f>
        <v>6.7732333464522957E-4</v>
      </c>
      <c r="H3552" s="28">
        <v>44196</v>
      </c>
      <c r="I3552" s="29">
        <f t="shared" si="3367"/>
        <v>2020</v>
      </c>
      <c r="J3552" s="1" t="s">
        <v>1266</v>
      </c>
      <c r="K3552" s="1" t="s">
        <v>7</v>
      </c>
      <c r="L3552" s="11" t="str">
        <f t="shared" si="3364"/>
        <v>НЕТ</v>
      </c>
      <c r="M3552" s="10">
        <v>0</v>
      </c>
      <c r="N3552" s="10">
        <v>0</v>
      </c>
      <c r="O3552" s="10">
        <v>1.0999999999999999E-2</v>
      </c>
      <c r="P3552" s="10">
        <f t="shared" si="3365"/>
        <v>16.240397218503645</v>
      </c>
      <c r="Q3552" s="10">
        <f t="shared" si="3366"/>
        <v>23.734397218503645</v>
      </c>
      <c r="R3552" s="10">
        <v>39.494999999999997</v>
      </c>
      <c r="S3552" s="10">
        <v>-2.2869999999999999</v>
      </c>
      <c r="T3552" s="10">
        <v>-4.931</v>
      </c>
      <c r="U3552" s="10">
        <v>-4.78</v>
      </c>
      <c r="V3552" s="10">
        <v>8.9369999999999994</v>
      </c>
      <c r="W3552" s="10">
        <v>7.4939999999999998</v>
      </c>
      <c r="X3552" s="10">
        <f t="shared" si="3368"/>
        <v>16.430999999999997</v>
      </c>
      <c r="Y3552" s="10">
        <f t="shared" si="3369"/>
        <v>0.41120134747445619</v>
      </c>
      <c r="Z3552" s="10">
        <f t="shared" si="3370"/>
        <v>-3.3975726398543187</v>
      </c>
      <c r="AA3552" s="10">
        <f t="shared" si="3371"/>
        <v>1.8172090431356882</v>
      </c>
      <c r="AB3552" s="10">
        <f t="shared" si="3372"/>
        <v>0.60094688488425485</v>
      </c>
      <c r="AC3552" s="10">
        <f t="shared" si="3373"/>
        <v>-10.377961179931633</v>
      </c>
      <c r="AD3552" s="10">
        <f t="shared" si="3374"/>
        <v>-4.8133030254519662</v>
      </c>
      <c r="AE3552" s="10">
        <f t="shared" si="3375"/>
        <v>1.4444889062445163</v>
      </c>
      <c r="AF3552" s="1" t="s">
        <v>1267</v>
      </c>
    </row>
    <row r="3553" spans="1:32" x14ac:dyDescent="0.2">
      <c r="A3553" s="1" t="s">
        <v>1268</v>
      </c>
      <c r="B3553" s="1" t="s">
        <v>5</v>
      </c>
      <c r="C3553" s="1" t="s">
        <v>1658</v>
      </c>
      <c r="D3553" s="1" t="s">
        <v>1600</v>
      </c>
      <c r="E3553" s="1" t="s">
        <v>1659</v>
      </c>
      <c r="F3553" s="1" t="s">
        <v>118</v>
      </c>
      <c r="G3553" s="4">
        <f>80820/99258355</f>
        <v>8.1423876105945938E-4</v>
      </c>
      <c r="H3553" s="28">
        <v>43465</v>
      </c>
      <c r="I3553" s="29">
        <f t="shared" si="3367"/>
        <v>2018</v>
      </c>
      <c r="J3553" s="1" t="s">
        <v>1266</v>
      </c>
      <c r="K3553" s="1" t="s">
        <v>7</v>
      </c>
      <c r="L3553" s="11" t="str">
        <f t="shared" si="3364"/>
        <v>НЕТ</v>
      </c>
      <c r="M3553" s="10">
        <v>0</v>
      </c>
      <c r="N3553" s="10">
        <v>0</v>
      </c>
      <c r="O3553" s="10">
        <v>1.6E-2</v>
      </c>
      <c r="P3553" s="10">
        <f t="shared" si="3365"/>
        <v>19.650255877258108</v>
      </c>
      <c r="Q3553" s="10">
        <f t="shared" si="3366"/>
        <v>25.369255877258105</v>
      </c>
      <c r="R3553" s="10">
        <v>68.478999999999999</v>
      </c>
      <c r="S3553" s="10">
        <v>10.643999999999998</v>
      </c>
      <c r="T3553" s="10">
        <v>8.3569999999999993</v>
      </c>
      <c r="U3553" s="10">
        <v>6.0229999999999997</v>
      </c>
      <c r="V3553" s="10">
        <v>16.417999999999999</v>
      </c>
      <c r="W3553" s="10">
        <v>5.7189999999999994</v>
      </c>
      <c r="X3553" s="10">
        <f t="shared" si="3368"/>
        <v>22.137</v>
      </c>
      <c r="Y3553" s="10">
        <f t="shared" si="3369"/>
        <v>0.28695302030196274</v>
      </c>
      <c r="Z3553" s="10">
        <f t="shared" si="3370"/>
        <v>3.2625362572236609</v>
      </c>
      <c r="AA3553" s="10">
        <f t="shared" si="3371"/>
        <v>1.1968726932183036</v>
      </c>
      <c r="AB3553" s="10">
        <f t="shared" si="3372"/>
        <v>0.37046767442950546</v>
      </c>
      <c r="AC3553" s="10">
        <f t="shared" si="3373"/>
        <v>2.3834325326247754</v>
      </c>
      <c r="AD3553" s="10">
        <f t="shared" si="3374"/>
        <v>3.0356893475240048</v>
      </c>
      <c r="AE3553" s="10">
        <f t="shared" si="3375"/>
        <v>1.1460114684581517</v>
      </c>
      <c r="AF3553" s="1" t="s">
        <v>1269</v>
      </c>
    </row>
    <row r="3554" spans="1:32" x14ac:dyDescent="0.2">
      <c r="A3554" s="1" t="s">
        <v>7015</v>
      </c>
      <c r="B3554" s="1" t="s">
        <v>5</v>
      </c>
      <c r="C3554" s="1" t="s">
        <v>1575</v>
      </c>
      <c r="D3554" s="1" t="s">
        <v>1615</v>
      </c>
      <c r="E3554" s="1" t="s">
        <v>1616</v>
      </c>
      <c r="F3554" s="1" t="s">
        <v>1012</v>
      </c>
      <c r="G3554" s="4">
        <f>100%-49.9%</f>
        <v>0.501</v>
      </c>
      <c r="H3554" s="28">
        <v>44561</v>
      </c>
      <c r="I3554" s="29">
        <f t="shared" si="3367"/>
        <v>2021</v>
      </c>
      <c r="J3554" s="1" t="s">
        <v>1272</v>
      </c>
      <c r="K3554" s="1" t="s">
        <v>7</v>
      </c>
      <c r="L3554" s="11" t="str">
        <f t="shared" si="3364"/>
        <v>НЕТ</v>
      </c>
      <c r="M3554" s="10">
        <v>55</v>
      </c>
      <c r="N3554" s="10">
        <v>0</v>
      </c>
      <c r="O3554" s="10">
        <v>0</v>
      </c>
      <c r="P3554" s="10">
        <f t="shared" si="3365"/>
        <v>0</v>
      </c>
      <c r="Q3554" s="10" t="str">
        <f t="shared" si="3366"/>
        <v>NA</v>
      </c>
      <c r="R3554" s="10" t="s">
        <v>1575</v>
      </c>
      <c r="S3554" s="10" t="s">
        <v>1575</v>
      </c>
      <c r="T3554" s="10" t="s">
        <v>1575</v>
      </c>
      <c r="U3554" s="10" t="s">
        <v>1575</v>
      </c>
      <c r="V3554" s="10" t="s">
        <v>1575</v>
      </c>
      <c r="W3554" s="10" t="s">
        <v>1575</v>
      </c>
      <c r="X3554" s="10" t="str">
        <f t="shared" si="3368"/>
        <v>NA</v>
      </c>
      <c r="Y3554" s="10" t="str">
        <f t="shared" si="3369"/>
        <v>NA</v>
      </c>
      <c r="Z3554" s="10" t="str">
        <f t="shared" si="3370"/>
        <v>NA</v>
      </c>
      <c r="AA3554" s="10" t="str">
        <f t="shared" si="3371"/>
        <v>NA</v>
      </c>
      <c r="AB3554" s="10" t="str">
        <f t="shared" si="3372"/>
        <v>NA</v>
      </c>
      <c r="AC3554" s="10" t="str">
        <f t="shared" si="3373"/>
        <v>NA</v>
      </c>
      <c r="AD3554" s="10" t="str">
        <f t="shared" si="3374"/>
        <v>NA</v>
      </c>
      <c r="AE3554" s="10" t="str">
        <f t="shared" si="3375"/>
        <v>NA</v>
      </c>
      <c r="AF3554" s="1" t="s">
        <v>1274</v>
      </c>
    </row>
    <row r="3555" spans="1:32" x14ac:dyDescent="0.2">
      <c r="A3555" s="1" t="s">
        <v>1273</v>
      </c>
      <c r="B3555" s="1" t="s">
        <v>5</v>
      </c>
      <c r="C3555" s="1" t="s">
        <v>1575</v>
      </c>
      <c r="D3555" s="1" t="s">
        <v>1601</v>
      </c>
      <c r="E3555" s="1" t="s">
        <v>1608</v>
      </c>
      <c r="F3555" s="1" t="s">
        <v>1562</v>
      </c>
      <c r="G3555" s="4" t="s">
        <v>1575</v>
      </c>
      <c r="H3555" s="28">
        <v>43921</v>
      </c>
      <c r="I3555" s="29">
        <f t="shared" si="3367"/>
        <v>2020</v>
      </c>
      <c r="J3555" s="1" t="s">
        <v>1272</v>
      </c>
      <c r="K3555" s="1" t="s">
        <v>7</v>
      </c>
      <c r="L3555" s="11" t="str">
        <f t="shared" si="3364"/>
        <v>НЕТ</v>
      </c>
      <c r="M3555" s="10">
        <v>156</v>
      </c>
      <c r="N3555" s="10">
        <v>0</v>
      </c>
      <c r="O3555" s="10">
        <v>0</v>
      </c>
      <c r="P3555" s="10" t="str">
        <f t="shared" si="3365"/>
        <v>NA</v>
      </c>
      <c r="Q3555" s="10" t="str">
        <f t="shared" si="3366"/>
        <v>NA</v>
      </c>
      <c r="R3555" s="10" t="s">
        <v>1575</v>
      </c>
      <c r="S3555" s="10" t="s">
        <v>1575</v>
      </c>
      <c r="T3555" s="10" t="s">
        <v>1575</v>
      </c>
      <c r="U3555" s="10" t="s">
        <v>1575</v>
      </c>
      <c r="V3555" s="10" t="s">
        <v>1575</v>
      </c>
      <c r="W3555" s="10" t="s">
        <v>1575</v>
      </c>
      <c r="X3555" s="10" t="str">
        <f t="shared" si="3368"/>
        <v>NA</v>
      </c>
      <c r="Y3555" s="10" t="str">
        <f t="shared" si="3369"/>
        <v>NA</v>
      </c>
      <c r="Z3555" s="10" t="str">
        <f t="shared" si="3370"/>
        <v>NA</v>
      </c>
      <c r="AA3555" s="10" t="str">
        <f t="shared" si="3371"/>
        <v>NA</v>
      </c>
      <c r="AB3555" s="10" t="str">
        <f t="shared" si="3372"/>
        <v>NA</v>
      </c>
      <c r="AC3555" s="10" t="str">
        <f t="shared" si="3373"/>
        <v>NA</v>
      </c>
      <c r="AD3555" s="10" t="str">
        <f t="shared" si="3374"/>
        <v>NA</v>
      </c>
      <c r="AE3555" s="10" t="str">
        <f t="shared" si="3375"/>
        <v>NA</v>
      </c>
      <c r="AF3555" s="1" t="s">
        <v>1275</v>
      </c>
    </row>
    <row r="3556" spans="1:32" x14ac:dyDescent="0.2">
      <c r="A3556" s="1" t="s">
        <v>1276</v>
      </c>
      <c r="B3556" s="1" t="s">
        <v>5</v>
      </c>
      <c r="C3556" s="1" t="s">
        <v>1575</v>
      </c>
      <c r="D3556" s="1" t="s">
        <v>1601</v>
      </c>
      <c r="E3556" s="1" t="s">
        <v>1608</v>
      </c>
      <c r="F3556" s="1" t="s">
        <v>1562</v>
      </c>
      <c r="G3556" s="4" t="s">
        <v>1575</v>
      </c>
      <c r="H3556" s="28">
        <v>43769</v>
      </c>
      <c r="I3556" s="29">
        <f t="shared" si="3367"/>
        <v>2019</v>
      </c>
      <c r="J3556" s="1" t="s">
        <v>1272</v>
      </c>
      <c r="K3556" s="1" t="s">
        <v>7</v>
      </c>
      <c r="L3556" s="11" t="str">
        <f t="shared" si="3364"/>
        <v>НЕТ</v>
      </c>
      <c r="M3556" s="10">
        <v>345</v>
      </c>
      <c r="N3556" s="10">
        <v>0</v>
      </c>
      <c r="O3556" s="10">
        <v>0</v>
      </c>
      <c r="P3556" s="10" t="str">
        <f t="shared" si="3365"/>
        <v>NA</v>
      </c>
      <c r="Q3556" s="10" t="str">
        <f t="shared" si="3366"/>
        <v>NA</v>
      </c>
      <c r="R3556" s="10" t="s">
        <v>1575</v>
      </c>
      <c r="S3556" s="10" t="s">
        <v>1575</v>
      </c>
      <c r="T3556" s="10" t="s">
        <v>1575</v>
      </c>
      <c r="U3556" s="10" t="s">
        <v>1575</v>
      </c>
      <c r="V3556" s="10" t="s">
        <v>1575</v>
      </c>
      <c r="W3556" s="10" t="s">
        <v>1575</v>
      </c>
      <c r="X3556" s="10" t="str">
        <f t="shared" si="3368"/>
        <v>NA</v>
      </c>
      <c r="Y3556" s="10" t="str">
        <f t="shared" si="3369"/>
        <v>NA</v>
      </c>
      <c r="Z3556" s="10" t="str">
        <f t="shared" si="3370"/>
        <v>NA</v>
      </c>
      <c r="AA3556" s="10" t="str">
        <f t="shared" si="3371"/>
        <v>NA</v>
      </c>
      <c r="AB3556" s="10" t="str">
        <f t="shared" si="3372"/>
        <v>NA</v>
      </c>
      <c r="AC3556" s="10" t="str">
        <f t="shared" si="3373"/>
        <v>NA</v>
      </c>
      <c r="AD3556" s="10" t="str">
        <f t="shared" si="3374"/>
        <v>NA</v>
      </c>
      <c r="AE3556" s="10" t="str">
        <f t="shared" si="3375"/>
        <v>NA</v>
      </c>
      <c r="AF3556" s="1" t="s">
        <v>1277</v>
      </c>
    </row>
    <row r="3557" spans="1:32" x14ac:dyDescent="0.2">
      <c r="A3557" s="1" t="s">
        <v>1278</v>
      </c>
      <c r="B3557" s="1" t="s">
        <v>5</v>
      </c>
      <c r="C3557" s="1" t="s">
        <v>1575</v>
      </c>
      <c r="D3557" s="1" t="s">
        <v>1601</v>
      </c>
      <c r="E3557" s="1" t="s">
        <v>1608</v>
      </c>
      <c r="F3557" s="1" t="s">
        <v>1562</v>
      </c>
      <c r="G3557" s="4">
        <v>1</v>
      </c>
      <c r="H3557" s="28">
        <v>44165</v>
      </c>
      <c r="I3557" s="29">
        <f t="shared" si="3367"/>
        <v>2020</v>
      </c>
      <c r="J3557" s="1" t="s">
        <v>1272</v>
      </c>
      <c r="K3557" s="1" t="s">
        <v>7</v>
      </c>
      <c r="L3557" s="11" t="str">
        <f t="shared" si="3364"/>
        <v>НЕТ</v>
      </c>
      <c r="M3557" s="10">
        <v>49</v>
      </c>
      <c r="N3557" s="10">
        <v>0</v>
      </c>
      <c r="O3557" s="10">
        <v>0</v>
      </c>
      <c r="P3557" s="10">
        <f t="shared" si="3365"/>
        <v>0</v>
      </c>
      <c r="Q3557" s="10" t="str">
        <f t="shared" si="3366"/>
        <v>NA</v>
      </c>
      <c r="R3557" s="10" t="s">
        <v>1575</v>
      </c>
      <c r="S3557" s="10" t="s">
        <v>1575</v>
      </c>
      <c r="T3557" s="10" t="s">
        <v>1575</v>
      </c>
      <c r="U3557" s="10" t="s">
        <v>1575</v>
      </c>
      <c r="V3557" s="10" t="s">
        <v>1575</v>
      </c>
      <c r="W3557" s="10" t="s">
        <v>1575</v>
      </c>
      <c r="X3557" s="10" t="str">
        <f t="shared" si="3368"/>
        <v>NA</v>
      </c>
      <c r="Y3557" s="10" t="str">
        <f t="shared" si="3369"/>
        <v>NA</v>
      </c>
      <c r="Z3557" s="10" t="str">
        <f t="shared" si="3370"/>
        <v>NA</v>
      </c>
      <c r="AA3557" s="10" t="str">
        <f t="shared" si="3371"/>
        <v>NA</v>
      </c>
      <c r="AB3557" s="10" t="str">
        <f t="shared" si="3372"/>
        <v>NA</v>
      </c>
      <c r="AC3557" s="10" t="str">
        <f t="shared" si="3373"/>
        <v>NA</v>
      </c>
      <c r="AD3557" s="10" t="str">
        <f t="shared" si="3374"/>
        <v>NA</v>
      </c>
      <c r="AE3557" s="10" t="str">
        <f t="shared" si="3375"/>
        <v>NA</v>
      </c>
      <c r="AF3557" s="1" t="s">
        <v>1279</v>
      </c>
    </row>
    <row r="3558" spans="1:32" x14ac:dyDescent="0.2">
      <c r="A3558" s="1" t="s">
        <v>7016</v>
      </c>
      <c r="B3558" s="1" t="s">
        <v>5</v>
      </c>
      <c r="C3558" s="1" t="s">
        <v>1575</v>
      </c>
      <c r="D3558" s="1" t="s">
        <v>1615</v>
      </c>
      <c r="E3558" s="1" t="s">
        <v>1616</v>
      </c>
      <c r="F3558" s="1" t="s">
        <v>1012</v>
      </c>
      <c r="G3558" s="4" t="s">
        <v>1575</v>
      </c>
      <c r="H3558" s="28">
        <v>44196</v>
      </c>
      <c r="I3558" s="29">
        <f t="shared" si="3367"/>
        <v>2020</v>
      </c>
      <c r="J3558" s="1" t="s">
        <v>1272</v>
      </c>
      <c r="K3558" s="1" t="s">
        <v>1033</v>
      </c>
      <c r="L3558" s="11" t="str">
        <f t="shared" si="3364"/>
        <v>НЕТ</v>
      </c>
      <c r="M3558" s="10">
        <f>114</f>
        <v>114</v>
      </c>
      <c r="N3558" s="10">
        <v>0</v>
      </c>
      <c r="O3558" s="10">
        <v>0</v>
      </c>
      <c r="P3558" s="10" t="str">
        <f t="shared" si="3365"/>
        <v>NA</v>
      </c>
      <c r="Q3558" s="10" t="str">
        <f t="shared" si="3366"/>
        <v>NA</v>
      </c>
      <c r="R3558" s="10" t="s">
        <v>1575</v>
      </c>
      <c r="S3558" s="10" t="s">
        <v>1575</v>
      </c>
      <c r="T3558" s="10" t="s">
        <v>1575</v>
      </c>
      <c r="U3558" s="10" t="s">
        <v>1575</v>
      </c>
      <c r="V3558" s="10" t="s">
        <v>1575</v>
      </c>
      <c r="W3558" s="10" t="s">
        <v>1575</v>
      </c>
      <c r="X3558" s="10" t="str">
        <f t="shared" si="3368"/>
        <v>NA</v>
      </c>
      <c r="Y3558" s="10" t="str">
        <f t="shared" si="3369"/>
        <v>NA</v>
      </c>
      <c r="Z3558" s="10" t="str">
        <f t="shared" si="3370"/>
        <v>NA</v>
      </c>
      <c r="AA3558" s="10" t="str">
        <f t="shared" si="3371"/>
        <v>NA</v>
      </c>
      <c r="AB3558" s="10" t="str">
        <f t="shared" si="3372"/>
        <v>NA</v>
      </c>
      <c r="AC3558" s="10" t="str">
        <f t="shared" si="3373"/>
        <v>NA</v>
      </c>
      <c r="AD3558" s="10" t="str">
        <f t="shared" si="3374"/>
        <v>NA</v>
      </c>
      <c r="AE3558" s="10" t="str">
        <f t="shared" si="3375"/>
        <v>NA</v>
      </c>
      <c r="AF3558" s="1" t="s">
        <v>1280</v>
      </c>
    </row>
    <row r="3559" spans="1:32" x14ac:dyDescent="0.2">
      <c r="A3559" s="1" t="s">
        <v>7017</v>
      </c>
      <c r="B3559" s="1" t="s">
        <v>5</v>
      </c>
      <c r="C3559" s="1" t="s">
        <v>1575</v>
      </c>
      <c r="D3559" s="1" t="s">
        <v>1615</v>
      </c>
      <c r="E3559" s="1" t="s">
        <v>1616</v>
      </c>
      <c r="F3559" s="1" t="s">
        <v>1012</v>
      </c>
      <c r="G3559" s="4" t="s">
        <v>1575</v>
      </c>
      <c r="H3559" s="28">
        <v>44196</v>
      </c>
      <c r="I3559" s="29">
        <f t="shared" si="3367"/>
        <v>2020</v>
      </c>
      <c r="J3559" s="1" t="s">
        <v>1272</v>
      </c>
      <c r="K3559" s="1" t="s">
        <v>1033</v>
      </c>
      <c r="L3559" s="11" t="str">
        <f t="shared" si="3364"/>
        <v>НЕТ</v>
      </c>
      <c r="M3559" s="10">
        <v>168</v>
      </c>
      <c r="N3559" s="10">
        <v>0</v>
      </c>
      <c r="O3559" s="10">
        <v>0</v>
      </c>
      <c r="P3559" s="10" t="str">
        <f t="shared" si="3365"/>
        <v>NA</v>
      </c>
      <c r="Q3559" s="10" t="str">
        <f t="shared" si="3366"/>
        <v>NA</v>
      </c>
      <c r="R3559" s="10" t="s">
        <v>1575</v>
      </c>
      <c r="S3559" s="10" t="s">
        <v>1575</v>
      </c>
      <c r="T3559" s="10" t="s">
        <v>1575</v>
      </c>
      <c r="U3559" s="10" t="s">
        <v>1575</v>
      </c>
      <c r="V3559" s="10" t="s">
        <v>1575</v>
      </c>
      <c r="W3559" s="10" t="s">
        <v>1575</v>
      </c>
      <c r="X3559" s="10" t="str">
        <f t="shared" si="3368"/>
        <v>NA</v>
      </c>
      <c r="Y3559" s="10" t="str">
        <f t="shared" si="3369"/>
        <v>NA</v>
      </c>
      <c r="Z3559" s="10" t="str">
        <f t="shared" si="3370"/>
        <v>NA</v>
      </c>
      <c r="AA3559" s="10" t="str">
        <f t="shared" si="3371"/>
        <v>NA</v>
      </c>
      <c r="AB3559" s="10" t="str">
        <f t="shared" si="3372"/>
        <v>NA</v>
      </c>
      <c r="AC3559" s="10" t="str">
        <f t="shared" si="3373"/>
        <v>NA</v>
      </c>
      <c r="AD3559" s="10" t="str">
        <f t="shared" si="3374"/>
        <v>NA</v>
      </c>
      <c r="AE3559" s="10" t="str">
        <f t="shared" si="3375"/>
        <v>NA</v>
      </c>
      <c r="AF3559" s="1" t="s">
        <v>1280</v>
      </c>
    </row>
    <row r="3560" spans="1:32" x14ac:dyDescent="0.2">
      <c r="A3560" s="1" t="s">
        <v>1281</v>
      </c>
      <c r="B3560" s="1" t="s">
        <v>5</v>
      </c>
      <c r="C3560" s="1" t="s">
        <v>1575</v>
      </c>
      <c r="D3560" s="1" t="s">
        <v>1575</v>
      </c>
      <c r="E3560" s="1" t="s">
        <v>1575</v>
      </c>
      <c r="F3560" s="1" t="s">
        <v>1575</v>
      </c>
      <c r="G3560" s="4">
        <v>0.999</v>
      </c>
      <c r="H3560" s="28">
        <v>43343</v>
      </c>
      <c r="I3560" s="29">
        <f t="shared" si="3367"/>
        <v>2018</v>
      </c>
      <c r="J3560" s="1" t="s">
        <v>1272</v>
      </c>
      <c r="K3560" s="1" t="s">
        <v>7</v>
      </c>
      <c r="L3560" s="11" t="str">
        <f t="shared" si="3364"/>
        <v>НЕТ</v>
      </c>
      <c r="M3560" s="10">
        <v>1916</v>
      </c>
      <c r="N3560" s="10">
        <v>0</v>
      </c>
      <c r="O3560" s="10">
        <v>0</v>
      </c>
      <c r="P3560" s="10">
        <f t="shared" si="3365"/>
        <v>0</v>
      </c>
      <c r="Q3560" s="10" t="str">
        <f t="shared" si="3366"/>
        <v>NA</v>
      </c>
      <c r="R3560" s="10" t="s">
        <v>1575</v>
      </c>
      <c r="S3560" s="10" t="s">
        <v>1575</v>
      </c>
      <c r="T3560" s="10" t="s">
        <v>1575</v>
      </c>
      <c r="U3560" s="10" t="s">
        <v>1575</v>
      </c>
      <c r="V3560" s="10" t="s">
        <v>1575</v>
      </c>
      <c r="W3560" s="10" t="s">
        <v>1575</v>
      </c>
      <c r="X3560" s="10" t="str">
        <f t="shared" si="3368"/>
        <v>NA</v>
      </c>
      <c r="Y3560" s="10" t="str">
        <f t="shared" si="3369"/>
        <v>NA</v>
      </c>
      <c r="Z3560" s="10" t="str">
        <f t="shared" si="3370"/>
        <v>NA</v>
      </c>
      <c r="AA3560" s="10" t="str">
        <f t="shared" si="3371"/>
        <v>NA</v>
      </c>
      <c r="AB3560" s="10" t="str">
        <f t="shared" si="3372"/>
        <v>NA</v>
      </c>
      <c r="AC3560" s="10" t="str">
        <f t="shared" si="3373"/>
        <v>NA</v>
      </c>
      <c r="AD3560" s="10" t="str">
        <f t="shared" si="3374"/>
        <v>NA</v>
      </c>
      <c r="AE3560" s="10" t="str">
        <f t="shared" si="3375"/>
        <v>NA</v>
      </c>
      <c r="AF3560" s="1" t="s">
        <v>1282</v>
      </c>
    </row>
    <row r="3561" spans="1:32" x14ac:dyDescent="0.2">
      <c r="A3561" s="1" t="s">
        <v>7018</v>
      </c>
      <c r="B3561" s="1" t="s">
        <v>5</v>
      </c>
      <c r="C3561" s="1" t="s">
        <v>5356</v>
      </c>
      <c r="D3561" s="1" t="s">
        <v>1615</v>
      </c>
      <c r="E3561" s="1" t="s">
        <v>1616</v>
      </c>
      <c r="F3561" s="1" t="s">
        <v>740</v>
      </c>
      <c r="G3561" s="4">
        <f>75.5%-39.3%</f>
        <v>0.36200000000000004</v>
      </c>
      <c r="H3561" s="28">
        <v>42735</v>
      </c>
      <c r="I3561" s="29">
        <f t="shared" si="3367"/>
        <v>2016</v>
      </c>
      <c r="J3561" s="1" t="s">
        <v>1272</v>
      </c>
      <c r="K3561" s="1" t="s">
        <v>1033</v>
      </c>
      <c r="L3561" s="11" t="str">
        <f t="shared" si="3364"/>
        <v>НЕТ</v>
      </c>
      <c r="M3561" s="10">
        <v>144</v>
      </c>
      <c r="N3561" s="10">
        <v>0</v>
      </c>
      <c r="O3561" s="10">
        <v>0</v>
      </c>
      <c r="P3561" s="10">
        <f t="shared" si="3365"/>
        <v>0</v>
      </c>
      <c r="Q3561" s="10" t="str">
        <f t="shared" si="3366"/>
        <v>NA</v>
      </c>
      <c r="R3561" s="10" t="s">
        <v>1575</v>
      </c>
      <c r="S3561" s="10" t="s">
        <v>1575</v>
      </c>
      <c r="T3561" s="10" t="s">
        <v>1575</v>
      </c>
      <c r="U3561" s="10" t="s">
        <v>1575</v>
      </c>
      <c r="V3561" s="10" t="s">
        <v>1575</v>
      </c>
      <c r="W3561" s="10" t="s">
        <v>1575</v>
      </c>
      <c r="X3561" s="10" t="str">
        <f t="shared" si="3368"/>
        <v>NA</v>
      </c>
      <c r="Y3561" s="10" t="str">
        <f t="shared" si="3369"/>
        <v>NA</v>
      </c>
      <c r="Z3561" s="10" t="str">
        <f t="shared" si="3370"/>
        <v>NA</v>
      </c>
      <c r="AA3561" s="10" t="str">
        <f t="shared" si="3371"/>
        <v>NA</v>
      </c>
      <c r="AB3561" s="10" t="str">
        <f t="shared" si="3372"/>
        <v>NA</v>
      </c>
      <c r="AC3561" s="10" t="str">
        <f t="shared" si="3373"/>
        <v>NA</v>
      </c>
      <c r="AD3561" s="10" t="str">
        <f t="shared" si="3374"/>
        <v>NA</v>
      </c>
      <c r="AE3561" s="10" t="str">
        <f t="shared" si="3375"/>
        <v>NA</v>
      </c>
      <c r="AF3561" s="1" t="s">
        <v>1283</v>
      </c>
    </row>
    <row r="3562" spans="1:32" x14ac:dyDescent="0.2">
      <c r="A3562" s="1" t="s">
        <v>7018</v>
      </c>
      <c r="B3562" s="1" t="s">
        <v>5</v>
      </c>
      <c r="C3562" s="1" t="s">
        <v>5356</v>
      </c>
      <c r="D3562" s="1" t="s">
        <v>1615</v>
      </c>
      <c r="E3562" s="1" t="s">
        <v>1616</v>
      </c>
      <c r="F3562" s="1" t="s">
        <v>740</v>
      </c>
      <c r="G3562" s="4">
        <v>9.3799999999999994E-2</v>
      </c>
      <c r="H3562" s="28">
        <v>42916</v>
      </c>
      <c r="I3562" s="29">
        <f t="shared" si="3367"/>
        <v>2017</v>
      </c>
      <c r="J3562" s="1" t="s">
        <v>1272</v>
      </c>
      <c r="K3562" s="1" t="s">
        <v>7</v>
      </c>
      <c r="L3562" s="11" t="str">
        <f t="shared" si="3364"/>
        <v>НЕТ</v>
      </c>
      <c r="M3562" s="10">
        <v>40</v>
      </c>
      <c r="N3562" s="10">
        <v>0</v>
      </c>
      <c r="O3562" s="10">
        <v>0</v>
      </c>
      <c r="P3562" s="10">
        <f t="shared" si="3365"/>
        <v>0</v>
      </c>
      <c r="Q3562" s="10" t="str">
        <f t="shared" si="3366"/>
        <v>NA</v>
      </c>
      <c r="R3562" s="10" t="s">
        <v>1575</v>
      </c>
      <c r="S3562" s="10" t="s">
        <v>1575</v>
      </c>
      <c r="T3562" s="10" t="s">
        <v>1575</v>
      </c>
      <c r="U3562" s="10" t="s">
        <v>1575</v>
      </c>
      <c r="V3562" s="10" t="s">
        <v>1575</v>
      </c>
      <c r="W3562" s="10" t="s">
        <v>1575</v>
      </c>
      <c r="X3562" s="10" t="str">
        <f t="shared" si="3368"/>
        <v>NA</v>
      </c>
      <c r="Y3562" s="10" t="str">
        <f t="shared" si="3369"/>
        <v>NA</v>
      </c>
      <c r="Z3562" s="10" t="str">
        <f t="shared" si="3370"/>
        <v>NA</v>
      </c>
      <c r="AA3562" s="10" t="str">
        <f t="shared" si="3371"/>
        <v>NA</v>
      </c>
      <c r="AB3562" s="10" t="str">
        <f t="shared" si="3372"/>
        <v>NA</v>
      </c>
      <c r="AC3562" s="10" t="str">
        <f t="shared" si="3373"/>
        <v>NA</v>
      </c>
      <c r="AD3562" s="10" t="str">
        <f t="shared" si="3374"/>
        <v>NA</v>
      </c>
      <c r="AE3562" s="10" t="str">
        <f t="shared" si="3375"/>
        <v>NA</v>
      </c>
      <c r="AF3562" s="1" t="s">
        <v>1284</v>
      </c>
    </row>
    <row r="3563" spans="1:32" x14ac:dyDescent="0.2">
      <c r="A3563" s="1" t="s">
        <v>1285</v>
      </c>
      <c r="B3563" s="1" t="s">
        <v>5</v>
      </c>
      <c r="C3563" s="1" t="s">
        <v>1575</v>
      </c>
      <c r="D3563" s="1" t="s">
        <v>1615</v>
      </c>
      <c r="E3563" s="1" t="s">
        <v>2176</v>
      </c>
      <c r="F3563" s="1" t="s">
        <v>1162</v>
      </c>
      <c r="G3563" s="4">
        <v>1</v>
      </c>
      <c r="H3563" s="28">
        <v>43039</v>
      </c>
      <c r="I3563" s="29">
        <f t="shared" si="3367"/>
        <v>2017</v>
      </c>
      <c r="J3563" s="1" t="s">
        <v>1272</v>
      </c>
      <c r="K3563" s="1" t="s">
        <v>7</v>
      </c>
      <c r="L3563" s="11" t="str">
        <f t="shared" si="3364"/>
        <v>НЕТ</v>
      </c>
      <c r="M3563" s="10">
        <v>120</v>
      </c>
      <c r="N3563" s="10">
        <v>0</v>
      </c>
      <c r="O3563" s="10">
        <v>0</v>
      </c>
      <c r="P3563" s="10">
        <f t="shared" si="3365"/>
        <v>0</v>
      </c>
      <c r="Q3563" s="10" t="str">
        <f t="shared" si="3366"/>
        <v>NA</v>
      </c>
      <c r="R3563" s="10" t="s">
        <v>1575</v>
      </c>
      <c r="S3563" s="10" t="s">
        <v>1575</v>
      </c>
      <c r="T3563" s="10" t="s">
        <v>1575</v>
      </c>
      <c r="U3563" s="10" t="s">
        <v>1575</v>
      </c>
      <c r="V3563" s="10" t="s">
        <v>1575</v>
      </c>
      <c r="W3563" s="10" t="s">
        <v>1575</v>
      </c>
      <c r="X3563" s="10" t="str">
        <f t="shared" si="3368"/>
        <v>NA</v>
      </c>
      <c r="Y3563" s="10" t="str">
        <f t="shared" si="3369"/>
        <v>NA</v>
      </c>
      <c r="Z3563" s="10" t="str">
        <f t="shared" si="3370"/>
        <v>NA</v>
      </c>
      <c r="AA3563" s="10" t="str">
        <f t="shared" si="3371"/>
        <v>NA</v>
      </c>
      <c r="AB3563" s="10" t="str">
        <f t="shared" si="3372"/>
        <v>NA</v>
      </c>
      <c r="AC3563" s="10" t="str">
        <f t="shared" si="3373"/>
        <v>NA</v>
      </c>
      <c r="AD3563" s="10" t="str">
        <f t="shared" si="3374"/>
        <v>NA</v>
      </c>
      <c r="AE3563" s="10" t="str">
        <f t="shared" si="3375"/>
        <v>NA</v>
      </c>
      <c r="AF3563" s="1" t="s">
        <v>1286</v>
      </c>
    </row>
    <row r="3564" spans="1:32" x14ac:dyDescent="0.2">
      <c r="A3564" s="1" t="s">
        <v>1289</v>
      </c>
      <c r="B3564" s="1" t="s">
        <v>5</v>
      </c>
      <c r="C3564" s="1" t="s">
        <v>1575</v>
      </c>
      <c r="D3564" s="1" t="s">
        <v>1601</v>
      </c>
      <c r="E3564" s="1" t="s">
        <v>1608</v>
      </c>
      <c r="F3564" s="1" t="s">
        <v>1288</v>
      </c>
      <c r="G3564" s="4">
        <v>0.77600000000000002</v>
      </c>
      <c r="H3564" s="28">
        <v>43190</v>
      </c>
      <c r="I3564" s="29">
        <f t="shared" si="3367"/>
        <v>2018</v>
      </c>
      <c r="J3564" s="1" t="s">
        <v>7019</v>
      </c>
      <c r="K3564" s="1" t="s">
        <v>7</v>
      </c>
      <c r="L3564" s="11" t="str">
        <f t="shared" si="3364"/>
        <v>НЕТ</v>
      </c>
      <c r="M3564" s="10">
        <v>504</v>
      </c>
      <c r="N3564" s="10">
        <v>0</v>
      </c>
      <c r="O3564" s="10">
        <v>0</v>
      </c>
      <c r="P3564" s="10">
        <f t="shared" si="3365"/>
        <v>0</v>
      </c>
      <c r="Q3564" s="10" t="str">
        <f t="shared" si="3366"/>
        <v>NA</v>
      </c>
      <c r="R3564" s="10" t="s">
        <v>1575</v>
      </c>
      <c r="S3564" s="10" t="s">
        <v>1575</v>
      </c>
      <c r="T3564" s="10" t="s">
        <v>1575</v>
      </c>
      <c r="U3564" s="10" t="s">
        <v>1575</v>
      </c>
      <c r="V3564" s="10" t="s">
        <v>1575</v>
      </c>
      <c r="W3564" s="10" t="s">
        <v>1575</v>
      </c>
      <c r="X3564" s="10" t="str">
        <f t="shared" si="3368"/>
        <v>NA</v>
      </c>
      <c r="Y3564" s="10" t="str">
        <f t="shared" si="3369"/>
        <v>NA</v>
      </c>
      <c r="Z3564" s="10" t="str">
        <f t="shared" si="3370"/>
        <v>NA</v>
      </c>
      <c r="AA3564" s="10" t="str">
        <f t="shared" si="3371"/>
        <v>NA</v>
      </c>
      <c r="AB3564" s="10" t="str">
        <f t="shared" si="3372"/>
        <v>NA</v>
      </c>
      <c r="AC3564" s="10" t="str">
        <f t="shared" si="3373"/>
        <v>NA</v>
      </c>
      <c r="AD3564" s="10" t="str">
        <f t="shared" si="3374"/>
        <v>NA</v>
      </c>
      <c r="AE3564" s="10" t="str">
        <f t="shared" si="3375"/>
        <v>NA</v>
      </c>
      <c r="AF3564" s="1" t="s">
        <v>1287</v>
      </c>
    </row>
    <row r="3565" spans="1:32" x14ac:dyDescent="0.2">
      <c r="A3565" s="1" t="s">
        <v>7018</v>
      </c>
      <c r="B3565" s="1" t="s">
        <v>5</v>
      </c>
      <c r="C3565" s="1" t="s">
        <v>5356</v>
      </c>
      <c r="D3565" s="1" t="s">
        <v>1615</v>
      </c>
      <c r="E3565" s="1" t="s">
        <v>1616</v>
      </c>
      <c r="F3565" s="1" t="s">
        <v>740</v>
      </c>
      <c r="G3565" s="4">
        <v>0.1515</v>
      </c>
      <c r="H3565" s="28">
        <v>43281</v>
      </c>
      <c r="I3565" s="29">
        <f t="shared" si="3367"/>
        <v>2018</v>
      </c>
      <c r="J3565" s="1" t="s">
        <v>1272</v>
      </c>
      <c r="K3565" s="1" t="s">
        <v>7</v>
      </c>
      <c r="L3565" s="11" t="str">
        <f t="shared" si="3364"/>
        <v>НЕТ</v>
      </c>
      <c r="M3565" s="10">
        <v>63</v>
      </c>
      <c r="N3565" s="10">
        <v>0</v>
      </c>
      <c r="O3565" s="10">
        <v>0</v>
      </c>
      <c r="P3565" s="10">
        <f t="shared" si="3365"/>
        <v>0</v>
      </c>
      <c r="Q3565" s="10" t="str">
        <f t="shared" si="3366"/>
        <v>NA</v>
      </c>
      <c r="R3565" s="10" t="s">
        <v>1575</v>
      </c>
      <c r="S3565" s="10" t="s">
        <v>1575</v>
      </c>
      <c r="T3565" s="10" t="s">
        <v>1575</v>
      </c>
      <c r="U3565" s="10" t="s">
        <v>1575</v>
      </c>
      <c r="V3565" s="10" t="s">
        <v>1575</v>
      </c>
      <c r="W3565" s="10" t="s">
        <v>1575</v>
      </c>
      <c r="X3565" s="10" t="str">
        <f t="shared" si="3368"/>
        <v>NA</v>
      </c>
      <c r="Y3565" s="10" t="str">
        <f t="shared" si="3369"/>
        <v>NA</v>
      </c>
      <c r="Z3565" s="10" t="str">
        <f t="shared" si="3370"/>
        <v>NA</v>
      </c>
      <c r="AA3565" s="10" t="str">
        <f t="shared" si="3371"/>
        <v>NA</v>
      </c>
      <c r="AB3565" s="10" t="str">
        <f t="shared" si="3372"/>
        <v>NA</v>
      </c>
      <c r="AC3565" s="10" t="str">
        <f t="shared" si="3373"/>
        <v>NA</v>
      </c>
      <c r="AD3565" s="10" t="str">
        <f t="shared" si="3374"/>
        <v>NA</v>
      </c>
      <c r="AE3565" s="10" t="str">
        <f t="shared" si="3375"/>
        <v>NA</v>
      </c>
      <c r="AF3565" s="1" t="s">
        <v>1290</v>
      </c>
    </row>
    <row r="3566" spans="1:32" x14ac:dyDescent="0.2">
      <c r="A3566" s="1" t="s">
        <v>1289</v>
      </c>
      <c r="B3566" s="1" t="s">
        <v>5</v>
      </c>
      <c r="C3566" s="1" t="s">
        <v>1575</v>
      </c>
      <c r="D3566" s="1" t="s">
        <v>1601</v>
      </c>
      <c r="E3566" s="1" t="s">
        <v>1608</v>
      </c>
      <c r="F3566" s="1" t="s">
        <v>1288</v>
      </c>
      <c r="G3566" s="4">
        <v>0.19489999999999999</v>
      </c>
      <c r="H3566" s="28">
        <v>43465</v>
      </c>
      <c r="I3566" s="29">
        <f t="shared" si="3367"/>
        <v>2018</v>
      </c>
      <c r="J3566" s="1" t="s">
        <v>1272</v>
      </c>
      <c r="K3566" s="1" t="s">
        <v>7</v>
      </c>
      <c r="L3566" s="11" t="str">
        <f t="shared" si="3364"/>
        <v>НЕТ</v>
      </c>
      <c r="M3566" s="10">
        <v>101</v>
      </c>
      <c r="N3566" s="10">
        <v>0</v>
      </c>
      <c r="O3566" s="10">
        <v>0</v>
      </c>
      <c r="P3566" s="10">
        <f t="shared" si="3365"/>
        <v>0</v>
      </c>
      <c r="Q3566" s="10" t="str">
        <f t="shared" si="3366"/>
        <v>NA</v>
      </c>
      <c r="R3566" s="10" t="s">
        <v>1575</v>
      </c>
      <c r="S3566" s="10" t="s">
        <v>1575</v>
      </c>
      <c r="T3566" s="10" t="s">
        <v>1575</v>
      </c>
      <c r="U3566" s="10" t="s">
        <v>1575</v>
      </c>
      <c r="V3566" s="10" t="s">
        <v>1575</v>
      </c>
      <c r="W3566" s="10" t="s">
        <v>1575</v>
      </c>
      <c r="X3566" s="10" t="str">
        <f t="shared" si="3368"/>
        <v>NA</v>
      </c>
      <c r="Y3566" s="10" t="str">
        <f t="shared" si="3369"/>
        <v>NA</v>
      </c>
      <c r="Z3566" s="10" t="str">
        <f t="shared" si="3370"/>
        <v>NA</v>
      </c>
      <c r="AA3566" s="10" t="str">
        <f t="shared" si="3371"/>
        <v>NA</v>
      </c>
      <c r="AB3566" s="10" t="str">
        <f t="shared" si="3372"/>
        <v>NA</v>
      </c>
      <c r="AC3566" s="10" t="str">
        <f t="shared" si="3373"/>
        <v>NA</v>
      </c>
      <c r="AD3566" s="10" t="str">
        <f t="shared" si="3374"/>
        <v>NA</v>
      </c>
      <c r="AE3566" s="10" t="str">
        <f t="shared" si="3375"/>
        <v>NA</v>
      </c>
      <c r="AF3566" s="1" t="s">
        <v>1291</v>
      </c>
    </row>
    <row r="3567" spans="1:32" x14ac:dyDescent="0.2">
      <c r="A3567" s="1" t="s">
        <v>1293</v>
      </c>
      <c r="B3567" s="1" t="s">
        <v>5</v>
      </c>
      <c r="C3567" s="1" t="s">
        <v>1575</v>
      </c>
      <c r="D3567" s="1" t="s">
        <v>1615</v>
      </c>
      <c r="E3567" s="1" t="s">
        <v>5352</v>
      </c>
      <c r="F3567" s="1" t="s">
        <v>422</v>
      </c>
      <c r="G3567" s="4">
        <v>0.80489999999999995</v>
      </c>
      <c r="H3567" s="28">
        <v>42155</v>
      </c>
      <c r="I3567" s="29">
        <f t="shared" si="3367"/>
        <v>2015</v>
      </c>
      <c r="J3567" s="1" t="s">
        <v>1272</v>
      </c>
      <c r="K3567" s="1" t="s">
        <v>7</v>
      </c>
      <c r="L3567" s="11" t="str">
        <f t="shared" si="3364"/>
        <v>НЕТ</v>
      </c>
      <c r="M3567" s="10">
        <v>49</v>
      </c>
      <c r="N3567" s="10">
        <v>0</v>
      </c>
      <c r="O3567" s="10">
        <v>0</v>
      </c>
      <c r="P3567" s="10">
        <f t="shared" si="3365"/>
        <v>0</v>
      </c>
      <c r="Q3567" s="10" t="str">
        <f t="shared" si="3366"/>
        <v>NA</v>
      </c>
      <c r="R3567" s="10" t="s">
        <v>1575</v>
      </c>
      <c r="S3567" s="10" t="s">
        <v>1575</v>
      </c>
      <c r="T3567" s="10" t="s">
        <v>1575</v>
      </c>
      <c r="U3567" s="10" t="s">
        <v>1575</v>
      </c>
      <c r="V3567" s="10" t="s">
        <v>1575</v>
      </c>
      <c r="W3567" s="10" t="s">
        <v>1575</v>
      </c>
      <c r="X3567" s="10" t="str">
        <f t="shared" si="3368"/>
        <v>NA</v>
      </c>
      <c r="Y3567" s="10" t="str">
        <f t="shared" si="3369"/>
        <v>NA</v>
      </c>
      <c r="Z3567" s="10" t="str">
        <f t="shared" si="3370"/>
        <v>NA</v>
      </c>
      <c r="AA3567" s="10" t="str">
        <f t="shared" si="3371"/>
        <v>NA</v>
      </c>
      <c r="AB3567" s="10" t="str">
        <f t="shared" si="3372"/>
        <v>NA</v>
      </c>
      <c r="AC3567" s="10" t="str">
        <f t="shared" si="3373"/>
        <v>NA</v>
      </c>
      <c r="AD3567" s="10" t="str">
        <f t="shared" si="3374"/>
        <v>NA</v>
      </c>
      <c r="AE3567" s="10" t="str">
        <f t="shared" si="3375"/>
        <v>NA</v>
      </c>
      <c r="AF3567" s="1" t="s">
        <v>1292</v>
      </c>
    </row>
    <row r="3568" spans="1:32" x14ac:dyDescent="0.2">
      <c r="A3568" s="1" t="s">
        <v>7018</v>
      </c>
      <c r="B3568" s="1" t="s">
        <v>5</v>
      </c>
      <c r="C3568" s="1" t="s">
        <v>5356</v>
      </c>
      <c r="D3568" s="1" t="s">
        <v>1615</v>
      </c>
      <c r="E3568" s="1" t="s">
        <v>1616</v>
      </c>
      <c r="F3568" s="1" t="s">
        <v>740</v>
      </c>
      <c r="G3568" s="4">
        <v>1.7999999999999999E-2</v>
      </c>
      <c r="H3568" s="28">
        <v>42155</v>
      </c>
      <c r="I3568" s="29">
        <f t="shared" si="3367"/>
        <v>2015</v>
      </c>
      <c r="J3568" s="1" t="s">
        <v>1272</v>
      </c>
      <c r="K3568" s="1" t="s">
        <v>7</v>
      </c>
      <c r="L3568" s="11" t="str">
        <f t="shared" si="3364"/>
        <v>НЕТ</v>
      </c>
      <c r="M3568" s="10">
        <v>9</v>
      </c>
      <c r="N3568" s="10">
        <v>0</v>
      </c>
      <c r="O3568" s="10">
        <v>0</v>
      </c>
      <c r="P3568" s="10">
        <f t="shared" si="3365"/>
        <v>0</v>
      </c>
      <c r="Q3568" s="10" t="str">
        <f t="shared" si="3366"/>
        <v>NA</v>
      </c>
      <c r="R3568" s="10" t="s">
        <v>1575</v>
      </c>
      <c r="S3568" s="10" t="s">
        <v>1575</v>
      </c>
      <c r="T3568" s="10" t="s">
        <v>1575</v>
      </c>
      <c r="U3568" s="10" t="s">
        <v>1575</v>
      </c>
      <c r="V3568" s="10" t="s">
        <v>1575</v>
      </c>
      <c r="W3568" s="10" t="s">
        <v>1575</v>
      </c>
      <c r="X3568" s="10" t="str">
        <f t="shared" si="3368"/>
        <v>NA</v>
      </c>
      <c r="Y3568" s="10" t="str">
        <f t="shared" si="3369"/>
        <v>NA</v>
      </c>
      <c r="Z3568" s="10" t="str">
        <f t="shared" si="3370"/>
        <v>NA</v>
      </c>
      <c r="AA3568" s="10" t="str">
        <f t="shared" si="3371"/>
        <v>NA</v>
      </c>
      <c r="AB3568" s="10" t="str">
        <f t="shared" si="3372"/>
        <v>NA</v>
      </c>
      <c r="AC3568" s="10" t="str">
        <f t="shared" si="3373"/>
        <v>NA</v>
      </c>
      <c r="AD3568" s="10" t="str">
        <f t="shared" si="3374"/>
        <v>NA</v>
      </c>
      <c r="AE3568" s="10" t="str">
        <f t="shared" si="3375"/>
        <v>NA</v>
      </c>
      <c r="AF3568" s="1" t="s">
        <v>1294</v>
      </c>
    </row>
    <row r="3569" spans="1:32" x14ac:dyDescent="0.2">
      <c r="A3569" s="1" t="s">
        <v>7020</v>
      </c>
      <c r="B3569" s="1" t="s">
        <v>5</v>
      </c>
      <c r="C3569" s="1" t="s">
        <v>1575</v>
      </c>
      <c r="D3569" s="1" t="s">
        <v>1600</v>
      </c>
      <c r="E3569" s="1" t="s">
        <v>1659</v>
      </c>
      <c r="F3569" s="1" t="s">
        <v>118</v>
      </c>
      <c r="G3569" s="4">
        <v>0.15459999999999999</v>
      </c>
      <c r="H3569" s="28">
        <v>42185</v>
      </c>
      <c r="I3569" s="29">
        <f t="shared" si="3367"/>
        <v>2015</v>
      </c>
      <c r="J3569" s="1" t="s">
        <v>1272</v>
      </c>
      <c r="K3569" s="1" t="s">
        <v>7</v>
      </c>
      <c r="L3569" s="11" t="str">
        <f t="shared" si="3364"/>
        <v>НЕТ</v>
      </c>
      <c r="M3569" s="10">
        <v>11</v>
      </c>
      <c r="N3569" s="10">
        <v>0</v>
      </c>
      <c r="O3569" s="10">
        <v>0</v>
      </c>
      <c r="P3569" s="10">
        <f t="shared" si="3365"/>
        <v>0</v>
      </c>
      <c r="Q3569" s="10">
        <f t="shared" si="3366"/>
        <v>284.62799999999999</v>
      </c>
      <c r="R3569" s="10">
        <v>774.38</v>
      </c>
      <c r="S3569" s="10">
        <v>343.15500000000003</v>
      </c>
      <c r="T3569" s="10">
        <v>231.33700000000005</v>
      </c>
      <c r="U3569" s="10">
        <v>59.5</v>
      </c>
      <c r="V3569" s="10">
        <v>1368.8630000000001</v>
      </c>
      <c r="W3569" s="10">
        <v>284.62799999999999</v>
      </c>
      <c r="X3569" s="10">
        <f t="shared" si="3368"/>
        <v>1653.491</v>
      </c>
      <c r="Y3569" s="10">
        <f t="shared" si="3369"/>
        <v>0</v>
      </c>
      <c r="Z3569" s="10">
        <f t="shared" si="3370"/>
        <v>0</v>
      </c>
      <c r="AA3569" s="10">
        <f t="shared" si="3371"/>
        <v>0</v>
      </c>
      <c r="AB3569" s="10">
        <f t="shared" si="3372"/>
        <v>0.36755598026808545</v>
      </c>
      <c r="AC3569" s="10">
        <f t="shared" si="3373"/>
        <v>0.82944442015998587</v>
      </c>
      <c r="AD3569" s="10">
        <f t="shared" si="3374"/>
        <v>1.2303609020606299</v>
      </c>
      <c r="AE3569" s="10">
        <f t="shared" si="3375"/>
        <v>0.17213761671518019</v>
      </c>
      <c r="AF3569" s="1" t="s">
        <v>1295</v>
      </c>
    </row>
    <row r="3570" spans="1:32" x14ac:dyDescent="0.2">
      <c r="A3570" s="1" t="s">
        <v>7021</v>
      </c>
      <c r="B3570" s="1" t="s">
        <v>5</v>
      </c>
      <c r="C3570" s="1" t="s">
        <v>1575</v>
      </c>
      <c r="D3570" s="1" t="s">
        <v>1615</v>
      </c>
      <c r="E3570" s="1" t="s">
        <v>1616</v>
      </c>
      <c r="F3570" s="1" t="s">
        <v>740</v>
      </c>
      <c r="G3570" s="4">
        <v>0.24909999999999999</v>
      </c>
      <c r="H3570" s="28">
        <v>40967</v>
      </c>
      <c r="I3570" s="29">
        <f t="shared" si="3367"/>
        <v>2012</v>
      </c>
      <c r="J3570" s="1" t="s">
        <v>1272</v>
      </c>
      <c r="K3570" s="1" t="s">
        <v>7</v>
      </c>
      <c r="L3570" s="11" t="str">
        <f t="shared" si="3364"/>
        <v>НЕТ</v>
      </c>
      <c r="M3570" s="10">
        <v>106</v>
      </c>
      <c r="N3570" s="10">
        <v>0</v>
      </c>
      <c r="O3570" s="10">
        <v>0</v>
      </c>
      <c r="P3570" s="10">
        <f t="shared" si="3365"/>
        <v>0</v>
      </c>
      <c r="Q3570" s="10" t="str">
        <f t="shared" si="3366"/>
        <v>NA</v>
      </c>
      <c r="R3570" s="10" t="s">
        <v>1575</v>
      </c>
      <c r="S3570" s="10" t="s">
        <v>1575</v>
      </c>
      <c r="T3570" s="10" t="s">
        <v>1575</v>
      </c>
      <c r="U3570" s="10" t="s">
        <v>1575</v>
      </c>
      <c r="V3570" s="10" t="s">
        <v>1575</v>
      </c>
      <c r="W3570" s="10" t="s">
        <v>1575</v>
      </c>
      <c r="X3570" s="10" t="str">
        <f t="shared" si="3368"/>
        <v>NA</v>
      </c>
      <c r="Y3570" s="10" t="str">
        <f t="shared" si="3369"/>
        <v>NA</v>
      </c>
      <c r="Z3570" s="10" t="str">
        <f t="shared" si="3370"/>
        <v>NA</v>
      </c>
      <c r="AA3570" s="10" t="str">
        <f t="shared" si="3371"/>
        <v>NA</v>
      </c>
      <c r="AB3570" s="10" t="str">
        <f t="shared" si="3372"/>
        <v>NA</v>
      </c>
      <c r="AC3570" s="10" t="str">
        <f t="shared" si="3373"/>
        <v>NA</v>
      </c>
      <c r="AD3570" s="10" t="str">
        <f t="shared" si="3374"/>
        <v>NA</v>
      </c>
      <c r="AE3570" s="10" t="str">
        <f t="shared" si="3375"/>
        <v>NA</v>
      </c>
      <c r="AF3570" s="1" t="s">
        <v>1298</v>
      </c>
    </row>
    <row r="3571" spans="1:32" x14ac:dyDescent="0.2">
      <c r="A3571" s="1" t="s">
        <v>7018</v>
      </c>
      <c r="B3571" s="1" t="s">
        <v>5</v>
      </c>
      <c r="C3571" s="1" t="s">
        <v>5356</v>
      </c>
      <c r="D3571" s="1" t="s">
        <v>1615</v>
      </c>
      <c r="E3571" s="1" t="s">
        <v>1616</v>
      </c>
      <c r="F3571" s="1" t="s">
        <v>740</v>
      </c>
      <c r="G3571" s="4">
        <v>0.2495</v>
      </c>
      <c r="H3571" s="28">
        <v>41274</v>
      </c>
      <c r="I3571" s="29">
        <f t="shared" si="3367"/>
        <v>2012</v>
      </c>
      <c r="J3571" s="1" t="s">
        <v>1272</v>
      </c>
      <c r="K3571" s="1" t="s">
        <v>7</v>
      </c>
      <c r="L3571" s="11" t="str">
        <f t="shared" si="3364"/>
        <v>НЕТ</v>
      </c>
      <c r="M3571" s="10">
        <v>53</v>
      </c>
      <c r="N3571" s="10">
        <v>0</v>
      </c>
      <c r="O3571" s="10">
        <v>0</v>
      </c>
      <c r="P3571" s="10">
        <f t="shared" si="3365"/>
        <v>0</v>
      </c>
      <c r="Q3571" s="10" t="str">
        <f t="shared" si="3366"/>
        <v>NA</v>
      </c>
      <c r="R3571" s="10" t="s">
        <v>1575</v>
      </c>
      <c r="S3571" s="10" t="s">
        <v>1575</v>
      </c>
      <c r="T3571" s="10" t="s">
        <v>1575</v>
      </c>
      <c r="U3571" s="10" t="s">
        <v>1575</v>
      </c>
      <c r="V3571" s="10" t="s">
        <v>1575</v>
      </c>
      <c r="W3571" s="10" t="s">
        <v>1575</v>
      </c>
      <c r="X3571" s="10" t="str">
        <f t="shared" si="3368"/>
        <v>NA</v>
      </c>
      <c r="Y3571" s="10" t="str">
        <f t="shared" si="3369"/>
        <v>NA</v>
      </c>
      <c r="Z3571" s="10" t="str">
        <f t="shared" si="3370"/>
        <v>NA</v>
      </c>
      <c r="AA3571" s="10" t="str">
        <f t="shared" si="3371"/>
        <v>NA</v>
      </c>
      <c r="AB3571" s="10" t="str">
        <f t="shared" si="3372"/>
        <v>NA</v>
      </c>
      <c r="AC3571" s="10" t="str">
        <f t="shared" si="3373"/>
        <v>NA</v>
      </c>
      <c r="AD3571" s="10" t="str">
        <f t="shared" si="3374"/>
        <v>NA</v>
      </c>
      <c r="AE3571" s="10" t="str">
        <f t="shared" si="3375"/>
        <v>NA</v>
      </c>
      <c r="AF3571" s="1" t="s">
        <v>1301</v>
      </c>
    </row>
    <row r="3572" spans="1:32" x14ac:dyDescent="0.2">
      <c r="A3572" s="1" t="s">
        <v>7022</v>
      </c>
      <c r="B3572" s="1" t="s">
        <v>5</v>
      </c>
      <c r="C3572" s="1" t="s">
        <v>1575</v>
      </c>
      <c r="D3572" s="1" t="s">
        <v>1600</v>
      </c>
      <c r="E3572" s="1" t="s">
        <v>1659</v>
      </c>
      <c r="F3572" s="1" t="s">
        <v>118</v>
      </c>
      <c r="G3572" s="4">
        <v>0.16</v>
      </c>
      <c r="H3572" s="28">
        <v>41608</v>
      </c>
      <c r="I3572" s="29">
        <f t="shared" si="3367"/>
        <v>2013</v>
      </c>
      <c r="J3572" s="1" t="s">
        <v>1272</v>
      </c>
      <c r="K3572" s="1" t="s">
        <v>7</v>
      </c>
      <c r="L3572" s="11" t="str">
        <f t="shared" si="3364"/>
        <v>НЕТ</v>
      </c>
      <c r="M3572" s="10">
        <v>9</v>
      </c>
      <c r="N3572" s="10">
        <v>0</v>
      </c>
      <c r="O3572" s="10">
        <v>0</v>
      </c>
      <c r="P3572" s="10">
        <f t="shared" si="3365"/>
        <v>0</v>
      </c>
      <c r="Q3572" s="10" t="str">
        <f t="shared" si="3366"/>
        <v>NA</v>
      </c>
      <c r="R3572" s="10" t="s">
        <v>1575</v>
      </c>
      <c r="S3572" s="10" t="s">
        <v>1575</v>
      </c>
      <c r="T3572" s="10" t="s">
        <v>1575</v>
      </c>
      <c r="U3572" s="10" t="s">
        <v>1575</v>
      </c>
      <c r="V3572" s="10" t="s">
        <v>1575</v>
      </c>
      <c r="W3572" s="10" t="s">
        <v>1575</v>
      </c>
      <c r="X3572" s="10" t="str">
        <f t="shared" si="3368"/>
        <v>NA</v>
      </c>
      <c r="Y3572" s="10" t="str">
        <f t="shared" si="3369"/>
        <v>NA</v>
      </c>
      <c r="Z3572" s="10" t="str">
        <f t="shared" si="3370"/>
        <v>NA</v>
      </c>
      <c r="AA3572" s="10" t="str">
        <f t="shared" si="3371"/>
        <v>NA</v>
      </c>
      <c r="AB3572" s="10" t="str">
        <f t="shared" si="3372"/>
        <v>NA</v>
      </c>
      <c r="AC3572" s="10" t="str">
        <f t="shared" si="3373"/>
        <v>NA</v>
      </c>
      <c r="AD3572" s="10" t="str">
        <f t="shared" si="3374"/>
        <v>NA</v>
      </c>
      <c r="AE3572" s="10" t="str">
        <f t="shared" si="3375"/>
        <v>NA</v>
      </c>
      <c r="AF3572" s="1" t="s">
        <v>1297</v>
      </c>
    </row>
    <row r="3573" spans="1:32" x14ac:dyDescent="0.2">
      <c r="A3573" s="1" t="s">
        <v>7023</v>
      </c>
      <c r="B3573" s="1" t="s">
        <v>5</v>
      </c>
      <c r="C3573" s="1" t="s">
        <v>1575</v>
      </c>
      <c r="D3573" s="1" t="s">
        <v>1600</v>
      </c>
      <c r="E3573" s="1" t="s">
        <v>1659</v>
      </c>
      <c r="F3573" s="1" t="s">
        <v>118</v>
      </c>
      <c r="G3573" s="4">
        <v>0.13</v>
      </c>
      <c r="H3573" s="28">
        <v>43404</v>
      </c>
      <c r="I3573" s="29">
        <f t="shared" si="3367"/>
        <v>2018</v>
      </c>
      <c r="J3573" s="1" t="s">
        <v>1272</v>
      </c>
      <c r="K3573" s="1" t="s">
        <v>7</v>
      </c>
      <c r="L3573" s="11" t="str">
        <f t="shared" si="3364"/>
        <v>НЕТ</v>
      </c>
      <c r="M3573" s="10">
        <v>4</v>
      </c>
      <c r="N3573" s="10">
        <v>0</v>
      </c>
      <c r="O3573" s="10">
        <v>0</v>
      </c>
      <c r="P3573" s="10">
        <f t="shared" si="3365"/>
        <v>0</v>
      </c>
      <c r="Q3573" s="10" t="str">
        <f t="shared" si="3366"/>
        <v>NA</v>
      </c>
      <c r="R3573" s="10" t="s">
        <v>1575</v>
      </c>
      <c r="S3573" s="10" t="s">
        <v>1575</v>
      </c>
      <c r="T3573" s="10" t="s">
        <v>1575</v>
      </c>
      <c r="U3573" s="10" t="s">
        <v>1575</v>
      </c>
      <c r="V3573" s="10" t="s">
        <v>1575</v>
      </c>
      <c r="W3573" s="10" t="s">
        <v>1575</v>
      </c>
      <c r="X3573" s="10" t="str">
        <f t="shared" si="3368"/>
        <v>NA</v>
      </c>
      <c r="Y3573" s="10" t="str">
        <f t="shared" si="3369"/>
        <v>NA</v>
      </c>
      <c r="Z3573" s="10" t="str">
        <f t="shared" si="3370"/>
        <v>NA</v>
      </c>
      <c r="AA3573" s="10" t="str">
        <f t="shared" si="3371"/>
        <v>NA</v>
      </c>
      <c r="AB3573" s="10" t="str">
        <f t="shared" si="3372"/>
        <v>NA</v>
      </c>
      <c r="AC3573" s="10" t="str">
        <f t="shared" si="3373"/>
        <v>NA</v>
      </c>
      <c r="AD3573" s="10" t="str">
        <f t="shared" si="3374"/>
        <v>NA</v>
      </c>
      <c r="AE3573" s="10" t="str">
        <f t="shared" si="3375"/>
        <v>NA</v>
      </c>
      <c r="AF3573" s="1" t="s">
        <v>1296</v>
      </c>
    </row>
    <row r="3574" spans="1:32" x14ac:dyDescent="0.2">
      <c r="A3574" s="1" t="s">
        <v>1300</v>
      </c>
      <c r="B3574" s="1" t="s">
        <v>5</v>
      </c>
      <c r="C3574" s="1" t="s">
        <v>1575</v>
      </c>
      <c r="D3574" s="1" t="s">
        <v>1600</v>
      </c>
      <c r="E3574" s="1" t="s">
        <v>1659</v>
      </c>
      <c r="F3574" s="1" t="s">
        <v>118</v>
      </c>
      <c r="G3574" s="4">
        <v>0.1</v>
      </c>
      <c r="H3574" s="28">
        <v>41213</v>
      </c>
      <c r="I3574" s="29">
        <f t="shared" si="3367"/>
        <v>2012</v>
      </c>
      <c r="J3574" s="1" t="s">
        <v>1272</v>
      </c>
      <c r="K3574" s="1" t="s">
        <v>7</v>
      </c>
      <c r="L3574" s="11" t="str">
        <f t="shared" si="3364"/>
        <v>НЕТ</v>
      </c>
      <c r="M3574" s="10">
        <v>269</v>
      </c>
      <c r="N3574" s="10">
        <v>0</v>
      </c>
      <c r="O3574" s="10">
        <v>0</v>
      </c>
      <c r="P3574" s="10">
        <f t="shared" si="3365"/>
        <v>0</v>
      </c>
      <c r="Q3574" s="10" t="str">
        <f t="shared" si="3366"/>
        <v>NA</v>
      </c>
      <c r="R3574" s="10" t="s">
        <v>1575</v>
      </c>
      <c r="S3574" s="10" t="s">
        <v>1575</v>
      </c>
      <c r="T3574" s="10" t="s">
        <v>1575</v>
      </c>
      <c r="U3574" s="10" t="s">
        <v>1575</v>
      </c>
      <c r="V3574" s="10" t="s">
        <v>1575</v>
      </c>
      <c r="W3574" s="10" t="s">
        <v>1575</v>
      </c>
      <c r="X3574" s="10" t="str">
        <f t="shared" si="3368"/>
        <v>NA</v>
      </c>
      <c r="Y3574" s="10" t="str">
        <f t="shared" si="3369"/>
        <v>NA</v>
      </c>
      <c r="Z3574" s="10" t="str">
        <f t="shared" si="3370"/>
        <v>NA</v>
      </c>
      <c r="AA3574" s="10" t="str">
        <f t="shared" si="3371"/>
        <v>NA</v>
      </c>
      <c r="AB3574" s="10" t="str">
        <f t="shared" si="3372"/>
        <v>NA</v>
      </c>
      <c r="AC3574" s="10" t="str">
        <f t="shared" si="3373"/>
        <v>NA</v>
      </c>
      <c r="AD3574" s="10" t="str">
        <f t="shared" si="3374"/>
        <v>NA</v>
      </c>
      <c r="AE3574" s="10" t="str">
        <f t="shared" si="3375"/>
        <v>NA</v>
      </c>
      <c r="AF3574" s="1" t="s">
        <v>1299</v>
      </c>
    </row>
    <row r="3575" spans="1:32" x14ac:dyDescent="0.2">
      <c r="A3575" s="1" t="s">
        <v>7024</v>
      </c>
      <c r="B3575" s="1" t="s">
        <v>5</v>
      </c>
      <c r="C3575" s="1" t="s">
        <v>1575</v>
      </c>
      <c r="D3575" s="1" t="s">
        <v>1600</v>
      </c>
      <c r="E3575" s="1" t="s">
        <v>1659</v>
      </c>
      <c r="F3575" s="1" t="s">
        <v>118</v>
      </c>
      <c r="G3575" s="4">
        <v>0.1</v>
      </c>
      <c r="H3575" s="28">
        <v>40816</v>
      </c>
      <c r="I3575" s="29">
        <f t="shared" si="3367"/>
        <v>2011</v>
      </c>
      <c r="J3575" s="1" t="s">
        <v>7</v>
      </c>
      <c r="K3575" s="1" t="s">
        <v>1272</v>
      </c>
      <c r="L3575" s="11" t="str">
        <f t="shared" ref="L3575:L3579" si="3376">IF(OR(A3575=J3575,A3575=K3575),"ДА","НЕТ")</f>
        <v>НЕТ</v>
      </c>
      <c r="M3575" s="10">
        <v>0</v>
      </c>
      <c r="N3575" s="10">
        <v>0</v>
      </c>
      <c r="O3575" s="10">
        <v>7.3029999999999999</v>
      </c>
      <c r="P3575" s="10">
        <f t="shared" si="3365"/>
        <v>73.03</v>
      </c>
      <c r="Q3575" s="10" t="str">
        <f t="shared" si="3366"/>
        <v>NA</v>
      </c>
      <c r="R3575" s="10" t="s">
        <v>1575</v>
      </c>
      <c r="S3575" s="10" t="s">
        <v>1575</v>
      </c>
      <c r="T3575" s="10" t="s">
        <v>1575</v>
      </c>
      <c r="U3575" s="10" t="s">
        <v>1575</v>
      </c>
      <c r="V3575" s="10" t="s">
        <v>1575</v>
      </c>
      <c r="W3575" s="10" t="s">
        <v>1575</v>
      </c>
      <c r="X3575" s="10" t="str">
        <f t="shared" si="3368"/>
        <v>NA</v>
      </c>
      <c r="Y3575" s="10" t="str">
        <f t="shared" si="3369"/>
        <v>NA</v>
      </c>
      <c r="Z3575" s="10" t="str">
        <f t="shared" si="3370"/>
        <v>NA</v>
      </c>
      <c r="AA3575" s="10" t="str">
        <f t="shared" si="3371"/>
        <v>NA</v>
      </c>
      <c r="AB3575" s="10" t="str">
        <f t="shared" si="3372"/>
        <v>NA</v>
      </c>
      <c r="AC3575" s="10" t="str">
        <f t="shared" si="3373"/>
        <v>NA</v>
      </c>
      <c r="AD3575" s="10" t="str">
        <f t="shared" si="3374"/>
        <v>NA</v>
      </c>
      <c r="AE3575" s="10" t="str">
        <f t="shared" si="3375"/>
        <v>NA</v>
      </c>
      <c r="AF3575" s="1" t="s">
        <v>1303</v>
      </c>
    </row>
    <row r="3576" spans="1:32" x14ac:dyDescent="0.2">
      <c r="A3576" s="1" t="s">
        <v>7022</v>
      </c>
      <c r="B3576" s="1" t="s">
        <v>5</v>
      </c>
      <c r="C3576" s="1" t="s">
        <v>1575</v>
      </c>
      <c r="D3576" s="1" t="s">
        <v>1600</v>
      </c>
      <c r="E3576" s="1" t="s">
        <v>1659</v>
      </c>
      <c r="F3576" s="1" t="s">
        <v>118</v>
      </c>
      <c r="G3576" s="4">
        <v>0.1</v>
      </c>
      <c r="H3576" s="28">
        <v>40847</v>
      </c>
      <c r="I3576" s="29">
        <f t="shared" si="3367"/>
        <v>2011</v>
      </c>
      <c r="J3576" s="1" t="s">
        <v>7</v>
      </c>
      <c r="K3576" s="1" t="s">
        <v>1272</v>
      </c>
      <c r="L3576" s="11" t="str">
        <f t="shared" si="3376"/>
        <v>НЕТ</v>
      </c>
      <c r="M3576" s="10">
        <v>0</v>
      </c>
      <c r="N3576" s="10">
        <v>0</v>
      </c>
      <c r="O3576" s="10">
        <v>0.19900000000000001</v>
      </c>
      <c r="P3576" s="10">
        <f t="shared" si="3365"/>
        <v>1.99</v>
      </c>
      <c r="Q3576" s="10" t="str">
        <f t="shared" si="3366"/>
        <v>NA</v>
      </c>
      <c r="R3576" s="10" t="s">
        <v>1575</v>
      </c>
      <c r="S3576" s="10" t="s">
        <v>1575</v>
      </c>
      <c r="T3576" s="10" t="s">
        <v>1575</v>
      </c>
      <c r="U3576" s="10" t="s">
        <v>1575</v>
      </c>
      <c r="V3576" s="10" t="s">
        <v>1575</v>
      </c>
      <c r="W3576" s="10" t="s">
        <v>1575</v>
      </c>
      <c r="X3576" s="10" t="str">
        <f t="shared" si="3368"/>
        <v>NA</v>
      </c>
      <c r="Y3576" s="10" t="str">
        <f t="shared" si="3369"/>
        <v>NA</v>
      </c>
      <c r="Z3576" s="10" t="str">
        <f t="shared" si="3370"/>
        <v>NA</v>
      </c>
      <c r="AA3576" s="10" t="str">
        <f t="shared" si="3371"/>
        <v>NA</v>
      </c>
      <c r="AB3576" s="10" t="str">
        <f t="shared" si="3372"/>
        <v>NA</v>
      </c>
      <c r="AC3576" s="10" t="str">
        <f t="shared" si="3373"/>
        <v>NA</v>
      </c>
      <c r="AD3576" s="10" t="str">
        <f t="shared" si="3374"/>
        <v>NA</v>
      </c>
      <c r="AE3576" s="10" t="str">
        <f t="shared" si="3375"/>
        <v>NA</v>
      </c>
      <c r="AF3576" s="1" t="s">
        <v>1302</v>
      </c>
    </row>
    <row r="3577" spans="1:32" x14ac:dyDescent="0.2">
      <c r="A3577" s="1" t="s">
        <v>7025</v>
      </c>
      <c r="B3577" s="1" t="s">
        <v>5</v>
      </c>
      <c r="C3577" s="1" t="s">
        <v>1575</v>
      </c>
      <c r="D3577" s="1" t="s">
        <v>1600</v>
      </c>
      <c r="E3577" s="1" t="s">
        <v>1659</v>
      </c>
      <c r="F3577" s="1" t="s">
        <v>118</v>
      </c>
      <c r="G3577" s="4" t="s">
        <v>1575</v>
      </c>
      <c r="H3577" s="28">
        <v>40908</v>
      </c>
      <c r="I3577" s="29">
        <f t="shared" si="3367"/>
        <v>2011</v>
      </c>
      <c r="J3577" s="1" t="s">
        <v>1272</v>
      </c>
      <c r="K3577" s="1" t="s">
        <v>7</v>
      </c>
      <c r="L3577" s="11" t="str">
        <f t="shared" si="3376"/>
        <v>НЕТ</v>
      </c>
      <c r="M3577" s="10">
        <v>0</v>
      </c>
      <c r="N3577" s="10">
        <v>0</v>
      </c>
      <c r="O3577" s="10">
        <v>7.843</v>
      </c>
      <c r="P3577" s="10" t="str">
        <f t="shared" si="3365"/>
        <v>NA</v>
      </c>
      <c r="Q3577" s="10" t="str">
        <f t="shared" si="3366"/>
        <v>NA</v>
      </c>
      <c r="R3577" s="10" t="s">
        <v>1575</v>
      </c>
      <c r="S3577" s="10" t="s">
        <v>1575</v>
      </c>
      <c r="T3577" s="10" t="s">
        <v>1575</v>
      </c>
      <c r="U3577" s="10" t="s">
        <v>1575</v>
      </c>
      <c r="V3577" s="10" t="s">
        <v>1575</v>
      </c>
      <c r="W3577" s="10" t="s">
        <v>1575</v>
      </c>
      <c r="X3577" s="10" t="str">
        <f t="shared" si="3368"/>
        <v>NA</v>
      </c>
      <c r="Y3577" s="10" t="str">
        <f t="shared" si="3369"/>
        <v>NA</v>
      </c>
      <c r="Z3577" s="10" t="str">
        <f t="shared" si="3370"/>
        <v>NA</v>
      </c>
      <c r="AA3577" s="10" t="str">
        <f t="shared" si="3371"/>
        <v>NA</v>
      </c>
      <c r="AB3577" s="10" t="str">
        <f t="shared" si="3372"/>
        <v>NA</v>
      </c>
      <c r="AC3577" s="10" t="str">
        <f t="shared" si="3373"/>
        <v>NA</v>
      </c>
      <c r="AD3577" s="10" t="str">
        <f t="shared" si="3374"/>
        <v>NA</v>
      </c>
      <c r="AE3577" s="10" t="str">
        <f t="shared" si="3375"/>
        <v>NA</v>
      </c>
      <c r="AF3577" s="1" t="s">
        <v>3208</v>
      </c>
    </row>
    <row r="3578" spans="1:32" x14ac:dyDescent="0.2">
      <c r="A3578" s="1" t="s">
        <v>1272</v>
      </c>
      <c r="B3578" s="1" t="s">
        <v>5</v>
      </c>
      <c r="C3578" s="1" t="s">
        <v>1575</v>
      </c>
      <c r="D3578" s="1" t="s">
        <v>1600</v>
      </c>
      <c r="E3578" s="1" t="s">
        <v>1659</v>
      </c>
      <c r="F3578" s="1" t="s">
        <v>118</v>
      </c>
      <c r="G3578" s="4">
        <v>0.87740899999999999</v>
      </c>
      <c r="H3578" s="28">
        <v>40690</v>
      </c>
      <c r="I3578" s="29">
        <f t="shared" si="3367"/>
        <v>2011</v>
      </c>
      <c r="J3578" s="1" t="s">
        <v>1306</v>
      </c>
      <c r="K3578" s="1" t="s">
        <v>7</v>
      </c>
      <c r="L3578" s="11" t="str">
        <f t="shared" si="3376"/>
        <v>НЕТ</v>
      </c>
      <c r="M3578" s="10">
        <v>7.1509999999999998</v>
      </c>
      <c r="N3578" s="10">
        <v>0</v>
      </c>
      <c r="O3578" s="10">
        <v>0</v>
      </c>
      <c r="P3578" s="10">
        <f t="shared" si="3365"/>
        <v>0</v>
      </c>
      <c r="Q3578" s="10" t="str">
        <f t="shared" si="3366"/>
        <v>NA</v>
      </c>
      <c r="R3578" s="10" t="s">
        <v>1575</v>
      </c>
      <c r="S3578" s="10" t="s">
        <v>1575</v>
      </c>
      <c r="T3578" s="10" t="s">
        <v>1575</v>
      </c>
      <c r="U3578" s="10" t="s">
        <v>1575</v>
      </c>
      <c r="V3578" s="10" t="s">
        <v>1575</v>
      </c>
      <c r="W3578" s="10" t="s">
        <v>1575</v>
      </c>
      <c r="X3578" s="10" t="str">
        <f t="shared" si="3368"/>
        <v>NA</v>
      </c>
      <c r="Y3578" s="10" t="str">
        <f t="shared" si="3369"/>
        <v>NA</v>
      </c>
      <c r="Z3578" s="10" t="str">
        <f t="shared" si="3370"/>
        <v>NA</v>
      </c>
      <c r="AA3578" s="10" t="str">
        <f t="shared" si="3371"/>
        <v>NA</v>
      </c>
      <c r="AB3578" s="10" t="str">
        <f t="shared" si="3372"/>
        <v>NA</v>
      </c>
      <c r="AC3578" s="10" t="str">
        <f t="shared" si="3373"/>
        <v>NA</v>
      </c>
      <c r="AD3578" s="10" t="str">
        <f t="shared" si="3374"/>
        <v>NA</v>
      </c>
      <c r="AE3578" s="10" t="str">
        <f t="shared" si="3375"/>
        <v>NA</v>
      </c>
      <c r="AF3578" s="1" t="s">
        <v>1304</v>
      </c>
    </row>
    <row r="3579" spans="1:32" x14ac:dyDescent="0.2">
      <c r="A3579" s="1" t="s">
        <v>1272</v>
      </c>
      <c r="B3579" s="1" t="s">
        <v>5</v>
      </c>
      <c r="C3579" s="1" t="s">
        <v>1575</v>
      </c>
      <c r="D3579" s="1" t="s">
        <v>1600</v>
      </c>
      <c r="E3579" s="1" t="s">
        <v>1659</v>
      </c>
      <c r="F3579" s="1" t="s">
        <v>118</v>
      </c>
      <c r="G3579" s="4">
        <v>0.121</v>
      </c>
      <c r="H3579" s="28">
        <v>40694</v>
      </c>
      <c r="I3579" s="29">
        <f t="shared" si="3367"/>
        <v>2011</v>
      </c>
      <c r="J3579" s="1" t="s">
        <v>1272</v>
      </c>
      <c r="K3579" s="1" t="s">
        <v>1305</v>
      </c>
      <c r="L3579" s="11" t="str">
        <f t="shared" si="3376"/>
        <v>ДА</v>
      </c>
      <c r="M3579" s="10">
        <v>0.993587</v>
      </c>
      <c r="N3579" s="10">
        <v>0</v>
      </c>
      <c r="O3579" s="10">
        <v>2.8237000000000002E-2</v>
      </c>
      <c r="P3579" s="10">
        <f t="shared" si="3365"/>
        <v>0.23336363636363638</v>
      </c>
      <c r="Q3579" s="10" t="str">
        <f t="shared" si="3366"/>
        <v>NA</v>
      </c>
      <c r="R3579" s="10" t="s">
        <v>1575</v>
      </c>
      <c r="S3579" s="10" t="s">
        <v>1575</v>
      </c>
      <c r="T3579" s="10" t="s">
        <v>1575</v>
      </c>
      <c r="U3579" s="10" t="s">
        <v>1575</v>
      </c>
      <c r="V3579" s="10" t="s">
        <v>1575</v>
      </c>
      <c r="W3579" s="10" t="s">
        <v>1575</v>
      </c>
      <c r="X3579" s="10" t="str">
        <f t="shared" si="3368"/>
        <v>NA</v>
      </c>
      <c r="Y3579" s="10" t="str">
        <f t="shared" si="3369"/>
        <v>NA</v>
      </c>
      <c r="Z3579" s="10" t="str">
        <f t="shared" si="3370"/>
        <v>NA</v>
      </c>
      <c r="AA3579" s="10" t="str">
        <f t="shared" si="3371"/>
        <v>NA</v>
      </c>
      <c r="AB3579" s="10" t="str">
        <f t="shared" si="3372"/>
        <v>NA</v>
      </c>
      <c r="AC3579" s="10" t="str">
        <f t="shared" si="3373"/>
        <v>NA</v>
      </c>
      <c r="AD3579" s="10" t="str">
        <f t="shared" si="3374"/>
        <v>NA</v>
      </c>
      <c r="AE3579" s="10" t="str">
        <f t="shared" si="3375"/>
        <v>NA</v>
      </c>
      <c r="AF3579" s="1" t="s">
        <v>1307</v>
      </c>
    </row>
    <row r="3583" spans="1:32" x14ac:dyDescent="0.2">
      <c r="AF3583" s="5"/>
    </row>
  </sheetData>
  <autoFilter ref="A1:AF3580" xr:uid="{00000000-0009-0000-0000-000000000000}"/>
  <phoneticPr fontId="7" type="noConversion"/>
  <pageMargins left="0.7" right="0.7" top="0.75" bottom="0.75" header="0.3" footer="0.3"/>
  <pageSetup paperSize="9" orientation="portrait" horizontalDpi="300" verticalDpi="0" r:id="rId1"/>
  <ignoredErrors>
    <ignoredError sqref="O2494:O2501"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2"/>
  <sheetViews>
    <sheetView showGridLines="0" zoomScale="115" zoomScaleNormal="115" workbookViewId="0">
      <selection activeCell="B36" sqref="B36"/>
    </sheetView>
  </sheetViews>
  <sheetFormatPr defaultRowHeight="15" x14ac:dyDescent="0.25"/>
  <cols>
    <col min="1" max="1" width="9.85546875" customWidth="1"/>
    <col min="2" max="2" width="14" customWidth="1"/>
    <col min="3" max="3" width="24.7109375" customWidth="1"/>
    <col min="4" max="4" width="36.140625" customWidth="1"/>
    <col min="5" max="5" width="12" customWidth="1"/>
  </cols>
  <sheetData>
    <row r="1" spans="1:5" ht="15.75" thickBot="1" x14ac:dyDescent="0.3">
      <c r="A1" s="15" t="s">
        <v>7209</v>
      </c>
      <c r="B1" s="15" t="s">
        <v>7220</v>
      </c>
      <c r="C1" s="15" t="s">
        <v>7186</v>
      </c>
      <c r="D1" s="15" t="s">
        <v>7187</v>
      </c>
      <c r="E1" s="15" t="s">
        <v>7210</v>
      </c>
    </row>
    <row r="2" spans="1:5" x14ac:dyDescent="0.25">
      <c r="A2" s="19">
        <v>1</v>
      </c>
      <c r="B2" s="16" t="s">
        <v>7216</v>
      </c>
      <c r="C2" s="16" t="s">
        <v>7222</v>
      </c>
      <c r="D2" s="16" t="s">
        <v>7223</v>
      </c>
      <c r="E2" s="20" t="s">
        <v>7211</v>
      </c>
    </row>
    <row r="3" spans="1:5" x14ac:dyDescent="0.25">
      <c r="A3" s="19">
        <f>A2+1</f>
        <v>2</v>
      </c>
      <c r="B3" s="16" t="s">
        <v>7217</v>
      </c>
      <c r="C3" s="16" t="s">
        <v>7221</v>
      </c>
      <c r="D3" s="16" t="s">
        <v>7224</v>
      </c>
      <c r="E3" s="20" t="s">
        <v>7211</v>
      </c>
    </row>
    <row r="4" spans="1:5" x14ac:dyDescent="0.25">
      <c r="A4" s="19">
        <f t="shared" ref="A4:A32" si="0">A3+1</f>
        <v>3</v>
      </c>
      <c r="B4" s="16" t="s">
        <v>7218</v>
      </c>
      <c r="C4" s="16" t="s">
        <v>7218</v>
      </c>
      <c r="D4" s="16" t="s">
        <v>1588</v>
      </c>
      <c r="E4" s="20" t="s">
        <v>7211</v>
      </c>
    </row>
    <row r="5" spans="1:5" x14ac:dyDescent="0.25">
      <c r="A5" s="19">
        <f t="shared" si="0"/>
        <v>4</v>
      </c>
      <c r="B5" s="16" t="s">
        <v>7188</v>
      </c>
      <c r="C5" s="17" t="s">
        <v>7188</v>
      </c>
      <c r="D5" s="17" t="s">
        <v>1577</v>
      </c>
      <c r="E5" s="20" t="s">
        <v>7211</v>
      </c>
    </row>
    <row r="6" spans="1:5" x14ac:dyDescent="0.25">
      <c r="A6" s="19">
        <f t="shared" si="0"/>
        <v>5</v>
      </c>
      <c r="B6" s="16" t="s">
        <v>7189</v>
      </c>
      <c r="C6" s="17" t="s">
        <v>7189</v>
      </c>
      <c r="D6" s="17" t="s">
        <v>1</v>
      </c>
      <c r="E6" s="20" t="s">
        <v>7211</v>
      </c>
    </row>
    <row r="7" spans="1:5" x14ac:dyDescent="0.25">
      <c r="A7" s="19">
        <f t="shared" si="0"/>
        <v>6</v>
      </c>
      <c r="B7" s="16" t="s">
        <v>7226</v>
      </c>
      <c r="C7" s="16" t="s">
        <v>7230</v>
      </c>
      <c r="D7" s="16" t="s">
        <v>7229</v>
      </c>
      <c r="E7" s="20" t="s">
        <v>7211</v>
      </c>
    </row>
    <row r="8" spans="1:5" x14ac:dyDescent="0.25">
      <c r="A8" s="19">
        <f t="shared" si="0"/>
        <v>7</v>
      </c>
      <c r="B8" s="16" t="s">
        <v>7227</v>
      </c>
      <c r="C8" s="16" t="s">
        <v>7228</v>
      </c>
      <c r="D8" s="16" t="s">
        <v>7274</v>
      </c>
      <c r="E8" s="20" t="s">
        <v>7211</v>
      </c>
    </row>
    <row r="9" spans="1:5" x14ac:dyDescent="0.25">
      <c r="A9" s="19">
        <f t="shared" si="0"/>
        <v>8</v>
      </c>
      <c r="B9" s="16" t="s">
        <v>7231</v>
      </c>
      <c r="C9" s="16" t="s">
        <v>7259</v>
      </c>
      <c r="D9" s="16" t="s">
        <v>7258</v>
      </c>
      <c r="E9" s="16" t="s">
        <v>7257</v>
      </c>
    </row>
    <row r="10" spans="1:5" x14ac:dyDescent="0.25">
      <c r="A10" s="19">
        <f t="shared" si="0"/>
        <v>9</v>
      </c>
      <c r="B10" s="16" t="s">
        <v>7232</v>
      </c>
      <c r="C10" s="16" t="s">
        <v>7232</v>
      </c>
      <c r="D10" s="16" t="s">
        <v>0</v>
      </c>
      <c r="E10" s="20" t="s">
        <v>7211</v>
      </c>
    </row>
    <row r="11" spans="1:5" x14ac:dyDescent="0.25">
      <c r="A11" s="19">
        <f t="shared" si="0"/>
        <v>10</v>
      </c>
      <c r="B11" s="16" t="s">
        <v>7233</v>
      </c>
      <c r="C11" s="16" t="s">
        <v>7233</v>
      </c>
      <c r="D11" s="16" t="s">
        <v>17</v>
      </c>
      <c r="E11" s="20" t="s">
        <v>7211</v>
      </c>
    </row>
    <row r="12" spans="1:5" x14ac:dyDescent="0.25">
      <c r="A12" s="19">
        <f t="shared" si="0"/>
        <v>11</v>
      </c>
      <c r="B12" s="16" t="s">
        <v>7234</v>
      </c>
      <c r="C12" s="16" t="s">
        <v>7261</v>
      </c>
      <c r="D12" s="16" t="s">
        <v>7260</v>
      </c>
      <c r="E12" s="21" t="s">
        <v>7225</v>
      </c>
    </row>
    <row r="13" spans="1:5" x14ac:dyDescent="0.25">
      <c r="A13" s="19">
        <f t="shared" si="0"/>
        <v>12</v>
      </c>
      <c r="B13" s="16" t="s">
        <v>7268</v>
      </c>
      <c r="C13" s="16" t="s">
        <v>7271</v>
      </c>
      <c r="D13" s="16" t="s">
        <v>7267</v>
      </c>
      <c r="E13" s="20" t="s">
        <v>7211</v>
      </c>
    </row>
    <row r="14" spans="1:5" x14ac:dyDescent="0.25">
      <c r="A14" s="19">
        <f t="shared" si="0"/>
        <v>13</v>
      </c>
      <c r="B14" s="16" t="s">
        <v>7269</v>
      </c>
      <c r="C14" s="16" t="s">
        <v>7272</v>
      </c>
      <c r="D14" s="16" t="s">
        <v>7262</v>
      </c>
      <c r="E14" s="20" t="s">
        <v>7211</v>
      </c>
    </row>
    <row r="15" spans="1:5" x14ac:dyDescent="0.25">
      <c r="A15" s="19">
        <f t="shared" si="0"/>
        <v>14</v>
      </c>
      <c r="B15" s="16" t="s">
        <v>7270</v>
      </c>
      <c r="C15" s="16" t="s">
        <v>7273</v>
      </c>
      <c r="D15" s="16" t="s">
        <v>7275</v>
      </c>
      <c r="E15" s="22" t="s">
        <v>7276</v>
      </c>
    </row>
    <row r="16" spans="1:5" x14ac:dyDescent="0.25">
      <c r="A16" s="19">
        <f t="shared" si="0"/>
        <v>15</v>
      </c>
      <c r="B16" s="16" t="s">
        <v>7238</v>
      </c>
      <c r="C16" s="16" t="s">
        <v>7264</v>
      </c>
      <c r="D16" s="16" t="s">
        <v>7263</v>
      </c>
      <c r="E16" s="16" t="s">
        <v>7257</v>
      </c>
    </row>
    <row r="17" spans="1:5" x14ac:dyDescent="0.25">
      <c r="A17" s="19">
        <f t="shared" si="0"/>
        <v>16</v>
      </c>
      <c r="B17" s="16" t="s">
        <v>7239</v>
      </c>
      <c r="C17" s="16" t="s">
        <v>7265</v>
      </c>
      <c r="D17" s="16" t="s">
        <v>7266</v>
      </c>
      <c r="E17" s="16" t="s">
        <v>7257</v>
      </c>
    </row>
    <row r="18" spans="1:5" x14ac:dyDescent="0.25">
      <c r="A18" s="19">
        <f t="shared" si="0"/>
        <v>17</v>
      </c>
      <c r="B18" s="16" t="s">
        <v>7240</v>
      </c>
      <c r="C18" s="16" t="s">
        <v>7281</v>
      </c>
      <c r="D18" s="16" t="s">
        <v>7285</v>
      </c>
      <c r="E18" s="20" t="s">
        <v>7211</v>
      </c>
    </row>
    <row r="19" spans="1:5" x14ac:dyDescent="0.25">
      <c r="A19" s="19">
        <f t="shared" si="0"/>
        <v>18</v>
      </c>
      <c r="B19" s="16" t="s">
        <v>7241</v>
      </c>
      <c r="C19" s="16" t="s">
        <v>7282</v>
      </c>
      <c r="D19" s="16" t="s">
        <v>7286</v>
      </c>
      <c r="E19" s="20" t="s">
        <v>7211</v>
      </c>
    </row>
    <row r="20" spans="1:5" x14ac:dyDescent="0.25">
      <c r="A20" s="19">
        <f t="shared" si="0"/>
        <v>19</v>
      </c>
      <c r="B20" s="16" t="s">
        <v>7242</v>
      </c>
      <c r="C20" s="16" t="s">
        <v>7283</v>
      </c>
      <c r="D20" s="16" t="s">
        <v>7287</v>
      </c>
      <c r="E20" s="20" t="s">
        <v>7211</v>
      </c>
    </row>
    <row r="21" spans="1:5" x14ac:dyDescent="0.25">
      <c r="A21" s="19">
        <f t="shared" si="0"/>
        <v>20</v>
      </c>
      <c r="B21" s="16" t="s">
        <v>7243</v>
      </c>
      <c r="C21" s="16" t="s">
        <v>7284</v>
      </c>
      <c r="D21" s="16" t="s">
        <v>7288</v>
      </c>
      <c r="E21" s="20" t="s">
        <v>7211</v>
      </c>
    </row>
    <row r="22" spans="1:5" x14ac:dyDescent="0.25">
      <c r="A22" s="19">
        <f t="shared" si="0"/>
        <v>21</v>
      </c>
      <c r="B22" s="16" t="s">
        <v>7244</v>
      </c>
      <c r="C22" s="16" t="s">
        <v>7277</v>
      </c>
      <c r="D22" s="16" t="s">
        <v>7289</v>
      </c>
      <c r="E22" s="20" t="s">
        <v>7211</v>
      </c>
    </row>
    <row r="23" spans="1:5" x14ac:dyDescent="0.25">
      <c r="A23" s="19">
        <f t="shared" si="0"/>
        <v>22</v>
      </c>
      <c r="B23" s="16" t="s">
        <v>7245</v>
      </c>
      <c r="C23" s="16" t="s">
        <v>7278</v>
      </c>
      <c r="D23" s="16" t="s">
        <v>7290</v>
      </c>
      <c r="E23" s="20" t="s">
        <v>7211</v>
      </c>
    </row>
    <row r="24" spans="1:5" x14ac:dyDescent="0.25">
      <c r="A24" s="19">
        <f t="shared" si="0"/>
        <v>23</v>
      </c>
      <c r="B24" s="16" t="s">
        <v>7279</v>
      </c>
      <c r="C24" s="16" t="s">
        <v>7280</v>
      </c>
      <c r="D24" s="16" t="s">
        <v>7291</v>
      </c>
      <c r="E24" s="16" t="s">
        <v>7257</v>
      </c>
    </row>
    <row r="25" spans="1:5" x14ac:dyDescent="0.25">
      <c r="A25" s="19">
        <f t="shared" si="0"/>
        <v>24</v>
      </c>
      <c r="B25" s="16" t="s">
        <v>4405</v>
      </c>
      <c r="C25" s="16" t="s">
        <v>7246</v>
      </c>
      <c r="D25" s="16" t="s">
        <v>7247</v>
      </c>
      <c r="E25" s="16" t="s">
        <v>7257</v>
      </c>
    </row>
    <row r="26" spans="1:5" x14ac:dyDescent="0.25">
      <c r="A26" s="19">
        <f t="shared" si="0"/>
        <v>25</v>
      </c>
      <c r="B26" s="16" t="s">
        <v>4404</v>
      </c>
      <c r="C26" s="16" t="s">
        <v>7248</v>
      </c>
      <c r="D26" s="16" t="s">
        <v>7249</v>
      </c>
      <c r="E26" s="16" t="s">
        <v>7257</v>
      </c>
    </row>
    <row r="27" spans="1:5" x14ac:dyDescent="0.25">
      <c r="A27" s="19">
        <f t="shared" si="0"/>
        <v>26</v>
      </c>
      <c r="B27" s="16" t="s">
        <v>4406</v>
      </c>
      <c r="C27" s="16" t="s">
        <v>7250</v>
      </c>
      <c r="D27" s="16" t="s">
        <v>7251</v>
      </c>
      <c r="E27" s="16" t="s">
        <v>7257</v>
      </c>
    </row>
    <row r="28" spans="1:5" x14ac:dyDescent="0.25">
      <c r="A28" s="19">
        <f t="shared" si="0"/>
        <v>27</v>
      </c>
      <c r="B28" s="16" t="s">
        <v>4407</v>
      </c>
      <c r="C28" s="16" t="s">
        <v>4407</v>
      </c>
      <c r="D28" s="16" t="s">
        <v>7252</v>
      </c>
      <c r="E28" s="16" t="s">
        <v>7257</v>
      </c>
    </row>
    <row r="29" spans="1:5" x14ac:dyDescent="0.25">
      <c r="A29" s="19">
        <f t="shared" si="0"/>
        <v>28</v>
      </c>
      <c r="B29" s="16" t="s">
        <v>4408</v>
      </c>
      <c r="C29" s="16" t="s">
        <v>4408</v>
      </c>
      <c r="D29" s="16" t="s">
        <v>7253</v>
      </c>
      <c r="E29" s="16" t="s">
        <v>7257</v>
      </c>
    </row>
    <row r="30" spans="1:5" x14ac:dyDescent="0.25">
      <c r="A30" s="19">
        <f t="shared" si="0"/>
        <v>29</v>
      </c>
      <c r="B30" s="16" t="s">
        <v>4409</v>
      </c>
      <c r="C30" s="16" t="s">
        <v>4409</v>
      </c>
      <c r="D30" s="16" t="s">
        <v>7254</v>
      </c>
      <c r="E30" s="16" t="s">
        <v>7257</v>
      </c>
    </row>
    <row r="31" spans="1:5" x14ac:dyDescent="0.25">
      <c r="A31" s="19">
        <f t="shared" si="0"/>
        <v>30</v>
      </c>
      <c r="B31" s="16" t="s">
        <v>4410</v>
      </c>
      <c r="C31" s="16" t="s">
        <v>7255</v>
      </c>
      <c r="D31" s="16" t="s">
        <v>7256</v>
      </c>
      <c r="E31" s="16" t="s">
        <v>7257</v>
      </c>
    </row>
    <row r="32" spans="1:5" x14ac:dyDescent="0.25">
      <c r="A32" s="19">
        <f t="shared" si="0"/>
        <v>31</v>
      </c>
      <c r="B32" s="16" t="s">
        <v>7197</v>
      </c>
      <c r="C32" s="16" t="s">
        <v>7197</v>
      </c>
      <c r="D32" s="16" t="s">
        <v>1669</v>
      </c>
      <c r="E32" s="20" t="s">
        <v>7211</v>
      </c>
    </row>
  </sheetData>
  <hyperlinks>
    <hyperlink ref="C5" location="'Sec-Ind'!A1" display="Sector" xr:uid="{87B10BAD-97BE-46A9-BAD2-BA383048BFB5}"/>
    <hyperlink ref="D5" location="'Sec-Ind'!A1" display="Сектор" xr:uid="{82F2D6DC-BAA8-411B-8FBC-B0BCB4552D3F}"/>
    <hyperlink ref="C6" location="'Sec-Ind'!A1" display="Industry" xr:uid="{4E789EB7-D4CB-438C-9471-2460E3795518}"/>
    <hyperlink ref="D6" location="'Sec-Ind'!A1" display="Отрасль" xr:uid="{45ED3ED0-1C67-49E3-9931-ABBB8C37D03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236A4-ABDB-4A71-86FE-7D7CC254954C}">
  <dimension ref="A1:F173"/>
  <sheetViews>
    <sheetView showGridLines="0" workbookViewId="0">
      <pane ySplit="1" topLeftCell="A2" activePane="bottomLeft" state="frozen"/>
      <selection pane="bottomLeft" activeCell="A143" sqref="A143"/>
    </sheetView>
  </sheetViews>
  <sheetFormatPr defaultRowHeight="15" x14ac:dyDescent="0.25"/>
  <cols>
    <col min="1" max="1" width="6.28515625" customWidth="1"/>
    <col min="3" max="3" width="23.85546875" customWidth="1"/>
    <col min="4" max="4" width="24.85546875" customWidth="1"/>
    <col min="5" max="5" width="26" customWidth="1"/>
    <col min="6" max="6" width="36.28515625" customWidth="1"/>
  </cols>
  <sheetData>
    <row r="1" spans="1:6" ht="15.75" thickBot="1" x14ac:dyDescent="0.3">
      <c r="A1" s="23" t="s">
        <v>7188</v>
      </c>
      <c r="B1" s="23" t="s">
        <v>7189</v>
      </c>
      <c r="C1" s="23" t="s">
        <v>9060</v>
      </c>
      <c r="D1" s="23" t="s">
        <v>9061</v>
      </c>
      <c r="E1" s="23" t="s">
        <v>9059</v>
      </c>
      <c r="F1" s="23" t="s">
        <v>9058</v>
      </c>
    </row>
    <row r="2" spans="1:6" x14ac:dyDescent="0.25">
      <c r="A2" s="16" t="s">
        <v>1597</v>
      </c>
      <c r="B2" s="16" t="s">
        <v>3028</v>
      </c>
      <c r="C2" s="16" t="s">
        <v>9128</v>
      </c>
      <c r="D2" s="16" t="s">
        <v>9111</v>
      </c>
      <c r="E2" s="16" t="s">
        <v>9062</v>
      </c>
      <c r="F2" s="16" t="s">
        <v>9063</v>
      </c>
    </row>
    <row r="3" spans="1:6" x14ac:dyDescent="0.25">
      <c r="A3" s="16" t="s">
        <v>1597</v>
      </c>
      <c r="B3" s="16" t="s">
        <v>1662</v>
      </c>
      <c r="C3" s="16" t="s">
        <v>9128</v>
      </c>
      <c r="D3" s="16" t="s">
        <v>9112</v>
      </c>
      <c r="E3" s="16" t="s">
        <v>9062</v>
      </c>
      <c r="F3" s="16" t="s">
        <v>9067</v>
      </c>
    </row>
    <row r="4" spans="1:6" x14ac:dyDescent="0.25">
      <c r="A4" s="16" t="s">
        <v>1597</v>
      </c>
      <c r="B4" s="16" t="s">
        <v>1660</v>
      </c>
      <c r="C4" s="16" t="s">
        <v>9128</v>
      </c>
      <c r="D4" s="16" t="s">
        <v>9114</v>
      </c>
      <c r="E4" s="16" t="s">
        <v>9062</v>
      </c>
      <c r="F4" s="16" t="s">
        <v>9069</v>
      </c>
    </row>
    <row r="5" spans="1:6" x14ac:dyDescent="0.25">
      <c r="A5" s="16" t="s">
        <v>1597</v>
      </c>
      <c r="B5" s="16" t="s">
        <v>1699</v>
      </c>
      <c r="C5" s="16" t="s">
        <v>9128</v>
      </c>
      <c r="D5" s="16" t="s">
        <v>9115</v>
      </c>
      <c r="E5" s="16" t="s">
        <v>9062</v>
      </c>
      <c r="F5" s="16" t="s">
        <v>9070</v>
      </c>
    </row>
    <row r="6" spans="1:6" x14ac:dyDescent="0.25">
      <c r="A6" s="16" t="s">
        <v>1597</v>
      </c>
      <c r="B6" s="16" t="s">
        <v>1661</v>
      </c>
      <c r="C6" s="16" t="s">
        <v>9128</v>
      </c>
      <c r="D6" s="16" t="s">
        <v>9151</v>
      </c>
      <c r="E6" s="16" t="s">
        <v>9062</v>
      </c>
      <c r="F6" s="16" t="s">
        <v>9152</v>
      </c>
    </row>
    <row r="7" spans="1:6" x14ac:dyDescent="0.25">
      <c r="A7" s="16" t="s">
        <v>1597</v>
      </c>
      <c r="B7" s="16" t="s">
        <v>1666</v>
      </c>
      <c r="C7" s="16" t="s">
        <v>9128</v>
      </c>
      <c r="D7" s="16" t="s">
        <v>9116</v>
      </c>
      <c r="E7" s="16" t="s">
        <v>9062</v>
      </c>
      <c r="F7" s="16" t="s">
        <v>9109</v>
      </c>
    </row>
    <row r="8" spans="1:6" x14ac:dyDescent="0.25">
      <c r="A8" s="16" t="s">
        <v>1597</v>
      </c>
      <c r="B8" s="16" t="s">
        <v>1598</v>
      </c>
      <c r="C8" s="16" t="s">
        <v>9128</v>
      </c>
      <c r="D8" s="16" t="s">
        <v>9147</v>
      </c>
      <c r="E8" s="16" t="s">
        <v>9062</v>
      </c>
      <c r="F8" s="16" t="s">
        <v>9148</v>
      </c>
    </row>
    <row r="9" spans="1:6" x14ac:dyDescent="0.25">
      <c r="A9" s="16" t="s">
        <v>1597</v>
      </c>
      <c r="B9" s="16" t="s">
        <v>4429</v>
      </c>
      <c r="C9" s="16" t="s">
        <v>9128</v>
      </c>
      <c r="D9" s="16" t="s">
        <v>9113</v>
      </c>
      <c r="E9" s="16" t="s">
        <v>9062</v>
      </c>
      <c r="F9" s="16" t="s">
        <v>9068</v>
      </c>
    </row>
    <row r="10" spans="1:6" x14ac:dyDescent="0.25">
      <c r="A10" s="16" t="s">
        <v>1597</v>
      </c>
      <c r="B10" s="16" t="s">
        <v>3134</v>
      </c>
      <c r="C10" s="16" t="s">
        <v>9128</v>
      </c>
      <c r="D10" s="16" t="s">
        <v>9149</v>
      </c>
      <c r="E10" s="16" t="s">
        <v>9062</v>
      </c>
      <c r="F10" s="16" t="s">
        <v>9150</v>
      </c>
    </row>
    <row r="11" spans="1:6" x14ac:dyDescent="0.25">
      <c r="A11" s="16" t="s">
        <v>1597</v>
      </c>
      <c r="B11" s="16" t="s">
        <v>7439</v>
      </c>
      <c r="C11" s="16" t="s">
        <v>9128</v>
      </c>
      <c r="D11" s="16" t="s">
        <v>9117</v>
      </c>
      <c r="E11" s="16" t="s">
        <v>9062</v>
      </c>
      <c r="F11" s="16" t="s">
        <v>9110</v>
      </c>
    </row>
    <row r="12" spans="1:6" x14ac:dyDescent="0.25">
      <c r="A12" s="16" t="s">
        <v>1689</v>
      </c>
      <c r="B12" s="16" t="s">
        <v>1761</v>
      </c>
      <c r="C12" s="16" t="s">
        <v>9136</v>
      </c>
      <c r="D12" s="16" t="s">
        <v>9118</v>
      </c>
      <c r="E12" s="16" t="s">
        <v>9102</v>
      </c>
      <c r="F12" s="16" t="s">
        <v>9104</v>
      </c>
    </row>
    <row r="13" spans="1:6" x14ac:dyDescent="0.25">
      <c r="A13" s="16" t="s">
        <v>1689</v>
      </c>
      <c r="B13" s="16" t="s">
        <v>3026</v>
      </c>
      <c r="C13" s="16" t="s">
        <v>9136</v>
      </c>
      <c r="D13" s="16" t="s">
        <v>9119</v>
      </c>
      <c r="E13" s="16" t="s">
        <v>9102</v>
      </c>
      <c r="F13" s="16" t="s">
        <v>9105</v>
      </c>
    </row>
    <row r="14" spans="1:6" x14ac:dyDescent="0.25">
      <c r="A14" s="16" t="s">
        <v>1689</v>
      </c>
      <c r="B14" s="16" t="s">
        <v>1690</v>
      </c>
      <c r="C14" s="16" t="s">
        <v>9136</v>
      </c>
      <c r="D14" s="16" t="s">
        <v>9120</v>
      </c>
      <c r="E14" s="16" t="s">
        <v>9102</v>
      </c>
      <c r="F14" s="16" t="s">
        <v>9106</v>
      </c>
    </row>
    <row r="15" spans="1:6" x14ac:dyDescent="0.25">
      <c r="A15" s="16" t="s">
        <v>1689</v>
      </c>
      <c r="B15" s="16" t="s">
        <v>3027</v>
      </c>
      <c r="C15" s="16" t="s">
        <v>9136</v>
      </c>
      <c r="D15" s="16" t="s">
        <v>9121</v>
      </c>
      <c r="E15" s="16" t="s">
        <v>9102</v>
      </c>
      <c r="F15" s="16" t="s">
        <v>9107</v>
      </c>
    </row>
    <row r="16" spans="1:6" x14ac:dyDescent="0.25">
      <c r="A16" s="16" t="s">
        <v>1689</v>
      </c>
      <c r="B16" s="16" t="s">
        <v>1697</v>
      </c>
      <c r="C16" s="16" t="s">
        <v>9136</v>
      </c>
      <c r="D16" s="16" t="s">
        <v>9137</v>
      </c>
      <c r="E16" s="16" t="s">
        <v>9102</v>
      </c>
      <c r="F16" s="16" t="s">
        <v>9108</v>
      </c>
    </row>
    <row r="17" spans="1:6" x14ac:dyDescent="0.25">
      <c r="A17" s="16" t="s">
        <v>1689</v>
      </c>
      <c r="B17" s="16" t="s">
        <v>1698</v>
      </c>
      <c r="C17" s="16" t="s">
        <v>9136</v>
      </c>
      <c r="D17" s="16" t="s">
        <v>9076</v>
      </c>
      <c r="E17" s="16" t="s">
        <v>9102</v>
      </c>
      <c r="F17" s="16" t="s">
        <v>3427</v>
      </c>
    </row>
    <row r="18" spans="1:6" x14ac:dyDescent="0.25">
      <c r="A18" s="16" t="s">
        <v>1689</v>
      </c>
      <c r="B18" s="16" t="s">
        <v>5352</v>
      </c>
      <c r="C18" s="16" t="s">
        <v>9136</v>
      </c>
      <c r="D18" s="16" t="s">
        <v>9131</v>
      </c>
      <c r="E18" s="16" t="s">
        <v>9102</v>
      </c>
      <c r="F18" s="16" t="s">
        <v>4756</v>
      </c>
    </row>
    <row r="19" spans="1:6" x14ac:dyDescent="0.25">
      <c r="A19" s="16" t="s">
        <v>1600</v>
      </c>
      <c r="B19" s="16" t="s">
        <v>1696</v>
      </c>
      <c r="C19" s="16" t="s">
        <v>9122</v>
      </c>
      <c r="D19" s="16" t="s">
        <v>9160</v>
      </c>
      <c r="E19" s="16" t="s">
        <v>9083</v>
      </c>
      <c r="F19" s="16" t="s">
        <v>9174</v>
      </c>
    </row>
    <row r="20" spans="1:6" x14ac:dyDescent="0.25">
      <c r="A20" s="16" t="s">
        <v>1600</v>
      </c>
      <c r="B20" s="16" t="s">
        <v>2050</v>
      </c>
      <c r="C20" s="16" t="s">
        <v>9122</v>
      </c>
      <c r="D20" s="16" t="s">
        <v>9165</v>
      </c>
      <c r="E20" s="16" t="s">
        <v>9083</v>
      </c>
      <c r="F20" s="16" t="s">
        <v>9092</v>
      </c>
    </row>
    <row r="21" spans="1:6" x14ac:dyDescent="0.25">
      <c r="A21" s="16" t="s">
        <v>1600</v>
      </c>
      <c r="B21" s="16" t="s">
        <v>3024</v>
      </c>
      <c r="C21" s="16" t="s">
        <v>9122</v>
      </c>
      <c r="D21" s="16" t="s">
        <v>9167</v>
      </c>
      <c r="E21" s="16" t="s">
        <v>9083</v>
      </c>
      <c r="F21" s="16" t="s">
        <v>9095</v>
      </c>
    </row>
    <row r="22" spans="1:6" x14ac:dyDescent="0.25">
      <c r="A22" s="16" t="s">
        <v>1600</v>
      </c>
      <c r="B22" s="16" t="s">
        <v>2049</v>
      </c>
      <c r="C22" s="16" t="s">
        <v>9122</v>
      </c>
      <c r="D22" s="16" t="s">
        <v>9168</v>
      </c>
      <c r="E22" s="16" t="s">
        <v>9083</v>
      </c>
      <c r="F22" s="16" t="s">
        <v>9096</v>
      </c>
    </row>
    <row r="23" spans="1:6" x14ac:dyDescent="0.25">
      <c r="A23" s="16" t="s">
        <v>1600</v>
      </c>
      <c r="B23" s="16" t="s">
        <v>7172</v>
      </c>
      <c r="C23" s="16" t="s">
        <v>9122</v>
      </c>
      <c r="D23" s="16" t="s">
        <v>9169</v>
      </c>
      <c r="E23" s="16" t="s">
        <v>9083</v>
      </c>
      <c r="F23" s="16" t="s">
        <v>9097</v>
      </c>
    </row>
    <row r="24" spans="1:6" x14ac:dyDescent="0.25">
      <c r="A24" s="16" t="s">
        <v>1600</v>
      </c>
      <c r="B24" s="16" t="s">
        <v>1656</v>
      </c>
      <c r="C24" s="16" t="s">
        <v>9122</v>
      </c>
      <c r="D24" s="16" t="s">
        <v>9170</v>
      </c>
      <c r="E24" s="16" t="s">
        <v>9083</v>
      </c>
      <c r="F24" s="16" t="s">
        <v>9098</v>
      </c>
    </row>
    <row r="25" spans="1:6" x14ac:dyDescent="0.25">
      <c r="A25" s="16" t="s">
        <v>1600</v>
      </c>
      <c r="B25" s="16" t="s">
        <v>4607</v>
      </c>
      <c r="C25" s="16" t="s">
        <v>9122</v>
      </c>
      <c r="D25" s="16" t="s">
        <v>9171</v>
      </c>
      <c r="E25" s="16" t="s">
        <v>9083</v>
      </c>
      <c r="F25" s="16" t="s">
        <v>9099</v>
      </c>
    </row>
    <row r="26" spans="1:6" x14ac:dyDescent="0.25">
      <c r="A26" s="16" t="s">
        <v>1600</v>
      </c>
      <c r="B26" s="16" t="s">
        <v>2048</v>
      </c>
      <c r="C26" s="16" t="s">
        <v>9122</v>
      </c>
      <c r="D26" s="16" t="s">
        <v>9172</v>
      </c>
      <c r="E26" s="16" t="s">
        <v>9083</v>
      </c>
      <c r="F26" s="16" t="s">
        <v>9100</v>
      </c>
    </row>
    <row r="27" spans="1:6" x14ac:dyDescent="0.25">
      <c r="A27" s="16" t="s">
        <v>1600</v>
      </c>
      <c r="B27" s="16" t="s">
        <v>7712</v>
      </c>
      <c r="C27" s="16" t="s">
        <v>9122</v>
      </c>
      <c r="D27" s="16" t="s">
        <v>9175</v>
      </c>
      <c r="E27" s="16" t="s">
        <v>9083</v>
      </c>
      <c r="F27" s="16" t="s">
        <v>9101</v>
      </c>
    </row>
    <row r="28" spans="1:6" x14ac:dyDescent="0.25">
      <c r="A28" s="16" t="s">
        <v>1600</v>
      </c>
      <c r="B28" s="16" t="s">
        <v>9178</v>
      </c>
      <c r="C28" s="16" t="s">
        <v>9122</v>
      </c>
      <c r="D28" s="16" t="s">
        <v>9179</v>
      </c>
      <c r="E28" s="16" t="s">
        <v>9083</v>
      </c>
      <c r="F28" s="16" t="s">
        <v>9180</v>
      </c>
    </row>
    <row r="29" spans="1:6" x14ac:dyDescent="0.25">
      <c r="A29" s="16" t="s">
        <v>1600</v>
      </c>
      <c r="B29" s="16" t="s">
        <v>4667</v>
      </c>
      <c r="C29" s="16" t="s">
        <v>9122</v>
      </c>
      <c r="D29" s="16" t="s">
        <v>9183</v>
      </c>
      <c r="E29" s="16" t="s">
        <v>9083</v>
      </c>
      <c r="F29" s="16" t="s">
        <v>9184</v>
      </c>
    </row>
    <row r="30" spans="1:6" x14ac:dyDescent="0.25">
      <c r="A30" s="16" t="s">
        <v>1600</v>
      </c>
      <c r="B30" s="16" t="s">
        <v>4456</v>
      </c>
      <c r="C30" s="16" t="s">
        <v>9122</v>
      </c>
      <c r="D30" s="16" t="s">
        <v>9156</v>
      </c>
      <c r="E30" s="16" t="s">
        <v>9083</v>
      </c>
      <c r="F30" s="16" t="s">
        <v>9157</v>
      </c>
    </row>
    <row r="31" spans="1:6" x14ac:dyDescent="0.25">
      <c r="A31" s="16" t="s">
        <v>1600</v>
      </c>
      <c r="B31" s="16" t="s">
        <v>2051</v>
      </c>
      <c r="C31" s="16" t="s">
        <v>9122</v>
      </c>
      <c r="D31" s="16" t="s">
        <v>9191</v>
      </c>
      <c r="E31" s="16" t="s">
        <v>9083</v>
      </c>
      <c r="F31" s="16" t="s">
        <v>9192</v>
      </c>
    </row>
    <row r="32" spans="1:6" x14ac:dyDescent="0.25">
      <c r="A32" s="16" t="s">
        <v>1600</v>
      </c>
      <c r="B32" s="16" t="s">
        <v>2052</v>
      </c>
      <c r="C32" s="16" t="s">
        <v>9122</v>
      </c>
      <c r="D32" s="16" t="s">
        <v>9176</v>
      </c>
      <c r="E32" s="16" t="s">
        <v>9083</v>
      </c>
      <c r="F32" s="16" t="s">
        <v>9177</v>
      </c>
    </row>
    <row r="33" spans="1:6" x14ac:dyDescent="0.25">
      <c r="A33" s="16" t="s">
        <v>1600</v>
      </c>
      <c r="B33" s="16" t="s">
        <v>2991</v>
      </c>
      <c r="C33" s="16" t="s">
        <v>9122</v>
      </c>
      <c r="D33" s="16" t="s">
        <v>9166</v>
      </c>
      <c r="E33" s="16" t="s">
        <v>9083</v>
      </c>
      <c r="F33" s="16" t="s">
        <v>9093</v>
      </c>
    </row>
    <row r="34" spans="1:6" x14ac:dyDescent="0.25">
      <c r="A34" s="16" t="s">
        <v>1600</v>
      </c>
      <c r="B34" s="16" t="s">
        <v>3025</v>
      </c>
      <c r="C34" s="16" t="s">
        <v>9122</v>
      </c>
      <c r="D34" s="16" t="s">
        <v>9158</v>
      </c>
      <c r="E34" s="16" t="s">
        <v>9083</v>
      </c>
      <c r="F34" s="16" t="s">
        <v>9159</v>
      </c>
    </row>
    <row r="35" spans="1:6" x14ac:dyDescent="0.25">
      <c r="A35" s="16" t="s">
        <v>1600</v>
      </c>
      <c r="B35" s="16" t="s">
        <v>4456</v>
      </c>
      <c r="C35" s="16" t="s">
        <v>9122</v>
      </c>
      <c r="D35" s="16" t="s">
        <v>9156</v>
      </c>
      <c r="E35" s="16" t="s">
        <v>9083</v>
      </c>
      <c r="F35" s="16" t="s">
        <v>9157</v>
      </c>
    </row>
    <row r="36" spans="1:6" x14ac:dyDescent="0.25">
      <c r="A36" s="16" t="s">
        <v>1600</v>
      </c>
      <c r="B36" s="16" t="s">
        <v>2052</v>
      </c>
      <c r="C36" s="16" t="s">
        <v>9122</v>
      </c>
      <c r="D36" s="16" t="s">
        <v>9176</v>
      </c>
      <c r="E36" s="16" t="s">
        <v>9083</v>
      </c>
      <c r="F36" s="16" t="s">
        <v>9177</v>
      </c>
    </row>
    <row r="37" spans="1:6" x14ac:dyDescent="0.25">
      <c r="A37" s="16" t="s">
        <v>1600</v>
      </c>
      <c r="B37" s="16" t="s">
        <v>1670</v>
      </c>
      <c r="C37" s="16" t="s">
        <v>9122</v>
      </c>
      <c r="D37" s="16" t="s">
        <v>9161</v>
      </c>
      <c r="E37" s="16" t="s">
        <v>9083</v>
      </c>
      <c r="F37" s="16" t="s">
        <v>9090</v>
      </c>
    </row>
    <row r="38" spans="1:6" x14ac:dyDescent="0.25">
      <c r="A38" s="16" t="s">
        <v>1600</v>
      </c>
      <c r="B38" s="16" t="s">
        <v>1659</v>
      </c>
      <c r="C38" s="16" t="s">
        <v>9122</v>
      </c>
      <c r="D38" s="16" t="s">
        <v>9162</v>
      </c>
      <c r="E38" s="16" t="s">
        <v>9083</v>
      </c>
      <c r="F38" s="16" t="s">
        <v>9091</v>
      </c>
    </row>
    <row r="39" spans="1:6" x14ac:dyDescent="0.25">
      <c r="A39" s="16" t="s">
        <v>1600</v>
      </c>
      <c r="B39" s="16" t="s">
        <v>1671</v>
      </c>
      <c r="C39" s="16" t="s">
        <v>9122</v>
      </c>
      <c r="D39" s="16" t="s">
        <v>9163</v>
      </c>
      <c r="E39" s="16" t="s">
        <v>9083</v>
      </c>
      <c r="F39" s="16" t="s">
        <v>9094</v>
      </c>
    </row>
    <row r="40" spans="1:6" x14ac:dyDescent="0.25">
      <c r="A40" s="16" t="s">
        <v>1600</v>
      </c>
      <c r="B40" s="16" t="s">
        <v>1653</v>
      </c>
      <c r="C40" s="16" t="s">
        <v>9122</v>
      </c>
      <c r="D40" s="16" t="s">
        <v>9164</v>
      </c>
      <c r="E40" s="16" t="s">
        <v>9083</v>
      </c>
      <c r="F40" s="16" t="s">
        <v>9173</v>
      </c>
    </row>
    <row r="41" spans="1:6" x14ac:dyDescent="0.25">
      <c r="A41" s="16" t="s">
        <v>1600</v>
      </c>
      <c r="B41" s="16" t="s">
        <v>9188</v>
      </c>
      <c r="C41" s="16" t="s">
        <v>9122</v>
      </c>
      <c r="D41" s="16" t="s">
        <v>9189</v>
      </c>
      <c r="E41" s="16" t="s">
        <v>9083</v>
      </c>
      <c r="F41" s="16" t="s">
        <v>9190</v>
      </c>
    </row>
    <row r="42" spans="1:6" x14ac:dyDescent="0.25">
      <c r="A42" s="16" t="s">
        <v>1600</v>
      </c>
      <c r="B42" s="16" t="s">
        <v>9185</v>
      </c>
      <c r="C42" s="16" t="s">
        <v>9122</v>
      </c>
      <c r="D42" s="16" t="s">
        <v>9186</v>
      </c>
      <c r="E42" s="16" t="s">
        <v>9083</v>
      </c>
      <c r="F42" s="16" t="s">
        <v>9187</v>
      </c>
    </row>
    <row r="43" spans="1:6" x14ac:dyDescent="0.25">
      <c r="A43" s="16" t="s">
        <v>1600</v>
      </c>
      <c r="B43" s="16" t="s">
        <v>4670</v>
      </c>
      <c r="C43" s="16" t="s">
        <v>9122</v>
      </c>
      <c r="D43" s="16" t="s">
        <v>9193</v>
      </c>
      <c r="E43" s="16" t="s">
        <v>9083</v>
      </c>
      <c r="F43" s="16" t="s">
        <v>9194</v>
      </c>
    </row>
    <row r="44" spans="1:6" x14ac:dyDescent="0.25">
      <c r="A44" s="16" t="s">
        <v>1600</v>
      </c>
      <c r="B44" s="16" t="s">
        <v>9195</v>
      </c>
      <c r="C44" s="16" t="s">
        <v>9122</v>
      </c>
      <c r="D44" s="16" t="s">
        <v>9196</v>
      </c>
      <c r="E44" s="16" t="s">
        <v>9083</v>
      </c>
      <c r="F44" s="16" t="s">
        <v>9197</v>
      </c>
    </row>
    <row r="45" spans="1:6" x14ac:dyDescent="0.25">
      <c r="A45" s="16" t="s">
        <v>1600</v>
      </c>
      <c r="B45" s="16" t="s">
        <v>1677</v>
      </c>
      <c r="C45" s="16" t="s">
        <v>9122</v>
      </c>
      <c r="D45" s="16" t="s">
        <v>9155</v>
      </c>
      <c r="E45" s="16" t="s">
        <v>9083</v>
      </c>
      <c r="F45" s="16" t="s">
        <v>9154</v>
      </c>
    </row>
    <row r="46" spans="1:6" x14ac:dyDescent="0.25">
      <c r="A46" s="16" t="s">
        <v>1600</v>
      </c>
      <c r="B46" s="16" t="s">
        <v>3386</v>
      </c>
      <c r="C46" s="16" t="s">
        <v>9122</v>
      </c>
      <c r="D46" s="16" t="s">
        <v>9181</v>
      </c>
      <c r="E46" s="16" t="s">
        <v>9083</v>
      </c>
      <c r="F46" s="16" t="s">
        <v>9182</v>
      </c>
    </row>
    <row r="47" spans="1:6" x14ac:dyDescent="0.25">
      <c r="A47" s="16" t="s">
        <v>1601</v>
      </c>
      <c r="B47" s="16" t="s">
        <v>1608</v>
      </c>
      <c r="C47" s="16" t="s">
        <v>9129</v>
      </c>
      <c r="D47" s="16" t="s">
        <v>9080</v>
      </c>
      <c r="E47" s="16" t="s">
        <v>110</v>
      </c>
      <c r="F47" s="16" t="s">
        <v>9064</v>
      </c>
    </row>
    <row r="48" spans="1:6" x14ac:dyDescent="0.25">
      <c r="A48" s="16" t="s">
        <v>1601</v>
      </c>
      <c r="B48" s="16" t="s">
        <v>1612</v>
      </c>
      <c r="C48" s="16" t="s">
        <v>9129</v>
      </c>
      <c r="D48" s="16" t="s">
        <v>9081</v>
      </c>
      <c r="E48" s="16" t="s">
        <v>110</v>
      </c>
      <c r="F48" s="16" t="s">
        <v>9065</v>
      </c>
    </row>
    <row r="49" spans="1:6" x14ac:dyDescent="0.25">
      <c r="A49" s="16" t="s">
        <v>1601</v>
      </c>
      <c r="B49" s="16" t="s">
        <v>1617</v>
      </c>
      <c r="C49" s="16" t="s">
        <v>9129</v>
      </c>
      <c r="D49" s="16" t="s">
        <v>1617</v>
      </c>
      <c r="E49" s="16" t="s">
        <v>110</v>
      </c>
      <c r="F49" s="16" t="s">
        <v>9066</v>
      </c>
    </row>
    <row r="50" spans="1:6" x14ac:dyDescent="0.25">
      <c r="A50" s="16" t="s">
        <v>1601</v>
      </c>
      <c r="B50" s="16" t="s">
        <v>1602</v>
      </c>
      <c r="C50" s="16" t="s">
        <v>9129</v>
      </c>
      <c r="D50" s="16" t="s">
        <v>9082</v>
      </c>
      <c r="E50" s="16" t="s">
        <v>110</v>
      </c>
      <c r="F50" s="16" t="s">
        <v>2224</v>
      </c>
    </row>
    <row r="51" spans="1:6" x14ac:dyDescent="0.25">
      <c r="A51" s="16" t="s">
        <v>1601</v>
      </c>
      <c r="B51" s="16" t="s">
        <v>1587</v>
      </c>
      <c r="C51" s="16" t="s">
        <v>9129</v>
      </c>
      <c r="D51" s="16" t="s">
        <v>9077</v>
      </c>
      <c r="E51" s="16" t="s">
        <v>110</v>
      </c>
      <c r="F51" s="16" t="s">
        <v>486</v>
      </c>
    </row>
    <row r="52" spans="1:6" x14ac:dyDescent="0.25">
      <c r="A52" s="16" t="s">
        <v>1601</v>
      </c>
      <c r="B52" s="16" t="s">
        <v>5352</v>
      </c>
      <c r="C52" s="16" t="s">
        <v>9129</v>
      </c>
      <c r="D52" s="16" t="s">
        <v>9131</v>
      </c>
      <c r="E52" s="16" t="s">
        <v>110</v>
      </c>
      <c r="F52" s="16" t="s">
        <v>4756</v>
      </c>
    </row>
    <row r="53" spans="1:6" x14ac:dyDescent="0.25">
      <c r="A53" s="16" t="s">
        <v>1595</v>
      </c>
      <c r="B53" s="16" t="s">
        <v>1596</v>
      </c>
      <c r="C53" s="16" t="s">
        <v>9132</v>
      </c>
      <c r="D53" s="16" t="s">
        <v>9078</v>
      </c>
      <c r="E53" s="16" t="s">
        <v>244</v>
      </c>
      <c r="F53" s="16" t="s">
        <v>9074</v>
      </c>
    </row>
    <row r="54" spans="1:6" x14ac:dyDescent="0.25">
      <c r="A54" s="16" t="s">
        <v>1595</v>
      </c>
      <c r="B54" s="16" t="s">
        <v>1810</v>
      </c>
      <c r="C54" s="16" t="s">
        <v>9132</v>
      </c>
      <c r="D54" s="16" t="s">
        <v>9079</v>
      </c>
      <c r="E54" s="16" t="s">
        <v>244</v>
      </c>
      <c r="F54" s="16" t="s">
        <v>9075</v>
      </c>
    </row>
    <row r="55" spans="1:6" x14ac:dyDescent="0.25">
      <c r="A55" s="16" t="s">
        <v>1595</v>
      </c>
      <c r="B55" s="16" t="s">
        <v>1812</v>
      </c>
      <c r="C55" s="16" t="s">
        <v>9132</v>
      </c>
      <c r="D55" s="16" t="s">
        <v>9204</v>
      </c>
      <c r="E55" s="16" t="s">
        <v>244</v>
      </c>
      <c r="F55" s="16" t="s">
        <v>9203</v>
      </c>
    </row>
    <row r="56" spans="1:6" x14ac:dyDescent="0.25">
      <c r="A56" s="16" t="s">
        <v>1595</v>
      </c>
      <c r="B56" s="16" t="s">
        <v>9208</v>
      </c>
      <c r="C56" s="16" t="s">
        <v>9132</v>
      </c>
      <c r="D56" s="16" t="s">
        <v>9206</v>
      </c>
      <c r="E56" s="16" t="s">
        <v>244</v>
      </c>
      <c r="F56" s="16" t="s">
        <v>9207</v>
      </c>
    </row>
    <row r="57" spans="1:6" x14ac:dyDescent="0.25">
      <c r="A57" s="16" t="s">
        <v>1595</v>
      </c>
      <c r="B57" s="16" t="s">
        <v>1992</v>
      </c>
      <c r="C57" s="16" t="s">
        <v>9132</v>
      </c>
      <c r="D57" s="16" t="s">
        <v>9205</v>
      </c>
      <c r="E57" s="16" t="s">
        <v>244</v>
      </c>
      <c r="F57" s="16" t="s">
        <v>9065</v>
      </c>
    </row>
    <row r="58" spans="1:6" x14ac:dyDescent="0.25">
      <c r="A58" s="16" t="s">
        <v>1595</v>
      </c>
      <c r="B58" s="16" t="s">
        <v>1698</v>
      </c>
      <c r="C58" s="16" t="s">
        <v>9132</v>
      </c>
      <c r="D58" s="16" t="s">
        <v>9076</v>
      </c>
      <c r="E58" s="16" t="s">
        <v>244</v>
      </c>
      <c r="F58" s="16" t="s">
        <v>3427</v>
      </c>
    </row>
    <row r="59" spans="1:6" x14ac:dyDescent="0.25">
      <c r="A59" s="16" t="s">
        <v>1595</v>
      </c>
      <c r="B59" s="16" t="s">
        <v>1587</v>
      </c>
      <c r="C59" s="16" t="s">
        <v>9132</v>
      </c>
      <c r="D59" s="16" t="s">
        <v>9077</v>
      </c>
      <c r="E59" s="16" t="s">
        <v>244</v>
      </c>
      <c r="F59" s="16" t="s">
        <v>486</v>
      </c>
    </row>
    <row r="60" spans="1:6" x14ac:dyDescent="0.25">
      <c r="A60" s="16" t="s">
        <v>1595</v>
      </c>
      <c r="B60" s="16" t="s">
        <v>5352</v>
      </c>
      <c r="C60" s="16" t="s">
        <v>9132</v>
      </c>
      <c r="D60" s="16" t="s">
        <v>9131</v>
      </c>
      <c r="E60" s="16" t="s">
        <v>244</v>
      </c>
      <c r="F60" s="16" t="s">
        <v>4756</v>
      </c>
    </row>
    <row r="61" spans="1:6" x14ac:dyDescent="0.25">
      <c r="A61" s="16" t="s">
        <v>1578</v>
      </c>
      <c r="B61" s="16" t="s">
        <v>2113</v>
      </c>
      <c r="C61" s="16" t="s">
        <v>9134</v>
      </c>
      <c r="D61" s="16" t="s">
        <v>9209</v>
      </c>
      <c r="E61" s="16" t="s">
        <v>9103</v>
      </c>
      <c r="F61" s="16" t="s">
        <v>9215</v>
      </c>
    </row>
    <row r="62" spans="1:6" x14ac:dyDescent="0.25">
      <c r="A62" s="16" t="s">
        <v>1578</v>
      </c>
      <c r="B62" s="16" t="s">
        <v>2267</v>
      </c>
      <c r="C62" s="16" t="s">
        <v>9134</v>
      </c>
      <c r="D62" s="16" t="s">
        <v>9210</v>
      </c>
      <c r="E62" s="16" t="s">
        <v>9103</v>
      </c>
      <c r="F62" s="16" t="s">
        <v>9216</v>
      </c>
    </row>
    <row r="63" spans="1:6" x14ac:dyDescent="0.25">
      <c r="A63" s="16" t="s">
        <v>1578</v>
      </c>
      <c r="B63" s="16" t="s">
        <v>2286</v>
      </c>
      <c r="C63" s="16" t="s">
        <v>9134</v>
      </c>
      <c r="D63" s="16" t="s">
        <v>9211</v>
      </c>
      <c r="E63" s="16" t="s">
        <v>9103</v>
      </c>
      <c r="F63" s="16" t="s">
        <v>9217</v>
      </c>
    </row>
    <row r="64" spans="1:6" x14ac:dyDescent="0.25">
      <c r="A64" s="16" t="s">
        <v>1578</v>
      </c>
      <c r="B64" s="16" t="s">
        <v>2296</v>
      </c>
      <c r="C64" s="16" t="s">
        <v>9134</v>
      </c>
      <c r="D64" s="16" t="s">
        <v>9212</v>
      </c>
      <c r="E64" s="16" t="s">
        <v>9103</v>
      </c>
      <c r="F64" s="16" t="s">
        <v>9218</v>
      </c>
    </row>
    <row r="65" spans="1:6" x14ac:dyDescent="0.25">
      <c r="A65" s="16" t="s">
        <v>1578</v>
      </c>
      <c r="B65" s="16" t="s">
        <v>2142</v>
      </c>
      <c r="C65" s="16" t="s">
        <v>9134</v>
      </c>
      <c r="D65" s="16" t="s">
        <v>9213</v>
      </c>
      <c r="E65" s="16" t="s">
        <v>9103</v>
      </c>
      <c r="F65" s="16" t="s">
        <v>9219</v>
      </c>
    </row>
    <row r="66" spans="1:6" x14ac:dyDescent="0.25">
      <c r="A66" s="16" t="s">
        <v>1578</v>
      </c>
      <c r="B66" s="16" t="s">
        <v>2112</v>
      </c>
      <c r="C66" s="16" t="s">
        <v>9134</v>
      </c>
      <c r="D66" s="16" t="s">
        <v>9223</v>
      </c>
      <c r="E66" s="16" t="s">
        <v>9103</v>
      </c>
      <c r="F66" s="16" t="s">
        <v>9238</v>
      </c>
    </row>
    <row r="67" spans="1:6" x14ac:dyDescent="0.25">
      <c r="A67" s="16" t="s">
        <v>1578</v>
      </c>
      <c r="B67" s="16" t="s">
        <v>9288</v>
      </c>
      <c r="C67" s="16" t="s">
        <v>9134</v>
      </c>
      <c r="D67" s="16" t="s">
        <v>9289</v>
      </c>
      <c r="E67" s="16" t="s">
        <v>9103</v>
      </c>
      <c r="F67" s="16" t="s">
        <v>9290</v>
      </c>
    </row>
    <row r="68" spans="1:6" x14ac:dyDescent="0.25">
      <c r="A68" s="16" t="s">
        <v>1578</v>
      </c>
      <c r="B68" s="16" t="s">
        <v>9256</v>
      </c>
      <c r="C68" s="16" t="s">
        <v>9134</v>
      </c>
      <c r="D68" s="16" t="s">
        <v>9257</v>
      </c>
      <c r="E68" s="16" t="s">
        <v>9103</v>
      </c>
      <c r="F68" s="16" t="s">
        <v>9258</v>
      </c>
    </row>
    <row r="69" spans="1:6" x14ac:dyDescent="0.25">
      <c r="A69" s="16" t="s">
        <v>1578</v>
      </c>
      <c r="B69" s="16" t="s">
        <v>9250</v>
      </c>
      <c r="C69" s="16" t="s">
        <v>9134</v>
      </c>
      <c r="D69" s="16" t="s">
        <v>9251</v>
      </c>
      <c r="E69" s="16" t="s">
        <v>9103</v>
      </c>
      <c r="F69" s="16" t="s">
        <v>9252</v>
      </c>
    </row>
    <row r="70" spans="1:6" x14ac:dyDescent="0.25">
      <c r="A70" s="16" t="s">
        <v>1578</v>
      </c>
      <c r="B70" s="16" t="s">
        <v>9253</v>
      </c>
      <c r="C70" s="16" t="s">
        <v>9134</v>
      </c>
      <c r="D70" s="16" t="s">
        <v>9254</v>
      </c>
      <c r="E70" s="16" t="s">
        <v>9103</v>
      </c>
      <c r="F70" s="16" t="s">
        <v>9255</v>
      </c>
    </row>
    <row r="71" spans="1:6" x14ac:dyDescent="0.25">
      <c r="A71" s="16" t="s">
        <v>1578</v>
      </c>
      <c r="B71" s="16" t="s">
        <v>3030</v>
      </c>
      <c r="C71" s="16" t="s">
        <v>9134</v>
      </c>
      <c r="D71" s="16" t="s">
        <v>9214</v>
      </c>
      <c r="E71" s="16" t="s">
        <v>9103</v>
      </c>
      <c r="F71" s="16" t="s">
        <v>9220</v>
      </c>
    </row>
    <row r="72" spans="1:6" x14ac:dyDescent="0.25">
      <c r="A72" s="16" t="s">
        <v>1578</v>
      </c>
      <c r="B72" s="16" t="s">
        <v>2315</v>
      </c>
      <c r="C72" s="16" t="s">
        <v>9134</v>
      </c>
      <c r="D72" s="16" t="s">
        <v>9273</v>
      </c>
      <c r="E72" s="16" t="s">
        <v>9103</v>
      </c>
      <c r="F72" s="16" t="s">
        <v>9274</v>
      </c>
    </row>
    <row r="73" spans="1:6" x14ac:dyDescent="0.25">
      <c r="A73" s="16" t="s">
        <v>1578</v>
      </c>
      <c r="B73" s="16" t="s">
        <v>2293</v>
      </c>
      <c r="C73" s="16" t="s">
        <v>9134</v>
      </c>
      <c r="D73" s="16" t="s">
        <v>9275</v>
      </c>
      <c r="E73" s="16" t="s">
        <v>9103</v>
      </c>
      <c r="F73" s="16" t="s">
        <v>9276</v>
      </c>
    </row>
    <row r="74" spans="1:6" x14ac:dyDescent="0.25">
      <c r="A74" s="16" t="s">
        <v>1578</v>
      </c>
      <c r="B74" s="16" t="s">
        <v>2711</v>
      </c>
      <c r="C74" s="16" t="s">
        <v>9134</v>
      </c>
      <c r="D74" s="16" t="s">
        <v>9277</v>
      </c>
      <c r="E74" s="16" t="s">
        <v>9103</v>
      </c>
      <c r="F74" s="16" t="s">
        <v>9278</v>
      </c>
    </row>
    <row r="75" spans="1:6" x14ac:dyDescent="0.25">
      <c r="A75" s="16" t="s">
        <v>1578</v>
      </c>
      <c r="B75" s="16" t="s">
        <v>8224</v>
      </c>
      <c r="C75" s="16" t="s">
        <v>9134</v>
      </c>
      <c r="D75" s="16" t="s">
        <v>9221</v>
      </c>
      <c r="E75" s="16" t="s">
        <v>9103</v>
      </c>
      <c r="F75" s="16" t="s">
        <v>9232</v>
      </c>
    </row>
    <row r="76" spans="1:6" x14ac:dyDescent="0.25">
      <c r="A76" s="16" t="s">
        <v>1578</v>
      </c>
      <c r="B76" s="16" t="s">
        <v>8231</v>
      </c>
      <c r="C76" s="16" t="s">
        <v>9134</v>
      </c>
      <c r="D76" s="16" t="s">
        <v>9235</v>
      </c>
      <c r="E76" s="16" t="s">
        <v>9103</v>
      </c>
      <c r="F76" s="16" t="s">
        <v>9233</v>
      </c>
    </row>
    <row r="77" spans="1:6" x14ac:dyDescent="0.25">
      <c r="A77" s="16" t="s">
        <v>1578</v>
      </c>
      <c r="B77" s="16" t="s">
        <v>2707</v>
      </c>
      <c r="C77" s="16" t="s">
        <v>9134</v>
      </c>
      <c r="D77" s="16" t="s">
        <v>9236</v>
      </c>
      <c r="E77" s="16" t="s">
        <v>9103</v>
      </c>
      <c r="F77" s="16" t="s">
        <v>9234</v>
      </c>
    </row>
    <row r="78" spans="1:6" x14ac:dyDescent="0.25">
      <c r="A78" s="16" t="s">
        <v>1578</v>
      </c>
      <c r="B78" s="16" t="s">
        <v>4993</v>
      </c>
      <c r="C78" s="16" t="s">
        <v>9134</v>
      </c>
      <c r="D78" s="16" t="s">
        <v>9271</v>
      </c>
      <c r="E78" s="16" t="s">
        <v>9103</v>
      </c>
      <c r="F78" s="16" t="s">
        <v>9272</v>
      </c>
    </row>
    <row r="79" spans="1:6" x14ac:dyDescent="0.25">
      <c r="A79" s="16" t="s">
        <v>1578</v>
      </c>
      <c r="B79" s="16" t="s">
        <v>2143</v>
      </c>
      <c r="C79" s="16" t="s">
        <v>9134</v>
      </c>
      <c r="D79" s="16" t="s">
        <v>9244</v>
      </c>
      <c r="E79" s="16" t="s">
        <v>9103</v>
      </c>
      <c r="F79" s="16" t="s">
        <v>9247</v>
      </c>
    </row>
    <row r="80" spans="1:6" x14ac:dyDescent="0.25">
      <c r="A80" s="16" t="s">
        <v>1578</v>
      </c>
      <c r="B80" s="16" t="s">
        <v>2144</v>
      </c>
      <c r="C80" s="16" t="s">
        <v>9134</v>
      </c>
      <c r="D80" s="16" t="s">
        <v>9245</v>
      </c>
      <c r="E80" s="16" t="s">
        <v>9103</v>
      </c>
      <c r="F80" s="16" t="s">
        <v>9248</v>
      </c>
    </row>
    <row r="81" spans="1:6" x14ac:dyDescent="0.25">
      <c r="A81" s="16" t="s">
        <v>1578</v>
      </c>
      <c r="B81" s="16" t="s">
        <v>8370</v>
      </c>
      <c r="C81" s="16" t="s">
        <v>9134</v>
      </c>
      <c r="D81" s="16" t="s">
        <v>9246</v>
      </c>
      <c r="E81" s="16" t="s">
        <v>9103</v>
      </c>
      <c r="F81" s="16" t="s">
        <v>9249</v>
      </c>
    </row>
    <row r="82" spans="1:6" x14ac:dyDescent="0.25">
      <c r="A82" s="16" t="s">
        <v>1578</v>
      </c>
      <c r="B82" s="16" t="s">
        <v>2422</v>
      </c>
      <c r="C82" s="16" t="s">
        <v>9134</v>
      </c>
      <c r="D82" s="16" t="s">
        <v>9237</v>
      </c>
      <c r="E82" s="16" t="s">
        <v>9103</v>
      </c>
      <c r="F82" s="16" t="s">
        <v>9239</v>
      </c>
    </row>
    <row r="83" spans="1:6" x14ac:dyDescent="0.25">
      <c r="A83" s="16" t="s">
        <v>1578</v>
      </c>
      <c r="B83" s="16" t="s">
        <v>9262</v>
      </c>
      <c r="C83" s="16" t="s">
        <v>9134</v>
      </c>
      <c r="D83" s="16" t="s">
        <v>9263</v>
      </c>
      <c r="E83" s="16" t="s">
        <v>9103</v>
      </c>
      <c r="F83" s="16" t="s">
        <v>9264</v>
      </c>
    </row>
    <row r="84" spans="1:6" x14ac:dyDescent="0.25">
      <c r="A84" s="16" t="s">
        <v>1578</v>
      </c>
      <c r="B84" s="16" t="s">
        <v>9266</v>
      </c>
      <c r="C84" s="16" t="s">
        <v>9134</v>
      </c>
      <c r="D84" s="16" t="s">
        <v>9267</v>
      </c>
      <c r="E84" s="16" t="s">
        <v>9103</v>
      </c>
      <c r="F84" s="16" t="s">
        <v>9269</v>
      </c>
    </row>
    <row r="85" spans="1:6" x14ac:dyDescent="0.25">
      <c r="A85" s="16" t="s">
        <v>1578</v>
      </c>
      <c r="B85" s="16" t="s">
        <v>9265</v>
      </c>
      <c r="C85" s="16" t="s">
        <v>9134</v>
      </c>
      <c r="D85" s="16" t="s">
        <v>9268</v>
      </c>
      <c r="E85" s="16" t="s">
        <v>9103</v>
      </c>
      <c r="F85" s="16" t="s">
        <v>9270</v>
      </c>
    </row>
    <row r="86" spans="1:6" x14ac:dyDescent="0.25">
      <c r="A86" s="16" t="s">
        <v>1578</v>
      </c>
      <c r="B86" s="16" t="s">
        <v>2496</v>
      </c>
      <c r="C86" s="16" t="s">
        <v>9134</v>
      </c>
      <c r="D86" s="16" t="s">
        <v>9231</v>
      </c>
      <c r="E86" s="16" t="s">
        <v>9103</v>
      </c>
      <c r="F86" s="16" t="s">
        <v>9240</v>
      </c>
    </row>
    <row r="87" spans="1:6" x14ac:dyDescent="0.25">
      <c r="A87" s="16" t="s">
        <v>1578</v>
      </c>
      <c r="B87" s="16" t="s">
        <v>2531</v>
      </c>
      <c r="C87" s="16" t="s">
        <v>9134</v>
      </c>
      <c r="D87" s="16" t="s">
        <v>9229</v>
      </c>
      <c r="E87" s="16" t="s">
        <v>9103</v>
      </c>
      <c r="F87" s="16" t="s">
        <v>9281</v>
      </c>
    </row>
    <row r="88" spans="1:6" x14ac:dyDescent="0.25">
      <c r="A88" s="16" t="s">
        <v>1578</v>
      </c>
      <c r="B88" s="16" t="s">
        <v>8334</v>
      </c>
      <c r="C88" s="16" t="s">
        <v>9134</v>
      </c>
      <c r="D88" s="16" t="s">
        <v>9230</v>
      </c>
      <c r="E88" s="16" t="s">
        <v>9103</v>
      </c>
      <c r="F88" s="16" t="s">
        <v>9282</v>
      </c>
    </row>
    <row r="89" spans="1:6" x14ac:dyDescent="0.25">
      <c r="A89" s="16" t="s">
        <v>1578</v>
      </c>
      <c r="B89" s="16" t="s">
        <v>9279</v>
      </c>
      <c r="C89" s="16" t="s">
        <v>9134</v>
      </c>
      <c r="D89" s="16" t="s">
        <v>9280</v>
      </c>
      <c r="E89" s="16" t="s">
        <v>9103</v>
      </c>
      <c r="F89" s="16" t="s">
        <v>9283</v>
      </c>
    </row>
    <row r="90" spans="1:6" x14ac:dyDescent="0.25">
      <c r="A90" s="16" t="s">
        <v>1578</v>
      </c>
      <c r="B90" s="16" t="s">
        <v>9284</v>
      </c>
      <c r="C90" s="16" t="s">
        <v>9134</v>
      </c>
      <c r="D90" s="16" t="s">
        <v>9285</v>
      </c>
      <c r="E90" s="16" t="s">
        <v>9103</v>
      </c>
      <c r="F90" s="16" t="s">
        <v>9286</v>
      </c>
    </row>
    <row r="91" spans="1:6" x14ac:dyDescent="0.25">
      <c r="A91" s="16" t="s">
        <v>1578</v>
      </c>
      <c r="B91" s="16" t="s">
        <v>2951</v>
      </c>
      <c r="C91" s="16" t="s">
        <v>9134</v>
      </c>
      <c r="D91" s="16" t="s">
        <v>9227</v>
      </c>
      <c r="E91" s="16" t="s">
        <v>9103</v>
      </c>
      <c r="F91" s="16" t="s">
        <v>9226</v>
      </c>
    </row>
    <row r="92" spans="1:6" x14ac:dyDescent="0.25">
      <c r="A92" s="16" t="s">
        <v>1578</v>
      </c>
      <c r="B92" s="16" t="s">
        <v>1591</v>
      </c>
      <c r="C92" s="16" t="s">
        <v>9134</v>
      </c>
      <c r="D92" s="16" t="s">
        <v>9224</v>
      </c>
      <c r="E92" s="16" t="s">
        <v>9103</v>
      </c>
      <c r="F92" s="16" t="s">
        <v>9222</v>
      </c>
    </row>
    <row r="93" spans="1:6" x14ac:dyDescent="0.25">
      <c r="A93" s="16" t="s">
        <v>1578</v>
      </c>
      <c r="B93" s="16" t="s">
        <v>9259</v>
      </c>
      <c r="C93" s="16" t="s">
        <v>9134</v>
      </c>
      <c r="D93" s="16" t="s">
        <v>9260</v>
      </c>
      <c r="E93" s="16" t="s">
        <v>9103</v>
      </c>
      <c r="F93" s="16" t="s">
        <v>9261</v>
      </c>
    </row>
    <row r="94" spans="1:6" x14ac:dyDescent="0.25">
      <c r="A94" s="16" t="s">
        <v>1578</v>
      </c>
      <c r="B94" s="16" t="s">
        <v>1599</v>
      </c>
      <c r="C94" s="16" t="s">
        <v>9134</v>
      </c>
      <c r="D94" s="16" t="s">
        <v>9225</v>
      </c>
      <c r="E94" s="16" t="s">
        <v>9103</v>
      </c>
      <c r="F94" s="16" t="s">
        <v>551</v>
      </c>
    </row>
    <row r="95" spans="1:6" x14ac:dyDescent="0.25">
      <c r="A95" s="16" t="s">
        <v>1578</v>
      </c>
      <c r="B95" s="16" t="s">
        <v>1579</v>
      </c>
      <c r="C95" s="16" t="s">
        <v>9134</v>
      </c>
      <c r="D95" s="16" t="s">
        <v>9228</v>
      </c>
      <c r="E95" s="16" t="s">
        <v>9103</v>
      </c>
      <c r="F95" s="16" t="s">
        <v>429</v>
      </c>
    </row>
    <row r="96" spans="1:6" x14ac:dyDescent="0.25">
      <c r="A96" s="16" t="s">
        <v>1578</v>
      </c>
      <c r="B96" s="16" t="s">
        <v>2007</v>
      </c>
      <c r="C96" s="16" t="s">
        <v>9134</v>
      </c>
      <c r="D96" s="16" t="s">
        <v>9321</v>
      </c>
      <c r="E96" s="16" t="s">
        <v>9103</v>
      </c>
      <c r="F96" s="16" t="s">
        <v>9322</v>
      </c>
    </row>
    <row r="97" spans="1:6" x14ac:dyDescent="0.25">
      <c r="A97" s="16" t="s">
        <v>2160</v>
      </c>
      <c r="B97" s="16" t="s">
        <v>2172</v>
      </c>
      <c r="C97" s="16" t="s">
        <v>9144</v>
      </c>
      <c r="D97" s="16" t="s">
        <v>9291</v>
      </c>
      <c r="E97" s="16" t="s">
        <v>9145</v>
      </c>
      <c r="F97" s="16" t="s">
        <v>4954</v>
      </c>
    </row>
    <row r="98" spans="1:6" x14ac:dyDescent="0.25">
      <c r="A98" s="16" t="s">
        <v>2160</v>
      </c>
      <c r="B98" s="16" t="s">
        <v>2804</v>
      </c>
      <c r="C98" s="16" t="s">
        <v>9144</v>
      </c>
      <c r="D98" s="16" t="s">
        <v>9297</v>
      </c>
      <c r="E98" s="16" t="s">
        <v>9145</v>
      </c>
      <c r="F98" s="16" t="s">
        <v>9292</v>
      </c>
    </row>
    <row r="99" spans="1:6" x14ac:dyDescent="0.25">
      <c r="A99" s="16" t="s">
        <v>2160</v>
      </c>
      <c r="B99" s="16" t="s">
        <v>2838</v>
      </c>
      <c r="C99" s="16" t="s">
        <v>9144</v>
      </c>
      <c r="D99" s="16" t="s">
        <v>9295</v>
      </c>
      <c r="E99" s="16" t="s">
        <v>9145</v>
      </c>
      <c r="F99" s="16" t="s">
        <v>9293</v>
      </c>
    </row>
    <row r="100" spans="1:6" x14ac:dyDescent="0.25">
      <c r="A100" s="16" t="s">
        <v>2160</v>
      </c>
      <c r="B100" s="16" t="s">
        <v>8439</v>
      </c>
      <c r="C100" s="16" t="s">
        <v>9144</v>
      </c>
      <c r="D100" s="16" t="s">
        <v>9296</v>
      </c>
      <c r="E100" s="16" t="s">
        <v>9145</v>
      </c>
      <c r="F100" s="16" t="s">
        <v>9294</v>
      </c>
    </row>
    <row r="101" spans="1:6" x14ac:dyDescent="0.25">
      <c r="A101" s="16" t="s">
        <v>2160</v>
      </c>
      <c r="B101" s="16" t="s">
        <v>1750</v>
      </c>
      <c r="C101" s="16" t="s">
        <v>9144</v>
      </c>
      <c r="D101" s="16" t="s">
        <v>9298</v>
      </c>
      <c r="E101" s="16" t="s">
        <v>9145</v>
      </c>
      <c r="F101" s="16" t="s">
        <v>9299</v>
      </c>
    </row>
    <row r="102" spans="1:6" x14ac:dyDescent="0.25">
      <c r="A102" s="16" t="s">
        <v>2160</v>
      </c>
      <c r="B102" s="16" t="s">
        <v>1579</v>
      </c>
      <c r="C102" s="16" t="s">
        <v>9144</v>
      </c>
      <c r="D102" s="16" t="s">
        <v>9306</v>
      </c>
      <c r="E102" s="16" t="s">
        <v>9145</v>
      </c>
      <c r="F102" s="16" t="s">
        <v>9301</v>
      </c>
    </row>
    <row r="103" spans="1:6" x14ac:dyDescent="0.25">
      <c r="A103" s="16" t="s">
        <v>2160</v>
      </c>
      <c r="B103" s="16" t="s">
        <v>2762</v>
      </c>
      <c r="C103" s="16" t="s">
        <v>9144</v>
      </c>
      <c r="D103" s="16" t="s">
        <v>9302</v>
      </c>
      <c r="E103" s="16" t="s">
        <v>9145</v>
      </c>
      <c r="F103" s="16" t="s">
        <v>9303</v>
      </c>
    </row>
    <row r="104" spans="1:6" x14ac:dyDescent="0.25">
      <c r="A104" s="16" t="s">
        <v>2160</v>
      </c>
      <c r="B104" s="16" t="s">
        <v>2161</v>
      </c>
      <c r="C104" s="16" t="s">
        <v>9144</v>
      </c>
      <c r="D104" s="16" t="s">
        <v>9305</v>
      </c>
      <c r="E104" s="16" t="s">
        <v>9145</v>
      </c>
      <c r="F104" s="16" t="s">
        <v>9304</v>
      </c>
    </row>
    <row r="105" spans="1:6" x14ac:dyDescent="0.25">
      <c r="A105" s="16" t="s">
        <v>2160</v>
      </c>
      <c r="B105" s="16" t="s">
        <v>2882</v>
      </c>
      <c r="C105" s="16" t="s">
        <v>9144</v>
      </c>
      <c r="D105" s="16" t="s">
        <v>9308</v>
      </c>
      <c r="E105" s="16" t="s">
        <v>9145</v>
      </c>
      <c r="F105" s="16" t="s">
        <v>9307</v>
      </c>
    </row>
    <row r="106" spans="1:6" x14ac:dyDescent="0.25">
      <c r="A106" s="16" t="s">
        <v>2160</v>
      </c>
      <c r="B106" s="16" t="s">
        <v>2167</v>
      </c>
      <c r="C106" s="16" t="s">
        <v>9144</v>
      </c>
      <c r="D106" s="16" t="s">
        <v>2167</v>
      </c>
      <c r="E106" s="16" t="s">
        <v>9145</v>
      </c>
      <c r="F106" s="16" t="s">
        <v>9287</v>
      </c>
    </row>
    <row r="107" spans="1:6" x14ac:dyDescent="0.25">
      <c r="A107" s="16" t="s">
        <v>2160</v>
      </c>
      <c r="B107" s="16" t="s">
        <v>4849</v>
      </c>
      <c r="C107" s="16" t="s">
        <v>9144</v>
      </c>
      <c r="D107" s="16" t="s">
        <v>4849</v>
      </c>
      <c r="E107" s="16" t="s">
        <v>9145</v>
      </c>
      <c r="F107" s="16" t="s">
        <v>9300</v>
      </c>
    </row>
    <row r="108" spans="1:6" x14ac:dyDescent="0.25">
      <c r="A108" s="16" t="s">
        <v>2160</v>
      </c>
      <c r="B108" s="16" t="s">
        <v>4447</v>
      </c>
      <c r="C108" s="16" t="s">
        <v>9144</v>
      </c>
      <c r="D108" s="16" t="s">
        <v>9309</v>
      </c>
      <c r="E108" s="16" t="s">
        <v>9145</v>
      </c>
      <c r="F108" s="16" t="s">
        <v>9310</v>
      </c>
    </row>
    <row r="109" spans="1:6" x14ac:dyDescent="0.25">
      <c r="A109" s="16" t="s">
        <v>2160</v>
      </c>
      <c r="B109" s="16" t="s">
        <v>1698</v>
      </c>
      <c r="C109" s="16" t="s">
        <v>9144</v>
      </c>
      <c r="D109" s="16" t="s">
        <v>9076</v>
      </c>
      <c r="E109" s="16" t="s">
        <v>9145</v>
      </c>
      <c r="F109" s="16" t="s">
        <v>3427</v>
      </c>
    </row>
    <row r="110" spans="1:6" x14ac:dyDescent="0.25">
      <c r="A110" s="16" t="s">
        <v>2160</v>
      </c>
      <c r="B110" s="16" t="s">
        <v>5352</v>
      </c>
      <c r="C110" s="16" t="s">
        <v>9144</v>
      </c>
      <c r="D110" s="16" t="s">
        <v>9131</v>
      </c>
      <c r="E110" s="16" t="s">
        <v>9145</v>
      </c>
      <c r="F110" s="16" t="s">
        <v>4756</v>
      </c>
    </row>
    <row r="111" spans="1:6" x14ac:dyDescent="0.25">
      <c r="A111" s="16" t="s">
        <v>1615</v>
      </c>
      <c r="B111" s="16" t="s">
        <v>2172</v>
      </c>
      <c r="C111" s="16" t="s">
        <v>9133</v>
      </c>
      <c r="D111" s="16" t="s">
        <v>9311</v>
      </c>
      <c r="E111" s="16" t="s">
        <v>126</v>
      </c>
      <c r="F111" s="16" t="s">
        <v>155</v>
      </c>
    </row>
    <row r="112" spans="1:6" x14ac:dyDescent="0.25">
      <c r="A112" s="16" t="s">
        <v>1615</v>
      </c>
      <c r="B112" s="16" t="s">
        <v>2176</v>
      </c>
      <c r="C112" s="16" t="s">
        <v>9133</v>
      </c>
      <c r="D112" s="16" t="s">
        <v>9312</v>
      </c>
      <c r="E112" s="16" t="s">
        <v>126</v>
      </c>
      <c r="F112" s="16" t="s">
        <v>1162</v>
      </c>
    </row>
    <row r="113" spans="1:6" x14ac:dyDescent="0.25">
      <c r="A113" s="16" t="s">
        <v>1615</v>
      </c>
      <c r="B113" s="16" t="s">
        <v>1750</v>
      </c>
      <c r="C113" s="16" t="s">
        <v>9133</v>
      </c>
      <c r="D113" s="16" t="s">
        <v>9314</v>
      </c>
      <c r="E113" s="16" t="s">
        <v>126</v>
      </c>
      <c r="F113" s="16" t="s">
        <v>9313</v>
      </c>
    </row>
    <row r="114" spans="1:6" x14ac:dyDescent="0.25">
      <c r="A114" s="16" t="s">
        <v>1615</v>
      </c>
      <c r="B114" s="16" t="s">
        <v>3897</v>
      </c>
      <c r="C114" s="16" t="s">
        <v>9133</v>
      </c>
      <c r="D114" s="16" t="s">
        <v>9317</v>
      </c>
      <c r="E114" s="16" t="s">
        <v>126</v>
      </c>
      <c r="F114" s="16" t="s">
        <v>9318</v>
      </c>
    </row>
    <row r="115" spans="1:6" x14ac:dyDescent="0.25">
      <c r="A115" s="16" t="s">
        <v>1615</v>
      </c>
      <c r="B115" s="16" t="s">
        <v>1616</v>
      </c>
      <c r="C115" s="16" t="s">
        <v>9133</v>
      </c>
      <c r="D115" s="16" t="s">
        <v>9315</v>
      </c>
      <c r="E115" s="16" t="s">
        <v>126</v>
      </c>
      <c r="F115" s="16" t="s">
        <v>9316</v>
      </c>
    </row>
    <row r="116" spans="1:6" x14ac:dyDescent="0.25">
      <c r="A116" s="16" t="s">
        <v>1615</v>
      </c>
      <c r="B116" s="16" t="s">
        <v>3089</v>
      </c>
      <c r="C116" s="16" t="s">
        <v>9133</v>
      </c>
      <c r="D116" s="16" t="s">
        <v>3089</v>
      </c>
      <c r="E116" s="16" t="s">
        <v>126</v>
      </c>
      <c r="F116" s="16" t="s">
        <v>9319</v>
      </c>
    </row>
    <row r="117" spans="1:6" x14ac:dyDescent="0.25">
      <c r="A117" s="16" t="s">
        <v>1615</v>
      </c>
      <c r="B117" s="16" t="s">
        <v>3134</v>
      </c>
      <c r="C117" s="16" t="s">
        <v>9133</v>
      </c>
      <c r="D117" s="16" t="s">
        <v>9149</v>
      </c>
      <c r="E117" s="16" t="s">
        <v>126</v>
      </c>
      <c r="F117" s="16" t="s">
        <v>9150</v>
      </c>
    </row>
    <row r="118" spans="1:6" x14ac:dyDescent="0.25">
      <c r="A118" s="16" t="s">
        <v>1615</v>
      </c>
      <c r="B118" s="16" t="s">
        <v>1587</v>
      </c>
      <c r="C118" s="16" t="s">
        <v>9133</v>
      </c>
      <c r="D118" s="16" t="s">
        <v>9077</v>
      </c>
      <c r="E118" s="16" t="s">
        <v>126</v>
      </c>
      <c r="F118" s="16" t="s">
        <v>486</v>
      </c>
    </row>
    <row r="119" spans="1:6" x14ac:dyDescent="0.25">
      <c r="A119" s="16" t="s">
        <v>1615</v>
      </c>
      <c r="B119" s="16" t="s">
        <v>1698</v>
      </c>
      <c r="C119" s="16" t="s">
        <v>9133</v>
      </c>
      <c r="D119" s="16" t="s">
        <v>9076</v>
      </c>
      <c r="E119" s="16" t="s">
        <v>126</v>
      </c>
      <c r="F119" s="16" t="s">
        <v>3427</v>
      </c>
    </row>
    <row r="120" spans="1:6" x14ac:dyDescent="0.25">
      <c r="A120" s="16" t="s">
        <v>1615</v>
      </c>
      <c r="B120" s="16" t="s">
        <v>5352</v>
      </c>
      <c r="C120" s="16" t="s">
        <v>9133</v>
      </c>
      <c r="D120" s="16" t="s">
        <v>9131</v>
      </c>
      <c r="E120" s="16" t="s">
        <v>126</v>
      </c>
      <c r="F120" s="16" t="s">
        <v>4756</v>
      </c>
    </row>
    <row r="121" spans="1:6" x14ac:dyDescent="0.25">
      <c r="A121" s="16" t="s">
        <v>1584</v>
      </c>
      <c r="B121" s="16" t="s">
        <v>3486</v>
      </c>
      <c r="C121" s="16" t="s">
        <v>9139</v>
      </c>
      <c r="D121" s="16" t="s">
        <v>9138</v>
      </c>
      <c r="E121" s="16" t="s">
        <v>9142</v>
      </c>
      <c r="F121" s="16" t="s">
        <v>46</v>
      </c>
    </row>
    <row r="122" spans="1:6" x14ac:dyDescent="0.25">
      <c r="A122" s="16" t="s">
        <v>1584</v>
      </c>
      <c r="B122" s="16" t="s">
        <v>1586</v>
      </c>
      <c r="C122" s="16" t="s">
        <v>9139</v>
      </c>
      <c r="D122" s="16" t="s">
        <v>9143</v>
      </c>
      <c r="E122" s="16" t="s">
        <v>9142</v>
      </c>
      <c r="F122" s="16" t="s">
        <v>66</v>
      </c>
    </row>
    <row r="123" spans="1:6" x14ac:dyDescent="0.25">
      <c r="A123" s="16" t="s">
        <v>1584</v>
      </c>
      <c r="B123" s="16" t="s">
        <v>1589</v>
      </c>
      <c r="C123" s="16" t="s">
        <v>9139</v>
      </c>
      <c r="D123" s="16" t="s">
        <v>9323</v>
      </c>
      <c r="E123" s="16" t="s">
        <v>9142</v>
      </c>
      <c r="F123" s="16" t="s">
        <v>9324</v>
      </c>
    </row>
    <row r="124" spans="1:6" x14ac:dyDescent="0.25">
      <c r="A124" s="16" t="s">
        <v>1584</v>
      </c>
      <c r="B124" s="16" t="s">
        <v>3496</v>
      </c>
      <c r="C124" s="16" t="s">
        <v>9139</v>
      </c>
      <c r="D124" s="16" t="s">
        <v>9140</v>
      </c>
      <c r="E124" s="16" t="s">
        <v>9142</v>
      </c>
      <c r="F124" s="16" t="s">
        <v>9141</v>
      </c>
    </row>
    <row r="125" spans="1:6" x14ac:dyDescent="0.25">
      <c r="A125" s="16" t="s">
        <v>1584</v>
      </c>
      <c r="B125" s="16" t="s">
        <v>1587</v>
      </c>
      <c r="C125" s="16" t="s">
        <v>9139</v>
      </c>
      <c r="D125" s="16" t="s">
        <v>9077</v>
      </c>
      <c r="E125" s="16" t="s">
        <v>9142</v>
      </c>
      <c r="F125" s="16" t="s">
        <v>486</v>
      </c>
    </row>
    <row r="126" spans="1:6" x14ac:dyDescent="0.25">
      <c r="A126" s="16" t="s">
        <v>1584</v>
      </c>
      <c r="B126" s="16" t="s">
        <v>3594</v>
      </c>
      <c r="C126" s="16" t="s">
        <v>9139</v>
      </c>
      <c r="D126" s="16" t="s">
        <v>9320</v>
      </c>
      <c r="E126" s="16" t="s">
        <v>9142</v>
      </c>
      <c r="F126" s="16" t="s">
        <v>3595</v>
      </c>
    </row>
    <row r="127" spans="1:6" x14ac:dyDescent="0.25">
      <c r="A127" s="16" t="s">
        <v>1584</v>
      </c>
      <c r="B127" s="16" t="s">
        <v>1698</v>
      </c>
      <c r="C127" s="16" t="s">
        <v>9139</v>
      </c>
      <c r="D127" s="16" t="s">
        <v>9076</v>
      </c>
      <c r="E127" s="16" t="s">
        <v>9142</v>
      </c>
      <c r="F127" s="16" t="s">
        <v>3427</v>
      </c>
    </row>
    <row r="128" spans="1:6" x14ac:dyDescent="0.25">
      <c r="A128" s="16" t="s">
        <v>1584</v>
      </c>
      <c r="B128" s="16" t="s">
        <v>5352</v>
      </c>
      <c r="C128" s="16" t="s">
        <v>9139</v>
      </c>
      <c r="D128" s="16" t="s">
        <v>9131</v>
      </c>
      <c r="E128" s="16" t="s">
        <v>9142</v>
      </c>
      <c r="F128" s="16" t="s">
        <v>4756</v>
      </c>
    </row>
    <row r="129" spans="1:6" x14ac:dyDescent="0.25">
      <c r="A129" s="16" t="s">
        <v>1813</v>
      </c>
      <c r="B129" s="16" t="s">
        <v>3101</v>
      </c>
      <c r="C129" s="16" t="s">
        <v>9130</v>
      </c>
      <c r="D129" s="16" t="s">
        <v>9347</v>
      </c>
      <c r="E129" s="16" t="s">
        <v>9146</v>
      </c>
      <c r="F129" s="16" t="s">
        <v>9348</v>
      </c>
    </row>
    <row r="130" spans="1:6" x14ac:dyDescent="0.25">
      <c r="A130" s="16" t="s">
        <v>1813</v>
      </c>
      <c r="B130" s="16" t="s">
        <v>1840</v>
      </c>
      <c r="C130" s="16" t="s">
        <v>9130</v>
      </c>
      <c r="D130" s="16" t="s">
        <v>9363</v>
      </c>
      <c r="E130" s="16" t="s">
        <v>9146</v>
      </c>
      <c r="F130" s="16" t="s">
        <v>9364</v>
      </c>
    </row>
    <row r="131" spans="1:6" x14ac:dyDescent="0.25">
      <c r="A131" s="16" t="s">
        <v>1813</v>
      </c>
      <c r="B131" s="16" t="s">
        <v>1819</v>
      </c>
      <c r="C131" s="16" t="s">
        <v>9130</v>
      </c>
      <c r="D131" s="16" t="s">
        <v>9349</v>
      </c>
      <c r="E131" s="16" t="s">
        <v>9146</v>
      </c>
      <c r="F131" s="16" t="s">
        <v>9351</v>
      </c>
    </row>
    <row r="132" spans="1:6" x14ac:dyDescent="0.25">
      <c r="A132" s="16" t="s">
        <v>1813</v>
      </c>
      <c r="B132" s="16" t="s">
        <v>9365</v>
      </c>
      <c r="C132" s="16" t="s">
        <v>9130</v>
      </c>
      <c r="D132" s="16" t="s">
        <v>9366</v>
      </c>
      <c r="E132" s="16" t="s">
        <v>9146</v>
      </c>
      <c r="F132" s="16" t="s">
        <v>9367</v>
      </c>
    </row>
    <row r="133" spans="1:6" x14ac:dyDescent="0.25">
      <c r="A133" s="16" t="s">
        <v>1813</v>
      </c>
      <c r="B133" s="16" t="s">
        <v>3214</v>
      </c>
      <c r="C133" s="16" t="s">
        <v>9130</v>
      </c>
      <c r="D133" s="16" t="s">
        <v>9368</v>
      </c>
      <c r="E133" s="16" t="s">
        <v>9146</v>
      </c>
      <c r="F133" s="16" t="s">
        <v>9367</v>
      </c>
    </row>
    <row r="134" spans="1:6" x14ac:dyDescent="0.25">
      <c r="A134" s="16" t="s">
        <v>1813</v>
      </c>
      <c r="B134" s="16" t="s">
        <v>2096</v>
      </c>
      <c r="C134" s="16" t="s">
        <v>9130</v>
      </c>
      <c r="D134" s="16" t="s">
        <v>9370</v>
      </c>
      <c r="E134" s="16" t="s">
        <v>9146</v>
      </c>
      <c r="F134" s="16" t="s">
        <v>9369</v>
      </c>
    </row>
    <row r="135" spans="1:6" x14ac:dyDescent="0.25">
      <c r="A135" s="16" t="s">
        <v>1813</v>
      </c>
      <c r="B135" s="16" t="s">
        <v>2909</v>
      </c>
      <c r="C135" s="16" t="s">
        <v>9130</v>
      </c>
      <c r="D135" s="16" t="s">
        <v>9361</v>
      </c>
      <c r="E135" s="16" t="s">
        <v>9146</v>
      </c>
      <c r="F135" s="16" t="s">
        <v>9362</v>
      </c>
    </row>
    <row r="136" spans="1:6" x14ac:dyDescent="0.25">
      <c r="A136" s="16" t="s">
        <v>1813</v>
      </c>
      <c r="B136" s="16" t="s">
        <v>3258</v>
      </c>
      <c r="C136" s="16" t="s">
        <v>9130</v>
      </c>
      <c r="D136" s="16" t="s">
        <v>9371</v>
      </c>
      <c r="E136" s="16" t="s">
        <v>9146</v>
      </c>
      <c r="F136" s="16" t="s">
        <v>9372</v>
      </c>
    </row>
    <row r="137" spans="1:6" x14ac:dyDescent="0.25">
      <c r="A137" s="16" t="s">
        <v>1813</v>
      </c>
      <c r="B137" s="16" t="s">
        <v>1821</v>
      </c>
      <c r="C137" s="16" t="s">
        <v>9130</v>
      </c>
      <c r="D137" s="16" t="s">
        <v>9352</v>
      </c>
      <c r="E137" s="16" t="s">
        <v>9146</v>
      </c>
      <c r="F137" s="16" t="s">
        <v>9350</v>
      </c>
    </row>
    <row r="138" spans="1:6" x14ac:dyDescent="0.25">
      <c r="A138" s="16" t="s">
        <v>1813</v>
      </c>
      <c r="B138" s="16" t="s">
        <v>1971</v>
      </c>
      <c r="C138" s="16" t="s">
        <v>9130</v>
      </c>
      <c r="D138" s="16" t="s">
        <v>9353</v>
      </c>
      <c r="E138" s="16" t="s">
        <v>9146</v>
      </c>
      <c r="F138" s="16" t="s">
        <v>3211</v>
      </c>
    </row>
    <row r="139" spans="1:6" x14ac:dyDescent="0.25">
      <c r="A139" s="16" t="s">
        <v>1813</v>
      </c>
      <c r="B139" s="16" t="s">
        <v>9358</v>
      </c>
      <c r="C139" s="16" t="s">
        <v>9130</v>
      </c>
      <c r="D139" s="16" t="s">
        <v>9359</v>
      </c>
      <c r="E139" s="16" t="s">
        <v>9146</v>
      </c>
      <c r="F139" s="16" t="s">
        <v>9360</v>
      </c>
    </row>
    <row r="140" spans="1:6" x14ac:dyDescent="0.25">
      <c r="A140" s="16" t="s">
        <v>1813</v>
      </c>
      <c r="B140" s="16" t="s">
        <v>4235</v>
      </c>
      <c r="C140" s="16" t="s">
        <v>9130</v>
      </c>
      <c r="D140" s="16" t="s">
        <v>9345</v>
      </c>
      <c r="E140" s="16" t="s">
        <v>9146</v>
      </c>
      <c r="F140" s="16" t="s">
        <v>9346</v>
      </c>
    </row>
    <row r="141" spans="1:6" x14ac:dyDescent="0.25">
      <c r="A141" s="16" t="s">
        <v>1813</v>
      </c>
      <c r="B141" s="16" t="s">
        <v>2702</v>
      </c>
      <c r="C141" s="16" t="s">
        <v>9130</v>
      </c>
      <c r="D141" s="16" t="s">
        <v>9343</v>
      </c>
      <c r="E141" s="16" t="s">
        <v>9146</v>
      </c>
      <c r="F141" s="16" t="s">
        <v>9344</v>
      </c>
    </row>
    <row r="142" spans="1:6" x14ac:dyDescent="0.25">
      <c r="A142" s="16" t="s">
        <v>1813</v>
      </c>
      <c r="B142" s="16" t="s">
        <v>1869</v>
      </c>
      <c r="C142" s="16" t="s">
        <v>9130</v>
      </c>
      <c r="D142" s="16" t="s">
        <v>9356</v>
      </c>
      <c r="E142" s="16" t="s">
        <v>9146</v>
      </c>
      <c r="F142" s="16" t="s">
        <v>9357</v>
      </c>
    </row>
    <row r="143" spans="1:6" x14ac:dyDescent="0.25">
      <c r="A143" s="16" t="s">
        <v>1813</v>
      </c>
      <c r="B143" s="16" t="s">
        <v>3071</v>
      </c>
      <c r="C143" s="16" t="s">
        <v>9130</v>
      </c>
      <c r="D143" s="16" t="s">
        <v>9373</v>
      </c>
      <c r="E143" s="16" t="s">
        <v>9146</v>
      </c>
      <c r="F143" s="16" t="s">
        <v>9374</v>
      </c>
    </row>
    <row r="144" spans="1:6" x14ac:dyDescent="0.25">
      <c r="A144" s="16" t="s">
        <v>1813</v>
      </c>
      <c r="B144" s="16" t="s">
        <v>1945</v>
      </c>
      <c r="C144" s="16" t="s">
        <v>9130</v>
      </c>
      <c r="D144" s="16" t="s">
        <v>9354</v>
      </c>
      <c r="E144" s="16" t="s">
        <v>9146</v>
      </c>
      <c r="F144" s="16" t="s">
        <v>9355</v>
      </c>
    </row>
    <row r="145" spans="1:6" x14ac:dyDescent="0.25">
      <c r="A145" s="16" t="s">
        <v>1813</v>
      </c>
      <c r="B145" s="16" t="s">
        <v>1587</v>
      </c>
      <c r="C145" s="16" t="s">
        <v>9130</v>
      </c>
      <c r="D145" s="16" t="s">
        <v>9077</v>
      </c>
      <c r="E145" s="16" t="s">
        <v>9146</v>
      </c>
      <c r="F145" s="16" t="s">
        <v>486</v>
      </c>
    </row>
    <row r="146" spans="1:6" x14ac:dyDescent="0.25">
      <c r="A146" s="16" t="s">
        <v>1813</v>
      </c>
      <c r="B146" s="16" t="s">
        <v>1698</v>
      </c>
      <c r="C146" s="16" t="s">
        <v>9130</v>
      </c>
      <c r="D146" s="16" t="s">
        <v>9076</v>
      </c>
      <c r="E146" s="16" t="s">
        <v>9146</v>
      </c>
      <c r="F146" s="16" t="s">
        <v>3427</v>
      </c>
    </row>
    <row r="147" spans="1:6" x14ac:dyDescent="0.25">
      <c r="A147" s="16" t="s">
        <v>1813</v>
      </c>
      <c r="B147" s="16" t="s">
        <v>5352</v>
      </c>
      <c r="C147" s="16" t="s">
        <v>9130</v>
      </c>
      <c r="D147" s="16" t="s">
        <v>9131</v>
      </c>
      <c r="E147" s="16" t="s">
        <v>9146</v>
      </c>
      <c r="F147" s="16" t="s">
        <v>4756</v>
      </c>
    </row>
    <row r="148" spans="1:6" x14ac:dyDescent="0.25">
      <c r="A148" s="16" t="s">
        <v>1582</v>
      </c>
      <c r="B148" s="16" t="s">
        <v>2019</v>
      </c>
      <c r="C148" s="16" t="s">
        <v>9131</v>
      </c>
      <c r="D148" s="16" t="s">
        <v>2019</v>
      </c>
      <c r="E148" s="16" t="s">
        <v>4756</v>
      </c>
      <c r="F148" s="16" t="s">
        <v>668</v>
      </c>
    </row>
    <row r="149" spans="1:6" x14ac:dyDescent="0.25">
      <c r="A149" s="16" t="s">
        <v>1582</v>
      </c>
      <c r="B149" s="16" t="s">
        <v>1583</v>
      </c>
      <c r="C149" s="16" t="s">
        <v>9131</v>
      </c>
      <c r="D149" s="16" t="s">
        <v>1583</v>
      </c>
      <c r="E149" s="16" t="s">
        <v>4756</v>
      </c>
      <c r="F149" s="16" t="s">
        <v>406</v>
      </c>
    </row>
    <row r="150" spans="1:6" x14ac:dyDescent="0.25">
      <c r="A150" s="16" t="s">
        <v>1582</v>
      </c>
      <c r="B150" s="16" t="s">
        <v>1845</v>
      </c>
      <c r="C150" s="16" t="s">
        <v>9131</v>
      </c>
      <c r="D150" s="16" t="s">
        <v>9326</v>
      </c>
      <c r="E150" s="16" t="s">
        <v>4756</v>
      </c>
      <c r="F150" s="16" t="s">
        <v>9327</v>
      </c>
    </row>
    <row r="151" spans="1:6" x14ac:dyDescent="0.25">
      <c r="A151" s="16" t="s">
        <v>1582</v>
      </c>
      <c r="B151" s="16" t="s">
        <v>2174</v>
      </c>
      <c r="C151" s="16" t="s">
        <v>9131</v>
      </c>
      <c r="D151" s="16" t="s">
        <v>9328</v>
      </c>
      <c r="E151" s="16" t="s">
        <v>4756</v>
      </c>
      <c r="F151" s="16" t="s">
        <v>9329</v>
      </c>
    </row>
    <row r="152" spans="1:6" x14ac:dyDescent="0.25">
      <c r="A152" s="16" t="s">
        <v>1582</v>
      </c>
      <c r="B152" s="16" t="s">
        <v>2166</v>
      </c>
      <c r="C152" s="16" t="s">
        <v>9131</v>
      </c>
      <c r="D152" s="16" t="s">
        <v>9325</v>
      </c>
      <c r="E152" s="16" t="s">
        <v>4756</v>
      </c>
      <c r="F152" s="16" t="s">
        <v>9330</v>
      </c>
    </row>
    <row r="153" spans="1:6" x14ac:dyDescent="0.25">
      <c r="A153" s="16" t="s">
        <v>1582</v>
      </c>
      <c r="B153" s="16" t="s">
        <v>8705</v>
      </c>
      <c r="C153" s="16" t="s">
        <v>9131</v>
      </c>
      <c r="D153" s="16" t="s">
        <v>9334</v>
      </c>
      <c r="E153" s="16" t="s">
        <v>4756</v>
      </c>
      <c r="F153" s="16" t="s">
        <v>9333</v>
      </c>
    </row>
    <row r="154" spans="1:6" x14ac:dyDescent="0.25">
      <c r="A154" s="16" t="s">
        <v>1582</v>
      </c>
      <c r="B154" s="16" t="s">
        <v>2162</v>
      </c>
      <c r="C154" s="16" t="s">
        <v>9131</v>
      </c>
      <c r="D154" s="16" t="s">
        <v>9331</v>
      </c>
      <c r="E154" s="16" t="s">
        <v>4756</v>
      </c>
      <c r="F154" s="16" t="s">
        <v>9332</v>
      </c>
    </row>
    <row r="155" spans="1:6" x14ac:dyDescent="0.25">
      <c r="A155" s="16" t="s">
        <v>1582</v>
      </c>
      <c r="B155" s="16" t="s">
        <v>5353</v>
      </c>
      <c r="C155" s="16" t="s">
        <v>9131</v>
      </c>
      <c r="D155" s="16" t="s">
        <v>9335</v>
      </c>
      <c r="E155" s="16" t="s">
        <v>4756</v>
      </c>
      <c r="F155" s="16" t="s">
        <v>485</v>
      </c>
    </row>
    <row r="156" spans="1:6" x14ac:dyDescent="0.25">
      <c r="A156" s="16" t="s">
        <v>1582</v>
      </c>
      <c r="B156" s="16" t="s">
        <v>2010</v>
      </c>
      <c r="C156" s="16" t="s">
        <v>9131</v>
      </c>
      <c r="D156" s="16" t="s">
        <v>9337</v>
      </c>
      <c r="E156" s="16" t="s">
        <v>4756</v>
      </c>
      <c r="F156" s="16" t="s">
        <v>9336</v>
      </c>
    </row>
    <row r="157" spans="1:6" x14ac:dyDescent="0.25">
      <c r="A157" s="16" t="s">
        <v>1582</v>
      </c>
      <c r="B157" s="16" t="s">
        <v>5142</v>
      </c>
      <c r="C157" s="16" t="s">
        <v>9131</v>
      </c>
      <c r="D157" s="16" t="s">
        <v>9338</v>
      </c>
      <c r="E157" s="16" t="s">
        <v>4756</v>
      </c>
      <c r="F157" s="16" t="s">
        <v>566</v>
      </c>
    </row>
    <row r="158" spans="1:6" x14ac:dyDescent="0.25">
      <c r="A158" s="16" t="s">
        <v>1582</v>
      </c>
      <c r="B158" s="16" t="s">
        <v>2084</v>
      </c>
      <c r="C158" s="16" t="s">
        <v>9131</v>
      </c>
      <c r="D158" s="16" t="s">
        <v>9339</v>
      </c>
      <c r="E158" s="16" t="s">
        <v>4756</v>
      </c>
      <c r="F158" s="16" t="s">
        <v>9340</v>
      </c>
    </row>
    <row r="159" spans="1:6" x14ac:dyDescent="0.25">
      <c r="A159" s="16" t="s">
        <v>1582</v>
      </c>
      <c r="B159" s="16" t="s">
        <v>3134</v>
      </c>
      <c r="C159" s="16" t="s">
        <v>9131</v>
      </c>
      <c r="D159" s="16" t="s">
        <v>9149</v>
      </c>
      <c r="E159" s="16" t="s">
        <v>4756</v>
      </c>
      <c r="F159" s="16" t="s">
        <v>9150</v>
      </c>
    </row>
    <row r="160" spans="1:6" x14ac:dyDescent="0.25">
      <c r="A160" s="16" t="s">
        <v>1582</v>
      </c>
      <c r="B160" s="16" t="s">
        <v>1587</v>
      </c>
      <c r="C160" s="16" t="s">
        <v>9131</v>
      </c>
      <c r="D160" s="16" t="s">
        <v>9077</v>
      </c>
      <c r="E160" s="16" t="s">
        <v>4756</v>
      </c>
      <c r="F160" s="16" t="s">
        <v>486</v>
      </c>
    </row>
    <row r="161" spans="1:6" x14ac:dyDescent="0.25">
      <c r="A161" s="16" t="s">
        <v>1582</v>
      </c>
      <c r="B161" s="16" t="s">
        <v>5352</v>
      </c>
      <c r="C161" s="16" t="s">
        <v>9131</v>
      </c>
      <c r="D161" s="16" t="s">
        <v>9131</v>
      </c>
      <c r="E161" s="16" t="s">
        <v>4756</v>
      </c>
      <c r="F161" s="16" t="s">
        <v>4756</v>
      </c>
    </row>
    <row r="162" spans="1:6" x14ac:dyDescent="0.25">
      <c r="A162" s="16" t="s">
        <v>1580</v>
      </c>
      <c r="B162" s="16" t="s">
        <v>2165</v>
      </c>
      <c r="C162" s="16" t="s">
        <v>9123</v>
      </c>
      <c r="D162" s="16" t="s">
        <v>9135</v>
      </c>
      <c r="E162" s="16" t="s">
        <v>907</v>
      </c>
      <c r="F162" s="16" t="s">
        <v>9089</v>
      </c>
    </row>
    <row r="163" spans="1:6" x14ac:dyDescent="0.25">
      <c r="A163" s="16" t="s">
        <v>1580</v>
      </c>
      <c r="B163" s="16" t="s">
        <v>1827</v>
      </c>
      <c r="C163" s="16" t="s">
        <v>9123</v>
      </c>
      <c r="D163" s="16" t="s">
        <v>1827</v>
      </c>
      <c r="E163" s="16" t="s">
        <v>907</v>
      </c>
      <c r="F163" s="16" t="s">
        <v>9088</v>
      </c>
    </row>
    <row r="164" spans="1:6" x14ac:dyDescent="0.25">
      <c r="A164" s="16" t="s">
        <v>1580</v>
      </c>
      <c r="B164" s="16" t="s">
        <v>1590</v>
      </c>
      <c r="C164" s="16" t="s">
        <v>9123</v>
      </c>
      <c r="D164" s="16" t="s">
        <v>9341</v>
      </c>
      <c r="E164" s="16" t="s">
        <v>907</v>
      </c>
      <c r="F164" s="16" t="s">
        <v>9342</v>
      </c>
    </row>
    <row r="165" spans="1:6" x14ac:dyDescent="0.25">
      <c r="A165" s="16" t="s">
        <v>1580</v>
      </c>
      <c r="B165" s="16" t="s">
        <v>1581</v>
      </c>
      <c r="C165" s="16" t="s">
        <v>9123</v>
      </c>
      <c r="D165" s="16" t="s">
        <v>9127</v>
      </c>
      <c r="E165" s="16" t="s">
        <v>907</v>
      </c>
      <c r="F165" s="16" t="s">
        <v>9086</v>
      </c>
    </row>
    <row r="166" spans="1:6" x14ac:dyDescent="0.25">
      <c r="A166" s="16" t="s">
        <v>1580</v>
      </c>
      <c r="B166" s="16" t="s">
        <v>1694</v>
      </c>
      <c r="C166" s="16" t="s">
        <v>9123</v>
      </c>
      <c r="D166" s="16" t="s">
        <v>9126</v>
      </c>
      <c r="E166" s="16" t="s">
        <v>907</v>
      </c>
      <c r="F166" s="16" t="s">
        <v>9085</v>
      </c>
    </row>
    <row r="167" spans="1:6" x14ac:dyDescent="0.25">
      <c r="A167" s="16" t="s">
        <v>1580</v>
      </c>
      <c r="B167" s="16" t="s">
        <v>5016</v>
      </c>
      <c r="C167" s="16" t="s">
        <v>9123</v>
      </c>
      <c r="D167" s="16" t="s">
        <v>9198</v>
      </c>
      <c r="E167" s="16" t="s">
        <v>907</v>
      </c>
      <c r="F167" s="16" t="s">
        <v>9087</v>
      </c>
    </row>
    <row r="168" spans="1:6" x14ac:dyDescent="0.25">
      <c r="A168" s="16" t="s">
        <v>1580</v>
      </c>
      <c r="B168" s="16" t="s">
        <v>4288</v>
      </c>
      <c r="C168" s="16" t="s">
        <v>9123</v>
      </c>
      <c r="D168" s="16" t="s">
        <v>9199</v>
      </c>
      <c r="E168" s="16" t="s">
        <v>907</v>
      </c>
      <c r="F168" s="16" t="s">
        <v>9084</v>
      </c>
    </row>
    <row r="169" spans="1:6" x14ac:dyDescent="0.25">
      <c r="A169" s="16" t="s">
        <v>1580</v>
      </c>
      <c r="B169" s="16" t="s">
        <v>2057</v>
      </c>
      <c r="C169" s="16" t="s">
        <v>9123</v>
      </c>
      <c r="D169" s="16" t="s">
        <v>9124</v>
      </c>
      <c r="E169" s="16" t="s">
        <v>907</v>
      </c>
      <c r="F169" s="16" t="s">
        <v>434</v>
      </c>
    </row>
    <row r="170" spans="1:6" x14ac:dyDescent="0.25">
      <c r="A170" s="16" t="s">
        <v>1580</v>
      </c>
      <c r="B170" s="16" t="s">
        <v>1593</v>
      </c>
      <c r="C170" s="16" t="s">
        <v>9123</v>
      </c>
      <c r="D170" s="16" t="s">
        <v>9125</v>
      </c>
      <c r="E170" s="16" t="s">
        <v>907</v>
      </c>
      <c r="F170" s="16" t="s">
        <v>545</v>
      </c>
    </row>
    <row r="171" spans="1:6" x14ac:dyDescent="0.25">
      <c r="A171" s="16" t="s">
        <v>1580</v>
      </c>
      <c r="B171" s="16" t="s">
        <v>1698</v>
      </c>
      <c r="C171" s="16" t="s">
        <v>9123</v>
      </c>
      <c r="D171" s="16" t="s">
        <v>9076</v>
      </c>
      <c r="E171" s="16" t="s">
        <v>907</v>
      </c>
      <c r="F171" s="16" t="s">
        <v>3427</v>
      </c>
    </row>
    <row r="172" spans="1:6" x14ac:dyDescent="0.25">
      <c r="A172" s="16" t="s">
        <v>1580</v>
      </c>
      <c r="B172" s="16" t="s">
        <v>1587</v>
      </c>
      <c r="C172" s="16" t="s">
        <v>9123</v>
      </c>
      <c r="D172" s="16" t="s">
        <v>9077</v>
      </c>
      <c r="E172" s="16" t="s">
        <v>907</v>
      </c>
      <c r="F172" s="16" t="s">
        <v>486</v>
      </c>
    </row>
    <row r="173" spans="1:6" x14ac:dyDescent="0.25">
      <c r="A173" s="16" t="s">
        <v>1580</v>
      </c>
      <c r="B173" s="16" t="s">
        <v>5352</v>
      </c>
      <c r="C173" s="16" t="s">
        <v>9123</v>
      </c>
      <c r="D173" s="16" t="s">
        <v>9131</v>
      </c>
      <c r="E173" s="16" t="s">
        <v>907</v>
      </c>
      <c r="F173" s="16" t="s">
        <v>4756</v>
      </c>
    </row>
  </sheetData>
  <autoFilter ref="A1:F1" xr:uid="{670236A4-ABDB-4A71-86FE-7D7CC254954C}"/>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3B0BC-8637-4437-8351-F55AE507BCA3}">
  <dimension ref="A1:J347"/>
  <sheetViews>
    <sheetView showGridLines="0" zoomScaleNormal="100" workbookViewId="0">
      <pane ySplit="1" topLeftCell="A2" activePane="bottomLeft" state="frozen"/>
      <selection pane="bottomLeft" activeCell="I27" sqref="I27"/>
    </sheetView>
  </sheetViews>
  <sheetFormatPr defaultRowHeight="15" x14ac:dyDescent="0.25"/>
  <cols>
    <col min="1" max="1" width="13.85546875" bestFit="1" customWidth="1"/>
    <col min="2" max="2" width="10.28515625" customWidth="1"/>
    <col min="3" max="3" width="10" customWidth="1"/>
    <col min="4" max="4" width="21.28515625" customWidth="1"/>
    <col min="5" max="5" width="16.7109375" bestFit="1" customWidth="1"/>
    <col min="6" max="6" width="7.7109375" customWidth="1"/>
    <col min="7" max="7" width="8.140625" customWidth="1"/>
    <col min="8" max="8" width="10.5703125" bestFit="1" customWidth="1"/>
    <col min="9" max="9" width="18.7109375" customWidth="1"/>
    <col min="10" max="10" width="46.28515625" customWidth="1"/>
  </cols>
  <sheetData>
    <row r="1" spans="1:10" ht="23.25" customHeight="1" thickBot="1" x14ac:dyDescent="0.3">
      <c r="A1" s="23" t="s">
        <v>7292</v>
      </c>
      <c r="B1" s="23" t="s">
        <v>7293</v>
      </c>
      <c r="C1" s="23" t="s">
        <v>7294</v>
      </c>
      <c r="D1" s="24" t="s">
        <v>7295</v>
      </c>
      <c r="E1" s="23" t="s">
        <v>7296</v>
      </c>
      <c r="F1" s="23" t="s">
        <v>7297</v>
      </c>
      <c r="G1" s="23" t="s">
        <v>7188</v>
      </c>
      <c r="H1" s="23" t="s">
        <v>7189</v>
      </c>
      <c r="I1" s="23" t="s">
        <v>7298</v>
      </c>
      <c r="J1" s="23" t="s">
        <v>7299</v>
      </c>
    </row>
    <row r="2" spans="1:10" x14ac:dyDescent="0.25">
      <c r="A2" s="16" t="s">
        <v>7300</v>
      </c>
      <c r="B2" s="16" t="s">
        <v>3125</v>
      </c>
      <c r="C2" s="16" t="s">
        <v>1575</v>
      </c>
      <c r="D2" s="16" t="s">
        <v>2219</v>
      </c>
      <c r="E2" s="16" t="s">
        <v>7301</v>
      </c>
      <c r="F2" s="16" t="s">
        <v>1575</v>
      </c>
      <c r="G2" s="19" t="s">
        <v>1597</v>
      </c>
      <c r="H2" s="19" t="s">
        <v>3028</v>
      </c>
      <c r="I2" s="25" t="s">
        <v>7302</v>
      </c>
      <c r="J2" s="25" t="s">
        <v>7303</v>
      </c>
    </row>
    <row r="3" spans="1:10" x14ac:dyDescent="0.25">
      <c r="A3" s="16" t="s">
        <v>7304</v>
      </c>
      <c r="B3" s="16" t="s">
        <v>7305</v>
      </c>
      <c r="C3" s="16" t="s">
        <v>1575</v>
      </c>
      <c r="D3" s="16" t="s">
        <v>2396</v>
      </c>
      <c r="E3" s="16" t="s">
        <v>7306</v>
      </c>
      <c r="F3" s="16" t="s">
        <v>1575</v>
      </c>
      <c r="G3" s="19" t="s">
        <v>1597</v>
      </c>
      <c r="H3" s="19" t="s">
        <v>1662</v>
      </c>
      <c r="I3" s="25" t="s">
        <v>7307</v>
      </c>
      <c r="J3" s="25" t="s">
        <v>7308</v>
      </c>
    </row>
    <row r="4" spans="1:10" x14ac:dyDescent="0.25">
      <c r="A4" s="16" t="s">
        <v>7309</v>
      </c>
      <c r="B4" s="16" t="s">
        <v>7310</v>
      </c>
      <c r="C4" s="16" t="s">
        <v>1575</v>
      </c>
      <c r="D4" s="16" t="s">
        <v>2397</v>
      </c>
      <c r="E4" s="16" t="s">
        <v>7311</v>
      </c>
      <c r="F4" s="16" t="s">
        <v>1575</v>
      </c>
      <c r="G4" s="19" t="s">
        <v>1597</v>
      </c>
      <c r="H4" s="19" t="s">
        <v>3028</v>
      </c>
      <c r="I4" s="25" t="s">
        <v>7312</v>
      </c>
      <c r="J4" s="25" t="s">
        <v>7313</v>
      </c>
    </row>
    <row r="5" spans="1:10" x14ac:dyDescent="0.25">
      <c r="A5" s="16" t="s">
        <v>7314</v>
      </c>
      <c r="B5" s="16" t="s">
        <v>7315</v>
      </c>
      <c r="C5" s="16" t="s">
        <v>7316</v>
      </c>
      <c r="D5" s="16" t="s">
        <v>5747</v>
      </c>
      <c r="E5" s="16" t="s">
        <v>7317</v>
      </c>
      <c r="F5" s="16" t="s">
        <v>1575</v>
      </c>
      <c r="G5" s="19" t="s">
        <v>1597</v>
      </c>
      <c r="H5" s="19" t="s">
        <v>3028</v>
      </c>
      <c r="I5" s="25" t="s">
        <v>7318</v>
      </c>
      <c r="J5" s="25" t="s">
        <v>7319</v>
      </c>
    </row>
    <row r="6" spans="1:10" x14ac:dyDescent="0.25">
      <c r="A6" s="16" t="s">
        <v>7320</v>
      </c>
      <c r="B6" s="16" t="s">
        <v>7321</v>
      </c>
      <c r="C6" s="16" t="s">
        <v>7322</v>
      </c>
      <c r="D6" s="16" t="s">
        <v>3284</v>
      </c>
      <c r="E6" s="16" t="s">
        <v>7323</v>
      </c>
      <c r="F6" s="16" t="s">
        <v>3125</v>
      </c>
      <c r="G6" s="19" t="s">
        <v>1597</v>
      </c>
      <c r="H6" s="19" t="s">
        <v>3028</v>
      </c>
      <c r="I6" s="25" t="s">
        <v>7324</v>
      </c>
      <c r="J6" s="25" t="s">
        <v>7325</v>
      </c>
    </row>
    <row r="7" spans="1:10" x14ac:dyDescent="0.25">
      <c r="A7" s="16" t="s">
        <v>7326</v>
      </c>
      <c r="B7" s="16" t="s">
        <v>7327</v>
      </c>
      <c r="C7" s="16" t="s">
        <v>7328</v>
      </c>
      <c r="D7" s="16" t="s">
        <v>3285</v>
      </c>
      <c r="E7" s="16" t="s">
        <v>7329</v>
      </c>
      <c r="F7" s="16" t="s">
        <v>1575</v>
      </c>
      <c r="G7" s="19" t="s">
        <v>1597</v>
      </c>
      <c r="H7" s="19" t="s">
        <v>3028</v>
      </c>
      <c r="I7" s="25" t="s">
        <v>7330</v>
      </c>
      <c r="J7" s="25" t="s">
        <v>7331</v>
      </c>
    </row>
    <row r="8" spans="1:10" x14ac:dyDescent="0.25">
      <c r="A8" s="16" t="s">
        <v>7332</v>
      </c>
      <c r="B8" s="16" t="s">
        <v>1664</v>
      </c>
      <c r="C8" s="16" t="s">
        <v>1575</v>
      </c>
      <c r="D8" s="16" t="s">
        <v>5712</v>
      </c>
      <c r="E8" s="16" t="s">
        <v>7333</v>
      </c>
      <c r="F8" s="16" t="s">
        <v>1575</v>
      </c>
      <c r="G8" s="19" t="s">
        <v>1597</v>
      </c>
      <c r="H8" s="19" t="s">
        <v>1662</v>
      </c>
      <c r="I8" s="25" t="s">
        <v>7334</v>
      </c>
      <c r="J8" s="25" t="s">
        <v>7335</v>
      </c>
    </row>
    <row r="9" spans="1:10" x14ac:dyDescent="0.25">
      <c r="A9" s="16" t="s">
        <v>7336</v>
      </c>
      <c r="B9" s="16" t="s">
        <v>7337</v>
      </c>
      <c r="C9" s="16" t="s">
        <v>1575</v>
      </c>
      <c r="D9" s="16" t="s">
        <v>7338</v>
      </c>
      <c r="E9" s="16" t="s">
        <v>7339</v>
      </c>
      <c r="F9" s="16" t="s">
        <v>1575</v>
      </c>
      <c r="G9" s="19" t="s">
        <v>1597</v>
      </c>
      <c r="H9" s="19" t="s">
        <v>1662</v>
      </c>
      <c r="I9" s="25" t="s">
        <v>7340</v>
      </c>
      <c r="J9" s="25" t="s">
        <v>7341</v>
      </c>
    </row>
    <row r="10" spans="1:10" x14ac:dyDescent="0.25">
      <c r="A10" s="16" t="s">
        <v>7342</v>
      </c>
      <c r="B10" s="16" t="s">
        <v>7343</v>
      </c>
      <c r="C10" s="16" t="s">
        <v>1575</v>
      </c>
      <c r="D10" s="16" t="s">
        <v>1675</v>
      </c>
      <c r="E10" s="16" t="s">
        <v>7344</v>
      </c>
      <c r="F10" s="16" t="s">
        <v>7305</v>
      </c>
      <c r="G10" s="19" t="s">
        <v>1597</v>
      </c>
      <c r="H10" s="19" t="s">
        <v>3028</v>
      </c>
      <c r="I10" s="25" t="s">
        <v>7345</v>
      </c>
      <c r="J10" s="25" t="s">
        <v>7346</v>
      </c>
    </row>
    <row r="11" spans="1:10" x14ac:dyDescent="0.25">
      <c r="A11" s="16" t="s">
        <v>7347</v>
      </c>
      <c r="B11" s="16" t="s">
        <v>4245</v>
      </c>
      <c r="C11" s="16" t="s">
        <v>1575</v>
      </c>
      <c r="D11" s="16" t="s">
        <v>1676</v>
      </c>
      <c r="E11" s="16" t="s">
        <v>7348</v>
      </c>
      <c r="F11" s="16" t="s">
        <v>4229</v>
      </c>
      <c r="G11" s="19" t="s">
        <v>1597</v>
      </c>
      <c r="H11" s="19" t="s">
        <v>3028</v>
      </c>
      <c r="I11" s="25" t="s">
        <v>7349</v>
      </c>
      <c r="J11" s="25" t="s">
        <v>7350</v>
      </c>
    </row>
    <row r="12" spans="1:10" x14ac:dyDescent="0.25">
      <c r="A12" s="16" t="s">
        <v>7351</v>
      </c>
      <c r="B12" s="16" t="s">
        <v>1575</v>
      </c>
      <c r="C12" s="16" t="s">
        <v>7352</v>
      </c>
      <c r="D12" s="16" t="s">
        <v>4432</v>
      </c>
      <c r="E12" s="16" t="s">
        <v>7353</v>
      </c>
      <c r="F12" s="16" t="s">
        <v>1575</v>
      </c>
      <c r="G12" s="19" t="s">
        <v>1597</v>
      </c>
      <c r="H12" s="19" t="s">
        <v>4429</v>
      </c>
      <c r="I12" s="25" t="s">
        <v>7354</v>
      </c>
      <c r="J12" s="25" t="s">
        <v>7355</v>
      </c>
    </row>
    <row r="13" spans="1:10" x14ac:dyDescent="0.25">
      <c r="A13" s="16" t="s">
        <v>7356</v>
      </c>
      <c r="B13" s="16" t="s">
        <v>7357</v>
      </c>
      <c r="C13" s="16" t="s">
        <v>1575</v>
      </c>
      <c r="D13" s="16" t="s">
        <v>5729</v>
      </c>
      <c r="E13" s="16" t="s">
        <v>7358</v>
      </c>
      <c r="F13" s="16" t="s">
        <v>1575</v>
      </c>
      <c r="G13" s="19" t="s">
        <v>1597</v>
      </c>
      <c r="H13" s="19" t="s">
        <v>3028</v>
      </c>
      <c r="I13" s="25" t="s">
        <v>7359</v>
      </c>
      <c r="J13" s="25" t="s">
        <v>7360</v>
      </c>
    </row>
    <row r="14" spans="1:10" x14ac:dyDescent="0.25">
      <c r="A14" s="16" t="s">
        <v>7361</v>
      </c>
      <c r="B14" s="16" t="s">
        <v>7362</v>
      </c>
      <c r="C14" s="16" t="s">
        <v>7363</v>
      </c>
      <c r="D14" s="16" t="s">
        <v>7364</v>
      </c>
      <c r="E14" s="16" t="s">
        <v>7365</v>
      </c>
      <c r="F14" s="16" t="s">
        <v>7357</v>
      </c>
      <c r="G14" s="19" t="s">
        <v>1597</v>
      </c>
      <c r="H14" s="19" t="s">
        <v>1660</v>
      </c>
      <c r="I14" s="25" t="s">
        <v>7366</v>
      </c>
      <c r="J14" s="25" t="s">
        <v>7367</v>
      </c>
    </row>
    <row r="15" spans="1:10" x14ac:dyDescent="0.25">
      <c r="A15" s="16" t="s">
        <v>7368</v>
      </c>
      <c r="B15" s="16" t="s">
        <v>7369</v>
      </c>
      <c r="C15" s="16" t="s">
        <v>7370</v>
      </c>
      <c r="D15" s="16" t="s">
        <v>7371</v>
      </c>
      <c r="E15" s="16" t="s">
        <v>7372</v>
      </c>
      <c r="F15" s="16" t="s">
        <v>1575</v>
      </c>
      <c r="G15" s="19" t="s">
        <v>1597</v>
      </c>
      <c r="H15" s="19" t="s">
        <v>1660</v>
      </c>
      <c r="I15" s="25" t="s">
        <v>7373</v>
      </c>
      <c r="J15" s="25" t="s">
        <v>7374</v>
      </c>
    </row>
    <row r="16" spans="1:10" x14ac:dyDescent="0.25">
      <c r="A16" s="16" t="s">
        <v>7375</v>
      </c>
      <c r="B16" s="16" t="s">
        <v>7376</v>
      </c>
      <c r="C16" s="16" t="s">
        <v>7377</v>
      </c>
      <c r="D16" s="16" t="s">
        <v>7378</v>
      </c>
      <c r="E16" s="16" t="s">
        <v>7379</v>
      </c>
      <c r="F16" s="16" t="s">
        <v>7357</v>
      </c>
      <c r="G16" s="19" t="s">
        <v>1597</v>
      </c>
      <c r="H16" s="19" t="s">
        <v>1699</v>
      </c>
      <c r="I16" s="25" t="s">
        <v>7380</v>
      </c>
      <c r="J16" s="25" t="s">
        <v>7381</v>
      </c>
    </row>
    <row r="17" spans="1:10" x14ac:dyDescent="0.25">
      <c r="A17" s="16" t="s">
        <v>7382</v>
      </c>
      <c r="B17" s="16" t="s">
        <v>7383</v>
      </c>
      <c r="C17" s="16" t="s">
        <v>7384</v>
      </c>
      <c r="D17" s="16" t="s">
        <v>7385</v>
      </c>
      <c r="E17" s="16" t="s">
        <v>7386</v>
      </c>
      <c r="F17" s="16" t="s">
        <v>3125</v>
      </c>
      <c r="G17" s="19" t="s">
        <v>1597</v>
      </c>
      <c r="H17" s="19" t="s">
        <v>1699</v>
      </c>
      <c r="I17" s="25" t="s">
        <v>7387</v>
      </c>
      <c r="J17" s="25" t="s">
        <v>7388</v>
      </c>
    </row>
    <row r="18" spans="1:10" x14ac:dyDescent="0.25">
      <c r="A18" s="16" t="s">
        <v>7389</v>
      </c>
      <c r="B18" s="16" t="s">
        <v>7390</v>
      </c>
      <c r="C18" s="16" t="s">
        <v>7391</v>
      </c>
      <c r="D18" s="16" t="s">
        <v>7392</v>
      </c>
      <c r="E18" s="16" t="s">
        <v>7393</v>
      </c>
      <c r="F18" s="16" t="s">
        <v>3125</v>
      </c>
      <c r="G18" s="19" t="s">
        <v>1597</v>
      </c>
      <c r="H18" s="19" t="s">
        <v>1699</v>
      </c>
      <c r="I18" s="16" t="s">
        <v>1575</v>
      </c>
      <c r="J18" s="25" t="s">
        <v>7394</v>
      </c>
    </row>
    <row r="19" spans="1:10" x14ac:dyDescent="0.25">
      <c r="A19" s="16" t="s">
        <v>7395</v>
      </c>
      <c r="B19" s="16" t="s">
        <v>7396</v>
      </c>
      <c r="C19" s="16" t="s">
        <v>7397</v>
      </c>
      <c r="D19" s="16" t="s">
        <v>7398</v>
      </c>
      <c r="E19" s="16" t="s">
        <v>7399</v>
      </c>
      <c r="F19" s="16" t="s">
        <v>4245</v>
      </c>
      <c r="G19" s="19" t="s">
        <v>1597</v>
      </c>
      <c r="H19" s="19" t="s">
        <v>1660</v>
      </c>
      <c r="I19" s="25" t="s">
        <v>7400</v>
      </c>
      <c r="J19" s="25" t="s">
        <v>7401</v>
      </c>
    </row>
    <row r="20" spans="1:10" x14ac:dyDescent="0.25">
      <c r="A20" s="16" t="s">
        <v>7402</v>
      </c>
      <c r="B20" s="16" t="s">
        <v>7403</v>
      </c>
      <c r="C20" s="16" t="s">
        <v>7404</v>
      </c>
      <c r="D20" s="16" t="s">
        <v>7405</v>
      </c>
      <c r="E20" s="16" t="s">
        <v>7406</v>
      </c>
      <c r="F20" s="16" t="s">
        <v>3125</v>
      </c>
      <c r="G20" s="19" t="s">
        <v>1597</v>
      </c>
      <c r="H20" s="19" t="s">
        <v>1699</v>
      </c>
      <c r="I20" s="16" t="s">
        <v>1575</v>
      </c>
      <c r="J20" s="25" t="s">
        <v>7407</v>
      </c>
    </row>
    <row r="21" spans="1:10" x14ac:dyDescent="0.25">
      <c r="A21" s="16" t="s">
        <v>7408</v>
      </c>
      <c r="B21" s="16" t="s">
        <v>7409</v>
      </c>
      <c r="C21" s="16" t="s">
        <v>7410</v>
      </c>
      <c r="D21" s="16" t="s">
        <v>7411</v>
      </c>
      <c r="E21" s="16" t="s">
        <v>7412</v>
      </c>
      <c r="F21" s="16" t="s">
        <v>3125</v>
      </c>
      <c r="G21" s="19" t="s">
        <v>1597</v>
      </c>
      <c r="H21" s="19" t="s">
        <v>1699</v>
      </c>
      <c r="I21" s="16" t="s">
        <v>1575</v>
      </c>
      <c r="J21" s="25" t="s">
        <v>7413</v>
      </c>
    </row>
    <row r="22" spans="1:10" x14ac:dyDescent="0.25">
      <c r="A22" s="16" t="s">
        <v>7414</v>
      </c>
      <c r="B22" s="16" t="s">
        <v>7415</v>
      </c>
      <c r="C22" s="16" t="s">
        <v>7416</v>
      </c>
      <c r="D22" s="16" t="s">
        <v>7417</v>
      </c>
      <c r="E22" s="16" t="s">
        <v>7418</v>
      </c>
      <c r="F22" s="16" t="s">
        <v>3125</v>
      </c>
      <c r="G22" s="19" t="s">
        <v>1597</v>
      </c>
      <c r="H22" s="19" t="s">
        <v>1699</v>
      </c>
      <c r="I22" s="16" t="s">
        <v>1575</v>
      </c>
      <c r="J22" s="25" t="s">
        <v>7419</v>
      </c>
    </row>
    <row r="23" spans="1:10" x14ac:dyDescent="0.25">
      <c r="A23" s="16" t="s">
        <v>7420</v>
      </c>
      <c r="B23" s="16" t="s">
        <v>7421</v>
      </c>
      <c r="C23" s="16" t="s">
        <v>1575</v>
      </c>
      <c r="D23" s="16" t="s">
        <v>5167</v>
      </c>
      <c r="E23" s="16" t="s">
        <v>7422</v>
      </c>
      <c r="F23" s="16" t="s">
        <v>1575</v>
      </c>
      <c r="G23" s="19" t="s">
        <v>1597</v>
      </c>
      <c r="H23" s="19" t="s">
        <v>1699</v>
      </c>
      <c r="I23" s="25" t="s">
        <v>7423</v>
      </c>
      <c r="J23" s="25" t="s">
        <v>7424</v>
      </c>
    </row>
    <row r="24" spans="1:10" x14ac:dyDescent="0.25">
      <c r="A24" s="16" t="s">
        <v>7425</v>
      </c>
      <c r="B24" s="16" t="s">
        <v>7426</v>
      </c>
      <c r="C24" s="16" t="s">
        <v>1575</v>
      </c>
      <c r="D24" s="16" t="s">
        <v>7427</v>
      </c>
      <c r="E24" s="16" t="s">
        <v>7428</v>
      </c>
      <c r="F24" s="16" t="s">
        <v>7305</v>
      </c>
      <c r="G24" s="19" t="s">
        <v>1597</v>
      </c>
      <c r="H24" s="19" t="s">
        <v>1666</v>
      </c>
      <c r="I24" s="25" t="s">
        <v>7429</v>
      </c>
      <c r="J24" s="25" t="s">
        <v>7430</v>
      </c>
    </row>
    <row r="25" spans="1:10" x14ac:dyDescent="0.25">
      <c r="A25" s="16" t="s">
        <v>7431</v>
      </c>
      <c r="B25" s="16" t="s">
        <v>3173</v>
      </c>
      <c r="C25" s="16" t="s">
        <v>7432</v>
      </c>
      <c r="D25" s="16" t="s">
        <v>2220</v>
      </c>
      <c r="E25" s="16" t="s">
        <v>7433</v>
      </c>
      <c r="F25" s="16" t="s">
        <v>3125</v>
      </c>
      <c r="G25" s="19" t="s">
        <v>1597</v>
      </c>
      <c r="H25" s="19" t="s">
        <v>3028</v>
      </c>
      <c r="I25" s="16" t="s">
        <v>1575</v>
      </c>
      <c r="J25" s="25" t="s">
        <v>7434</v>
      </c>
    </row>
    <row r="26" spans="1:10" x14ac:dyDescent="0.25">
      <c r="A26" s="16" t="s">
        <v>7435</v>
      </c>
      <c r="B26" s="16" t="s">
        <v>7436</v>
      </c>
      <c r="C26" s="16" t="s">
        <v>1575</v>
      </c>
      <c r="D26" s="16" t="s">
        <v>7437</v>
      </c>
      <c r="E26" s="16" t="s">
        <v>7438</v>
      </c>
      <c r="F26" s="16" t="s">
        <v>3125</v>
      </c>
      <c r="G26" s="19" t="s">
        <v>1597</v>
      </c>
      <c r="H26" s="19" t="s">
        <v>7439</v>
      </c>
      <c r="I26" s="16" t="s">
        <v>1575</v>
      </c>
      <c r="J26" s="25" t="s">
        <v>7440</v>
      </c>
    </row>
    <row r="27" spans="1:10" x14ac:dyDescent="0.25">
      <c r="A27" s="16" t="s">
        <v>7441</v>
      </c>
      <c r="B27" s="16" t="s">
        <v>7442</v>
      </c>
      <c r="C27" s="16" t="s">
        <v>1575</v>
      </c>
      <c r="D27" s="16" t="s">
        <v>570</v>
      </c>
      <c r="E27" s="16" t="s">
        <v>7443</v>
      </c>
      <c r="F27" s="16" t="s">
        <v>1575</v>
      </c>
      <c r="G27" s="19" t="s">
        <v>1689</v>
      </c>
      <c r="H27" s="19" t="s">
        <v>1761</v>
      </c>
      <c r="I27" s="25" t="s">
        <v>7444</v>
      </c>
      <c r="J27" s="25" t="s">
        <v>7445</v>
      </c>
    </row>
    <row r="28" spans="1:10" x14ac:dyDescent="0.25">
      <c r="A28" s="16" t="s">
        <v>7446</v>
      </c>
      <c r="B28" s="16" t="s">
        <v>5354</v>
      </c>
      <c r="C28" s="16" t="s">
        <v>7447</v>
      </c>
      <c r="D28" s="16" t="s">
        <v>7448</v>
      </c>
      <c r="E28" s="16" t="s">
        <v>7449</v>
      </c>
      <c r="F28" s="16" t="s">
        <v>7442</v>
      </c>
      <c r="G28" s="19" t="s">
        <v>1689</v>
      </c>
      <c r="H28" s="19" t="s">
        <v>3026</v>
      </c>
      <c r="I28" s="25" t="s">
        <v>7444</v>
      </c>
      <c r="J28" s="25" t="s">
        <v>7450</v>
      </c>
    </row>
    <row r="29" spans="1:10" x14ac:dyDescent="0.25">
      <c r="A29" s="16" t="s">
        <v>7451</v>
      </c>
      <c r="B29" s="16" t="s">
        <v>7452</v>
      </c>
      <c r="C29" s="16" t="s">
        <v>1575</v>
      </c>
      <c r="D29" s="16" t="s">
        <v>581</v>
      </c>
      <c r="E29" s="16" t="s">
        <v>7453</v>
      </c>
      <c r="F29" s="16" t="s">
        <v>1575</v>
      </c>
      <c r="G29" s="19" t="s">
        <v>1689</v>
      </c>
      <c r="H29" s="19" t="s">
        <v>1690</v>
      </c>
      <c r="I29" s="25" t="s">
        <v>7454</v>
      </c>
      <c r="J29" s="25" t="s">
        <v>7455</v>
      </c>
    </row>
    <row r="30" spans="1:10" x14ac:dyDescent="0.25">
      <c r="A30" s="16" t="s">
        <v>7456</v>
      </c>
      <c r="B30" s="16" t="s">
        <v>7457</v>
      </c>
      <c r="C30" s="16" t="s">
        <v>7458</v>
      </c>
      <c r="D30" s="16" t="s">
        <v>580</v>
      </c>
      <c r="E30" s="16" t="s">
        <v>7459</v>
      </c>
      <c r="F30" s="16" t="s">
        <v>1575</v>
      </c>
      <c r="G30" s="19" t="s">
        <v>1689</v>
      </c>
      <c r="H30" s="19" t="s">
        <v>3026</v>
      </c>
      <c r="I30" s="25" t="s">
        <v>7460</v>
      </c>
      <c r="J30" s="25" t="s">
        <v>7461</v>
      </c>
    </row>
    <row r="31" spans="1:10" x14ac:dyDescent="0.25">
      <c r="A31" s="16" t="s">
        <v>7462</v>
      </c>
      <c r="B31" s="16" t="s">
        <v>1700</v>
      </c>
      <c r="C31" s="16" t="s">
        <v>1575</v>
      </c>
      <c r="D31" s="16" t="s">
        <v>604</v>
      </c>
      <c r="E31" s="16" t="s">
        <v>7463</v>
      </c>
      <c r="F31" s="16" t="s">
        <v>1575</v>
      </c>
      <c r="G31" s="19" t="s">
        <v>1689</v>
      </c>
      <c r="H31" s="19" t="s">
        <v>3027</v>
      </c>
      <c r="I31" s="25" t="s">
        <v>7464</v>
      </c>
      <c r="J31" s="25" t="s">
        <v>7465</v>
      </c>
    </row>
    <row r="32" spans="1:10" x14ac:dyDescent="0.25">
      <c r="A32" s="16" t="s">
        <v>7466</v>
      </c>
      <c r="B32" s="16" t="s">
        <v>1575</v>
      </c>
      <c r="C32" s="16" t="s">
        <v>1575</v>
      </c>
      <c r="D32" s="16" t="s">
        <v>7467</v>
      </c>
      <c r="E32" s="16" t="s">
        <v>7468</v>
      </c>
      <c r="F32" s="16" t="s">
        <v>1575</v>
      </c>
      <c r="G32" s="19" t="s">
        <v>1689</v>
      </c>
      <c r="H32" s="19" t="s">
        <v>1761</v>
      </c>
      <c r="I32" s="25" t="s">
        <v>7469</v>
      </c>
      <c r="J32" s="25" t="s">
        <v>7470</v>
      </c>
    </row>
    <row r="33" spans="1:10" x14ac:dyDescent="0.25">
      <c r="A33" s="16" t="s">
        <v>7471</v>
      </c>
      <c r="B33" s="16" t="s">
        <v>1575</v>
      </c>
      <c r="C33" s="16" t="s">
        <v>1575</v>
      </c>
      <c r="D33" s="16" t="s">
        <v>1742</v>
      </c>
      <c r="E33" s="16" t="s">
        <v>7472</v>
      </c>
      <c r="F33" s="16" t="s">
        <v>1575</v>
      </c>
      <c r="G33" s="19" t="s">
        <v>1689</v>
      </c>
      <c r="H33" s="19" t="s">
        <v>1761</v>
      </c>
      <c r="I33" s="25" t="s">
        <v>7473</v>
      </c>
      <c r="J33" s="25" t="s">
        <v>7474</v>
      </c>
    </row>
    <row r="34" spans="1:10" x14ac:dyDescent="0.25">
      <c r="A34" s="16" t="s">
        <v>7475</v>
      </c>
      <c r="B34" s="16" t="s">
        <v>7476</v>
      </c>
      <c r="C34" s="16" t="s">
        <v>7477</v>
      </c>
      <c r="D34" s="16" t="s">
        <v>7478</v>
      </c>
      <c r="E34" s="16" t="s">
        <v>7479</v>
      </c>
      <c r="F34" s="16" t="s">
        <v>1575</v>
      </c>
      <c r="G34" s="19" t="s">
        <v>1689</v>
      </c>
      <c r="H34" s="19" t="s">
        <v>1698</v>
      </c>
      <c r="I34" s="25" t="s">
        <v>7480</v>
      </c>
      <c r="J34" s="25" t="s">
        <v>7481</v>
      </c>
    </row>
    <row r="35" spans="1:10" x14ac:dyDescent="0.25">
      <c r="A35" s="16" t="s">
        <v>7482</v>
      </c>
      <c r="B35" s="16" t="s">
        <v>7483</v>
      </c>
      <c r="C35" s="16" t="s">
        <v>7484</v>
      </c>
      <c r="D35" s="16" t="s">
        <v>634</v>
      </c>
      <c r="E35" s="16" t="s">
        <v>7485</v>
      </c>
      <c r="F35" s="16" t="s">
        <v>1575</v>
      </c>
      <c r="G35" s="19" t="s">
        <v>1689</v>
      </c>
      <c r="H35" s="19" t="s">
        <v>1698</v>
      </c>
      <c r="I35" s="25" t="s">
        <v>7486</v>
      </c>
      <c r="J35" s="25" t="s">
        <v>7487</v>
      </c>
    </row>
    <row r="36" spans="1:10" x14ac:dyDescent="0.25">
      <c r="A36" s="16" t="s">
        <v>7488</v>
      </c>
      <c r="B36" s="16" t="s">
        <v>7489</v>
      </c>
      <c r="C36" s="16" t="s">
        <v>7490</v>
      </c>
      <c r="D36" s="16" t="s">
        <v>7491</v>
      </c>
      <c r="E36" s="16" t="s">
        <v>7492</v>
      </c>
      <c r="F36" s="16" t="s">
        <v>1575</v>
      </c>
      <c r="G36" s="19" t="s">
        <v>1689</v>
      </c>
      <c r="H36" s="19" t="s">
        <v>1698</v>
      </c>
      <c r="I36" s="25" t="s">
        <v>7493</v>
      </c>
      <c r="J36" s="25" t="s">
        <v>7494</v>
      </c>
    </row>
    <row r="37" spans="1:10" x14ac:dyDescent="0.25">
      <c r="A37" s="16" t="s">
        <v>7495</v>
      </c>
      <c r="B37" s="16" t="s">
        <v>7496</v>
      </c>
      <c r="C37" s="16" t="s">
        <v>1575</v>
      </c>
      <c r="D37" s="16" t="s">
        <v>7497</v>
      </c>
      <c r="E37" s="16" t="s">
        <v>7498</v>
      </c>
      <c r="F37" s="16" t="s">
        <v>1575</v>
      </c>
      <c r="G37" s="19" t="s">
        <v>1689</v>
      </c>
      <c r="H37" s="19" t="s">
        <v>1698</v>
      </c>
      <c r="I37" s="25" t="s">
        <v>7499</v>
      </c>
      <c r="J37" s="25" t="s">
        <v>7500</v>
      </c>
    </row>
    <row r="38" spans="1:10" x14ac:dyDescent="0.25">
      <c r="A38" s="16" t="s">
        <v>7501</v>
      </c>
      <c r="B38" s="16" t="s">
        <v>7502</v>
      </c>
      <c r="C38" s="16" t="s">
        <v>1575</v>
      </c>
      <c r="D38" s="16" t="s">
        <v>7503</v>
      </c>
      <c r="E38" s="16" t="s">
        <v>7504</v>
      </c>
      <c r="F38" s="16" t="s">
        <v>1575</v>
      </c>
      <c r="G38" s="19" t="s">
        <v>1689</v>
      </c>
      <c r="H38" s="19" t="s">
        <v>1698</v>
      </c>
      <c r="I38" s="25" t="s">
        <v>7505</v>
      </c>
      <c r="J38" s="25" t="s">
        <v>7506</v>
      </c>
    </row>
    <row r="39" spans="1:10" x14ac:dyDescent="0.25">
      <c r="A39" s="16" t="s">
        <v>7507</v>
      </c>
      <c r="B39" s="16" t="s">
        <v>1575</v>
      </c>
      <c r="C39" s="16" t="s">
        <v>1575</v>
      </c>
      <c r="D39" s="16" t="s">
        <v>5765</v>
      </c>
      <c r="E39" s="16" t="s">
        <v>7508</v>
      </c>
      <c r="F39" s="16" t="s">
        <v>1575</v>
      </c>
      <c r="G39" s="19" t="s">
        <v>1689</v>
      </c>
      <c r="H39" s="19" t="s">
        <v>1698</v>
      </c>
      <c r="I39" s="25" t="s">
        <v>7509</v>
      </c>
      <c r="J39" s="25" t="s">
        <v>7510</v>
      </c>
    </row>
    <row r="40" spans="1:10" x14ac:dyDescent="0.25">
      <c r="A40" s="16" t="s">
        <v>7511</v>
      </c>
      <c r="B40" s="16" t="s">
        <v>7512</v>
      </c>
      <c r="C40" s="16" t="s">
        <v>1575</v>
      </c>
      <c r="D40" s="16" t="s">
        <v>7513</v>
      </c>
      <c r="E40" s="16" t="s">
        <v>7514</v>
      </c>
      <c r="F40" s="16" t="s">
        <v>7327</v>
      </c>
      <c r="G40" s="19" t="s">
        <v>1689</v>
      </c>
      <c r="H40" s="19" t="s">
        <v>1697</v>
      </c>
      <c r="I40" s="25" t="s">
        <v>7515</v>
      </c>
      <c r="J40" s="25" t="s">
        <v>7516</v>
      </c>
    </row>
    <row r="41" spans="1:10" x14ac:dyDescent="0.25">
      <c r="A41" s="16" t="s">
        <v>7517</v>
      </c>
      <c r="B41" s="16" t="s">
        <v>7518</v>
      </c>
      <c r="C41" s="16" t="s">
        <v>1575</v>
      </c>
      <c r="D41" s="16" t="s">
        <v>7519</v>
      </c>
      <c r="E41" s="16" t="s">
        <v>7520</v>
      </c>
      <c r="F41" s="16" t="s">
        <v>7521</v>
      </c>
      <c r="G41" s="19" t="s">
        <v>1689</v>
      </c>
      <c r="H41" s="19" t="s">
        <v>1697</v>
      </c>
      <c r="I41" s="25" t="s">
        <v>7522</v>
      </c>
      <c r="J41" s="25" t="s">
        <v>7523</v>
      </c>
    </row>
    <row r="42" spans="1:10" x14ac:dyDescent="0.25">
      <c r="A42" s="16" t="s">
        <v>7524</v>
      </c>
      <c r="B42" s="16" t="s">
        <v>7521</v>
      </c>
      <c r="C42" s="16" t="s">
        <v>7525</v>
      </c>
      <c r="D42" s="16" t="s">
        <v>7526</v>
      </c>
      <c r="E42" s="16" t="s">
        <v>7527</v>
      </c>
      <c r="F42" s="16" t="s">
        <v>1575</v>
      </c>
      <c r="G42" s="19" t="s">
        <v>1689</v>
      </c>
      <c r="H42" s="19" t="s">
        <v>1697</v>
      </c>
      <c r="I42" s="25" t="s">
        <v>7528</v>
      </c>
      <c r="J42" s="25" t="s">
        <v>7529</v>
      </c>
    </row>
    <row r="43" spans="1:10" x14ac:dyDescent="0.25">
      <c r="A43" s="16" t="s">
        <v>7530</v>
      </c>
      <c r="B43" s="16" t="s">
        <v>7531</v>
      </c>
      <c r="C43" s="16" t="s">
        <v>1575</v>
      </c>
      <c r="D43" s="16" t="s">
        <v>4655</v>
      </c>
      <c r="E43" s="16" t="s">
        <v>7532</v>
      </c>
      <c r="F43" s="16" t="s">
        <v>1575</v>
      </c>
      <c r="G43" s="19" t="s">
        <v>1600</v>
      </c>
      <c r="H43" s="19" t="s">
        <v>1670</v>
      </c>
      <c r="I43" s="25" t="s">
        <v>7533</v>
      </c>
      <c r="J43" s="25" t="s">
        <v>7534</v>
      </c>
    </row>
    <row r="44" spans="1:10" x14ac:dyDescent="0.25">
      <c r="A44" s="16" t="s">
        <v>7535</v>
      </c>
      <c r="B44" s="16" t="s">
        <v>7536</v>
      </c>
      <c r="C44" s="16" t="s">
        <v>1575</v>
      </c>
      <c r="D44" s="16" t="s">
        <v>5844</v>
      </c>
      <c r="E44" s="16" t="s">
        <v>7537</v>
      </c>
      <c r="F44" s="16" t="s">
        <v>7531</v>
      </c>
      <c r="G44" s="19" t="s">
        <v>1600</v>
      </c>
      <c r="H44" s="19" t="s">
        <v>1670</v>
      </c>
      <c r="I44" s="16" t="s">
        <v>1575</v>
      </c>
      <c r="J44" s="25" t="s">
        <v>7538</v>
      </c>
    </row>
    <row r="45" spans="1:10" x14ac:dyDescent="0.25">
      <c r="A45" s="16" t="s">
        <v>7539</v>
      </c>
      <c r="B45" s="16" t="s">
        <v>7540</v>
      </c>
      <c r="C45" s="16" t="s">
        <v>1575</v>
      </c>
      <c r="D45" s="16" t="s">
        <v>5851</v>
      </c>
      <c r="E45" s="16" t="s">
        <v>7541</v>
      </c>
      <c r="F45" s="16" t="s">
        <v>1575</v>
      </c>
      <c r="G45" s="19" t="s">
        <v>1600</v>
      </c>
      <c r="H45" s="19" t="s">
        <v>1696</v>
      </c>
      <c r="I45" s="25" t="s">
        <v>7542</v>
      </c>
      <c r="J45" s="25" t="s">
        <v>7543</v>
      </c>
    </row>
    <row r="46" spans="1:10" x14ac:dyDescent="0.25">
      <c r="A46" s="16" t="s">
        <v>7544</v>
      </c>
      <c r="B46" s="16" t="s">
        <v>7545</v>
      </c>
      <c r="C46" s="16" t="s">
        <v>1575</v>
      </c>
      <c r="D46" s="16" t="s">
        <v>5199</v>
      </c>
      <c r="E46" s="16" t="s">
        <v>7546</v>
      </c>
      <c r="F46" s="16" t="s">
        <v>1575</v>
      </c>
      <c r="G46" s="19" t="s">
        <v>1600</v>
      </c>
      <c r="H46" s="19" t="s">
        <v>1696</v>
      </c>
      <c r="I46" s="25" t="s">
        <v>7547</v>
      </c>
      <c r="J46" s="25" t="s">
        <v>7548</v>
      </c>
    </row>
    <row r="47" spans="1:10" x14ac:dyDescent="0.25">
      <c r="A47" s="16" t="s">
        <v>7549</v>
      </c>
      <c r="B47" s="16" t="s">
        <v>7550</v>
      </c>
      <c r="C47" s="16" t="s">
        <v>1575</v>
      </c>
      <c r="D47" s="16" t="s">
        <v>5200</v>
      </c>
      <c r="E47" s="16" t="s">
        <v>7551</v>
      </c>
      <c r="F47" s="16" t="s">
        <v>1575</v>
      </c>
      <c r="G47" s="19" t="s">
        <v>1600</v>
      </c>
      <c r="H47" s="19" t="s">
        <v>1696</v>
      </c>
      <c r="I47" s="25" t="s">
        <v>7552</v>
      </c>
      <c r="J47" s="25" t="s">
        <v>7553</v>
      </c>
    </row>
    <row r="48" spans="1:10" x14ac:dyDescent="0.25">
      <c r="A48" s="16" t="s">
        <v>7554</v>
      </c>
      <c r="B48" s="16" t="s">
        <v>7555</v>
      </c>
      <c r="C48" s="16" t="s">
        <v>1575</v>
      </c>
      <c r="D48" s="16" t="s">
        <v>7556</v>
      </c>
      <c r="E48" s="16" t="s">
        <v>71</v>
      </c>
      <c r="F48" s="16" t="s">
        <v>1575</v>
      </c>
      <c r="G48" s="19" t="s">
        <v>1600</v>
      </c>
      <c r="H48" s="19" t="s">
        <v>1696</v>
      </c>
      <c r="I48" s="25" t="s">
        <v>7557</v>
      </c>
      <c r="J48" s="16" t="s">
        <v>1575</v>
      </c>
    </row>
    <row r="49" spans="1:10" x14ac:dyDescent="0.25">
      <c r="A49" s="16" t="s">
        <v>7558</v>
      </c>
      <c r="B49" s="16" t="s">
        <v>1686</v>
      </c>
      <c r="C49" s="16" t="s">
        <v>1575</v>
      </c>
      <c r="D49" s="16" t="s">
        <v>1177</v>
      </c>
      <c r="E49" s="16" t="s">
        <v>7559</v>
      </c>
      <c r="F49" s="16" t="s">
        <v>7555</v>
      </c>
      <c r="G49" s="19" t="s">
        <v>1600</v>
      </c>
      <c r="H49" s="19" t="s">
        <v>1659</v>
      </c>
      <c r="I49" s="25" t="s">
        <v>7560</v>
      </c>
      <c r="J49" s="25" t="s">
        <v>7561</v>
      </c>
    </row>
    <row r="50" spans="1:10" x14ac:dyDescent="0.25">
      <c r="A50" s="16" t="s">
        <v>7562</v>
      </c>
      <c r="B50" s="16" t="s">
        <v>4551</v>
      </c>
      <c r="C50" s="16" t="s">
        <v>7563</v>
      </c>
      <c r="D50" s="16" t="s">
        <v>1674</v>
      </c>
      <c r="E50" s="16" t="s">
        <v>7564</v>
      </c>
      <c r="F50" s="16" t="s">
        <v>1575</v>
      </c>
      <c r="G50" s="19" t="s">
        <v>1600</v>
      </c>
      <c r="H50" s="19" t="s">
        <v>1696</v>
      </c>
      <c r="I50" s="25" t="s">
        <v>7565</v>
      </c>
      <c r="J50" s="25" t="s">
        <v>7566</v>
      </c>
    </row>
    <row r="51" spans="1:10" x14ac:dyDescent="0.25">
      <c r="A51" s="16" t="s">
        <v>7567</v>
      </c>
      <c r="B51" s="16" t="s">
        <v>4454</v>
      </c>
      <c r="C51" s="16" t="s">
        <v>1575</v>
      </c>
      <c r="D51" s="16" t="s">
        <v>7568</v>
      </c>
      <c r="E51" s="16" t="s">
        <v>7569</v>
      </c>
      <c r="F51" s="16" t="s">
        <v>4551</v>
      </c>
      <c r="G51" s="19" t="s">
        <v>1600</v>
      </c>
      <c r="H51" s="19" t="s">
        <v>2050</v>
      </c>
      <c r="I51" s="25" t="s">
        <v>7570</v>
      </c>
      <c r="J51" s="25" t="s">
        <v>7571</v>
      </c>
    </row>
    <row r="52" spans="1:10" x14ac:dyDescent="0.25">
      <c r="A52" s="16" t="s">
        <v>7572</v>
      </c>
      <c r="B52" s="16" t="s">
        <v>1679</v>
      </c>
      <c r="C52" s="16" t="s">
        <v>1575</v>
      </c>
      <c r="D52" s="16" t="s">
        <v>1678</v>
      </c>
      <c r="E52" s="16" t="s">
        <v>7573</v>
      </c>
      <c r="F52" s="16" t="s">
        <v>4551</v>
      </c>
      <c r="G52" s="19" t="s">
        <v>1600</v>
      </c>
      <c r="H52" s="19" t="s">
        <v>1659</v>
      </c>
      <c r="I52" s="25" t="s">
        <v>7574</v>
      </c>
      <c r="J52" s="25" t="s">
        <v>7575</v>
      </c>
    </row>
    <row r="53" spans="1:10" x14ac:dyDescent="0.25">
      <c r="A53" s="16" t="s">
        <v>7576</v>
      </c>
      <c r="B53" s="16" t="s">
        <v>7577</v>
      </c>
      <c r="C53" s="16" t="s">
        <v>1575</v>
      </c>
      <c r="D53" s="16" t="s">
        <v>7578</v>
      </c>
      <c r="E53" s="16" t="s">
        <v>7579</v>
      </c>
      <c r="F53" s="16" t="s">
        <v>4551</v>
      </c>
      <c r="G53" s="19" t="s">
        <v>1600</v>
      </c>
      <c r="H53" s="19" t="s">
        <v>2991</v>
      </c>
      <c r="I53" s="25" t="s">
        <v>7580</v>
      </c>
      <c r="J53" s="25" t="s">
        <v>7581</v>
      </c>
    </row>
    <row r="54" spans="1:10" x14ac:dyDescent="0.25">
      <c r="A54" s="16" t="s">
        <v>7582</v>
      </c>
      <c r="B54" s="16" t="s">
        <v>1673</v>
      </c>
      <c r="C54" s="16" t="s">
        <v>1575</v>
      </c>
      <c r="D54" s="16" t="s">
        <v>1672</v>
      </c>
      <c r="E54" s="16" t="s">
        <v>7583</v>
      </c>
      <c r="F54" s="16" t="s">
        <v>4551</v>
      </c>
      <c r="G54" s="19" t="s">
        <v>1600</v>
      </c>
      <c r="H54" s="19" t="s">
        <v>1671</v>
      </c>
      <c r="I54" s="25" t="s">
        <v>7584</v>
      </c>
      <c r="J54" s="25" t="s">
        <v>7585</v>
      </c>
    </row>
    <row r="55" spans="1:10" x14ac:dyDescent="0.25">
      <c r="A55" s="16" t="s">
        <v>7586</v>
      </c>
      <c r="B55" s="16" t="s">
        <v>4549</v>
      </c>
      <c r="C55" s="16" t="s">
        <v>7587</v>
      </c>
      <c r="D55" s="16" t="s">
        <v>4548</v>
      </c>
      <c r="E55" s="16" t="s">
        <v>7588</v>
      </c>
      <c r="F55" s="16" t="s">
        <v>4551</v>
      </c>
      <c r="G55" s="19" t="s">
        <v>1600</v>
      </c>
      <c r="H55" s="19" t="s">
        <v>2050</v>
      </c>
      <c r="I55" s="25" t="s">
        <v>7589</v>
      </c>
      <c r="J55" s="25" t="s">
        <v>7590</v>
      </c>
    </row>
    <row r="56" spans="1:10" x14ac:dyDescent="0.25">
      <c r="A56" s="16" t="s">
        <v>7591</v>
      </c>
      <c r="B56" s="16" t="s">
        <v>1680</v>
      </c>
      <c r="C56" s="16" t="s">
        <v>1575</v>
      </c>
      <c r="D56" s="16" t="s">
        <v>7592</v>
      </c>
      <c r="E56" s="16" t="s">
        <v>7593</v>
      </c>
      <c r="F56" s="16" t="s">
        <v>4551</v>
      </c>
      <c r="G56" s="19" t="s">
        <v>1600</v>
      </c>
      <c r="H56" s="19" t="s">
        <v>3024</v>
      </c>
      <c r="I56" s="25" t="s">
        <v>7594</v>
      </c>
      <c r="J56" s="25" t="s">
        <v>7595</v>
      </c>
    </row>
    <row r="57" spans="1:10" x14ac:dyDescent="0.25">
      <c r="A57" s="16" t="s">
        <v>7596</v>
      </c>
      <c r="B57" s="16" t="s">
        <v>1575</v>
      </c>
      <c r="C57" s="16" t="s">
        <v>1575</v>
      </c>
      <c r="D57" s="16" t="s">
        <v>5861</v>
      </c>
      <c r="E57" s="16" t="s">
        <v>7597</v>
      </c>
      <c r="F57" s="16" t="s">
        <v>7598</v>
      </c>
      <c r="G57" s="19" t="s">
        <v>1600</v>
      </c>
      <c r="H57" s="19" t="s">
        <v>1696</v>
      </c>
      <c r="I57" s="25" t="s">
        <v>7599</v>
      </c>
      <c r="J57" s="25" t="s">
        <v>7600</v>
      </c>
    </row>
    <row r="58" spans="1:10" x14ac:dyDescent="0.25">
      <c r="A58" s="16" t="s">
        <v>7601</v>
      </c>
      <c r="B58" s="16" t="s">
        <v>4455</v>
      </c>
      <c r="C58" s="16" t="s">
        <v>1575</v>
      </c>
      <c r="D58" s="16" t="s">
        <v>1243</v>
      </c>
      <c r="E58" s="16" t="s">
        <v>7602</v>
      </c>
      <c r="F58" s="16" t="s">
        <v>1575</v>
      </c>
      <c r="G58" s="19" t="s">
        <v>1600</v>
      </c>
      <c r="H58" s="19" t="s">
        <v>2050</v>
      </c>
      <c r="I58" s="25" t="s">
        <v>7603</v>
      </c>
      <c r="J58" s="25" t="s">
        <v>7604</v>
      </c>
    </row>
    <row r="59" spans="1:10" x14ac:dyDescent="0.25">
      <c r="A59" s="16" t="s">
        <v>7605</v>
      </c>
      <c r="B59" s="16" t="s">
        <v>7606</v>
      </c>
      <c r="C59" s="16" t="s">
        <v>1575</v>
      </c>
      <c r="D59" s="16" t="s">
        <v>7607</v>
      </c>
      <c r="E59" s="16" t="s">
        <v>7608</v>
      </c>
      <c r="F59" s="16" t="s">
        <v>1575</v>
      </c>
      <c r="G59" s="19" t="s">
        <v>1600</v>
      </c>
      <c r="H59" s="19" t="s">
        <v>2991</v>
      </c>
      <c r="I59" s="25" t="s">
        <v>7609</v>
      </c>
      <c r="J59" s="25" t="s">
        <v>7610</v>
      </c>
    </row>
    <row r="60" spans="1:10" x14ac:dyDescent="0.25">
      <c r="A60" s="16" t="s">
        <v>7611</v>
      </c>
      <c r="B60" s="16" t="s">
        <v>1695</v>
      </c>
      <c r="C60" s="16" t="s">
        <v>1575</v>
      </c>
      <c r="D60" s="16" t="s">
        <v>1254</v>
      </c>
      <c r="E60" s="16" t="s">
        <v>7612</v>
      </c>
      <c r="F60" s="16" t="s">
        <v>1575</v>
      </c>
      <c r="G60" s="19" t="s">
        <v>1600</v>
      </c>
      <c r="H60" s="19" t="s">
        <v>1696</v>
      </c>
      <c r="I60" s="25" t="s">
        <v>7613</v>
      </c>
      <c r="J60" s="25" t="s">
        <v>7614</v>
      </c>
    </row>
    <row r="61" spans="1:10" x14ac:dyDescent="0.25">
      <c r="A61" s="16" t="s">
        <v>7615</v>
      </c>
      <c r="B61" s="16" t="s">
        <v>1658</v>
      </c>
      <c r="C61" s="16" t="s">
        <v>1575</v>
      </c>
      <c r="D61" s="16" t="s">
        <v>1266</v>
      </c>
      <c r="E61" s="16" t="s">
        <v>7616</v>
      </c>
      <c r="F61" s="16" t="s">
        <v>1575</v>
      </c>
      <c r="G61" s="19" t="s">
        <v>1600</v>
      </c>
      <c r="H61" s="19" t="s">
        <v>1659</v>
      </c>
      <c r="I61" s="25" t="s">
        <v>7617</v>
      </c>
      <c r="J61" s="25" t="s">
        <v>7618</v>
      </c>
    </row>
    <row r="62" spans="1:10" x14ac:dyDescent="0.25">
      <c r="A62" s="16" t="s">
        <v>7619</v>
      </c>
      <c r="B62" s="16" t="s">
        <v>1693</v>
      </c>
      <c r="C62" s="16" t="s">
        <v>1575</v>
      </c>
      <c r="D62" s="16" t="s">
        <v>1271</v>
      </c>
      <c r="E62" s="16" t="s">
        <v>7620</v>
      </c>
      <c r="F62" s="16" t="s">
        <v>7545</v>
      </c>
      <c r="G62" s="19" t="s">
        <v>1600</v>
      </c>
      <c r="H62" s="19" t="s">
        <v>1659</v>
      </c>
      <c r="I62" s="25" t="s">
        <v>7621</v>
      </c>
      <c r="J62" s="25" t="s">
        <v>7622</v>
      </c>
    </row>
    <row r="63" spans="1:10" x14ac:dyDescent="0.25">
      <c r="A63" s="16" t="s">
        <v>7623</v>
      </c>
      <c r="B63" s="16" t="s">
        <v>1575</v>
      </c>
      <c r="C63" s="16" t="s">
        <v>1575</v>
      </c>
      <c r="D63" s="16" t="s">
        <v>1272</v>
      </c>
      <c r="E63" s="16" t="s">
        <v>7624</v>
      </c>
      <c r="F63" s="16" t="s">
        <v>1575</v>
      </c>
      <c r="G63" s="19" t="s">
        <v>1600</v>
      </c>
      <c r="H63" s="19" t="s">
        <v>1659</v>
      </c>
      <c r="I63" s="25" t="s">
        <v>7625</v>
      </c>
      <c r="J63" s="25" t="s">
        <v>7626</v>
      </c>
    </row>
    <row r="64" spans="1:10" x14ac:dyDescent="0.25">
      <c r="A64" s="16" t="s">
        <v>7627</v>
      </c>
      <c r="B64" s="16" t="s">
        <v>1681</v>
      </c>
      <c r="C64" s="16" t="s">
        <v>1575</v>
      </c>
      <c r="D64" s="16" t="s">
        <v>1308</v>
      </c>
      <c r="E64" s="16" t="s">
        <v>7628</v>
      </c>
      <c r="F64" s="16" t="s">
        <v>1575</v>
      </c>
      <c r="G64" s="19" t="s">
        <v>1600</v>
      </c>
      <c r="H64" s="19" t="s">
        <v>3024</v>
      </c>
      <c r="I64" s="25" t="s">
        <v>7629</v>
      </c>
      <c r="J64" s="25" t="s">
        <v>7630</v>
      </c>
    </row>
    <row r="65" spans="1:10" x14ac:dyDescent="0.25">
      <c r="A65" s="16" t="s">
        <v>7631</v>
      </c>
      <c r="B65" s="16" t="s">
        <v>7632</v>
      </c>
      <c r="C65" s="16" t="s">
        <v>1575</v>
      </c>
      <c r="D65" s="16" t="s">
        <v>1692</v>
      </c>
      <c r="E65" s="16" t="s">
        <v>7633</v>
      </c>
      <c r="F65" s="16" t="s">
        <v>2164</v>
      </c>
      <c r="G65" s="19" t="s">
        <v>1600</v>
      </c>
      <c r="H65" s="19" t="s">
        <v>2049</v>
      </c>
      <c r="I65" s="25" t="s">
        <v>7634</v>
      </c>
      <c r="J65" s="25" t="s">
        <v>7635</v>
      </c>
    </row>
    <row r="66" spans="1:10" x14ac:dyDescent="0.25">
      <c r="A66" s="16" t="s">
        <v>7636</v>
      </c>
      <c r="B66" s="16" t="s">
        <v>7171</v>
      </c>
      <c r="C66" s="16" t="s">
        <v>1575</v>
      </c>
      <c r="D66" s="16" t="s">
        <v>1691</v>
      </c>
      <c r="E66" s="16" t="s">
        <v>7637</v>
      </c>
      <c r="F66" s="16" t="s">
        <v>1575</v>
      </c>
      <c r="G66" s="19" t="s">
        <v>1600</v>
      </c>
      <c r="H66" s="19" t="s">
        <v>7172</v>
      </c>
      <c r="I66" s="25" t="s">
        <v>7638</v>
      </c>
      <c r="J66" s="25" t="s">
        <v>7639</v>
      </c>
    </row>
    <row r="67" spans="1:10" x14ac:dyDescent="0.25">
      <c r="A67" s="16" t="s">
        <v>7640</v>
      </c>
      <c r="B67" s="16" t="s">
        <v>1655</v>
      </c>
      <c r="C67" s="16" t="s">
        <v>1575</v>
      </c>
      <c r="D67" s="16" t="s">
        <v>1368</v>
      </c>
      <c r="E67" s="16" t="s">
        <v>7641</v>
      </c>
      <c r="F67" s="16" t="s">
        <v>1654</v>
      </c>
      <c r="G67" s="19" t="s">
        <v>1600</v>
      </c>
      <c r="H67" s="19" t="s">
        <v>1656</v>
      </c>
      <c r="I67" s="25" t="s">
        <v>7642</v>
      </c>
      <c r="J67" s="25" t="s">
        <v>7643</v>
      </c>
    </row>
    <row r="68" spans="1:10" x14ac:dyDescent="0.25">
      <c r="A68" s="16" t="s">
        <v>7644</v>
      </c>
      <c r="B68" s="16" t="s">
        <v>4606</v>
      </c>
      <c r="C68" s="16" t="s">
        <v>1575</v>
      </c>
      <c r="D68" s="16" t="s">
        <v>1683</v>
      </c>
      <c r="E68" s="16" t="s">
        <v>7645</v>
      </c>
      <c r="F68" s="16" t="s">
        <v>1575</v>
      </c>
      <c r="G68" s="19" t="s">
        <v>1600</v>
      </c>
      <c r="H68" s="19" t="s">
        <v>4607</v>
      </c>
      <c r="I68" s="25" t="s">
        <v>7646</v>
      </c>
      <c r="J68" s="25" t="s">
        <v>7647</v>
      </c>
    </row>
    <row r="69" spans="1:10" x14ac:dyDescent="0.25">
      <c r="A69" s="16" t="s">
        <v>7648</v>
      </c>
      <c r="B69" s="16" t="s">
        <v>7649</v>
      </c>
      <c r="C69" s="16" t="s">
        <v>1575</v>
      </c>
      <c r="D69" s="16" t="s">
        <v>7650</v>
      </c>
      <c r="E69" s="16" t="s">
        <v>7651</v>
      </c>
      <c r="F69" s="16" t="s">
        <v>1575</v>
      </c>
      <c r="G69" s="19" t="s">
        <v>1600</v>
      </c>
      <c r="H69" s="19" t="s">
        <v>4607</v>
      </c>
      <c r="I69" s="25" t="s">
        <v>7652</v>
      </c>
      <c r="J69" s="25" t="s">
        <v>7653</v>
      </c>
    </row>
    <row r="70" spans="1:10" x14ac:dyDescent="0.25">
      <c r="A70" s="16" t="s">
        <v>7654</v>
      </c>
      <c r="B70" s="16" t="s">
        <v>7117</v>
      </c>
      <c r="C70" s="16" t="s">
        <v>1575</v>
      </c>
      <c r="D70" s="16" t="s">
        <v>4617</v>
      </c>
      <c r="E70" s="16" t="s">
        <v>7655</v>
      </c>
      <c r="F70" s="16" t="s">
        <v>1575</v>
      </c>
      <c r="G70" s="19" t="s">
        <v>1600</v>
      </c>
      <c r="H70" s="19" t="s">
        <v>2048</v>
      </c>
      <c r="I70" s="25" t="s">
        <v>7656</v>
      </c>
      <c r="J70" s="25" t="s">
        <v>7657</v>
      </c>
    </row>
    <row r="71" spans="1:10" x14ac:dyDescent="0.25">
      <c r="A71" s="16" t="s">
        <v>7658</v>
      </c>
      <c r="B71" s="16" t="s">
        <v>2254</v>
      </c>
      <c r="C71" s="16" t="s">
        <v>1575</v>
      </c>
      <c r="D71" s="16" t="s">
        <v>4600</v>
      </c>
      <c r="E71" s="16" t="s">
        <v>7659</v>
      </c>
      <c r="F71" s="16" t="s">
        <v>7117</v>
      </c>
      <c r="G71" s="19" t="s">
        <v>1600</v>
      </c>
      <c r="H71" s="19" t="s">
        <v>2048</v>
      </c>
      <c r="I71" s="25" t="s">
        <v>7660</v>
      </c>
      <c r="J71" s="25" t="s">
        <v>7661</v>
      </c>
    </row>
    <row r="72" spans="1:10" x14ac:dyDescent="0.25">
      <c r="A72" s="16" t="s">
        <v>7662</v>
      </c>
      <c r="B72" s="16" t="s">
        <v>7663</v>
      </c>
      <c r="C72" s="16" t="s">
        <v>1575</v>
      </c>
      <c r="D72" s="16" t="s">
        <v>1687</v>
      </c>
      <c r="E72" s="16" t="s">
        <v>7664</v>
      </c>
      <c r="F72" s="16" t="s">
        <v>1575</v>
      </c>
      <c r="G72" s="19" t="s">
        <v>1600</v>
      </c>
      <c r="H72" s="19" t="s">
        <v>1653</v>
      </c>
      <c r="I72" s="25" t="s">
        <v>7665</v>
      </c>
      <c r="J72" s="25" t="s">
        <v>7666</v>
      </c>
    </row>
    <row r="73" spans="1:10" x14ac:dyDescent="0.25">
      <c r="A73" s="16" t="s">
        <v>7667</v>
      </c>
      <c r="B73" s="16" t="s">
        <v>1657</v>
      </c>
      <c r="C73" s="16" t="s">
        <v>1575</v>
      </c>
      <c r="D73" s="16" t="s">
        <v>7026</v>
      </c>
      <c r="E73" s="16" t="s">
        <v>7668</v>
      </c>
      <c r="F73" s="16" t="s">
        <v>1575</v>
      </c>
      <c r="G73" s="19" t="s">
        <v>1600</v>
      </c>
      <c r="H73" s="19" t="s">
        <v>1653</v>
      </c>
      <c r="I73" s="25" t="s">
        <v>7669</v>
      </c>
      <c r="J73" s="16" t="s">
        <v>1575</v>
      </c>
    </row>
    <row r="74" spans="1:10" x14ac:dyDescent="0.25">
      <c r="A74" s="16" t="s">
        <v>7670</v>
      </c>
      <c r="B74" s="16" t="s">
        <v>5267</v>
      </c>
      <c r="C74" s="16" t="s">
        <v>1575</v>
      </c>
      <c r="D74" s="16" t="s">
        <v>1684</v>
      </c>
      <c r="E74" s="16" t="s">
        <v>7671</v>
      </c>
      <c r="F74" s="16" t="s">
        <v>1575</v>
      </c>
      <c r="G74" s="19" t="s">
        <v>1600</v>
      </c>
      <c r="H74" s="19" t="s">
        <v>1653</v>
      </c>
      <c r="I74" s="25" t="s">
        <v>7672</v>
      </c>
      <c r="J74" s="25" t="s">
        <v>7673</v>
      </c>
    </row>
    <row r="75" spans="1:10" x14ac:dyDescent="0.25">
      <c r="A75" s="16" t="s">
        <v>7674</v>
      </c>
      <c r="B75" s="16" t="s">
        <v>1654</v>
      </c>
      <c r="C75" s="16" t="s">
        <v>7675</v>
      </c>
      <c r="D75" s="16" t="s">
        <v>7676</v>
      </c>
      <c r="E75" s="16" t="s">
        <v>7677</v>
      </c>
      <c r="F75" s="16" t="s">
        <v>1575</v>
      </c>
      <c r="G75" s="19" t="s">
        <v>1600</v>
      </c>
      <c r="H75" s="19" t="s">
        <v>1653</v>
      </c>
      <c r="I75" s="25" t="s">
        <v>7678</v>
      </c>
      <c r="J75" s="25" t="s">
        <v>7679</v>
      </c>
    </row>
    <row r="76" spans="1:10" x14ac:dyDescent="0.25">
      <c r="A76" s="16" t="s">
        <v>7680</v>
      </c>
      <c r="B76" s="16" t="s">
        <v>1682</v>
      </c>
      <c r="C76" s="16" t="s">
        <v>7681</v>
      </c>
      <c r="D76" s="16" t="s">
        <v>7682</v>
      </c>
      <c r="E76" s="16" t="s">
        <v>7683</v>
      </c>
      <c r="F76" s="16" t="s">
        <v>5267</v>
      </c>
      <c r="G76" s="19" t="s">
        <v>1600</v>
      </c>
      <c r="H76" s="19" t="s">
        <v>1653</v>
      </c>
      <c r="I76" s="25" t="s">
        <v>7684</v>
      </c>
      <c r="J76" s="25" t="s">
        <v>7685</v>
      </c>
    </row>
    <row r="77" spans="1:10" x14ac:dyDescent="0.25">
      <c r="A77" s="16" t="s">
        <v>7686</v>
      </c>
      <c r="B77" s="16" t="s">
        <v>7687</v>
      </c>
      <c r="C77" s="16" t="s">
        <v>7688</v>
      </c>
      <c r="D77" s="16" t="s">
        <v>1685</v>
      </c>
      <c r="E77" s="16" t="s">
        <v>7689</v>
      </c>
      <c r="F77" s="16" t="s">
        <v>1575</v>
      </c>
      <c r="G77" s="19" t="s">
        <v>1600</v>
      </c>
      <c r="H77" s="19" t="s">
        <v>1653</v>
      </c>
      <c r="I77" s="25" t="s">
        <v>7690</v>
      </c>
      <c r="J77" s="25" t="s">
        <v>7691</v>
      </c>
    </row>
    <row r="78" spans="1:10" x14ac:dyDescent="0.25">
      <c r="A78" s="16" t="s">
        <v>7692</v>
      </c>
      <c r="B78" s="16" t="s">
        <v>7104</v>
      </c>
      <c r="C78" s="16" t="s">
        <v>1575</v>
      </c>
      <c r="D78" s="16" t="s">
        <v>7103</v>
      </c>
      <c r="E78" s="16" t="s">
        <v>7693</v>
      </c>
      <c r="F78" s="16" t="s">
        <v>1575</v>
      </c>
      <c r="G78" s="19" t="s">
        <v>1600</v>
      </c>
      <c r="H78" s="19" t="s">
        <v>1653</v>
      </c>
      <c r="I78" s="25" t="s">
        <v>7694</v>
      </c>
      <c r="J78" s="25" t="s">
        <v>7695</v>
      </c>
    </row>
    <row r="79" spans="1:10" x14ac:dyDescent="0.25">
      <c r="A79" s="16" t="s">
        <v>7696</v>
      </c>
      <c r="B79" s="16" t="s">
        <v>7697</v>
      </c>
      <c r="C79" s="16" t="s">
        <v>7698</v>
      </c>
      <c r="D79" s="16" t="s">
        <v>7699</v>
      </c>
      <c r="E79" s="16" t="s">
        <v>7700</v>
      </c>
      <c r="F79" s="16" t="s">
        <v>1575</v>
      </c>
      <c r="G79" s="19" t="s">
        <v>1600</v>
      </c>
      <c r="H79" s="19" t="s">
        <v>2991</v>
      </c>
      <c r="I79" s="25" t="s">
        <v>7701</v>
      </c>
      <c r="J79" s="25" t="s">
        <v>7702</v>
      </c>
    </row>
    <row r="80" spans="1:10" x14ac:dyDescent="0.25">
      <c r="A80" s="16" t="s">
        <v>7703</v>
      </c>
      <c r="B80" s="16" t="s">
        <v>7704</v>
      </c>
      <c r="C80" s="16" t="s">
        <v>1575</v>
      </c>
      <c r="D80" s="16" t="s">
        <v>5162</v>
      </c>
      <c r="E80" s="16" t="s">
        <v>7705</v>
      </c>
      <c r="F80" s="16" t="s">
        <v>1575</v>
      </c>
      <c r="G80" s="19" t="s">
        <v>1600</v>
      </c>
      <c r="H80" s="19" t="s">
        <v>2991</v>
      </c>
      <c r="I80" s="25" t="s">
        <v>7706</v>
      </c>
      <c r="J80" s="25" t="s">
        <v>7707</v>
      </c>
    </row>
    <row r="81" spans="1:10" x14ac:dyDescent="0.25">
      <c r="A81" s="16" t="s">
        <v>7708</v>
      </c>
      <c r="B81" s="16" t="s">
        <v>7709</v>
      </c>
      <c r="C81" s="16" t="s">
        <v>1575</v>
      </c>
      <c r="D81" s="16" t="s">
        <v>7710</v>
      </c>
      <c r="E81" s="16" t="s">
        <v>7711</v>
      </c>
      <c r="F81" s="16" t="s">
        <v>1575</v>
      </c>
      <c r="G81" s="19" t="s">
        <v>1600</v>
      </c>
      <c r="H81" s="19" t="s">
        <v>7712</v>
      </c>
      <c r="I81" s="25" t="s">
        <v>7713</v>
      </c>
      <c r="J81" s="25" t="s">
        <v>7714</v>
      </c>
    </row>
    <row r="82" spans="1:10" x14ac:dyDescent="0.25">
      <c r="A82" s="16" t="s">
        <v>7715</v>
      </c>
      <c r="B82" s="16" t="s">
        <v>7716</v>
      </c>
      <c r="C82" s="16" t="s">
        <v>1575</v>
      </c>
      <c r="D82" s="16" t="s">
        <v>7717</v>
      </c>
      <c r="E82" s="16" t="s">
        <v>7718</v>
      </c>
      <c r="F82" s="16" t="s">
        <v>1575</v>
      </c>
      <c r="G82" s="19" t="s">
        <v>1600</v>
      </c>
      <c r="H82" s="19" t="s">
        <v>2991</v>
      </c>
      <c r="I82" s="25" t="s">
        <v>7719</v>
      </c>
      <c r="J82" s="25" t="s">
        <v>7720</v>
      </c>
    </row>
    <row r="83" spans="1:10" x14ac:dyDescent="0.25">
      <c r="A83" s="16" t="s">
        <v>7721</v>
      </c>
      <c r="B83" s="16" t="s">
        <v>7722</v>
      </c>
      <c r="C83" s="16" t="s">
        <v>1575</v>
      </c>
      <c r="D83" s="16" t="s">
        <v>5204</v>
      </c>
      <c r="E83" s="16" t="s">
        <v>7723</v>
      </c>
      <c r="F83" s="16" t="s">
        <v>7545</v>
      </c>
      <c r="G83" s="19" t="s">
        <v>1600</v>
      </c>
      <c r="H83" s="19" t="s">
        <v>2991</v>
      </c>
      <c r="I83" s="25" t="s">
        <v>7724</v>
      </c>
      <c r="J83" s="25" t="s">
        <v>7725</v>
      </c>
    </row>
    <row r="84" spans="1:10" x14ac:dyDescent="0.25">
      <c r="A84" s="16" t="s">
        <v>7726</v>
      </c>
      <c r="B84" s="16" t="s">
        <v>4690</v>
      </c>
      <c r="C84" s="16" t="s">
        <v>1575</v>
      </c>
      <c r="D84" s="16" t="s">
        <v>4689</v>
      </c>
      <c r="E84" s="16" t="s">
        <v>7727</v>
      </c>
      <c r="F84" s="16" t="s">
        <v>1575</v>
      </c>
      <c r="G84" s="19" t="s">
        <v>1601</v>
      </c>
      <c r="H84" s="19" t="s">
        <v>1608</v>
      </c>
      <c r="I84" s="25" t="s">
        <v>7728</v>
      </c>
      <c r="J84" s="25" t="s">
        <v>7729</v>
      </c>
    </row>
    <row r="85" spans="1:10" x14ac:dyDescent="0.25">
      <c r="A85" s="16" t="s">
        <v>7730</v>
      </c>
      <c r="B85" s="16" t="s">
        <v>1603</v>
      </c>
      <c r="C85" s="16" t="s">
        <v>1575</v>
      </c>
      <c r="D85" s="16" t="s">
        <v>4671</v>
      </c>
      <c r="E85" s="16" t="s">
        <v>7731</v>
      </c>
      <c r="F85" s="16" t="s">
        <v>1575</v>
      </c>
      <c r="G85" s="19" t="s">
        <v>1601</v>
      </c>
      <c r="H85" s="19" t="s">
        <v>1608</v>
      </c>
      <c r="I85" s="25" t="s">
        <v>7732</v>
      </c>
      <c r="J85" s="25" t="s">
        <v>7733</v>
      </c>
    </row>
    <row r="86" spans="1:10" x14ac:dyDescent="0.25">
      <c r="A86" s="16" t="s">
        <v>7734</v>
      </c>
      <c r="B86" s="16" t="s">
        <v>7735</v>
      </c>
      <c r="C86" s="16" t="s">
        <v>1575</v>
      </c>
      <c r="D86" s="16" t="s">
        <v>7736</v>
      </c>
      <c r="E86" s="16" t="s">
        <v>7737</v>
      </c>
      <c r="F86" s="16" t="s">
        <v>1575</v>
      </c>
      <c r="G86" s="19" t="s">
        <v>1601</v>
      </c>
      <c r="H86" s="19" t="s">
        <v>1608</v>
      </c>
      <c r="I86" s="25" t="s">
        <v>7738</v>
      </c>
      <c r="J86" s="25" t="s">
        <v>7739</v>
      </c>
    </row>
    <row r="87" spans="1:10" x14ac:dyDescent="0.25">
      <c r="A87" s="16" t="s">
        <v>7740</v>
      </c>
      <c r="B87" s="16" t="s">
        <v>7741</v>
      </c>
      <c r="C87" s="16" t="s">
        <v>1575</v>
      </c>
      <c r="D87" s="16" t="s">
        <v>6187</v>
      </c>
      <c r="E87" s="16" t="s">
        <v>7742</v>
      </c>
      <c r="F87" s="16" t="s">
        <v>1575</v>
      </c>
      <c r="G87" s="19" t="s">
        <v>1601</v>
      </c>
      <c r="H87" s="19" t="s">
        <v>1608</v>
      </c>
      <c r="I87" s="25" t="s">
        <v>7743</v>
      </c>
      <c r="J87" s="25" t="s">
        <v>7744</v>
      </c>
    </row>
    <row r="88" spans="1:10" x14ac:dyDescent="0.25">
      <c r="A88" s="16" t="s">
        <v>7745</v>
      </c>
      <c r="B88" s="16" t="s">
        <v>7746</v>
      </c>
      <c r="C88" s="16" t="s">
        <v>1575</v>
      </c>
      <c r="D88" s="16" t="s">
        <v>6233</v>
      </c>
      <c r="E88" s="16" t="s">
        <v>7747</v>
      </c>
      <c r="F88" s="16" t="s">
        <v>1603</v>
      </c>
      <c r="G88" s="19" t="s">
        <v>1601</v>
      </c>
      <c r="H88" s="19" t="s">
        <v>1608</v>
      </c>
      <c r="I88" s="25" t="s">
        <v>7748</v>
      </c>
      <c r="J88" s="25" t="s">
        <v>7749</v>
      </c>
    </row>
    <row r="89" spans="1:10" x14ac:dyDescent="0.25">
      <c r="A89" s="16" t="s">
        <v>7750</v>
      </c>
      <c r="B89" s="16" t="s">
        <v>7751</v>
      </c>
      <c r="C89" s="16" t="s">
        <v>1575</v>
      </c>
      <c r="D89" s="16" t="s">
        <v>7752</v>
      </c>
      <c r="E89" s="16" t="s">
        <v>7753</v>
      </c>
      <c r="F89" s="16" t="s">
        <v>7305</v>
      </c>
      <c r="G89" s="19" t="s">
        <v>1601</v>
      </c>
      <c r="H89" s="19" t="s">
        <v>1608</v>
      </c>
      <c r="I89" s="25" t="s">
        <v>7754</v>
      </c>
      <c r="J89" s="25" t="s">
        <v>7755</v>
      </c>
    </row>
    <row r="90" spans="1:10" x14ac:dyDescent="0.25">
      <c r="A90" s="16" t="s">
        <v>7756</v>
      </c>
      <c r="B90" s="16" t="s">
        <v>1609</v>
      </c>
      <c r="C90" s="16" t="s">
        <v>1575</v>
      </c>
      <c r="D90" s="16" t="s">
        <v>1768</v>
      </c>
      <c r="E90" s="16" t="s">
        <v>7757</v>
      </c>
      <c r="F90" s="16" t="s">
        <v>1603</v>
      </c>
      <c r="G90" s="19" t="s">
        <v>1601</v>
      </c>
      <c r="H90" s="19" t="s">
        <v>1608</v>
      </c>
      <c r="I90" s="16" t="s">
        <v>1575</v>
      </c>
      <c r="J90" s="25" t="s">
        <v>7758</v>
      </c>
    </row>
    <row r="91" spans="1:10" x14ac:dyDescent="0.25">
      <c r="A91" s="16" t="s">
        <v>7759</v>
      </c>
      <c r="B91" s="16" t="s">
        <v>7760</v>
      </c>
      <c r="C91" s="16" t="s">
        <v>1575</v>
      </c>
      <c r="D91" s="16" t="s">
        <v>7761</v>
      </c>
      <c r="E91" s="16" t="s">
        <v>7762</v>
      </c>
      <c r="F91" s="16" t="s">
        <v>7305</v>
      </c>
      <c r="G91" s="19" t="s">
        <v>1601</v>
      </c>
      <c r="H91" s="19" t="s">
        <v>1608</v>
      </c>
      <c r="I91" s="25" t="s">
        <v>7763</v>
      </c>
      <c r="J91" s="25" t="s">
        <v>7764</v>
      </c>
    </row>
    <row r="92" spans="1:10" x14ac:dyDescent="0.25">
      <c r="A92" s="16" t="s">
        <v>7765</v>
      </c>
      <c r="B92" s="16" t="s">
        <v>7766</v>
      </c>
      <c r="C92" s="16" t="s">
        <v>1575</v>
      </c>
      <c r="D92" s="16" t="s">
        <v>6339</v>
      </c>
      <c r="E92" s="16" t="s">
        <v>7767</v>
      </c>
      <c r="F92" s="16" t="s">
        <v>7305</v>
      </c>
      <c r="G92" s="19" t="s">
        <v>1601</v>
      </c>
      <c r="H92" s="19" t="s">
        <v>1608</v>
      </c>
      <c r="I92" s="25" t="s">
        <v>7768</v>
      </c>
      <c r="J92" s="25" t="s">
        <v>7769</v>
      </c>
    </row>
    <row r="93" spans="1:10" x14ac:dyDescent="0.25">
      <c r="A93" s="16" t="s">
        <v>7770</v>
      </c>
      <c r="B93" s="16" t="s">
        <v>7771</v>
      </c>
      <c r="C93" s="16" t="s">
        <v>7772</v>
      </c>
      <c r="D93" s="16" t="s">
        <v>7773</v>
      </c>
      <c r="E93" s="16" t="s">
        <v>7774</v>
      </c>
      <c r="F93" s="16" t="s">
        <v>1575</v>
      </c>
      <c r="G93" s="19" t="s">
        <v>1601</v>
      </c>
      <c r="H93" s="19" t="s">
        <v>1608</v>
      </c>
      <c r="I93" s="25" t="s">
        <v>7775</v>
      </c>
      <c r="J93" s="25" t="s">
        <v>7776</v>
      </c>
    </row>
    <row r="94" spans="1:10" x14ac:dyDescent="0.25">
      <c r="A94" s="16" t="s">
        <v>7777</v>
      </c>
      <c r="B94" s="16" t="s">
        <v>1636</v>
      </c>
      <c r="C94" s="16" t="s">
        <v>7778</v>
      </c>
      <c r="D94" s="16" t="s">
        <v>6345</v>
      </c>
      <c r="E94" s="16" t="s">
        <v>7779</v>
      </c>
      <c r="F94" s="16" t="s">
        <v>1575</v>
      </c>
      <c r="G94" s="19" t="s">
        <v>1601</v>
      </c>
      <c r="H94" s="19" t="s">
        <v>1608</v>
      </c>
      <c r="I94" s="25" t="s">
        <v>7780</v>
      </c>
      <c r="J94" s="25" t="s">
        <v>7781</v>
      </c>
    </row>
    <row r="95" spans="1:10" x14ac:dyDescent="0.25">
      <c r="A95" s="16" t="s">
        <v>7782</v>
      </c>
      <c r="B95" s="16" t="s">
        <v>1638</v>
      </c>
      <c r="C95" s="16" t="s">
        <v>1575</v>
      </c>
      <c r="D95" s="16" t="s">
        <v>1772</v>
      </c>
      <c r="E95" s="16" t="s">
        <v>7783</v>
      </c>
      <c r="F95" s="16" t="s">
        <v>7784</v>
      </c>
      <c r="G95" s="19" t="s">
        <v>1601</v>
      </c>
      <c r="H95" s="19" t="s">
        <v>1608</v>
      </c>
      <c r="I95" s="25" t="s">
        <v>7785</v>
      </c>
      <c r="J95" s="25" t="s">
        <v>7786</v>
      </c>
    </row>
    <row r="96" spans="1:10" x14ac:dyDescent="0.25">
      <c r="A96" s="16" t="s">
        <v>7787</v>
      </c>
      <c r="B96" s="16" t="s">
        <v>1639</v>
      </c>
      <c r="C96" s="16" t="s">
        <v>1575</v>
      </c>
      <c r="D96" s="16" t="s">
        <v>1781</v>
      </c>
      <c r="E96" s="16" t="s">
        <v>7788</v>
      </c>
      <c r="F96" s="16" t="s">
        <v>7784</v>
      </c>
      <c r="G96" s="19" t="s">
        <v>1601</v>
      </c>
      <c r="H96" s="19" t="s">
        <v>1608</v>
      </c>
      <c r="I96" s="25" t="s">
        <v>7789</v>
      </c>
      <c r="J96" s="25" t="s">
        <v>7790</v>
      </c>
    </row>
    <row r="97" spans="1:10" x14ac:dyDescent="0.25">
      <c r="A97" s="16" t="s">
        <v>7791</v>
      </c>
      <c r="B97" s="16" t="s">
        <v>1640</v>
      </c>
      <c r="C97" s="16" t="s">
        <v>1575</v>
      </c>
      <c r="D97" s="16" t="s">
        <v>6252</v>
      </c>
      <c r="E97" s="16" t="s">
        <v>7792</v>
      </c>
      <c r="F97" s="16" t="s">
        <v>7784</v>
      </c>
      <c r="G97" s="19" t="s">
        <v>1601</v>
      </c>
      <c r="H97" s="19" t="s">
        <v>1608</v>
      </c>
      <c r="I97" s="25" t="s">
        <v>7793</v>
      </c>
      <c r="J97" s="25" t="s">
        <v>7794</v>
      </c>
    </row>
    <row r="98" spans="1:10" x14ac:dyDescent="0.25">
      <c r="A98" s="16" t="s">
        <v>7795</v>
      </c>
      <c r="B98" s="16" t="s">
        <v>1619</v>
      </c>
      <c r="C98" s="16" t="s">
        <v>1575</v>
      </c>
      <c r="D98" s="16" t="s">
        <v>6234</v>
      </c>
      <c r="E98" s="16" t="s">
        <v>7796</v>
      </c>
      <c r="F98" s="16" t="s">
        <v>1603</v>
      </c>
      <c r="G98" s="19" t="s">
        <v>1601</v>
      </c>
      <c r="H98" s="19" t="s">
        <v>1608</v>
      </c>
      <c r="I98" s="25" t="s">
        <v>7797</v>
      </c>
      <c r="J98" s="25" t="s">
        <v>7798</v>
      </c>
    </row>
    <row r="99" spans="1:10" x14ac:dyDescent="0.25">
      <c r="A99" s="16" t="s">
        <v>7799</v>
      </c>
      <c r="B99" s="16" t="s">
        <v>1613</v>
      </c>
      <c r="C99" s="16" t="s">
        <v>1575</v>
      </c>
      <c r="D99" s="16" t="s">
        <v>1463</v>
      </c>
      <c r="E99" s="16" t="s">
        <v>7800</v>
      </c>
      <c r="F99" s="16" t="s">
        <v>2164</v>
      </c>
      <c r="G99" s="19" t="s">
        <v>1601</v>
      </c>
      <c r="H99" s="19" t="s">
        <v>1608</v>
      </c>
      <c r="I99" s="25" t="s">
        <v>7801</v>
      </c>
      <c r="J99" s="25" t="s">
        <v>7802</v>
      </c>
    </row>
    <row r="100" spans="1:10" x14ac:dyDescent="0.25">
      <c r="A100" s="16" t="s">
        <v>7803</v>
      </c>
      <c r="B100" s="16" t="s">
        <v>7784</v>
      </c>
      <c r="C100" s="16" t="s">
        <v>1575</v>
      </c>
      <c r="D100" s="16" t="s">
        <v>6373</v>
      </c>
      <c r="E100" s="16" t="s">
        <v>7804</v>
      </c>
      <c r="F100" s="16" t="s">
        <v>1575</v>
      </c>
      <c r="G100" s="19" t="s">
        <v>1601</v>
      </c>
      <c r="H100" s="19" t="s">
        <v>1608</v>
      </c>
      <c r="I100" s="25" t="s">
        <v>7805</v>
      </c>
      <c r="J100" s="25" t="s">
        <v>7806</v>
      </c>
    </row>
    <row r="101" spans="1:10" x14ac:dyDescent="0.25">
      <c r="A101" s="16" t="s">
        <v>7807</v>
      </c>
      <c r="B101" s="16" t="s">
        <v>3420</v>
      </c>
      <c r="C101" s="16" t="s">
        <v>1575</v>
      </c>
      <c r="D101" s="16" t="s">
        <v>3419</v>
      </c>
      <c r="E101" s="16" t="s">
        <v>7808</v>
      </c>
      <c r="F101" s="16" t="s">
        <v>7809</v>
      </c>
      <c r="G101" s="19" t="s">
        <v>1601</v>
      </c>
      <c r="H101" s="19" t="s">
        <v>1608</v>
      </c>
      <c r="I101" s="25" t="s">
        <v>7810</v>
      </c>
      <c r="J101" s="25" t="s">
        <v>7811</v>
      </c>
    </row>
    <row r="102" spans="1:10" x14ac:dyDescent="0.25">
      <c r="A102" s="16" t="s">
        <v>7812</v>
      </c>
      <c r="B102" s="16" t="s">
        <v>7813</v>
      </c>
      <c r="C102" s="16" t="s">
        <v>1575</v>
      </c>
      <c r="D102" s="16" t="s">
        <v>7814</v>
      </c>
      <c r="E102" s="16" t="s">
        <v>7815</v>
      </c>
      <c r="F102" s="16" t="s">
        <v>4690</v>
      </c>
      <c r="G102" s="19" t="s">
        <v>1601</v>
      </c>
      <c r="H102" s="19" t="s">
        <v>1608</v>
      </c>
      <c r="I102" s="25" t="s">
        <v>7816</v>
      </c>
      <c r="J102" s="25" t="s">
        <v>7817</v>
      </c>
    </row>
    <row r="103" spans="1:10" x14ac:dyDescent="0.25">
      <c r="A103" s="16" t="s">
        <v>7818</v>
      </c>
      <c r="B103" s="16" t="s">
        <v>7819</v>
      </c>
      <c r="C103" s="16" t="s">
        <v>7820</v>
      </c>
      <c r="D103" s="16" t="s">
        <v>7821</v>
      </c>
      <c r="E103" s="16" t="s">
        <v>7822</v>
      </c>
      <c r="F103" s="16" t="s">
        <v>7823</v>
      </c>
      <c r="G103" s="19" t="s">
        <v>1601</v>
      </c>
      <c r="H103" s="19" t="s">
        <v>1608</v>
      </c>
      <c r="I103" s="25" t="s">
        <v>7824</v>
      </c>
      <c r="J103" s="25" t="s">
        <v>7825</v>
      </c>
    </row>
    <row r="104" spans="1:10" x14ac:dyDescent="0.25">
      <c r="A104" s="16" t="s">
        <v>7826</v>
      </c>
      <c r="B104" s="16" t="s">
        <v>7827</v>
      </c>
      <c r="C104" s="16" t="s">
        <v>7828</v>
      </c>
      <c r="D104" s="16" t="s">
        <v>1470</v>
      </c>
      <c r="E104" s="16" t="s">
        <v>7829</v>
      </c>
      <c r="F104" s="16" t="s">
        <v>7823</v>
      </c>
      <c r="G104" s="19" t="s">
        <v>1601</v>
      </c>
      <c r="H104" s="19" t="s">
        <v>1608</v>
      </c>
      <c r="I104" s="25" t="s">
        <v>7830</v>
      </c>
      <c r="J104" s="25" t="s">
        <v>7831</v>
      </c>
    </row>
    <row r="105" spans="1:10" x14ac:dyDescent="0.25">
      <c r="A105" s="16" t="s">
        <v>7832</v>
      </c>
      <c r="B105" s="16" t="s">
        <v>7833</v>
      </c>
      <c r="C105" s="16" t="s">
        <v>7834</v>
      </c>
      <c r="D105" s="16" t="s">
        <v>7835</v>
      </c>
      <c r="E105" s="16" t="s">
        <v>7836</v>
      </c>
      <c r="F105" s="16" t="s">
        <v>1603</v>
      </c>
      <c r="G105" s="19" t="s">
        <v>1601</v>
      </c>
      <c r="H105" s="19" t="s">
        <v>1608</v>
      </c>
      <c r="I105" s="16" t="s">
        <v>1575</v>
      </c>
      <c r="J105" s="25" t="s">
        <v>7837</v>
      </c>
    </row>
    <row r="106" spans="1:10" x14ac:dyDescent="0.25">
      <c r="A106" s="16" t="s">
        <v>7838</v>
      </c>
      <c r="B106" s="16" t="s">
        <v>7839</v>
      </c>
      <c r="C106" s="16" t="s">
        <v>7840</v>
      </c>
      <c r="D106" s="16" t="s">
        <v>1473</v>
      </c>
      <c r="E106" s="16" t="s">
        <v>7841</v>
      </c>
      <c r="F106" s="16" t="s">
        <v>1575</v>
      </c>
      <c r="G106" s="19" t="s">
        <v>1601</v>
      </c>
      <c r="H106" s="19" t="s">
        <v>1608</v>
      </c>
      <c r="I106" s="25" t="s">
        <v>7842</v>
      </c>
      <c r="J106" s="25" t="s">
        <v>7843</v>
      </c>
    </row>
    <row r="107" spans="1:10" x14ac:dyDescent="0.25">
      <c r="A107" s="16" t="s">
        <v>7844</v>
      </c>
      <c r="B107" s="16" t="s">
        <v>7845</v>
      </c>
      <c r="C107" s="16" t="s">
        <v>7846</v>
      </c>
      <c r="D107" s="16" t="s">
        <v>1478</v>
      </c>
      <c r="E107" s="16" t="s">
        <v>7847</v>
      </c>
      <c r="F107" s="16" t="s">
        <v>7760</v>
      </c>
      <c r="G107" s="19" t="s">
        <v>1601</v>
      </c>
      <c r="H107" s="19" t="s">
        <v>1608</v>
      </c>
      <c r="I107" s="25" t="s">
        <v>7848</v>
      </c>
      <c r="J107" s="25" t="s">
        <v>7849</v>
      </c>
    </row>
    <row r="108" spans="1:10" x14ac:dyDescent="0.25">
      <c r="A108" s="16" t="s">
        <v>7850</v>
      </c>
      <c r="B108" s="16" t="s">
        <v>7823</v>
      </c>
      <c r="C108" s="16" t="s">
        <v>7851</v>
      </c>
      <c r="D108" s="16" t="s">
        <v>7852</v>
      </c>
      <c r="E108" s="16" t="s">
        <v>7853</v>
      </c>
      <c r="F108" s="16" t="s">
        <v>4690</v>
      </c>
      <c r="G108" s="19" t="s">
        <v>1601</v>
      </c>
      <c r="H108" s="19" t="s">
        <v>1608</v>
      </c>
      <c r="I108" s="25" t="s">
        <v>7854</v>
      </c>
      <c r="J108" s="25" t="s">
        <v>7855</v>
      </c>
    </row>
    <row r="109" spans="1:10" x14ac:dyDescent="0.25">
      <c r="A109" s="16" t="s">
        <v>7856</v>
      </c>
      <c r="B109" s="16" t="s">
        <v>1614</v>
      </c>
      <c r="C109" s="16" t="s">
        <v>1575</v>
      </c>
      <c r="D109" s="16" t="s">
        <v>7857</v>
      </c>
      <c r="E109" s="16" t="s">
        <v>7858</v>
      </c>
      <c r="F109" s="16" t="s">
        <v>2164</v>
      </c>
      <c r="G109" s="19" t="s">
        <v>1601</v>
      </c>
      <c r="H109" s="19" t="s">
        <v>1608</v>
      </c>
      <c r="I109" s="16" t="s">
        <v>1575</v>
      </c>
      <c r="J109" s="25" t="s">
        <v>7859</v>
      </c>
    </row>
    <row r="110" spans="1:10" x14ac:dyDescent="0.25">
      <c r="A110" s="16" t="s">
        <v>7860</v>
      </c>
      <c r="B110" s="16" t="s">
        <v>1610</v>
      </c>
      <c r="C110" s="16" t="s">
        <v>1575</v>
      </c>
      <c r="D110" s="16" t="s">
        <v>7861</v>
      </c>
      <c r="E110" s="16" t="s">
        <v>7862</v>
      </c>
      <c r="F110" s="16" t="s">
        <v>4551</v>
      </c>
      <c r="G110" s="19" t="s">
        <v>1601</v>
      </c>
      <c r="H110" s="19" t="s">
        <v>1608</v>
      </c>
      <c r="I110" s="25" t="s">
        <v>7863</v>
      </c>
      <c r="J110" s="25" t="s">
        <v>7864</v>
      </c>
    </row>
    <row r="111" spans="1:10" x14ac:dyDescent="0.25">
      <c r="A111" s="16" t="s">
        <v>7865</v>
      </c>
      <c r="B111" s="16" t="s">
        <v>1633</v>
      </c>
      <c r="C111" s="16" t="s">
        <v>1575</v>
      </c>
      <c r="D111" s="16" t="s">
        <v>6209</v>
      </c>
      <c r="E111" s="16" t="s">
        <v>7866</v>
      </c>
      <c r="F111" s="16" t="s">
        <v>1626</v>
      </c>
      <c r="G111" s="19" t="s">
        <v>1601</v>
      </c>
      <c r="H111" s="19" t="s">
        <v>1612</v>
      </c>
      <c r="I111" s="25" t="s">
        <v>7867</v>
      </c>
      <c r="J111" s="25" t="s">
        <v>7868</v>
      </c>
    </row>
    <row r="112" spans="1:10" x14ac:dyDescent="0.25">
      <c r="A112" s="16" t="s">
        <v>7869</v>
      </c>
      <c r="B112" s="16" t="s">
        <v>1626</v>
      </c>
      <c r="C112" s="16" t="s">
        <v>7870</v>
      </c>
      <c r="D112" s="16" t="s">
        <v>7871</v>
      </c>
      <c r="E112" s="16" t="s">
        <v>7872</v>
      </c>
      <c r="F112" s="16" t="s">
        <v>1575</v>
      </c>
      <c r="G112" s="19" t="s">
        <v>1601</v>
      </c>
      <c r="H112" s="19" t="s">
        <v>1612</v>
      </c>
      <c r="I112" s="25" t="s">
        <v>7873</v>
      </c>
      <c r="J112" s="25" t="s">
        <v>7874</v>
      </c>
    </row>
    <row r="113" spans="1:10" x14ac:dyDescent="0.25">
      <c r="A113" s="16" t="s">
        <v>7875</v>
      </c>
      <c r="B113" s="16" t="s">
        <v>1632</v>
      </c>
      <c r="C113" s="16" t="s">
        <v>7876</v>
      </c>
      <c r="D113" s="16" t="s">
        <v>6332</v>
      </c>
      <c r="E113" s="16" t="s">
        <v>7877</v>
      </c>
      <c r="F113" s="16" t="s">
        <v>1626</v>
      </c>
      <c r="G113" s="19" t="s">
        <v>1601</v>
      </c>
      <c r="H113" s="19" t="s">
        <v>1612</v>
      </c>
      <c r="I113" s="25" t="s">
        <v>7878</v>
      </c>
      <c r="J113" s="25" t="s">
        <v>7879</v>
      </c>
    </row>
    <row r="114" spans="1:10" x14ac:dyDescent="0.25">
      <c r="A114" s="16" t="s">
        <v>7880</v>
      </c>
      <c r="B114" s="16" t="s">
        <v>7881</v>
      </c>
      <c r="C114" s="16" t="s">
        <v>1575</v>
      </c>
      <c r="D114" s="16" t="s">
        <v>1527</v>
      </c>
      <c r="E114" s="16" t="s">
        <v>7882</v>
      </c>
      <c r="F114" s="16" t="s">
        <v>1626</v>
      </c>
      <c r="G114" s="19" t="s">
        <v>1601</v>
      </c>
      <c r="H114" s="19" t="s">
        <v>1612</v>
      </c>
      <c r="I114" s="25" t="s">
        <v>7883</v>
      </c>
      <c r="J114" s="25" t="s">
        <v>7884</v>
      </c>
    </row>
    <row r="115" spans="1:10" x14ac:dyDescent="0.25">
      <c r="A115" s="16" t="s">
        <v>7885</v>
      </c>
      <c r="B115" s="16" t="s">
        <v>1628</v>
      </c>
      <c r="C115" s="16" t="s">
        <v>1575</v>
      </c>
      <c r="D115" s="16" t="s">
        <v>7886</v>
      </c>
      <c r="E115" s="16" t="s">
        <v>7887</v>
      </c>
      <c r="F115" s="16" t="s">
        <v>1626</v>
      </c>
      <c r="G115" s="19" t="s">
        <v>1601</v>
      </c>
      <c r="H115" s="19" t="s">
        <v>1612</v>
      </c>
      <c r="I115" s="25" t="s">
        <v>7888</v>
      </c>
      <c r="J115" s="25" t="s">
        <v>7889</v>
      </c>
    </row>
    <row r="116" spans="1:10" x14ac:dyDescent="0.25">
      <c r="A116" s="16" t="s">
        <v>7890</v>
      </c>
      <c r="B116" s="16" t="s">
        <v>7891</v>
      </c>
      <c r="C116" s="16" t="s">
        <v>1575</v>
      </c>
      <c r="D116" s="16" t="s">
        <v>7892</v>
      </c>
      <c r="E116" s="16" t="s">
        <v>7893</v>
      </c>
      <c r="F116" s="16" t="s">
        <v>1626</v>
      </c>
      <c r="G116" s="19" t="s">
        <v>1601</v>
      </c>
      <c r="H116" s="19" t="s">
        <v>1612</v>
      </c>
      <c r="I116" s="25" t="s">
        <v>7894</v>
      </c>
      <c r="J116" s="25" t="s">
        <v>7895</v>
      </c>
    </row>
    <row r="117" spans="1:10" x14ac:dyDescent="0.25">
      <c r="A117" s="16" t="s">
        <v>7896</v>
      </c>
      <c r="B117" s="16" t="s">
        <v>7897</v>
      </c>
      <c r="C117" s="16" t="s">
        <v>1575</v>
      </c>
      <c r="D117" s="16" t="s">
        <v>444</v>
      </c>
      <c r="E117" s="16" t="s">
        <v>7898</v>
      </c>
      <c r="F117" s="16" t="s">
        <v>1626</v>
      </c>
      <c r="G117" s="19" t="s">
        <v>1601</v>
      </c>
      <c r="H117" s="19" t="s">
        <v>1612</v>
      </c>
      <c r="I117" s="25" t="s">
        <v>7899</v>
      </c>
      <c r="J117" s="25" t="s">
        <v>7900</v>
      </c>
    </row>
    <row r="118" spans="1:10" x14ac:dyDescent="0.25">
      <c r="A118" s="16" t="s">
        <v>7901</v>
      </c>
      <c r="B118" s="16" t="s">
        <v>1627</v>
      </c>
      <c r="C118" s="16" t="s">
        <v>1575</v>
      </c>
      <c r="D118" s="16" t="s">
        <v>7902</v>
      </c>
      <c r="E118" s="16" t="s">
        <v>7903</v>
      </c>
      <c r="F118" s="16" t="s">
        <v>1626</v>
      </c>
      <c r="G118" s="19" t="s">
        <v>1601</v>
      </c>
      <c r="H118" s="19" t="s">
        <v>1612</v>
      </c>
      <c r="I118" s="25" t="s">
        <v>7904</v>
      </c>
      <c r="J118" s="25" t="s">
        <v>7905</v>
      </c>
    </row>
    <row r="119" spans="1:10" x14ac:dyDescent="0.25">
      <c r="A119" s="16" t="s">
        <v>7906</v>
      </c>
      <c r="B119" s="16" t="s">
        <v>7907</v>
      </c>
      <c r="C119" s="16" t="s">
        <v>1575</v>
      </c>
      <c r="D119" s="16" t="s">
        <v>7908</v>
      </c>
      <c r="E119" s="16" t="s">
        <v>7909</v>
      </c>
      <c r="F119" s="16" t="s">
        <v>1626</v>
      </c>
      <c r="G119" s="19" t="s">
        <v>1601</v>
      </c>
      <c r="H119" s="19" t="s">
        <v>1612</v>
      </c>
      <c r="I119" s="25" t="s">
        <v>7910</v>
      </c>
      <c r="J119" s="25" t="s">
        <v>7911</v>
      </c>
    </row>
    <row r="120" spans="1:10" x14ac:dyDescent="0.25">
      <c r="A120" s="16" t="s">
        <v>7912</v>
      </c>
      <c r="B120" s="16" t="s">
        <v>7913</v>
      </c>
      <c r="C120" s="16" t="s">
        <v>1575</v>
      </c>
      <c r="D120" s="16" t="s">
        <v>7914</v>
      </c>
      <c r="E120" s="16" t="s">
        <v>7915</v>
      </c>
      <c r="F120" s="16" t="s">
        <v>1626</v>
      </c>
      <c r="G120" s="19" t="s">
        <v>1601</v>
      </c>
      <c r="H120" s="19" t="s">
        <v>1612</v>
      </c>
      <c r="I120" s="25" t="s">
        <v>7916</v>
      </c>
      <c r="J120" s="25" t="s">
        <v>7917</v>
      </c>
    </row>
    <row r="121" spans="1:10" x14ac:dyDescent="0.25">
      <c r="A121" s="16" t="s">
        <v>7918</v>
      </c>
      <c r="B121" s="16" t="s">
        <v>1631</v>
      </c>
      <c r="C121" s="16" t="s">
        <v>1575</v>
      </c>
      <c r="D121" s="16" t="s">
        <v>7919</v>
      </c>
      <c r="E121" s="16" t="s">
        <v>7920</v>
      </c>
      <c r="F121" s="16" t="s">
        <v>1626</v>
      </c>
      <c r="G121" s="19" t="s">
        <v>1601</v>
      </c>
      <c r="H121" s="19" t="s">
        <v>1612</v>
      </c>
      <c r="I121" s="25" t="s">
        <v>7921</v>
      </c>
      <c r="J121" s="25" t="s">
        <v>7922</v>
      </c>
    </row>
    <row r="122" spans="1:10" x14ac:dyDescent="0.25">
      <c r="A122" s="16" t="s">
        <v>7923</v>
      </c>
      <c r="B122" s="16" t="s">
        <v>1625</v>
      </c>
      <c r="C122" s="16" t="s">
        <v>1575</v>
      </c>
      <c r="D122" s="16" t="s">
        <v>7924</v>
      </c>
      <c r="E122" s="16" t="s">
        <v>7925</v>
      </c>
      <c r="F122" s="16" t="s">
        <v>1626</v>
      </c>
      <c r="G122" s="19" t="s">
        <v>1601</v>
      </c>
      <c r="H122" s="19" t="s">
        <v>1612</v>
      </c>
      <c r="I122" s="25" t="s">
        <v>7926</v>
      </c>
      <c r="J122" s="25" t="s">
        <v>7927</v>
      </c>
    </row>
    <row r="123" spans="1:10" x14ac:dyDescent="0.25">
      <c r="A123" s="16" t="s">
        <v>7928</v>
      </c>
      <c r="B123" s="16" t="s">
        <v>1634</v>
      </c>
      <c r="C123" s="16" t="s">
        <v>7929</v>
      </c>
      <c r="D123" s="16" t="s">
        <v>7930</v>
      </c>
      <c r="E123" s="16" t="s">
        <v>7931</v>
      </c>
      <c r="F123" s="16" t="s">
        <v>1626</v>
      </c>
      <c r="G123" s="19" t="s">
        <v>1601</v>
      </c>
      <c r="H123" s="19" t="s">
        <v>1612</v>
      </c>
      <c r="I123" s="25" t="s">
        <v>7932</v>
      </c>
      <c r="J123" s="25" t="s">
        <v>7933</v>
      </c>
    </row>
    <row r="124" spans="1:10" x14ac:dyDescent="0.25">
      <c r="A124" s="16" t="s">
        <v>7934</v>
      </c>
      <c r="B124" s="16" t="s">
        <v>1629</v>
      </c>
      <c r="C124" s="16" t="s">
        <v>1575</v>
      </c>
      <c r="D124" s="16" t="s">
        <v>7935</v>
      </c>
      <c r="E124" s="16" t="s">
        <v>7936</v>
      </c>
      <c r="F124" s="16" t="s">
        <v>1626</v>
      </c>
      <c r="G124" s="19" t="s">
        <v>1601</v>
      </c>
      <c r="H124" s="19" t="s">
        <v>1612</v>
      </c>
      <c r="I124" s="25" t="s">
        <v>7937</v>
      </c>
      <c r="J124" s="25" t="s">
        <v>7938</v>
      </c>
    </row>
    <row r="125" spans="1:10" x14ac:dyDescent="0.25">
      <c r="A125" s="16" t="s">
        <v>7939</v>
      </c>
      <c r="B125" s="16" t="s">
        <v>1623</v>
      </c>
      <c r="C125" s="16" t="s">
        <v>7940</v>
      </c>
      <c r="D125" s="16" t="s">
        <v>6295</v>
      </c>
      <c r="E125" s="16" t="s">
        <v>7941</v>
      </c>
      <c r="F125" s="16" t="s">
        <v>1575</v>
      </c>
      <c r="G125" s="19" t="s">
        <v>1601</v>
      </c>
      <c r="H125" s="19" t="s">
        <v>1612</v>
      </c>
      <c r="I125" s="25" t="s">
        <v>7942</v>
      </c>
      <c r="J125" s="25" t="s">
        <v>7943</v>
      </c>
    </row>
    <row r="126" spans="1:10" x14ac:dyDescent="0.25">
      <c r="A126" s="16" t="s">
        <v>7944</v>
      </c>
      <c r="B126" s="16" t="s">
        <v>7945</v>
      </c>
      <c r="C126" s="16" t="s">
        <v>1575</v>
      </c>
      <c r="D126" s="16" t="s">
        <v>3272</v>
      </c>
      <c r="E126" s="16" t="s">
        <v>7946</v>
      </c>
      <c r="F126" s="16" t="s">
        <v>7305</v>
      </c>
      <c r="G126" s="19" t="s">
        <v>1601</v>
      </c>
      <c r="H126" s="19" t="s">
        <v>1617</v>
      </c>
      <c r="I126" s="25" t="s">
        <v>7947</v>
      </c>
      <c r="J126" s="25" t="s">
        <v>7948</v>
      </c>
    </row>
    <row r="127" spans="1:10" x14ac:dyDescent="0.25">
      <c r="A127" s="16" t="s">
        <v>7949</v>
      </c>
      <c r="B127" s="16" t="s">
        <v>1635</v>
      </c>
      <c r="C127" s="16" t="s">
        <v>1575</v>
      </c>
      <c r="D127" s="16" t="s">
        <v>6337</v>
      </c>
      <c r="E127" s="16" t="s">
        <v>7950</v>
      </c>
      <c r="F127" s="16" t="s">
        <v>7305</v>
      </c>
      <c r="G127" s="19" t="s">
        <v>1601</v>
      </c>
      <c r="H127" s="19" t="s">
        <v>1617</v>
      </c>
      <c r="I127" s="16" t="s">
        <v>1575</v>
      </c>
      <c r="J127" s="25" t="s">
        <v>7951</v>
      </c>
    </row>
    <row r="128" spans="1:10" x14ac:dyDescent="0.25">
      <c r="A128" s="16" t="s">
        <v>7952</v>
      </c>
      <c r="B128" s="16" t="s">
        <v>7953</v>
      </c>
      <c r="C128" s="16" t="s">
        <v>7954</v>
      </c>
      <c r="D128" s="16" t="s">
        <v>7955</v>
      </c>
      <c r="E128" s="16" t="s">
        <v>7956</v>
      </c>
      <c r="F128" s="16" t="s">
        <v>1575</v>
      </c>
      <c r="G128" s="19" t="s">
        <v>1601</v>
      </c>
      <c r="H128" s="19" t="s">
        <v>1602</v>
      </c>
      <c r="I128" s="25" t="s">
        <v>7957</v>
      </c>
      <c r="J128" s="25" t="s">
        <v>7958</v>
      </c>
    </row>
    <row r="129" spans="1:10" x14ac:dyDescent="0.25">
      <c r="A129" s="16" t="s">
        <v>7959</v>
      </c>
      <c r="B129" s="16" t="s">
        <v>7960</v>
      </c>
      <c r="C129" s="16" t="s">
        <v>1575</v>
      </c>
      <c r="D129" s="16" t="s">
        <v>7961</v>
      </c>
      <c r="E129" s="16" t="s">
        <v>7962</v>
      </c>
      <c r="F129" s="16" t="s">
        <v>4690</v>
      </c>
      <c r="G129" s="19" t="s">
        <v>1601</v>
      </c>
      <c r="H129" s="19" t="s">
        <v>1602</v>
      </c>
      <c r="I129" s="25" t="s">
        <v>7963</v>
      </c>
      <c r="J129" s="25" t="s">
        <v>7964</v>
      </c>
    </row>
    <row r="130" spans="1:10" x14ac:dyDescent="0.25">
      <c r="A130" s="16" t="s">
        <v>7965</v>
      </c>
      <c r="B130" s="16" t="s">
        <v>7966</v>
      </c>
      <c r="C130" s="16" t="s">
        <v>7967</v>
      </c>
      <c r="D130" s="16" t="s">
        <v>7968</v>
      </c>
      <c r="E130" s="16" t="s">
        <v>7969</v>
      </c>
      <c r="F130" s="16" t="s">
        <v>4690</v>
      </c>
      <c r="G130" s="19" t="s">
        <v>1601</v>
      </c>
      <c r="H130" s="19" t="s">
        <v>1602</v>
      </c>
      <c r="I130" s="25" t="s">
        <v>7970</v>
      </c>
      <c r="J130" s="25" t="s">
        <v>7971</v>
      </c>
    </row>
    <row r="131" spans="1:10" x14ac:dyDescent="0.25">
      <c r="A131" s="16" t="s">
        <v>7972</v>
      </c>
      <c r="B131" s="16" t="s">
        <v>7973</v>
      </c>
      <c r="C131" s="16" t="s">
        <v>7974</v>
      </c>
      <c r="D131" s="16" t="s">
        <v>7975</v>
      </c>
      <c r="E131" s="16" t="s">
        <v>7976</v>
      </c>
      <c r="F131" s="16" t="s">
        <v>1575</v>
      </c>
      <c r="G131" s="19" t="s">
        <v>1601</v>
      </c>
      <c r="H131" s="19" t="s">
        <v>1602</v>
      </c>
      <c r="I131" s="25" t="s">
        <v>7977</v>
      </c>
      <c r="J131" s="25" t="s">
        <v>7978</v>
      </c>
    </row>
    <row r="132" spans="1:10" x14ac:dyDescent="0.25">
      <c r="A132" s="16" t="s">
        <v>7979</v>
      </c>
      <c r="B132" s="16" t="s">
        <v>1630</v>
      </c>
      <c r="C132" s="16" t="s">
        <v>1575</v>
      </c>
      <c r="D132" s="16" t="s">
        <v>7980</v>
      </c>
      <c r="E132" s="16" t="s">
        <v>7981</v>
      </c>
      <c r="F132" s="16" t="s">
        <v>1575</v>
      </c>
      <c r="G132" s="19" t="s">
        <v>1601</v>
      </c>
      <c r="H132" s="19" t="s">
        <v>1602</v>
      </c>
      <c r="I132" s="25" t="s">
        <v>7982</v>
      </c>
      <c r="J132" s="25" t="s">
        <v>7983</v>
      </c>
    </row>
    <row r="133" spans="1:10" x14ac:dyDescent="0.25">
      <c r="A133" s="16" t="s">
        <v>7984</v>
      </c>
      <c r="B133" s="16" t="s">
        <v>1705</v>
      </c>
      <c r="C133" s="16" t="s">
        <v>7985</v>
      </c>
      <c r="D133" s="16" t="s">
        <v>6354</v>
      </c>
      <c r="E133" s="16" t="s">
        <v>7986</v>
      </c>
      <c r="F133" s="16" t="s">
        <v>1630</v>
      </c>
      <c r="G133" s="19" t="s">
        <v>1601</v>
      </c>
      <c r="H133" s="19" t="s">
        <v>1602</v>
      </c>
      <c r="I133" s="25" t="s">
        <v>7987</v>
      </c>
      <c r="J133" s="25" t="s">
        <v>7988</v>
      </c>
    </row>
    <row r="134" spans="1:10" x14ac:dyDescent="0.25">
      <c r="A134" s="16" t="s">
        <v>7989</v>
      </c>
      <c r="B134" s="16" t="s">
        <v>1706</v>
      </c>
      <c r="C134" s="16" t="s">
        <v>7990</v>
      </c>
      <c r="D134" s="16" t="s">
        <v>6353</v>
      </c>
      <c r="E134" s="16" t="s">
        <v>7991</v>
      </c>
      <c r="F134" s="16" t="s">
        <v>1630</v>
      </c>
      <c r="G134" s="19" t="s">
        <v>1601</v>
      </c>
      <c r="H134" s="19" t="s">
        <v>1602</v>
      </c>
      <c r="I134" s="25" t="s">
        <v>7992</v>
      </c>
      <c r="J134" s="25" t="s">
        <v>7993</v>
      </c>
    </row>
    <row r="135" spans="1:10" x14ac:dyDescent="0.25">
      <c r="A135" s="16" t="s">
        <v>7994</v>
      </c>
      <c r="B135" s="16" t="s">
        <v>1604</v>
      </c>
      <c r="C135" s="16" t="s">
        <v>1575</v>
      </c>
      <c r="D135" s="16" t="s">
        <v>7182</v>
      </c>
      <c r="E135" s="16" t="s">
        <v>7995</v>
      </c>
      <c r="F135" s="16" t="s">
        <v>7823</v>
      </c>
      <c r="G135" s="19" t="s">
        <v>1601</v>
      </c>
      <c r="H135" s="19" t="s">
        <v>1602</v>
      </c>
      <c r="I135" s="25" t="s">
        <v>7996</v>
      </c>
      <c r="J135" s="25" t="s">
        <v>7997</v>
      </c>
    </row>
    <row r="136" spans="1:10" x14ac:dyDescent="0.25">
      <c r="A136" s="16" t="s">
        <v>7998</v>
      </c>
      <c r="B136" s="16" t="s">
        <v>7999</v>
      </c>
      <c r="C136" s="16" t="s">
        <v>1575</v>
      </c>
      <c r="D136" s="16" t="s">
        <v>8000</v>
      </c>
      <c r="E136" s="16" t="s">
        <v>8001</v>
      </c>
      <c r="F136" s="16" t="s">
        <v>1575</v>
      </c>
      <c r="G136" s="19" t="s">
        <v>1601</v>
      </c>
      <c r="H136" s="19" t="s">
        <v>1602</v>
      </c>
      <c r="I136" s="25" t="s">
        <v>8002</v>
      </c>
      <c r="J136" s="25" t="s">
        <v>8003</v>
      </c>
    </row>
    <row r="137" spans="1:10" x14ac:dyDescent="0.25">
      <c r="A137" s="16" t="s">
        <v>8004</v>
      </c>
      <c r="B137" s="16" t="s">
        <v>8005</v>
      </c>
      <c r="C137" s="16" t="s">
        <v>1575</v>
      </c>
      <c r="D137" s="16" t="s">
        <v>8006</v>
      </c>
      <c r="E137" s="16" t="s">
        <v>8007</v>
      </c>
      <c r="F137" s="16" t="s">
        <v>1626</v>
      </c>
      <c r="G137" s="19" t="s">
        <v>1601</v>
      </c>
      <c r="H137" s="19" t="s">
        <v>1602</v>
      </c>
      <c r="I137" s="25" t="s">
        <v>8008</v>
      </c>
      <c r="J137" s="25" t="s">
        <v>8009</v>
      </c>
    </row>
    <row r="138" spans="1:10" x14ac:dyDescent="0.25">
      <c r="A138" s="16" t="s">
        <v>8010</v>
      </c>
      <c r="B138" s="16" t="s">
        <v>1606</v>
      </c>
      <c r="C138" s="16" t="s">
        <v>8011</v>
      </c>
      <c r="D138" s="16" t="s">
        <v>8012</v>
      </c>
      <c r="E138" s="16" t="s">
        <v>8013</v>
      </c>
      <c r="F138" s="16" t="s">
        <v>1603</v>
      </c>
      <c r="G138" s="19" t="s">
        <v>1601</v>
      </c>
      <c r="H138" s="19" t="s">
        <v>1602</v>
      </c>
      <c r="I138" s="25" t="s">
        <v>8014</v>
      </c>
      <c r="J138" s="25" t="s">
        <v>8015</v>
      </c>
    </row>
    <row r="139" spans="1:10" x14ac:dyDescent="0.25">
      <c r="A139" s="16" t="s">
        <v>8016</v>
      </c>
      <c r="B139" s="16" t="s">
        <v>8017</v>
      </c>
      <c r="C139" s="16" t="s">
        <v>1575</v>
      </c>
      <c r="D139" s="16" t="s">
        <v>8018</v>
      </c>
      <c r="E139" s="16" t="s">
        <v>8019</v>
      </c>
      <c r="F139" s="16" t="s">
        <v>1575</v>
      </c>
      <c r="G139" s="19" t="s">
        <v>1601</v>
      </c>
      <c r="H139" s="19" t="s">
        <v>1602</v>
      </c>
      <c r="I139" s="25" t="s">
        <v>8020</v>
      </c>
      <c r="J139" s="25" t="s">
        <v>8021</v>
      </c>
    </row>
    <row r="140" spans="1:10" x14ac:dyDescent="0.25">
      <c r="A140" s="16" t="s">
        <v>8022</v>
      </c>
      <c r="B140" s="16" t="s">
        <v>8023</v>
      </c>
      <c r="C140" s="16" t="s">
        <v>1575</v>
      </c>
      <c r="D140" s="16" t="s">
        <v>8024</v>
      </c>
      <c r="E140" s="16" t="s">
        <v>8025</v>
      </c>
      <c r="F140" s="16" t="s">
        <v>1575</v>
      </c>
      <c r="G140" s="19" t="s">
        <v>1601</v>
      </c>
      <c r="H140" s="19" t="s">
        <v>1602</v>
      </c>
      <c r="I140" s="25" t="s">
        <v>8026</v>
      </c>
      <c r="J140" s="25" t="s">
        <v>8027</v>
      </c>
    </row>
    <row r="141" spans="1:10" x14ac:dyDescent="0.25">
      <c r="A141" s="16" t="s">
        <v>8028</v>
      </c>
      <c r="B141" s="16" t="s">
        <v>8029</v>
      </c>
      <c r="C141" s="16" t="s">
        <v>8030</v>
      </c>
      <c r="D141" s="16" t="s">
        <v>1647</v>
      </c>
      <c r="E141" s="16" t="s">
        <v>8031</v>
      </c>
      <c r="F141" s="16" t="s">
        <v>1575</v>
      </c>
      <c r="G141" s="19" t="s">
        <v>1601</v>
      </c>
      <c r="H141" s="19" t="s">
        <v>1602</v>
      </c>
      <c r="I141" s="25" t="s">
        <v>8032</v>
      </c>
      <c r="J141" s="25" t="s">
        <v>8033</v>
      </c>
    </row>
    <row r="142" spans="1:10" x14ac:dyDescent="0.25">
      <c r="A142" s="16" t="s">
        <v>8034</v>
      </c>
      <c r="B142" s="16" t="s">
        <v>1650</v>
      </c>
      <c r="C142" s="16" t="s">
        <v>8035</v>
      </c>
      <c r="D142" s="16" t="s">
        <v>1652</v>
      </c>
      <c r="E142" s="16" t="s">
        <v>8036</v>
      </c>
      <c r="F142" s="16" t="s">
        <v>1575</v>
      </c>
      <c r="G142" s="19" t="s">
        <v>1601</v>
      </c>
      <c r="H142" s="19" t="s">
        <v>1602</v>
      </c>
      <c r="I142" s="25" t="s">
        <v>8037</v>
      </c>
      <c r="J142" s="25" t="s">
        <v>8038</v>
      </c>
    </row>
    <row r="143" spans="1:10" x14ac:dyDescent="0.25">
      <c r="A143" s="16" t="s">
        <v>8039</v>
      </c>
      <c r="B143" s="16" t="s">
        <v>8040</v>
      </c>
      <c r="C143" s="16" t="s">
        <v>8041</v>
      </c>
      <c r="D143" s="16" t="s">
        <v>8042</v>
      </c>
      <c r="E143" s="16" t="s">
        <v>8043</v>
      </c>
      <c r="F143" s="16" t="s">
        <v>1575</v>
      </c>
      <c r="G143" s="19" t="s">
        <v>1601</v>
      </c>
      <c r="H143" s="19" t="s">
        <v>1602</v>
      </c>
      <c r="I143" s="25" t="s">
        <v>8044</v>
      </c>
      <c r="J143" s="25" t="s">
        <v>8045</v>
      </c>
    </row>
    <row r="144" spans="1:10" x14ac:dyDescent="0.25">
      <c r="A144" s="16" t="s">
        <v>8046</v>
      </c>
      <c r="B144" s="16" t="s">
        <v>1707</v>
      </c>
      <c r="C144" s="16" t="s">
        <v>8047</v>
      </c>
      <c r="D144" s="16" t="s">
        <v>6351</v>
      </c>
      <c r="E144" s="16" t="s">
        <v>8048</v>
      </c>
      <c r="F144" s="16" t="s">
        <v>1630</v>
      </c>
      <c r="G144" s="19" t="s">
        <v>1601</v>
      </c>
      <c r="H144" s="19" t="s">
        <v>1602</v>
      </c>
      <c r="I144" s="25" t="s">
        <v>8049</v>
      </c>
      <c r="J144" s="25" t="s">
        <v>8050</v>
      </c>
    </row>
    <row r="145" spans="1:10" x14ac:dyDescent="0.25">
      <c r="A145" s="16" t="s">
        <v>8051</v>
      </c>
      <c r="B145" s="16" t="s">
        <v>8052</v>
      </c>
      <c r="C145" s="16" t="s">
        <v>8053</v>
      </c>
      <c r="D145" s="16" t="s">
        <v>8054</v>
      </c>
      <c r="E145" s="16" t="s">
        <v>8055</v>
      </c>
      <c r="F145" s="16" t="s">
        <v>1575</v>
      </c>
      <c r="G145" s="19" t="s">
        <v>1601</v>
      </c>
      <c r="H145" s="19" t="s">
        <v>1602</v>
      </c>
      <c r="I145" s="25" t="s">
        <v>8056</v>
      </c>
      <c r="J145" s="25" t="s">
        <v>8057</v>
      </c>
    </row>
    <row r="146" spans="1:10" x14ac:dyDescent="0.25">
      <c r="A146" s="16" t="s">
        <v>8058</v>
      </c>
      <c r="B146" s="16" t="s">
        <v>1708</v>
      </c>
      <c r="C146" s="16" t="s">
        <v>1575</v>
      </c>
      <c r="D146" s="16" t="s">
        <v>8059</v>
      </c>
      <c r="E146" s="16" t="s">
        <v>8060</v>
      </c>
      <c r="F146" s="16" t="s">
        <v>1630</v>
      </c>
      <c r="G146" s="19" t="s">
        <v>1601</v>
      </c>
      <c r="H146" s="19" t="s">
        <v>1602</v>
      </c>
      <c r="I146" s="25" t="s">
        <v>8061</v>
      </c>
      <c r="J146" s="25" t="s">
        <v>8062</v>
      </c>
    </row>
    <row r="147" spans="1:10" x14ac:dyDescent="0.25">
      <c r="A147" s="16" t="s">
        <v>8063</v>
      </c>
      <c r="B147" s="16" t="s">
        <v>1709</v>
      </c>
      <c r="C147" s="16" t="s">
        <v>8064</v>
      </c>
      <c r="D147" s="16" t="s">
        <v>8065</v>
      </c>
      <c r="E147" s="16" t="s">
        <v>8066</v>
      </c>
      <c r="F147" s="16" t="s">
        <v>1630</v>
      </c>
      <c r="G147" s="19" t="s">
        <v>1601</v>
      </c>
      <c r="H147" s="19" t="s">
        <v>1602</v>
      </c>
      <c r="I147" s="25" t="s">
        <v>8067</v>
      </c>
      <c r="J147" s="25" t="s">
        <v>8068</v>
      </c>
    </row>
    <row r="148" spans="1:10" x14ac:dyDescent="0.25">
      <c r="A148" s="16" t="s">
        <v>8069</v>
      </c>
      <c r="B148" s="16" t="s">
        <v>1711</v>
      </c>
      <c r="C148" s="16" t="s">
        <v>8070</v>
      </c>
      <c r="D148" s="16" t="s">
        <v>6356</v>
      </c>
      <c r="E148" s="16" t="s">
        <v>8071</v>
      </c>
      <c r="F148" s="16" t="s">
        <v>1630</v>
      </c>
      <c r="G148" s="19" t="s">
        <v>1601</v>
      </c>
      <c r="H148" s="19" t="s">
        <v>1602</v>
      </c>
      <c r="I148" s="25" t="s">
        <v>8072</v>
      </c>
      <c r="J148" s="25" t="s">
        <v>8073</v>
      </c>
    </row>
    <row r="149" spans="1:10" x14ac:dyDescent="0.25">
      <c r="A149" s="16" t="s">
        <v>8074</v>
      </c>
      <c r="B149" s="16" t="s">
        <v>1802</v>
      </c>
      <c r="C149" s="16" t="s">
        <v>1575</v>
      </c>
      <c r="D149" s="16" t="s">
        <v>1739</v>
      </c>
      <c r="E149" s="16" t="s">
        <v>8075</v>
      </c>
      <c r="F149" s="16" t="s">
        <v>1575</v>
      </c>
      <c r="G149" s="19" t="s">
        <v>1601</v>
      </c>
      <c r="H149" s="19" t="s">
        <v>1602</v>
      </c>
      <c r="I149" s="16" t="s">
        <v>1575</v>
      </c>
      <c r="J149" s="25" t="s">
        <v>8076</v>
      </c>
    </row>
    <row r="150" spans="1:10" x14ac:dyDescent="0.25">
      <c r="A150" s="16" t="s">
        <v>8077</v>
      </c>
      <c r="B150" s="16" t="s">
        <v>1607</v>
      </c>
      <c r="C150" s="16" t="s">
        <v>1575</v>
      </c>
      <c r="D150" s="16" t="s">
        <v>400</v>
      </c>
      <c r="E150" s="16" t="s">
        <v>8078</v>
      </c>
      <c r="F150" s="16" t="s">
        <v>1603</v>
      </c>
      <c r="G150" s="19" t="s">
        <v>1601</v>
      </c>
      <c r="H150" s="19" t="s">
        <v>1602</v>
      </c>
      <c r="I150" s="25" t="s">
        <v>8079</v>
      </c>
      <c r="J150" s="25" t="s">
        <v>8080</v>
      </c>
    </row>
    <row r="151" spans="1:10" x14ac:dyDescent="0.25">
      <c r="A151" s="16" t="s">
        <v>8081</v>
      </c>
      <c r="B151" s="16" t="s">
        <v>1620</v>
      </c>
      <c r="C151" s="16" t="s">
        <v>8082</v>
      </c>
      <c r="D151" s="16" t="s">
        <v>6235</v>
      </c>
      <c r="E151" s="16" t="s">
        <v>8083</v>
      </c>
      <c r="F151" s="16" t="s">
        <v>1603</v>
      </c>
      <c r="G151" s="19" t="s">
        <v>1601</v>
      </c>
      <c r="H151" s="19" t="s">
        <v>1602</v>
      </c>
      <c r="I151" s="25" t="s">
        <v>8084</v>
      </c>
      <c r="J151" s="25" t="s">
        <v>8085</v>
      </c>
    </row>
    <row r="152" spans="1:10" x14ac:dyDescent="0.25">
      <c r="A152" s="16" t="s">
        <v>8086</v>
      </c>
      <c r="B152" s="16" t="s">
        <v>1788</v>
      </c>
      <c r="C152" s="16" t="s">
        <v>8087</v>
      </c>
      <c r="D152" s="16" t="s">
        <v>8088</v>
      </c>
      <c r="E152" s="16" t="s">
        <v>8089</v>
      </c>
      <c r="F152" s="16" t="s">
        <v>1575</v>
      </c>
      <c r="G152" s="19" t="s">
        <v>1601</v>
      </c>
      <c r="H152" s="19" t="s">
        <v>1602</v>
      </c>
      <c r="I152" s="16" t="s">
        <v>1575</v>
      </c>
      <c r="J152" s="25" t="s">
        <v>8090</v>
      </c>
    </row>
    <row r="153" spans="1:10" x14ac:dyDescent="0.25">
      <c r="A153" s="16" t="s">
        <v>8091</v>
      </c>
      <c r="B153" s="16" t="s">
        <v>1611</v>
      </c>
      <c r="C153" s="16" t="s">
        <v>8092</v>
      </c>
      <c r="D153" s="16" t="s">
        <v>6225</v>
      </c>
      <c r="E153" s="16" t="s">
        <v>8093</v>
      </c>
      <c r="F153" s="16" t="s">
        <v>1603</v>
      </c>
      <c r="G153" s="19" t="s">
        <v>1601</v>
      </c>
      <c r="H153" s="19" t="s">
        <v>1602</v>
      </c>
      <c r="I153" s="25" t="s">
        <v>8094</v>
      </c>
      <c r="J153" s="25" t="s">
        <v>8095</v>
      </c>
    </row>
    <row r="154" spans="1:10" x14ac:dyDescent="0.25">
      <c r="A154" s="16" t="s">
        <v>8096</v>
      </c>
      <c r="B154" s="16" t="s">
        <v>8097</v>
      </c>
      <c r="C154" s="16" t="s">
        <v>8098</v>
      </c>
      <c r="D154" s="16" t="s">
        <v>8099</v>
      </c>
      <c r="E154" s="16" t="s">
        <v>8100</v>
      </c>
      <c r="F154" s="16" t="s">
        <v>7823</v>
      </c>
      <c r="G154" s="19" t="s">
        <v>1601</v>
      </c>
      <c r="H154" s="19" t="s">
        <v>1602</v>
      </c>
      <c r="I154" s="25" t="s">
        <v>8101</v>
      </c>
      <c r="J154" s="25" t="s">
        <v>8102</v>
      </c>
    </row>
    <row r="155" spans="1:10" x14ac:dyDescent="0.25">
      <c r="A155" s="16" t="s">
        <v>8103</v>
      </c>
      <c r="B155" s="16" t="s">
        <v>8104</v>
      </c>
      <c r="C155" s="16" t="s">
        <v>1575</v>
      </c>
      <c r="D155" s="16" t="s">
        <v>2158</v>
      </c>
      <c r="E155" s="16" t="s">
        <v>8105</v>
      </c>
      <c r="F155" s="16" t="s">
        <v>1575</v>
      </c>
      <c r="G155" s="19" t="s">
        <v>1601</v>
      </c>
      <c r="H155" s="19" t="s">
        <v>1602</v>
      </c>
      <c r="I155" s="25" t="s">
        <v>8106</v>
      </c>
      <c r="J155" s="25" t="s">
        <v>8107</v>
      </c>
    </row>
    <row r="156" spans="1:10" x14ac:dyDescent="0.25">
      <c r="A156" s="16" t="s">
        <v>8108</v>
      </c>
      <c r="B156" s="16" t="s">
        <v>3472</v>
      </c>
      <c r="C156" s="16" t="s">
        <v>1575</v>
      </c>
      <c r="D156" s="16" t="s">
        <v>3471</v>
      </c>
      <c r="E156" s="16" t="s">
        <v>8109</v>
      </c>
      <c r="F156" s="16" t="s">
        <v>1575</v>
      </c>
      <c r="G156" s="19" t="s">
        <v>1595</v>
      </c>
      <c r="H156" s="19" t="s">
        <v>1596</v>
      </c>
      <c r="I156" s="25" t="s">
        <v>8110</v>
      </c>
      <c r="J156" s="25" t="s">
        <v>8111</v>
      </c>
    </row>
    <row r="157" spans="1:10" x14ac:dyDescent="0.25">
      <c r="A157" s="16" t="s">
        <v>8112</v>
      </c>
      <c r="B157" s="16" t="s">
        <v>8113</v>
      </c>
      <c r="C157" s="16" t="s">
        <v>1575</v>
      </c>
      <c r="D157" s="16" t="s">
        <v>8114</v>
      </c>
      <c r="E157" s="16" t="s">
        <v>8114</v>
      </c>
      <c r="F157" s="16" t="s">
        <v>1575</v>
      </c>
      <c r="G157" s="19" t="s">
        <v>1595</v>
      </c>
      <c r="H157" s="19" t="s">
        <v>1596</v>
      </c>
      <c r="I157" s="25" t="s">
        <v>8115</v>
      </c>
      <c r="J157" s="16" t="s">
        <v>1575</v>
      </c>
    </row>
    <row r="158" spans="1:10" x14ac:dyDescent="0.25">
      <c r="A158" s="16" t="s">
        <v>8116</v>
      </c>
      <c r="B158" s="16" t="s">
        <v>8117</v>
      </c>
      <c r="C158" s="16" t="s">
        <v>1575</v>
      </c>
      <c r="D158" s="16" t="s">
        <v>6005</v>
      </c>
      <c r="E158" s="16" t="s">
        <v>8118</v>
      </c>
      <c r="F158" s="16" t="s">
        <v>7598</v>
      </c>
      <c r="G158" s="19" t="s">
        <v>1595</v>
      </c>
      <c r="H158" s="19" t="s">
        <v>1596</v>
      </c>
      <c r="I158" s="25" t="s">
        <v>8119</v>
      </c>
      <c r="J158" s="25" t="s">
        <v>8120</v>
      </c>
    </row>
    <row r="159" spans="1:10" x14ac:dyDescent="0.25">
      <c r="A159" s="16" t="s">
        <v>8121</v>
      </c>
      <c r="B159" s="16" t="s">
        <v>8122</v>
      </c>
      <c r="C159" s="16" t="s">
        <v>8123</v>
      </c>
      <c r="D159" s="16" t="s">
        <v>1937</v>
      </c>
      <c r="E159" s="16" t="s">
        <v>8124</v>
      </c>
      <c r="F159" s="16" t="s">
        <v>1575</v>
      </c>
      <c r="G159" s="19" t="s">
        <v>1595</v>
      </c>
      <c r="H159" s="19" t="s">
        <v>1810</v>
      </c>
      <c r="I159" s="25" t="s">
        <v>8125</v>
      </c>
      <c r="J159" s="25" t="s">
        <v>8126</v>
      </c>
    </row>
    <row r="160" spans="1:10" x14ac:dyDescent="0.25">
      <c r="A160" s="16" t="s">
        <v>8127</v>
      </c>
      <c r="B160" s="16" t="s">
        <v>1811</v>
      </c>
      <c r="C160" s="16" t="s">
        <v>8128</v>
      </c>
      <c r="D160" s="16" t="s">
        <v>8129</v>
      </c>
      <c r="E160" s="16" t="s">
        <v>8130</v>
      </c>
      <c r="F160" s="16" t="s">
        <v>3472</v>
      </c>
      <c r="G160" s="19" t="s">
        <v>1595</v>
      </c>
      <c r="H160" s="19" t="s">
        <v>1810</v>
      </c>
      <c r="I160" s="25" t="s">
        <v>8131</v>
      </c>
      <c r="J160" s="25" t="s">
        <v>8132</v>
      </c>
    </row>
    <row r="161" spans="1:10" x14ac:dyDescent="0.25">
      <c r="A161" s="16" t="s">
        <v>8133</v>
      </c>
      <c r="B161" s="16" t="s">
        <v>8134</v>
      </c>
      <c r="C161" s="16" t="s">
        <v>8135</v>
      </c>
      <c r="D161" s="16" t="s">
        <v>2013</v>
      </c>
      <c r="E161" s="16" t="s">
        <v>8136</v>
      </c>
      <c r="F161" s="16" t="s">
        <v>8122</v>
      </c>
      <c r="G161" s="19" t="s">
        <v>1595</v>
      </c>
      <c r="H161" s="19" t="s">
        <v>1810</v>
      </c>
      <c r="I161" s="25" t="s">
        <v>8137</v>
      </c>
      <c r="J161" s="25" t="s">
        <v>8138</v>
      </c>
    </row>
    <row r="162" spans="1:10" x14ac:dyDescent="0.25">
      <c r="A162" s="16" t="s">
        <v>8139</v>
      </c>
      <c r="B162" s="16" t="s">
        <v>2206</v>
      </c>
      <c r="C162" s="16" t="s">
        <v>8140</v>
      </c>
      <c r="D162" s="16" t="s">
        <v>6125</v>
      </c>
      <c r="E162" s="16" t="s">
        <v>8141</v>
      </c>
      <c r="F162" s="16" t="s">
        <v>8122</v>
      </c>
      <c r="G162" s="19" t="s">
        <v>1595</v>
      </c>
      <c r="H162" s="19" t="s">
        <v>1810</v>
      </c>
      <c r="I162" s="25" t="s">
        <v>8142</v>
      </c>
      <c r="J162" s="25" t="s">
        <v>8143</v>
      </c>
    </row>
    <row r="163" spans="1:10" x14ac:dyDescent="0.25">
      <c r="A163" s="16" t="s">
        <v>8144</v>
      </c>
      <c r="B163" s="16" t="s">
        <v>8145</v>
      </c>
      <c r="C163" s="16" t="s">
        <v>1575</v>
      </c>
      <c r="D163" s="16" t="s">
        <v>2046</v>
      </c>
      <c r="E163" s="16" t="s">
        <v>8146</v>
      </c>
      <c r="F163" s="16" t="s">
        <v>1575</v>
      </c>
      <c r="G163" s="19" t="s">
        <v>1595</v>
      </c>
      <c r="H163" s="19" t="s">
        <v>1810</v>
      </c>
      <c r="I163" s="25" t="s">
        <v>8147</v>
      </c>
      <c r="J163" s="25" t="s">
        <v>8148</v>
      </c>
    </row>
    <row r="164" spans="1:10" x14ac:dyDescent="0.25">
      <c r="A164" s="16" t="s">
        <v>8149</v>
      </c>
      <c r="B164" s="16" t="s">
        <v>8150</v>
      </c>
      <c r="C164" s="16" t="s">
        <v>1575</v>
      </c>
      <c r="D164" s="16" t="s">
        <v>6653</v>
      </c>
      <c r="E164" s="16" t="s">
        <v>8151</v>
      </c>
      <c r="F164" s="16" t="s">
        <v>1575</v>
      </c>
      <c r="G164" s="19" t="s">
        <v>1595</v>
      </c>
      <c r="H164" s="19" t="s">
        <v>1698</v>
      </c>
      <c r="I164" s="25" t="s">
        <v>8152</v>
      </c>
      <c r="J164" s="25" t="s">
        <v>8153</v>
      </c>
    </row>
    <row r="165" spans="1:10" x14ac:dyDescent="0.25">
      <c r="A165" s="16" t="s">
        <v>8154</v>
      </c>
      <c r="B165" s="16" t="s">
        <v>8155</v>
      </c>
      <c r="C165" s="16" t="s">
        <v>1575</v>
      </c>
      <c r="D165" s="16" t="s">
        <v>8156</v>
      </c>
      <c r="E165" s="16" t="s">
        <v>8157</v>
      </c>
      <c r="F165" s="16" t="s">
        <v>1575</v>
      </c>
      <c r="G165" s="19" t="s">
        <v>1595</v>
      </c>
      <c r="H165" s="19" t="s">
        <v>1587</v>
      </c>
      <c r="I165" s="25" t="s">
        <v>8158</v>
      </c>
      <c r="J165" s="25" t="s">
        <v>8159</v>
      </c>
    </row>
    <row r="166" spans="1:10" x14ac:dyDescent="0.25">
      <c r="A166" s="16" t="s">
        <v>8160</v>
      </c>
      <c r="B166" s="16" t="s">
        <v>1575</v>
      </c>
      <c r="C166" s="16" t="s">
        <v>1575</v>
      </c>
      <c r="D166" s="16" t="s">
        <v>8161</v>
      </c>
      <c r="E166" s="16" t="s">
        <v>8162</v>
      </c>
      <c r="F166" s="16" t="s">
        <v>1575</v>
      </c>
      <c r="G166" s="19" t="s">
        <v>1595</v>
      </c>
      <c r="H166" s="19" t="s">
        <v>1698</v>
      </c>
      <c r="I166" s="25" t="s">
        <v>8163</v>
      </c>
      <c r="J166" s="25" t="s">
        <v>8164</v>
      </c>
    </row>
    <row r="167" spans="1:10" x14ac:dyDescent="0.25">
      <c r="A167" s="16" t="s">
        <v>8165</v>
      </c>
      <c r="B167" s="16" t="s">
        <v>2173</v>
      </c>
      <c r="C167" s="16" t="s">
        <v>1575</v>
      </c>
      <c r="D167" s="16" t="s">
        <v>2104</v>
      </c>
      <c r="E167" s="16" t="s">
        <v>8166</v>
      </c>
      <c r="F167" s="16" t="s">
        <v>1575</v>
      </c>
      <c r="G167" s="19" t="s">
        <v>1578</v>
      </c>
      <c r="H167" s="19" t="s">
        <v>2113</v>
      </c>
      <c r="I167" s="25" t="s">
        <v>8167</v>
      </c>
      <c r="J167" s="25" t="s">
        <v>8168</v>
      </c>
    </row>
    <row r="168" spans="1:10" x14ac:dyDescent="0.25">
      <c r="A168" s="16" t="s">
        <v>8169</v>
      </c>
      <c r="B168" s="16" t="s">
        <v>8170</v>
      </c>
      <c r="C168" s="16" t="s">
        <v>1575</v>
      </c>
      <c r="D168" s="16" t="s">
        <v>8171</v>
      </c>
      <c r="E168" s="16" t="s">
        <v>2116</v>
      </c>
      <c r="F168" s="16" t="s">
        <v>1575</v>
      </c>
      <c r="G168" s="19" t="s">
        <v>1578</v>
      </c>
      <c r="H168" s="19" t="s">
        <v>2113</v>
      </c>
      <c r="I168" s="25" t="s">
        <v>8172</v>
      </c>
      <c r="J168" s="25" t="s">
        <v>8173</v>
      </c>
    </row>
    <row r="169" spans="1:10" x14ac:dyDescent="0.25">
      <c r="A169" s="16" t="s">
        <v>8174</v>
      </c>
      <c r="B169" s="16" t="s">
        <v>2107</v>
      </c>
      <c r="C169" s="16" t="s">
        <v>1575</v>
      </c>
      <c r="D169" s="16" t="s">
        <v>2145</v>
      </c>
      <c r="E169" s="16" t="s">
        <v>8175</v>
      </c>
      <c r="F169" s="16" t="s">
        <v>2173</v>
      </c>
      <c r="G169" s="19" t="s">
        <v>1578</v>
      </c>
      <c r="H169" s="19" t="s">
        <v>2113</v>
      </c>
      <c r="I169" s="25" t="s">
        <v>8176</v>
      </c>
      <c r="J169" s="25" t="s">
        <v>8177</v>
      </c>
    </row>
    <row r="170" spans="1:10" x14ac:dyDescent="0.25">
      <c r="A170" s="16" t="s">
        <v>8178</v>
      </c>
      <c r="B170" s="16" t="s">
        <v>8179</v>
      </c>
      <c r="C170" s="16" t="s">
        <v>1575</v>
      </c>
      <c r="D170" s="16" t="s">
        <v>6497</v>
      </c>
      <c r="E170" s="16" t="s">
        <v>8180</v>
      </c>
      <c r="F170" s="16" t="s">
        <v>1575</v>
      </c>
      <c r="G170" s="19" t="s">
        <v>1578</v>
      </c>
      <c r="H170" s="19" t="s">
        <v>2113</v>
      </c>
      <c r="I170" s="25" t="s">
        <v>8181</v>
      </c>
      <c r="J170" s="25" t="s">
        <v>8182</v>
      </c>
    </row>
    <row r="171" spans="1:10" x14ac:dyDescent="0.25">
      <c r="A171" s="16" t="s">
        <v>8183</v>
      </c>
      <c r="B171" s="16" t="s">
        <v>8184</v>
      </c>
      <c r="C171" s="16" t="s">
        <v>1575</v>
      </c>
      <c r="D171" s="16" t="s">
        <v>2261</v>
      </c>
      <c r="E171" s="16" t="s">
        <v>2261</v>
      </c>
      <c r="F171" s="16" t="s">
        <v>1575</v>
      </c>
      <c r="G171" s="19" t="s">
        <v>1578</v>
      </c>
      <c r="H171" s="19" t="s">
        <v>2113</v>
      </c>
      <c r="I171" s="25" t="s">
        <v>8185</v>
      </c>
      <c r="J171" s="16" t="s">
        <v>1575</v>
      </c>
    </row>
    <row r="172" spans="1:10" x14ac:dyDescent="0.25">
      <c r="A172" s="16" t="s">
        <v>8186</v>
      </c>
      <c r="B172" s="16" t="s">
        <v>8187</v>
      </c>
      <c r="C172" s="16" t="s">
        <v>1575</v>
      </c>
      <c r="D172" s="16" t="s">
        <v>8188</v>
      </c>
      <c r="E172" s="16" t="s">
        <v>8188</v>
      </c>
      <c r="F172" s="16" t="s">
        <v>1575</v>
      </c>
      <c r="G172" s="19" t="s">
        <v>1578</v>
      </c>
      <c r="H172" s="19" t="s">
        <v>2113</v>
      </c>
      <c r="I172" s="25" t="s">
        <v>8189</v>
      </c>
      <c r="J172" s="25" t="s">
        <v>8190</v>
      </c>
    </row>
    <row r="173" spans="1:10" x14ac:dyDescent="0.25">
      <c r="A173" s="16" t="s">
        <v>8191</v>
      </c>
      <c r="B173" s="16" t="s">
        <v>8192</v>
      </c>
      <c r="C173" s="16" t="s">
        <v>1575</v>
      </c>
      <c r="D173" s="16" t="s">
        <v>8193</v>
      </c>
      <c r="E173" s="16" t="s">
        <v>8194</v>
      </c>
      <c r="F173" s="16" t="s">
        <v>1575</v>
      </c>
      <c r="G173" s="19" t="s">
        <v>1578</v>
      </c>
      <c r="H173" s="19" t="s">
        <v>2113</v>
      </c>
      <c r="I173" s="16" t="s">
        <v>1575</v>
      </c>
      <c r="J173" s="25" t="s">
        <v>8195</v>
      </c>
    </row>
    <row r="174" spans="1:10" x14ac:dyDescent="0.25">
      <c r="A174" s="16" t="s">
        <v>8196</v>
      </c>
      <c r="B174" s="16" t="s">
        <v>2266</v>
      </c>
      <c r="C174" s="16" t="s">
        <v>1575</v>
      </c>
      <c r="D174" s="16" t="s">
        <v>2265</v>
      </c>
      <c r="E174" s="16" t="s">
        <v>8197</v>
      </c>
      <c r="F174" s="16" t="s">
        <v>1575</v>
      </c>
      <c r="G174" s="19" t="s">
        <v>1578</v>
      </c>
      <c r="H174" s="19" t="s">
        <v>2267</v>
      </c>
      <c r="I174" s="25" t="s">
        <v>8198</v>
      </c>
      <c r="J174" s="25" t="s">
        <v>8199</v>
      </c>
    </row>
    <row r="175" spans="1:10" x14ac:dyDescent="0.25">
      <c r="A175" s="16" t="s">
        <v>8200</v>
      </c>
      <c r="B175" s="16" t="s">
        <v>8201</v>
      </c>
      <c r="C175" s="16" t="s">
        <v>1575</v>
      </c>
      <c r="D175" s="16" t="s">
        <v>2283</v>
      </c>
      <c r="E175" s="16" t="s">
        <v>8202</v>
      </c>
      <c r="F175" s="16" t="s">
        <v>1575</v>
      </c>
      <c r="G175" s="19" t="s">
        <v>1578</v>
      </c>
      <c r="H175" s="19" t="s">
        <v>2286</v>
      </c>
      <c r="I175" s="25" t="s">
        <v>8203</v>
      </c>
      <c r="J175" s="25" t="s">
        <v>8204</v>
      </c>
    </row>
    <row r="176" spans="1:10" x14ac:dyDescent="0.25">
      <c r="A176" s="16" t="s">
        <v>8205</v>
      </c>
      <c r="B176" s="16" t="s">
        <v>8206</v>
      </c>
      <c r="C176" s="16" t="s">
        <v>1575</v>
      </c>
      <c r="D176" s="16" t="s">
        <v>2291</v>
      </c>
      <c r="E176" s="16" t="s">
        <v>8207</v>
      </c>
      <c r="F176" s="16" t="s">
        <v>1575</v>
      </c>
      <c r="G176" s="19" t="s">
        <v>1578</v>
      </c>
      <c r="H176" s="19" t="s">
        <v>2296</v>
      </c>
      <c r="I176" s="25" t="s">
        <v>8208</v>
      </c>
      <c r="J176" s="25" t="s">
        <v>8209</v>
      </c>
    </row>
    <row r="177" spans="1:10" x14ac:dyDescent="0.25">
      <c r="A177" s="16" t="s">
        <v>8210</v>
      </c>
      <c r="B177" s="16" t="s">
        <v>8211</v>
      </c>
      <c r="C177" s="16" t="s">
        <v>1575</v>
      </c>
      <c r="D177" s="16" t="s">
        <v>8212</v>
      </c>
      <c r="E177" s="16" t="s">
        <v>8213</v>
      </c>
      <c r="F177" s="16" t="s">
        <v>1575</v>
      </c>
      <c r="G177" s="19" t="s">
        <v>1578</v>
      </c>
      <c r="H177" s="19" t="s">
        <v>2142</v>
      </c>
      <c r="I177" s="25" t="s">
        <v>8214</v>
      </c>
      <c r="J177" s="25" t="s">
        <v>8215</v>
      </c>
    </row>
    <row r="178" spans="1:10" x14ac:dyDescent="0.25">
      <c r="A178" s="16" t="s">
        <v>8216</v>
      </c>
      <c r="B178" s="16" t="s">
        <v>2890</v>
      </c>
      <c r="C178" s="16" t="s">
        <v>1575</v>
      </c>
      <c r="D178" s="16" t="s">
        <v>2889</v>
      </c>
      <c r="E178" s="16" t="s">
        <v>8217</v>
      </c>
      <c r="F178" s="16" t="s">
        <v>1575</v>
      </c>
      <c r="G178" s="19" t="s">
        <v>1578</v>
      </c>
      <c r="H178" s="19" t="s">
        <v>3030</v>
      </c>
      <c r="I178" s="25" t="s">
        <v>8218</v>
      </c>
      <c r="J178" s="25" t="s">
        <v>8219</v>
      </c>
    </row>
    <row r="179" spans="1:10" x14ac:dyDescent="0.25">
      <c r="A179" s="16" t="s">
        <v>8220</v>
      </c>
      <c r="B179" s="16" t="s">
        <v>8221</v>
      </c>
      <c r="C179" s="16" t="s">
        <v>1575</v>
      </c>
      <c r="D179" s="16" t="s">
        <v>8222</v>
      </c>
      <c r="E179" s="16" t="s">
        <v>8223</v>
      </c>
      <c r="F179" s="16" t="s">
        <v>1575</v>
      </c>
      <c r="G179" s="19" t="s">
        <v>1578</v>
      </c>
      <c r="H179" s="19" t="s">
        <v>8224</v>
      </c>
      <c r="I179" s="25" t="s">
        <v>8225</v>
      </c>
      <c r="J179" s="25" t="s">
        <v>8226</v>
      </c>
    </row>
    <row r="180" spans="1:10" x14ac:dyDescent="0.25">
      <c r="A180" s="16" t="s">
        <v>8227</v>
      </c>
      <c r="B180" s="16" t="s">
        <v>8228</v>
      </c>
      <c r="C180" s="16" t="s">
        <v>1575</v>
      </c>
      <c r="D180" s="16" t="s">
        <v>8229</v>
      </c>
      <c r="E180" s="16" t="s">
        <v>8230</v>
      </c>
      <c r="F180" s="16" t="s">
        <v>1575</v>
      </c>
      <c r="G180" s="19" t="s">
        <v>1578</v>
      </c>
      <c r="H180" s="19" t="s">
        <v>8231</v>
      </c>
      <c r="I180" s="25" t="s">
        <v>8232</v>
      </c>
      <c r="J180" s="25" t="s">
        <v>8233</v>
      </c>
    </row>
    <row r="181" spans="1:10" x14ac:dyDescent="0.25">
      <c r="A181" s="16" t="s">
        <v>8234</v>
      </c>
      <c r="B181" s="16" t="s">
        <v>8235</v>
      </c>
      <c r="C181" s="16" t="s">
        <v>8236</v>
      </c>
      <c r="D181" s="16" t="s">
        <v>2706</v>
      </c>
      <c r="E181" s="16" t="s">
        <v>8237</v>
      </c>
      <c r="F181" s="16" t="s">
        <v>1575</v>
      </c>
      <c r="G181" s="19" t="s">
        <v>1578</v>
      </c>
      <c r="H181" s="19" t="s">
        <v>2707</v>
      </c>
      <c r="I181" s="25" t="s">
        <v>8238</v>
      </c>
      <c r="J181" s="25" t="s">
        <v>8239</v>
      </c>
    </row>
    <row r="182" spans="1:10" x14ac:dyDescent="0.25">
      <c r="A182" s="16" t="s">
        <v>8240</v>
      </c>
      <c r="B182" s="16" t="s">
        <v>2318</v>
      </c>
      <c r="C182" s="16" t="s">
        <v>1575</v>
      </c>
      <c r="D182" s="16" t="s">
        <v>2311</v>
      </c>
      <c r="E182" s="16" t="s">
        <v>8241</v>
      </c>
      <c r="F182" s="16" t="s">
        <v>1575</v>
      </c>
      <c r="G182" s="19" t="s">
        <v>1578</v>
      </c>
      <c r="H182" s="19" t="s">
        <v>1591</v>
      </c>
      <c r="I182" s="25" t="s">
        <v>8242</v>
      </c>
      <c r="J182" s="25" t="s">
        <v>8243</v>
      </c>
    </row>
    <row r="183" spans="1:10" x14ac:dyDescent="0.25">
      <c r="A183" s="16" t="s">
        <v>8244</v>
      </c>
      <c r="B183" s="16" t="s">
        <v>8245</v>
      </c>
      <c r="C183" s="16" t="s">
        <v>1575</v>
      </c>
      <c r="D183" s="16" t="s">
        <v>2359</v>
      </c>
      <c r="E183" s="16" t="s">
        <v>8246</v>
      </c>
      <c r="F183" s="16" t="s">
        <v>1575</v>
      </c>
      <c r="G183" s="19" t="s">
        <v>1578</v>
      </c>
      <c r="H183" s="19" t="s">
        <v>1591</v>
      </c>
      <c r="I183" s="25" t="s">
        <v>8247</v>
      </c>
      <c r="J183" s="25" t="s">
        <v>8248</v>
      </c>
    </row>
    <row r="184" spans="1:10" x14ac:dyDescent="0.25">
      <c r="A184" s="16" t="s">
        <v>8249</v>
      </c>
      <c r="B184" s="16" t="s">
        <v>8250</v>
      </c>
      <c r="C184" s="16" t="s">
        <v>1575</v>
      </c>
      <c r="D184" s="16" t="s">
        <v>8251</v>
      </c>
      <c r="E184" s="16" t="s">
        <v>8252</v>
      </c>
      <c r="F184" s="16" t="s">
        <v>1575</v>
      </c>
      <c r="G184" s="19" t="s">
        <v>1578</v>
      </c>
      <c r="H184" s="19" t="s">
        <v>1591</v>
      </c>
      <c r="I184" s="25" t="s">
        <v>8253</v>
      </c>
      <c r="J184" s="25" t="s">
        <v>8254</v>
      </c>
    </row>
    <row r="185" spans="1:10" x14ac:dyDescent="0.25">
      <c r="A185" s="16" t="s">
        <v>8255</v>
      </c>
      <c r="B185" s="16" t="s">
        <v>8256</v>
      </c>
      <c r="C185" s="16" t="s">
        <v>8257</v>
      </c>
      <c r="D185" s="16" t="s">
        <v>3017</v>
      </c>
      <c r="E185" s="16" t="s">
        <v>8258</v>
      </c>
      <c r="F185" s="16" t="s">
        <v>1575</v>
      </c>
      <c r="G185" s="19" t="s">
        <v>1578</v>
      </c>
      <c r="H185" s="19" t="s">
        <v>1591</v>
      </c>
      <c r="I185" s="16" t="s">
        <v>1575</v>
      </c>
      <c r="J185" s="25" t="s">
        <v>8259</v>
      </c>
    </row>
    <row r="186" spans="1:10" x14ac:dyDescent="0.25">
      <c r="A186" s="16" t="s">
        <v>8260</v>
      </c>
      <c r="B186" s="16" t="s">
        <v>8261</v>
      </c>
      <c r="C186" s="16" t="s">
        <v>1575</v>
      </c>
      <c r="D186" s="16" t="s">
        <v>2388</v>
      </c>
      <c r="E186" s="16" t="s">
        <v>8262</v>
      </c>
      <c r="F186" s="16" t="s">
        <v>1575</v>
      </c>
      <c r="G186" s="19" t="s">
        <v>1578</v>
      </c>
      <c r="H186" s="19" t="s">
        <v>1599</v>
      </c>
      <c r="I186" s="25" t="s">
        <v>8263</v>
      </c>
      <c r="J186" s="25" t="s">
        <v>8264</v>
      </c>
    </row>
    <row r="187" spans="1:10" x14ac:dyDescent="0.25">
      <c r="A187" s="16" t="s">
        <v>8265</v>
      </c>
      <c r="B187" s="16" t="s">
        <v>2410</v>
      </c>
      <c r="C187" s="16" t="s">
        <v>1575</v>
      </c>
      <c r="D187" s="16" t="s">
        <v>2398</v>
      </c>
      <c r="E187" s="16" t="s">
        <v>8266</v>
      </c>
      <c r="F187" s="16" t="s">
        <v>1575</v>
      </c>
      <c r="G187" s="19" t="s">
        <v>1578</v>
      </c>
      <c r="H187" s="19" t="s">
        <v>2112</v>
      </c>
      <c r="I187" s="25" t="s">
        <v>8267</v>
      </c>
      <c r="J187" s="25" t="s">
        <v>8268</v>
      </c>
    </row>
    <row r="188" spans="1:10" x14ac:dyDescent="0.25">
      <c r="A188" s="16" t="s">
        <v>8269</v>
      </c>
      <c r="B188" s="16" t="s">
        <v>2417</v>
      </c>
      <c r="C188" s="16" t="s">
        <v>1575</v>
      </c>
      <c r="D188" s="16" t="s">
        <v>8270</v>
      </c>
      <c r="E188" s="16" t="s">
        <v>8271</v>
      </c>
      <c r="F188" s="16" t="s">
        <v>2410</v>
      </c>
      <c r="G188" s="19" t="s">
        <v>1578</v>
      </c>
      <c r="H188" s="19" t="s">
        <v>2422</v>
      </c>
      <c r="I188" s="25" t="s">
        <v>8272</v>
      </c>
      <c r="J188" s="25" t="s">
        <v>8273</v>
      </c>
    </row>
    <row r="189" spans="1:10" x14ac:dyDescent="0.25">
      <c r="A189" s="16" t="s">
        <v>8274</v>
      </c>
      <c r="B189" s="16" t="s">
        <v>2450</v>
      </c>
      <c r="C189" s="16" t="s">
        <v>1575</v>
      </c>
      <c r="D189" s="16" t="s">
        <v>2428</v>
      </c>
      <c r="E189" s="16" t="s">
        <v>8275</v>
      </c>
      <c r="F189" s="16" t="s">
        <v>1575</v>
      </c>
      <c r="G189" s="19" t="s">
        <v>1578</v>
      </c>
      <c r="H189" s="19" t="s">
        <v>2422</v>
      </c>
      <c r="I189" s="25" t="s">
        <v>8276</v>
      </c>
      <c r="J189" s="25" t="s">
        <v>8277</v>
      </c>
    </row>
    <row r="190" spans="1:10" x14ac:dyDescent="0.25">
      <c r="A190" s="16" t="s">
        <v>8278</v>
      </c>
      <c r="B190" s="16" t="s">
        <v>8279</v>
      </c>
      <c r="C190" s="16" t="s">
        <v>1575</v>
      </c>
      <c r="D190" s="16" t="s">
        <v>2426</v>
      </c>
      <c r="E190" s="16" t="s">
        <v>8280</v>
      </c>
      <c r="F190" s="16" t="s">
        <v>2450</v>
      </c>
      <c r="G190" s="19" t="s">
        <v>1578</v>
      </c>
      <c r="H190" s="19" t="s">
        <v>2422</v>
      </c>
      <c r="I190" s="25" t="s">
        <v>8281</v>
      </c>
      <c r="J190" s="25" t="s">
        <v>8282</v>
      </c>
    </row>
    <row r="191" spans="1:10" x14ac:dyDescent="0.25">
      <c r="A191" s="16" t="s">
        <v>8283</v>
      </c>
      <c r="B191" s="16" t="s">
        <v>2469</v>
      </c>
      <c r="C191" s="16" t="s">
        <v>1575</v>
      </c>
      <c r="D191" s="16" t="s">
        <v>2464</v>
      </c>
      <c r="E191" s="16" t="s">
        <v>8284</v>
      </c>
      <c r="F191" s="16" t="s">
        <v>1575</v>
      </c>
      <c r="G191" s="19" t="s">
        <v>1578</v>
      </c>
      <c r="H191" s="19" t="s">
        <v>2422</v>
      </c>
      <c r="I191" s="25" t="s">
        <v>8285</v>
      </c>
      <c r="J191" s="25" t="s">
        <v>8286</v>
      </c>
    </row>
    <row r="192" spans="1:10" x14ac:dyDescent="0.25">
      <c r="A192" s="16" t="s">
        <v>8287</v>
      </c>
      <c r="B192" s="16" t="s">
        <v>8288</v>
      </c>
      <c r="C192" s="16" t="s">
        <v>1575</v>
      </c>
      <c r="D192" s="16" t="s">
        <v>2848</v>
      </c>
      <c r="E192" s="16" t="s">
        <v>8289</v>
      </c>
      <c r="F192" s="16" t="s">
        <v>1575</v>
      </c>
      <c r="G192" s="19" t="s">
        <v>1578</v>
      </c>
      <c r="H192" s="19" t="s">
        <v>2422</v>
      </c>
      <c r="I192" s="25" t="s">
        <v>8290</v>
      </c>
      <c r="J192" s="25" t="s">
        <v>8291</v>
      </c>
    </row>
    <row r="193" spans="1:10" x14ac:dyDescent="0.25">
      <c r="A193" s="16" t="s">
        <v>8292</v>
      </c>
      <c r="B193" s="16" t="s">
        <v>8293</v>
      </c>
      <c r="C193" s="16" t="s">
        <v>1575</v>
      </c>
      <c r="D193" s="16" t="s">
        <v>5175</v>
      </c>
      <c r="E193" s="16" t="s">
        <v>8294</v>
      </c>
      <c r="F193" s="16" t="s">
        <v>1575</v>
      </c>
      <c r="G193" s="19" t="s">
        <v>1578</v>
      </c>
      <c r="H193" s="19" t="s">
        <v>2422</v>
      </c>
      <c r="I193" s="25" t="s">
        <v>8295</v>
      </c>
      <c r="J193" s="25" t="s">
        <v>8296</v>
      </c>
    </row>
    <row r="194" spans="1:10" x14ac:dyDescent="0.25">
      <c r="A194" s="16" t="s">
        <v>8297</v>
      </c>
      <c r="B194" s="16" t="s">
        <v>8298</v>
      </c>
      <c r="C194" s="16" t="s">
        <v>1575</v>
      </c>
      <c r="D194" s="16" t="s">
        <v>5183</v>
      </c>
      <c r="E194" s="16" t="s">
        <v>8299</v>
      </c>
      <c r="F194" s="16" t="s">
        <v>1575</v>
      </c>
      <c r="G194" s="19" t="s">
        <v>1578</v>
      </c>
      <c r="H194" s="19" t="s">
        <v>2422</v>
      </c>
      <c r="I194" s="25" t="s">
        <v>8300</v>
      </c>
      <c r="J194" s="25" t="s">
        <v>8301</v>
      </c>
    </row>
    <row r="195" spans="1:10" x14ac:dyDescent="0.25">
      <c r="A195" s="16" t="s">
        <v>8302</v>
      </c>
      <c r="B195" s="16" t="s">
        <v>2498</v>
      </c>
      <c r="C195" s="16" t="s">
        <v>1575</v>
      </c>
      <c r="D195" s="16" t="s">
        <v>2492</v>
      </c>
      <c r="E195" s="16" t="s">
        <v>8303</v>
      </c>
      <c r="F195" s="16" t="s">
        <v>1575</v>
      </c>
      <c r="G195" s="19" t="s">
        <v>1578</v>
      </c>
      <c r="H195" s="19" t="s">
        <v>2496</v>
      </c>
      <c r="I195" s="25" t="s">
        <v>8304</v>
      </c>
      <c r="J195" s="25" t="s">
        <v>8305</v>
      </c>
    </row>
    <row r="196" spans="1:10" x14ac:dyDescent="0.25">
      <c r="A196" s="16" t="s">
        <v>8306</v>
      </c>
      <c r="B196" s="16" t="s">
        <v>8307</v>
      </c>
      <c r="C196" s="16" t="s">
        <v>1575</v>
      </c>
      <c r="D196" s="16" t="s">
        <v>8308</v>
      </c>
      <c r="E196" s="16" t="s">
        <v>8309</v>
      </c>
      <c r="F196" s="16" t="s">
        <v>1575</v>
      </c>
      <c r="G196" s="19" t="s">
        <v>1578</v>
      </c>
      <c r="H196" s="19" t="s">
        <v>2496</v>
      </c>
      <c r="I196" s="25" t="s">
        <v>8310</v>
      </c>
      <c r="J196" s="25" t="s">
        <v>8311</v>
      </c>
    </row>
    <row r="197" spans="1:10" x14ac:dyDescent="0.25">
      <c r="A197" s="16" t="s">
        <v>8312</v>
      </c>
      <c r="B197" s="16" t="s">
        <v>2512</v>
      </c>
      <c r="C197" s="16" t="s">
        <v>1575</v>
      </c>
      <c r="D197" s="16" t="s">
        <v>8313</v>
      </c>
      <c r="E197" s="16" t="s">
        <v>8314</v>
      </c>
      <c r="F197" s="16" t="s">
        <v>8307</v>
      </c>
      <c r="G197" s="19" t="s">
        <v>1578</v>
      </c>
      <c r="H197" s="19" t="s">
        <v>2496</v>
      </c>
      <c r="I197" s="25" t="s">
        <v>8315</v>
      </c>
      <c r="J197" s="25" t="s">
        <v>8316</v>
      </c>
    </row>
    <row r="198" spans="1:10" x14ac:dyDescent="0.25">
      <c r="A198" s="16" t="s">
        <v>8317</v>
      </c>
      <c r="B198" s="16" t="s">
        <v>2518</v>
      </c>
      <c r="C198" s="16" t="s">
        <v>1575</v>
      </c>
      <c r="D198" s="16" t="s">
        <v>6535</v>
      </c>
      <c r="E198" s="16" t="s">
        <v>8318</v>
      </c>
      <c r="F198" s="16" t="s">
        <v>8307</v>
      </c>
      <c r="G198" s="19" t="s">
        <v>1578</v>
      </c>
      <c r="H198" s="19" t="s">
        <v>2496</v>
      </c>
      <c r="I198" s="25" t="s">
        <v>8319</v>
      </c>
      <c r="J198" s="25" t="s">
        <v>8320</v>
      </c>
    </row>
    <row r="199" spans="1:10" x14ac:dyDescent="0.25">
      <c r="A199" s="16" t="s">
        <v>8321</v>
      </c>
      <c r="B199" s="16" t="s">
        <v>2538</v>
      </c>
      <c r="C199" s="16" t="s">
        <v>1575</v>
      </c>
      <c r="D199" s="16" t="s">
        <v>8322</v>
      </c>
      <c r="E199" s="16" t="s">
        <v>2532</v>
      </c>
      <c r="F199" s="16" t="s">
        <v>1575</v>
      </c>
      <c r="G199" s="19" t="s">
        <v>1578</v>
      </c>
      <c r="H199" s="19" t="s">
        <v>2531</v>
      </c>
      <c r="I199" s="25" t="s">
        <v>8323</v>
      </c>
      <c r="J199" s="25" t="s">
        <v>8324</v>
      </c>
    </row>
    <row r="200" spans="1:10" x14ac:dyDescent="0.25">
      <c r="A200" s="16" t="s">
        <v>8325</v>
      </c>
      <c r="B200" s="16" t="s">
        <v>8326</v>
      </c>
      <c r="C200" s="16" t="s">
        <v>1575</v>
      </c>
      <c r="D200" s="16" t="s">
        <v>8327</v>
      </c>
      <c r="E200" s="16" t="s">
        <v>2552</v>
      </c>
      <c r="F200" s="16" t="s">
        <v>1575</v>
      </c>
      <c r="G200" s="19" t="s">
        <v>1578</v>
      </c>
      <c r="H200" s="19" t="s">
        <v>2531</v>
      </c>
      <c r="I200" s="25" t="s">
        <v>8328</v>
      </c>
      <c r="J200" s="25" t="s">
        <v>8329</v>
      </c>
    </row>
    <row r="201" spans="1:10" x14ac:dyDescent="0.25">
      <c r="A201" s="16" t="s">
        <v>8330</v>
      </c>
      <c r="B201" s="16" t="s">
        <v>8331</v>
      </c>
      <c r="C201" s="16" t="s">
        <v>1575</v>
      </c>
      <c r="D201" s="16" t="s">
        <v>8332</v>
      </c>
      <c r="E201" s="16" t="s">
        <v>8333</v>
      </c>
      <c r="F201" s="16" t="s">
        <v>1575</v>
      </c>
      <c r="G201" s="19" t="s">
        <v>1578</v>
      </c>
      <c r="H201" s="19" t="s">
        <v>8334</v>
      </c>
      <c r="I201" s="16" t="s">
        <v>1575</v>
      </c>
      <c r="J201" s="25" t="s">
        <v>8335</v>
      </c>
    </row>
    <row r="202" spans="1:10" x14ac:dyDescent="0.25">
      <c r="A202" s="16" t="s">
        <v>8336</v>
      </c>
      <c r="B202" s="16" t="s">
        <v>8337</v>
      </c>
      <c r="C202" s="16" t="s">
        <v>1575</v>
      </c>
      <c r="D202" s="16" t="s">
        <v>2566</v>
      </c>
      <c r="E202" s="16" t="s">
        <v>8338</v>
      </c>
      <c r="F202" s="16" t="s">
        <v>1575</v>
      </c>
      <c r="G202" s="19" t="s">
        <v>1578</v>
      </c>
      <c r="H202" s="19" t="s">
        <v>1579</v>
      </c>
      <c r="I202" s="25" t="s">
        <v>8339</v>
      </c>
      <c r="J202" s="25" t="s">
        <v>8340</v>
      </c>
    </row>
    <row r="203" spans="1:10" x14ac:dyDescent="0.25">
      <c r="A203" s="16" t="s">
        <v>8341</v>
      </c>
      <c r="B203" s="16" t="s">
        <v>8342</v>
      </c>
      <c r="C203" s="16" t="s">
        <v>1575</v>
      </c>
      <c r="D203" s="16" t="s">
        <v>2622</v>
      </c>
      <c r="E203" s="16" t="s">
        <v>8343</v>
      </c>
      <c r="F203" s="16" t="s">
        <v>1575</v>
      </c>
      <c r="G203" s="19" t="s">
        <v>1578</v>
      </c>
      <c r="H203" s="19" t="s">
        <v>1579</v>
      </c>
      <c r="I203" s="25" t="s">
        <v>8344</v>
      </c>
      <c r="J203" s="25" t="s">
        <v>8345</v>
      </c>
    </row>
    <row r="204" spans="1:10" x14ac:dyDescent="0.25">
      <c r="A204" s="16" t="s">
        <v>8346</v>
      </c>
      <c r="B204" s="16" t="s">
        <v>3039</v>
      </c>
      <c r="C204" s="16" t="s">
        <v>1575</v>
      </c>
      <c r="D204" s="16" t="s">
        <v>3032</v>
      </c>
      <c r="E204" s="16" t="s">
        <v>8347</v>
      </c>
      <c r="F204" s="16" t="s">
        <v>1575</v>
      </c>
      <c r="G204" s="19" t="s">
        <v>1578</v>
      </c>
      <c r="H204" s="19" t="s">
        <v>1579</v>
      </c>
      <c r="I204" s="25" t="s">
        <v>8348</v>
      </c>
      <c r="J204" s="25" t="s">
        <v>8349</v>
      </c>
    </row>
    <row r="205" spans="1:10" x14ac:dyDescent="0.25">
      <c r="A205" s="16" t="s">
        <v>8350</v>
      </c>
      <c r="B205" s="16" t="s">
        <v>2671</v>
      </c>
      <c r="C205" s="16" t="s">
        <v>1575</v>
      </c>
      <c r="D205" s="16" t="s">
        <v>2663</v>
      </c>
      <c r="E205" s="16" t="s">
        <v>8351</v>
      </c>
      <c r="F205" s="16" t="s">
        <v>1575</v>
      </c>
      <c r="G205" s="19" t="s">
        <v>1578</v>
      </c>
      <c r="H205" s="19" t="s">
        <v>2143</v>
      </c>
      <c r="I205" s="25" t="s">
        <v>8352</v>
      </c>
      <c r="J205" s="25" t="s">
        <v>8353</v>
      </c>
    </row>
    <row r="206" spans="1:10" x14ac:dyDescent="0.25">
      <c r="A206" s="16" t="s">
        <v>8354</v>
      </c>
      <c r="B206" s="16" t="s">
        <v>8355</v>
      </c>
      <c r="C206" s="16" t="s">
        <v>1575</v>
      </c>
      <c r="D206" s="16" t="s">
        <v>8356</v>
      </c>
      <c r="E206" s="16" t="s">
        <v>8357</v>
      </c>
      <c r="F206" s="16" t="s">
        <v>1575</v>
      </c>
      <c r="G206" s="19" t="s">
        <v>1578</v>
      </c>
      <c r="H206" s="19" t="s">
        <v>2144</v>
      </c>
      <c r="I206" s="16" t="s">
        <v>1575</v>
      </c>
      <c r="J206" s="25" t="s">
        <v>8358</v>
      </c>
    </row>
    <row r="207" spans="1:10" x14ac:dyDescent="0.25">
      <c r="A207" s="16" t="s">
        <v>8359</v>
      </c>
      <c r="B207" s="16" t="s">
        <v>8360</v>
      </c>
      <c r="C207" s="16" t="s">
        <v>1575</v>
      </c>
      <c r="D207" s="16" t="s">
        <v>8361</v>
      </c>
      <c r="E207" s="16" t="s">
        <v>8362</v>
      </c>
      <c r="F207" s="16" t="s">
        <v>8363</v>
      </c>
      <c r="G207" s="19" t="s">
        <v>1578</v>
      </c>
      <c r="H207" s="19" t="s">
        <v>2144</v>
      </c>
      <c r="I207" s="16" t="s">
        <v>1575</v>
      </c>
      <c r="J207" s="25" t="s">
        <v>8364</v>
      </c>
    </row>
    <row r="208" spans="1:10" x14ac:dyDescent="0.25">
      <c r="A208" s="16" t="s">
        <v>8365</v>
      </c>
      <c r="B208" s="16" t="s">
        <v>8366</v>
      </c>
      <c r="C208" s="16" t="s">
        <v>8367</v>
      </c>
      <c r="D208" s="16" t="s">
        <v>5172</v>
      </c>
      <c r="E208" s="16" t="s">
        <v>8368</v>
      </c>
      <c r="F208" s="16" t="s">
        <v>8369</v>
      </c>
      <c r="G208" s="19" t="s">
        <v>1578</v>
      </c>
      <c r="H208" s="19" t="s">
        <v>8370</v>
      </c>
      <c r="I208" s="25" t="s">
        <v>8371</v>
      </c>
      <c r="J208" s="25" t="s">
        <v>8372</v>
      </c>
    </row>
    <row r="209" spans="1:10" x14ac:dyDescent="0.25">
      <c r="A209" s="16" t="s">
        <v>8373</v>
      </c>
      <c r="B209" s="16" t="s">
        <v>8374</v>
      </c>
      <c r="C209" s="16" t="s">
        <v>1575</v>
      </c>
      <c r="D209" s="16" t="s">
        <v>2686</v>
      </c>
      <c r="E209" s="16" t="s">
        <v>8375</v>
      </c>
      <c r="F209" s="16" t="s">
        <v>1575</v>
      </c>
      <c r="G209" s="19" t="s">
        <v>1578</v>
      </c>
      <c r="H209" s="19" t="s">
        <v>1579</v>
      </c>
      <c r="I209" s="16" t="s">
        <v>1575</v>
      </c>
      <c r="J209" s="25" t="s">
        <v>8376</v>
      </c>
    </row>
    <row r="210" spans="1:10" x14ac:dyDescent="0.25">
      <c r="A210" s="16" t="s">
        <v>8377</v>
      </c>
      <c r="B210" s="16" t="s">
        <v>2950</v>
      </c>
      <c r="C210" s="16" t="s">
        <v>1575</v>
      </c>
      <c r="D210" s="16" t="s">
        <v>2949</v>
      </c>
      <c r="E210" s="16" t="s">
        <v>8378</v>
      </c>
      <c r="F210" s="16" t="s">
        <v>1575</v>
      </c>
      <c r="G210" s="19" t="s">
        <v>1578</v>
      </c>
      <c r="H210" s="19" t="s">
        <v>2951</v>
      </c>
      <c r="I210" s="25" t="s">
        <v>8379</v>
      </c>
      <c r="J210" s="25" t="s">
        <v>8380</v>
      </c>
    </row>
    <row r="211" spans="1:10" x14ac:dyDescent="0.25">
      <c r="A211" s="16" t="s">
        <v>8381</v>
      </c>
      <c r="B211" s="16" t="s">
        <v>8382</v>
      </c>
      <c r="C211" s="16" t="s">
        <v>1575</v>
      </c>
      <c r="D211" s="16" t="s">
        <v>8383</v>
      </c>
      <c r="E211" s="16" t="s">
        <v>8384</v>
      </c>
      <c r="F211" s="16" t="s">
        <v>1575</v>
      </c>
      <c r="G211" s="19" t="s">
        <v>1578</v>
      </c>
      <c r="H211" s="19" t="s">
        <v>9288</v>
      </c>
      <c r="I211" s="25" t="s">
        <v>8385</v>
      </c>
      <c r="J211" s="25" t="s">
        <v>8386</v>
      </c>
    </row>
    <row r="212" spans="1:10" x14ac:dyDescent="0.25">
      <c r="A212" s="16" t="s">
        <v>8522</v>
      </c>
      <c r="B212" s="16" t="s">
        <v>8523</v>
      </c>
      <c r="C212" s="16" t="s">
        <v>1575</v>
      </c>
      <c r="D212" s="16" t="s">
        <v>8524</v>
      </c>
      <c r="E212" s="16" t="s">
        <v>8525</v>
      </c>
      <c r="F212" s="16" t="s">
        <v>1575</v>
      </c>
      <c r="G212" s="19" t="s">
        <v>2160</v>
      </c>
      <c r="H212" s="19" t="s">
        <v>2310</v>
      </c>
      <c r="I212" s="16" t="s">
        <v>1575</v>
      </c>
      <c r="J212" s="25" t="s">
        <v>8526</v>
      </c>
    </row>
    <row r="213" spans="1:10" x14ac:dyDescent="0.25">
      <c r="A213" s="16" t="s">
        <v>8527</v>
      </c>
      <c r="B213" s="16" t="s">
        <v>8528</v>
      </c>
      <c r="C213" s="16" t="s">
        <v>1575</v>
      </c>
      <c r="D213" s="16" t="s">
        <v>8529</v>
      </c>
      <c r="E213" s="16" t="s">
        <v>8530</v>
      </c>
      <c r="F213" s="16" t="s">
        <v>1575</v>
      </c>
      <c r="G213" s="19" t="s">
        <v>2160</v>
      </c>
      <c r="H213" s="19" t="s">
        <v>2310</v>
      </c>
      <c r="I213" s="25" t="s">
        <v>8531</v>
      </c>
      <c r="J213" s="25" t="s">
        <v>8532</v>
      </c>
    </row>
    <row r="214" spans="1:10" x14ac:dyDescent="0.25">
      <c r="A214" s="16" t="s">
        <v>8387</v>
      </c>
      <c r="B214" s="16" t="s">
        <v>4953</v>
      </c>
      <c r="C214" s="16" t="s">
        <v>1575</v>
      </c>
      <c r="D214" s="16" t="s">
        <v>2748</v>
      </c>
      <c r="E214" s="16" t="s">
        <v>8388</v>
      </c>
      <c r="F214" s="16" t="s">
        <v>8389</v>
      </c>
      <c r="G214" s="19" t="s">
        <v>2160</v>
      </c>
      <c r="H214" s="19" t="s">
        <v>2172</v>
      </c>
      <c r="I214" s="25" t="s">
        <v>8390</v>
      </c>
      <c r="J214" s="25" t="s">
        <v>8391</v>
      </c>
    </row>
    <row r="215" spans="1:10" x14ac:dyDescent="0.25">
      <c r="A215" s="16" t="s">
        <v>8392</v>
      </c>
      <c r="B215" s="16" t="s">
        <v>8393</v>
      </c>
      <c r="C215" s="16" t="s">
        <v>1575</v>
      </c>
      <c r="D215" s="16" t="s">
        <v>2773</v>
      </c>
      <c r="E215" s="16" t="s">
        <v>8394</v>
      </c>
      <c r="F215" s="16" t="s">
        <v>4953</v>
      </c>
      <c r="G215" s="19" t="s">
        <v>2160</v>
      </c>
      <c r="H215" s="19" t="s">
        <v>2172</v>
      </c>
      <c r="I215" s="25" t="s">
        <v>8395</v>
      </c>
      <c r="J215" s="25" t="s">
        <v>8396</v>
      </c>
    </row>
    <row r="216" spans="1:10" x14ac:dyDescent="0.25">
      <c r="A216" s="16" t="s">
        <v>8397</v>
      </c>
      <c r="B216" s="16" t="s">
        <v>8398</v>
      </c>
      <c r="C216" s="16" t="s">
        <v>1575</v>
      </c>
      <c r="D216" s="16" t="s">
        <v>8399</v>
      </c>
      <c r="E216" s="16" t="s">
        <v>8400</v>
      </c>
      <c r="F216" s="16" t="s">
        <v>4953</v>
      </c>
      <c r="G216" s="19" t="s">
        <v>2160</v>
      </c>
      <c r="H216" s="19" t="s">
        <v>2172</v>
      </c>
      <c r="I216" s="16" t="s">
        <v>1575</v>
      </c>
      <c r="J216" s="25" t="s">
        <v>8401</v>
      </c>
    </row>
    <row r="217" spans="1:10" x14ac:dyDescent="0.25">
      <c r="A217" s="16" t="s">
        <v>8402</v>
      </c>
      <c r="B217" s="16" t="s">
        <v>2887</v>
      </c>
      <c r="C217" s="16" t="s">
        <v>1575</v>
      </c>
      <c r="D217" s="16" t="s">
        <v>2888</v>
      </c>
      <c r="E217" s="16" t="s">
        <v>8403</v>
      </c>
      <c r="F217" s="16" t="s">
        <v>1575</v>
      </c>
      <c r="G217" s="19" t="s">
        <v>2160</v>
      </c>
      <c r="H217" s="19" t="s">
        <v>2172</v>
      </c>
      <c r="I217" s="25" t="s">
        <v>8404</v>
      </c>
      <c r="J217" s="25" t="s">
        <v>8405</v>
      </c>
    </row>
    <row r="218" spans="1:10" x14ac:dyDescent="0.25">
      <c r="A218" s="16" t="s">
        <v>8406</v>
      </c>
      <c r="B218" s="16" t="s">
        <v>1575</v>
      </c>
      <c r="C218" s="16" t="s">
        <v>1575</v>
      </c>
      <c r="D218" s="16" t="s">
        <v>2801</v>
      </c>
      <c r="E218" s="16" t="s">
        <v>8407</v>
      </c>
      <c r="F218" s="16" t="s">
        <v>8389</v>
      </c>
      <c r="G218" s="19" t="s">
        <v>2160</v>
      </c>
      <c r="H218" s="19" t="s">
        <v>2804</v>
      </c>
      <c r="I218" s="25" t="s">
        <v>8408</v>
      </c>
      <c r="J218" s="25" t="s">
        <v>8409</v>
      </c>
    </row>
    <row r="219" spans="1:10" x14ac:dyDescent="0.25">
      <c r="A219" s="16" t="s">
        <v>8410</v>
      </c>
      <c r="B219" s="16" t="s">
        <v>2815</v>
      </c>
      <c r="C219" s="16" t="s">
        <v>8411</v>
      </c>
      <c r="D219" s="16" t="s">
        <v>8412</v>
      </c>
      <c r="E219" s="16" t="s">
        <v>8413</v>
      </c>
      <c r="F219" s="16" t="s">
        <v>8414</v>
      </c>
      <c r="G219" s="19" t="s">
        <v>2160</v>
      </c>
      <c r="H219" s="19" t="s">
        <v>2804</v>
      </c>
      <c r="I219" s="16" t="s">
        <v>1575</v>
      </c>
      <c r="J219" s="25" t="s">
        <v>8415</v>
      </c>
    </row>
    <row r="220" spans="1:10" x14ac:dyDescent="0.25">
      <c r="A220" s="16" t="s">
        <v>8416</v>
      </c>
      <c r="B220" s="16" t="s">
        <v>2836</v>
      </c>
      <c r="C220" s="16" t="s">
        <v>1575</v>
      </c>
      <c r="D220" s="16" t="s">
        <v>8417</v>
      </c>
      <c r="E220" s="16" t="s">
        <v>8418</v>
      </c>
      <c r="F220" s="16" t="s">
        <v>8414</v>
      </c>
      <c r="G220" s="19" t="s">
        <v>2160</v>
      </c>
      <c r="H220" s="19" t="s">
        <v>2804</v>
      </c>
      <c r="I220" s="16" t="s">
        <v>1575</v>
      </c>
      <c r="J220" s="25" t="s">
        <v>8419</v>
      </c>
    </row>
    <row r="221" spans="1:10" x14ac:dyDescent="0.25">
      <c r="A221" s="16" t="s">
        <v>8420</v>
      </c>
      <c r="B221" s="16" t="s">
        <v>1575</v>
      </c>
      <c r="C221" s="16" t="s">
        <v>1575</v>
      </c>
      <c r="D221" s="16" t="s">
        <v>8421</v>
      </c>
      <c r="E221" s="16" t="s">
        <v>8422</v>
      </c>
      <c r="F221" s="16" t="s">
        <v>8389</v>
      </c>
      <c r="G221" s="19" t="s">
        <v>2160</v>
      </c>
      <c r="H221" s="19" t="s">
        <v>2838</v>
      </c>
      <c r="I221" s="25" t="s">
        <v>8423</v>
      </c>
      <c r="J221" s="25" t="s">
        <v>8424</v>
      </c>
    </row>
    <row r="222" spans="1:10" x14ac:dyDescent="0.25">
      <c r="A222" s="16" t="s">
        <v>8425</v>
      </c>
      <c r="B222" s="16" t="s">
        <v>2837</v>
      </c>
      <c r="C222" s="16" t="s">
        <v>1575</v>
      </c>
      <c r="D222" s="16" t="s">
        <v>2840</v>
      </c>
      <c r="E222" s="16" t="s">
        <v>8426</v>
      </c>
      <c r="F222" s="16" t="s">
        <v>8427</v>
      </c>
      <c r="G222" s="19" t="s">
        <v>2160</v>
      </c>
      <c r="H222" s="19" t="s">
        <v>2838</v>
      </c>
      <c r="I222" s="25" t="s">
        <v>8428</v>
      </c>
      <c r="J222" s="25" t="s">
        <v>8429</v>
      </c>
    </row>
    <row r="223" spans="1:10" x14ac:dyDescent="0.25">
      <c r="A223" s="16" t="s">
        <v>8430</v>
      </c>
      <c r="B223" s="16" t="s">
        <v>8431</v>
      </c>
      <c r="C223" s="16" t="s">
        <v>1575</v>
      </c>
      <c r="D223" s="16" t="s">
        <v>8432</v>
      </c>
      <c r="E223" s="16" t="s">
        <v>8433</v>
      </c>
      <c r="F223" s="16" t="s">
        <v>8427</v>
      </c>
      <c r="G223" s="19" t="s">
        <v>2160</v>
      </c>
      <c r="H223" s="19" t="s">
        <v>2838</v>
      </c>
      <c r="I223" s="16" t="s">
        <v>1575</v>
      </c>
      <c r="J223" s="25" t="s">
        <v>8434</v>
      </c>
    </row>
    <row r="224" spans="1:10" x14ac:dyDescent="0.25">
      <c r="A224" s="16" t="s">
        <v>8435</v>
      </c>
      <c r="B224" s="16" t="s">
        <v>8436</v>
      </c>
      <c r="C224" s="16" t="s">
        <v>1575</v>
      </c>
      <c r="D224" s="16" t="s">
        <v>8437</v>
      </c>
      <c r="E224" s="16" t="s">
        <v>8438</v>
      </c>
      <c r="F224" s="16" t="s">
        <v>1575</v>
      </c>
      <c r="G224" s="19" t="s">
        <v>2160</v>
      </c>
      <c r="H224" s="19" t="s">
        <v>8439</v>
      </c>
      <c r="I224" s="25" t="s">
        <v>8440</v>
      </c>
      <c r="J224" s="25" t="s">
        <v>8441</v>
      </c>
    </row>
    <row r="225" spans="1:10" x14ac:dyDescent="0.25">
      <c r="A225" s="16" t="s">
        <v>8442</v>
      </c>
      <c r="B225" s="16" t="s">
        <v>2792</v>
      </c>
      <c r="C225" s="16" t="s">
        <v>1575</v>
      </c>
      <c r="D225" s="16" t="s">
        <v>2774</v>
      </c>
      <c r="E225" s="16" t="s">
        <v>8443</v>
      </c>
      <c r="F225" s="16" t="s">
        <v>8389</v>
      </c>
      <c r="G225" s="19" t="s">
        <v>2160</v>
      </c>
      <c r="H225" s="19" t="s">
        <v>1750</v>
      </c>
      <c r="I225" s="25" t="s">
        <v>8444</v>
      </c>
      <c r="J225" s="25" t="s">
        <v>8445</v>
      </c>
    </row>
    <row r="226" spans="1:10" x14ac:dyDescent="0.25">
      <c r="A226" s="16" t="s">
        <v>8446</v>
      </c>
      <c r="B226" s="16" t="s">
        <v>8447</v>
      </c>
      <c r="C226" s="16" t="s">
        <v>1575</v>
      </c>
      <c r="D226" s="16" t="s">
        <v>8448</v>
      </c>
      <c r="E226" s="16" t="s">
        <v>8449</v>
      </c>
      <c r="F226" s="16" t="s">
        <v>2792</v>
      </c>
      <c r="G226" s="19" t="s">
        <v>2160</v>
      </c>
      <c r="H226" s="19" t="s">
        <v>1750</v>
      </c>
      <c r="I226" s="25" t="s">
        <v>8450</v>
      </c>
      <c r="J226" s="25" t="s">
        <v>8451</v>
      </c>
    </row>
    <row r="227" spans="1:10" x14ac:dyDescent="0.25">
      <c r="A227" s="16" t="s">
        <v>8452</v>
      </c>
      <c r="B227" s="16" t="s">
        <v>8453</v>
      </c>
      <c r="C227" s="16" t="s">
        <v>8454</v>
      </c>
      <c r="D227" s="16" t="s">
        <v>8455</v>
      </c>
      <c r="E227" s="16" t="s">
        <v>8456</v>
      </c>
      <c r="F227" s="16" t="s">
        <v>1575</v>
      </c>
      <c r="G227" s="19" t="s">
        <v>2160</v>
      </c>
      <c r="H227" s="19" t="s">
        <v>1750</v>
      </c>
      <c r="I227" s="25" t="s">
        <v>8457</v>
      </c>
      <c r="J227" s="25" t="s">
        <v>8458</v>
      </c>
    </row>
    <row r="228" spans="1:10" x14ac:dyDescent="0.25">
      <c r="A228" s="16" t="s">
        <v>8459</v>
      </c>
      <c r="B228" s="16" t="s">
        <v>2962</v>
      </c>
      <c r="C228" s="16" t="s">
        <v>1575</v>
      </c>
      <c r="D228" s="16" t="s">
        <v>2954</v>
      </c>
      <c r="E228" s="16" t="s">
        <v>8460</v>
      </c>
      <c r="F228" s="16" t="s">
        <v>1575</v>
      </c>
      <c r="G228" s="19" t="s">
        <v>2160</v>
      </c>
      <c r="H228" s="19" t="s">
        <v>1750</v>
      </c>
      <c r="I228" s="25" t="s">
        <v>8461</v>
      </c>
      <c r="J228" s="25" t="s">
        <v>8462</v>
      </c>
    </row>
    <row r="229" spans="1:10" x14ac:dyDescent="0.25">
      <c r="A229" s="16" t="s">
        <v>8463</v>
      </c>
      <c r="B229" s="16" t="s">
        <v>8464</v>
      </c>
      <c r="C229" s="16" t="s">
        <v>8465</v>
      </c>
      <c r="D229" s="16" t="s">
        <v>3001</v>
      </c>
      <c r="E229" s="16" t="s">
        <v>8466</v>
      </c>
      <c r="F229" s="16" t="s">
        <v>1575</v>
      </c>
      <c r="G229" s="19" t="s">
        <v>2160</v>
      </c>
      <c r="H229" s="19" t="s">
        <v>1750</v>
      </c>
      <c r="I229" s="25" t="s">
        <v>8467</v>
      </c>
      <c r="J229" s="25" t="s">
        <v>8468</v>
      </c>
    </row>
    <row r="230" spans="1:10" x14ac:dyDescent="0.25">
      <c r="A230" s="16" t="s">
        <v>8469</v>
      </c>
      <c r="B230" s="16" t="s">
        <v>8470</v>
      </c>
      <c r="C230" s="16" t="s">
        <v>8471</v>
      </c>
      <c r="D230" s="16" t="s">
        <v>8472</v>
      </c>
      <c r="E230" s="16" t="s">
        <v>8473</v>
      </c>
      <c r="F230" s="16" t="s">
        <v>1575</v>
      </c>
      <c r="G230" s="19" t="s">
        <v>2160</v>
      </c>
      <c r="H230" s="19" t="s">
        <v>1579</v>
      </c>
      <c r="I230" s="25" t="s">
        <v>8474</v>
      </c>
      <c r="J230" s="25" t="s">
        <v>8475</v>
      </c>
    </row>
    <row r="231" spans="1:10" x14ac:dyDescent="0.25">
      <c r="A231" s="16" t="s">
        <v>8476</v>
      </c>
      <c r="B231" s="16" t="s">
        <v>8477</v>
      </c>
      <c r="C231" s="16" t="s">
        <v>8478</v>
      </c>
      <c r="D231" s="16" t="s">
        <v>2987</v>
      </c>
      <c r="E231" s="16" t="s">
        <v>8479</v>
      </c>
      <c r="F231" s="16" t="s">
        <v>8480</v>
      </c>
      <c r="G231" s="19" t="s">
        <v>2160</v>
      </c>
      <c r="H231" s="19" t="s">
        <v>1698</v>
      </c>
      <c r="I231" s="25" t="s">
        <v>8481</v>
      </c>
      <c r="J231" s="25" t="s">
        <v>8482</v>
      </c>
    </row>
    <row r="232" spans="1:10" x14ac:dyDescent="0.25">
      <c r="A232" s="16" t="s">
        <v>8483</v>
      </c>
      <c r="B232" s="16" t="s">
        <v>8484</v>
      </c>
      <c r="C232" s="16" t="s">
        <v>1575</v>
      </c>
      <c r="D232" s="16" t="s">
        <v>8485</v>
      </c>
      <c r="E232" s="16" t="s">
        <v>8486</v>
      </c>
      <c r="F232" s="16" t="s">
        <v>8487</v>
      </c>
      <c r="G232" s="19" t="s">
        <v>2160</v>
      </c>
      <c r="H232" s="19" t="s">
        <v>1698</v>
      </c>
      <c r="I232" s="25" t="s">
        <v>8488</v>
      </c>
      <c r="J232" s="25" t="s">
        <v>8489</v>
      </c>
    </row>
    <row r="233" spans="1:10" x14ac:dyDescent="0.25">
      <c r="A233" s="16" t="s">
        <v>8490</v>
      </c>
      <c r="B233" s="16" t="s">
        <v>8491</v>
      </c>
      <c r="C233" s="16" t="s">
        <v>1575</v>
      </c>
      <c r="D233" s="16" t="s">
        <v>8492</v>
      </c>
      <c r="E233" s="16" t="s">
        <v>8493</v>
      </c>
      <c r="F233" s="16" t="s">
        <v>1575</v>
      </c>
      <c r="G233" s="19" t="s">
        <v>2160</v>
      </c>
      <c r="H233" s="19" t="s">
        <v>1698</v>
      </c>
      <c r="I233" s="25" t="s">
        <v>8494</v>
      </c>
      <c r="J233" s="25" t="s">
        <v>8495</v>
      </c>
    </row>
    <row r="234" spans="1:10" x14ac:dyDescent="0.25">
      <c r="A234" s="16" t="s">
        <v>8496</v>
      </c>
      <c r="B234" s="16" t="s">
        <v>1575</v>
      </c>
      <c r="C234" s="16" t="s">
        <v>1575</v>
      </c>
      <c r="D234" s="16" t="s">
        <v>2751</v>
      </c>
      <c r="E234" s="16" t="s">
        <v>8497</v>
      </c>
      <c r="F234" s="16" t="s">
        <v>8389</v>
      </c>
      <c r="G234" s="19" t="s">
        <v>2160</v>
      </c>
      <c r="H234" s="19" t="s">
        <v>2762</v>
      </c>
      <c r="I234" s="25" t="s">
        <v>8498</v>
      </c>
      <c r="J234" s="25" t="s">
        <v>8499</v>
      </c>
    </row>
    <row r="235" spans="1:10" x14ac:dyDescent="0.25">
      <c r="A235" s="16" t="s">
        <v>8500</v>
      </c>
      <c r="B235" s="16" t="s">
        <v>8501</v>
      </c>
      <c r="C235" s="16" t="s">
        <v>1575</v>
      </c>
      <c r="D235" s="16" t="s">
        <v>2766</v>
      </c>
      <c r="E235" s="16" t="s">
        <v>8502</v>
      </c>
      <c r="F235" s="16" t="s">
        <v>1575</v>
      </c>
      <c r="G235" s="19" t="s">
        <v>2160</v>
      </c>
      <c r="H235" s="19" t="s">
        <v>2762</v>
      </c>
      <c r="I235" s="25" t="s">
        <v>8503</v>
      </c>
      <c r="J235" s="25" t="s">
        <v>8504</v>
      </c>
    </row>
    <row r="236" spans="1:10" x14ac:dyDescent="0.25">
      <c r="A236" s="16" t="s">
        <v>8505</v>
      </c>
      <c r="B236" s="16" t="s">
        <v>8506</v>
      </c>
      <c r="C236" s="16" t="s">
        <v>8507</v>
      </c>
      <c r="D236" s="16" t="s">
        <v>6729</v>
      </c>
      <c r="E236" s="16" t="s">
        <v>8508</v>
      </c>
      <c r="F236" s="16" t="s">
        <v>1575</v>
      </c>
      <c r="G236" s="19" t="s">
        <v>2160</v>
      </c>
      <c r="H236" s="19" t="s">
        <v>2161</v>
      </c>
      <c r="I236" s="25" t="s">
        <v>8509</v>
      </c>
      <c r="J236" s="25" t="s">
        <v>8510</v>
      </c>
    </row>
    <row r="237" spans="1:10" x14ac:dyDescent="0.25">
      <c r="A237" s="16" t="s">
        <v>8511</v>
      </c>
      <c r="B237" s="16" t="s">
        <v>8512</v>
      </c>
      <c r="C237" s="16" t="s">
        <v>1575</v>
      </c>
      <c r="D237" s="16" t="s">
        <v>8513</v>
      </c>
      <c r="E237" s="16" t="s">
        <v>8514</v>
      </c>
      <c r="F237" s="16" t="s">
        <v>1575</v>
      </c>
      <c r="G237" s="19" t="s">
        <v>2160</v>
      </c>
      <c r="H237" s="19" t="s">
        <v>2161</v>
      </c>
      <c r="I237" s="25" t="s">
        <v>8515</v>
      </c>
      <c r="J237" s="25" t="s">
        <v>8516</v>
      </c>
    </row>
    <row r="238" spans="1:10" x14ac:dyDescent="0.25">
      <c r="A238" s="16" t="s">
        <v>8517</v>
      </c>
      <c r="B238" s="16" t="s">
        <v>8518</v>
      </c>
      <c r="C238" s="16" t="s">
        <v>1575</v>
      </c>
      <c r="D238" s="16" t="s">
        <v>6731</v>
      </c>
      <c r="E238" s="16" t="s">
        <v>8519</v>
      </c>
      <c r="F238" s="16" t="s">
        <v>1575</v>
      </c>
      <c r="G238" s="19" t="s">
        <v>2160</v>
      </c>
      <c r="H238" s="19" t="s">
        <v>2882</v>
      </c>
      <c r="I238" s="25" t="s">
        <v>8520</v>
      </c>
      <c r="J238" s="25" t="s">
        <v>8521</v>
      </c>
    </row>
    <row r="239" spans="1:10" x14ac:dyDescent="0.25">
      <c r="A239" s="16" t="s">
        <v>8533</v>
      </c>
      <c r="B239" s="16" t="s">
        <v>3468</v>
      </c>
      <c r="C239" s="16" t="s">
        <v>1575</v>
      </c>
      <c r="D239" s="16" t="s">
        <v>8534</v>
      </c>
      <c r="E239" s="16" t="s">
        <v>8535</v>
      </c>
      <c r="F239" s="16" t="s">
        <v>8536</v>
      </c>
      <c r="G239" s="19" t="s">
        <v>2160</v>
      </c>
      <c r="H239" s="19" t="s">
        <v>2167</v>
      </c>
      <c r="I239" s="25" t="s">
        <v>8537</v>
      </c>
      <c r="J239" s="25" t="s">
        <v>8538</v>
      </c>
    </row>
    <row r="240" spans="1:10" x14ac:dyDescent="0.25">
      <c r="A240" s="16" t="s">
        <v>8539</v>
      </c>
      <c r="B240" s="16" t="s">
        <v>3351</v>
      </c>
      <c r="C240" s="16" t="s">
        <v>1575</v>
      </c>
      <c r="D240" s="16" t="s">
        <v>3339</v>
      </c>
      <c r="E240" s="16" t="s">
        <v>8540</v>
      </c>
      <c r="F240" s="16" t="s">
        <v>1575</v>
      </c>
      <c r="G240" s="19" t="s">
        <v>1615</v>
      </c>
      <c r="H240" s="19" t="s">
        <v>2172</v>
      </c>
      <c r="I240" s="25" t="s">
        <v>8541</v>
      </c>
      <c r="J240" s="25" t="s">
        <v>8542</v>
      </c>
    </row>
    <row r="241" spans="1:10" x14ac:dyDescent="0.25">
      <c r="A241" s="16" t="s">
        <v>8543</v>
      </c>
      <c r="B241" s="16" t="s">
        <v>3860</v>
      </c>
      <c r="C241" s="16" t="s">
        <v>1575</v>
      </c>
      <c r="D241" s="16" t="s">
        <v>3851</v>
      </c>
      <c r="E241" s="16" t="s">
        <v>8544</v>
      </c>
      <c r="F241" s="16" t="s">
        <v>1575</v>
      </c>
      <c r="G241" s="19" t="s">
        <v>1615</v>
      </c>
      <c r="H241" s="19" t="s">
        <v>2172</v>
      </c>
      <c r="I241" s="25" t="s">
        <v>8545</v>
      </c>
      <c r="J241" s="25" t="s">
        <v>8546</v>
      </c>
    </row>
    <row r="242" spans="1:10" x14ac:dyDescent="0.25">
      <c r="A242" s="16" t="s">
        <v>8547</v>
      </c>
      <c r="B242" s="16" t="s">
        <v>8548</v>
      </c>
      <c r="C242" s="16" t="s">
        <v>1575</v>
      </c>
      <c r="D242" s="16" t="s">
        <v>3884</v>
      </c>
      <c r="E242" s="16" t="s">
        <v>8549</v>
      </c>
      <c r="F242" s="16" t="s">
        <v>1575</v>
      </c>
      <c r="G242" s="19" t="s">
        <v>1615</v>
      </c>
      <c r="H242" s="19" t="s">
        <v>2172</v>
      </c>
      <c r="I242" s="16" t="s">
        <v>1575</v>
      </c>
      <c r="J242" s="25" t="s">
        <v>8550</v>
      </c>
    </row>
    <row r="243" spans="1:10" x14ac:dyDescent="0.25">
      <c r="A243" s="16" t="s">
        <v>8551</v>
      </c>
      <c r="B243" s="16" t="s">
        <v>1575</v>
      </c>
      <c r="C243" s="16" t="s">
        <v>1575</v>
      </c>
      <c r="D243" s="16" t="s">
        <v>3357</v>
      </c>
      <c r="E243" s="16" t="s">
        <v>8552</v>
      </c>
      <c r="F243" s="16" t="s">
        <v>1575</v>
      </c>
      <c r="G243" s="19" t="s">
        <v>1615</v>
      </c>
      <c r="H243" s="19" t="s">
        <v>2176</v>
      </c>
      <c r="I243" s="25" t="s">
        <v>8553</v>
      </c>
      <c r="J243" s="25" t="s">
        <v>8554</v>
      </c>
    </row>
    <row r="244" spans="1:10" x14ac:dyDescent="0.25">
      <c r="A244" s="16" t="s">
        <v>8555</v>
      </c>
      <c r="B244" s="16" t="s">
        <v>3774</v>
      </c>
      <c r="C244" s="16" t="s">
        <v>1575</v>
      </c>
      <c r="D244" s="16" t="s">
        <v>8556</v>
      </c>
      <c r="E244" s="16" t="s">
        <v>8557</v>
      </c>
      <c r="F244" s="16" t="s">
        <v>1575</v>
      </c>
      <c r="G244" s="19" t="s">
        <v>1615</v>
      </c>
      <c r="H244" s="19" t="s">
        <v>2176</v>
      </c>
      <c r="I244" s="25" t="s">
        <v>8558</v>
      </c>
      <c r="J244" s="25" t="s">
        <v>8559</v>
      </c>
    </row>
    <row r="245" spans="1:10" x14ac:dyDescent="0.25">
      <c r="A245" s="16" t="s">
        <v>8560</v>
      </c>
      <c r="B245" s="16" t="s">
        <v>3361</v>
      </c>
      <c r="C245" s="16" t="s">
        <v>1575</v>
      </c>
      <c r="D245" s="16" t="s">
        <v>3922</v>
      </c>
      <c r="E245" s="16" t="s">
        <v>8561</v>
      </c>
      <c r="F245" s="16" t="s">
        <v>1575</v>
      </c>
      <c r="G245" s="19" t="s">
        <v>1615</v>
      </c>
      <c r="H245" s="19" t="s">
        <v>2176</v>
      </c>
      <c r="I245" s="25" t="s">
        <v>8562</v>
      </c>
      <c r="J245" s="25" t="s">
        <v>8563</v>
      </c>
    </row>
    <row r="246" spans="1:10" x14ac:dyDescent="0.25">
      <c r="A246" s="16" t="s">
        <v>8564</v>
      </c>
      <c r="B246" s="16" t="s">
        <v>3925</v>
      </c>
      <c r="C246" s="16" t="s">
        <v>1575</v>
      </c>
      <c r="D246" s="16" t="s">
        <v>3924</v>
      </c>
      <c r="E246" s="16" t="s">
        <v>8565</v>
      </c>
      <c r="F246" s="16" t="s">
        <v>1575</v>
      </c>
      <c r="G246" s="19" t="s">
        <v>1615</v>
      </c>
      <c r="H246" s="19" t="s">
        <v>1750</v>
      </c>
      <c r="I246" s="25" t="s">
        <v>8566</v>
      </c>
      <c r="J246" s="25" t="s">
        <v>8567</v>
      </c>
    </row>
    <row r="247" spans="1:10" x14ac:dyDescent="0.25">
      <c r="A247" s="16" t="s">
        <v>8568</v>
      </c>
      <c r="B247" s="16" t="s">
        <v>3758</v>
      </c>
      <c r="C247" s="16" t="s">
        <v>1575</v>
      </c>
      <c r="D247" s="16" t="s">
        <v>3749</v>
      </c>
      <c r="E247" s="16" t="s">
        <v>8569</v>
      </c>
      <c r="F247" s="16" t="s">
        <v>7352</v>
      </c>
      <c r="G247" s="19" t="s">
        <v>1615</v>
      </c>
      <c r="H247" s="19" t="s">
        <v>1616</v>
      </c>
      <c r="I247" s="25" t="s">
        <v>8570</v>
      </c>
      <c r="J247" s="25" t="s">
        <v>8571</v>
      </c>
    </row>
    <row r="248" spans="1:10" x14ac:dyDescent="0.25">
      <c r="A248" s="16" t="s">
        <v>8572</v>
      </c>
      <c r="B248" s="16" t="s">
        <v>3959</v>
      </c>
      <c r="C248" s="16" t="s">
        <v>1575</v>
      </c>
      <c r="D248" s="16" t="s">
        <v>3943</v>
      </c>
      <c r="E248" s="16" t="s">
        <v>8573</v>
      </c>
      <c r="F248" s="16" t="s">
        <v>1575</v>
      </c>
      <c r="G248" s="19" t="s">
        <v>1615</v>
      </c>
      <c r="H248" s="19" t="s">
        <v>1616</v>
      </c>
      <c r="I248" s="25" t="s">
        <v>8574</v>
      </c>
      <c r="J248" s="25" t="s">
        <v>8575</v>
      </c>
    </row>
    <row r="249" spans="1:10" x14ac:dyDescent="0.25">
      <c r="A249" s="16" t="s">
        <v>8576</v>
      </c>
      <c r="B249" s="16" t="s">
        <v>2177</v>
      </c>
      <c r="C249" s="16" t="s">
        <v>1575</v>
      </c>
      <c r="D249" s="16" t="s">
        <v>8577</v>
      </c>
      <c r="E249" s="16" t="s">
        <v>8578</v>
      </c>
      <c r="F249" s="16" t="s">
        <v>8579</v>
      </c>
      <c r="G249" s="19" t="s">
        <v>1615</v>
      </c>
      <c r="H249" s="19" t="s">
        <v>1616</v>
      </c>
      <c r="I249" s="25" t="s">
        <v>8580</v>
      </c>
      <c r="J249" s="25" t="s">
        <v>8581</v>
      </c>
    </row>
    <row r="250" spans="1:10" x14ac:dyDescent="0.25">
      <c r="A250" s="16" t="s">
        <v>8582</v>
      </c>
      <c r="B250" s="16" t="s">
        <v>8583</v>
      </c>
      <c r="C250" s="16" t="s">
        <v>1575</v>
      </c>
      <c r="D250" s="16" t="s">
        <v>3937</v>
      </c>
      <c r="E250" s="16" t="s">
        <v>8584</v>
      </c>
      <c r="F250" s="16" t="s">
        <v>1575</v>
      </c>
      <c r="G250" s="19" t="s">
        <v>1615</v>
      </c>
      <c r="H250" s="19" t="s">
        <v>3897</v>
      </c>
      <c r="I250" s="25" t="s">
        <v>8585</v>
      </c>
      <c r="J250" s="25" t="s">
        <v>8586</v>
      </c>
    </row>
    <row r="251" spans="1:10" x14ac:dyDescent="0.25">
      <c r="A251" s="16" t="s">
        <v>8587</v>
      </c>
      <c r="B251" s="16" t="s">
        <v>3529</v>
      </c>
      <c r="C251" s="16" t="s">
        <v>1575</v>
      </c>
      <c r="D251" s="16" t="s">
        <v>3490</v>
      </c>
      <c r="E251" s="16" t="s">
        <v>8588</v>
      </c>
      <c r="F251" s="16" t="s">
        <v>1575</v>
      </c>
      <c r="G251" s="19" t="s">
        <v>1584</v>
      </c>
      <c r="H251" s="19" t="s">
        <v>3486</v>
      </c>
      <c r="I251" s="25" t="s">
        <v>8589</v>
      </c>
      <c r="J251" s="25" t="s">
        <v>8590</v>
      </c>
    </row>
    <row r="252" spans="1:10" x14ac:dyDescent="0.25">
      <c r="A252" s="16" t="s">
        <v>8591</v>
      </c>
      <c r="B252" s="16" t="s">
        <v>3553</v>
      </c>
      <c r="C252" s="16" t="s">
        <v>1575</v>
      </c>
      <c r="D252" s="16" t="s">
        <v>3532</v>
      </c>
      <c r="E252" s="16" t="s">
        <v>8592</v>
      </c>
      <c r="F252" s="16" t="s">
        <v>1575</v>
      </c>
      <c r="G252" s="19" t="s">
        <v>1584</v>
      </c>
      <c r="H252" s="19" t="s">
        <v>3486</v>
      </c>
      <c r="I252" s="25" t="s">
        <v>8593</v>
      </c>
      <c r="J252" s="25" t="s">
        <v>8594</v>
      </c>
    </row>
    <row r="253" spans="1:10" x14ac:dyDescent="0.25">
      <c r="A253" s="16" t="s">
        <v>8595</v>
      </c>
      <c r="B253" s="16" t="s">
        <v>3437</v>
      </c>
      <c r="C253" s="16" t="s">
        <v>1575</v>
      </c>
      <c r="D253" s="16" t="s">
        <v>8596</v>
      </c>
      <c r="E253" s="16" t="s">
        <v>8597</v>
      </c>
      <c r="F253" s="16" t="s">
        <v>1575</v>
      </c>
      <c r="G253" s="19" t="s">
        <v>1584</v>
      </c>
      <c r="H253" s="19" t="s">
        <v>3486</v>
      </c>
      <c r="I253" s="25" t="s">
        <v>8598</v>
      </c>
      <c r="J253" s="25" t="s">
        <v>8599</v>
      </c>
    </row>
    <row r="254" spans="1:10" x14ac:dyDescent="0.25">
      <c r="A254" s="16" t="s">
        <v>8600</v>
      </c>
      <c r="B254" s="16" t="s">
        <v>3676</v>
      </c>
      <c r="C254" s="16" t="s">
        <v>1575</v>
      </c>
      <c r="D254" s="16" t="s">
        <v>8601</v>
      </c>
      <c r="E254" s="16" t="s">
        <v>8602</v>
      </c>
      <c r="F254" s="16" t="s">
        <v>1575</v>
      </c>
      <c r="G254" s="19" t="s">
        <v>1584</v>
      </c>
      <c r="H254" s="19" t="s">
        <v>3486</v>
      </c>
      <c r="I254" s="25" t="s">
        <v>8603</v>
      </c>
      <c r="J254" s="25" t="s">
        <v>8604</v>
      </c>
    </row>
    <row r="255" spans="1:10" x14ac:dyDescent="0.25">
      <c r="A255" s="16" t="s">
        <v>8605</v>
      </c>
      <c r="B255" s="16" t="s">
        <v>3746</v>
      </c>
      <c r="C255" s="16" t="s">
        <v>1575</v>
      </c>
      <c r="D255" s="16" t="s">
        <v>3703</v>
      </c>
      <c r="E255" s="16" t="s">
        <v>8606</v>
      </c>
      <c r="F255" s="16" t="s">
        <v>3199</v>
      </c>
      <c r="G255" s="19" t="s">
        <v>1584</v>
      </c>
      <c r="H255" s="19" t="s">
        <v>3486</v>
      </c>
      <c r="I255" s="25" t="s">
        <v>8607</v>
      </c>
      <c r="J255" s="25" t="s">
        <v>8608</v>
      </c>
    </row>
    <row r="256" spans="1:10" x14ac:dyDescent="0.25">
      <c r="A256" s="16" t="s">
        <v>8609</v>
      </c>
      <c r="B256" s="16" t="s">
        <v>3656</v>
      </c>
      <c r="C256" s="16" t="s">
        <v>1575</v>
      </c>
      <c r="D256" s="16" t="s">
        <v>5685</v>
      </c>
      <c r="E256" s="16" t="s">
        <v>8610</v>
      </c>
      <c r="F256" s="16" t="s">
        <v>1575</v>
      </c>
      <c r="G256" s="19" t="s">
        <v>1584</v>
      </c>
      <c r="H256" s="19" t="s">
        <v>3486</v>
      </c>
      <c r="I256" s="25" t="s">
        <v>8611</v>
      </c>
      <c r="J256" s="25" t="s">
        <v>8612</v>
      </c>
    </row>
    <row r="257" spans="1:10" x14ac:dyDescent="0.25">
      <c r="A257" s="16" t="s">
        <v>8613</v>
      </c>
      <c r="B257" s="16" t="s">
        <v>8614</v>
      </c>
      <c r="C257" s="16" t="s">
        <v>8615</v>
      </c>
      <c r="D257" s="16" t="s">
        <v>3888</v>
      </c>
      <c r="E257" s="16" t="s">
        <v>8616</v>
      </c>
      <c r="F257" s="16" t="s">
        <v>1575</v>
      </c>
      <c r="G257" s="19" t="s">
        <v>1584</v>
      </c>
      <c r="H257" s="19" t="s">
        <v>1586</v>
      </c>
      <c r="I257" s="25" t="s">
        <v>8617</v>
      </c>
      <c r="J257" s="25" t="s">
        <v>8618</v>
      </c>
    </row>
    <row r="258" spans="1:10" x14ac:dyDescent="0.25">
      <c r="A258" s="16" t="s">
        <v>8619</v>
      </c>
      <c r="B258" s="16" t="s">
        <v>5115</v>
      </c>
      <c r="C258" s="16" t="s">
        <v>1575</v>
      </c>
      <c r="D258" s="16" t="s">
        <v>5114</v>
      </c>
      <c r="E258" s="16" t="s">
        <v>8620</v>
      </c>
      <c r="F258" s="16" t="s">
        <v>1575</v>
      </c>
      <c r="G258" s="19" t="s">
        <v>1584</v>
      </c>
      <c r="H258" s="19" t="s">
        <v>1586</v>
      </c>
      <c r="I258" s="25" t="s">
        <v>8621</v>
      </c>
      <c r="J258" s="25" t="s">
        <v>8622</v>
      </c>
    </row>
    <row r="259" spans="1:10" x14ac:dyDescent="0.25">
      <c r="A259" s="16" t="s">
        <v>8623</v>
      </c>
      <c r="B259" s="16" t="s">
        <v>8624</v>
      </c>
      <c r="C259" s="16" t="s">
        <v>1575</v>
      </c>
      <c r="D259" s="16" t="s">
        <v>8625</v>
      </c>
      <c r="E259" s="16" t="s">
        <v>8626</v>
      </c>
      <c r="F259" s="16" t="s">
        <v>1575</v>
      </c>
      <c r="G259" s="19" t="s">
        <v>1584</v>
      </c>
      <c r="H259" s="19" t="s">
        <v>3496</v>
      </c>
      <c r="I259" s="25" t="s">
        <v>8627</v>
      </c>
      <c r="J259" s="25" t="s">
        <v>8628</v>
      </c>
    </row>
    <row r="260" spans="1:10" x14ac:dyDescent="0.25">
      <c r="A260" s="16" t="s">
        <v>8629</v>
      </c>
      <c r="B260" s="16" t="s">
        <v>3105</v>
      </c>
      <c r="C260" s="16" t="s">
        <v>1575</v>
      </c>
      <c r="D260" s="16" t="s">
        <v>3054</v>
      </c>
      <c r="E260" s="16" t="s">
        <v>8630</v>
      </c>
      <c r="F260" s="16" t="s">
        <v>1575</v>
      </c>
      <c r="G260" s="19" t="s">
        <v>1813</v>
      </c>
      <c r="H260" s="19" t="s">
        <v>3101</v>
      </c>
      <c r="I260" s="25" t="s">
        <v>8631</v>
      </c>
      <c r="J260" s="25" t="s">
        <v>8632</v>
      </c>
    </row>
    <row r="261" spans="1:10" x14ac:dyDescent="0.25">
      <c r="A261" s="16" t="s">
        <v>8633</v>
      </c>
      <c r="B261" s="16" t="s">
        <v>3240</v>
      </c>
      <c r="C261" s="16" t="s">
        <v>1575</v>
      </c>
      <c r="D261" s="16" t="s">
        <v>3202</v>
      </c>
      <c r="E261" s="16" t="s">
        <v>8634</v>
      </c>
      <c r="F261" s="16" t="s">
        <v>7598</v>
      </c>
      <c r="G261" s="19" t="s">
        <v>1813</v>
      </c>
      <c r="H261" s="19" t="s">
        <v>3101</v>
      </c>
      <c r="I261" s="25" t="s">
        <v>8635</v>
      </c>
      <c r="J261" s="25" t="s">
        <v>8636</v>
      </c>
    </row>
    <row r="262" spans="1:10" x14ac:dyDescent="0.25">
      <c r="A262" s="16" t="s">
        <v>8637</v>
      </c>
      <c r="B262" s="16" t="s">
        <v>1853</v>
      </c>
      <c r="C262" s="16" t="s">
        <v>1575</v>
      </c>
      <c r="D262" s="16" t="s">
        <v>8638</v>
      </c>
      <c r="E262" s="16" t="s">
        <v>2704</v>
      </c>
      <c r="F262" s="16" t="s">
        <v>1575</v>
      </c>
      <c r="G262" s="19" t="s">
        <v>1813</v>
      </c>
      <c r="H262" s="19" t="s">
        <v>1819</v>
      </c>
      <c r="I262" s="25" t="s">
        <v>8639</v>
      </c>
      <c r="J262" s="25" t="s">
        <v>8640</v>
      </c>
    </row>
    <row r="263" spans="1:10" x14ac:dyDescent="0.25">
      <c r="A263" s="16" t="s">
        <v>8641</v>
      </c>
      <c r="B263" s="16" t="s">
        <v>8642</v>
      </c>
      <c r="C263" s="16" t="s">
        <v>1575</v>
      </c>
      <c r="D263" s="16" t="s">
        <v>8643</v>
      </c>
      <c r="E263" s="16" t="s">
        <v>8644</v>
      </c>
      <c r="F263" s="16" t="s">
        <v>1575</v>
      </c>
      <c r="G263" s="19" t="s">
        <v>1813</v>
      </c>
      <c r="H263" s="19" t="s">
        <v>1819</v>
      </c>
      <c r="I263" s="16" t="s">
        <v>1575</v>
      </c>
      <c r="J263" s="25" t="s">
        <v>8645</v>
      </c>
    </row>
    <row r="264" spans="1:10" x14ac:dyDescent="0.25">
      <c r="A264" s="16" t="s">
        <v>8646</v>
      </c>
      <c r="B264" s="16" t="s">
        <v>2908</v>
      </c>
      <c r="C264" s="16" t="s">
        <v>1575</v>
      </c>
      <c r="D264" s="16" t="s">
        <v>8647</v>
      </c>
      <c r="E264" s="16" t="s">
        <v>2894</v>
      </c>
      <c r="F264" s="16" t="s">
        <v>1575</v>
      </c>
      <c r="G264" s="19" t="s">
        <v>1813</v>
      </c>
      <c r="H264" s="19" t="s">
        <v>1821</v>
      </c>
      <c r="I264" s="25" t="s">
        <v>8648</v>
      </c>
      <c r="J264" s="25" t="s">
        <v>8649</v>
      </c>
    </row>
    <row r="265" spans="1:10" x14ac:dyDescent="0.25">
      <c r="A265" s="16" t="s">
        <v>8650</v>
      </c>
      <c r="B265" s="16" t="s">
        <v>8651</v>
      </c>
      <c r="C265" s="16" t="s">
        <v>1575</v>
      </c>
      <c r="D265" s="16" t="s">
        <v>3334</v>
      </c>
      <c r="E265" s="16" t="s">
        <v>8652</v>
      </c>
      <c r="F265" s="16" t="s">
        <v>1575</v>
      </c>
      <c r="G265" s="19" t="s">
        <v>1813</v>
      </c>
      <c r="H265" s="19" t="s">
        <v>1821</v>
      </c>
      <c r="I265" s="25" t="s">
        <v>8653</v>
      </c>
      <c r="J265" s="25" t="s">
        <v>8654</v>
      </c>
    </row>
    <row r="266" spans="1:10" x14ac:dyDescent="0.25">
      <c r="A266" s="16" t="s">
        <v>8655</v>
      </c>
      <c r="B266" s="16" t="s">
        <v>8656</v>
      </c>
      <c r="C266" s="16" t="s">
        <v>1575</v>
      </c>
      <c r="D266" s="16" t="s">
        <v>2864</v>
      </c>
      <c r="E266" s="16" t="s">
        <v>8657</v>
      </c>
      <c r="F266" s="16" t="s">
        <v>3989</v>
      </c>
      <c r="G266" s="19" t="s">
        <v>1813</v>
      </c>
      <c r="H266" s="19" t="s">
        <v>1971</v>
      </c>
      <c r="I266" s="25" t="s">
        <v>8658</v>
      </c>
      <c r="J266" s="25" t="s">
        <v>8659</v>
      </c>
    </row>
    <row r="267" spans="1:10" x14ac:dyDescent="0.25">
      <c r="A267" s="16" t="s">
        <v>8660</v>
      </c>
      <c r="B267" s="16" t="s">
        <v>8661</v>
      </c>
      <c r="C267" s="16" t="s">
        <v>1575</v>
      </c>
      <c r="D267" s="16" t="s">
        <v>8662</v>
      </c>
      <c r="E267" s="16" t="s">
        <v>8663</v>
      </c>
      <c r="F267" s="16" t="s">
        <v>1575</v>
      </c>
      <c r="G267" s="19" t="s">
        <v>1813</v>
      </c>
      <c r="H267" s="19" t="s">
        <v>2702</v>
      </c>
      <c r="I267" s="25" t="s">
        <v>8664</v>
      </c>
      <c r="J267" s="25" t="s">
        <v>8665</v>
      </c>
    </row>
    <row r="268" spans="1:10" x14ac:dyDescent="0.25">
      <c r="A268" s="16" t="s">
        <v>8666</v>
      </c>
      <c r="B268" s="16" t="s">
        <v>8667</v>
      </c>
      <c r="C268" s="16" t="s">
        <v>1575</v>
      </c>
      <c r="D268" s="16" t="s">
        <v>8668</v>
      </c>
      <c r="E268" s="16" t="s">
        <v>8669</v>
      </c>
      <c r="F268" s="16" t="s">
        <v>1575</v>
      </c>
      <c r="G268" s="19" t="s">
        <v>1813</v>
      </c>
      <c r="H268" s="19" t="s">
        <v>1971</v>
      </c>
      <c r="I268" s="25" t="s">
        <v>8670</v>
      </c>
      <c r="J268" s="25" t="s">
        <v>8671</v>
      </c>
    </row>
    <row r="269" spans="1:10" x14ac:dyDescent="0.25">
      <c r="A269" s="16" t="s">
        <v>8672</v>
      </c>
      <c r="B269" s="16" t="s">
        <v>8673</v>
      </c>
      <c r="C269" s="16" t="s">
        <v>1575</v>
      </c>
      <c r="D269" s="16" t="s">
        <v>5207</v>
      </c>
      <c r="E269" s="16" t="s">
        <v>8674</v>
      </c>
      <c r="F269" s="16" t="s">
        <v>1575</v>
      </c>
      <c r="G269" s="19" t="s">
        <v>1813</v>
      </c>
      <c r="H269" s="19" t="s">
        <v>1971</v>
      </c>
      <c r="I269" s="25" t="s">
        <v>8675</v>
      </c>
      <c r="J269" s="25" t="s">
        <v>8676</v>
      </c>
    </row>
    <row r="270" spans="1:10" x14ac:dyDescent="0.25">
      <c r="A270" s="16" t="s">
        <v>8677</v>
      </c>
      <c r="B270" s="16" t="s">
        <v>8678</v>
      </c>
      <c r="C270" s="16" t="s">
        <v>1575</v>
      </c>
      <c r="D270" s="16" t="s">
        <v>5243</v>
      </c>
      <c r="E270" s="16" t="s">
        <v>8679</v>
      </c>
      <c r="F270" s="16" t="s">
        <v>1575</v>
      </c>
      <c r="G270" s="19" t="s">
        <v>1813</v>
      </c>
      <c r="H270" s="19" t="s">
        <v>1971</v>
      </c>
      <c r="I270" s="25" t="s">
        <v>8680</v>
      </c>
      <c r="J270" s="25" t="s">
        <v>8681</v>
      </c>
    </row>
    <row r="271" spans="1:10" x14ac:dyDescent="0.25">
      <c r="A271" s="16" t="s">
        <v>8682</v>
      </c>
      <c r="B271" s="16" t="s">
        <v>8683</v>
      </c>
      <c r="C271" s="16" t="s">
        <v>1575</v>
      </c>
      <c r="D271" s="16" t="s">
        <v>8684</v>
      </c>
      <c r="E271" s="16" t="s">
        <v>8685</v>
      </c>
      <c r="F271" s="16" t="s">
        <v>1575</v>
      </c>
      <c r="G271" s="19" t="s">
        <v>1813</v>
      </c>
      <c r="H271" s="19" t="s">
        <v>1971</v>
      </c>
      <c r="I271" s="25" t="s">
        <v>8686</v>
      </c>
      <c r="J271" s="25" t="s">
        <v>8681</v>
      </c>
    </row>
    <row r="272" spans="1:10" x14ac:dyDescent="0.25">
      <c r="A272" s="16" t="s">
        <v>8687</v>
      </c>
      <c r="B272" s="16" t="s">
        <v>8688</v>
      </c>
      <c r="C272" s="16" t="s">
        <v>1575</v>
      </c>
      <c r="D272" s="16" t="s">
        <v>5259</v>
      </c>
      <c r="E272" s="16" t="s">
        <v>8689</v>
      </c>
      <c r="F272" s="16" t="s">
        <v>1575</v>
      </c>
      <c r="G272" s="19" t="s">
        <v>1813</v>
      </c>
      <c r="H272" s="19" t="s">
        <v>1971</v>
      </c>
      <c r="I272" s="25" t="s">
        <v>8690</v>
      </c>
      <c r="J272" s="25" t="s">
        <v>8691</v>
      </c>
    </row>
    <row r="273" spans="1:10" x14ac:dyDescent="0.25">
      <c r="A273" s="16" t="s">
        <v>8692</v>
      </c>
      <c r="B273" s="16" t="s">
        <v>3989</v>
      </c>
      <c r="C273" s="16" t="s">
        <v>1575</v>
      </c>
      <c r="D273" s="16" t="s">
        <v>3967</v>
      </c>
      <c r="E273" s="16" t="s">
        <v>8693</v>
      </c>
      <c r="F273" s="16" t="s">
        <v>1575</v>
      </c>
      <c r="G273" s="19" t="s">
        <v>1582</v>
      </c>
      <c r="H273" s="19" t="s">
        <v>2019</v>
      </c>
      <c r="I273" s="25" t="s">
        <v>8694</v>
      </c>
      <c r="J273" s="25" t="s">
        <v>8695</v>
      </c>
    </row>
    <row r="274" spans="1:10" x14ac:dyDescent="0.25">
      <c r="A274" s="16" t="s">
        <v>8696</v>
      </c>
      <c r="B274" s="16" t="s">
        <v>8697</v>
      </c>
      <c r="C274" s="16" t="s">
        <v>1575</v>
      </c>
      <c r="D274" s="16" t="s">
        <v>2870</v>
      </c>
      <c r="E274" s="16" t="s">
        <v>8698</v>
      </c>
      <c r="F274" s="16" t="s">
        <v>1575</v>
      </c>
      <c r="G274" s="19" t="s">
        <v>1582</v>
      </c>
      <c r="H274" s="19" t="s">
        <v>2019</v>
      </c>
      <c r="I274" s="25" t="s">
        <v>8699</v>
      </c>
      <c r="J274" s="25" t="s">
        <v>8700</v>
      </c>
    </row>
    <row r="275" spans="1:10" x14ac:dyDescent="0.25">
      <c r="A275" s="16" t="s">
        <v>8701</v>
      </c>
      <c r="B275" s="16" t="s">
        <v>8702</v>
      </c>
      <c r="C275" s="16" t="s">
        <v>1575</v>
      </c>
      <c r="D275" s="16" t="s">
        <v>8703</v>
      </c>
      <c r="E275" s="16" t="s">
        <v>8704</v>
      </c>
      <c r="F275" s="16" t="s">
        <v>1575</v>
      </c>
      <c r="G275" s="19" t="s">
        <v>1582</v>
      </c>
      <c r="H275" s="19" t="s">
        <v>8705</v>
      </c>
      <c r="I275" s="16" t="s">
        <v>1575</v>
      </c>
      <c r="J275" s="25" t="s">
        <v>8706</v>
      </c>
    </row>
    <row r="276" spans="1:10" x14ac:dyDescent="0.25">
      <c r="A276" s="16" t="s">
        <v>8707</v>
      </c>
      <c r="B276" s="16" t="s">
        <v>2164</v>
      </c>
      <c r="C276" s="16" t="s">
        <v>1575</v>
      </c>
      <c r="D276" s="16" t="s">
        <v>1464</v>
      </c>
      <c r="E276" s="16" t="s">
        <v>8708</v>
      </c>
      <c r="F276" s="16" t="s">
        <v>1575</v>
      </c>
      <c r="G276" s="19" t="s">
        <v>1580</v>
      </c>
      <c r="H276" s="19" t="s">
        <v>2165</v>
      </c>
      <c r="I276" s="25" t="s">
        <v>8709</v>
      </c>
      <c r="J276" s="25" t="s">
        <v>8710</v>
      </c>
    </row>
    <row r="277" spans="1:10" x14ac:dyDescent="0.25">
      <c r="A277" s="16" t="s">
        <v>8711</v>
      </c>
      <c r="B277" s="16" t="s">
        <v>8536</v>
      </c>
      <c r="C277" s="16" t="s">
        <v>1575</v>
      </c>
      <c r="D277" s="16" t="s">
        <v>8712</v>
      </c>
      <c r="E277" s="16" t="s">
        <v>8713</v>
      </c>
      <c r="F277" s="16" t="s">
        <v>1575</v>
      </c>
      <c r="G277" s="19" t="s">
        <v>1580</v>
      </c>
      <c r="H277" s="19" t="s">
        <v>2165</v>
      </c>
      <c r="I277" s="25" t="s">
        <v>8714</v>
      </c>
      <c r="J277" s="25" t="s">
        <v>8715</v>
      </c>
    </row>
    <row r="278" spans="1:10" x14ac:dyDescent="0.25">
      <c r="A278" s="16" t="s">
        <v>8716</v>
      </c>
      <c r="B278" s="16" t="s">
        <v>8717</v>
      </c>
      <c r="C278" s="16" t="s">
        <v>1575</v>
      </c>
      <c r="D278" s="16" t="s">
        <v>5028</v>
      </c>
      <c r="E278" s="16" t="s">
        <v>8718</v>
      </c>
      <c r="F278" s="16" t="s">
        <v>1575</v>
      </c>
      <c r="G278" s="19" t="s">
        <v>1580</v>
      </c>
      <c r="H278" s="19" t="s">
        <v>2165</v>
      </c>
      <c r="I278" s="25" t="s">
        <v>8719</v>
      </c>
      <c r="J278" s="25" t="s">
        <v>8720</v>
      </c>
    </row>
    <row r="279" spans="1:10" x14ac:dyDescent="0.25">
      <c r="A279" s="16" t="s">
        <v>8721</v>
      </c>
      <c r="B279" s="16" t="s">
        <v>3297</v>
      </c>
      <c r="C279" s="16" t="s">
        <v>1575</v>
      </c>
      <c r="D279" s="16" t="s">
        <v>8722</v>
      </c>
      <c r="E279" s="16" t="s">
        <v>8723</v>
      </c>
      <c r="F279" s="16" t="s">
        <v>1575</v>
      </c>
      <c r="G279" s="19" t="s">
        <v>1580</v>
      </c>
      <c r="H279" s="19" t="s">
        <v>1827</v>
      </c>
      <c r="I279" s="25" t="s">
        <v>8724</v>
      </c>
      <c r="J279" s="25" t="s">
        <v>8725</v>
      </c>
    </row>
    <row r="280" spans="1:10" x14ac:dyDescent="0.25">
      <c r="A280" s="16" t="s">
        <v>8726</v>
      </c>
      <c r="B280" s="16" t="s">
        <v>4345</v>
      </c>
      <c r="C280" s="16" t="s">
        <v>1575</v>
      </c>
      <c r="D280" s="16" t="s">
        <v>4262</v>
      </c>
      <c r="E280" s="16" t="s">
        <v>8727</v>
      </c>
      <c r="F280" s="16" t="s">
        <v>1575</v>
      </c>
      <c r="G280" s="19" t="s">
        <v>1580</v>
      </c>
      <c r="H280" s="19" t="s">
        <v>1590</v>
      </c>
      <c r="I280" s="25" t="s">
        <v>8728</v>
      </c>
      <c r="J280" s="25" t="s">
        <v>8729</v>
      </c>
    </row>
    <row r="281" spans="1:10" x14ac:dyDescent="0.25">
      <c r="A281" s="16" t="s">
        <v>8730</v>
      </c>
      <c r="B281" s="16" t="s">
        <v>4278</v>
      </c>
      <c r="C281" s="16" t="s">
        <v>1575</v>
      </c>
      <c r="D281" s="16" t="s">
        <v>4277</v>
      </c>
      <c r="E281" s="16" t="s">
        <v>8731</v>
      </c>
      <c r="F281" s="16" t="s">
        <v>1575</v>
      </c>
      <c r="G281" s="19" t="s">
        <v>1580</v>
      </c>
      <c r="H281" s="19" t="s">
        <v>1581</v>
      </c>
      <c r="I281" s="25" t="s">
        <v>8732</v>
      </c>
      <c r="J281" s="25" t="s">
        <v>8733</v>
      </c>
    </row>
    <row r="282" spans="1:10" x14ac:dyDescent="0.25">
      <c r="A282" s="16" t="s">
        <v>8734</v>
      </c>
      <c r="B282" s="16" t="s">
        <v>8735</v>
      </c>
      <c r="C282" s="16" t="s">
        <v>1575</v>
      </c>
      <c r="D282" s="16" t="s">
        <v>5050</v>
      </c>
      <c r="E282" s="16" t="s">
        <v>8736</v>
      </c>
      <c r="F282" s="16" t="s">
        <v>8737</v>
      </c>
      <c r="G282" s="19" t="s">
        <v>1580</v>
      </c>
      <c r="H282" s="19" t="s">
        <v>1581</v>
      </c>
      <c r="I282" s="25" t="s">
        <v>8738</v>
      </c>
      <c r="J282" s="25" t="s">
        <v>8739</v>
      </c>
    </row>
    <row r="283" spans="1:10" x14ac:dyDescent="0.25">
      <c r="A283" s="16" t="s">
        <v>8740</v>
      </c>
      <c r="B283" s="16" t="s">
        <v>8741</v>
      </c>
      <c r="C283" s="16" t="s">
        <v>1575</v>
      </c>
      <c r="D283" s="16" t="s">
        <v>8742</v>
      </c>
      <c r="E283" s="16" t="s">
        <v>8743</v>
      </c>
      <c r="F283" s="16" t="s">
        <v>1575</v>
      </c>
      <c r="G283" s="19" t="s">
        <v>1580</v>
      </c>
      <c r="H283" s="19" t="s">
        <v>1581</v>
      </c>
      <c r="I283" s="25" t="s">
        <v>8744</v>
      </c>
      <c r="J283" s="25" t="s">
        <v>8745</v>
      </c>
    </row>
    <row r="284" spans="1:10" x14ac:dyDescent="0.25">
      <c r="A284" s="16" t="s">
        <v>8746</v>
      </c>
      <c r="B284" s="16" t="s">
        <v>8747</v>
      </c>
      <c r="C284" s="16" t="s">
        <v>1575</v>
      </c>
      <c r="D284" s="16" t="s">
        <v>8748</v>
      </c>
      <c r="E284" s="16" t="s">
        <v>8749</v>
      </c>
      <c r="F284" s="16" t="s">
        <v>1575</v>
      </c>
      <c r="G284" s="19" t="s">
        <v>1580</v>
      </c>
      <c r="H284" s="19" t="s">
        <v>1581</v>
      </c>
      <c r="I284" s="25" t="s">
        <v>8750</v>
      </c>
      <c r="J284" s="25" t="s">
        <v>8751</v>
      </c>
    </row>
    <row r="285" spans="1:10" x14ac:dyDescent="0.25">
      <c r="A285" s="16" t="s">
        <v>8752</v>
      </c>
      <c r="B285" s="16" t="s">
        <v>8753</v>
      </c>
      <c r="C285" s="16" t="s">
        <v>1575</v>
      </c>
      <c r="D285" s="16" t="s">
        <v>5063</v>
      </c>
      <c r="E285" s="16" t="s">
        <v>8754</v>
      </c>
      <c r="F285" s="16" t="s">
        <v>1575</v>
      </c>
      <c r="G285" s="19" t="s">
        <v>1580</v>
      </c>
      <c r="H285" s="19" t="s">
        <v>1581</v>
      </c>
      <c r="I285" s="25" t="s">
        <v>8755</v>
      </c>
      <c r="J285" s="25" t="s">
        <v>8756</v>
      </c>
    </row>
    <row r="286" spans="1:10" x14ac:dyDescent="0.25">
      <c r="A286" s="16" t="s">
        <v>8757</v>
      </c>
      <c r="B286" s="16" t="s">
        <v>8758</v>
      </c>
      <c r="C286" s="16" t="s">
        <v>1575</v>
      </c>
      <c r="D286" s="16" t="s">
        <v>5094</v>
      </c>
      <c r="E286" s="16" t="s">
        <v>8759</v>
      </c>
      <c r="F286" s="16" t="s">
        <v>1575</v>
      </c>
      <c r="G286" s="19" t="s">
        <v>1580</v>
      </c>
      <c r="H286" s="19" t="s">
        <v>1581</v>
      </c>
      <c r="I286" s="25" t="s">
        <v>8760</v>
      </c>
      <c r="J286" s="25" t="s">
        <v>8761</v>
      </c>
    </row>
    <row r="287" spans="1:10" x14ac:dyDescent="0.25">
      <c r="A287" s="16" t="s">
        <v>8762</v>
      </c>
      <c r="B287" s="16" t="s">
        <v>1575</v>
      </c>
      <c r="C287" s="16" t="s">
        <v>1575</v>
      </c>
      <c r="D287" s="16" t="s">
        <v>5661</v>
      </c>
      <c r="E287" s="16" t="s">
        <v>8763</v>
      </c>
      <c r="F287" s="16" t="s">
        <v>1575</v>
      </c>
      <c r="G287" s="19" t="s">
        <v>1580</v>
      </c>
      <c r="H287" s="19" t="s">
        <v>1581</v>
      </c>
      <c r="I287" s="25" t="s">
        <v>8764</v>
      </c>
      <c r="J287" s="25" t="s">
        <v>8765</v>
      </c>
    </row>
    <row r="288" spans="1:10" x14ac:dyDescent="0.25">
      <c r="A288" s="16" t="s">
        <v>8766</v>
      </c>
      <c r="B288" s="16" t="s">
        <v>3201</v>
      </c>
      <c r="C288" s="16" t="s">
        <v>8767</v>
      </c>
      <c r="D288" s="16" t="s">
        <v>2275</v>
      </c>
      <c r="E288" s="16" t="s">
        <v>8768</v>
      </c>
      <c r="F288" s="16" t="s">
        <v>1575</v>
      </c>
      <c r="G288" s="19" t="s">
        <v>1580</v>
      </c>
      <c r="H288" s="19" t="s">
        <v>1694</v>
      </c>
      <c r="I288" s="25" t="s">
        <v>8769</v>
      </c>
      <c r="J288" s="25" t="s">
        <v>8770</v>
      </c>
    </row>
    <row r="289" spans="1:10" x14ac:dyDescent="0.25">
      <c r="A289" s="16" t="s">
        <v>8771</v>
      </c>
      <c r="B289" s="16" t="s">
        <v>3199</v>
      </c>
      <c r="C289" s="16" t="s">
        <v>1575</v>
      </c>
      <c r="D289" s="16" t="s">
        <v>2168</v>
      </c>
      <c r="E289" s="16" t="s">
        <v>8772</v>
      </c>
      <c r="F289" s="16" t="s">
        <v>1575</v>
      </c>
      <c r="G289" s="19" t="s">
        <v>1580</v>
      </c>
      <c r="H289" s="19" t="s">
        <v>1694</v>
      </c>
      <c r="I289" s="25" t="s">
        <v>8773</v>
      </c>
      <c r="J289" s="25" t="s">
        <v>8774</v>
      </c>
    </row>
    <row r="290" spans="1:10" x14ac:dyDescent="0.25">
      <c r="A290" s="16" t="s">
        <v>8775</v>
      </c>
      <c r="B290" s="16" t="s">
        <v>2175</v>
      </c>
      <c r="C290" s="16" t="s">
        <v>8776</v>
      </c>
      <c r="D290" s="16" t="s">
        <v>8777</v>
      </c>
      <c r="E290" s="16" t="s">
        <v>8778</v>
      </c>
      <c r="F290" s="16" t="s">
        <v>3199</v>
      </c>
      <c r="G290" s="19" t="s">
        <v>1580</v>
      </c>
      <c r="H290" s="19" t="s">
        <v>1694</v>
      </c>
      <c r="I290" s="25" t="s">
        <v>8779</v>
      </c>
      <c r="J290" s="25" t="s">
        <v>8780</v>
      </c>
    </row>
    <row r="291" spans="1:10" x14ac:dyDescent="0.25">
      <c r="A291" s="16" t="s">
        <v>8781</v>
      </c>
      <c r="B291" s="16" t="s">
        <v>3198</v>
      </c>
      <c r="C291" s="16" t="s">
        <v>1575</v>
      </c>
      <c r="D291" s="16" t="s">
        <v>8782</v>
      </c>
      <c r="E291" s="16" t="s">
        <v>8783</v>
      </c>
      <c r="F291" s="16" t="s">
        <v>3199</v>
      </c>
      <c r="G291" s="19" t="s">
        <v>1580</v>
      </c>
      <c r="H291" s="19" t="s">
        <v>1694</v>
      </c>
      <c r="I291" s="25" t="s">
        <v>8784</v>
      </c>
      <c r="J291" s="25" t="s">
        <v>8785</v>
      </c>
    </row>
    <row r="292" spans="1:10" x14ac:dyDescent="0.25">
      <c r="A292" s="16" t="s">
        <v>8786</v>
      </c>
      <c r="B292" s="16" t="s">
        <v>4044</v>
      </c>
      <c r="C292" s="16" t="s">
        <v>8787</v>
      </c>
      <c r="D292" s="16" t="s">
        <v>4040</v>
      </c>
      <c r="E292" s="16" t="s">
        <v>8788</v>
      </c>
      <c r="F292" s="16" t="s">
        <v>1575</v>
      </c>
      <c r="G292" s="19" t="s">
        <v>1580</v>
      </c>
      <c r="H292" s="19" t="s">
        <v>1694</v>
      </c>
      <c r="I292" s="25" t="s">
        <v>8789</v>
      </c>
      <c r="J292" s="25" t="s">
        <v>8790</v>
      </c>
    </row>
    <row r="293" spans="1:10" x14ac:dyDescent="0.25">
      <c r="A293" s="16" t="s">
        <v>8791</v>
      </c>
      <c r="B293" s="16" t="s">
        <v>8792</v>
      </c>
      <c r="C293" s="16" t="s">
        <v>1575</v>
      </c>
      <c r="D293" s="16" t="s">
        <v>8793</v>
      </c>
      <c r="E293" s="16" t="s">
        <v>8794</v>
      </c>
      <c r="F293" s="16" t="s">
        <v>1575</v>
      </c>
      <c r="G293" s="19" t="s">
        <v>1580</v>
      </c>
      <c r="H293" s="19" t="s">
        <v>1694</v>
      </c>
      <c r="I293" s="25" t="s">
        <v>8795</v>
      </c>
      <c r="J293" s="25" t="s">
        <v>8796</v>
      </c>
    </row>
    <row r="294" spans="1:10" x14ac:dyDescent="0.25">
      <c r="A294" s="16" t="s">
        <v>8797</v>
      </c>
      <c r="B294" s="16" t="s">
        <v>4062</v>
      </c>
      <c r="C294" s="16" t="s">
        <v>1575</v>
      </c>
      <c r="D294" s="16" t="s">
        <v>8798</v>
      </c>
      <c r="E294" s="16" t="s">
        <v>8799</v>
      </c>
      <c r="F294" s="16" t="s">
        <v>1575</v>
      </c>
      <c r="G294" s="19" t="s">
        <v>1580</v>
      </c>
      <c r="H294" s="19" t="s">
        <v>1694</v>
      </c>
      <c r="I294" s="25" t="s">
        <v>8800</v>
      </c>
      <c r="J294" s="25" t="s">
        <v>8801</v>
      </c>
    </row>
    <row r="295" spans="1:10" x14ac:dyDescent="0.25">
      <c r="A295" s="16" t="s">
        <v>8802</v>
      </c>
      <c r="B295" s="16" t="s">
        <v>4055</v>
      </c>
      <c r="C295" s="16" t="s">
        <v>1575</v>
      </c>
      <c r="D295" s="16" t="s">
        <v>4197</v>
      </c>
      <c r="E295" s="16" t="s">
        <v>8803</v>
      </c>
      <c r="F295" s="16" t="s">
        <v>4062</v>
      </c>
      <c r="G295" s="19" t="s">
        <v>1580</v>
      </c>
      <c r="H295" s="19" t="s">
        <v>1694</v>
      </c>
      <c r="I295" s="25" t="s">
        <v>8804</v>
      </c>
      <c r="J295" s="25" t="s">
        <v>8805</v>
      </c>
    </row>
    <row r="296" spans="1:10" x14ac:dyDescent="0.25">
      <c r="A296" s="16" t="s">
        <v>8806</v>
      </c>
      <c r="B296" s="16" t="s">
        <v>4220</v>
      </c>
      <c r="C296" s="16" t="s">
        <v>1575</v>
      </c>
      <c r="D296" s="16" t="s">
        <v>4215</v>
      </c>
      <c r="E296" s="16" t="s">
        <v>8807</v>
      </c>
      <c r="F296" s="16" t="s">
        <v>1575</v>
      </c>
      <c r="G296" s="19" t="s">
        <v>1580</v>
      </c>
      <c r="H296" s="19" t="s">
        <v>1694</v>
      </c>
      <c r="I296" s="25" t="s">
        <v>8808</v>
      </c>
      <c r="J296" s="25" t="s">
        <v>8809</v>
      </c>
    </row>
    <row r="297" spans="1:10" x14ac:dyDescent="0.25">
      <c r="A297" s="16" t="s">
        <v>8810</v>
      </c>
      <c r="B297" s="16" t="s">
        <v>3821</v>
      </c>
      <c r="C297" s="16" t="s">
        <v>1575</v>
      </c>
      <c r="D297" s="16" t="s">
        <v>4732</v>
      </c>
      <c r="E297" s="16" t="s">
        <v>8811</v>
      </c>
      <c r="F297" s="16" t="s">
        <v>3472</v>
      </c>
      <c r="G297" s="19" t="s">
        <v>1580</v>
      </c>
      <c r="H297" s="19" t="s">
        <v>1694</v>
      </c>
      <c r="I297" s="25" t="s">
        <v>8812</v>
      </c>
      <c r="J297" s="25" t="s">
        <v>8813</v>
      </c>
    </row>
    <row r="298" spans="1:10" x14ac:dyDescent="0.25">
      <c r="A298" s="16" t="s">
        <v>8814</v>
      </c>
      <c r="B298" s="16" t="s">
        <v>8815</v>
      </c>
      <c r="C298" s="16" t="s">
        <v>1575</v>
      </c>
      <c r="D298" s="16" t="s">
        <v>8816</v>
      </c>
      <c r="E298" s="16" t="s">
        <v>8817</v>
      </c>
      <c r="F298" s="16" t="s">
        <v>1575</v>
      </c>
      <c r="G298" s="19" t="s">
        <v>1580</v>
      </c>
      <c r="H298" s="19" t="s">
        <v>1694</v>
      </c>
      <c r="I298" s="25" t="s">
        <v>8818</v>
      </c>
      <c r="J298" s="25" t="s">
        <v>8819</v>
      </c>
    </row>
    <row r="299" spans="1:10" x14ac:dyDescent="0.25">
      <c r="A299" s="16" t="s">
        <v>8820</v>
      </c>
      <c r="B299" s="16" t="s">
        <v>4738</v>
      </c>
      <c r="C299" s="16" t="s">
        <v>1575</v>
      </c>
      <c r="D299" s="16" t="s">
        <v>4735</v>
      </c>
      <c r="E299" s="16" t="s">
        <v>8821</v>
      </c>
      <c r="F299" s="16" t="s">
        <v>1575</v>
      </c>
      <c r="G299" s="19" t="s">
        <v>1580</v>
      </c>
      <c r="H299" s="19" t="s">
        <v>1694</v>
      </c>
      <c r="I299" s="25" t="s">
        <v>8822</v>
      </c>
      <c r="J299" s="25" t="s">
        <v>8823</v>
      </c>
    </row>
    <row r="300" spans="1:10" x14ac:dyDescent="0.25">
      <c r="A300" s="16" t="s">
        <v>8824</v>
      </c>
      <c r="B300" s="16" t="s">
        <v>8737</v>
      </c>
      <c r="C300" s="16" t="s">
        <v>1575</v>
      </c>
      <c r="D300" s="16" t="s">
        <v>4747</v>
      </c>
      <c r="E300" s="16" t="s">
        <v>8825</v>
      </c>
      <c r="F300" s="16" t="s">
        <v>3199</v>
      </c>
      <c r="G300" s="19" t="s">
        <v>1580</v>
      </c>
      <c r="H300" s="19" t="s">
        <v>1694</v>
      </c>
      <c r="I300" s="25" t="s">
        <v>8826</v>
      </c>
      <c r="J300" s="25" t="s">
        <v>8827</v>
      </c>
    </row>
    <row r="301" spans="1:10" x14ac:dyDescent="0.25">
      <c r="A301" s="16" t="s">
        <v>8828</v>
      </c>
      <c r="B301" s="16" t="s">
        <v>8829</v>
      </c>
      <c r="C301" s="16" t="s">
        <v>1575</v>
      </c>
      <c r="D301" s="16" t="s">
        <v>8830</v>
      </c>
      <c r="E301" s="16" t="s">
        <v>8831</v>
      </c>
      <c r="F301" s="16" t="s">
        <v>1575</v>
      </c>
      <c r="G301" s="19" t="s">
        <v>1580</v>
      </c>
      <c r="H301" s="19" t="s">
        <v>1694</v>
      </c>
      <c r="I301" s="25" t="s">
        <v>8832</v>
      </c>
      <c r="J301" s="25" t="s">
        <v>8833</v>
      </c>
    </row>
    <row r="302" spans="1:10" x14ac:dyDescent="0.25">
      <c r="A302" s="16" t="s">
        <v>8834</v>
      </c>
      <c r="B302" s="16" t="s">
        <v>4789</v>
      </c>
      <c r="C302" s="16" t="s">
        <v>1575</v>
      </c>
      <c r="D302" s="16" t="s">
        <v>4757</v>
      </c>
      <c r="E302" s="16" t="s">
        <v>8835</v>
      </c>
      <c r="F302" s="16" t="s">
        <v>1575</v>
      </c>
      <c r="G302" s="19" t="s">
        <v>1580</v>
      </c>
      <c r="H302" s="19" t="s">
        <v>1694</v>
      </c>
      <c r="I302" s="25" t="s">
        <v>8836</v>
      </c>
      <c r="J302" s="25" t="s">
        <v>8837</v>
      </c>
    </row>
    <row r="303" spans="1:10" x14ac:dyDescent="0.25">
      <c r="A303" s="16" t="s">
        <v>8838</v>
      </c>
      <c r="B303" s="16" t="s">
        <v>8839</v>
      </c>
      <c r="C303" s="16" t="s">
        <v>1575</v>
      </c>
      <c r="D303" s="16" t="s">
        <v>8840</v>
      </c>
      <c r="E303" s="16" t="s">
        <v>8841</v>
      </c>
      <c r="F303" s="16" t="s">
        <v>1575</v>
      </c>
      <c r="G303" s="19" t="s">
        <v>1580</v>
      </c>
      <c r="H303" s="19" t="s">
        <v>1694</v>
      </c>
      <c r="I303" s="25" t="s">
        <v>8842</v>
      </c>
      <c r="J303" s="25" t="s">
        <v>8843</v>
      </c>
    </row>
    <row r="304" spans="1:10" x14ac:dyDescent="0.25">
      <c r="A304" s="16" t="s">
        <v>8844</v>
      </c>
      <c r="B304" s="16" t="s">
        <v>8845</v>
      </c>
      <c r="C304" s="16" t="s">
        <v>1575</v>
      </c>
      <c r="D304" s="16" t="s">
        <v>8846</v>
      </c>
      <c r="E304" s="16" t="s">
        <v>8847</v>
      </c>
      <c r="F304" s="16" t="s">
        <v>1575</v>
      </c>
      <c r="G304" s="19" t="s">
        <v>1580</v>
      </c>
      <c r="H304" s="19" t="s">
        <v>1694</v>
      </c>
      <c r="I304" s="25" t="s">
        <v>8848</v>
      </c>
      <c r="J304" s="25" t="s">
        <v>8849</v>
      </c>
    </row>
    <row r="305" spans="1:10" x14ac:dyDescent="0.25">
      <c r="A305" s="16" t="s">
        <v>8850</v>
      </c>
      <c r="B305" s="16" t="s">
        <v>4957</v>
      </c>
      <c r="C305" s="16" t="s">
        <v>1575</v>
      </c>
      <c r="D305" s="16" t="s">
        <v>4956</v>
      </c>
      <c r="E305" s="16" t="s">
        <v>8851</v>
      </c>
      <c r="F305" s="16" t="s">
        <v>4311</v>
      </c>
      <c r="G305" s="19" t="s">
        <v>1580</v>
      </c>
      <c r="H305" s="19" t="s">
        <v>1694</v>
      </c>
      <c r="I305" s="25" t="s">
        <v>8852</v>
      </c>
      <c r="J305" s="25" t="s">
        <v>8853</v>
      </c>
    </row>
    <row r="306" spans="1:10" x14ac:dyDescent="0.25">
      <c r="A306" s="16" t="s">
        <v>8854</v>
      </c>
      <c r="B306" s="16" t="s">
        <v>8855</v>
      </c>
      <c r="C306" s="16" t="s">
        <v>1575</v>
      </c>
      <c r="D306" s="16" t="s">
        <v>4971</v>
      </c>
      <c r="E306" s="16" t="s">
        <v>8856</v>
      </c>
      <c r="F306" s="16" t="s">
        <v>8737</v>
      </c>
      <c r="G306" s="19" t="s">
        <v>1580</v>
      </c>
      <c r="H306" s="19" t="s">
        <v>1694</v>
      </c>
      <c r="I306" s="25" t="s">
        <v>8857</v>
      </c>
      <c r="J306" s="25" t="s">
        <v>8858</v>
      </c>
    </row>
    <row r="307" spans="1:10" x14ac:dyDescent="0.25">
      <c r="A307" s="16" t="s">
        <v>8859</v>
      </c>
      <c r="B307" s="16" t="s">
        <v>4982</v>
      </c>
      <c r="C307" s="16" t="s">
        <v>1575</v>
      </c>
      <c r="D307" s="16" t="s">
        <v>4983</v>
      </c>
      <c r="E307" s="16" t="s">
        <v>8860</v>
      </c>
      <c r="F307" s="16" t="s">
        <v>8737</v>
      </c>
      <c r="G307" s="19" t="s">
        <v>1580</v>
      </c>
      <c r="H307" s="19" t="s">
        <v>1694</v>
      </c>
      <c r="I307" s="16" t="s">
        <v>1575</v>
      </c>
      <c r="J307" s="25" t="s">
        <v>8861</v>
      </c>
    </row>
    <row r="308" spans="1:10" x14ac:dyDescent="0.25">
      <c r="A308" s="16" t="s">
        <v>8862</v>
      </c>
      <c r="B308" s="16" t="s">
        <v>8863</v>
      </c>
      <c r="C308" s="16" t="s">
        <v>1575</v>
      </c>
      <c r="D308" s="16" t="s">
        <v>4996</v>
      </c>
      <c r="E308" s="16" t="s">
        <v>8864</v>
      </c>
      <c r="F308" s="16" t="s">
        <v>1575</v>
      </c>
      <c r="G308" s="19" t="s">
        <v>1580</v>
      </c>
      <c r="H308" s="19" t="s">
        <v>1694</v>
      </c>
      <c r="I308" s="25" t="s">
        <v>8865</v>
      </c>
      <c r="J308" s="25" t="s">
        <v>8866</v>
      </c>
    </row>
    <row r="309" spans="1:10" x14ac:dyDescent="0.25">
      <c r="A309" s="16" t="s">
        <v>8867</v>
      </c>
      <c r="B309" s="16" t="s">
        <v>8868</v>
      </c>
      <c r="C309" s="16" t="s">
        <v>1575</v>
      </c>
      <c r="D309" s="16" t="s">
        <v>8869</v>
      </c>
      <c r="E309" s="16" t="s">
        <v>8870</v>
      </c>
      <c r="F309" s="16" t="s">
        <v>1575</v>
      </c>
      <c r="G309" s="19" t="s">
        <v>1580</v>
      </c>
      <c r="H309" s="19" t="s">
        <v>1694</v>
      </c>
      <c r="I309" s="25" t="s">
        <v>8871</v>
      </c>
      <c r="J309" s="25" t="s">
        <v>8872</v>
      </c>
    </row>
    <row r="310" spans="1:10" x14ac:dyDescent="0.25">
      <c r="A310" s="16" t="s">
        <v>8873</v>
      </c>
      <c r="B310" s="16" t="s">
        <v>8874</v>
      </c>
      <c r="C310" s="16" t="s">
        <v>8875</v>
      </c>
      <c r="D310" s="16" t="s">
        <v>8876</v>
      </c>
      <c r="E310" s="16" t="s">
        <v>8877</v>
      </c>
      <c r="F310" s="16" t="s">
        <v>1575</v>
      </c>
      <c r="G310" s="19" t="s">
        <v>1580</v>
      </c>
      <c r="H310" s="19" t="s">
        <v>1694</v>
      </c>
      <c r="I310" s="25" t="s">
        <v>8878</v>
      </c>
      <c r="J310" s="25" t="s">
        <v>8879</v>
      </c>
    </row>
    <row r="311" spans="1:10" x14ac:dyDescent="0.25">
      <c r="A311" s="16" t="s">
        <v>8880</v>
      </c>
      <c r="B311" s="16" t="s">
        <v>8881</v>
      </c>
      <c r="C311" s="16" t="s">
        <v>1575</v>
      </c>
      <c r="D311" s="16" t="s">
        <v>904</v>
      </c>
      <c r="E311" s="16" t="s">
        <v>8882</v>
      </c>
      <c r="F311" s="16" t="s">
        <v>3199</v>
      </c>
      <c r="G311" s="19" t="s">
        <v>1580</v>
      </c>
      <c r="H311" s="19" t="s">
        <v>1694</v>
      </c>
      <c r="I311" s="16" t="s">
        <v>1575</v>
      </c>
      <c r="J311" s="25" t="s">
        <v>8883</v>
      </c>
    </row>
    <row r="312" spans="1:10" x14ac:dyDescent="0.25">
      <c r="A312" s="16" t="s">
        <v>8884</v>
      </c>
      <c r="B312" s="16" t="s">
        <v>8885</v>
      </c>
      <c r="C312" s="16" t="s">
        <v>1575</v>
      </c>
      <c r="D312" s="16" t="s">
        <v>8886</v>
      </c>
      <c r="E312" s="16" t="s">
        <v>8887</v>
      </c>
      <c r="F312" s="16" t="s">
        <v>1575</v>
      </c>
      <c r="G312" s="19" t="s">
        <v>1580</v>
      </c>
      <c r="H312" s="19" t="s">
        <v>1694</v>
      </c>
      <c r="I312" s="16" t="s">
        <v>1575</v>
      </c>
      <c r="J312" s="25" t="s">
        <v>8888</v>
      </c>
    </row>
    <row r="313" spans="1:10" x14ac:dyDescent="0.25">
      <c r="A313" s="16" t="s">
        <v>8889</v>
      </c>
      <c r="B313" s="16" t="s">
        <v>1575</v>
      </c>
      <c r="C313" s="16" t="s">
        <v>8890</v>
      </c>
      <c r="D313" s="16" t="s">
        <v>4970</v>
      </c>
      <c r="E313" s="16" t="s">
        <v>8891</v>
      </c>
      <c r="F313" s="16" t="s">
        <v>1575</v>
      </c>
      <c r="G313" s="19" t="s">
        <v>1580</v>
      </c>
      <c r="H313" s="19" t="s">
        <v>1694</v>
      </c>
      <c r="I313" s="25" t="s">
        <v>8892</v>
      </c>
      <c r="J313" s="25" t="s">
        <v>8893</v>
      </c>
    </row>
    <row r="314" spans="1:10" x14ac:dyDescent="0.25">
      <c r="A314" s="16" t="s">
        <v>8894</v>
      </c>
      <c r="B314" s="16" t="s">
        <v>8895</v>
      </c>
      <c r="C314" s="16" t="s">
        <v>1575</v>
      </c>
      <c r="D314" s="16" t="s">
        <v>8896</v>
      </c>
      <c r="E314" s="16" t="s">
        <v>8897</v>
      </c>
      <c r="F314" s="16" t="s">
        <v>4220</v>
      </c>
      <c r="G314" s="19" t="s">
        <v>1580</v>
      </c>
      <c r="H314" s="19" t="s">
        <v>1694</v>
      </c>
      <c r="I314" s="16" t="s">
        <v>1575</v>
      </c>
      <c r="J314" s="25" t="s">
        <v>8898</v>
      </c>
    </row>
    <row r="315" spans="1:10" x14ac:dyDescent="0.25">
      <c r="A315" s="16" t="s">
        <v>8899</v>
      </c>
      <c r="B315" s="16" t="s">
        <v>3822</v>
      </c>
      <c r="C315" s="16" t="s">
        <v>1575</v>
      </c>
      <c r="D315" s="16" t="s">
        <v>8900</v>
      </c>
      <c r="E315" s="16" t="s">
        <v>8901</v>
      </c>
      <c r="F315" s="16" t="s">
        <v>1575</v>
      </c>
      <c r="G315" s="19" t="s">
        <v>1580</v>
      </c>
      <c r="H315" s="19" t="s">
        <v>1694</v>
      </c>
      <c r="I315" s="25" t="s">
        <v>8902</v>
      </c>
      <c r="J315" s="25" t="s">
        <v>8903</v>
      </c>
    </row>
    <row r="316" spans="1:10" x14ac:dyDescent="0.25">
      <c r="A316" s="16" t="s">
        <v>8904</v>
      </c>
      <c r="B316" s="16" t="s">
        <v>3823</v>
      </c>
      <c r="C316" s="16" t="s">
        <v>1575</v>
      </c>
      <c r="D316" s="16" t="s">
        <v>8905</v>
      </c>
      <c r="E316" s="16" t="s">
        <v>8906</v>
      </c>
      <c r="F316" s="16" t="s">
        <v>7327</v>
      </c>
      <c r="G316" s="19" t="s">
        <v>1580</v>
      </c>
      <c r="H316" s="19" t="s">
        <v>1694</v>
      </c>
      <c r="I316" s="25" t="s">
        <v>8907</v>
      </c>
      <c r="J316" s="25" t="s">
        <v>8908</v>
      </c>
    </row>
    <row r="317" spans="1:10" x14ac:dyDescent="0.25">
      <c r="A317" s="16" t="s">
        <v>8909</v>
      </c>
      <c r="B317" s="16" t="s">
        <v>8910</v>
      </c>
      <c r="C317" s="16" t="s">
        <v>1575</v>
      </c>
      <c r="D317" s="16" t="s">
        <v>8911</v>
      </c>
      <c r="E317" s="16" t="s">
        <v>8912</v>
      </c>
      <c r="F317" s="16" t="s">
        <v>1575</v>
      </c>
      <c r="G317" s="19" t="s">
        <v>1580</v>
      </c>
      <c r="H317" s="19" t="s">
        <v>1694</v>
      </c>
      <c r="I317" s="25" t="s">
        <v>8913</v>
      </c>
      <c r="J317" s="25" t="s">
        <v>8914</v>
      </c>
    </row>
    <row r="318" spans="1:10" x14ac:dyDescent="0.25">
      <c r="A318" s="16" t="s">
        <v>8915</v>
      </c>
      <c r="B318" s="16" t="s">
        <v>8916</v>
      </c>
      <c r="C318" s="16" t="s">
        <v>1575</v>
      </c>
      <c r="D318" s="16" t="s">
        <v>4967</v>
      </c>
      <c r="E318" s="16" t="s">
        <v>8917</v>
      </c>
      <c r="F318" s="16" t="s">
        <v>1575</v>
      </c>
      <c r="G318" s="19" t="s">
        <v>1580</v>
      </c>
      <c r="H318" s="19" t="s">
        <v>1694</v>
      </c>
      <c r="I318" s="25" t="s">
        <v>8918</v>
      </c>
      <c r="J318" s="25" t="s">
        <v>8919</v>
      </c>
    </row>
    <row r="319" spans="1:10" x14ac:dyDescent="0.25">
      <c r="A319" s="16" t="s">
        <v>8920</v>
      </c>
      <c r="B319" s="16" t="s">
        <v>8921</v>
      </c>
      <c r="C319" s="16" t="s">
        <v>8922</v>
      </c>
      <c r="D319" s="16" t="s">
        <v>8923</v>
      </c>
      <c r="E319" s="16" t="s">
        <v>8924</v>
      </c>
      <c r="F319" s="16" t="s">
        <v>1575</v>
      </c>
      <c r="G319" s="19" t="s">
        <v>1580</v>
      </c>
      <c r="H319" s="19" t="s">
        <v>1694</v>
      </c>
      <c r="I319" s="16" t="s">
        <v>1575</v>
      </c>
      <c r="J319" s="25" t="s">
        <v>8925</v>
      </c>
    </row>
    <row r="320" spans="1:10" x14ac:dyDescent="0.25">
      <c r="A320" s="16" t="s">
        <v>8926</v>
      </c>
      <c r="B320" s="16" t="s">
        <v>8927</v>
      </c>
      <c r="C320" s="16" t="s">
        <v>8928</v>
      </c>
      <c r="D320" s="16" t="s">
        <v>8929</v>
      </c>
      <c r="E320" s="16" t="s">
        <v>8930</v>
      </c>
      <c r="F320" s="16" t="s">
        <v>1575</v>
      </c>
      <c r="G320" s="19" t="s">
        <v>1580</v>
      </c>
      <c r="H320" s="19" t="s">
        <v>1694</v>
      </c>
      <c r="I320" s="16" t="s">
        <v>1575</v>
      </c>
      <c r="J320" s="25" t="s">
        <v>8931</v>
      </c>
    </row>
    <row r="321" spans="1:10" x14ac:dyDescent="0.25">
      <c r="A321" s="16" t="s">
        <v>8932</v>
      </c>
      <c r="B321" s="16" t="s">
        <v>1575</v>
      </c>
      <c r="C321" s="16" t="s">
        <v>1575</v>
      </c>
      <c r="D321" s="16" t="s">
        <v>4958</v>
      </c>
      <c r="E321" s="16" t="s">
        <v>8933</v>
      </c>
      <c r="F321" s="16" t="s">
        <v>1575</v>
      </c>
      <c r="G321" s="19" t="s">
        <v>1580</v>
      </c>
      <c r="H321" s="19" t="s">
        <v>1694</v>
      </c>
      <c r="I321" s="25" t="s">
        <v>8934</v>
      </c>
      <c r="J321" s="25" t="s">
        <v>8935</v>
      </c>
    </row>
    <row r="322" spans="1:10" x14ac:dyDescent="0.25">
      <c r="A322" s="16" t="s">
        <v>8936</v>
      </c>
      <c r="B322" s="16" t="s">
        <v>1575</v>
      </c>
      <c r="C322" s="16" t="s">
        <v>1575</v>
      </c>
      <c r="D322" s="16" t="s">
        <v>4702</v>
      </c>
      <c r="E322" s="16" t="s">
        <v>8937</v>
      </c>
      <c r="F322" s="16" t="s">
        <v>1575</v>
      </c>
      <c r="G322" s="19" t="s">
        <v>1580</v>
      </c>
      <c r="H322" s="19" t="s">
        <v>1694</v>
      </c>
      <c r="I322" s="25" t="s">
        <v>8938</v>
      </c>
      <c r="J322" s="25" t="s">
        <v>8939</v>
      </c>
    </row>
    <row r="323" spans="1:10" x14ac:dyDescent="0.25">
      <c r="A323" s="16" t="s">
        <v>8940</v>
      </c>
      <c r="B323" s="16" t="s">
        <v>1575</v>
      </c>
      <c r="C323" s="16" t="s">
        <v>1575</v>
      </c>
      <c r="D323" s="16" t="s">
        <v>4822</v>
      </c>
      <c r="E323" s="16" t="s">
        <v>8941</v>
      </c>
      <c r="F323" s="16" t="s">
        <v>1575</v>
      </c>
      <c r="G323" s="19" t="s">
        <v>1580</v>
      </c>
      <c r="H323" s="19" t="s">
        <v>1694</v>
      </c>
      <c r="I323" s="25" t="s">
        <v>8942</v>
      </c>
      <c r="J323" s="25" t="s">
        <v>8943</v>
      </c>
    </row>
    <row r="324" spans="1:10" x14ac:dyDescent="0.25">
      <c r="A324" s="16" t="s">
        <v>8944</v>
      </c>
      <c r="B324" s="16" t="s">
        <v>1575</v>
      </c>
      <c r="C324" s="16" t="s">
        <v>1575</v>
      </c>
      <c r="D324" s="16" t="s">
        <v>4831</v>
      </c>
      <c r="E324" s="16" t="s">
        <v>8945</v>
      </c>
      <c r="F324" s="16" t="s">
        <v>1575</v>
      </c>
      <c r="G324" s="19" t="s">
        <v>1580</v>
      </c>
      <c r="H324" s="19" t="s">
        <v>1694</v>
      </c>
      <c r="I324" s="25" t="s">
        <v>8946</v>
      </c>
      <c r="J324" s="25" t="s">
        <v>8947</v>
      </c>
    </row>
    <row r="325" spans="1:10" x14ac:dyDescent="0.25">
      <c r="A325" s="16" t="s">
        <v>8948</v>
      </c>
      <c r="B325" s="16" t="s">
        <v>1575</v>
      </c>
      <c r="C325" s="16" t="s">
        <v>1575</v>
      </c>
      <c r="D325" s="16" t="s">
        <v>4819</v>
      </c>
      <c r="E325" s="16" t="s">
        <v>8949</v>
      </c>
      <c r="F325" s="16" t="s">
        <v>1575</v>
      </c>
      <c r="G325" s="19" t="s">
        <v>1580</v>
      </c>
      <c r="H325" s="19" t="s">
        <v>1694</v>
      </c>
      <c r="I325" s="25" t="s">
        <v>8950</v>
      </c>
      <c r="J325" s="25" t="s">
        <v>8951</v>
      </c>
    </row>
    <row r="326" spans="1:10" x14ac:dyDescent="0.25">
      <c r="A326" s="16" t="s">
        <v>8952</v>
      </c>
      <c r="B326" s="16" t="s">
        <v>1575</v>
      </c>
      <c r="C326" s="16" t="s">
        <v>1575</v>
      </c>
      <c r="D326" s="16" t="s">
        <v>4966</v>
      </c>
      <c r="E326" s="16" t="s">
        <v>8953</v>
      </c>
      <c r="F326" s="16" t="s">
        <v>1575</v>
      </c>
      <c r="G326" s="19" t="s">
        <v>1580</v>
      </c>
      <c r="H326" s="19" t="s">
        <v>1694</v>
      </c>
      <c r="I326" s="25" t="s">
        <v>8954</v>
      </c>
      <c r="J326" s="25" t="s">
        <v>8955</v>
      </c>
    </row>
    <row r="327" spans="1:10" x14ac:dyDescent="0.25">
      <c r="A327" s="16" t="s">
        <v>8956</v>
      </c>
      <c r="B327" s="16" t="s">
        <v>1575</v>
      </c>
      <c r="C327" s="16" t="s">
        <v>1575</v>
      </c>
      <c r="D327" s="16" t="s">
        <v>4844</v>
      </c>
      <c r="E327" s="16" t="s">
        <v>8957</v>
      </c>
      <c r="F327" s="16" t="s">
        <v>1575</v>
      </c>
      <c r="G327" s="19" t="s">
        <v>1580</v>
      </c>
      <c r="H327" s="19" t="s">
        <v>1694</v>
      </c>
      <c r="I327" s="25" t="s">
        <v>8958</v>
      </c>
      <c r="J327" s="25" t="s">
        <v>8959</v>
      </c>
    </row>
    <row r="328" spans="1:10" x14ac:dyDescent="0.25">
      <c r="A328" s="16" t="s">
        <v>8960</v>
      </c>
      <c r="B328" s="16" t="s">
        <v>8961</v>
      </c>
      <c r="C328" s="16" t="s">
        <v>1575</v>
      </c>
      <c r="D328" s="16" t="s">
        <v>8962</v>
      </c>
      <c r="E328" s="16" t="s">
        <v>8963</v>
      </c>
      <c r="F328" s="16" t="s">
        <v>1575</v>
      </c>
      <c r="G328" s="19" t="s">
        <v>1580</v>
      </c>
      <c r="H328" s="19" t="s">
        <v>5016</v>
      </c>
      <c r="I328" s="25" t="s">
        <v>8964</v>
      </c>
      <c r="J328" s="25" t="s">
        <v>8965</v>
      </c>
    </row>
    <row r="329" spans="1:10" x14ac:dyDescent="0.25">
      <c r="A329" s="16" t="s">
        <v>8966</v>
      </c>
      <c r="B329" s="16" t="s">
        <v>8967</v>
      </c>
      <c r="C329" s="16" t="s">
        <v>1575</v>
      </c>
      <c r="D329" s="16" t="s">
        <v>8968</v>
      </c>
      <c r="E329" s="16" t="s">
        <v>8969</v>
      </c>
      <c r="F329" s="16" t="s">
        <v>1575</v>
      </c>
      <c r="G329" s="19" t="s">
        <v>1580</v>
      </c>
      <c r="H329" s="19" t="s">
        <v>5016</v>
      </c>
      <c r="I329" s="25" t="s">
        <v>8970</v>
      </c>
      <c r="J329" s="25" t="s">
        <v>8971</v>
      </c>
    </row>
    <row r="330" spans="1:10" x14ac:dyDescent="0.25">
      <c r="A330" s="16" t="s">
        <v>8972</v>
      </c>
      <c r="B330" s="16" t="s">
        <v>5015</v>
      </c>
      <c r="C330" s="16" t="s">
        <v>1575</v>
      </c>
      <c r="D330" s="16" t="s">
        <v>5014</v>
      </c>
      <c r="E330" s="16" t="s">
        <v>8973</v>
      </c>
      <c r="F330" s="16" t="s">
        <v>1575</v>
      </c>
      <c r="G330" s="19" t="s">
        <v>1580</v>
      </c>
      <c r="H330" s="19" t="s">
        <v>5016</v>
      </c>
      <c r="I330" s="25" t="s">
        <v>8974</v>
      </c>
      <c r="J330" s="25" t="s">
        <v>8975</v>
      </c>
    </row>
    <row r="331" spans="1:10" x14ac:dyDescent="0.25">
      <c r="A331" s="16" t="s">
        <v>8976</v>
      </c>
      <c r="B331" s="16" t="s">
        <v>4290</v>
      </c>
      <c r="C331" s="16" t="s">
        <v>1575</v>
      </c>
      <c r="D331" s="16" t="s">
        <v>4282</v>
      </c>
      <c r="E331" s="16" t="s">
        <v>8977</v>
      </c>
      <c r="F331" s="16" t="s">
        <v>1575</v>
      </c>
      <c r="G331" s="19" t="s">
        <v>1580</v>
      </c>
      <c r="H331" s="19" t="s">
        <v>4288</v>
      </c>
      <c r="I331" s="25" t="s">
        <v>8978</v>
      </c>
      <c r="J331" s="25" t="s">
        <v>8979</v>
      </c>
    </row>
    <row r="332" spans="1:10" x14ac:dyDescent="0.25">
      <c r="A332" s="16" t="s">
        <v>8980</v>
      </c>
      <c r="B332" s="16" t="s">
        <v>4311</v>
      </c>
      <c r="C332" s="16" t="s">
        <v>1575</v>
      </c>
      <c r="D332" s="16" t="s">
        <v>4310</v>
      </c>
      <c r="E332" s="16" t="s">
        <v>8981</v>
      </c>
      <c r="F332" s="16" t="s">
        <v>1575</v>
      </c>
      <c r="G332" s="19" t="s">
        <v>1580</v>
      </c>
      <c r="H332" s="19" t="s">
        <v>4288</v>
      </c>
      <c r="I332" s="25" t="s">
        <v>8982</v>
      </c>
      <c r="J332" s="25" t="s">
        <v>8983</v>
      </c>
    </row>
    <row r="333" spans="1:10" x14ac:dyDescent="0.25">
      <c r="A333" s="16" t="s">
        <v>8984</v>
      </c>
      <c r="B333" s="16" t="s">
        <v>4231</v>
      </c>
      <c r="C333" s="16" t="s">
        <v>1575</v>
      </c>
      <c r="D333" s="16" t="s">
        <v>5659</v>
      </c>
      <c r="E333" s="16" t="s">
        <v>8985</v>
      </c>
      <c r="F333" s="16" t="s">
        <v>4229</v>
      </c>
      <c r="G333" s="19" t="s">
        <v>1580</v>
      </c>
      <c r="H333" s="19" t="s">
        <v>2057</v>
      </c>
      <c r="I333" s="25" t="s">
        <v>8986</v>
      </c>
      <c r="J333" s="25" t="s">
        <v>8987</v>
      </c>
    </row>
    <row r="334" spans="1:10" x14ac:dyDescent="0.25">
      <c r="A334" s="16" t="s">
        <v>8988</v>
      </c>
      <c r="B334" s="16" t="s">
        <v>1575</v>
      </c>
      <c r="C334" s="16" t="s">
        <v>1575</v>
      </c>
      <c r="D334" s="16" t="s">
        <v>5045</v>
      </c>
      <c r="E334" s="16" t="s">
        <v>8989</v>
      </c>
      <c r="F334" s="16" t="s">
        <v>1575</v>
      </c>
      <c r="G334" s="19" t="s">
        <v>1580</v>
      </c>
      <c r="H334" s="19" t="s">
        <v>2057</v>
      </c>
      <c r="I334" s="25" t="s">
        <v>8990</v>
      </c>
      <c r="J334" s="25" t="s">
        <v>8991</v>
      </c>
    </row>
    <row r="335" spans="1:10" x14ac:dyDescent="0.25">
      <c r="A335" s="16" t="s">
        <v>8992</v>
      </c>
      <c r="B335" s="16" t="s">
        <v>4229</v>
      </c>
      <c r="C335" s="16" t="s">
        <v>1575</v>
      </c>
      <c r="D335" s="16" t="s">
        <v>4227</v>
      </c>
      <c r="E335" s="16" t="s">
        <v>8993</v>
      </c>
      <c r="F335" s="16" t="s">
        <v>1575</v>
      </c>
      <c r="G335" s="19" t="s">
        <v>1580</v>
      </c>
      <c r="H335" s="19" t="s">
        <v>1593</v>
      </c>
      <c r="I335" s="25" t="s">
        <v>8994</v>
      </c>
      <c r="J335" s="25" t="s">
        <v>8995</v>
      </c>
    </row>
    <row r="336" spans="1:10" x14ac:dyDescent="0.25">
      <c r="A336" s="16" t="s">
        <v>8996</v>
      </c>
      <c r="B336" s="16" t="s">
        <v>8997</v>
      </c>
      <c r="C336" s="16" t="s">
        <v>1575</v>
      </c>
      <c r="D336" s="16" t="s">
        <v>8998</v>
      </c>
      <c r="E336" s="16" t="s">
        <v>8999</v>
      </c>
      <c r="F336" s="16" t="s">
        <v>1575</v>
      </c>
      <c r="G336" s="19" t="s">
        <v>1580</v>
      </c>
      <c r="H336" s="19" t="s">
        <v>1593</v>
      </c>
      <c r="I336" s="25" t="s">
        <v>9000</v>
      </c>
      <c r="J336" s="25" t="s">
        <v>9001</v>
      </c>
    </row>
    <row r="337" spans="1:10" x14ac:dyDescent="0.25">
      <c r="A337" s="16" t="s">
        <v>9002</v>
      </c>
      <c r="B337" s="16" t="s">
        <v>9003</v>
      </c>
      <c r="C337" s="16" t="s">
        <v>1575</v>
      </c>
      <c r="D337" s="16" t="s">
        <v>9004</v>
      </c>
      <c r="E337" s="16" t="s">
        <v>9005</v>
      </c>
      <c r="F337" s="16" t="s">
        <v>1575</v>
      </c>
      <c r="G337" s="19" t="s">
        <v>1580</v>
      </c>
      <c r="H337" s="19" t="s">
        <v>1593</v>
      </c>
      <c r="I337" s="25" t="s">
        <v>9006</v>
      </c>
      <c r="J337" s="25" t="s">
        <v>9007</v>
      </c>
    </row>
    <row r="338" spans="1:10" x14ac:dyDescent="0.25">
      <c r="A338" s="16" t="s">
        <v>9008</v>
      </c>
      <c r="B338" s="16" t="s">
        <v>9009</v>
      </c>
      <c r="C338" s="16" t="s">
        <v>1575</v>
      </c>
      <c r="D338" s="16" t="s">
        <v>5122</v>
      </c>
      <c r="E338" s="16" t="s">
        <v>9010</v>
      </c>
      <c r="F338" s="16" t="s">
        <v>1575</v>
      </c>
      <c r="G338" s="19" t="s">
        <v>1580</v>
      </c>
      <c r="H338" s="19" t="s">
        <v>1593</v>
      </c>
      <c r="I338" s="25" t="s">
        <v>9011</v>
      </c>
      <c r="J338" s="25" t="s">
        <v>9012</v>
      </c>
    </row>
    <row r="339" spans="1:10" x14ac:dyDescent="0.25">
      <c r="A339" s="16" t="s">
        <v>9013</v>
      </c>
      <c r="B339" s="16" t="s">
        <v>9014</v>
      </c>
      <c r="C339" s="16" t="s">
        <v>1575</v>
      </c>
      <c r="D339" s="16" t="s">
        <v>5132</v>
      </c>
      <c r="E339" s="16" t="s">
        <v>9015</v>
      </c>
      <c r="F339" s="16" t="s">
        <v>1575</v>
      </c>
      <c r="G339" s="19" t="s">
        <v>1580</v>
      </c>
      <c r="H339" s="19" t="s">
        <v>1593</v>
      </c>
      <c r="I339" s="16" t="s">
        <v>1575</v>
      </c>
      <c r="J339" s="25" t="s">
        <v>9016</v>
      </c>
    </row>
    <row r="340" spans="1:10" x14ac:dyDescent="0.25">
      <c r="A340" s="16" t="s">
        <v>9017</v>
      </c>
      <c r="B340" s="16" t="s">
        <v>9018</v>
      </c>
      <c r="C340" s="16" t="s">
        <v>1575</v>
      </c>
      <c r="D340" s="16" t="s">
        <v>5138</v>
      </c>
      <c r="E340" s="16" t="s">
        <v>9019</v>
      </c>
      <c r="F340" s="16" t="s">
        <v>1575</v>
      </c>
      <c r="G340" s="19" t="s">
        <v>1580</v>
      </c>
      <c r="H340" s="19" t="s">
        <v>1593</v>
      </c>
      <c r="I340" s="25" t="s">
        <v>9020</v>
      </c>
      <c r="J340" s="25" t="s">
        <v>9021</v>
      </c>
    </row>
    <row r="341" spans="1:10" x14ac:dyDescent="0.25">
      <c r="A341" s="16" t="s">
        <v>9022</v>
      </c>
      <c r="B341" s="16" t="s">
        <v>9023</v>
      </c>
      <c r="C341" s="16" t="s">
        <v>1575</v>
      </c>
      <c r="D341" s="16" t="s">
        <v>5157</v>
      </c>
      <c r="E341" s="16" t="s">
        <v>9024</v>
      </c>
      <c r="F341" s="16" t="s">
        <v>1575</v>
      </c>
      <c r="G341" s="19" t="s">
        <v>1580</v>
      </c>
      <c r="H341" s="19" t="s">
        <v>1593</v>
      </c>
      <c r="I341" s="16" t="s">
        <v>1575</v>
      </c>
      <c r="J341" s="25" t="s">
        <v>9025</v>
      </c>
    </row>
    <row r="342" spans="1:10" x14ac:dyDescent="0.25">
      <c r="A342" s="16" t="s">
        <v>9026</v>
      </c>
      <c r="B342" s="16" t="s">
        <v>9027</v>
      </c>
      <c r="C342" s="16" t="s">
        <v>1575</v>
      </c>
      <c r="D342" s="16" t="s">
        <v>9028</v>
      </c>
      <c r="E342" s="16" t="s">
        <v>9029</v>
      </c>
      <c r="F342" s="16" t="s">
        <v>1575</v>
      </c>
      <c r="G342" s="19" t="s">
        <v>1580</v>
      </c>
      <c r="H342" s="19" t="s">
        <v>1593</v>
      </c>
      <c r="I342" s="16" t="s">
        <v>1575</v>
      </c>
      <c r="J342" s="25" t="s">
        <v>9030</v>
      </c>
    </row>
    <row r="343" spans="1:10" x14ac:dyDescent="0.25">
      <c r="A343" s="16" t="s">
        <v>9031</v>
      </c>
      <c r="B343" s="16" t="s">
        <v>1575</v>
      </c>
      <c r="C343" s="16" t="s">
        <v>1575</v>
      </c>
      <c r="D343" s="16" t="s">
        <v>5126</v>
      </c>
      <c r="E343" s="16" t="s">
        <v>9032</v>
      </c>
      <c r="F343" s="16" t="s">
        <v>1575</v>
      </c>
      <c r="G343" s="19" t="s">
        <v>1580</v>
      </c>
      <c r="H343" s="19" t="s">
        <v>1593</v>
      </c>
      <c r="I343" s="16" t="s">
        <v>1575</v>
      </c>
      <c r="J343" s="25" t="s">
        <v>9033</v>
      </c>
    </row>
    <row r="344" spans="1:10" x14ac:dyDescent="0.25">
      <c r="A344" s="16" t="s">
        <v>9034</v>
      </c>
      <c r="B344" s="16" t="s">
        <v>1575</v>
      </c>
      <c r="C344" s="16" t="s">
        <v>1575</v>
      </c>
      <c r="D344" s="16" t="s">
        <v>9035</v>
      </c>
      <c r="E344" s="16" t="s">
        <v>9036</v>
      </c>
      <c r="F344" s="16" t="s">
        <v>1575</v>
      </c>
      <c r="G344" s="19" t="s">
        <v>1580</v>
      </c>
      <c r="H344" s="19" t="s">
        <v>1593</v>
      </c>
      <c r="I344" s="16" t="s">
        <v>1575</v>
      </c>
      <c r="J344" s="25" t="s">
        <v>9037</v>
      </c>
    </row>
    <row r="345" spans="1:10" x14ac:dyDescent="0.25">
      <c r="A345" s="16" t="s">
        <v>9038</v>
      </c>
      <c r="B345" s="16" t="s">
        <v>9039</v>
      </c>
      <c r="C345" s="16" t="s">
        <v>1575</v>
      </c>
      <c r="D345" s="16" t="s">
        <v>9040</v>
      </c>
      <c r="E345" s="16" t="s">
        <v>9041</v>
      </c>
      <c r="F345" s="16" t="s">
        <v>1575</v>
      </c>
      <c r="G345" s="19" t="s">
        <v>1580</v>
      </c>
      <c r="H345" s="19" t="s">
        <v>1593</v>
      </c>
      <c r="I345" s="25" t="s">
        <v>9042</v>
      </c>
      <c r="J345" s="25" t="s">
        <v>9043</v>
      </c>
    </row>
    <row r="346" spans="1:10" x14ac:dyDescent="0.25">
      <c r="A346" s="16" t="s">
        <v>9044</v>
      </c>
      <c r="B346" s="16" t="s">
        <v>9045</v>
      </c>
      <c r="C346" s="16" t="s">
        <v>1575</v>
      </c>
      <c r="D346" s="16" t="s">
        <v>9046</v>
      </c>
      <c r="E346" s="16" t="s">
        <v>9047</v>
      </c>
      <c r="F346" s="16" t="s">
        <v>1575</v>
      </c>
      <c r="G346" s="19" t="s">
        <v>1580</v>
      </c>
      <c r="H346" s="19" t="s">
        <v>1593</v>
      </c>
      <c r="I346" s="25" t="s">
        <v>9048</v>
      </c>
      <c r="J346" s="25" t="s">
        <v>9049</v>
      </c>
    </row>
    <row r="347" spans="1:10" x14ac:dyDescent="0.25">
      <c r="A347" s="16" t="s">
        <v>9050</v>
      </c>
      <c r="B347" s="16" t="s">
        <v>9051</v>
      </c>
      <c r="C347" s="16" t="s">
        <v>1575</v>
      </c>
      <c r="D347" s="16" t="s">
        <v>9052</v>
      </c>
      <c r="E347" s="16" t="s">
        <v>9053</v>
      </c>
      <c r="F347" s="16" t="s">
        <v>1575</v>
      </c>
      <c r="G347" s="19" t="s">
        <v>1580</v>
      </c>
      <c r="H347" s="19" t="s">
        <v>1593</v>
      </c>
      <c r="I347" s="25" t="s">
        <v>9054</v>
      </c>
      <c r="J347" s="25" t="s">
        <v>9055</v>
      </c>
    </row>
  </sheetData>
  <autoFilter ref="A1:J1" xr:uid="{06C3B0BC-8637-4437-8351-F55AE507BCA3}"/>
  <hyperlinks>
    <hyperlink ref="I2" r:id="rId1" xr:uid="{4D33CE7D-A46F-4C2B-98E1-01DEEEE59A1D}"/>
    <hyperlink ref="I3" r:id="rId2" xr:uid="{FF135B2C-D1B9-4B46-A3B1-D0F58295758C}"/>
    <hyperlink ref="I4" r:id="rId3" xr:uid="{C8ACB3C2-3349-4A92-B10F-D4A490930ACB}"/>
    <hyperlink ref="I5" r:id="rId4" xr:uid="{0697A613-0D7B-4C44-8C2B-2E7789BAA20D}"/>
    <hyperlink ref="I6" r:id="rId5" xr:uid="{6D5D8CD6-AB65-4001-8EB8-039ABCB5A370}"/>
    <hyperlink ref="I7" r:id="rId6" xr:uid="{4B049517-1FF0-49A0-AFBC-C5494EDFDF61}"/>
    <hyperlink ref="I8" r:id="rId7" xr:uid="{BCAA4247-3B48-46A0-A2D2-918B6886F70C}"/>
    <hyperlink ref="I10" r:id="rId8" xr:uid="{667E996F-1A9F-447A-B249-0D3B9FE3B257}"/>
    <hyperlink ref="I11" r:id="rId9" xr:uid="{74D1DD7B-5B85-49FF-A814-D99CAE9EC094}"/>
    <hyperlink ref="I12" r:id="rId10" xr:uid="{68D9607A-D585-4166-82C4-A0112AAB0D26}"/>
    <hyperlink ref="I27" r:id="rId11" xr:uid="{90E7D2B7-4161-4D9C-89C1-20E5C8979975}"/>
    <hyperlink ref="I29" r:id="rId12" xr:uid="{F736F0E4-85AD-43D5-8943-00D5CF25BA60}"/>
    <hyperlink ref="I30" r:id="rId13" xr:uid="{A8C7EFB9-9120-45A6-AC16-C0067A55C285}"/>
    <hyperlink ref="I32" r:id="rId14" xr:uid="{414121C2-8563-4E12-9FE9-EABBAB79C127}"/>
    <hyperlink ref="I31" r:id="rId15" xr:uid="{18AF8AE3-FAD1-46F5-B6F5-C7E0929CE0C4}"/>
    <hyperlink ref="I14" r:id="rId16" xr:uid="{9F8F9A10-2028-4F37-934E-2A9860E8A5BC}"/>
    <hyperlink ref="I15" r:id="rId17" xr:uid="{021F3FE2-B64C-45EE-8C31-55D7D9EEF9EF}"/>
    <hyperlink ref="I16" r:id="rId18" xr:uid="{230AE851-85B5-477B-BB1E-A6B580F6956A}"/>
    <hyperlink ref="I34" r:id="rId19" xr:uid="{2FC2EB14-31B3-443F-80A4-6C4DF33A2268}"/>
    <hyperlink ref="I35" r:id="rId20" xr:uid="{A56267CF-73A0-4464-917B-9A122917884B}"/>
    <hyperlink ref="I36" r:id="rId21" xr:uid="{8EA43163-8395-4881-8C3F-5ABB1F2D5DEC}"/>
    <hyperlink ref="I37" r:id="rId22" display="https://vhz31.ru/" xr:uid="{E6A77240-2F3B-45F8-AF08-C4A5861A521A}"/>
    <hyperlink ref="I40" r:id="rId23" xr:uid="{9CFECBDD-6A8C-4C67-AA47-22B08AFDA4E1}"/>
    <hyperlink ref="I39" r:id="rId24" xr:uid="{00036030-AB8D-41DE-BF52-C6D96EAE5CF5}"/>
    <hyperlink ref="I9" r:id="rId25" xr:uid="{1352725B-1779-489E-9BCA-2BCA5E2B0301}"/>
    <hyperlink ref="I43" r:id="rId26" xr:uid="{7F356F3A-104B-4BEA-8C1F-7AA569AF62AD}"/>
    <hyperlink ref="I45" r:id="rId27" xr:uid="{1381A533-FCC3-44EE-8927-6E7CA0853AD3}"/>
    <hyperlink ref="I46" r:id="rId28" xr:uid="{66A6A699-A4DB-4764-9DC0-3FFA3A91E6D6}"/>
    <hyperlink ref="I47" r:id="rId29" xr:uid="{CD9546BC-7CE4-4FA9-BD79-D005975B4ABF}"/>
    <hyperlink ref="I48" r:id="rId30" xr:uid="{8B15DC3A-C7D3-41BF-ACA6-982C82A301BB}"/>
    <hyperlink ref="I49" r:id="rId31" xr:uid="{D87B4C99-46D9-4F3E-9A43-0D2CEA6E77D7}"/>
    <hyperlink ref="I50" r:id="rId32" xr:uid="{7A6AF8B3-89B1-4A20-83D9-CE26F8E42107}"/>
    <hyperlink ref="I51" r:id="rId33" xr:uid="{705502F2-637F-4B8D-B057-613695AAAC0D}"/>
    <hyperlink ref="I52" r:id="rId34" xr:uid="{009CCB14-D5B5-45C6-8195-0EB2D016F346}"/>
    <hyperlink ref="I53" r:id="rId35" xr:uid="{8A6C987E-1F90-4C19-8019-E1A0F6F3A1AE}"/>
    <hyperlink ref="I54" r:id="rId36" xr:uid="{ABC33721-073C-43FF-BCF0-29164EBDBFA6}"/>
    <hyperlink ref="I55" r:id="rId37" xr:uid="{D8E69368-6ADA-4655-B61D-D17156E23029}"/>
    <hyperlink ref="I56" r:id="rId38" xr:uid="{0312BD67-15B1-40E0-A7BD-0C811B467B80}"/>
    <hyperlink ref="I57" r:id="rId39" xr:uid="{208EBFE0-EB01-43CD-B650-927E8C54BD31}"/>
    <hyperlink ref="I58" r:id="rId40" xr:uid="{8CF13C43-9E97-4E09-B76A-93AD3B662125}"/>
    <hyperlink ref="I288" r:id="rId41" xr:uid="{9631573F-ED2B-4441-8383-BA4E9B7B3FFB}"/>
    <hyperlink ref="I289" r:id="rId42" xr:uid="{1FA40042-075F-45F8-92DE-654746D61B11}"/>
    <hyperlink ref="I60" r:id="rId43" xr:uid="{38505E41-15C2-4D1C-B599-D8B47EF3B386}"/>
    <hyperlink ref="I62" r:id="rId44" xr:uid="{EE33B528-F838-4D6A-B2DE-D7DE6A1E9727}"/>
    <hyperlink ref="I63" r:id="rId45" xr:uid="{53DE7181-2722-45DC-8F0B-DC2DB1DF3878}"/>
    <hyperlink ref="I64" r:id="rId46" xr:uid="{48F361EA-F05E-4AA3-9B9A-8182FFB44FDD}"/>
    <hyperlink ref="I65" r:id="rId47" xr:uid="{BD646C0C-8B21-4E17-85AF-728C00B66B5D}"/>
    <hyperlink ref="I72" r:id="rId48" xr:uid="{844DF8E0-B3AB-45D4-9D96-3607DC2B2124}"/>
    <hyperlink ref="I73" r:id="rId49" xr:uid="{8150D26D-DDDE-45B2-BF69-F522F197AAA9}"/>
    <hyperlink ref="I74" r:id="rId50" xr:uid="{EA49DADB-012D-4059-A556-88B9772410F3}"/>
    <hyperlink ref="I66" r:id="rId51" xr:uid="{2943EBAF-7917-49DA-B590-26D3ED0ADF31}"/>
    <hyperlink ref="I67" r:id="rId52" xr:uid="{FD270AA9-D872-4175-80D6-D7052FA7CF4D}"/>
    <hyperlink ref="I75" r:id="rId53" xr:uid="{D72BB04E-5BA6-4C46-B55F-4BE2C965D2F9}"/>
    <hyperlink ref="I76" r:id="rId54" xr:uid="{F35DD88E-B656-47B1-A40D-D06CA2A71123}"/>
    <hyperlink ref="J61" r:id="rId55" display="www.e-disclosure.ru/portal/company.aspx?id=5964" xr:uid="{F0878638-5882-41C5-93FB-3ACF819803A1}"/>
    <hyperlink ref="J2" r:id="rId56" display="www.e-disclosure.ru/portal/company.aspx?id=6505" xr:uid="{E6DABF6E-6166-4718-ADA5-A4B4F4EFAFEC}"/>
    <hyperlink ref="J3" r:id="rId57" display="www.e-disclosure.ru/portal/company.aspx?id=934" xr:uid="{675E217C-E7C1-4FA4-A825-66760EB8A167}"/>
    <hyperlink ref="J4" r:id="rId58" display="www.e-disclosure.ru/portal/company.aspx?id=17" xr:uid="{312367FB-A742-4AC3-B9F9-B91E749C758F}"/>
    <hyperlink ref="J5" r:id="rId59" display="www.e-disclosure.ru/portal/company.aspx?id=312" xr:uid="{7E3DC4F8-63A6-4B01-86D3-5C45BF341B53}"/>
    <hyperlink ref="J6" r:id="rId60" display="www.e-disclosure.ru/portal/company.aspx?id=1976" xr:uid="{987FCA70-60F4-4E8D-912A-F1B93DE67817}"/>
    <hyperlink ref="J8" r:id="rId61" display="www.e-disclosure.ru/portal/company.aspx?id=225" xr:uid="{0CEFBA87-CF79-47AB-865B-306FF1BD2444}"/>
    <hyperlink ref="J9" r:id="rId62" display="www.e-disclosure.ru/portal/company.aspx?id=4994" xr:uid="{74FF8EE7-6FF5-48D0-A312-B09F30F8D21C}"/>
    <hyperlink ref="J10" r:id="rId63" display="www.e-disclosure.ru/portal/company.aspx?id=347" xr:uid="{38DA6E5A-225A-4317-80C6-5334E1DEB448}"/>
    <hyperlink ref="J12" r:id="rId64" display="www.e-disclosure.ru/portal/company.aspx?id=636" xr:uid="{FE03FAF4-FE96-4B27-80C8-EBB00C3E8361}"/>
    <hyperlink ref="J14" r:id="rId65" display="www.e-disclosure.ru/portal/company.aspx?id=568" xr:uid="{5ADF3065-3AE3-4FDD-AE5E-7D914D2F2EA0}"/>
    <hyperlink ref="J15" r:id="rId66" display="www.e-disclosure.ru/portal/company.aspx?id=3166" xr:uid="{8C59C4BF-8A39-45B5-89B1-186690866F73}"/>
    <hyperlink ref="J16" r:id="rId67" display="www.e-disclosure.ru/portal/company.aspx?id=947" xr:uid="{D4F782B3-0970-4CB3-9A57-8B7462DD69D1}"/>
    <hyperlink ref="J27" r:id="rId68" display="www.e-disclosure.ru/portal/company.aspx?id=357" xr:uid="{EFB5AC66-9105-4061-9F55-A5C8EEB0B243}"/>
    <hyperlink ref="J29" r:id="rId69" display="www.e-disclosure.ru/portal/company.aspx?id=573" xr:uid="{D9026B66-8D1E-41CB-ACD2-D5F707EAAAB0}"/>
    <hyperlink ref="J30" r:id="rId70" display="www.e-disclosure.ru/portal/company.aspx?id=703" xr:uid="{64419359-A272-4C6F-8887-A49DF2E1C7D9}"/>
    <hyperlink ref="J31" r:id="rId71" display="www.e-disclosure.ru/portal/company.aspx?id=1233" xr:uid="{0A550ADA-84BA-4838-9349-B2E58EF86D54}"/>
    <hyperlink ref="J35" r:id="rId72" display="www.e-disclosure.ru/portal/company.aspx?id=197" xr:uid="{F770C118-B689-49F7-805E-089D139C6A64}"/>
    <hyperlink ref="J36" r:id="rId73" display="www.e-disclosure.ru/portal/company.aspx?id=5727" xr:uid="{C197D8C1-139D-4B79-8D42-BDA74C19B7A0}"/>
    <hyperlink ref="J37" r:id="rId74" display="www.disclosure.ru/issuer/3302000669/" xr:uid="{2125C788-6B38-42B4-BFC7-1E6F84EC7002}"/>
    <hyperlink ref="J39" r:id="rId75" display="www.disclosure.ru/issuer/7727547261/" xr:uid="{ACF9BA14-6A5D-4D78-B9F9-DFE0B9ED921E}"/>
    <hyperlink ref="J40" r:id="rId76" display="www.e-disclosure.ru/portal/company.aspx?id=152" xr:uid="{7492BB36-B8D7-4E59-9F5B-3E797D1E5481}"/>
    <hyperlink ref="J43" r:id="rId77" display="www.e-disclosure.ru/portal/company.aspx?id=199" xr:uid="{09CAD57E-E28B-47C6-8747-817B91B840DA}"/>
    <hyperlink ref="J45" r:id="rId78" display="www.e-disclosure.ru/portal/company.aspx?id=30" xr:uid="{846B6FCD-9678-4781-BA25-1FC7F2565B1E}"/>
    <hyperlink ref="J46" r:id="rId79" display="www.e-disclosure.ru/portal/company.aspx?id=9" xr:uid="{BC6BED39-227F-4360-B2A5-6896105C35AC}"/>
    <hyperlink ref="J47" r:id="rId80" display="www.e-disclosure.ru/portal/company.aspx?id=2509" xr:uid="{57B7B9AF-1B4A-4A60-A8B7-A08E786F3571}"/>
    <hyperlink ref="J49" r:id="rId81" display="www.e-disclosure.ru/portal/company.aspx?id=942" xr:uid="{50704F36-258D-4D72-9291-D2CA97383747}"/>
    <hyperlink ref="J50" r:id="rId82" display="www.e-disclosure.ru/portal/company.aspx?id=1942" xr:uid="{02A29DA6-7F4A-4CC2-98DF-A2CD121D2946}"/>
    <hyperlink ref="J51" r:id="rId83" display="www.e-disclosure.ru/portal/company.aspx?id=2116" xr:uid="{D45FE5E5-DAB0-472E-9EFA-2901D70DA42F}"/>
    <hyperlink ref="J52" r:id="rId84" display="www.e-disclosure.ru/portal/company.aspx?id=1411" xr:uid="{E75BC7C4-0E1D-48D2-B150-6A012F555B14}"/>
    <hyperlink ref="J53" r:id="rId85" display="www.e-disclosure.ru/portal/company.aspx?id=5234" xr:uid="{B950DE9E-00C3-4896-BED1-EC0FAC1C8428}"/>
    <hyperlink ref="J54" r:id="rId86" display="www.e-disclosure.ru/portal/company.aspx?id=3552" xr:uid="{2A00A14E-00E0-4088-BB64-80CEE7500B32}"/>
    <hyperlink ref="J55" r:id="rId87" display="www.e-disclosure.ru/portal/company.aspx?id=4089" xr:uid="{D4491A39-2E39-4FEA-8725-A06E42632D6E}"/>
    <hyperlink ref="J56" r:id="rId88" display="www.e-disclosure.ru/portal/company.aspx?id=3987" xr:uid="{B7DB18DD-0FAD-44DC-A2DD-8DB25940E76D}"/>
    <hyperlink ref="J57" r:id="rId89" display="www.e-disclosure.ru/portal/company.aspx?id=13358" xr:uid="{4BA306BD-FB3D-4A8E-AE2E-B785CF43ADEC}"/>
    <hyperlink ref="J58" r:id="rId90" display="www.e-disclosure.ru/portal/company.aspx?id=1334" xr:uid="{BEAF471B-C4A5-4818-A24B-C5B1C4D2CC1C}"/>
    <hyperlink ref="J60" r:id="rId91" display="www.e-disclosure.ru/portal/company.aspx?id=7772" xr:uid="{9710EDF7-8C5A-4EC7-902A-302D066308C0}"/>
    <hyperlink ref="J62" r:id="rId92" display="www.e-disclosure.ru/portal/company.aspx?id=332" xr:uid="{7BCD58EA-5A5F-4ECD-AB63-972DA6A1C978}"/>
    <hyperlink ref="J63" r:id="rId93" display="www.e-disclosure.ru/portal/company.aspx?id=26482" xr:uid="{AB9C0FA2-A2DB-4474-92F9-595C9C2BF125}"/>
    <hyperlink ref="J64" r:id="rId94" display="www.e-disclosure.ru/portal/company.aspx?id=564" xr:uid="{FC246C5A-2934-4222-A2C9-3529CAC3418E}"/>
    <hyperlink ref="J65" r:id="rId95" display="www.e-disclosure.ru/portal/company.aspx?id=35101" xr:uid="{5B04C8BB-3B62-406B-9967-B3E3DA3188EC}"/>
    <hyperlink ref="J66" r:id="rId96" display="www.e-disclosure.ru/portal/company.aspx?id=1641" xr:uid="{517E1609-9598-40F4-BB34-0AC36B86F4CE}"/>
    <hyperlink ref="J67" r:id="rId97" display="www.e-disclosure.ru/portal/company.aspx?id=31422" xr:uid="{53BD2C07-D2D7-4E6D-9CA5-F53BC29D26D4}"/>
    <hyperlink ref="J72" r:id="rId98" display="www.e-disclosure.ru/portal/company.aspx?id=33331" xr:uid="{38498D6C-57C7-4632-BE41-E0FB46FACEE9}"/>
    <hyperlink ref="J74" r:id="rId99" display="www.e-disclosure.ru/portal/company.aspx?id=7832" xr:uid="{33EBE04A-9075-4DAA-8D6D-114D8C73CD3D}"/>
    <hyperlink ref="J75" r:id="rId100" display="www.e-disclosure.ru/portal/company.aspx?id=12557" xr:uid="{596CE071-17C6-430B-B103-492F5A443992}"/>
    <hyperlink ref="J76" r:id="rId101" display="www.e-disclosure.ru/portal/company.aspx?id=1991" xr:uid="{92D45E74-6308-40E3-BA6D-1DAE333CE02D}"/>
    <hyperlink ref="J77" r:id="rId102" display="www.e-disclosure.ru/portal/company.aspx?id=1499" xr:uid="{98A9E706-0284-4C27-8D0D-BA982716FF47}"/>
    <hyperlink ref="I77" r:id="rId103" display="www.buryatzoloto.ru" xr:uid="{CB378B24-4E90-413F-B9A7-86E8FF124455}"/>
    <hyperlink ref="J289" r:id="rId104" display="www.e-disclosure.ru/portal/company.aspx?id=1210" xr:uid="{9B3BD2B7-8837-44DB-B472-54E5D1DE6585}"/>
    <hyperlink ref="J288" r:id="rId105" display="www.e-disclosure.ru/portal/company.aspx?id=3043" xr:uid="{EA7DE242-6DBA-4B33-8ADD-789D7AC18621}"/>
    <hyperlink ref="I68" r:id="rId106" xr:uid="{5BA283CA-A820-4CEF-A13E-BF79D3DCDE0A}"/>
    <hyperlink ref="J68" r:id="rId107" display="www.e-disclosure.ru/portal/company.aspx?id=258" xr:uid="{FF4CF067-F43C-41D0-A1FB-3E47F8DAA79C}"/>
    <hyperlink ref="J70" r:id="rId108" display="www.e-disclosure.ru/portal/company.aspx?id=274" xr:uid="{6AE66616-FCF7-4C2D-A115-74CB273FEC72}"/>
    <hyperlink ref="I70" r:id="rId109" xr:uid="{1153A41F-D108-4C98-AC01-4B06C6DBB155}"/>
    <hyperlink ref="I71" r:id="rId110" xr:uid="{615516C4-0CB2-4168-9FA3-A2326552C6BA}"/>
    <hyperlink ref="J71" r:id="rId111" display="www.e-disclosure.ru/portal/company.aspx?id=2772" xr:uid="{ED4F0A57-30AE-4B43-989D-35B17EFED76D}"/>
    <hyperlink ref="I38" r:id="rId112" xr:uid="{6375E048-62C7-4446-82A8-39E56AAE7D2C}"/>
    <hyperlink ref="J38" r:id="rId113" display="www.e-disclosure.ru/portal/company.aspx?id=6100" xr:uid="{B08A9BB0-D669-46F3-8AB8-3CA0FDC4C6CD}"/>
    <hyperlink ref="J41" r:id="rId114" display="www.e-disclosure.ru/portal/company.aspx?id=2573" xr:uid="{E33E3A2A-BF87-4EB1-9D15-3BE0841A0A82}"/>
    <hyperlink ref="I41" r:id="rId115" xr:uid="{DE464E29-3B4A-4B0B-BCDF-3B4FCD903D1E}"/>
    <hyperlink ref="I345" r:id="rId116" xr:uid="{67BA342C-051C-45FE-870A-1DF4B416DAEF}"/>
    <hyperlink ref="J345" r:id="rId117" display="www.e-disclosure.ru/portal/company.aspx?id=11633" xr:uid="{2A82BC99-C4BB-4B55-AC1C-16C017362C10}"/>
    <hyperlink ref="J346" r:id="rId118" display="www.e-disclosure.ru/portal/company.aspx?id=12078" xr:uid="{618021E2-5379-41AA-B0AC-76F33C5BD28A}"/>
    <hyperlink ref="I346" r:id="rId119" xr:uid="{E21DD056-E3EB-4367-800C-A1ECA230161D}"/>
    <hyperlink ref="I347" r:id="rId120" xr:uid="{326F8146-E0DC-439B-BAFA-8F63D0B498AD}"/>
    <hyperlink ref="J347" r:id="rId121" display="www.e-disclosure.ru/portal/company.aspx?id=29479" xr:uid="{86A5C299-3F1C-4945-96A4-7942D03720FE}"/>
    <hyperlink ref="I84" r:id="rId122" xr:uid="{97EE6865-E7EF-4EB4-8AF2-AEC44518D92B}"/>
    <hyperlink ref="J84" r:id="rId123" display="www.e-disclosure.ru/portal/company.aspx?id=8580" xr:uid="{1FD67A35-C954-40B6-982C-D1E03BC1BFE7}"/>
    <hyperlink ref="I85" r:id="rId124" xr:uid="{79A9D0E4-3918-4869-B407-99C8DACD5A71}"/>
    <hyperlink ref="J85" r:id="rId125" display="www.e-disclosure.ru/portal/company.aspx?id=12213" xr:uid="{14AABCDF-349C-4357-B729-A0B79D2CCB8B}"/>
    <hyperlink ref="J86" r:id="rId126" display="www.e-disclosure.ru/portal/company.aspx?id=5732" xr:uid="{E510FE53-449D-4B36-8750-8832EB0557A2}"/>
    <hyperlink ref="I87" r:id="rId127" xr:uid="{55AED2BC-9547-469A-AB9B-DECB551979A8}"/>
    <hyperlink ref="J87" r:id="rId128" display="www.e-disclosure.ru/portal/company.aspx?id=7878" xr:uid="{0ACADBB3-4FF8-4CB5-8FCB-1A3A4D8F2C42}"/>
    <hyperlink ref="I89" r:id="rId129" xr:uid="{7221109D-61D9-4B19-AF03-E89E58FA65DC}"/>
    <hyperlink ref="J89" r:id="rId130" display="www.e-disclosure.ru/portal/company.aspx?id=7234" xr:uid="{C1493947-6FB2-4713-81DF-3FD389A5C91A}"/>
    <hyperlink ref="I91" r:id="rId131" xr:uid="{ACB2036E-9813-48E0-AC1A-44BA7AB0B5AB}"/>
    <hyperlink ref="J91" r:id="rId132" display="www.e-disclosure.ru/portal/company.aspx?id=7263" xr:uid="{94C26667-6154-4F3C-A17E-CD695346E4A3}"/>
    <hyperlink ref="J276" r:id="rId133" display="www.e-disclosure.ru/portal/company.aspx?id=37955" xr:uid="{32957FB9-7BA1-41AB-AE5F-7CEC8281CAF9}"/>
    <hyperlink ref="J92" r:id="rId134" display="www.e-disclosure.ru/portal/company.aspx?id=936" xr:uid="{F2788ADB-831A-4DA5-9DE8-D14E96E544CB}"/>
    <hyperlink ref="I92" r:id="rId135" xr:uid="{01903928-07CE-4729-830C-25E86C373E6C}"/>
    <hyperlink ref="J11" r:id="rId136" display="www.e-disclosure.ru/portal/company.aspx?id=534" xr:uid="{8662D0D7-7F77-4C9F-AD48-83E165701637}"/>
    <hyperlink ref="J32" r:id="rId137" display="www.moex.com/ru/listing/emidocs.aspx?id=7200" xr:uid="{568E2D25-9E16-411F-BE55-3563A045FD9B}"/>
    <hyperlink ref="I93" r:id="rId138" xr:uid="{EF1B8B76-525A-4939-8A15-017BE9E6A5BA}"/>
    <hyperlink ref="J93" r:id="rId139" display="www.e-disclosure.ru/portal/company.aspx?id=6196" xr:uid="{E6F0F14B-E153-4922-9391-8C16C2F02C4B}"/>
    <hyperlink ref="I94" r:id="rId140" xr:uid="{6DCE56AD-27BC-4D46-8ADE-CF93692502F8}"/>
    <hyperlink ref="J94" r:id="rId141" display="www.e-disclosure.ru/portal/company.aspx?id=7968" xr:uid="{22CBAABC-DA16-4AAB-9C8F-E990E00FD2B8}"/>
    <hyperlink ref="I99" r:id="rId142" xr:uid="{CD0591B8-E890-46EE-B021-90F1C77E59EE}"/>
    <hyperlink ref="J99" r:id="rId143" display="www.e-disclosure.ru/portal/company.aspx?id=3899" xr:uid="{ADB043B7-D387-4390-BCF0-18342E92AA7F}"/>
    <hyperlink ref="I100" r:id="rId144" xr:uid="{87B588AA-573B-49D8-BD83-3D15C063F2FB}"/>
    <hyperlink ref="J100" r:id="rId145" display="www.e-disclosure.ru/portal/files.aspx?id=9480&amp;type=4" xr:uid="{2C02E94E-B459-4499-9089-3F480D830E41}"/>
    <hyperlink ref="J101" r:id="rId146" display="http://disclosure.1prime.ru/Portal/Default.aspx?emId=7534018889" xr:uid="{4CA56309-82D8-4D6C-BAE1-015C3E4CB431}"/>
    <hyperlink ref="I101" r:id="rId147" xr:uid="{FB8AFEE2-DC7F-419E-B810-4C09B35EF29E}"/>
    <hyperlink ref="J102" r:id="rId148" display="www.e-disclosure.ru/portal/company.aspx?id=4842" xr:uid="{F67646E1-5A07-40D1-89BB-D6914CC306C8}"/>
    <hyperlink ref="I102" r:id="rId149" xr:uid="{14322791-C134-4E5F-9F78-C0A6DD1D461B}"/>
    <hyperlink ref="I103" r:id="rId150" xr:uid="{5709996B-BB36-4BE7-998A-8E5DCFC540A6}"/>
    <hyperlink ref="J103" r:id="rId151" display="www.e-disclosure.ru/portal/company.aspx?id=169" xr:uid="{5B11C768-8F96-4DAB-AA6E-C270017B0FCF}"/>
    <hyperlink ref="J28" r:id="rId152" display="www.e-disclosure.ru/portal/company.aspx?id=321" xr:uid="{DC2A3637-A126-4137-A563-C19F2F6BA719}"/>
    <hyperlink ref="I28" r:id="rId153" xr:uid="{1F1F7E9B-7F28-45BB-9034-0555EFC91973}"/>
    <hyperlink ref="J104" r:id="rId154" display="www.e-disclosure.ru/portal/company.aspx?id=1409" xr:uid="{6CB0CCEF-B09B-4B83-9D38-C154A54B5A90}"/>
    <hyperlink ref="I104" r:id="rId155" xr:uid="{305E14E3-0091-4975-B16B-FCA5E2F2C7D7}"/>
    <hyperlink ref="J42" r:id="rId156" display="www.e-disclosure.ru/portal/company.aspx?id=1114" xr:uid="{BED2FF87-7464-4089-AC22-33E53A275DBC}"/>
    <hyperlink ref="I42" r:id="rId157" xr:uid="{1DE3EEC2-396E-4F78-9E1F-06CFA38588DA}"/>
    <hyperlink ref="J105" r:id="rId158" display="www.e-disclosure.ru/portal/company.aspx?id=278" xr:uid="{F55E544A-10E9-44F6-90C5-041CE80CCA33}"/>
    <hyperlink ref="I106" r:id="rId159" display="www.kgk-kurgan.ru" xr:uid="{3FD7F171-89E0-4C91-8F8D-E8494FF55009}"/>
    <hyperlink ref="J106" r:id="rId160" display="http://www.e-disclosure.ru/portal/company.aspx?id=17935" xr:uid="{EE7E731A-102E-465E-8826-4828B7D52957}"/>
    <hyperlink ref="J107" r:id="rId161" display="www.e-disclosure.ru/portal/company.aspx?id=8231" xr:uid="{602538E0-F740-44F2-B5D9-6BF6823F73CC}"/>
    <hyperlink ref="I107" r:id="rId162" xr:uid="{B4E78FE2-ABFE-4BE9-80DB-D8690C21F724}"/>
    <hyperlink ref="J108" r:id="rId163" display="http://www.e-disclosure.ru/portal/company.aspx?id=13497" xr:uid="{BEDC8544-B86D-4473-9ED4-F73465665955}"/>
    <hyperlink ref="I108" r:id="rId164" xr:uid="{23318B93-D12E-4888-B295-3F444DC429A5}"/>
    <hyperlink ref="J109" r:id="rId165" xr:uid="{F684493B-F4AD-410A-BFEF-123185FCC5CD}"/>
    <hyperlink ref="J111" r:id="rId166" display="http://www.e-disclosure.ru/portal/company.aspx?id=379" xr:uid="{3C48B805-7144-4476-91F1-D7B84A44A3FE}"/>
    <hyperlink ref="I111" r:id="rId167" xr:uid="{553FACF2-A723-4205-B875-FEFF4099D330}"/>
    <hyperlink ref="I112" r:id="rId168" xr:uid="{65C9447A-906F-4807-9B81-7869A5E04335}"/>
    <hyperlink ref="J112" r:id="rId169" display="http://www.e-disclosure.ru/portal/company.aspx?id=13806" xr:uid="{317E5AE3-F7D2-4A9D-9D77-C18FA9491537}"/>
    <hyperlink ref="I113" r:id="rId170" display="www.lenenergo.ru" xr:uid="{07533193-181D-4D39-89EA-4C4884486C66}"/>
    <hyperlink ref="J113" r:id="rId171" display="https://www.e-disclosure.ru/portal/company.aspx?id=65" xr:uid="{D2670A12-2F32-4253-AFD4-087C06E20AB9}"/>
    <hyperlink ref="I114" r:id="rId172" xr:uid="{3F05C247-23AA-47F7-B325-DCBBC6A581E2}"/>
    <hyperlink ref="J114" r:id="rId173" display="www.e-disclosure.ru/portal/company.aspx?id=12093" xr:uid="{C350A5B4-F567-4187-ACA6-73AF1C194CAE}"/>
    <hyperlink ref="I115" r:id="rId174" xr:uid="{02DC1A63-2D5B-42CE-A946-E48C2B4B62B2}"/>
    <hyperlink ref="J115" r:id="rId175" display="http://www.e-disclosure.ru/portal/company.aspx?id=12131" xr:uid="{3DCE4CE0-B6D4-4B2C-97A0-9963008D0C0B}"/>
    <hyperlink ref="I116" r:id="rId176" xr:uid="{EB5834C1-51BE-48C0-8C40-DC6CF189E6CD}"/>
    <hyperlink ref="J116" r:id="rId177" display="http://www.e-disclosure.ru/portal/company.aspx?id=7985" xr:uid="{53C2B764-8A22-43E6-993F-3F06FFB8594B}"/>
    <hyperlink ref="I117" r:id="rId178" display="www.moesk.ru" xr:uid="{F9D65C21-9CF0-4479-9BC6-0572B437A614}"/>
    <hyperlink ref="J117" r:id="rId179" display="www.e-disclosure.ru/portal/company.aspx?id=5563" xr:uid="{9E7CBFC5-19C5-49E7-95B1-1E9A68A0944D}"/>
    <hyperlink ref="I118" r:id="rId180" xr:uid="{45EFD43D-536C-4A27-9789-DB03B20DC30F}"/>
    <hyperlink ref="J118" r:id="rId181" display="http://www.e-disclosure.ru/portal/company.aspx?id=11999" xr:uid="{7F88DB06-075A-4A23-AC5F-3EAEB1494261}"/>
    <hyperlink ref="I119" r:id="rId182" display="www.mrsk-ural.ru" xr:uid="{0DD69241-EE10-4C07-85E7-667DEC44F1BE}"/>
    <hyperlink ref="J119" r:id="rId183" display="http://www.e-disclosure.ru/portal/company.aspx?id=12105" xr:uid="{66035131-57F2-4344-BB40-0F78C10A5BBB}"/>
    <hyperlink ref="I120" r:id="rId184" display="www.mrsksevzap.ru" xr:uid="{A9E59547-F72D-45A0-AA48-66B018822781}"/>
    <hyperlink ref="J120" r:id="rId185" display="www.disclosure.ru/issuer/7802312751/" xr:uid="{0F7C9A3C-A770-486E-8685-7BFD08C1EFE1}"/>
    <hyperlink ref="I121" r:id="rId186" display="www.rosseti-sib.ru" xr:uid="{14F93D0B-C9A3-4434-BAA8-58E9ABC002CB}"/>
    <hyperlink ref="J121" r:id="rId187" display="www.e-disclosure.ru/portal/company.aspx?id=12072" xr:uid="{D73DC319-BBD6-4B12-8D86-6F7A1204B515}"/>
    <hyperlink ref="J122" r:id="rId188" display="http://disclosure.skrin.ru/disclosure/2632082033" xr:uid="{23331E76-0CDA-4292-9314-F7445D76D749}"/>
    <hyperlink ref="I122" r:id="rId189" display="https://www.rossetisk.ru/" xr:uid="{06651CF2-7998-4DD3-90BC-B22E86C4F42D}"/>
    <hyperlink ref="J123" r:id="rId190" display="http://www.e-disclosure.ru/portal/company.aspx?id=7242" xr:uid="{371600B7-0648-4764-9F83-20A7E7EE1AD5}"/>
    <hyperlink ref="I123" r:id="rId191" xr:uid="{63427991-8151-4D70-ACE6-3E21AD077ED3}"/>
    <hyperlink ref="J124" r:id="rId192" display="http://www.e-disclosure.ru/portal/company.aspx?id=2827" xr:uid="{32C3F500-F767-4285-AF52-B2D670645179}"/>
    <hyperlink ref="I124" r:id="rId193" xr:uid="{4FE2FAD4-D7F0-4B30-B19B-C648EA9CB1E9}"/>
    <hyperlink ref="J78" r:id="rId194" display="https://e-disclosure.ru/portal/company.aspx?id=11794" xr:uid="{82B9884A-A262-4F85-AB56-657E1C0C5F01}"/>
    <hyperlink ref="I78" r:id="rId195" xr:uid="{90212096-D1C9-4681-B5CA-6D5E6B87D6ED}"/>
    <hyperlink ref="I126" r:id="rId196" xr:uid="{EA2E5B12-AAEC-4A4C-AE9C-61EB4587F9B9}"/>
    <hyperlink ref="J126" r:id="rId197" display="https://e-disclosure.ru/portal/company.aspx?id=11714" xr:uid="{E9127778-0E6C-4779-BFDA-51704BA7BC8F}"/>
    <hyperlink ref="I61" r:id="rId198" xr:uid="{7325CF07-5BEB-49A4-B1F4-8132FC4740C3}"/>
    <hyperlink ref="J128" r:id="rId199" display="http://www.e-disclosure.ru/portal/company.aspx?id=7344" xr:uid="{19DE9B00-332F-437C-81D4-B787068EAFE9}"/>
    <hyperlink ref="I128" r:id="rId200" xr:uid="{9CF4390C-F3A7-49EA-8858-40EF1A278624}"/>
    <hyperlink ref="J129" r:id="rId201" display="http://www.e-disclosure.ru/portal/company.aspx?id=5422" xr:uid="{E5D5C457-F92C-4DFF-9129-93056FB37B62}"/>
    <hyperlink ref="I129" r:id="rId202" xr:uid="{26DDE3B6-26CF-4B22-ACDC-340A47F9C4B3}"/>
    <hyperlink ref="J130" r:id="rId203" display="http://www.e-disclosure.ru/portal/company.aspx?id=8880" xr:uid="{00B10D9B-9DB5-43AC-B018-46101C15F359}"/>
    <hyperlink ref="I130" r:id="rId204" display="https://krsk-sbit.ru/" xr:uid="{7ADEB47E-FFD5-4DBA-9195-E70A6BE5A0B6}"/>
    <hyperlink ref="J131" r:id="rId205" display="http://www.e-disclosure.ru/portal/company.aspx?id=7416" xr:uid="{0CB4C17A-008F-43C1-AD3E-E59D0FF434B9}"/>
    <hyperlink ref="I131" r:id="rId206" xr:uid="{09505060-E21D-4258-BF3A-9EDE17B29CA1}"/>
    <hyperlink ref="I132" r:id="rId207" xr:uid="{3371CA6F-F237-4455-9179-0D565935FDB9}"/>
    <hyperlink ref="J132" r:id="rId208" display="http://www.e-disclosure.ru/portal/company.aspx?id=33277" xr:uid="{DC7DC3E5-8FE4-4808-BA75-AD2776A3B2BA}"/>
    <hyperlink ref="J133" r:id="rId209" display="http://www.e-disclosure.ru/portal/company.aspx?id=4717" xr:uid="{6545EF71-3BF9-48E2-9141-92903C123393}"/>
    <hyperlink ref="I133" r:id="rId210" xr:uid="{28893193-2B2D-452F-9F74-0067D352CE21}"/>
    <hyperlink ref="I137" r:id="rId211" xr:uid="{4FFF4BDB-068E-43F2-972F-95D5E4B160FC}"/>
    <hyperlink ref="J137" r:id="rId212" display="http://e-disclosure.ru/portal/company.aspx?id=7321" xr:uid="{3C4A2C1E-671E-42FD-B327-F06F0F54116D}"/>
    <hyperlink ref="J134" r:id="rId213" display="http://www.e-disclosure.ru/portal/company.aspx?id=6070" xr:uid="{8E250DF8-0CD9-478E-B601-0DE7CAE728D5}"/>
    <hyperlink ref="I134" r:id="rId214" display="https://mari-el.tns-e.ru/" xr:uid="{139F2070-54C9-4771-9462-E1F472C15472}"/>
    <hyperlink ref="J136" r:id="rId215" display="http://www.e-disclosure.ru/portal/company.aspx?id=5082" xr:uid="{0F264960-F8C2-4B2C-8B0E-A4D521438BF1}"/>
    <hyperlink ref="I136" r:id="rId216" xr:uid="{6E304807-5E9A-4B88-B175-D39ED072B00F}"/>
    <hyperlink ref="J135" r:id="rId217" display="http://www.e-disclosure.ru/portal/company.aspx?id=11385" xr:uid="{528CFE70-64CD-48E6-AC51-24FD2E8276C7}"/>
    <hyperlink ref="I135" r:id="rId218" xr:uid="{4C482F94-EF79-4272-8F09-F01787CDB6D9}"/>
    <hyperlink ref="I138" r:id="rId219" display="https://tesk.su/" xr:uid="{32528EB5-5E07-47B7-B332-CDB6DA88AC51}"/>
    <hyperlink ref="J138" r:id="rId220" display="http://www.e-disclosure.ru/portal/company.aspx?id=5121" xr:uid="{A21FDE4A-F848-4F23-875E-EB20D2630F26}"/>
    <hyperlink ref="J139" r:id="rId221" display="http://www.e-disclosure.ru/portal/company.aspx?id=5754" xr:uid="{50492F0F-F46C-4C9B-91A1-9857B61BE1FD}"/>
    <hyperlink ref="I139" r:id="rId222" xr:uid="{47BE972E-D8B3-4C4B-81B2-C9001881FB0C}"/>
    <hyperlink ref="J140" r:id="rId223" display="http://www.e-disclosure.ru/portal/company.aspx?id=5830" xr:uid="{29F8FADA-AB74-46F5-A00D-144F8912F9ED}"/>
    <hyperlink ref="I140" r:id="rId224" display="https://kskkaluga.ru/" xr:uid="{EE93F503-FDB3-4A02-B352-0136FB6EE0E4}"/>
    <hyperlink ref="J141" r:id="rId225" display="http://www.e-disclosure.ru/portal/company.aspx?id=6764" xr:uid="{360EB961-7C62-474E-949F-6CB5DA5D8B77}"/>
    <hyperlink ref="I141" r:id="rId226" display="http://esbt74.ru/" xr:uid="{C58D8DD9-6997-42AB-8FE3-74702E4E6DD5}"/>
    <hyperlink ref="J142" r:id="rId227" display="https://www.e-disclosure.ru/portal/company.aspx?id=506" xr:uid="{9ECF1BE2-3C43-40BA-9DDD-910CE48A0468}"/>
    <hyperlink ref="I142" r:id="rId228" xr:uid="{E67F09D3-2739-4338-B7EE-8DCD0DCCA30F}"/>
    <hyperlink ref="J143" r:id="rId229" display="http://www.e-disclosure.ru/portal/company.aspx?id=6223" xr:uid="{DC742EED-7220-4692-9F4A-6A92A07ECFAA}"/>
    <hyperlink ref="I143" r:id="rId230" xr:uid="{AD0B66DA-78D4-4B87-A3CE-4A515EB6781C}"/>
    <hyperlink ref="I144" r:id="rId231" xr:uid="{48CD88AE-BB22-44A6-B271-89E9B74863C9}"/>
    <hyperlink ref="J144" r:id="rId232" display="http://www.e-disclosure.ru/portal/company.aspx?id=6930" xr:uid="{5B75F016-ED21-430B-9C63-8C662B4DC1B6}"/>
    <hyperlink ref="J145" r:id="rId233" display="www.e-disclosure.ru/portal/company.aspx?id=5963" xr:uid="{3AE4B0F0-CABE-4E72-81D0-DCEAC71EA79B}"/>
    <hyperlink ref="I145" r:id="rId234" xr:uid="{0FDEA5C6-5137-4167-A251-180D81CE913C}"/>
    <hyperlink ref="J146" r:id="rId235" display="http://www.e-disclosure.ru/portal/company.aspx?id=10624" xr:uid="{25F56579-8DFA-4BAE-92F1-AA44C2CC8DD4}"/>
    <hyperlink ref="I146" r:id="rId236" display="https://kuban.tns-e.ru" xr:uid="{E4D9DFC6-548A-431E-BAFC-622E16410971}"/>
    <hyperlink ref="J147" r:id="rId237" display="http://www.e-disclosure.ru/portal/company.aspx?id=7022" xr:uid="{BB3ABD88-1480-4E83-84D5-08C7096297A8}"/>
    <hyperlink ref="I147" r:id="rId238" display="www.nsk.elektra.ru" xr:uid="{E7E7500B-13E7-4637-9476-5A76EEAEE27C}"/>
    <hyperlink ref="J148" r:id="rId239" display="http://www.e-disclosure.ru/portal/company.aspx?id=6050" xr:uid="{16F2A34D-E0AD-490B-A015-07107D7089EA}"/>
    <hyperlink ref="J149" r:id="rId240" display="http://www.e-disclosure.ru/portal/company.aspx?id=5520" xr:uid="{7985856C-746D-4D2E-B30C-4ADB05DA0417}"/>
    <hyperlink ref="J17" r:id="rId241" display="http://www.e-disclosure.ru/portal/company.aspx?id=3707" xr:uid="{8836FEDF-6030-4249-B018-6211AC882BFC}"/>
    <hyperlink ref="I125" r:id="rId242" xr:uid="{14DE233F-AA00-45BC-8434-606406E33703}"/>
    <hyperlink ref="I33" r:id="rId243" xr:uid="{C982C9AB-72BB-4555-A825-4F71BBB16AA6}"/>
    <hyperlink ref="J33" r:id="rId244" display="www.e-disclosure.ru/portal/company.aspx?id=12361" xr:uid="{2120CCB1-9810-4F1E-9982-46CE49E0EA13}"/>
    <hyperlink ref="J150" r:id="rId245" display="https://e-disclosure.ru/portal/company.aspx?id=6980" xr:uid="{9F7EBFFE-1EAE-4676-BDCE-0B8EB9528755}"/>
    <hyperlink ref="I150" r:id="rId246" xr:uid="{88CADB01-53D0-43F3-B224-63D8687801B3}"/>
    <hyperlink ref="J127" r:id="rId247" xr:uid="{84B735D8-2E14-4B3D-AFC9-5E67BD8CCD40}"/>
    <hyperlink ref="J88" r:id="rId248" display="https://www.e-disclosure.ru/portal/company.aspx?id=8572" xr:uid="{4EC8CD6A-261F-4FB3-89AB-AFB692E43ACE}"/>
    <hyperlink ref="I88" r:id="rId249" xr:uid="{27582CCA-D78E-4EFC-8B4A-E15F9CA805A9}"/>
    <hyperlink ref="J90" r:id="rId250" display="https://www.e-disclosure.ru/portal/company.aspx?id=6611" xr:uid="{3D648FDD-8121-4C60-B1CE-565FFC490DCE}"/>
    <hyperlink ref="I151" r:id="rId251" display="https://pesc.ru/" xr:uid="{9B48637B-23BB-4097-A5A4-F73588436369}"/>
    <hyperlink ref="J151" r:id="rId252" display="https://www.e-disclosure.ru/portal/company.aspx?id=8732" xr:uid="{35C48471-DEA3-4B58-A970-214776E108A7}"/>
    <hyperlink ref="J95" r:id="rId253" display="https://www.e-disclosure.ru/portal/company.aspx?id=8640" xr:uid="{DB4020E9-EA21-4DE8-8672-3B9AFB7993A5}"/>
    <hyperlink ref="I95" r:id="rId254" xr:uid="{75408256-7C9F-4C33-8BBB-AB78CB35AB8A}"/>
    <hyperlink ref="J96" r:id="rId255" display="https://www.e-disclosure.ru/portal/company.aspx?id=6489" xr:uid="{1C294EEC-194D-45E1-B204-28999611E9F3}"/>
    <hyperlink ref="I96" r:id="rId256" xr:uid="{777E5DE6-3244-412B-BACD-2A1B9353812E}"/>
    <hyperlink ref="J97" r:id="rId257" display="https://www.e-disclosure.ru/portal/company.aspx?id=8014" xr:uid="{ECC222FA-4B05-46DB-A90C-18171D9EE03C}"/>
    <hyperlink ref="I97" r:id="rId258" display="https://tgc9.ru/" xr:uid="{ED11E36D-A617-4975-AB8F-B93BF5A8D123}"/>
    <hyperlink ref="J98" r:id="rId259" display="https://www.e-disclosure.ru/portal/company.aspx?id=8413" xr:uid="{96A72DDF-0968-4B4B-B92B-6C8B0D671F0B}"/>
    <hyperlink ref="I98" r:id="rId260" xr:uid="{F21DE292-4591-438E-8A36-847F9B4CB91C}"/>
    <hyperlink ref="J152" r:id="rId261" display="https://www.e-disclosure.ru/portal/company.aspx?id=11559" xr:uid="{AF74AAB5-1017-47FD-B3C8-DB9318CCF2C2}"/>
    <hyperlink ref="I110" r:id="rId262" xr:uid="{316FFE29-C005-4000-908E-8D3813890944}"/>
    <hyperlink ref="J110" r:id="rId263" display="https://www.e-disclosure.ru/portal/company.aspx?id=8768" xr:uid="{3E2244A0-ED79-4D38-BDD0-BBA98976D47D}"/>
    <hyperlink ref="J156" r:id="rId264" xr:uid="{11F90CE5-8185-4650-9C23-D38AE1E0CC7C}"/>
    <hyperlink ref="I156" r:id="rId265" xr:uid="{4195D254-A001-4005-B16A-FB04E06ED241}"/>
    <hyperlink ref="I157" r:id="rId266" xr:uid="{85689261-7878-4B2C-8969-81BC61D4DB3F}"/>
    <hyperlink ref="I159" r:id="rId267" xr:uid="{72A6C2E2-94C8-49AE-943A-20799B336C36}"/>
    <hyperlink ref="J159" r:id="rId268" display="www.e-disclosure.ru/portal/company.aspx?id=141" xr:uid="{827F92E2-AE1C-441D-97EE-71EECD4A603E}"/>
    <hyperlink ref="I276" r:id="rId269" display="https://enplusgroup.com/ru/" xr:uid="{B0054E07-70C4-4E89-A54E-751C721B4D1D}"/>
    <hyperlink ref="J153" r:id="rId270" display="http://www.e-disclosure.ru/portal/company.aspx?id=3346" xr:uid="{43F860C5-8731-47B2-9482-45E8F2CB356B}"/>
    <hyperlink ref="I153" r:id="rId271" xr:uid="{61E1C182-9648-4A69-8BD6-B8B9BD10F784}"/>
    <hyperlink ref="J160" r:id="rId272" xr:uid="{45FDB089-4980-4E3A-9DBF-CCD3B84FA1DD}"/>
    <hyperlink ref="J161" r:id="rId273" display="http://www.e-disclosure.ru/portal/company.aspx?id=369" xr:uid="{6FD00CCD-C860-4929-8804-40158FE149EE}"/>
    <hyperlink ref="I161" r:id="rId274" display="https://cnt.ru/" xr:uid="{BED1769E-884D-461F-BF1A-8F659553F195}"/>
    <hyperlink ref="J162" r:id="rId275" display="http://www.e-disclosure.ru/portal/company.aspx?id=201" xr:uid="{57B1D148-F66D-40F3-A26A-C1142C05CDF2}"/>
    <hyperlink ref="I162" r:id="rId276" xr:uid="{D94D9B11-9656-4B7C-A0BC-2A67EE2CF02E}"/>
    <hyperlink ref="J163" r:id="rId277" display="http://www.e-disclosure.ru/portal/company.aspx?id=814" xr:uid="{0C2C503C-FC46-4CFE-8A04-BE288AC7797B}"/>
    <hyperlink ref="I163" r:id="rId278" display="http://tattelecom.ru" xr:uid="{9D606CE9-981B-4D8A-8BC8-7A25940E1F3F}"/>
    <hyperlink ref="I158" r:id="rId279" xr:uid="{2BA9B64D-EA21-4055-984B-A12C7127AB05}"/>
    <hyperlink ref="J158" r:id="rId280" xr:uid="{D3D90365-33A8-4CC8-900E-0A4646A663FE}"/>
    <hyperlink ref="I167" r:id="rId281" xr:uid="{557EA2F1-ACDA-488D-8C0E-A7906D3C829E}"/>
    <hyperlink ref="J167" r:id="rId282" display="http://www.e-disclosure.ru/portal/company.aspx?id=7671" xr:uid="{4F2C899A-A56D-4113-B947-D4BF4C056143}"/>
    <hyperlink ref="I168" r:id="rId283" xr:uid="{4A2AAEF6-8349-4478-BFE7-3902A8956B06}"/>
    <hyperlink ref="J168" r:id="rId284" xr:uid="{F8CF5988-77C2-47C0-B936-F2335F3DFD39}"/>
    <hyperlink ref="I169" r:id="rId285" xr:uid="{888264FF-3F56-4186-9142-BAEF49F6DA4F}"/>
    <hyperlink ref="J169" r:id="rId286" display="http://www.e-disclosure.ru/portal/company.aspx?id=9679" xr:uid="{39447230-3933-4323-8CFA-9503ECE8FAC3}"/>
    <hyperlink ref="J155" r:id="rId287" display="http://www.e-disclosure.ru/portal/company.aspx?id=5966" xr:uid="{3C10770F-A64E-4F61-9BE7-ACB22A14DFE5}"/>
    <hyperlink ref="I155" r:id="rId288" display="https://astsbyt.ru/" xr:uid="{99436E36-8404-4CF7-A8B1-4D72A6DD9E38}"/>
    <hyperlink ref="J154" r:id="rId289" display="http://www.e-disclosure.ru/portal/company.aspx?id=3566" xr:uid="{2B6D6424-6A0B-4CE8-99F9-3575BC4EDE24}"/>
    <hyperlink ref="I154" r:id="rId290" xr:uid="{6A7F7E57-2D86-4CBF-85D3-A9F9F297B375}"/>
    <hyperlink ref="J24" r:id="rId291" display="http://www.e-disclosure.ru/portal/company.aspx?id=2047" xr:uid="{E86FA2D0-CFF4-4714-AB9D-4389AB9ED5F2}"/>
    <hyperlink ref="I24" r:id="rId292" xr:uid="{41D37F35-F69C-4D4E-A252-7D26F7A40BD3}"/>
    <hyperlink ref="I164" r:id="rId293" display="http://oaonsv.ru/" xr:uid="{4BBAD2E3-9EBF-497C-87A2-9E0E125C0651}"/>
    <hyperlink ref="J164" r:id="rId294" display="http://www.e-disclosure.ru/portal/company.aspx?id=20639" xr:uid="{2774DC16-3486-47C5-9A6F-8C356A9187F8}"/>
    <hyperlink ref="J69" r:id="rId295" xr:uid="{0DA90125-D0B2-43FB-AD28-1F17B13061D0}"/>
    <hyperlink ref="I69" r:id="rId296" display="http://electrozink.ugmk.com/ru/" xr:uid="{FC3F534A-1323-432A-ABE1-6EAB0F5980CA}"/>
    <hyperlink ref="I166" r:id="rId297" display="http://akado-telecom.ru" xr:uid="{A5662655-A0BB-4F27-987A-94DBC7EB809B}"/>
    <hyperlink ref="J166" r:id="rId298" display="https://disclosure.1prime.ru/portal/default.aspx?emId=7717020170" xr:uid="{B104ADF0-600C-4F63-B724-A57A1BA8823C}"/>
    <hyperlink ref="J165" r:id="rId299" display="https://e-disclosure.ru/portal/company.aspx?id=26931" xr:uid="{27163AAF-C157-4129-845B-34AEB079142F}"/>
    <hyperlink ref="I165" r:id="rId300" xr:uid="{29D8653F-BB68-4854-9F58-FA3CC9D2FB23}"/>
    <hyperlink ref="J59" r:id="rId301" display="https://www.e-disclosure.ru/portal/company.aspx?id=3769" xr:uid="{5C407BE6-3460-4852-A54B-9DBBC62A08E3}"/>
    <hyperlink ref="I59" r:id="rId302" xr:uid="{1EA0D983-01C0-41AE-9C62-DD455918AB00}"/>
    <hyperlink ref="I170" r:id="rId303" display="https://corp.lenta.com/ru/" xr:uid="{3A740B18-F0A2-492D-8FD3-DB8EDC74C664}"/>
    <hyperlink ref="J170" r:id="rId304" display="www.e-disclosure.ru/portal/company.aspx?id=38380" xr:uid="{9B671E80-62C3-41B7-8438-34FBD24AA979}"/>
    <hyperlink ref="I171" r:id="rId305" display="https://okeygroup.lu/" xr:uid="{C7BE08C6-CF03-4571-A4AB-6F5F2519EFCA}"/>
    <hyperlink ref="I172" r:id="rId306" display="https://ir.fix-price.com/ru/" xr:uid="{4ACDFBBA-3EBA-49D1-86CF-AE54F2F537F8}"/>
    <hyperlink ref="J172" r:id="rId307" display="https://www.e-disclosure.ru/portal/company.aspx?id=38370" xr:uid="{63251898-F1E0-40DB-8838-628DEC518F96}"/>
    <hyperlink ref="J174" r:id="rId308" display="http://www.e-disclosure.ru/portal/company.aspx?id=6788" xr:uid="{E5671AC2-14E9-4F65-A795-B9CD43EC3597}"/>
    <hyperlink ref="I174" r:id="rId309" display="http://corp.detmir.ru/shareholders-and-investors/disclosure-information/material-facts/" xr:uid="{D9B56212-8CD6-45A6-8912-979F665E3AD2}"/>
    <hyperlink ref="I175" r:id="rId310" xr:uid="{22B0B158-4F1B-4922-93BE-75D8D619FBB0}"/>
    <hyperlink ref="J175" r:id="rId311" display="http://www.e-disclosure.ru/portal/company.aspx?id=11014" xr:uid="{C3C6F0E8-B691-4F83-8810-937F5102A2CD}"/>
    <hyperlink ref="I176" r:id="rId312" display="http://orgroup.ru/" xr:uid="{72F4368D-34C5-40F8-883D-C781236E8699}"/>
    <hyperlink ref="J176" r:id="rId313" display="www.e-disclosure.ru/portal/company.aspx?id=33614" xr:uid="{F9575674-6404-4287-93B7-71C2CC147ABE}"/>
    <hyperlink ref="I182" r:id="rId314" display="https://novabev.com/" xr:uid="{2F66D88B-6331-4A8D-98FE-1F4232043BD4}"/>
    <hyperlink ref="J182" r:id="rId315" display="http://www.e-disclosure.ru/portal/company.aspx?id=7380" xr:uid="{CA9996B2-0576-4FE0-94AF-6B373D3A1101}"/>
    <hyperlink ref="J183" r:id="rId316" display="http://www.e-disclosure.ru/portal/company.aspx?id=26517" xr:uid="{E560D183-F714-45C9-AD31-2FF7EB6EEA64}"/>
    <hyperlink ref="I183" r:id="rId317" xr:uid="{71720C7B-5A78-4DF4-9AEE-C3C247019D5A}"/>
    <hyperlink ref="I187" r:id="rId318" xr:uid="{91625574-50CF-4A32-B5B6-09E3302D68E8}"/>
    <hyperlink ref="J187" r:id="rId319" display="http://www.e-disclosure.ru/portal/company.aspx?id=1216" xr:uid="{6E67F7F4-0504-42E6-956D-DD88C77070B3}"/>
    <hyperlink ref="J188" r:id="rId320" display="https://www.e-disclosure.ru/portal/company.aspx?id=7271" xr:uid="{C4A6BFB8-7B5C-4542-AEC4-2B464D6E2516}"/>
    <hyperlink ref="I188" r:id="rId321" display="https://veropharm.ru/" xr:uid="{22EEBD5D-9B94-4CED-BCD1-9F1B2C07ED34}"/>
    <hyperlink ref="J190" r:id="rId322" display="http://www.e-disclosure.ru/portal/company.aspx?id=34083" xr:uid="{E927EF43-F905-4DE2-8B81-3A11F3B3DC54}"/>
    <hyperlink ref="I190" r:id="rId323" xr:uid="{530055CC-B800-4291-A286-E0282F4F9C1F}"/>
    <hyperlink ref="I189" r:id="rId324" display="https://pharmstd.ru/" xr:uid="{6CB114E2-934B-45BF-9BB7-DB0504608D14}"/>
    <hyperlink ref="J189" r:id="rId325" display="https://www.e-disclosure.ru/portal/company.aspx?id=9187" xr:uid="{F3A1A8E4-4078-48AF-91A6-D7825207F671}"/>
    <hyperlink ref="J191" r:id="rId326" display="www.e-disclosure.ru/portal/company.aspx?id=13943" xr:uid="{A93F221E-3CCB-439C-896F-C3D492085FB0}"/>
    <hyperlink ref="I191" r:id="rId327" xr:uid="{2A546015-5BF8-426C-B40F-65164FB0055F}"/>
    <hyperlink ref="J195" r:id="rId328" display="http://www.e-disclosure.ru/portal/company.aspx?id=4378" xr:uid="{4442F4FE-C8E6-4BCC-A5F2-7505233ECB04}"/>
    <hyperlink ref="I195" r:id="rId329" xr:uid="{BC3EDB82-16FE-45BB-9E21-1A0F86245E6B}"/>
    <hyperlink ref="J196" r:id="rId330" display="http://www.e-disclosure.ru/portal/company.aspx?id=7814" xr:uid="{F30B2311-5680-4669-9ABD-3DCA3D828259}"/>
    <hyperlink ref="I196" r:id="rId331" display="https://artgen.ru/" xr:uid="{9E13C26D-16B9-44EF-965A-43E2B2B2CEB3}"/>
    <hyperlink ref="J197" r:id="rId332" display="https://www.e-disclosure.ru/portal/company.aspx?id=37646" xr:uid="{CAE0E127-D2D7-473C-9A1F-2906FFDCBCB7}"/>
    <hyperlink ref="I197" r:id="rId333" display="https://gemabank.ru/" xr:uid="{CD7E0E25-ABB8-4B98-A061-0AF1DB0CF3FD}"/>
    <hyperlink ref="I198" r:id="rId334" display="https://genetico.ru/" xr:uid="{E41BB578-9E66-4D93-B7B4-A07F222BF861}"/>
    <hyperlink ref="J198" r:id="rId335" display="https://www.e-disclosure.ru/portal/files.aspx?id=38201&amp;type=3" xr:uid="{80AF2544-B6AE-4C56-85F7-4ACF51659BC8}"/>
    <hyperlink ref="I177" r:id="rId336" display="https://ir.henderson.ru/" xr:uid="{85B4D68E-5895-40E2-9095-5A8B74FF0BCE}"/>
    <hyperlink ref="J177" r:id="rId337" display="https://www.e-disclosure.ru/portal/company.aspx?id=38967" xr:uid="{D3CA230D-B77A-452F-A0EE-CE471A29918F}"/>
    <hyperlink ref="J173" r:id="rId338" display="https://www.e-disclosure.ru/portal/company.aspx?id=34" xr:uid="{6BD2E567-BD07-4F6F-A190-E75F7AB5EF5A}"/>
    <hyperlink ref="I199" r:id="rId339" xr:uid="{3A24D9AB-47EC-4DA9-A331-A3417DBB2F18}"/>
    <hyperlink ref="J199" r:id="rId340" display="https://www.e-disclosure.ru/portal/company.aspx?id=38301" xr:uid="{8AED35C9-FF61-4B08-B502-D35F2CBE2F11}"/>
    <hyperlink ref="I200" r:id="rId341" display="https://emc-investor.com/results" xr:uid="{4CC3CEB7-DEE9-41BD-89D3-2661D4B37282}"/>
    <hyperlink ref="J200" r:id="rId342" display="https://www.e-disclosure.ru/portal/company.aspx?id=38456" xr:uid="{216DAD32-64C0-47CB-AC5B-3A82D8AE711D}"/>
    <hyperlink ref="J13" r:id="rId343" display="https://www.e-disclosure.ru/portal/company.aspx?id=560" xr:uid="{3CDF802C-66E5-44C3-B6E7-89EE40B9A799}"/>
    <hyperlink ref="I13" r:id="rId344" xr:uid="{C212ECDD-3C60-4603-9AA9-112368589C5E}"/>
    <hyperlink ref="I202" r:id="rId345" xr:uid="{156A60F2-6D48-4F4F-A320-06D54BC4AC42}"/>
    <hyperlink ref="J202" r:id="rId346" display="http://e-disclosure.ru/portal/company.aspx?id=34871" xr:uid="{8DBDDC6D-2C75-4D68-8499-FE915FDEFD23}"/>
    <hyperlink ref="I203" r:id="rId347" xr:uid="{74DCC6BB-E11A-4BBA-A241-AE0C67BED04F}"/>
    <hyperlink ref="J203" r:id="rId348" display="https://www.e-disclosure.ru/portal/company.aspx?id=6652" xr:uid="{D58B2649-A7DB-4AE4-8C9B-DFDC03EF15FD}"/>
    <hyperlink ref="I205" r:id="rId349" xr:uid="{AFBE6A39-1C8D-48C8-9E42-AAA1FA62615D}"/>
    <hyperlink ref="J205" r:id="rId350" display="http://www.e-disclosure.ru/portal/company.aspx?id=17531" xr:uid="{62441144-3667-4904-BA60-47051D32BD22}"/>
    <hyperlink ref="J209" r:id="rId351" display="e-disclosure.ru/portal/company.aspx?id=24322; disclosure.skrin.ru/disclosure/7706533405" xr:uid="{90F9E511-F9F2-4085-B8B3-3B09A436AE29}"/>
    <hyperlink ref="J262" r:id="rId352" display="https://www.e-disclosure.ru/portal/company.aspx?id=38334" xr:uid="{010BBBCE-9FCB-4280-A7C0-DE1456EAC6B9}"/>
    <hyperlink ref="I262" r:id="rId353" display="https://corp.ozon.ru/" xr:uid="{EA80DF04-D669-4C7F-B53B-CC804C74AAF5}"/>
    <hyperlink ref="J179" r:id="rId354" xr:uid="{2123B1A9-D470-4C33-96E5-8C90CA8070C5}"/>
    <hyperlink ref="I179" r:id="rId355" xr:uid="{0D759BFD-3F76-466D-B18C-3E0B6C3B09AD}"/>
    <hyperlink ref="I180" r:id="rId356" display="https://multisistema.ru/; мультисистема.рф" xr:uid="{0F14F000-7DC3-4324-A64E-5BB6094C7196}"/>
    <hyperlink ref="J180" r:id="rId357" display="http://www.e-disclosure.ru/portal/company.aspx?id=31563" xr:uid="{7F04B531-2A0B-4FF3-AEC1-5518BB57E243}"/>
    <hyperlink ref="I181" r:id="rId358" display="http://rollman-gk.com" xr:uid="{390979CD-CE7C-49C5-8D90-285B34DB113E}"/>
    <hyperlink ref="J181" r:id="rId359" display="http://www.e-disclosure.ru/portal/company.aspx?id=29610" xr:uid="{EC8BF59E-1CF6-4582-A546-DE49AF291E25}"/>
    <hyperlink ref="J259" r:id="rId360" display="http://www.e-disclosure.ru/portal/company.aspx?id=4744" xr:uid="{BB6DF13B-858A-48FF-BCA2-4724E430C331}"/>
    <hyperlink ref="I259" r:id="rId361" xr:uid="{D9182149-C29A-4F0B-8A86-B9618338FAD8}"/>
    <hyperlink ref="I214" r:id="rId362" xr:uid="{33221607-9D4B-45F5-8F6F-49C52528DC50}"/>
    <hyperlink ref="J214" r:id="rId363" display="http://www.e-disclosure.ru/portal/company.aspx?id=11433" xr:uid="{1FB1D4AB-486D-4253-A5C0-D301D17180CF}"/>
    <hyperlink ref="I234" r:id="rId364" xr:uid="{D15B263A-F0D4-4A44-9FF3-E5AE60F20712}"/>
    <hyperlink ref="J234" r:id="rId365" xr:uid="{076C297B-A382-4AA9-B5C3-31F4B32EDFC7}"/>
    <hyperlink ref="I235" r:id="rId366" xr:uid="{F3D902C4-C92A-46AD-935A-71615E498A3B}"/>
    <hyperlink ref="J235" r:id="rId367" display="https://www.e-disclosure.ru/portal/company.aspx?id=35102" xr:uid="{B6BBE42D-96D3-4524-BF0D-BD7ED74520BC}"/>
    <hyperlink ref="I215" r:id="rId368" display="https://yakovlev.ru/" xr:uid="{02F6E60D-83AF-41A1-BCFF-BC4D2FF2C793}"/>
    <hyperlink ref="J215" r:id="rId369" display="https://www.e-disclosure.ru/portal/company.aspx?id=76" xr:uid="{C34E8852-2422-46F5-B43B-3EC634473A02}"/>
    <hyperlink ref="J225" r:id="rId370" display="http://www.e-disclosure.ru/portal/company.aspx?id=33" xr:uid="{03A6B640-9C0C-4BC3-9E44-B0CC802E0617}"/>
    <hyperlink ref="I225" r:id="rId371" xr:uid="{1877998D-4803-4471-9B53-A85A5B13D989}"/>
    <hyperlink ref="J226" r:id="rId372" display="http://www.e-disclosure.ru/portal/company.aspx?id=227" xr:uid="{4C0F7F01-5139-4840-A505-1FC0C6E0570B}"/>
    <hyperlink ref="I226" r:id="rId373" display="https://nefaz.ru/shareholders/" xr:uid="{D1A6951C-49B5-4C71-BD3B-C1E91FE4F9D8}"/>
    <hyperlink ref="J218" r:id="rId374" display="http://www.e-disclosure.ru/portal/company.aspx?id=21113" xr:uid="{B36EE53F-127B-4E64-9DF6-0BB313268673}"/>
    <hyperlink ref="I218" r:id="rId375" xr:uid="{ED12CBA2-B480-42CE-A505-C5C5F27A0506}"/>
    <hyperlink ref="J219" r:id="rId376" display="https://www.e-disclosure.ru/portal/company.aspx?id=3919" xr:uid="{462692BD-9D4E-4405-80C2-C20009549AB9}"/>
    <hyperlink ref="J221" r:id="rId377" display="http://www.e-disclosure.ru/portal/company.aspx?id=27324" xr:uid="{89E004C5-A743-4FBC-851C-3E4EC3F00D05}"/>
    <hyperlink ref="I221" r:id="rId378" xr:uid="{06E0B896-94A5-4024-85A7-411D86163230}"/>
    <hyperlink ref="J222" r:id="rId379" display="https://www.e-disclosure.ru/portal/company.aspx?id=8744" xr:uid="{1046C083-8EBB-4247-A744-621E5B4AD9B6}"/>
    <hyperlink ref="I222" r:id="rId380" xr:uid="{64B40E83-B405-4594-869F-738C08FED461}"/>
    <hyperlink ref="J223" r:id="rId381" display="https://www.e-disclosure.ru/portal/company.aspx?id=2348" xr:uid="{5A21F952-D4B0-4809-A3ED-782CADDDAAA8}"/>
    <hyperlink ref="J216" r:id="rId382" display="https://www.e-disclosure.ru/portal/company.aspx?id=1788" xr:uid="{2403CAB2-4571-4E3E-848B-B9FBC8001A61}"/>
    <hyperlink ref="J220" r:id="rId383" display="https://www.e-disclosure.ru/portal/company.aspx?id=8990" xr:uid="{42E0D995-95D5-4AE8-B3BE-6BCCDC2078A0}"/>
    <hyperlink ref="J25" r:id="rId384" xr:uid="{4F09D00C-54BF-481A-963C-CA24FBA4ABE3}"/>
    <hyperlink ref="J26" r:id="rId385" display="http://www.e-disclosure.ru/portal/company.aspx?id=3867" xr:uid="{A0DF7DA6-69C0-4AB8-999C-5D5EC075C2CE}"/>
    <hyperlink ref="J192" r:id="rId386" display="http://www.e-disclosure.ru/portal/company.aspx?id=10180" xr:uid="{33F471CC-BB96-4AAD-8B66-47D9B8595386}"/>
    <hyperlink ref="I192" r:id="rId387" xr:uid="{696F5213-A157-4EA4-9572-A9C491021B5D}"/>
    <hyperlink ref="J236" r:id="rId388" display="www.e-disclosure.ru/portal/company.aspx?id=5496" xr:uid="{C8712318-4E2A-43FB-8206-56FBE23C9484}"/>
    <hyperlink ref="I236" r:id="rId389" xr:uid="{FDA30503-8903-4398-91C8-AD4F0E86C152}"/>
    <hyperlink ref="J266" r:id="rId390" display="http://www.e-disclosure.ru/portal/company.aspx?id=10114" xr:uid="{9DB0268A-83E6-4E90-8EA2-B811E55E8C5A}"/>
    <hyperlink ref="I266" r:id="rId391" display="http://pao-armada.ru/" xr:uid="{335DD1CC-41A5-424A-805B-4F28B369B2E0}"/>
    <hyperlink ref="J274" r:id="rId392" display="http://www.e-disclosure.ru/portal/company.aspx?id=13312" xr:uid="{066C6013-CFE7-4B60-B9A4-01A3BD10CA15}"/>
    <hyperlink ref="I274" r:id="rId393" display="http://o2tvbiz.ru/" xr:uid="{354584E2-9923-47FD-8AC5-B54429A586C2}"/>
    <hyperlink ref="J238" r:id="rId394" display="http://www.e-disclosure.ru/portal/company.aspx?id=29198" xr:uid="{C98FFE8A-9A47-47AF-90B0-5223228ADAF2}"/>
    <hyperlink ref="I238" r:id="rId395" display="http://plasmeq.ru/" xr:uid="{5A1BEA51-9145-4AD6-AF33-AE14995117F8}"/>
    <hyperlink ref="J263" r:id="rId396" display="https://e-disclosure.ru/portal/company.aspx?id=29452" xr:uid="{ADCEE045-F37D-4230-96FD-835ADDB033A9}"/>
    <hyperlink ref="I217" r:id="rId397" display="http://npo-nauka.ru/" xr:uid="{38D61415-209D-4E50-B560-E5447874687C}"/>
    <hyperlink ref="J217" r:id="rId398" display="https://disclosure.1prime.ru/Portal/Default.aspx?emId=7714005350" xr:uid="{F5C0B1B0-1956-4239-BDFD-777344A375C9}"/>
    <hyperlink ref="I178" r:id="rId399" display="http://zhivojoffice.com/" xr:uid="{8C5F7C14-2D19-4E4C-BEC9-007C51F6A148}"/>
    <hyperlink ref="J178" r:id="rId400" display="https://e-disclosure.ru/portal/company.aspx?id=31874" xr:uid="{AAB49B2C-CE08-4B46-B688-C2CFF24E0906}"/>
    <hyperlink ref="J275" r:id="rId401" display="https://www.e-disclosure.ru/portal/company.aspx?id=30058" xr:uid="{6E217F12-9B79-4676-9DFA-43D0B1C47842}"/>
    <hyperlink ref="I264" r:id="rId402" xr:uid="{9031B690-651B-43FF-BB31-E9CC0A0B4DCF}"/>
    <hyperlink ref="J264" r:id="rId403" display="https://e-disclosure.ru/portal/company.aspx?id=38250" xr:uid="{EC9D0187-3F4B-4A4D-BE2F-DCA575CAB813}"/>
    <hyperlink ref="J267" r:id="rId404" display="https://www.e-disclosure.ru/portal/company.aspx?id=38538" xr:uid="{5CBA3A84-DE92-47BF-974E-9F3E491B3C36}"/>
    <hyperlink ref="I267" r:id="rId405" display="https://group.ptsecurity.com/ru" xr:uid="{574DD7F6-14A2-42E5-B744-08D5980EA622}"/>
    <hyperlink ref="J268" r:id="rId406" display="https://www.e-disclosure.ru/portal/company.aspx?id=37065" xr:uid="{3305F777-290F-4F71-88CA-69D6F5DA6908}"/>
    <hyperlink ref="I268" r:id="rId407" display="https://softline.ru/" xr:uid="{B4A051D3-B851-4AE4-A3E2-DFE68ACD4CD0}"/>
    <hyperlink ref="J210" r:id="rId408" xr:uid="{9BC65EC3-75C7-4B0E-8572-AAE28AD52F9D}"/>
    <hyperlink ref="I210" r:id="rId409" display="https://whoosh-bike.ru/" xr:uid="{877E9268-BD97-410A-8099-4A597604DFD3}"/>
    <hyperlink ref="J227" r:id="rId410" display="https://www.e-disclosure.ru/portal/company.aspx?id=31; http://skrin.ru/issuers/avaz" xr:uid="{589B4B9E-04F5-47EE-A45D-70FFB4147741}"/>
    <hyperlink ref="I227" r:id="rId411" xr:uid="{AEFE9E31-D5A8-4550-A1F8-07C78EBBD974}"/>
    <hyperlink ref="I228" r:id="rId412" xr:uid="{EE7AB598-788B-4E1B-AF6D-AC24351700B6}"/>
    <hyperlink ref="J228" r:id="rId413" display="http://www.e-disclosure.ru/portal/company.aspx?id=1324" xr:uid="{94CA9A9A-54D0-4AC0-A210-14ED5EE21C14}"/>
    <hyperlink ref="J231" r:id="rId414" display="http://www.e-disclosure.ru/portal/company.aspx?id=249" xr:uid="{EAF80B53-99A8-4CEB-9F77-4223678AA964}"/>
    <hyperlink ref="I231" r:id="rId415" display="https://omz.tech/" xr:uid="{1B62FE3A-74C1-434C-91AE-5C433493767A}"/>
    <hyperlink ref="J232" r:id="rId416" display="http://www.e-disclosure.ru/portal/company.aspx?id=8976" xr:uid="{354F149A-C1AB-48A0-8781-77FEBF04D8DD}"/>
    <hyperlink ref="I232" r:id="rId417" xr:uid="{0F820C2B-6DE4-484A-B2DE-2AAC64B2B570}"/>
    <hyperlink ref="I233" r:id="rId418" display="https://mz.perm.ru/" xr:uid="{AC78B513-E659-4D01-A14E-4C641B1B16BD}"/>
    <hyperlink ref="J233" r:id="rId419" xr:uid="{C210778C-74F0-4D72-8E78-36F4D427AC29}"/>
    <hyperlink ref="J229" r:id="rId420" display="http://www.e-disclosure.ru/portal/company.aspx?id=859" xr:uid="{28840323-1BF0-4F5F-8ACA-48A3078DD6FB}"/>
    <hyperlink ref="I229" r:id="rId421" display="https://nn.gaz.ru/" xr:uid="{0DF8B8B6-BB82-4B26-AE4B-EACCE23BBB44}"/>
    <hyperlink ref="J224" r:id="rId422" display="http://www.e-disclosure.ru/portal/company.aspx?id=1615" xr:uid="{30930523-0AB9-41C1-BF40-A67287CC065B}"/>
    <hyperlink ref="I224" r:id="rId423" xr:uid="{6DBC8E04-741E-4503-A134-2A8F50673E85}"/>
    <hyperlink ref="I186" r:id="rId424" xr:uid="{4EF49090-6454-47C3-AFE6-014754C08463}"/>
    <hyperlink ref="J186" r:id="rId425" display="http://www.e-disclosure.ru/portal/company.aspx?id=9038" xr:uid="{5A7B93BE-CE87-46F6-A047-43EAE7FC317C}"/>
    <hyperlink ref="J204" r:id="rId426" display="https://www.e-disclosure.ru/portal/company.aspx?id=397" xr:uid="{700E8169-8E79-4712-9D2B-F9C14CBB7FA2}"/>
    <hyperlink ref="I204" r:id="rId427" xr:uid="{C1222ED1-A2F4-403A-AA40-7739C0D957D8}"/>
    <hyperlink ref="J34" r:id="rId428" display="https://www.e-disclosure.ru/portal/company.aspx?id=938; disclosure.skrin.ru/disclosure/1658008723" xr:uid="{152EE495-A519-42D4-BA55-97D2FC91CD1F}"/>
    <hyperlink ref="J260" r:id="rId429" display="http://www.e-disclosure.ru/portal/company.aspx?id=34514" xr:uid="{D4752742-A383-4531-A6C3-6C0724284D70}"/>
    <hyperlink ref="I260" r:id="rId430" display="http://ir.yandex.com" xr:uid="{BD93DBC3-EFDC-471F-A496-3FBE8DF5CC21}"/>
    <hyperlink ref="J261" r:id="rId431" display="https://www.e-disclosure.ru/portal/company.aspx?id=38965" xr:uid="{8F2CA0B8-74D0-4371-B386-21399D224BB7}"/>
    <hyperlink ref="I261" r:id="rId432" display="https://vk.company/ru/" xr:uid="{818C870C-D516-4A6F-9362-45161BD41AE8}"/>
    <hyperlink ref="I265" r:id="rId433" display="https://ir.ciangroup.ru/ru/" xr:uid="{554D5897-960E-4F08-99C4-B228507B155B}"/>
    <hyperlink ref="J240" r:id="rId434" display="https://www.e-disclosure.ru/portal/company.aspx?id=1480" xr:uid="{96DA3559-42C0-4A33-B358-AF29BDF790FF}"/>
    <hyperlink ref="I240" r:id="rId435" display="http://ir.aeroflot.ru/ru/" xr:uid="{4BF1168F-D063-45DF-B473-298E62C422FF}"/>
    <hyperlink ref="J243" r:id="rId436" display="www.e-disclosure.ru/portal/company.aspx?id=4543" xr:uid="{472B83CC-68A9-4B7A-899A-68FBC3F790D2}"/>
    <hyperlink ref="I243" r:id="rId437" display="http://ir.rzd.ru/" xr:uid="{7AF75F17-1D1C-4020-9307-08F2A3431FB0}"/>
    <hyperlink ref="J277" r:id="rId438" display="http://www.e-disclosure.ru/portal/company.aspx?id=4772" xr:uid="{2BCB29DE-DE33-48B0-B16B-82397CDFCC56}"/>
    <hyperlink ref="I277" r:id="rId439" xr:uid="{7C656625-7DCD-4C2C-9891-94ECADA7CD33}"/>
    <hyperlink ref="J265" r:id="rId440" xr:uid="{7573B2D7-97CD-443C-9E50-90707F6F44E8}"/>
    <hyperlink ref="I251" r:id="rId441" display="www.lsrgroup.ru" xr:uid="{7B1555A3-FF10-44D6-B938-D95172C763CA}"/>
    <hyperlink ref="J251" r:id="rId442" display="http://www.e-disclosure.ru/portal/company.aspx?id=4834" xr:uid="{2D707EAA-AA0C-4289-8D1B-49DC277BBDFD}"/>
    <hyperlink ref="J252" r:id="rId443" display="http://www.e-disclosure.ru/portal/company.aspx?id=44" xr:uid="{49AF1F59-9CD4-4B64-8BDA-A7C08EA4820A}"/>
    <hyperlink ref="I252" r:id="rId444" xr:uid="{F4CD3174-FD50-4C63-98AD-DF6B6A485DA8}"/>
    <hyperlink ref="J256" r:id="rId445" display="http://e-disclosure.ru/portal/company.aspx?id=1220" xr:uid="{1A8C918D-D711-4053-A2C6-F3AE8732130C}"/>
    <hyperlink ref="I256" r:id="rId446" display="https://mostotrest.ru" xr:uid="{A5D4D1B5-F72E-40E9-A706-19B9489F09AB}"/>
    <hyperlink ref="J253" r:id="rId447" display="https://www.e-disclosure.ru/portal/company.aspx?id=38096" xr:uid="{3364DFDD-0A1C-4818-BA72-D433FA3D1F70}"/>
    <hyperlink ref="I253" r:id="rId448" xr:uid="{50C7C3A9-F1D6-4C1C-B998-6466B43FBF55}"/>
    <hyperlink ref="J254" r:id="rId449" display="http://www.e-disclosure.ru/portal/company.aspx?id=36419" xr:uid="{1B5C741F-BBB2-4044-A002-2DA1A0C2D2F1}"/>
    <hyperlink ref="I254" r:id="rId450" xr:uid="{2B894BFF-8164-4D2E-A956-F8B3ECB89FC0}"/>
    <hyperlink ref="J255" r:id="rId451" display="http://www.e-disclosure.ru/portal/company.aspx?id=8939" xr:uid="{8E01EB75-39CB-4D99-90FC-BB498B619841}"/>
    <hyperlink ref="I255" r:id="rId452" location="/1/35" display="http://hals-development.ru/#/1/35" xr:uid="{B9257010-6613-4683-AB48-5F6A7282B6D7}"/>
    <hyperlink ref="J247" r:id="rId453" display="http://www.e-disclosure.ru/portal/company.aspx?id=3900" xr:uid="{A9F22A3F-2812-43A5-B073-9F649650F2DD}"/>
    <hyperlink ref="I247" r:id="rId454" display="https://ncsp.ru/" xr:uid="{FA83E967-8576-42B2-BA3F-59D739A2B8A0}"/>
    <hyperlink ref="I244" r:id="rId455" xr:uid="{7A19E129-A413-4E43-B4A2-C417A800A9B8}"/>
    <hyperlink ref="J244" r:id="rId456" display="https://e-disclosure.ru/portal/company.aspx?id=38302" xr:uid="{647AF0CE-19DA-464B-AEED-ECF3F4257977}"/>
    <hyperlink ref="J241" r:id="rId457" display="http://www.e-disclosure.ru/portal/company.aspx?id=1171" xr:uid="{8472003E-97FE-4A24-BC2C-1E0A0C17E6E3}"/>
    <hyperlink ref="I241" r:id="rId458" xr:uid="{C649BBCC-3122-4E63-81BE-157BF180B628}"/>
    <hyperlink ref="J242" r:id="rId459" display="http://www.e-disclosure.ru/portal/company.aspx?id=12696" xr:uid="{8884A660-18E8-4EBD-BA02-25A7F501EF0E}"/>
    <hyperlink ref="J257" r:id="rId460" display="http://www.e-disclosure.ru/portal/company.aspx?id=9304" xr:uid="{7058FF45-68A2-4B06-AFD1-F5484047B180}"/>
    <hyperlink ref="I257" r:id="rId461" display="https://wtcmoscow.ru/" xr:uid="{821E965B-4C33-4FBF-9471-60EDDFA71805}"/>
    <hyperlink ref="I245" r:id="rId462" display="https://trcont.com/" xr:uid="{E74DECFE-E92D-454A-86DE-6D45472488A1}"/>
    <hyperlink ref="J245" r:id="rId463" display="http://www.e-disclosure.ru/portal/company.aspx?id=11194" xr:uid="{7E311160-E9CC-4E49-823A-F64E8E891D16}"/>
    <hyperlink ref="I249" r:id="rId464" display="http://novoroskhp.ru" xr:uid="{DF0D065D-1A06-47A1-B356-B257D7DD9567}"/>
    <hyperlink ref="J249" r:id="rId465" display="https://www.e-disclosure.ru/portal/company.aspx?id=10198" xr:uid="{95128435-71D8-44ED-BD60-3E6EA83CDA89}"/>
    <hyperlink ref="I246" r:id="rId466" display="https://globaltruck.ru/" xr:uid="{96E957CF-BC8D-463E-BC93-184CC5C84DD3}"/>
    <hyperlink ref="J246" r:id="rId467" display="https://www.e-disclosure.ru/portal/company.aspx?id=37114" xr:uid="{455EE8C8-771C-4830-B23F-8885AE4978A0}"/>
    <hyperlink ref="J250" r:id="rId468" display="https://www.e-disclosure.ru/portal/company.aspx?id=11967" xr:uid="{71FEBD38-65C0-4A13-966F-C6E29988ACDF}"/>
    <hyperlink ref="I250" r:id="rId469" display="https://www.scf-group.ru//" xr:uid="{FB357311-3DF7-4933-AE05-D81795AD19FF}"/>
    <hyperlink ref="J248" r:id="rId470" display="http://www.e-disclosure.ru/portal/company.aspx?id=83" xr:uid="{BC63B72F-97DD-46EC-9051-4549A32D07D5}"/>
    <hyperlink ref="I248" r:id="rId471" xr:uid="{AF22946A-DDDB-408A-BDB0-93591C6F803E}"/>
    <hyperlink ref="I273" r:id="rId472" display="https://rbc.group/" xr:uid="{66FD295A-B3C6-49FF-A34E-86921E11E2E9}"/>
    <hyperlink ref="J273" r:id="rId473" display="http://www.e-disclosure.ru/portal/company.aspx?id=24832" xr:uid="{33856DE6-69EE-422C-A6C3-A6A929D1ADF9}"/>
    <hyperlink ref="J290" r:id="rId474" display="http://www.e-disclosure.ru//portal/company.aspx?id=120" xr:uid="{B7766F09-9AC1-4007-B8EB-33F3D1A40FEF}"/>
    <hyperlink ref="I290" r:id="rId475" xr:uid="{76D769D2-C84E-42A0-A070-F7F34FAEF626}"/>
    <hyperlink ref="I292" r:id="rId476" xr:uid="{6AB24187-F7AB-4E1D-AD19-FF28900CAA48}"/>
    <hyperlink ref="J292" r:id="rId477" display="http://www.e-disclosure.ru/portal/company.aspx?id=3935" xr:uid="{61BA21FE-E9B8-41B7-A81B-84A0872B2BE4}"/>
    <hyperlink ref="J293" r:id="rId478" display="http://www.e-disclosure.ru/portal/company.aspx?id=202" xr:uid="{6AE1B1BF-4801-418F-BD92-6CEBEABB5FAF}"/>
    <hyperlink ref="I293" r:id="rId479" display="https://mkb.ru/" xr:uid="{575FD0FD-0AF3-4523-93E4-3D8255591D03}"/>
    <hyperlink ref="I294" r:id="rId480" display="https://tinkoff-group.ru/" xr:uid="{829758E1-BEE0-4F94-B118-D3CA7863A296}"/>
    <hyperlink ref="J294" r:id="rId481" xr:uid="{7CA9F207-60D0-4DDE-8E91-D8F6CD4D32FA}"/>
    <hyperlink ref="I291" r:id="rId482" xr:uid="{8EEA60FF-5EFF-4929-BC8B-2F36B9C50665}"/>
    <hyperlink ref="J291" r:id="rId483" xr:uid="{5CC0D9F5-308E-4AB2-B886-4DDCD4B97A16}"/>
    <hyperlink ref="I295" r:id="rId484" xr:uid="{3B7AE60F-A4AB-47E6-B0F1-AE6014C4DCEC}"/>
    <hyperlink ref="J295" r:id="rId485" display="http://www.e-disclosure.ru/portal/company.aspx?id=2427" xr:uid="{6DA81C46-A98E-4102-8720-7997F61B9EFF}"/>
    <hyperlink ref="I296" r:id="rId486" xr:uid="{44839581-DA1E-4C7C-B215-0FDB59F2FC0B}"/>
    <hyperlink ref="J296" r:id="rId487" display="http://www.e-disclosure.ru/portal/company.aspx?id=617" xr:uid="{2A9C60DA-1F1E-47F3-A48D-E162E0D50F43}"/>
    <hyperlink ref="J335" r:id="rId488" display="https://www.e-disclosure.ru/portal/company.aspx?id=11328" xr:uid="{A36FBD05-7998-473C-B276-4B214C7F9909}"/>
    <hyperlink ref="I335" r:id="rId489" display="https://sfiholding.ru/" xr:uid="{F718CA60-EE4A-4664-9365-28E2FE5586FF}"/>
    <hyperlink ref="J280" r:id="rId490" display="http://www.e-disclosure.ru/portal/company.aspx?id=34945" xr:uid="{9EE9BBA1-9518-4696-8FAB-194B00E8898C}"/>
    <hyperlink ref="I280" r:id="rId491" xr:uid="{FD651B8B-71B3-4EDC-8851-A171BCCE6C50}"/>
    <hyperlink ref="J333" r:id="rId492" display="https://www.e-disclosure.ru/portal/company.aspx?id=37082" xr:uid="{C246AACA-8361-4D42-B05F-443BA02A76E8}"/>
    <hyperlink ref="I333" r:id="rId493" xr:uid="{41F3DE9E-7013-43C2-ACB5-D952EF652983}"/>
    <hyperlink ref="J281" r:id="rId494" display="https://www.e-disclosure.ru/portal/company.aspx?id=37468" xr:uid="{C31695D0-9626-4B61-B432-8CE48A314049}"/>
    <hyperlink ref="I281" r:id="rId495" display="https://invest.renins.ru/" xr:uid="{4A423F1C-74A9-4F45-8A3C-B26B8EDFF97B}"/>
    <hyperlink ref="J331" r:id="rId496" display="http://www.e-disclosure.ru/portal/company.aspx?id=43" xr:uid="{585D94D1-19C8-4AF7-BF7A-BCB1E1C05DE7}"/>
    <hyperlink ref="I331" r:id="rId497" xr:uid="{8DD32BF4-1FB4-4ECB-AD64-CE7A0BE1AF1D}"/>
    <hyperlink ref="J332" r:id="rId498" display="https://www.e-disclosure.ru/portal/company.aspx?id=4566" xr:uid="{69E7F5F4-A5EA-4A49-84E9-C66A0764BBBF}"/>
    <hyperlink ref="I332" r:id="rId499" display="https://spbexchange.ru/" xr:uid="{39CFF65B-4A81-4C7E-A643-903EAE76027B}"/>
    <hyperlink ref="J239" r:id="rId500" display="https://www.e-disclosure.ru/portal/company.aspx?id=38038" xr:uid="{99F86880-302F-43AA-B473-6867F4E4C63C}"/>
    <hyperlink ref="I239" r:id="rId501" xr:uid="{7E1532D7-1482-4C40-876A-3696BBB4145C}"/>
    <hyperlink ref="J322" r:id="rId502" display="http://www.e-disclosure.ru/portal/company.aspx?id=1389" xr:uid="{3D99C4A6-FE8D-44A8-ABEE-B87C9FF17618}"/>
    <hyperlink ref="I322" r:id="rId503" xr:uid="{76BA0438-258A-4DD4-AD5C-97DBB395F44B}"/>
    <hyperlink ref="J279" r:id="rId504" xr:uid="{BD0F5F9C-8C94-4E02-9757-1020336D9D5E}"/>
    <hyperlink ref="I279" r:id="rId505" xr:uid="{FDD710B7-BF8B-4D8C-A64D-399DB5724EC6}"/>
    <hyperlink ref="J316" r:id="rId506" display="www.e-disclosure.ru/portal/company.aspx?id=538" xr:uid="{76FF4925-E2FE-40A4-92F5-98DAC0FB68AC}"/>
    <hyperlink ref="I316" r:id="rId507" xr:uid="{9C1B0941-08C8-4DBE-8906-5CA8EBC534EC}"/>
    <hyperlink ref="J297" r:id="rId508" display="http://www.e-disclosure.ru/portal/company.aspx?id=1285" xr:uid="{5D7DA342-640B-4FB7-BD39-D5BB0F1B1D98}"/>
    <hyperlink ref="I297" r:id="rId509" display="https://www.mtsbank.ru/" xr:uid="{D6A3A120-15D1-45EE-8D10-0DC2D798A10D}"/>
    <hyperlink ref="J298" r:id="rId510" display="http://www.e-disclosure.ru/portal/company.aspx?id=30898" xr:uid="{9B12911A-AFE8-46A5-9CE8-128F33EEF755}"/>
    <hyperlink ref="I298" r:id="rId511" xr:uid="{70E162E6-55AB-469B-9276-8F7507C9BD85}"/>
    <hyperlink ref="J299" r:id="rId512" display="http://www.e-disclosure.ru/portal/company.aspx?id=30052" xr:uid="{A4EB7E2F-794D-450D-8C95-47096E1B377F}"/>
    <hyperlink ref="I299" r:id="rId513" xr:uid="{50DEE107-5E62-450C-9E51-D43DE074D26F}"/>
    <hyperlink ref="I300" r:id="rId514" xr:uid="{D9A6AF2A-5B26-4802-AE1D-EE9C03B89B48}"/>
    <hyperlink ref="J300" r:id="rId515" display="http://www.e-disclosure.ru/portal/company.aspx?id=235" xr:uid="{0BCDD9BF-C0FF-4370-A826-2D3F43B7774B}"/>
    <hyperlink ref="J301" r:id="rId516" display="http://www.e-disclosure.ru/portal/company.aspx?id=1070" xr:uid="{17D69A6C-2D1A-43BE-B1C4-369DB415DCCA}"/>
    <hyperlink ref="I301" r:id="rId517" display="https://www.avangard.ru/rus/" xr:uid="{FB3C9DF6-DC4C-46E6-9505-32FED96A3650}"/>
    <hyperlink ref="J302" r:id="rId518" display="http://www.e-disclosure.ru/portal/company.aspx?id=156" xr:uid="{CBBB53AD-09D7-415F-97EB-1B43FF9AB9E9}"/>
    <hyperlink ref="I302" r:id="rId519" display="https://uralsib.ru/" xr:uid="{0DA9BC06-EA4C-4D04-A9C8-D18213322429}"/>
    <hyperlink ref="I303" r:id="rId520" xr:uid="{7ABAFE46-4C4D-420E-B75E-C254E07EAE4D}"/>
    <hyperlink ref="J303" r:id="rId521" xr:uid="{397D901F-C7BA-41B0-BBB2-B6864B56261D}"/>
    <hyperlink ref="J304" r:id="rId522" display="http://www.e-disclosure.ru/portal/company.aspx?id=1398" xr:uid="{A278D3A9-8F6C-4F07-BC91-D440D3AC9115}"/>
    <hyperlink ref="I304" r:id="rId523" xr:uid="{DD851123-9DDE-4125-9A9E-6E9A80620616}"/>
    <hyperlink ref="I329" r:id="rId524" display="https://smarttechgroup.pro/investoram/presentatsii-dlya-investorov" xr:uid="{EC66E3AD-D77F-40AD-928C-DF95DD8D44C9}"/>
    <hyperlink ref="J329" r:id="rId525" display="https://www.e-disclosure.ru/portal/company.aspx?id=38808" xr:uid="{9E709134-9DBF-469B-9927-F7C24662C51D}"/>
    <hyperlink ref="J323" r:id="rId526" display="http://www.e-disclosure.ru/portal/company.aspx?id=2420" xr:uid="{51DDCF13-39C3-4655-AB87-ABAC56F07FF6}"/>
    <hyperlink ref="I323" r:id="rId527" xr:uid="{919424BE-4AF8-40E6-8BE3-BC2F997DC5F9}"/>
    <hyperlink ref="J324" r:id="rId528" display="http://www.e-disclosure.ru/portal/company.aspx?id=3207" xr:uid="{AB487E6F-DD93-444E-AA7E-6336BD7ACE60}"/>
    <hyperlink ref="I324" r:id="rId529" xr:uid="{3D576CD3-644E-48F1-A742-59788A484AE4}"/>
    <hyperlink ref="J315" r:id="rId530" display="www.e-disclosure.ru/portal/company.aspx?id=2798" xr:uid="{4994F1B4-342F-4117-958B-DA182BCCA9AB}"/>
    <hyperlink ref="I315" r:id="rId531" xr:uid="{D31EA1C3-EB0B-406C-B8B7-1B733AA76408}"/>
    <hyperlink ref="J325" r:id="rId532" display="http://www.e-disclosure.ru/portal/company.aspx?id=1791" xr:uid="{FD68F36D-9709-4DC7-9CED-4F1E95B265BD}"/>
    <hyperlink ref="I325" r:id="rId533" xr:uid="{90CD8C86-FDF8-4E33-B9C7-BE752108C6C3}"/>
    <hyperlink ref="J327" r:id="rId534" display="http://www.e-disclosure.ru/portal/company.aspx?id=15609" xr:uid="{06D0EA8F-E4FA-41F0-BE4C-5DBE16FDA8C0}"/>
    <hyperlink ref="I327" r:id="rId535" xr:uid="{715E99C9-F4E0-4173-A6AF-AF42BA0B5F1D}"/>
    <hyperlink ref="J305" r:id="rId536" display="http://www.e-disclosure.ru/portal/company.aspx?id=1929" xr:uid="{56E4D6F9-A5C8-4B3A-A85A-307457A12285}"/>
    <hyperlink ref="I305" r:id="rId537" display="https://spbbank.ru/" xr:uid="{095421AE-D9F0-4123-A86B-B45AFC7E95FB}"/>
    <hyperlink ref="J317" r:id="rId538" display="https://www.e-disclosure.ru/portal/company.aspx?id=1946" xr:uid="{1E82EF42-9929-43CB-AFF0-C75BDB585A8F}"/>
    <hyperlink ref="I317" r:id="rId539" xr:uid="{DFD34932-7DF7-4B94-9B4D-D63A6CA34A21}"/>
    <hyperlink ref="J321" r:id="rId540" display="http://www.e-disclosure.ru/portal/company.aspx?id=3196" xr:uid="{3D111426-A1F8-4A9D-82D3-49AC3F716C5D}"/>
    <hyperlink ref="I321" r:id="rId541" display="https://domrfbank.ru/" xr:uid="{72BAE9B9-665B-4A52-A063-AB8390CCCF90}"/>
    <hyperlink ref="J326" r:id="rId542" display="http://www.e-disclosure.ru/portal/company.aspx?id=4644" xr:uid="{50F54763-274B-4B86-9239-6CB980F2EE28}"/>
    <hyperlink ref="I326" r:id="rId543" xr:uid="{5C1B404F-FF81-491B-A687-9A515F18602D}"/>
    <hyperlink ref="J318" r:id="rId544" display="www.e-disclosure.ru/portal/company.aspx?id=3018" xr:uid="{8811D83F-D45B-4508-A052-8AE08FBCAB86}"/>
    <hyperlink ref="I318" r:id="rId545" xr:uid="{1C0E632B-438E-4335-95D1-186DEDBBA36F}"/>
    <hyperlink ref="I86" r:id="rId546" xr:uid="{F743EBC1-38ED-4B1C-BF0B-C6169586981F}"/>
    <hyperlink ref="J313" r:id="rId547" display="https://www.e-disclosure.ru/portal/company.aspx?id=1651" xr:uid="{EDCD4C71-F2C3-40B8-8830-080B85030225}"/>
    <hyperlink ref="I313" r:id="rId548" display="https://derzhava.ru/" xr:uid="{09ECFBDC-B0AE-43F5-BF6E-D215081D5CD6}"/>
    <hyperlink ref="J306" r:id="rId549" display="https://www.e-disclosure.ru/portal/company.aspx?id=2880" xr:uid="{8F0F34DB-74EF-4A04-8AF1-9AA0DEB9739E}"/>
    <hyperlink ref="I306" r:id="rId550" xr:uid="{6FDCEA09-7BFD-4384-9DE4-7F4650CE478D}"/>
    <hyperlink ref="J307" r:id="rId551" display="https://www.e-disclosure.ru/portal/company.aspx?id=2380" xr:uid="{0C599D33-46C8-4E60-8433-803574178500}"/>
    <hyperlink ref="J314" r:id="rId552" xr:uid="{E0FD0439-C82F-40B3-9DFF-B30ECC3DBC53}"/>
    <hyperlink ref="I308" r:id="rId553" xr:uid="{479D190C-78CF-4CA7-B22A-D9393D251DA3}"/>
    <hyperlink ref="J308" r:id="rId554" display="https://www.e-disclosure.ru/portal/company.aspx?id=4197" xr:uid="{EF235F17-70A8-4F51-9142-291FF181E72C}"/>
    <hyperlink ref="J319" r:id="rId555" display="https://www.e-disclosure.ru/portal/company.aspx?id=3063" xr:uid="{B4452443-1FA1-4FA1-B232-21EF676DD22C}"/>
    <hyperlink ref="J309" r:id="rId556" display="https://www.e-disclosure.ru/portal/company.aspx?id=981" xr:uid="{9FE78BA3-8E7A-4E56-9AC8-5921CDB4856C}"/>
    <hyperlink ref="I309" r:id="rId557" display="https://rbrbank.ru/about/disclosing_of_the_information/events.php" xr:uid="{2E74B549-C05D-47B8-832E-6CEB6BCB4C79}"/>
    <hyperlink ref="I310" r:id="rId558" xr:uid="{E9B5444C-7B9D-4119-BFCB-15E21867C43A}"/>
    <hyperlink ref="J310" r:id="rId559" display="https://www.e-disclosure.ru/portal/company.aspx?id=557" xr:uid="{D3E09599-522F-4A5F-BB6E-C9A1CF2E93AA}"/>
    <hyperlink ref="J311" r:id="rId560" display="https://www.e-disclosure.ru/portal/company.aspx?id=1176" xr:uid="{8CB884AC-DCB2-4C3C-97C8-A67396A89A54}"/>
    <hyperlink ref="J320" r:id="rId561" display="https://www.e-disclosure.ru/portal/company.aspx?id=1058" xr:uid="{16F65BD4-693A-4CEE-9C09-5FFC7AEDAC82}"/>
    <hyperlink ref="J312" r:id="rId562" display="https://www.e-disclosure.ru/portal/company.aspx?id=5059" xr:uid="{2011B502-0AD8-4271-A34B-0ACC8F1964D0}"/>
    <hyperlink ref="I330" r:id="rId563" display="https://mgkl.group/" xr:uid="{BF273E81-177C-405C-BC3E-3153B200F60D}"/>
    <hyperlink ref="J330" r:id="rId564" display="https://e-disclosure.ru/portal/company.aspx?id=11244" xr:uid="{B8435775-A719-44C5-B2B7-A54A910F5097}"/>
    <hyperlink ref="I278" r:id="rId565" xr:uid="{FBFC1486-B2DE-49EA-9D39-B064A6593B29}"/>
    <hyperlink ref="J278" r:id="rId566" display="http://www.e-disclosure.ru/portal/company.aspx?id=8783" xr:uid="{997A1712-80B4-450A-BC01-7CE89FF54442}"/>
    <hyperlink ref="J334" r:id="rId567" display="http://www.e-disclosure.ru/portal/company.aspx?id=31532" xr:uid="{815E8A47-6F92-447D-9EBA-AEAFF284BB36}"/>
    <hyperlink ref="I334" r:id="rId568" xr:uid="{819D69B2-A568-4EDB-AB20-887E783E8C28}"/>
    <hyperlink ref="J282" r:id="rId569" display="http://www.e-disclosure.ru/portal/company.aspx?id=214" xr:uid="{E801626D-DAAC-497F-8CCC-E1FB836AD9D3}"/>
    <hyperlink ref="I282" r:id="rId570" xr:uid="{EBE2A7C8-9A55-45F8-8A0D-B025FD583EE2}"/>
    <hyperlink ref="I283" r:id="rId571" xr:uid="{BAFCD053-87C7-45AA-A485-C3D1BBCAB697}"/>
    <hyperlink ref="J283" r:id="rId572" display="https://www.e-disclosure.ru/portal/company.aspx?id=36458" xr:uid="{F01BB56F-54D6-4952-B4AE-E9B3AF835940}"/>
    <hyperlink ref="I284" r:id="rId573" display="https://energogarant.ru/" xr:uid="{698FE922-B372-4A2F-885F-A844E4BB8EE5}"/>
    <hyperlink ref="J284" r:id="rId574" display="https://www.e-disclosure.ru/portal/company.aspx?id=7604" xr:uid="{0AC9577D-4B61-492D-9D72-F52FA5E9BA53}"/>
    <hyperlink ref="J285" r:id="rId575" display="https://www.e-disclosure.ru/portal/company.aspx?id=119" xr:uid="{6453D2A8-AD6D-4002-A015-DCB31BFECCCC}"/>
    <hyperlink ref="I285" r:id="rId576" display="https://www.ingos.ru/" xr:uid="{F5CF6430-F2FE-49AA-B7D4-7D01230A9C14}"/>
    <hyperlink ref="I287" r:id="rId577" xr:uid="{4BF00623-89A6-40F6-95B1-6C3719FD4710}"/>
    <hyperlink ref="J287" r:id="rId578" xr:uid="{EA0A366C-FC68-4173-A607-3530DC74E4CB}"/>
    <hyperlink ref="J286" r:id="rId579" display="https://www.e-disclosure.ru/portal/company.aspx?id=100" xr:uid="{825D2900-F587-4614-9CDA-57D060B21CA1}"/>
    <hyperlink ref="I286" r:id="rId580" display="https://reso.ru/" xr:uid="{5DFDB7DA-CEFA-4813-B931-0D99ABC5AE81}"/>
    <hyperlink ref="J336" r:id="rId581" display="http://www.e-disclosure.ru/portal/company.aspx?id=7220" xr:uid="{AA3C4A9D-0A7B-4D3D-A806-9085B6C25515}"/>
    <hyperlink ref="I336" r:id="rId582" xr:uid="{2249CA96-28C5-48BC-910E-DF6B30BECEB4}"/>
    <hyperlink ref="J337" r:id="rId583" display="http://www.e-disclosure.ru/portal/company.aspx?id=13756" xr:uid="{A5CE9A53-C6D6-499D-9D54-01C4E5B2C9B1}"/>
    <hyperlink ref="I337" r:id="rId584" display="https://if-meridian.ru/" xr:uid="{A7ADBDCB-AADB-47CA-A69F-F287D60C632A}"/>
    <hyperlink ref="J258" r:id="rId585" xr:uid="{D91D765A-1B8F-416B-845A-0544A745B899}"/>
    <hyperlink ref="I258" r:id="rId586" xr:uid="{77B91BE5-C617-4B08-B094-C6E090846BE2}"/>
    <hyperlink ref="J338" r:id="rId587" display="http://www.e-disclosure.ru/portal/company.aspx?id=27547" xr:uid="{8AFB009C-91AA-4C45-ACCF-0397C57CC83A}"/>
    <hyperlink ref="I338" r:id="rId588" display="http://kitkapital.ru/otchyotnost/" xr:uid="{54D5F672-68A6-4FB6-82E2-6C84A9A73D3B}"/>
    <hyperlink ref="J343" r:id="rId589" display="http://www.e-disclosure.ru/portal/company.aspx?id=32932" xr:uid="{BD53734F-1C2F-43E0-AB61-0B6540FCF257}"/>
    <hyperlink ref="J339" r:id="rId590" display="https://www.e-disclosure.ru/portal/company.aspx?id=16584" xr:uid="{FE23EB0E-7F29-4B19-8D17-2B01656D6D9B}"/>
    <hyperlink ref="J344" r:id="rId591" display="www.e-disclosure.ru/portal/company.aspx?id=25100" xr:uid="{8441CDFC-AF6F-49B0-9779-30A7F83D6670}"/>
    <hyperlink ref="J340" r:id="rId592" display="http://www.e-disclosure.ru/portal/company.aspx?id=579" xr:uid="{D6844541-955E-4B4D-9EEB-DD62D89DF5BB}"/>
    <hyperlink ref="I340" r:id="rId593" xr:uid="{324AA399-0AF8-4AEE-8BC5-AD3CE4E1C87F}"/>
    <hyperlink ref="J341" r:id="rId594" display="https://www.e-disclosure.ru/portal/company.aspx?id=33720" xr:uid="{EC7C8BEF-3583-4D31-A847-DA220EA438C6}"/>
    <hyperlink ref="J342" r:id="rId595" display="https://www.e-disclosure.ru/portal/company.aspx?id=15776" xr:uid="{B2156922-3671-4253-BE3B-BCAC8FFCEFB6}"/>
    <hyperlink ref="J18" r:id="rId596" xr:uid="{99D9ABAE-B642-4730-BC85-E7ED3350374E}"/>
    <hyperlink ref="J19" r:id="rId597" display="https://www.e-disclosure.ru/portal/company.aspx?id=4802" xr:uid="{91ED733E-7182-489E-8DEF-FCD69C96C469}"/>
    <hyperlink ref="I19" r:id="rId598" xr:uid="{35CC070F-4351-4DD2-A1D3-F2BA111EF830}"/>
    <hyperlink ref="J20" r:id="rId599" display="https://www.e-disclosure.ru/portal/company.aspx?id=10272" xr:uid="{E083F505-F55D-45A8-B4AA-247F33A6A8D0}"/>
    <hyperlink ref="J21" r:id="rId600" display="https://www.e-disclosure.ru/portal/company.aspx?id=11530" xr:uid="{3B3D8223-4FA1-4354-8A18-762602F32069}"/>
    <hyperlink ref="J22" r:id="rId601" display="https://www.e-disclosure.ru/portal/company.aspx?id=9361" xr:uid="{93C78879-0653-46BF-8360-ABE7FDFC9532}"/>
    <hyperlink ref="J44" r:id="rId602" display="http://www.e-disclosure.ru/portal/company.aspx?id=2195" xr:uid="{42989B9A-18D1-45FF-AD5E-6DB7BE1E781A}"/>
    <hyperlink ref="J79" r:id="rId603" display="http://www.e-disclosure.ru/portal/company.aspx?id=3306" xr:uid="{FD9C168A-8774-44E0-9741-3F22880F6B17}"/>
    <hyperlink ref="I79" r:id="rId604" xr:uid="{B7A27C7C-FC77-45BA-9AB3-011FE3784F68}"/>
    <hyperlink ref="J80" r:id="rId605" display="http://www.e-disclosure.ru/portal/company.aspx?id=7466" xr:uid="{43EF3EBF-1B3A-436F-8489-DCFA3C401CB5}"/>
    <hyperlink ref="I80" r:id="rId606" xr:uid="{56120657-AFFB-4739-9D7C-B6759B644E59}"/>
    <hyperlink ref="J81" r:id="rId607" display="https://www.e-disclosure.ru/portal/company.aspx?id=124" xr:uid="{8CE9362C-AEC2-43E7-A4D4-8B9652B2EA8D}"/>
    <hyperlink ref="I81" r:id="rId608" xr:uid="{BEC44978-8C65-4019-ADB0-9DA7F66DFB8A}"/>
    <hyperlink ref="J82" r:id="rId609" display="http://www.e-disclosure.ru/portal/company.aspx?id=4662" xr:uid="{684E11EA-BDE1-43DC-BFB0-F47DC9E54E9A}"/>
    <hyperlink ref="I82" r:id="rId610" xr:uid="{4583201E-8988-402C-B03C-A753891E3884}"/>
    <hyperlink ref="J211" r:id="rId611" display="https://www.e-disclosure.ru/portal/company.aspx?id=39131" xr:uid="{0337AA80-73C6-4524-A131-5B13B6693B38}"/>
    <hyperlink ref="I211" r:id="rId612" display="https://ir.vseinstrumenti.ru/" xr:uid="{D39FC34F-0B6E-460C-ABD5-0C7AD2B3A3BF}"/>
    <hyperlink ref="J23" r:id="rId613" display="https://www.e-disclosure.ru/portal/company.aspx?id=38758" xr:uid="{9091EAD1-C0C4-4E72-98C9-F3BD52F07E5D}"/>
    <hyperlink ref="I23" r:id="rId614" display="https://evrotrans-ao.ru/" xr:uid="{B4C980C6-3CFF-4023-B755-4A6F030A59DD}"/>
    <hyperlink ref="J201" r:id="rId615" display="https://www.e-disclosure.ru/portal/company.aspx?id=32725" xr:uid="{19F26100-D469-425A-8D24-F11820E5F460}"/>
    <hyperlink ref="J184" r:id="rId616" display="https://www.e-disclosure.ru/portal/company.aspx?id=39009" xr:uid="{C01E7051-7FB7-43FB-99E7-27BC713066E2}"/>
    <hyperlink ref="I184" r:id="rId617" display="https://klvzk.ru/" xr:uid="{01005CCA-100C-467E-9166-C6BCAC7CA7B8}"/>
    <hyperlink ref="J206" r:id="rId618" display="https://www.e-disclosure.ru/portal/company.aspx?id=31279" xr:uid="{80AB5279-6FF8-471A-A4DE-45ECC68FB614}"/>
    <hyperlink ref="J207" r:id="rId619" display="https://www.e-disclosure.ru/portal/company.aspx?id=316" xr:uid="{7FD91470-10DE-440C-9535-C9E049C80466}"/>
    <hyperlink ref="J208" r:id="rId620" display="http://www.e-disclosure.ru/portal/company.aspx?id=468" xr:uid="{047510AB-4E10-4CB5-8896-D5A7682688B9}"/>
    <hyperlink ref="I208" r:id="rId621" xr:uid="{18264119-611B-4D40-9ACC-C142F35B750F}"/>
    <hyperlink ref="J230" r:id="rId622" display="https://www.e-disclosure.ru/portal/company.aspx?id=421" xr:uid="{5B0A75AA-A0F1-44E9-9419-2A8BBA51680E}"/>
    <hyperlink ref="I230" r:id="rId623" display="https://rostselmash.com/" xr:uid="{7AD4AFD7-9A8E-4831-B27A-98CE3A4E4EFD}"/>
    <hyperlink ref="J193" r:id="rId624" display="https://www.e-disclosure.ru/portal/company.aspx?id=39126" xr:uid="{B6D52E61-BEB5-4965-B757-16F3DFA1634D}"/>
    <hyperlink ref="J194" r:id="rId625" display="https://www.e-disclosure.ru/portal/company.aspx?id=38533" xr:uid="{BCD677C5-EC37-4B9C-B939-F7F39CAC3CE9}"/>
    <hyperlink ref="I194" r:id="rId626" xr:uid="{57FFBBB6-6294-424F-888C-D0C01044DC00}"/>
    <hyperlink ref="J237" r:id="rId627" display="https://www.e-disclosure.ru/portal/company.aspx?id=36330" xr:uid="{C8630B54-2F2B-4F8B-BF27-620D48D012A3}"/>
    <hyperlink ref="I237" r:id="rId628" display="https://euroetpao.ru/investors/raskrytie-informatsii/" xr:uid="{F50CD01E-8913-4455-873C-C559AFF6260C}"/>
    <hyperlink ref="J83" r:id="rId629" display="https://www.e-disclosure.ru/portal/company.aspx?id=57" xr:uid="{9D92715E-3031-434C-9A8E-188B21FFE9EA}"/>
    <hyperlink ref="I83" r:id="rId630" display="https://mmk-metiz.ru/" xr:uid="{821231CE-118B-4062-8F62-63F8081CC975}"/>
    <hyperlink ref="J269" r:id="rId631" display="https://www.e-disclosure.ru/portal/company.aspx?id=38906" xr:uid="{31B044FF-861E-49C2-8F69-6B003B932476}"/>
    <hyperlink ref="I269" r:id="rId632" display="https://astra.ru/" xr:uid="{95081BED-BBC3-411A-AD97-9152441C3C73}"/>
    <hyperlink ref="J270" r:id="rId633" display="https://www.e-disclosure.ru/portal/company.aspx?id=38975" xr:uid="{8B623DA7-B18F-4EFF-94C9-3EEB8427E532}"/>
    <hyperlink ref="I270" r:id="rId634" xr:uid="{A4DDE2F6-A18D-4721-8EE4-2BFAE38A6952}"/>
    <hyperlink ref="I271" r:id="rId635" xr:uid="{C6FCB86A-080F-436B-9A92-31967452A34E}"/>
    <hyperlink ref="J271" r:id="rId636" xr:uid="{C174E93B-ED8C-4DD6-A39F-83F230CA8234}"/>
    <hyperlink ref="I272" r:id="rId637" display="https://iva.ru/ru/investoram/" xr:uid="{7F25FFDA-C099-40FE-B7F3-860E270BF978}"/>
    <hyperlink ref="J272" r:id="rId638" display="https://www.e-disclosure.ru/portal/company.aspx?id=39102" xr:uid="{2C8B61D0-F052-4ED7-8BCB-2166A3B74353}"/>
    <hyperlink ref="J212" r:id="rId639" display="https://e-disclosure.ru/portal/company.aspx?id=27664" xr:uid="{C60C9F46-0326-4958-89FD-BF9264407FDA}"/>
    <hyperlink ref="J213" r:id="rId640" display="https://www.e-disclosure.ru/portal/company.aspx?id=36391" xr:uid="{81CC3E97-2C8F-44AC-B2EE-6D6F458B99FD}"/>
    <hyperlink ref="I213" r:id="rId641" display="https://lambumiz.ru/" xr:uid="{D276266B-1475-40BE-8BE3-0D2E7B94C62A}"/>
  </hyperlinks>
  <pageMargins left="0.7" right="0.7" top="0.75" bottom="0.75" header="0.3" footer="0.3"/>
  <pageSetup paperSize="9" orientation="portrait" horizontalDpi="0" verticalDpi="0" r:id="rId6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Start</vt:lpstr>
      <vt:lpstr>DBMA</vt:lpstr>
      <vt:lpstr>Def</vt:lpstr>
      <vt:lpstr>Sec-Ind</vt:lpstr>
      <vt:lpstr>Comp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dc:creator>
  <cp:lastModifiedBy>Иван Семенушкин</cp:lastModifiedBy>
  <cp:lastPrinted>2022-01-24T09:55:28Z</cp:lastPrinted>
  <dcterms:created xsi:type="dcterms:W3CDTF">2016-07-05T16:15:45Z</dcterms:created>
  <dcterms:modified xsi:type="dcterms:W3CDTF">2025-02-19T05:18:14Z</dcterms:modified>
</cp:coreProperties>
</file>